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pkad\Documents\DATA E\LAPORAN BULANAN\2018\"/>
    </mc:Choice>
  </mc:AlternateContent>
  <xr:revisionPtr revIDLastSave="0" documentId="13_ncr:1_{46734FC4-6089-4D03-8E01-7A153E7ACAA8}" xr6:coauthVersionLast="36" xr6:coauthVersionMax="36" xr10:uidLastSave="{00000000-0000-0000-0000-000000000000}"/>
  <bookViews>
    <workbookView xWindow="120" yWindow="90" windowWidth="15240" windowHeight="7995" firstSheet="3" activeTab="9" xr2:uid="{00000000-000D-0000-FFFF-FFFF00000000}"/>
  </bookViews>
  <sheets>
    <sheet name="2017" sheetId="26" r:id="rId1"/>
    <sheet name="1" sheetId="27" r:id="rId2"/>
    <sheet name="Jan 2018" sheetId="28" r:id="rId3"/>
    <sheet name="februari" sheetId="30" r:id="rId4"/>
    <sheet name="maret 2018" sheetId="31" r:id="rId5"/>
    <sheet name="April 2018 " sheetId="32" r:id="rId6"/>
    <sheet name="Mei 2018" sheetId="34" r:id="rId7"/>
    <sheet name="Juni 2018" sheetId="35" r:id="rId8"/>
    <sheet name="Juli 2018 " sheetId="36" r:id="rId9"/>
    <sheet name="Agustus 2018" sheetId="37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1" hidden="1">'1'!$A$1:$A$703</definedName>
    <definedName name="_xlnm._FilterDatabase" localSheetId="0" hidden="1">'2017'!$A$1:$A$732</definedName>
    <definedName name="_xlnm._FilterDatabase" localSheetId="9" hidden="1">'Agustus 2018'!$A$1:$A$725</definedName>
    <definedName name="_xlnm._FilterDatabase" localSheetId="5" hidden="1">'April 2018 '!$A$1:$A$722</definedName>
    <definedName name="_xlnm._FilterDatabase" localSheetId="3" hidden="1">februari!$A$1:$A$720</definedName>
    <definedName name="_xlnm._FilterDatabase" localSheetId="2" hidden="1">'Jan 2018'!$A$1:$A$703</definedName>
    <definedName name="_xlnm._FilterDatabase" localSheetId="8" hidden="1">'Juli 2018 '!$A$1:$A$725</definedName>
    <definedName name="_xlnm._FilterDatabase" localSheetId="7" hidden="1">'Juni 2018'!$A$1:$A$725</definedName>
    <definedName name="_xlnm._FilterDatabase" localSheetId="4" hidden="1">'maret 2018'!$A$1:$A$720</definedName>
    <definedName name="_xlnm._FilterDatabase" localSheetId="6" hidden="1">'Mei 2018'!$A$1:$A$725</definedName>
    <definedName name="_xlnm.Print_Area" localSheetId="1">'1'!$A$1:$AO$675</definedName>
    <definedName name="_xlnm.Print_Area" localSheetId="0">'2017'!$A$1:$AO$704</definedName>
    <definedName name="_xlnm.Print_Area" localSheetId="9">'Agustus 2018'!$A$1:$AO$697</definedName>
    <definedName name="_xlnm.Print_Area" localSheetId="5">'April 2018 '!$A$1:$AO$694</definedName>
    <definedName name="_xlnm.Print_Area" localSheetId="3">februari!$A$1:$AO$692</definedName>
    <definedName name="_xlnm.Print_Area" localSheetId="2">'Jan 2018'!$A$1:$AO$675</definedName>
    <definedName name="_xlnm.Print_Area" localSheetId="8">'Juli 2018 '!$A$1:$AO$697</definedName>
    <definedName name="_xlnm.Print_Area" localSheetId="7">'Juni 2018'!$A$1:$AO$697</definedName>
    <definedName name="_xlnm.Print_Area" localSheetId="4">'maret 2018'!$A$1:$AO$692</definedName>
    <definedName name="_xlnm.Print_Area" localSheetId="6">'Mei 2018'!$A$1:$AO$697</definedName>
    <definedName name="_xlnm.Print_Titles" localSheetId="1">'1'!$5:$9</definedName>
    <definedName name="_xlnm.Print_Titles" localSheetId="0">'2017'!$5:$9</definedName>
    <definedName name="_xlnm.Print_Titles" localSheetId="9">'Agustus 2018'!$5:$9</definedName>
    <definedName name="_xlnm.Print_Titles" localSheetId="5">'April 2018 '!$5:$9</definedName>
    <definedName name="_xlnm.Print_Titles" localSheetId="3">februari!$5:$9</definedName>
    <definedName name="_xlnm.Print_Titles" localSheetId="2">'Jan 2018'!$5:$9</definedName>
    <definedName name="_xlnm.Print_Titles" localSheetId="8">'Juli 2018 '!$5:$9</definedName>
    <definedName name="_xlnm.Print_Titles" localSheetId="7">'Juni 2018'!$5:$9</definedName>
    <definedName name="_xlnm.Print_Titles" localSheetId="4">'maret 2018'!$5:$9</definedName>
    <definedName name="_xlnm.Print_Titles" localSheetId="6">'Mei 2018'!$5:$9</definedName>
  </definedNames>
  <calcPr calcId="162913"/>
</workbook>
</file>

<file path=xl/calcChain.xml><?xml version="1.0" encoding="utf-8"?>
<calcChain xmlns="http://schemas.openxmlformats.org/spreadsheetml/2006/main">
  <c r="AI28" i="37" l="1"/>
  <c r="AI31" i="37"/>
  <c r="AI32" i="37"/>
  <c r="AI33" i="37"/>
  <c r="AI29" i="37"/>
  <c r="AI30" i="37"/>
  <c r="AI27" i="37"/>
  <c r="AI25" i="37"/>
  <c r="AI25" i="35"/>
  <c r="AI25" i="34"/>
  <c r="AI25" i="32"/>
  <c r="AI25" i="31"/>
  <c r="AI25" i="36"/>
  <c r="AI23" i="36"/>
  <c r="AI23" i="35"/>
  <c r="AI23" i="37"/>
  <c r="AI22" i="36"/>
  <c r="AI22" i="35"/>
  <c r="AI22" i="34"/>
  <c r="AI22" i="37"/>
  <c r="AI21" i="36"/>
  <c r="AI21" i="35"/>
  <c r="AI21" i="34"/>
  <c r="AI21" i="32"/>
  <c r="AI21" i="31"/>
  <c r="AI21" i="30"/>
  <c r="AI21" i="37"/>
  <c r="AI20" i="36"/>
  <c r="AI20" i="35"/>
  <c r="AI20" i="34"/>
  <c r="AI20" i="32"/>
  <c r="AI20" i="31"/>
  <c r="AI20" i="30"/>
  <c r="AI20" i="37"/>
  <c r="AI19" i="36"/>
  <c r="AI19" i="35"/>
  <c r="AI19" i="34"/>
  <c r="AI19" i="32"/>
  <c r="AI19" i="31"/>
  <c r="AI19" i="30"/>
  <c r="AI19" i="37"/>
  <c r="AI18" i="36"/>
  <c r="AI18" i="37"/>
  <c r="AI18" i="35"/>
  <c r="AI18" i="34"/>
  <c r="AI18" i="32"/>
  <c r="AI18" i="31"/>
  <c r="AI18" i="30"/>
  <c r="AI17" i="37"/>
  <c r="AI17" i="36"/>
  <c r="AI17" i="35"/>
  <c r="AI16" i="37"/>
  <c r="AI16" i="36"/>
  <c r="AI16" i="35"/>
  <c r="AI16" i="34"/>
  <c r="AI16" i="32"/>
  <c r="AI16" i="31"/>
  <c r="AI16" i="30"/>
  <c r="AI15" i="36"/>
  <c r="AI15" i="37"/>
  <c r="AI15" i="35"/>
  <c r="AJ21" i="37" l="1"/>
  <c r="T21" i="37" s="1"/>
  <c r="V21" i="37" s="1"/>
  <c r="AJ20" i="37"/>
  <c r="T20" i="37" s="1"/>
  <c r="V20" i="37" s="1"/>
  <c r="AI683" i="37"/>
  <c r="AK683" i="37" s="1"/>
  <c r="AL683" i="37" s="1"/>
  <c r="AI681" i="37"/>
  <c r="AK681" i="37" s="1"/>
  <c r="AL681" i="37" s="1"/>
  <c r="AI676" i="37"/>
  <c r="AI675" i="37"/>
  <c r="AJ675" i="37" s="1"/>
  <c r="T675" i="37" s="1"/>
  <c r="AI674" i="37"/>
  <c r="AJ674" i="37" s="1"/>
  <c r="T674" i="37" s="1"/>
  <c r="AI623" i="37"/>
  <c r="AI622" i="37"/>
  <c r="AK622" i="37" s="1"/>
  <c r="AL622" i="37" s="1"/>
  <c r="AI620" i="37"/>
  <c r="AI571" i="37"/>
  <c r="AI570" i="37"/>
  <c r="AI569" i="37"/>
  <c r="AI568" i="37"/>
  <c r="AI567" i="37"/>
  <c r="AI566" i="37"/>
  <c r="AI565" i="37"/>
  <c r="AI564" i="37"/>
  <c r="AI563" i="37"/>
  <c r="AJ563" i="37" s="1"/>
  <c r="T563" i="37" s="1"/>
  <c r="V563" i="37" s="1"/>
  <c r="AI561" i="37"/>
  <c r="AJ561" i="37" s="1"/>
  <c r="T561" i="37" s="1"/>
  <c r="V561" i="37" s="1"/>
  <c r="AI560" i="37"/>
  <c r="AK560" i="37" s="1"/>
  <c r="AL560" i="37" s="1"/>
  <c r="AI559" i="37"/>
  <c r="AJ559" i="37" s="1"/>
  <c r="T559" i="37" s="1"/>
  <c r="V559" i="37" s="1"/>
  <c r="AI556" i="37"/>
  <c r="AJ556" i="37" s="1"/>
  <c r="T556" i="37" s="1"/>
  <c r="V556" i="37" s="1"/>
  <c r="AI555" i="37"/>
  <c r="AJ555" i="37" s="1"/>
  <c r="T555" i="37" s="1"/>
  <c r="V555" i="37" s="1"/>
  <c r="AI554" i="37"/>
  <c r="AI510" i="37"/>
  <c r="AJ510" i="37" s="1"/>
  <c r="T510" i="37" s="1"/>
  <c r="V510" i="37" s="1"/>
  <c r="AI509" i="37"/>
  <c r="AJ509" i="37" s="1"/>
  <c r="T509" i="37" s="1"/>
  <c r="V509" i="37" s="1"/>
  <c r="AI508" i="37"/>
  <c r="AJ508" i="37" s="1"/>
  <c r="T508" i="37" s="1"/>
  <c r="V508" i="37" s="1"/>
  <c r="AI507" i="37"/>
  <c r="AJ507" i="37" s="1"/>
  <c r="T507" i="37" s="1"/>
  <c r="V507" i="37" s="1"/>
  <c r="AI506" i="37"/>
  <c r="AK506" i="37" s="1"/>
  <c r="AL506" i="37" s="1"/>
  <c r="AI489" i="37"/>
  <c r="AJ489" i="37" s="1"/>
  <c r="T489" i="37" s="1"/>
  <c r="V489" i="37" s="1"/>
  <c r="AI487" i="37"/>
  <c r="AI486" i="37"/>
  <c r="AJ486" i="37" s="1"/>
  <c r="T486" i="37" s="1"/>
  <c r="V486" i="37" s="1"/>
  <c r="AI485" i="37"/>
  <c r="AK485" i="37" s="1"/>
  <c r="AL485" i="37" s="1"/>
  <c r="AI465" i="37"/>
  <c r="AI463" i="37"/>
  <c r="AJ463" i="37" s="1"/>
  <c r="T463" i="37" s="1"/>
  <c r="V463" i="37" s="1"/>
  <c r="AI459" i="37"/>
  <c r="AI458" i="37"/>
  <c r="AI444" i="37"/>
  <c r="AK444" i="37" s="1"/>
  <c r="AL444" i="37" s="1"/>
  <c r="AI437" i="37"/>
  <c r="AJ437" i="37" s="1"/>
  <c r="T437" i="37" s="1"/>
  <c r="V437" i="37" s="1"/>
  <c r="AI421" i="37"/>
  <c r="AI420" i="37"/>
  <c r="AJ420" i="37" s="1"/>
  <c r="T420" i="37" s="1"/>
  <c r="V420" i="37" s="1"/>
  <c r="AI419" i="37"/>
  <c r="AJ419" i="37" s="1"/>
  <c r="T419" i="37" s="1"/>
  <c r="V419" i="37" s="1"/>
  <c r="AI418" i="37"/>
  <c r="AJ418" i="37" s="1"/>
  <c r="T418" i="37" s="1"/>
  <c r="V418" i="37" s="1"/>
  <c r="AI417" i="37"/>
  <c r="AJ417" i="37" s="1"/>
  <c r="T417" i="37" s="1"/>
  <c r="V417" i="37" s="1"/>
  <c r="AI416" i="37"/>
  <c r="AJ416" i="37" s="1"/>
  <c r="T416" i="37" s="1"/>
  <c r="V416" i="37" s="1"/>
  <c r="AI415" i="37"/>
  <c r="AK415" i="37" s="1"/>
  <c r="AL415" i="37" s="1"/>
  <c r="AI414" i="37"/>
  <c r="AI413" i="37"/>
  <c r="AJ413" i="37" s="1"/>
  <c r="T413" i="37" s="1"/>
  <c r="V413" i="37" s="1"/>
  <c r="AI412" i="37"/>
  <c r="AI409" i="37"/>
  <c r="AJ409" i="37" s="1"/>
  <c r="T409" i="37" s="1"/>
  <c r="V409" i="37" s="1"/>
  <c r="AI376" i="37"/>
  <c r="AJ376" i="37" s="1"/>
  <c r="T376" i="37" s="1"/>
  <c r="V376" i="37" s="1"/>
  <c r="AI373" i="37"/>
  <c r="AI372" i="37"/>
  <c r="AI367" i="37"/>
  <c r="AJ367" i="37" s="1"/>
  <c r="T367" i="37" s="1"/>
  <c r="V367" i="37" s="1"/>
  <c r="AI363" i="37"/>
  <c r="AK363" i="37" s="1"/>
  <c r="AL363" i="37" s="1"/>
  <c r="AI347" i="37"/>
  <c r="AK347" i="37" s="1"/>
  <c r="AL347" i="37" s="1"/>
  <c r="AI341" i="37"/>
  <c r="AK341" i="37" s="1"/>
  <c r="AL341" i="37" s="1"/>
  <c r="AI285" i="37"/>
  <c r="AJ285" i="37" s="1"/>
  <c r="T285" i="37" s="1"/>
  <c r="V285" i="37" s="1"/>
  <c r="AI247" i="37"/>
  <c r="AI241" i="37" s="1"/>
  <c r="AI220" i="37"/>
  <c r="AJ220" i="37" s="1"/>
  <c r="T220" i="37" s="1"/>
  <c r="V220" i="37" s="1"/>
  <c r="AI208" i="37"/>
  <c r="AJ208" i="37" s="1"/>
  <c r="T208" i="37" s="1"/>
  <c r="V208" i="37" s="1"/>
  <c r="AI207" i="37"/>
  <c r="AJ207" i="37" s="1"/>
  <c r="T207" i="37" s="1"/>
  <c r="V207" i="37" s="1"/>
  <c r="AI204" i="37"/>
  <c r="AK204" i="37" s="1"/>
  <c r="AL204" i="37" s="1"/>
  <c r="AI203" i="37"/>
  <c r="AI192" i="37"/>
  <c r="AI158" i="37"/>
  <c r="AI157" i="37" s="1"/>
  <c r="AI154" i="37"/>
  <c r="AK154" i="37" s="1"/>
  <c r="AL154" i="37" s="1"/>
  <c r="AI153" i="37"/>
  <c r="AK153" i="37" s="1"/>
  <c r="AL153" i="37" s="1"/>
  <c r="AI146" i="37"/>
  <c r="AI121" i="37"/>
  <c r="AI115" i="37"/>
  <c r="AK115" i="37" s="1"/>
  <c r="AL115" i="37" s="1"/>
  <c r="AI106" i="37"/>
  <c r="AJ106" i="37" s="1"/>
  <c r="T106" i="37" s="1"/>
  <c r="V106" i="37" s="1"/>
  <c r="AI105" i="37"/>
  <c r="AJ105" i="37" s="1"/>
  <c r="T105" i="37" s="1"/>
  <c r="V105" i="37" s="1"/>
  <c r="AI98" i="37"/>
  <c r="AJ98" i="37" s="1"/>
  <c r="T98" i="37" s="1"/>
  <c r="V98" i="37" s="1"/>
  <c r="AI93" i="37"/>
  <c r="AI91" i="37"/>
  <c r="AJ91" i="37" s="1"/>
  <c r="T91" i="37" s="1"/>
  <c r="V91" i="37" s="1"/>
  <c r="AI90" i="37"/>
  <c r="AJ90" i="37" s="1"/>
  <c r="T90" i="37" s="1"/>
  <c r="V90" i="37" s="1"/>
  <c r="AI87" i="37"/>
  <c r="AI82" i="37"/>
  <c r="AI74" i="37"/>
  <c r="AI65" i="37"/>
  <c r="AK65" i="37" s="1"/>
  <c r="AL65" i="37" s="1"/>
  <c r="AI63" i="37"/>
  <c r="AI61" i="37"/>
  <c r="AJ61" i="37" s="1"/>
  <c r="T61" i="37" s="1"/>
  <c r="V61" i="37" s="1"/>
  <c r="AI53" i="37"/>
  <c r="AK53" i="37" s="1"/>
  <c r="AL53" i="37" s="1"/>
  <c r="AI52" i="37"/>
  <c r="AJ52" i="37" s="1"/>
  <c r="T52" i="37" s="1"/>
  <c r="V52" i="37" s="1"/>
  <c r="AI48" i="37"/>
  <c r="AJ48" i="37" s="1"/>
  <c r="T48" i="37" s="1"/>
  <c r="V48" i="37" s="1"/>
  <c r="AI47" i="37"/>
  <c r="AJ47" i="37" s="1"/>
  <c r="T47" i="37" s="1"/>
  <c r="V47" i="37" s="1"/>
  <c r="AI46" i="37"/>
  <c r="AI45" i="37"/>
  <c r="AI44" i="37"/>
  <c r="AJ44" i="37" s="1"/>
  <c r="T44" i="37" s="1"/>
  <c r="V44" i="37" s="1"/>
  <c r="AI43" i="37"/>
  <c r="AJ43" i="37" s="1"/>
  <c r="T43" i="37" s="1"/>
  <c r="V43" i="37" s="1"/>
  <c r="AI42" i="37"/>
  <c r="AJ42" i="37" s="1"/>
  <c r="T42" i="37" s="1"/>
  <c r="V42" i="37" s="1"/>
  <c r="AI41" i="37"/>
  <c r="AJ41" i="37" s="1"/>
  <c r="T41" i="37" s="1"/>
  <c r="V41" i="37" s="1"/>
  <c r="AI40" i="37"/>
  <c r="AJ15" i="37"/>
  <c r="T15" i="37" s="1"/>
  <c r="V15" i="37" s="1"/>
  <c r="A722" i="37"/>
  <c r="A718" i="37"/>
  <c r="A712" i="37"/>
  <c r="A709" i="37"/>
  <c r="P688" i="37"/>
  <c r="O688" i="37"/>
  <c r="AK687" i="37"/>
  <c r="AL687" i="37" s="1"/>
  <c r="AJ687" i="37"/>
  <c r="T687" i="37" s="1"/>
  <c r="V687" i="37" s="1"/>
  <c r="AK686" i="37"/>
  <c r="AL686" i="37" s="1"/>
  <c r="AJ686" i="37"/>
  <c r="T686" i="37" s="1"/>
  <c r="V686" i="37" s="1"/>
  <c r="AK685" i="37"/>
  <c r="AL685" i="37" s="1"/>
  <c r="AJ685" i="37"/>
  <c r="T685" i="37" s="1"/>
  <c r="V685" i="37" s="1"/>
  <c r="AK684" i="37"/>
  <c r="AL684" i="37" s="1"/>
  <c r="AJ684" i="37"/>
  <c r="T684" i="37" s="1"/>
  <c r="V684" i="37" s="1"/>
  <c r="AJ683" i="37"/>
  <c r="T683" i="37" s="1"/>
  <c r="V683" i="37" s="1"/>
  <c r="AK682" i="37"/>
  <c r="AL682" i="37" s="1"/>
  <c r="AJ682" i="37"/>
  <c r="T682" i="37" s="1"/>
  <c r="V682" i="37" s="1"/>
  <c r="AJ681" i="37"/>
  <c r="T681" i="37" s="1"/>
  <c r="V681" i="37" s="1"/>
  <c r="AH680" i="37"/>
  <c r="AH679" i="37" s="1"/>
  <c r="AG680" i="37"/>
  <c r="Q680" i="37"/>
  <c r="R686" i="37" s="1"/>
  <c r="AG679" i="37"/>
  <c r="AF679" i="37"/>
  <c r="AE679" i="37"/>
  <c r="AD679" i="37"/>
  <c r="AC679" i="37"/>
  <c r="AB679" i="37"/>
  <c r="AA679" i="37"/>
  <c r="Z679" i="37"/>
  <c r="Y679" i="37"/>
  <c r="X679" i="37"/>
  <c r="W679" i="37"/>
  <c r="P679" i="37"/>
  <c r="O679" i="37"/>
  <c r="AI678" i="37"/>
  <c r="AK678" i="37" s="1"/>
  <c r="AL678" i="37" s="1"/>
  <c r="AK677" i="37"/>
  <c r="AL677" i="37" s="1"/>
  <c r="AJ677" i="37"/>
  <c r="T677" i="37" s="1"/>
  <c r="V677" i="37" s="1"/>
  <c r="R674" i="37"/>
  <c r="AH673" i="37"/>
  <c r="AG673" i="37"/>
  <c r="Q673" i="37"/>
  <c r="R676" i="37" s="1"/>
  <c r="A673" i="37"/>
  <c r="A680" i="37" s="1"/>
  <c r="AK672" i="37"/>
  <c r="AL672" i="37" s="1"/>
  <c r="AJ672" i="37"/>
  <c r="T672" i="37" s="1"/>
  <c r="AK671" i="37"/>
  <c r="AL671" i="37" s="1"/>
  <c r="AJ671" i="37"/>
  <c r="T671" i="37" s="1"/>
  <c r="V671" i="37" s="1"/>
  <c r="AK670" i="37"/>
  <c r="AL670" i="37" s="1"/>
  <c r="AJ670" i="37"/>
  <c r="T670" i="37" s="1"/>
  <c r="V670" i="37" s="1"/>
  <c r="AK669" i="37"/>
  <c r="AL669" i="37" s="1"/>
  <c r="AJ669" i="37"/>
  <c r="T669" i="37" s="1"/>
  <c r="V669" i="37" s="1"/>
  <c r="AK668" i="37"/>
  <c r="AL668" i="37" s="1"/>
  <c r="AJ668" i="37"/>
  <c r="T668" i="37" s="1"/>
  <c r="V668" i="37" s="1"/>
  <c r="AK667" i="37"/>
  <c r="AL667" i="37" s="1"/>
  <c r="AJ667" i="37"/>
  <c r="T667" i="37" s="1"/>
  <c r="V667" i="37" s="1"/>
  <c r="AK666" i="37"/>
  <c r="AL666" i="37" s="1"/>
  <c r="AJ666" i="37"/>
  <c r="T666" i="37" s="1"/>
  <c r="AK665" i="37"/>
  <c r="AL665" i="37" s="1"/>
  <c r="AJ665" i="37"/>
  <c r="T665" i="37" s="1"/>
  <c r="V665" i="37" s="1"/>
  <c r="AK664" i="37"/>
  <c r="AL664" i="37" s="1"/>
  <c r="AJ664" i="37"/>
  <c r="T664" i="37" s="1"/>
  <c r="V664" i="37" s="1"/>
  <c r="AK663" i="37"/>
  <c r="AL663" i="37" s="1"/>
  <c r="AJ663" i="37"/>
  <c r="T663" i="37" s="1"/>
  <c r="V663" i="37" s="1"/>
  <c r="AK662" i="37"/>
  <c r="AL662" i="37" s="1"/>
  <c r="AJ662" i="37"/>
  <c r="T662" i="37" s="1"/>
  <c r="AK661" i="37"/>
  <c r="AL661" i="37" s="1"/>
  <c r="AJ661" i="37"/>
  <c r="T661" i="37"/>
  <c r="V661" i="37" s="1"/>
  <c r="AK660" i="37"/>
  <c r="AL660" i="37" s="1"/>
  <c r="AJ660" i="37"/>
  <c r="T660" i="37" s="1"/>
  <c r="V660" i="37" s="1"/>
  <c r="AI659" i="37"/>
  <c r="Q659" i="37"/>
  <c r="R669" i="37" s="1"/>
  <c r="AK658" i="37"/>
  <c r="AL658" i="37" s="1"/>
  <c r="AJ658" i="37"/>
  <c r="T658" i="37" s="1"/>
  <c r="V658" i="37" s="1"/>
  <c r="AK657" i="37"/>
  <c r="AL657" i="37" s="1"/>
  <c r="AJ657" i="37"/>
  <c r="T657" i="37" s="1"/>
  <c r="V657" i="37" s="1"/>
  <c r="AL656" i="37"/>
  <c r="AK656" i="37"/>
  <c r="AJ656" i="37"/>
  <c r="T656" i="37" s="1"/>
  <c r="V656" i="37"/>
  <c r="AL655" i="37"/>
  <c r="AK655" i="37"/>
  <c r="AJ655" i="37"/>
  <c r="T655" i="37"/>
  <c r="V655" i="37" s="1"/>
  <c r="AK654" i="37"/>
  <c r="AL654" i="37" s="1"/>
  <c r="AJ654" i="37"/>
  <c r="T654" i="37" s="1"/>
  <c r="V654" i="37" s="1"/>
  <c r="AK653" i="37"/>
  <c r="AL653" i="37" s="1"/>
  <c r="AJ653" i="37"/>
  <c r="T653" i="37" s="1"/>
  <c r="V653" i="37" s="1"/>
  <c r="AK652" i="37"/>
  <c r="AL652" i="37" s="1"/>
  <c r="AJ652" i="37"/>
  <c r="T652" i="37" s="1"/>
  <c r="V652" i="37" s="1"/>
  <c r="AK651" i="37"/>
  <c r="AL651" i="37" s="1"/>
  <c r="AJ651" i="37"/>
  <c r="T651" i="37" s="1"/>
  <c r="V651" i="37" s="1"/>
  <c r="AK650" i="37"/>
  <c r="AL650" i="37" s="1"/>
  <c r="AJ650" i="37"/>
  <c r="T650" i="37"/>
  <c r="V650" i="37" s="1"/>
  <c r="AK649" i="37"/>
  <c r="AL649" i="37" s="1"/>
  <c r="AJ649" i="37"/>
  <c r="T649" i="37" s="1"/>
  <c r="V649" i="37" s="1"/>
  <c r="AK648" i="37"/>
  <c r="AL648" i="37" s="1"/>
  <c r="AJ648" i="37"/>
  <c r="T648" i="37" s="1"/>
  <c r="V648" i="37" s="1"/>
  <c r="AK647" i="37"/>
  <c r="AL647" i="37" s="1"/>
  <c r="AJ647" i="37"/>
  <c r="T647" i="37" s="1"/>
  <c r="V647" i="37" s="1"/>
  <c r="AK646" i="37"/>
  <c r="AL646" i="37" s="1"/>
  <c r="AJ646" i="37"/>
  <c r="T646" i="37" s="1"/>
  <c r="V646" i="37" s="1"/>
  <c r="AK645" i="37"/>
  <c r="AL645" i="37" s="1"/>
  <c r="AJ645" i="37"/>
  <c r="T645" i="37" s="1"/>
  <c r="V645" i="37" s="1"/>
  <c r="AI644" i="37"/>
  <c r="Q644" i="37"/>
  <c r="R656" i="37" s="1"/>
  <c r="U656" i="37" s="1"/>
  <c r="AI643" i="37"/>
  <c r="AK643" i="37" s="1"/>
  <c r="AL643" i="37" s="1"/>
  <c r="AK642" i="37"/>
  <c r="AL642" i="37" s="1"/>
  <c r="AJ642" i="37"/>
  <c r="T642" i="37" s="1"/>
  <c r="V642" i="37" s="1"/>
  <c r="AI641" i="37"/>
  <c r="AI640" i="37"/>
  <c r="AI639" i="37"/>
  <c r="AK638" i="37"/>
  <c r="AL638" i="37" s="1"/>
  <c r="AJ638" i="37"/>
  <c r="T638" i="37" s="1"/>
  <c r="V638" i="37" s="1"/>
  <c r="Q637" i="37"/>
  <c r="R642" i="37" s="1"/>
  <c r="AK636" i="37"/>
  <c r="AL636" i="37" s="1"/>
  <c r="AJ636" i="37"/>
  <c r="T636" i="37" s="1"/>
  <c r="AK635" i="37"/>
  <c r="AL635" i="37" s="1"/>
  <c r="AJ635" i="37"/>
  <c r="T635" i="37" s="1"/>
  <c r="V635" i="37" s="1"/>
  <c r="AK634" i="37"/>
  <c r="AL634" i="37" s="1"/>
  <c r="AJ634" i="37"/>
  <c r="T634" i="37" s="1"/>
  <c r="V634" i="37" s="1"/>
  <c r="AK633" i="37"/>
  <c r="AL633" i="37" s="1"/>
  <c r="AJ633" i="37"/>
  <c r="T633" i="37" s="1"/>
  <c r="V633" i="37" s="1"/>
  <c r="AK632" i="37"/>
  <c r="AL632" i="37" s="1"/>
  <c r="AJ632" i="37"/>
  <c r="T632" i="37" s="1"/>
  <c r="V632" i="37" s="1"/>
  <c r="AK631" i="37"/>
  <c r="AL631" i="37" s="1"/>
  <c r="AJ631" i="37"/>
  <c r="T631" i="37" s="1"/>
  <c r="V631" i="37" s="1"/>
  <c r="AK630" i="37"/>
  <c r="AL630" i="37" s="1"/>
  <c r="AJ630" i="37"/>
  <c r="T630" i="37" s="1"/>
  <c r="V630" i="37" s="1"/>
  <c r="AK629" i="37"/>
  <c r="AL629" i="37" s="1"/>
  <c r="AJ629" i="37"/>
  <c r="T629" i="37" s="1"/>
  <c r="V629" i="37" s="1"/>
  <c r="AK628" i="37"/>
  <c r="AL628" i="37" s="1"/>
  <c r="AJ628" i="37"/>
  <c r="T628" i="37" s="1"/>
  <c r="V628" i="37" s="1"/>
  <c r="AI627" i="37"/>
  <c r="Q627" i="37"/>
  <c r="R633" i="37" s="1"/>
  <c r="U633" i="37" s="1"/>
  <c r="AK626" i="37"/>
  <c r="AL626" i="37" s="1"/>
  <c r="AJ626" i="37"/>
  <c r="T626" i="37" s="1"/>
  <c r="V626" i="37" s="1"/>
  <c r="AK625" i="37"/>
  <c r="AL625" i="37" s="1"/>
  <c r="AJ625" i="37"/>
  <c r="T625" i="37" s="1"/>
  <c r="V625" i="37" s="1"/>
  <c r="AK624" i="37"/>
  <c r="AL624" i="37" s="1"/>
  <c r="AJ624" i="37"/>
  <c r="T624" i="37" s="1"/>
  <c r="V624" i="37" s="1"/>
  <c r="AJ623" i="37"/>
  <c r="T623" i="37" s="1"/>
  <c r="V623" i="37" s="1"/>
  <c r="AK621" i="37"/>
  <c r="AL621" i="37" s="1"/>
  <c r="AJ621" i="37"/>
  <c r="T621" i="37" s="1"/>
  <c r="V621" i="37" s="1"/>
  <c r="AK620" i="37"/>
  <c r="AL620" i="37" s="1"/>
  <c r="AK619" i="37"/>
  <c r="AL619" i="37" s="1"/>
  <c r="AJ619" i="37"/>
  <c r="T619" i="37" s="1"/>
  <c r="V619" i="37" s="1"/>
  <c r="Q618" i="37"/>
  <c r="R625" i="37" s="1"/>
  <c r="U625" i="37" s="1"/>
  <c r="AK617" i="37"/>
  <c r="AL617" i="37" s="1"/>
  <c r="AJ617" i="37"/>
  <c r="T617" i="37" s="1"/>
  <c r="V617" i="37" s="1"/>
  <c r="AK616" i="37"/>
  <c r="AL616" i="37" s="1"/>
  <c r="AJ616" i="37"/>
  <c r="T616" i="37" s="1"/>
  <c r="V616" i="37" s="1"/>
  <c r="AI615" i="37"/>
  <c r="AK614" i="37"/>
  <c r="AL614" i="37" s="1"/>
  <c r="AJ614" i="37"/>
  <c r="T614" i="37" s="1"/>
  <c r="V614" i="37" s="1"/>
  <c r="AK613" i="37"/>
  <c r="AL613" i="37" s="1"/>
  <c r="AJ613" i="37"/>
  <c r="T613" i="37" s="1"/>
  <c r="V613" i="37" s="1"/>
  <c r="AK612" i="37"/>
  <c r="AL612" i="37" s="1"/>
  <c r="AJ612" i="37"/>
  <c r="T612" i="37" s="1"/>
  <c r="V612" i="37" s="1"/>
  <c r="AI611" i="37"/>
  <c r="AJ611" i="37" s="1"/>
  <c r="T611" i="37" s="1"/>
  <c r="V611" i="37" s="1"/>
  <c r="AK610" i="37"/>
  <c r="AL610" i="37" s="1"/>
  <c r="AJ610" i="37"/>
  <c r="T610" i="37" s="1"/>
  <c r="V610" i="37" s="1"/>
  <c r="AK609" i="37"/>
  <c r="AL609" i="37" s="1"/>
  <c r="AJ609" i="37"/>
  <c r="T609" i="37" s="1"/>
  <c r="V609" i="37" s="1"/>
  <c r="Q608" i="37"/>
  <c r="R612" i="37" s="1"/>
  <c r="AK607" i="37"/>
  <c r="AL607" i="37" s="1"/>
  <c r="AJ607" i="37"/>
  <c r="T607" i="37" s="1"/>
  <c r="V607" i="37" s="1"/>
  <c r="AK606" i="37"/>
  <c r="AL606" i="37" s="1"/>
  <c r="AJ606" i="37"/>
  <c r="T606" i="37" s="1"/>
  <c r="V606" i="37" s="1"/>
  <c r="AK605" i="37"/>
  <c r="AL605" i="37" s="1"/>
  <c r="AJ605" i="37"/>
  <c r="T605" i="37" s="1"/>
  <c r="V605" i="37" s="1"/>
  <c r="AK604" i="37"/>
  <c r="AL604" i="37" s="1"/>
  <c r="AJ604" i="37"/>
  <c r="T604" i="37" s="1"/>
  <c r="V604" i="37" s="1"/>
  <c r="AK603" i="37"/>
  <c r="AL603" i="37" s="1"/>
  <c r="AJ603" i="37"/>
  <c r="T603" i="37" s="1"/>
  <c r="V603" i="37" s="1"/>
  <c r="AK602" i="37"/>
  <c r="AL602" i="37" s="1"/>
  <c r="AJ602" i="37"/>
  <c r="T602" i="37" s="1"/>
  <c r="V602" i="37" s="1"/>
  <c r="AK601" i="37"/>
  <c r="AL601" i="37" s="1"/>
  <c r="AJ601" i="37"/>
  <c r="T601" i="37" s="1"/>
  <c r="V601" i="37" s="1"/>
  <c r="AK600" i="37"/>
  <c r="AL600" i="37" s="1"/>
  <c r="AJ600" i="37"/>
  <c r="T600" i="37" s="1"/>
  <c r="V600" i="37" s="1"/>
  <c r="AK599" i="37"/>
  <c r="AL599" i="37" s="1"/>
  <c r="AJ599" i="37"/>
  <c r="T599" i="37" s="1"/>
  <c r="V599" i="37" s="1"/>
  <c r="AK598" i="37"/>
  <c r="AL598" i="37" s="1"/>
  <c r="AJ598" i="37"/>
  <c r="T598" i="37" s="1"/>
  <c r="V598" i="37" s="1"/>
  <c r="AK597" i="37"/>
  <c r="AL597" i="37" s="1"/>
  <c r="AJ597" i="37"/>
  <c r="T597" i="37" s="1"/>
  <c r="V597" i="37" s="1"/>
  <c r="AK596" i="37"/>
  <c r="AL596" i="37" s="1"/>
  <c r="AJ596" i="37"/>
  <c r="T596" i="37" s="1"/>
  <c r="V596" i="37" s="1"/>
  <c r="AK595" i="37"/>
  <c r="AL595" i="37" s="1"/>
  <c r="AJ595" i="37"/>
  <c r="T595" i="37" s="1"/>
  <c r="V595" i="37" s="1"/>
  <c r="AI594" i="37"/>
  <c r="Q594" i="37"/>
  <c r="R604" i="37" s="1"/>
  <c r="AI593" i="37"/>
  <c r="AJ593" i="37" s="1"/>
  <c r="T593" i="37" s="1"/>
  <c r="AK592" i="37"/>
  <c r="AL592" i="37" s="1"/>
  <c r="AJ592" i="37"/>
  <c r="T592" i="37" s="1"/>
  <c r="AI591" i="37"/>
  <c r="AJ591" i="37" s="1"/>
  <c r="T591" i="37" s="1"/>
  <c r="V591" i="37" s="1"/>
  <c r="AK590" i="37"/>
  <c r="AL590" i="37" s="1"/>
  <c r="AJ590" i="37"/>
  <c r="T590" i="37" s="1"/>
  <c r="V590" i="37" s="1"/>
  <c r="AK589" i="37"/>
  <c r="AL589" i="37" s="1"/>
  <c r="AJ589" i="37"/>
  <c r="T589" i="37" s="1"/>
  <c r="V589" i="37" s="1"/>
  <c r="AK588" i="37"/>
  <c r="AL588" i="37" s="1"/>
  <c r="AJ588" i="37"/>
  <c r="T588" i="37" s="1"/>
  <c r="V588" i="37" s="1"/>
  <c r="AK587" i="37"/>
  <c r="AL587" i="37" s="1"/>
  <c r="AJ587" i="37"/>
  <c r="T587" i="37" s="1"/>
  <c r="V587" i="37" s="1"/>
  <c r="AK586" i="37"/>
  <c r="AL586" i="37" s="1"/>
  <c r="AJ586" i="37"/>
  <c r="T586" i="37" s="1"/>
  <c r="V586" i="37" s="1"/>
  <c r="Q585" i="37"/>
  <c r="R592" i="37" s="1"/>
  <c r="AK584" i="37"/>
  <c r="AL584" i="37" s="1"/>
  <c r="AJ584" i="37"/>
  <c r="T584" i="37" s="1"/>
  <c r="AK583" i="37"/>
  <c r="AL583" i="37" s="1"/>
  <c r="AJ583" i="37"/>
  <c r="T583" i="37" s="1"/>
  <c r="V583" i="37" s="1"/>
  <c r="AK582" i="37"/>
  <c r="AL582" i="37" s="1"/>
  <c r="AJ582" i="37"/>
  <c r="T582" i="37" s="1"/>
  <c r="V582" i="37" s="1"/>
  <c r="AK581" i="37"/>
  <c r="AL581" i="37" s="1"/>
  <c r="AJ581" i="37"/>
  <c r="T581" i="37" s="1"/>
  <c r="V581" i="37" s="1"/>
  <c r="AK580" i="37"/>
  <c r="AL580" i="37" s="1"/>
  <c r="AJ580" i="37"/>
  <c r="T580" i="37" s="1"/>
  <c r="V580" i="37" s="1"/>
  <c r="AK579" i="37"/>
  <c r="AL579" i="37" s="1"/>
  <c r="AJ579" i="37"/>
  <c r="T579" i="37" s="1"/>
  <c r="AK578" i="37"/>
  <c r="AL578" i="37" s="1"/>
  <c r="AJ578" i="37"/>
  <c r="T578" i="37" s="1"/>
  <c r="V578" i="37" s="1"/>
  <c r="AK577" i="37"/>
  <c r="AL577" i="37" s="1"/>
  <c r="AJ577" i="37"/>
  <c r="T577" i="37" s="1"/>
  <c r="V577" i="37" s="1"/>
  <c r="AK576" i="37"/>
  <c r="AL576" i="37" s="1"/>
  <c r="AJ576" i="37"/>
  <c r="T576" i="37" s="1"/>
  <c r="V576" i="37" s="1"/>
  <c r="AK575" i="37"/>
  <c r="AL575" i="37" s="1"/>
  <c r="AJ575" i="37"/>
  <c r="T575" i="37" s="1"/>
  <c r="V575" i="37" s="1"/>
  <c r="AK574" i="37"/>
  <c r="AL574" i="37" s="1"/>
  <c r="AJ574" i="37"/>
  <c r="T574" i="37" s="1"/>
  <c r="V574" i="37" s="1"/>
  <c r="AK573" i="37"/>
  <c r="AL573" i="37" s="1"/>
  <c r="AJ573" i="37"/>
  <c r="T573" i="37" s="1"/>
  <c r="V573" i="37" s="1"/>
  <c r="AI572" i="37"/>
  <c r="Q572" i="37"/>
  <c r="R581" i="37" s="1"/>
  <c r="U581" i="37" s="1"/>
  <c r="AK563" i="37"/>
  <c r="AL563" i="37" s="1"/>
  <c r="Q562" i="37"/>
  <c r="AJ560" i="37"/>
  <c r="T560" i="37" s="1"/>
  <c r="V560" i="37" s="1"/>
  <c r="AK559" i="37"/>
  <c r="AL559" i="37" s="1"/>
  <c r="AK558" i="37"/>
  <c r="AL558" i="37" s="1"/>
  <c r="AJ558" i="37"/>
  <c r="T558" i="37" s="1"/>
  <c r="AK557" i="37"/>
  <c r="AL557" i="37" s="1"/>
  <c r="AJ557" i="37"/>
  <c r="T557" i="37" s="1"/>
  <c r="V557" i="37" s="1"/>
  <c r="AK554" i="37"/>
  <c r="AL554" i="37" s="1"/>
  <c r="Q553" i="37"/>
  <c r="R558" i="37" s="1"/>
  <c r="U558" i="37" s="1"/>
  <c r="AK552" i="37"/>
  <c r="AL552" i="37" s="1"/>
  <c r="AJ552" i="37"/>
  <c r="T552" i="37" s="1"/>
  <c r="V552" i="37" s="1"/>
  <c r="AK551" i="37"/>
  <c r="AJ551" i="37"/>
  <c r="T551" i="37" s="1"/>
  <c r="AK550" i="37"/>
  <c r="AL550" i="37" s="1"/>
  <c r="AJ550" i="37"/>
  <c r="T550" i="37" s="1"/>
  <c r="V550" i="37" s="1"/>
  <c r="AK549" i="37"/>
  <c r="AL549" i="37" s="1"/>
  <c r="AJ549" i="37"/>
  <c r="T549" i="37" s="1"/>
  <c r="V549" i="37" s="1"/>
  <c r="AK548" i="37"/>
  <c r="AL548" i="37" s="1"/>
  <c r="AJ548" i="37"/>
  <c r="T548" i="37" s="1"/>
  <c r="V548" i="37" s="1"/>
  <c r="AK547" i="37"/>
  <c r="AL547" i="37" s="1"/>
  <c r="AJ547" i="37"/>
  <c r="T547" i="37" s="1"/>
  <c r="V547" i="37" s="1"/>
  <c r="AK546" i="37"/>
  <c r="AL546" i="37" s="1"/>
  <c r="AJ546" i="37"/>
  <c r="T546" i="37" s="1"/>
  <c r="V546" i="37" s="1"/>
  <c r="AK545" i="37"/>
  <c r="AL545" i="37" s="1"/>
  <c r="AJ545" i="37"/>
  <c r="T545" i="37" s="1"/>
  <c r="V545" i="37" s="1"/>
  <c r="AL544" i="37"/>
  <c r="AK544" i="37"/>
  <c r="AJ544" i="37"/>
  <c r="T544" i="37" s="1"/>
  <c r="V544" i="37" s="1"/>
  <c r="AK543" i="37"/>
  <c r="AL543" i="37" s="1"/>
  <c r="AJ543" i="37"/>
  <c r="T543" i="37" s="1"/>
  <c r="V543" i="37" s="1"/>
  <c r="AI542" i="37"/>
  <c r="AH542" i="37"/>
  <c r="AG542" i="37"/>
  <c r="Q542" i="37"/>
  <c r="R549" i="37" s="1"/>
  <c r="U549" i="37" s="1"/>
  <c r="AK541" i="37"/>
  <c r="AL541" i="37" s="1"/>
  <c r="AJ541" i="37"/>
  <c r="T541" i="37" s="1"/>
  <c r="V541" i="37" s="1"/>
  <c r="AL540" i="37"/>
  <c r="AK540" i="37"/>
  <c r="AJ540" i="37"/>
  <c r="T540" i="37" s="1"/>
  <c r="V540" i="37" s="1"/>
  <c r="AK539" i="37"/>
  <c r="AL539" i="37" s="1"/>
  <c r="AJ539" i="37"/>
  <c r="T539" i="37" s="1"/>
  <c r="V539" i="37" s="1"/>
  <c r="AI538" i="37"/>
  <c r="AJ538" i="37" s="1"/>
  <c r="T538" i="37" s="1"/>
  <c r="V538" i="37" s="1"/>
  <c r="AJ537" i="37"/>
  <c r="T537" i="37" s="1"/>
  <c r="V537" i="37" s="1"/>
  <c r="AI537" i="37"/>
  <c r="AK537" i="37" s="1"/>
  <c r="AL537" i="37" s="1"/>
  <c r="AK536" i="37"/>
  <c r="AL536" i="37" s="1"/>
  <c r="AJ536" i="37"/>
  <c r="T536" i="37" s="1"/>
  <c r="V536" i="37" s="1"/>
  <c r="AK535" i="37"/>
  <c r="AL535" i="37" s="1"/>
  <c r="AJ535" i="37"/>
  <c r="T535" i="37" s="1"/>
  <c r="V535" i="37" s="1"/>
  <c r="AK534" i="37"/>
  <c r="AL534" i="37" s="1"/>
  <c r="AJ534" i="37"/>
  <c r="T534" i="37" s="1"/>
  <c r="V534" i="37" s="1"/>
  <c r="AL533" i="37"/>
  <c r="AK533" i="37"/>
  <c r="AJ533" i="37"/>
  <c r="T533" i="37" s="1"/>
  <c r="V533" i="37" s="1"/>
  <c r="AK532" i="37"/>
  <c r="AL532" i="37" s="1"/>
  <c r="AJ532" i="37"/>
  <c r="T532" i="37" s="1"/>
  <c r="V532" i="37" s="1"/>
  <c r="AK531" i="37"/>
  <c r="AL531" i="37" s="1"/>
  <c r="AJ531" i="37"/>
  <c r="T531" i="37"/>
  <c r="V531" i="37" s="1"/>
  <c r="AI530" i="37"/>
  <c r="AH530" i="37"/>
  <c r="AG530" i="37"/>
  <c r="Q530" i="37"/>
  <c r="AL529" i="37"/>
  <c r="AK529" i="37"/>
  <c r="AJ529" i="37"/>
  <c r="T529" i="37" s="1"/>
  <c r="V529" i="37" s="1"/>
  <c r="AL528" i="37"/>
  <c r="AK528" i="37"/>
  <c r="AJ528" i="37"/>
  <c r="T528" i="37"/>
  <c r="V528" i="37" s="1"/>
  <c r="AK527" i="37"/>
  <c r="AL527" i="37" s="1"/>
  <c r="AJ527" i="37"/>
  <c r="T527" i="37" s="1"/>
  <c r="V527" i="37" s="1"/>
  <c r="AK526" i="37"/>
  <c r="AL526" i="37" s="1"/>
  <c r="AJ526" i="37"/>
  <c r="T526" i="37" s="1"/>
  <c r="V526" i="37" s="1"/>
  <c r="AK525" i="37"/>
  <c r="AL525" i="37" s="1"/>
  <c r="AJ525" i="37"/>
  <c r="T525" i="37" s="1"/>
  <c r="V525" i="37" s="1"/>
  <c r="AK524" i="37"/>
  <c r="AL524" i="37" s="1"/>
  <c r="AJ524" i="37"/>
  <c r="T524" i="37" s="1"/>
  <c r="V524" i="37" s="1"/>
  <c r="AI523" i="37"/>
  <c r="AH523" i="37"/>
  <c r="AG523" i="37"/>
  <c r="Q523" i="37"/>
  <c r="R528" i="37" s="1"/>
  <c r="AK522" i="37"/>
  <c r="AL522" i="37" s="1"/>
  <c r="AJ522" i="37"/>
  <c r="T522" i="37" s="1"/>
  <c r="V522" i="37" s="1"/>
  <c r="AI521" i="37"/>
  <c r="AJ521" i="37" s="1"/>
  <c r="T521" i="37" s="1"/>
  <c r="V521" i="37" s="1"/>
  <c r="AK520" i="37"/>
  <c r="AL520" i="37" s="1"/>
  <c r="AJ520" i="37"/>
  <c r="T520" i="37" s="1"/>
  <c r="V520" i="37" s="1"/>
  <c r="AK519" i="37"/>
  <c r="AL519" i="37" s="1"/>
  <c r="AJ519" i="37"/>
  <c r="T519" i="37" s="1"/>
  <c r="V519" i="37" s="1"/>
  <c r="AL518" i="37"/>
  <c r="AK518" i="37"/>
  <c r="AJ518" i="37"/>
  <c r="T518" i="37" s="1"/>
  <c r="V518" i="37" s="1"/>
  <c r="AK517" i="37"/>
  <c r="AL517" i="37" s="1"/>
  <c r="AI517" i="37"/>
  <c r="AJ517" i="37" s="1"/>
  <c r="T517" i="37" s="1"/>
  <c r="V517" i="37" s="1"/>
  <c r="AI516" i="37"/>
  <c r="AJ516" i="37" s="1"/>
  <c r="T516" i="37" s="1"/>
  <c r="V516" i="37" s="1"/>
  <c r="AK515" i="37"/>
  <c r="AL515" i="37" s="1"/>
  <c r="AJ515" i="37"/>
  <c r="T515" i="37" s="1"/>
  <c r="V515" i="37" s="1"/>
  <c r="AK514" i="37"/>
  <c r="AL514" i="37" s="1"/>
  <c r="AJ514" i="37"/>
  <c r="T514" i="37" s="1"/>
  <c r="V514" i="37" s="1"/>
  <c r="AI513" i="37"/>
  <c r="AK512" i="37"/>
  <c r="AJ512" i="37"/>
  <c r="T512" i="37" s="1"/>
  <c r="V512" i="37" s="1"/>
  <c r="AH511" i="37"/>
  <c r="AG511" i="37"/>
  <c r="Q511" i="37"/>
  <c r="R518" i="37" s="1"/>
  <c r="U518" i="37" s="1"/>
  <c r="AJ506" i="37"/>
  <c r="T506" i="37" s="1"/>
  <c r="V506" i="37" s="1"/>
  <c r="AK505" i="37"/>
  <c r="AL505" i="37" s="1"/>
  <c r="AJ505" i="37"/>
  <c r="T505" i="37" s="1"/>
  <c r="V505" i="37" s="1"/>
  <c r="AH504" i="37"/>
  <c r="AG504" i="37"/>
  <c r="Q504" i="37"/>
  <c r="AK503" i="37"/>
  <c r="AL503" i="37" s="1"/>
  <c r="AJ503" i="37"/>
  <c r="T503" i="37" s="1"/>
  <c r="V503" i="37" s="1"/>
  <c r="AK502" i="37"/>
  <c r="AL502" i="37" s="1"/>
  <c r="AJ502" i="37"/>
  <c r="T502" i="37" s="1"/>
  <c r="V502" i="37" s="1"/>
  <c r="AK501" i="37"/>
  <c r="AL501" i="37" s="1"/>
  <c r="AJ501" i="37"/>
  <c r="T501" i="37" s="1"/>
  <c r="V501" i="37" s="1"/>
  <c r="AK500" i="37"/>
  <c r="AL500" i="37" s="1"/>
  <c r="AJ500" i="37"/>
  <c r="T500" i="37" s="1"/>
  <c r="V500" i="37" s="1"/>
  <c r="AK499" i="37"/>
  <c r="AL499" i="37" s="1"/>
  <c r="AJ499" i="37"/>
  <c r="T499" i="37" s="1"/>
  <c r="V499" i="37" s="1"/>
  <c r="AK498" i="37"/>
  <c r="AL498" i="37" s="1"/>
  <c r="AJ498" i="37"/>
  <c r="T498" i="37" s="1"/>
  <c r="V498" i="37" s="1"/>
  <c r="AK497" i="37"/>
  <c r="AL497" i="37" s="1"/>
  <c r="AJ497" i="37"/>
  <c r="T497" i="37" s="1"/>
  <c r="V497" i="37" s="1"/>
  <c r="AK496" i="37"/>
  <c r="AL496" i="37" s="1"/>
  <c r="AJ496" i="37"/>
  <c r="T496" i="37" s="1"/>
  <c r="V496" i="37" s="1"/>
  <c r="AI495" i="37"/>
  <c r="AH495" i="37"/>
  <c r="AG495" i="37"/>
  <c r="Q495" i="37"/>
  <c r="A495" i="37"/>
  <c r="A504" i="37" s="1"/>
  <c r="A511" i="37" s="1"/>
  <c r="A523" i="37" s="1"/>
  <c r="A530" i="37" s="1"/>
  <c r="A542" i="37" s="1"/>
  <c r="A553" i="37" s="1"/>
  <c r="A562" i="37" s="1"/>
  <c r="A572" i="37" s="1"/>
  <c r="A585" i="37" s="1"/>
  <c r="A594" i="37" s="1"/>
  <c r="A608" i="37" s="1"/>
  <c r="A618" i="37" s="1"/>
  <c r="A627" i="37" s="1"/>
  <c r="A637" i="37" s="1"/>
  <c r="AK494" i="37"/>
  <c r="AL494" i="37" s="1"/>
  <c r="AJ494" i="37"/>
  <c r="T494" i="37" s="1"/>
  <c r="V494" i="37" s="1"/>
  <c r="AK493" i="37"/>
  <c r="AL493" i="37" s="1"/>
  <c r="AJ493" i="37"/>
  <c r="T493" i="37" s="1"/>
  <c r="V493" i="37" s="1"/>
  <c r="AK492" i="37"/>
  <c r="AL492" i="37" s="1"/>
  <c r="AJ492" i="37"/>
  <c r="T492" i="37" s="1"/>
  <c r="V492" i="37" s="1"/>
  <c r="AK491" i="37"/>
  <c r="AL491" i="37" s="1"/>
  <c r="AJ491" i="37"/>
  <c r="T491" i="37" s="1"/>
  <c r="V491" i="37" s="1"/>
  <c r="AJ490" i="37"/>
  <c r="T490" i="37" s="1"/>
  <c r="V490" i="37" s="1"/>
  <c r="AI490" i="37"/>
  <c r="Q490" i="37"/>
  <c r="R493" i="37" s="1"/>
  <c r="AK488" i="37"/>
  <c r="AL488" i="37" s="1"/>
  <c r="AJ488" i="37"/>
  <c r="T488" i="37" s="1"/>
  <c r="V488" i="37" s="1"/>
  <c r="AK484" i="37"/>
  <c r="AL484" i="37" s="1"/>
  <c r="AJ484" i="37"/>
  <c r="T484" i="37" s="1"/>
  <c r="V484" i="37" s="1"/>
  <c r="AH483" i="37"/>
  <c r="AG483" i="37"/>
  <c r="AF483" i="37"/>
  <c r="AE483" i="37"/>
  <c r="AD483" i="37"/>
  <c r="AC483" i="37"/>
  <c r="AA483" i="37"/>
  <c r="Z483" i="37"/>
  <c r="Y483" i="37"/>
  <c r="X483" i="37"/>
  <c r="Q483" i="37"/>
  <c r="R489" i="37" s="1"/>
  <c r="P483" i="37"/>
  <c r="AK482" i="37"/>
  <c r="AL482" i="37" s="1"/>
  <c r="AJ482" i="37"/>
  <c r="T482" i="37" s="1"/>
  <c r="V482" i="37" s="1"/>
  <c r="AK481" i="37"/>
  <c r="AL481" i="37" s="1"/>
  <c r="AJ481" i="37"/>
  <c r="T481" i="37" s="1"/>
  <c r="V481" i="37" s="1"/>
  <c r="AK480" i="37"/>
  <c r="AL480" i="37" s="1"/>
  <c r="AJ480" i="37"/>
  <c r="T480" i="37" s="1"/>
  <c r="V480" i="37" s="1"/>
  <c r="AK479" i="37"/>
  <c r="AL479" i="37" s="1"/>
  <c r="AJ479" i="37"/>
  <c r="T479" i="37" s="1"/>
  <c r="V479" i="37" s="1"/>
  <c r="AK478" i="37"/>
  <c r="AL478" i="37" s="1"/>
  <c r="AJ478" i="37"/>
  <c r="T478" i="37" s="1"/>
  <c r="V478" i="37" s="1"/>
  <c r="AL477" i="37"/>
  <c r="AK477" i="37"/>
  <c r="AJ477" i="37"/>
  <c r="T477" i="37" s="1"/>
  <c r="V477" i="37" s="1"/>
  <c r="AI476" i="37"/>
  <c r="AH476" i="37"/>
  <c r="AG476" i="37"/>
  <c r="AF476" i="37"/>
  <c r="AE476" i="37"/>
  <c r="AD476" i="37"/>
  <c r="AC476" i="37"/>
  <c r="AA476" i="37"/>
  <c r="Z476" i="37"/>
  <c r="Y476" i="37"/>
  <c r="X476" i="37"/>
  <c r="Q476" i="37"/>
  <c r="R480" i="37" s="1"/>
  <c r="P476" i="37"/>
  <c r="AK475" i="37"/>
  <c r="AL475" i="37" s="1"/>
  <c r="AJ475" i="37"/>
  <c r="T475" i="37"/>
  <c r="V475" i="37" s="1"/>
  <c r="AK474" i="37"/>
  <c r="AL474" i="37" s="1"/>
  <c r="AJ474" i="37"/>
  <c r="T474" i="37" s="1"/>
  <c r="V474" i="37" s="1"/>
  <c r="AK473" i="37"/>
  <c r="AL473" i="37" s="1"/>
  <c r="AJ473" i="37"/>
  <c r="T473" i="37" s="1"/>
  <c r="V473" i="37" s="1"/>
  <c r="AK472" i="37"/>
  <c r="AL472" i="37" s="1"/>
  <c r="AJ472" i="37"/>
  <c r="T472" i="37" s="1"/>
  <c r="V472" i="37" s="1"/>
  <c r="AK471" i="37"/>
  <c r="AL471" i="37" s="1"/>
  <c r="AJ471" i="37"/>
  <c r="T471" i="37" s="1"/>
  <c r="V471" i="37" s="1"/>
  <c r="AK470" i="37"/>
  <c r="AL470" i="37" s="1"/>
  <c r="AJ470" i="37"/>
  <c r="T470" i="37" s="1"/>
  <c r="V470" i="37" s="1"/>
  <c r="AK469" i="37"/>
  <c r="AL469" i="37" s="1"/>
  <c r="AJ469" i="37"/>
  <c r="T469" i="37"/>
  <c r="V469" i="37" s="1"/>
  <c r="AK468" i="37"/>
  <c r="AL468" i="37" s="1"/>
  <c r="AJ468" i="37"/>
  <c r="T468" i="37" s="1"/>
  <c r="V468" i="37" s="1"/>
  <c r="AK467" i="37"/>
  <c r="AL467" i="37" s="1"/>
  <c r="AJ467" i="37"/>
  <c r="T467" i="37" s="1"/>
  <c r="V467" i="37" s="1"/>
  <c r="AI466" i="37"/>
  <c r="AH466" i="37"/>
  <c r="AG466" i="37"/>
  <c r="AF466" i="37"/>
  <c r="AE466" i="37"/>
  <c r="AD466" i="37"/>
  <c r="AC466" i="37"/>
  <c r="AA466" i="37"/>
  <c r="Z466" i="37"/>
  <c r="Y466" i="37"/>
  <c r="X466" i="37"/>
  <c r="Q466" i="37"/>
  <c r="R475" i="37" s="1"/>
  <c r="P466" i="37"/>
  <c r="AK464" i="37"/>
  <c r="AL464" i="37" s="1"/>
  <c r="AJ464" i="37"/>
  <c r="T464" i="37" s="1"/>
  <c r="V464" i="37" s="1"/>
  <c r="AL462" i="37"/>
  <c r="AK462" i="37"/>
  <c r="AJ462" i="37"/>
  <c r="T462" i="37" s="1"/>
  <c r="V462" i="37" s="1"/>
  <c r="AK461" i="37"/>
  <c r="AL461" i="37" s="1"/>
  <c r="AJ461" i="37"/>
  <c r="T461" i="37" s="1"/>
  <c r="V461" i="37" s="1"/>
  <c r="AK460" i="37"/>
  <c r="AL460" i="37" s="1"/>
  <c r="AJ460" i="37"/>
  <c r="T460" i="37" s="1"/>
  <c r="V460" i="37" s="1"/>
  <c r="R458" i="37"/>
  <c r="AH457" i="37"/>
  <c r="AG457" i="37"/>
  <c r="AF457" i="37"/>
  <c r="AE457" i="37"/>
  <c r="AD457" i="37"/>
  <c r="AC457" i="37"/>
  <c r="AA457" i="37"/>
  <c r="Z457" i="37"/>
  <c r="Y457" i="37"/>
  <c r="X457" i="37"/>
  <c r="Q457" i="37"/>
  <c r="R464" i="37" s="1"/>
  <c r="P457" i="37"/>
  <c r="AK456" i="37"/>
  <c r="AL456" i="37" s="1"/>
  <c r="AJ456" i="37"/>
  <c r="T456" i="37" s="1"/>
  <c r="AK455" i="37"/>
  <c r="AL455" i="37" s="1"/>
  <c r="AJ455" i="37"/>
  <c r="T455" i="37" s="1"/>
  <c r="V455" i="37" s="1"/>
  <c r="AK454" i="37"/>
  <c r="AL454" i="37" s="1"/>
  <c r="AJ454" i="37"/>
  <c r="T454" i="37" s="1"/>
  <c r="V454" i="37" s="1"/>
  <c r="AK453" i="37"/>
  <c r="AL453" i="37" s="1"/>
  <c r="AJ453" i="37"/>
  <c r="T453" i="37" s="1"/>
  <c r="V453" i="37" s="1"/>
  <c r="AK452" i="37"/>
  <c r="AL452" i="37" s="1"/>
  <c r="AJ452" i="37"/>
  <c r="T452" i="37" s="1"/>
  <c r="V452" i="37" s="1"/>
  <c r="AL451" i="37"/>
  <c r="AK451" i="37"/>
  <c r="AJ451" i="37"/>
  <c r="T451" i="37" s="1"/>
  <c r="V451" i="37" s="1"/>
  <c r="AK450" i="37"/>
  <c r="AL450" i="37" s="1"/>
  <c r="AJ450" i="37"/>
  <c r="T450" i="37" s="1"/>
  <c r="V450" i="37" s="1"/>
  <c r="AK449" i="37"/>
  <c r="AL449" i="37" s="1"/>
  <c r="AJ449" i="37"/>
  <c r="T449" i="37" s="1"/>
  <c r="V449" i="37" s="1"/>
  <c r="AK448" i="37"/>
  <c r="AL448" i="37" s="1"/>
  <c r="AJ448" i="37"/>
  <c r="T448" i="37" s="1"/>
  <c r="V448" i="37" s="1"/>
  <c r="AI447" i="37"/>
  <c r="AH447" i="37"/>
  <c r="AG447" i="37"/>
  <c r="AF447" i="37"/>
  <c r="AE447" i="37"/>
  <c r="AD447" i="37"/>
  <c r="AC447" i="37"/>
  <c r="AA447" i="37"/>
  <c r="Z447" i="37"/>
  <c r="Y447" i="37"/>
  <c r="X447" i="37"/>
  <c r="Q447" i="37"/>
  <c r="R456" i="37" s="1"/>
  <c r="P447" i="37"/>
  <c r="AK446" i="37"/>
  <c r="AL446" i="37" s="1"/>
  <c r="AJ446" i="37"/>
  <c r="T446" i="37" s="1"/>
  <c r="V446" i="37" s="1"/>
  <c r="AL445" i="37"/>
  <c r="AK445" i="37"/>
  <c r="AJ445" i="37"/>
  <c r="T445" i="37" s="1"/>
  <c r="V445" i="37" s="1"/>
  <c r="AJ444" i="37"/>
  <c r="T444" i="37" s="1"/>
  <c r="V444" i="37" s="1"/>
  <c r="AK443" i="37"/>
  <c r="AL443" i="37" s="1"/>
  <c r="AJ443" i="37"/>
  <c r="T443" i="37" s="1"/>
  <c r="V443" i="37" s="1"/>
  <c r="AK442" i="37"/>
  <c r="AL442" i="37" s="1"/>
  <c r="AJ442" i="37"/>
  <c r="T442" i="37" s="1"/>
  <c r="V442" i="37" s="1"/>
  <c r="AK441" i="37"/>
  <c r="AL441" i="37" s="1"/>
  <c r="AJ441" i="37"/>
  <c r="T441" i="37" s="1"/>
  <c r="V441" i="37" s="1"/>
  <c r="AK440" i="37"/>
  <c r="AL440" i="37" s="1"/>
  <c r="AJ440" i="37"/>
  <c r="T440" i="37"/>
  <c r="V440" i="37" s="1"/>
  <c r="AK439" i="37"/>
  <c r="AL439" i="37" s="1"/>
  <c r="AJ439" i="37"/>
  <c r="T439" i="37" s="1"/>
  <c r="V439" i="37" s="1"/>
  <c r="AK438" i="37"/>
  <c r="AL438" i="37" s="1"/>
  <c r="AJ438" i="37"/>
  <c r="T438" i="37" s="1"/>
  <c r="V438" i="37" s="1"/>
  <c r="AH436" i="37"/>
  <c r="AG436" i="37"/>
  <c r="AF436" i="37"/>
  <c r="AE436" i="37"/>
  <c r="AD436" i="37"/>
  <c r="AC436" i="37"/>
  <c r="AA436" i="37"/>
  <c r="Z436" i="37"/>
  <c r="Y436" i="37"/>
  <c r="X436" i="37"/>
  <c r="Q436" i="37"/>
  <c r="R444" i="37" s="1"/>
  <c r="P436" i="37"/>
  <c r="AK435" i="37"/>
  <c r="AL435" i="37" s="1"/>
  <c r="AJ435" i="37"/>
  <c r="T435" i="37"/>
  <c r="AK434" i="37"/>
  <c r="AL434" i="37" s="1"/>
  <c r="AJ434" i="37"/>
  <c r="T434" i="37" s="1"/>
  <c r="V434" i="37" s="1"/>
  <c r="AK433" i="37"/>
  <c r="AL433" i="37" s="1"/>
  <c r="AJ433" i="37"/>
  <c r="T433" i="37" s="1"/>
  <c r="V433" i="37" s="1"/>
  <c r="AK432" i="37"/>
  <c r="AL432" i="37" s="1"/>
  <c r="AJ432" i="37"/>
  <c r="T432" i="37" s="1"/>
  <c r="V432" i="37" s="1"/>
  <c r="AK431" i="37"/>
  <c r="AL431" i="37" s="1"/>
  <c r="AJ431" i="37"/>
  <c r="T431" i="37" s="1"/>
  <c r="V431" i="37" s="1"/>
  <c r="AK430" i="37"/>
  <c r="AL430" i="37" s="1"/>
  <c r="AJ430" i="37"/>
  <c r="T430" i="37" s="1"/>
  <c r="V430" i="37" s="1"/>
  <c r="AK429" i="37"/>
  <c r="AL429" i="37" s="1"/>
  <c r="AJ429" i="37"/>
  <c r="T429" i="37" s="1"/>
  <c r="V429" i="37" s="1"/>
  <c r="AK428" i="37"/>
  <c r="AL428" i="37" s="1"/>
  <c r="AJ428" i="37"/>
  <c r="T428" i="37" s="1"/>
  <c r="V428" i="37" s="1"/>
  <c r="AK427" i="37"/>
  <c r="AL427" i="37" s="1"/>
  <c r="AJ427" i="37"/>
  <c r="T427" i="37" s="1"/>
  <c r="V427" i="37" s="1"/>
  <c r="AK426" i="37"/>
  <c r="AL426" i="37" s="1"/>
  <c r="AJ426" i="37"/>
  <c r="T426" i="37" s="1"/>
  <c r="V426" i="37" s="1"/>
  <c r="AI425" i="37"/>
  <c r="AH425" i="37"/>
  <c r="AG425" i="37"/>
  <c r="AF425" i="37"/>
  <c r="AE425" i="37"/>
  <c r="AD425" i="37"/>
  <c r="AC425" i="37"/>
  <c r="AA425" i="37"/>
  <c r="Z425" i="37"/>
  <c r="Y425" i="37"/>
  <c r="X425" i="37"/>
  <c r="Q425" i="37"/>
  <c r="R433" i="37" s="1"/>
  <c r="P425" i="37"/>
  <c r="A425" i="37"/>
  <c r="A436" i="37" s="1"/>
  <c r="A447" i="37" s="1"/>
  <c r="A457" i="37" s="1"/>
  <c r="A466" i="37" s="1"/>
  <c r="AK424" i="37"/>
  <c r="AL424" i="37" s="1"/>
  <c r="AJ424" i="37"/>
  <c r="T424" i="37" s="1"/>
  <c r="V424" i="37" s="1"/>
  <c r="AI423" i="37"/>
  <c r="AI422" i="37" s="1"/>
  <c r="AH422" i="37"/>
  <c r="AG422" i="37"/>
  <c r="AF422" i="37"/>
  <c r="AE422" i="37"/>
  <c r="AD422" i="37"/>
  <c r="AC422" i="37"/>
  <c r="AA422" i="37"/>
  <c r="Z422" i="37"/>
  <c r="Y422" i="37"/>
  <c r="X422" i="37"/>
  <c r="Q422" i="37"/>
  <c r="P422" i="37"/>
  <c r="AK420" i="37"/>
  <c r="AL420" i="37" s="1"/>
  <c r="AJ415" i="37"/>
  <c r="T415" i="37" s="1"/>
  <c r="V415" i="37" s="1"/>
  <c r="AJ414" i="37"/>
  <c r="T414" i="37" s="1"/>
  <c r="V414" i="37" s="1"/>
  <c r="AJ412" i="37"/>
  <c r="T412" i="37" s="1"/>
  <c r="V412" i="37" s="1"/>
  <c r="AK411" i="37"/>
  <c r="AL411" i="37" s="1"/>
  <c r="AJ411" i="37"/>
  <c r="T411" i="37" s="1"/>
  <c r="V411" i="37" s="1"/>
  <c r="AK410" i="37"/>
  <c r="AL410" i="37" s="1"/>
  <c r="AJ410" i="37"/>
  <c r="T410" i="37" s="1"/>
  <c r="V410" i="37" s="1"/>
  <c r="AH408" i="37"/>
  <c r="AG408" i="37"/>
  <c r="AF408" i="37"/>
  <c r="AE408" i="37"/>
  <c r="AD408" i="37"/>
  <c r="AC408" i="37"/>
  <c r="AA408" i="37"/>
  <c r="Z408" i="37"/>
  <c r="Y408" i="37"/>
  <c r="X408" i="37"/>
  <c r="Q408" i="37"/>
  <c r="R421" i="37" s="1"/>
  <c r="P408" i="37"/>
  <c r="AK407" i="37"/>
  <c r="AL407" i="37" s="1"/>
  <c r="AJ407" i="37"/>
  <c r="T407" i="37" s="1"/>
  <c r="V407" i="37" s="1"/>
  <c r="AK406" i="37"/>
  <c r="AL406" i="37" s="1"/>
  <c r="AJ406" i="37"/>
  <c r="T406" i="37" s="1"/>
  <c r="V406" i="37" s="1"/>
  <c r="AK405" i="37"/>
  <c r="AL405" i="37" s="1"/>
  <c r="AJ405" i="37"/>
  <c r="T405" i="37" s="1"/>
  <c r="V405" i="37" s="1"/>
  <c r="AK404" i="37"/>
  <c r="AL404" i="37" s="1"/>
  <c r="AJ404" i="37"/>
  <c r="T404" i="37" s="1"/>
  <c r="V404" i="37" s="1"/>
  <c r="AK403" i="37"/>
  <c r="AL403" i="37" s="1"/>
  <c r="AJ403" i="37"/>
  <c r="T403" i="37" s="1"/>
  <c r="V403" i="37" s="1"/>
  <c r="AK402" i="37"/>
  <c r="AL402" i="37" s="1"/>
  <c r="AJ402" i="37"/>
  <c r="T402" i="37" s="1"/>
  <c r="AK401" i="37"/>
  <c r="AL401" i="37" s="1"/>
  <c r="AJ401" i="37"/>
  <c r="T401" i="37" s="1"/>
  <c r="V401" i="37" s="1"/>
  <c r="AI400" i="37"/>
  <c r="AH400" i="37"/>
  <c r="AG400" i="37"/>
  <c r="AF400" i="37"/>
  <c r="AE400" i="37"/>
  <c r="AD400" i="37"/>
  <c r="AC400" i="37"/>
  <c r="AA400" i="37"/>
  <c r="Z400" i="37"/>
  <c r="Y400" i="37"/>
  <c r="X400" i="37"/>
  <c r="Q400" i="37"/>
  <c r="R407" i="37" s="1"/>
  <c r="U407" i="37" s="1"/>
  <c r="P400" i="37"/>
  <c r="AK399" i="37"/>
  <c r="AL399" i="37" s="1"/>
  <c r="AJ399" i="37"/>
  <c r="T399" i="37" s="1"/>
  <c r="AK398" i="37"/>
  <c r="AL398" i="37" s="1"/>
  <c r="AJ398" i="37"/>
  <c r="T398" i="37" s="1"/>
  <c r="V398" i="37"/>
  <c r="AI397" i="37"/>
  <c r="AJ397" i="37" s="1"/>
  <c r="T397" i="37" s="1"/>
  <c r="V397" i="37" s="1"/>
  <c r="AK396" i="37"/>
  <c r="AL396" i="37" s="1"/>
  <c r="AJ396" i="37"/>
  <c r="T396" i="37" s="1"/>
  <c r="V396" i="37" s="1"/>
  <c r="AK395" i="37"/>
  <c r="AL395" i="37" s="1"/>
  <c r="AJ395" i="37"/>
  <c r="T395" i="37" s="1"/>
  <c r="V395" i="37" s="1"/>
  <c r="AK394" i="37"/>
  <c r="AL394" i="37" s="1"/>
  <c r="AJ394" i="37"/>
  <c r="T394" i="37" s="1"/>
  <c r="V394" i="37" s="1"/>
  <c r="AK393" i="37"/>
  <c r="AL393" i="37" s="1"/>
  <c r="AJ393" i="37"/>
  <c r="T393" i="37" s="1"/>
  <c r="V393" i="37" s="1"/>
  <c r="AK392" i="37"/>
  <c r="AL392" i="37" s="1"/>
  <c r="AJ392" i="37"/>
  <c r="T392" i="37" s="1"/>
  <c r="V392" i="37" s="1"/>
  <c r="AK391" i="37"/>
  <c r="AL391" i="37" s="1"/>
  <c r="AJ391" i="37"/>
  <c r="T391" i="37" s="1"/>
  <c r="V391" i="37" s="1"/>
  <c r="AK390" i="37"/>
  <c r="AL390" i="37" s="1"/>
  <c r="AJ390" i="37"/>
  <c r="T390" i="37" s="1"/>
  <c r="V390" i="37" s="1"/>
  <c r="AK389" i="37"/>
  <c r="AL389" i="37" s="1"/>
  <c r="AJ389" i="37"/>
  <c r="T389" i="37" s="1"/>
  <c r="V389" i="37" s="1"/>
  <c r="AK388" i="37"/>
  <c r="AL388" i="37" s="1"/>
  <c r="AJ388" i="37"/>
  <c r="T388" i="37" s="1"/>
  <c r="V388" i="37" s="1"/>
  <c r="AH387" i="37"/>
  <c r="AG387" i="37"/>
  <c r="AF387" i="37"/>
  <c r="AE387" i="37"/>
  <c r="AD387" i="37"/>
  <c r="AC387" i="37"/>
  <c r="AA387" i="37"/>
  <c r="Z387" i="37"/>
  <c r="Y387" i="37"/>
  <c r="X387" i="37"/>
  <c r="Q387" i="37"/>
  <c r="R398" i="37" s="1"/>
  <c r="P387" i="37"/>
  <c r="AK386" i="37"/>
  <c r="AL386" i="37" s="1"/>
  <c r="AJ386" i="37"/>
  <c r="T386" i="37" s="1"/>
  <c r="V386" i="37" s="1"/>
  <c r="AK385" i="37"/>
  <c r="AL385" i="37" s="1"/>
  <c r="AJ385" i="37"/>
  <c r="T385" i="37" s="1"/>
  <c r="V385" i="37" s="1"/>
  <c r="AK384" i="37"/>
  <c r="AL384" i="37" s="1"/>
  <c r="AJ384" i="37"/>
  <c r="T384" i="37" s="1"/>
  <c r="V384" i="37" s="1"/>
  <c r="AK383" i="37"/>
  <c r="AL383" i="37" s="1"/>
  <c r="AJ383" i="37"/>
  <c r="T383" i="37" s="1"/>
  <c r="V383" i="37" s="1"/>
  <c r="AK382" i="37"/>
  <c r="AL382" i="37" s="1"/>
  <c r="AJ382" i="37"/>
  <c r="T382" i="37" s="1"/>
  <c r="V382" i="37" s="1"/>
  <c r="AK381" i="37"/>
  <c r="AL381" i="37" s="1"/>
  <c r="AJ381" i="37"/>
  <c r="T381" i="37" s="1"/>
  <c r="V381" i="37" s="1"/>
  <c r="AK380" i="37"/>
  <c r="AL380" i="37" s="1"/>
  <c r="AJ380" i="37"/>
  <c r="T380" i="37" s="1"/>
  <c r="V380" i="37" s="1"/>
  <c r="AK379" i="37"/>
  <c r="AL379" i="37" s="1"/>
  <c r="AJ379" i="37"/>
  <c r="T379" i="37" s="1"/>
  <c r="V379" i="37" s="1"/>
  <c r="AK378" i="37"/>
  <c r="AL378" i="37" s="1"/>
  <c r="AJ378" i="37"/>
  <c r="T378" i="37" s="1"/>
  <c r="V378" i="37" s="1"/>
  <c r="AI377" i="37"/>
  <c r="AH377" i="37"/>
  <c r="AG377" i="37"/>
  <c r="AF377" i="37"/>
  <c r="AE377" i="37"/>
  <c r="AD377" i="37"/>
  <c r="AC377" i="37"/>
  <c r="AA377" i="37"/>
  <c r="Z377" i="37"/>
  <c r="Y377" i="37"/>
  <c r="X377" i="37"/>
  <c r="Q377" i="37"/>
  <c r="R383" i="37" s="1"/>
  <c r="P377" i="37"/>
  <c r="AI375" i="37"/>
  <c r="AJ375" i="37" s="1"/>
  <c r="T375" i="37" s="1"/>
  <c r="V375" i="37" s="1"/>
  <c r="AI374" i="37"/>
  <c r="AJ374" i="37" s="1"/>
  <c r="T374" i="37" s="1"/>
  <c r="V374" i="37" s="1"/>
  <c r="AJ373" i="37"/>
  <c r="T373" i="37" s="1"/>
  <c r="V373" i="37" s="1"/>
  <c r="AJ372" i="37"/>
  <c r="T372" i="37" s="1"/>
  <c r="V372" i="37" s="1"/>
  <c r="AK371" i="37"/>
  <c r="AL371" i="37" s="1"/>
  <c r="AI371" i="37"/>
  <c r="AJ371" i="37" s="1"/>
  <c r="T371" i="37" s="1"/>
  <c r="V371" i="37" s="1"/>
  <c r="AI370" i="37"/>
  <c r="AJ370" i="37" s="1"/>
  <c r="T370" i="37" s="1"/>
  <c r="V370" i="37" s="1"/>
  <c r="AI369" i="37"/>
  <c r="AJ369" i="37" s="1"/>
  <c r="T369" i="37" s="1"/>
  <c r="V369" i="37" s="1"/>
  <c r="AL368" i="37"/>
  <c r="AK368" i="37"/>
  <c r="AJ368" i="37"/>
  <c r="T368" i="37" s="1"/>
  <c r="V368" i="37" s="1"/>
  <c r="AK367" i="37"/>
  <c r="AL367" i="37" s="1"/>
  <c r="AK366" i="37"/>
  <c r="AL366" i="37" s="1"/>
  <c r="AJ366" i="37"/>
  <c r="T366" i="37" s="1"/>
  <c r="V366" i="37" s="1"/>
  <c r="AI365" i="37"/>
  <c r="AK365" i="37" s="1"/>
  <c r="AL365" i="37" s="1"/>
  <c r="AH364" i="37"/>
  <c r="AG364" i="37"/>
  <c r="AF364" i="37"/>
  <c r="AE364" i="37"/>
  <c r="AD364" i="37"/>
  <c r="AC364" i="37"/>
  <c r="AA364" i="37"/>
  <c r="Z364" i="37"/>
  <c r="Y364" i="37"/>
  <c r="X364" i="37"/>
  <c r="Q364" i="37"/>
  <c r="P364" i="37"/>
  <c r="A364" i="37"/>
  <c r="A377" i="37" s="1"/>
  <c r="A387" i="37" s="1"/>
  <c r="A400" i="37" s="1"/>
  <c r="A408" i="37" s="1"/>
  <c r="AI362" i="37"/>
  <c r="AK362" i="37" s="1"/>
  <c r="AL362" i="37" s="1"/>
  <c r="AI361" i="37"/>
  <c r="AK361" i="37" s="1"/>
  <c r="AL361" i="37" s="1"/>
  <c r="AI360" i="37"/>
  <c r="AK360" i="37" s="1"/>
  <c r="AL360" i="37" s="1"/>
  <c r="AI359" i="37"/>
  <c r="AK359" i="37" s="1"/>
  <c r="AL359" i="37" s="1"/>
  <c r="AI358" i="37"/>
  <c r="AK358" i="37" s="1"/>
  <c r="AL358" i="37" s="1"/>
  <c r="AI357" i="37"/>
  <c r="AK357" i="37" s="1"/>
  <c r="AL357" i="37" s="1"/>
  <c r="AH356" i="37"/>
  <c r="AG356" i="37"/>
  <c r="AF356" i="37"/>
  <c r="AE356" i="37"/>
  <c r="AD356" i="37"/>
  <c r="AC356" i="37"/>
  <c r="AA356" i="37"/>
  <c r="Z356" i="37"/>
  <c r="Y356" i="37"/>
  <c r="X356" i="37"/>
  <c r="Q356" i="37"/>
  <c r="R363" i="37" s="1"/>
  <c r="P356" i="37"/>
  <c r="AK355" i="37"/>
  <c r="AL355" i="37" s="1"/>
  <c r="AJ355" i="37"/>
  <c r="T355" i="37" s="1"/>
  <c r="V355" i="37" s="1"/>
  <c r="AK354" i="37"/>
  <c r="AL354" i="37" s="1"/>
  <c r="AJ354" i="37"/>
  <c r="T354" i="37" s="1"/>
  <c r="V354" i="37" s="1"/>
  <c r="AK353" i="37"/>
  <c r="AL353" i="37" s="1"/>
  <c r="AJ353" i="37"/>
  <c r="T353" i="37" s="1"/>
  <c r="V353" i="37" s="1"/>
  <c r="AK352" i="37"/>
  <c r="AL352" i="37" s="1"/>
  <c r="AJ352" i="37"/>
  <c r="T352" i="37"/>
  <c r="V352" i="37" s="1"/>
  <c r="AK351" i="37"/>
  <c r="AL351" i="37" s="1"/>
  <c r="AJ351" i="37"/>
  <c r="T351" i="37" s="1"/>
  <c r="V351" i="37" s="1"/>
  <c r="AI350" i="37"/>
  <c r="AH350" i="37"/>
  <c r="AG350" i="37"/>
  <c r="AF350" i="37"/>
  <c r="AE350" i="37"/>
  <c r="AD350" i="37"/>
  <c r="AC350" i="37"/>
  <c r="AA350" i="37"/>
  <c r="Z350" i="37"/>
  <c r="Y350" i="37"/>
  <c r="X350" i="37"/>
  <c r="Q350" i="37"/>
  <c r="P350" i="37"/>
  <c r="AK349" i="37"/>
  <c r="AL349" i="37" s="1"/>
  <c r="AJ349" i="37"/>
  <c r="T349" i="37" s="1"/>
  <c r="AK348" i="37"/>
  <c r="AL348" i="37" s="1"/>
  <c r="AJ348" i="37"/>
  <c r="T348" i="37" s="1"/>
  <c r="V348" i="37" s="1"/>
  <c r="AK346" i="37"/>
  <c r="AL346" i="37" s="1"/>
  <c r="AJ346" i="37"/>
  <c r="T346" i="37" s="1"/>
  <c r="V346" i="37" s="1"/>
  <c r="AK345" i="37"/>
  <c r="AL345" i="37" s="1"/>
  <c r="AJ345" i="37"/>
  <c r="T345" i="37" s="1"/>
  <c r="V345" i="37" s="1"/>
  <c r="AK344" i="37"/>
  <c r="AL344" i="37" s="1"/>
  <c r="AJ344" i="37"/>
  <c r="T344" i="37" s="1"/>
  <c r="V344" i="37" s="1"/>
  <c r="AK343" i="37"/>
  <c r="AL343" i="37" s="1"/>
  <c r="AJ343" i="37"/>
  <c r="T343" i="37" s="1"/>
  <c r="V343" i="37" s="1"/>
  <c r="AK342" i="37"/>
  <c r="AL342" i="37" s="1"/>
  <c r="AJ342" i="37"/>
  <c r="T342" i="37" s="1"/>
  <c r="V342" i="37" s="1"/>
  <c r="AK340" i="37"/>
  <c r="AL340" i="37" s="1"/>
  <c r="AJ340" i="37"/>
  <c r="T340" i="37" s="1"/>
  <c r="V340" i="37" s="1"/>
  <c r="AH339" i="37"/>
  <c r="AG339" i="37"/>
  <c r="AF339" i="37"/>
  <c r="AE339" i="37"/>
  <c r="AD339" i="37"/>
  <c r="AC339" i="37"/>
  <c r="AA339" i="37"/>
  <c r="Z339" i="37"/>
  <c r="Y339" i="37"/>
  <c r="X339" i="37"/>
  <c r="Q339" i="37"/>
  <c r="R343" i="37" s="1"/>
  <c r="P339" i="37"/>
  <c r="AK338" i="37"/>
  <c r="AL338" i="37" s="1"/>
  <c r="AJ338" i="37"/>
  <c r="T338" i="37" s="1"/>
  <c r="V338" i="37" s="1"/>
  <c r="AK337" i="37"/>
  <c r="AL337" i="37" s="1"/>
  <c r="AJ337" i="37"/>
  <c r="T337" i="37" s="1"/>
  <c r="V337" i="37" s="1"/>
  <c r="AK336" i="37"/>
  <c r="AL336" i="37" s="1"/>
  <c r="AJ336" i="37"/>
  <c r="T336" i="37" s="1"/>
  <c r="V336" i="37" s="1"/>
  <c r="AK335" i="37"/>
  <c r="AL335" i="37" s="1"/>
  <c r="AJ335" i="37"/>
  <c r="T335" i="37" s="1"/>
  <c r="V335" i="37" s="1"/>
  <c r="AK334" i="37"/>
  <c r="AL334" i="37" s="1"/>
  <c r="AJ334" i="37"/>
  <c r="T334" i="37" s="1"/>
  <c r="V334" i="37" s="1"/>
  <c r="AK333" i="37"/>
  <c r="AL333" i="37" s="1"/>
  <c r="AJ333" i="37"/>
  <c r="T333" i="37" s="1"/>
  <c r="V333" i="37" s="1"/>
  <c r="AI332" i="37"/>
  <c r="AH332" i="37"/>
  <c r="AG332" i="37"/>
  <c r="AF332" i="37"/>
  <c r="AE332" i="37"/>
  <c r="AD332" i="37"/>
  <c r="AC332" i="37"/>
  <c r="AA332" i="37"/>
  <c r="Z332" i="37"/>
  <c r="Y332" i="37"/>
  <c r="X332" i="37"/>
  <c r="Q332" i="37"/>
  <c r="R335" i="37" s="1"/>
  <c r="AK331" i="37"/>
  <c r="AL331" i="37" s="1"/>
  <c r="AJ331" i="37"/>
  <c r="T331" i="37" s="1"/>
  <c r="V331" i="37" s="1"/>
  <c r="AL330" i="37"/>
  <c r="AK330" i="37"/>
  <c r="AJ330" i="37"/>
  <c r="T330" i="37" s="1"/>
  <c r="V330" i="37" s="1"/>
  <c r="AK329" i="37"/>
  <c r="AL329" i="37" s="1"/>
  <c r="AJ329" i="37"/>
  <c r="T329" i="37"/>
  <c r="V329" i="37" s="1"/>
  <c r="AK328" i="37"/>
  <c r="AL328" i="37" s="1"/>
  <c r="AJ328" i="37"/>
  <c r="T328" i="37" s="1"/>
  <c r="V328" i="37" s="1"/>
  <c r="AK327" i="37"/>
  <c r="AL327" i="37" s="1"/>
  <c r="AJ327" i="37"/>
  <c r="T327" i="37" s="1"/>
  <c r="V327" i="37" s="1"/>
  <c r="AK326" i="37"/>
  <c r="AL326" i="37" s="1"/>
  <c r="AJ326" i="37"/>
  <c r="T326" i="37" s="1"/>
  <c r="V326" i="37" s="1"/>
  <c r="AI325" i="37"/>
  <c r="AH325" i="37"/>
  <c r="AG325" i="37"/>
  <c r="AF325" i="37"/>
  <c r="AE325" i="37"/>
  <c r="AD325" i="37"/>
  <c r="AC325" i="37"/>
  <c r="AA325" i="37"/>
  <c r="Z325" i="37"/>
  <c r="Y325" i="37"/>
  <c r="X325" i="37"/>
  <c r="Q325" i="37"/>
  <c r="R330" i="37" s="1"/>
  <c r="P325" i="37"/>
  <c r="AK324" i="37"/>
  <c r="AL324" i="37" s="1"/>
  <c r="AJ324" i="37"/>
  <c r="T324" i="37" s="1"/>
  <c r="V324" i="37" s="1"/>
  <c r="AK323" i="37"/>
  <c r="AL323" i="37" s="1"/>
  <c r="AJ323" i="37"/>
  <c r="T323" i="37" s="1"/>
  <c r="V323" i="37" s="1"/>
  <c r="AK322" i="37"/>
  <c r="AL322" i="37" s="1"/>
  <c r="AJ322" i="37"/>
  <c r="T322" i="37" s="1"/>
  <c r="V322" i="37" s="1"/>
  <c r="AK321" i="37"/>
  <c r="AL321" i="37" s="1"/>
  <c r="AJ321" i="37"/>
  <c r="T321" i="37" s="1"/>
  <c r="V321" i="37" s="1"/>
  <c r="AL320" i="37"/>
  <c r="AK320" i="37"/>
  <c r="AJ320" i="37"/>
  <c r="T320" i="37" s="1"/>
  <c r="V320" i="37" s="1"/>
  <c r="AK319" i="37"/>
  <c r="AL319" i="37" s="1"/>
  <c r="AJ319" i="37"/>
  <c r="T319" i="37" s="1"/>
  <c r="V319" i="37" s="1"/>
  <c r="AK318" i="37"/>
  <c r="AL318" i="37" s="1"/>
  <c r="AJ318" i="37"/>
  <c r="T318" i="37" s="1"/>
  <c r="V318" i="37" s="1"/>
  <c r="AI317" i="37"/>
  <c r="AH317" i="37"/>
  <c r="AG317" i="37"/>
  <c r="AF317" i="37"/>
  <c r="AE317" i="37"/>
  <c r="AD317" i="37"/>
  <c r="AC317" i="37"/>
  <c r="AA317" i="37"/>
  <c r="Z317" i="37"/>
  <c r="Y317" i="37"/>
  <c r="X317" i="37"/>
  <c r="Q317" i="37"/>
  <c r="R324" i="37" s="1"/>
  <c r="P317" i="37"/>
  <c r="AK316" i="37"/>
  <c r="AL316" i="37" s="1"/>
  <c r="AJ316" i="37"/>
  <c r="T316" i="37" s="1"/>
  <c r="V316" i="37" s="1"/>
  <c r="AK315" i="37"/>
  <c r="AL315" i="37" s="1"/>
  <c r="AJ315" i="37"/>
  <c r="T315" i="37" s="1"/>
  <c r="V315" i="37" s="1"/>
  <c r="AK314" i="37"/>
  <c r="AL314" i="37" s="1"/>
  <c r="AJ314" i="37"/>
  <c r="T314" i="37" s="1"/>
  <c r="V314" i="37" s="1"/>
  <c r="AK313" i="37"/>
  <c r="AL313" i="37" s="1"/>
  <c r="AJ313" i="37"/>
  <c r="T313" i="37" s="1"/>
  <c r="V313" i="37" s="1"/>
  <c r="AK312" i="37"/>
  <c r="AL312" i="37" s="1"/>
  <c r="AJ312" i="37"/>
  <c r="T312" i="37" s="1"/>
  <c r="V312" i="37" s="1"/>
  <c r="R312" i="37"/>
  <c r="U312" i="37" s="1"/>
  <c r="AK311" i="37"/>
  <c r="AL311" i="37" s="1"/>
  <c r="AJ311" i="37"/>
  <c r="T311" i="37" s="1"/>
  <c r="V311" i="37" s="1"/>
  <c r="AK310" i="37"/>
  <c r="AL310" i="37" s="1"/>
  <c r="AJ310" i="37"/>
  <c r="T310" i="37" s="1"/>
  <c r="V310" i="37" s="1"/>
  <c r="AI309" i="37"/>
  <c r="AH309" i="37"/>
  <c r="AG309" i="37"/>
  <c r="AF309" i="37"/>
  <c r="AE309" i="37"/>
  <c r="AD309" i="37"/>
  <c r="AC309" i="37"/>
  <c r="AA309" i="37"/>
  <c r="Z309" i="37"/>
  <c r="Y309" i="37"/>
  <c r="X309" i="37"/>
  <c r="Q309" i="37"/>
  <c r="R314" i="37" s="1"/>
  <c r="P309" i="37"/>
  <c r="AK308" i="37"/>
  <c r="AL308" i="37" s="1"/>
  <c r="AJ308" i="37"/>
  <c r="T308" i="37" s="1"/>
  <c r="V308" i="37" s="1"/>
  <c r="AK307" i="37"/>
  <c r="AL307" i="37" s="1"/>
  <c r="AJ307" i="37"/>
  <c r="T307" i="37" s="1"/>
  <c r="V307" i="37" s="1"/>
  <c r="AK306" i="37"/>
  <c r="AL306" i="37" s="1"/>
  <c r="AJ306" i="37"/>
  <c r="T306" i="37" s="1"/>
  <c r="V306" i="37" s="1"/>
  <c r="AK305" i="37"/>
  <c r="AL305" i="37" s="1"/>
  <c r="AJ305" i="37"/>
  <c r="T305" i="37" s="1"/>
  <c r="V305" i="37" s="1"/>
  <c r="AK304" i="37"/>
  <c r="AL304" i="37" s="1"/>
  <c r="AJ304" i="37"/>
  <c r="T304" i="37" s="1"/>
  <c r="V304" i="37" s="1"/>
  <c r="AK303" i="37"/>
  <c r="AL303" i="37" s="1"/>
  <c r="AJ303" i="37"/>
  <c r="T303" i="37"/>
  <c r="V303" i="37" s="1"/>
  <c r="AK302" i="37"/>
  <c r="AL302" i="37" s="1"/>
  <c r="AJ302" i="37"/>
  <c r="T302" i="37" s="1"/>
  <c r="V302" i="37" s="1"/>
  <c r="AK301" i="37"/>
  <c r="AL301" i="37" s="1"/>
  <c r="AJ301" i="37"/>
  <c r="T301" i="37" s="1"/>
  <c r="V301" i="37" s="1"/>
  <c r="AK300" i="37"/>
  <c r="AL300" i="37" s="1"/>
  <c r="AJ300" i="37"/>
  <c r="T300" i="37" s="1"/>
  <c r="V300" i="37" s="1"/>
  <c r="AK299" i="37"/>
  <c r="AL299" i="37" s="1"/>
  <c r="AJ299" i="37"/>
  <c r="T299" i="37" s="1"/>
  <c r="V299" i="37" s="1"/>
  <c r="AK298" i="37"/>
  <c r="AL298" i="37" s="1"/>
  <c r="AJ298" i="37"/>
  <c r="T298" i="37" s="1"/>
  <c r="V298" i="37" s="1"/>
  <c r="AI297" i="37"/>
  <c r="AH297" i="37"/>
  <c r="AG297" i="37"/>
  <c r="AF297" i="37"/>
  <c r="AE297" i="37"/>
  <c r="AD297" i="37"/>
  <c r="AC297" i="37"/>
  <c r="AA297" i="37"/>
  <c r="Z297" i="37"/>
  <c r="Y297" i="37"/>
  <c r="X297" i="37"/>
  <c r="Q297" i="37"/>
  <c r="R308" i="37" s="1"/>
  <c r="P297" i="37"/>
  <c r="AK296" i="37"/>
  <c r="AL296" i="37" s="1"/>
  <c r="AJ296" i="37"/>
  <c r="T296" i="37" s="1"/>
  <c r="V296" i="37" s="1"/>
  <c r="R296" i="37"/>
  <c r="AK295" i="37"/>
  <c r="AL295" i="37" s="1"/>
  <c r="AJ295" i="37"/>
  <c r="T295" i="37" s="1"/>
  <c r="V295" i="37" s="1"/>
  <c r="AK294" i="37"/>
  <c r="AL294" i="37" s="1"/>
  <c r="AJ294" i="37"/>
  <c r="T294" i="37" s="1"/>
  <c r="V294" i="37" s="1"/>
  <c r="R294" i="37"/>
  <c r="AK293" i="37"/>
  <c r="AL293" i="37" s="1"/>
  <c r="AJ293" i="37"/>
  <c r="T293" i="37" s="1"/>
  <c r="V293" i="37" s="1"/>
  <c r="AK292" i="37"/>
  <c r="AL292" i="37" s="1"/>
  <c r="AJ292" i="37"/>
  <c r="T292" i="37" s="1"/>
  <c r="V292" i="37" s="1"/>
  <c r="R292" i="37"/>
  <c r="AK291" i="37"/>
  <c r="AL291" i="37" s="1"/>
  <c r="AJ291" i="37"/>
  <c r="T291" i="37" s="1"/>
  <c r="V291" i="37" s="1"/>
  <c r="R291" i="37"/>
  <c r="AK290" i="37"/>
  <c r="AL290" i="37" s="1"/>
  <c r="AJ290" i="37"/>
  <c r="T290" i="37" s="1"/>
  <c r="V290" i="37" s="1"/>
  <c r="AK289" i="37"/>
  <c r="AL289" i="37" s="1"/>
  <c r="AJ289" i="37"/>
  <c r="T289" i="37" s="1"/>
  <c r="V289" i="37" s="1"/>
  <c r="R289" i="37"/>
  <c r="AK288" i="37"/>
  <c r="AL288" i="37" s="1"/>
  <c r="AJ288" i="37"/>
  <c r="T288" i="37" s="1"/>
  <c r="V288" i="37" s="1"/>
  <c r="R288" i="37"/>
  <c r="AI287" i="37"/>
  <c r="AH287" i="37"/>
  <c r="AF287" i="37"/>
  <c r="AE287" i="37"/>
  <c r="AD287" i="37"/>
  <c r="AC287" i="37"/>
  <c r="AA287" i="37"/>
  <c r="Z287" i="37"/>
  <c r="Y287" i="37"/>
  <c r="X287" i="37"/>
  <c r="Q287" i="37"/>
  <c r="P287" i="37"/>
  <c r="AK286" i="37"/>
  <c r="AL286" i="37" s="1"/>
  <c r="AJ286" i="37"/>
  <c r="T286" i="37" s="1"/>
  <c r="V286" i="37" s="1"/>
  <c r="AK284" i="37"/>
  <c r="AL284" i="37" s="1"/>
  <c r="AJ284" i="37"/>
  <c r="T284" i="37" s="1"/>
  <c r="V284" i="37" s="1"/>
  <c r="AK283" i="37"/>
  <c r="AL283" i="37" s="1"/>
  <c r="AJ283" i="37"/>
  <c r="T283" i="37" s="1"/>
  <c r="V283" i="37" s="1"/>
  <c r="AK282" i="37"/>
  <c r="AL282" i="37" s="1"/>
  <c r="AJ282" i="37"/>
  <c r="T282" i="37" s="1"/>
  <c r="V282" i="37" s="1"/>
  <c r="AK281" i="37"/>
  <c r="AL281" i="37" s="1"/>
  <c r="AJ281" i="37"/>
  <c r="T281" i="37" s="1"/>
  <c r="V281" i="37" s="1"/>
  <c r="AK280" i="37"/>
  <c r="AL280" i="37" s="1"/>
  <c r="AJ280" i="37"/>
  <c r="T280" i="37" s="1"/>
  <c r="V280" i="37" s="1"/>
  <c r="AK279" i="37"/>
  <c r="AL279" i="37" s="1"/>
  <c r="AJ279" i="37"/>
  <c r="T279" i="37" s="1"/>
  <c r="V279" i="37" s="1"/>
  <c r="AK278" i="37"/>
  <c r="AL278" i="37" s="1"/>
  <c r="AJ278" i="37"/>
  <c r="T278" i="37" s="1"/>
  <c r="V278" i="37" s="1"/>
  <c r="AK277" i="37"/>
  <c r="AL277" i="37" s="1"/>
  <c r="AJ277" i="37"/>
  <c r="T277" i="37" s="1"/>
  <c r="V277" i="37" s="1"/>
  <c r="AK276" i="37"/>
  <c r="AL276" i="37" s="1"/>
  <c r="AJ276" i="37"/>
  <c r="T276" i="37" s="1"/>
  <c r="V276" i="37" s="1"/>
  <c r="AH275" i="37"/>
  <c r="AG275" i="37"/>
  <c r="AF275" i="37"/>
  <c r="AE275" i="37"/>
  <c r="AD275" i="37"/>
  <c r="AC275" i="37"/>
  <c r="AA275" i="37"/>
  <c r="Z275" i="37"/>
  <c r="Y275" i="37"/>
  <c r="X275" i="37"/>
  <c r="Q275" i="37"/>
  <c r="R279" i="37" s="1"/>
  <c r="P275" i="37"/>
  <c r="AK274" i="37"/>
  <c r="AL274" i="37" s="1"/>
  <c r="AJ274" i="37"/>
  <c r="T274" i="37" s="1"/>
  <c r="V274" i="37" s="1"/>
  <c r="AK273" i="37"/>
  <c r="AL273" i="37" s="1"/>
  <c r="AJ273" i="37"/>
  <c r="T273" i="37" s="1"/>
  <c r="V273" i="37" s="1"/>
  <c r="AK272" i="37"/>
  <c r="AL272" i="37" s="1"/>
  <c r="AJ272" i="37"/>
  <c r="T272" i="37" s="1"/>
  <c r="V272" i="37" s="1"/>
  <c r="AK271" i="37"/>
  <c r="AL271" i="37" s="1"/>
  <c r="AJ271" i="37"/>
  <c r="T271" i="37" s="1"/>
  <c r="V271" i="37" s="1"/>
  <c r="AK270" i="37"/>
  <c r="AL270" i="37" s="1"/>
  <c r="AJ270" i="37"/>
  <c r="T270" i="37" s="1"/>
  <c r="V270" i="37" s="1"/>
  <c r="AK269" i="37"/>
  <c r="AL269" i="37" s="1"/>
  <c r="AJ269" i="37"/>
  <c r="T269" i="37" s="1"/>
  <c r="V269" i="37" s="1"/>
  <c r="AK268" i="37"/>
  <c r="AL268" i="37" s="1"/>
  <c r="AJ268" i="37"/>
  <c r="T268" i="37" s="1"/>
  <c r="V268" i="37" s="1"/>
  <c r="AK267" i="37"/>
  <c r="AL267" i="37" s="1"/>
  <c r="AJ267" i="37"/>
  <c r="T267" i="37" s="1"/>
  <c r="V267" i="37" s="1"/>
  <c r="AK266" i="37"/>
  <c r="AL266" i="37" s="1"/>
  <c r="AJ266" i="37"/>
  <c r="T266" i="37" s="1"/>
  <c r="V266" i="37" s="1"/>
  <c r="AK265" i="37"/>
  <c r="AL265" i="37" s="1"/>
  <c r="AJ265" i="37"/>
  <c r="T265" i="37" s="1"/>
  <c r="V265" i="37" s="1"/>
  <c r="AI264" i="37"/>
  <c r="AH264" i="37"/>
  <c r="AG264" i="37"/>
  <c r="AF264" i="37"/>
  <c r="AE264" i="37"/>
  <c r="AD264" i="37"/>
  <c r="AC264" i="37"/>
  <c r="AA264" i="37"/>
  <c r="Z264" i="37"/>
  <c r="Y264" i="37"/>
  <c r="X264" i="37"/>
  <c r="Q264" i="37"/>
  <c r="R271" i="37" s="1"/>
  <c r="AK263" i="37"/>
  <c r="AL263" i="37" s="1"/>
  <c r="AJ263" i="37"/>
  <c r="T263" i="37" s="1"/>
  <c r="V263" i="37" s="1"/>
  <c r="AI262" i="37"/>
  <c r="AJ262" i="37" s="1"/>
  <c r="T262" i="37" s="1"/>
  <c r="V262" i="37" s="1"/>
  <c r="AK261" i="37"/>
  <c r="AL261" i="37" s="1"/>
  <c r="AJ261" i="37"/>
  <c r="T261" i="37" s="1"/>
  <c r="V261" i="37" s="1"/>
  <c r="AK260" i="37"/>
  <c r="AL260" i="37" s="1"/>
  <c r="AJ260" i="37"/>
  <c r="T260" i="37"/>
  <c r="V260" i="37" s="1"/>
  <c r="AI259" i="37"/>
  <c r="AK259" i="37" s="1"/>
  <c r="AL259" i="37" s="1"/>
  <c r="AK258" i="37"/>
  <c r="AL258" i="37" s="1"/>
  <c r="AJ258" i="37"/>
  <c r="T258" i="37" s="1"/>
  <c r="V258" i="37" s="1"/>
  <c r="AK257" i="37"/>
  <c r="AL257" i="37" s="1"/>
  <c r="AJ257" i="37"/>
  <c r="T257" i="37" s="1"/>
  <c r="V257" i="37" s="1"/>
  <c r="AI256" i="37"/>
  <c r="AK256" i="37" s="1"/>
  <c r="AL256" i="37" s="1"/>
  <c r="AK255" i="37"/>
  <c r="AL255" i="37" s="1"/>
  <c r="AJ255" i="37"/>
  <c r="T255" i="37" s="1"/>
  <c r="V255" i="37" s="1"/>
  <c r="AI254" i="37"/>
  <c r="AJ254" i="37" s="1"/>
  <c r="T254" i="37" s="1"/>
  <c r="V254" i="37" s="1"/>
  <c r="AI253" i="37"/>
  <c r="AJ253" i="37" s="1"/>
  <c r="T253" i="37" s="1"/>
  <c r="V253" i="37" s="1"/>
  <c r="AK252" i="37"/>
  <c r="AL252" i="37" s="1"/>
  <c r="AJ252" i="37"/>
  <c r="T252" i="37" s="1"/>
  <c r="V252" i="37" s="1"/>
  <c r="AI251" i="37"/>
  <c r="AK251" i="37" s="1"/>
  <c r="AL251" i="37" s="1"/>
  <c r="AI250" i="37"/>
  <c r="AK250" i="37" s="1"/>
  <c r="AL250" i="37" s="1"/>
  <c r="AH249" i="37"/>
  <c r="AG249" i="37"/>
  <c r="AG248" i="37" s="1"/>
  <c r="AF249" i="37"/>
  <c r="AF248" i="37" s="1"/>
  <c r="AE249" i="37"/>
  <c r="AE248" i="37" s="1"/>
  <c r="AD249" i="37"/>
  <c r="AD248" i="37" s="1"/>
  <c r="AC249" i="37"/>
  <c r="AC248" i="37" s="1"/>
  <c r="AA249" i="37"/>
  <c r="AA248" i="37" s="1"/>
  <c r="Z249" i="37"/>
  <c r="Z248" i="37" s="1"/>
  <c r="Y249" i="37"/>
  <c r="Y248" i="37" s="1"/>
  <c r="X249" i="37"/>
  <c r="X248" i="37" s="1"/>
  <c r="Q249" i="37"/>
  <c r="R258" i="37" s="1"/>
  <c r="U258" i="37" s="1"/>
  <c r="P249" i="37"/>
  <c r="AB248" i="37"/>
  <c r="W248" i="37"/>
  <c r="S248" i="37"/>
  <c r="O248" i="37"/>
  <c r="AK246" i="37"/>
  <c r="AL246" i="37" s="1"/>
  <c r="AJ246" i="37"/>
  <c r="T246" i="37" s="1"/>
  <c r="V246" i="37" s="1"/>
  <c r="AK245" i="37"/>
  <c r="AL245" i="37" s="1"/>
  <c r="AJ245" i="37"/>
  <c r="T245" i="37" s="1"/>
  <c r="V245" i="37" s="1"/>
  <c r="AK244" i="37"/>
  <c r="AL244" i="37" s="1"/>
  <c r="AJ244" i="37"/>
  <c r="T244" i="37" s="1"/>
  <c r="V244" i="37" s="1"/>
  <c r="AK243" i="37"/>
  <c r="AL243" i="37" s="1"/>
  <c r="AJ243" i="37"/>
  <c r="T243" i="37" s="1"/>
  <c r="V243" i="37" s="1"/>
  <c r="AK242" i="37"/>
  <c r="AL242" i="37" s="1"/>
  <c r="AJ242" i="37"/>
  <c r="T242" i="37" s="1"/>
  <c r="V242" i="37" s="1"/>
  <c r="AH241" i="37"/>
  <c r="AG241" i="37"/>
  <c r="AF241" i="37"/>
  <c r="AE241" i="37"/>
  <c r="AD241" i="37"/>
  <c r="AC241" i="37"/>
  <c r="AA241" i="37"/>
  <c r="Z241" i="37"/>
  <c r="Y241" i="37"/>
  <c r="X241" i="37"/>
  <c r="Q241" i="37"/>
  <c r="P241" i="37"/>
  <c r="AK240" i="37"/>
  <c r="AL240" i="37" s="1"/>
  <c r="AJ240" i="37"/>
  <c r="T240" i="37" s="1"/>
  <c r="V240" i="37" s="1"/>
  <c r="AK239" i="37"/>
  <c r="AL239" i="37" s="1"/>
  <c r="AJ239" i="37"/>
  <c r="T239" i="37" s="1"/>
  <c r="V239" i="37" s="1"/>
  <c r="AK238" i="37"/>
  <c r="AL238" i="37" s="1"/>
  <c r="AJ238" i="37"/>
  <c r="T238" i="37" s="1"/>
  <c r="V238" i="37" s="1"/>
  <c r="AK237" i="37"/>
  <c r="AL237" i="37" s="1"/>
  <c r="AJ237" i="37"/>
  <c r="T237" i="37" s="1"/>
  <c r="V237" i="37" s="1"/>
  <c r="AK236" i="37"/>
  <c r="AL236" i="37" s="1"/>
  <c r="AJ236" i="37"/>
  <c r="T236" i="37" s="1"/>
  <c r="V236" i="37" s="1"/>
  <c r="AK235" i="37"/>
  <c r="AL235" i="37" s="1"/>
  <c r="AJ235" i="37"/>
  <c r="T235" i="37" s="1"/>
  <c r="V235" i="37" s="1"/>
  <c r="AK234" i="37"/>
  <c r="AL234" i="37" s="1"/>
  <c r="AJ234" i="37"/>
  <c r="T234" i="37" s="1"/>
  <c r="V234" i="37" s="1"/>
  <c r="AK233" i="37"/>
  <c r="AL233" i="37" s="1"/>
  <c r="AJ233" i="37"/>
  <c r="T233" i="37" s="1"/>
  <c r="V233" i="37" s="1"/>
  <c r="AK232" i="37"/>
  <c r="AL232" i="37" s="1"/>
  <c r="AJ232" i="37"/>
  <c r="T232" i="37" s="1"/>
  <c r="V232" i="37" s="1"/>
  <c r="AK231" i="37"/>
  <c r="AL231" i="37" s="1"/>
  <c r="AJ231" i="37"/>
  <c r="T231" i="37" s="1"/>
  <c r="V231" i="37" s="1"/>
  <c r="AI230" i="37"/>
  <c r="AH230" i="37"/>
  <c r="AG230" i="37"/>
  <c r="AF230" i="37"/>
  <c r="AE230" i="37"/>
  <c r="AD230" i="37"/>
  <c r="AC230" i="37"/>
  <c r="AA230" i="37"/>
  <c r="Z230" i="37"/>
  <c r="Y230" i="37"/>
  <c r="X230" i="37"/>
  <c r="Q230" i="37"/>
  <c r="R247" i="37" s="1"/>
  <c r="P230" i="37"/>
  <c r="A230" i="37"/>
  <c r="A241" i="37" s="1"/>
  <c r="A249" i="37" s="1"/>
  <c r="A264" i="37" s="1"/>
  <c r="A275" i="37" s="1"/>
  <c r="A287" i="37" s="1"/>
  <c r="A297" i="37" s="1"/>
  <c r="A309" i="37" s="1"/>
  <c r="A317" i="37" s="1"/>
  <c r="A325" i="37" s="1"/>
  <c r="A332" i="37" s="1"/>
  <c r="A339" i="37" s="1"/>
  <c r="A350" i="37" s="1"/>
  <c r="AK229" i="37"/>
  <c r="AL229" i="37" s="1"/>
  <c r="AJ229" i="37"/>
  <c r="T229" i="37" s="1"/>
  <c r="V229" i="37" s="1"/>
  <c r="AK228" i="37"/>
  <c r="AL228" i="37" s="1"/>
  <c r="AJ228" i="37"/>
  <c r="T228" i="37" s="1"/>
  <c r="V228" i="37"/>
  <c r="AK227" i="37"/>
  <c r="AL227" i="37" s="1"/>
  <c r="AJ227" i="37"/>
  <c r="T227" i="37" s="1"/>
  <c r="V227" i="37" s="1"/>
  <c r="AK226" i="37"/>
  <c r="AL226" i="37" s="1"/>
  <c r="AJ226" i="37"/>
  <c r="T226" i="37" s="1"/>
  <c r="V226" i="37" s="1"/>
  <c r="AK225" i="37"/>
  <c r="AL225" i="37" s="1"/>
  <c r="AJ225" i="37"/>
  <c r="T225" i="37" s="1"/>
  <c r="V225" i="37" s="1"/>
  <c r="AK224" i="37"/>
  <c r="AL224" i="37" s="1"/>
  <c r="AJ224" i="37"/>
  <c r="T224" i="37" s="1"/>
  <c r="V224" i="37" s="1"/>
  <c r="R224" i="37"/>
  <c r="AK223" i="37"/>
  <c r="AL223" i="37" s="1"/>
  <c r="AJ223" i="37"/>
  <c r="T223" i="37" s="1"/>
  <c r="V223" i="37" s="1"/>
  <c r="AI222" i="37"/>
  <c r="AH222" i="37"/>
  <c r="AG222" i="37"/>
  <c r="AF222" i="37"/>
  <c r="AE222" i="37"/>
  <c r="AD222" i="37"/>
  <c r="AC222" i="37"/>
  <c r="AA222" i="37"/>
  <c r="Z222" i="37"/>
  <c r="Y222" i="37"/>
  <c r="X222" i="37"/>
  <c r="Q222" i="37"/>
  <c r="R227" i="37" s="1"/>
  <c r="P222" i="37"/>
  <c r="AK221" i="37"/>
  <c r="AL221" i="37" s="1"/>
  <c r="AI221" i="37"/>
  <c r="AJ221" i="37" s="1"/>
  <c r="T221" i="37" s="1"/>
  <c r="V221" i="37" s="1"/>
  <c r="AH220" i="37"/>
  <c r="AG220" i="37"/>
  <c r="AF220" i="37"/>
  <c r="AE220" i="37"/>
  <c r="AD220" i="37"/>
  <c r="AC220" i="37"/>
  <c r="AA220" i="37"/>
  <c r="Z220" i="37"/>
  <c r="Y220" i="37"/>
  <c r="X220" i="37"/>
  <c r="AI219" i="37"/>
  <c r="AH219" i="37"/>
  <c r="AG219" i="37"/>
  <c r="AF219" i="37"/>
  <c r="AE219" i="37"/>
  <c r="AD219" i="37"/>
  <c r="AC219" i="37"/>
  <c r="AA219" i="37"/>
  <c r="Z219" i="37"/>
  <c r="Y219" i="37"/>
  <c r="X219" i="37"/>
  <c r="AK218" i="37"/>
  <c r="AL218" i="37" s="1"/>
  <c r="AJ218" i="37"/>
  <c r="T218" i="37" s="1"/>
  <c r="V218" i="37" s="1"/>
  <c r="AH218" i="37"/>
  <c r="AG218" i="37"/>
  <c r="AF218" i="37"/>
  <c r="AE218" i="37"/>
  <c r="AD218" i="37"/>
  <c r="AC218" i="37"/>
  <c r="AA218" i="37"/>
  <c r="Z218" i="37"/>
  <c r="Y218" i="37"/>
  <c r="X218" i="37"/>
  <c r="AK217" i="37"/>
  <c r="AL217" i="37" s="1"/>
  <c r="AJ217" i="37"/>
  <c r="AH217" i="37"/>
  <c r="AG217" i="37"/>
  <c r="AF217" i="37"/>
  <c r="AE217" i="37"/>
  <c r="AD217" i="37"/>
  <c r="AC217" i="37"/>
  <c r="AA217" i="37"/>
  <c r="Z217" i="37"/>
  <c r="Y217" i="37"/>
  <c r="X217" i="37"/>
  <c r="T217" i="37"/>
  <c r="V217" i="37" s="1"/>
  <c r="AH216" i="37"/>
  <c r="AG216" i="37"/>
  <c r="AF216" i="37"/>
  <c r="AE216" i="37"/>
  <c r="AD216" i="37"/>
  <c r="AC216" i="37"/>
  <c r="AA216" i="37"/>
  <c r="Z216" i="37"/>
  <c r="Y216" i="37"/>
  <c r="X216" i="37"/>
  <c r="Q216" i="37"/>
  <c r="R221" i="37" s="1"/>
  <c r="P216" i="37"/>
  <c r="AK215" i="37"/>
  <c r="AL215" i="37" s="1"/>
  <c r="AJ215" i="37"/>
  <c r="T215" i="37" s="1"/>
  <c r="V215" i="37" s="1"/>
  <c r="AH215" i="37"/>
  <c r="AG215" i="37"/>
  <c r="AF215" i="37"/>
  <c r="AE215" i="37"/>
  <c r="AD215" i="37"/>
  <c r="AC215" i="37"/>
  <c r="AA215" i="37"/>
  <c r="Z215" i="37"/>
  <c r="Y215" i="37"/>
  <c r="X215" i="37"/>
  <c r="AK214" i="37"/>
  <c r="AL214" i="37" s="1"/>
  <c r="AJ214" i="37"/>
  <c r="T214" i="37" s="1"/>
  <c r="V214" i="37" s="1"/>
  <c r="AH214" i="37"/>
  <c r="AG214" i="37"/>
  <c r="AF214" i="37"/>
  <c r="AE214" i="37"/>
  <c r="AD214" i="37"/>
  <c r="AC214" i="37"/>
  <c r="AA214" i="37"/>
  <c r="Z214" i="37"/>
  <c r="Y214" i="37"/>
  <c r="X214" i="37"/>
  <c r="AK213" i="37"/>
  <c r="AL213" i="37" s="1"/>
  <c r="AJ213" i="37"/>
  <c r="T213" i="37" s="1"/>
  <c r="V213" i="37" s="1"/>
  <c r="AH213" i="37"/>
  <c r="AG213" i="37"/>
  <c r="AF213" i="37"/>
  <c r="AE213" i="37"/>
  <c r="AD213" i="37"/>
  <c r="AC213" i="37"/>
  <c r="AA213" i="37"/>
  <c r="Z213" i="37"/>
  <c r="Y213" i="37"/>
  <c r="X213" i="37"/>
  <c r="AK212" i="37"/>
  <c r="AL212" i="37" s="1"/>
  <c r="AJ212" i="37"/>
  <c r="T212" i="37" s="1"/>
  <c r="AH212" i="37"/>
  <c r="AG212" i="37"/>
  <c r="AF212" i="37"/>
  <c r="AE212" i="37"/>
  <c r="AD212" i="37"/>
  <c r="AC212" i="37"/>
  <c r="AA212" i="37"/>
  <c r="Z212" i="37"/>
  <c r="Y212" i="37"/>
  <c r="X212" i="37"/>
  <c r="AK211" i="37"/>
  <c r="AL211" i="37" s="1"/>
  <c r="AJ211" i="37"/>
  <c r="T211" i="37" s="1"/>
  <c r="V211" i="37" s="1"/>
  <c r="AH211" i="37"/>
  <c r="AG211" i="37"/>
  <c r="AF211" i="37"/>
  <c r="AE211" i="37"/>
  <c r="AD211" i="37"/>
  <c r="AC211" i="37"/>
  <c r="AA211" i="37"/>
  <c r="Z211" i="37"/>
  <c r="Y211" i="37"/>
  <c r="X211" i="37"/>
  <c r="AK210" i="37"/>
  <c r="AL210" i="37" s="1"/>
  <c r="AJ210" i="37"/>
  <c r="T210" i="37" s="1"/>
  <c r="V210" i="37" s="1"/>
  <c r="AH210" i="37"/>
  <c r="AG210" i="37"/>
  <c r="AF210" i="37"/>
  <c r="AE210" i="37"/>
  <c r="AD210" i="37"/>
  <c r="AC210" i="37"/>
  <c r="AA210" i="37"/>
  <c r="Z210" i="37"/>
  <c r="Y210" i="37"/>
  <c r="X210" i="37"/>
  <c r="AI209" i="37"/>
  <c r="AH209" i="37"/>
  <c r="AG209" i="37"/>
  <c r="AF209" i="37"/>
  <c r="AE209" i="37"/>
  <c r="AD209" i="37"/>
  <c r="AC209" i="37"/>
  <c r="AA209" i="37"/>
  <c r="Z209" i="37"/>
  <c r="Y209" i="37"/>
  <c r="X209" i="37"/>
  <c r="Q209" i="37"/>
  <c r="R215" i="37" s="1"/>
  <c r="U215" i="37" s="1"/>
  <c r="P209" i="37"/>
  <c r="A209" i="37"/>
  <c r="A216" i="37" s="1"/>
  <c r="AK207" i="37"/>
  <c r="AL207" i="37" s="1"/>
  <c r="AK206" i="37"/>
  <c r="AL206" i="37" s="1"/>
  <c r="AJ206" i="37"/>
  <c r="T206" i="37"/>
  <c r="V206" i="37" s="1"/>
  <c r="AK205" i="37"/>
  <c r="AL205" i="37" s="1"/>
  <c r="AJ205" i="37"/>
  <c r="T205" i="37" s="1"/>
  <c r="V205" i="37" s="1"/>
  <c r="AJ204" i="37"/>
  <c r="T204" i="37" s="1"/>
  <c r="V204" i="37" s="1"/>
  <c r="AJ203" i="37"/>
  <c r="T203" i="37" s="1"/>
  <c r="V203" i="37" s="1"/>
  <c r="AK202" i="37"/>
  <c r="AL202" i="37" s="1"/>
  <c r="AJ202" i="37"/>
  <c r="T202" i="37" s="1"/>
  <c r="V202" i="37" s="1"/>
  <c r="AH201" i="37"/>
  <c r="AG201" i="37"/>
  <c r="AF201" i="37"/>
  <c r="AE201" i="37"/>
  <c r="AD201" i="37"/>
  <c r="AC201" i="37"/>
  <c r="AA201" i="37"/>
  <c r="Z201" i="37"/>
  <c r="Y201" i="37"/>
  <c r="X201" i="37"/>
  <c r="Q201" i="37"/>
  <c r="R207" i="37" s="1"/>
  <c r="P201" i="37"/>
  <c r="AK200" i="37"/>
  <c r="AL200" i="37" s="1"/>
  <c r="AJ200" i="37"/>
  <c r="T200" i="37" s="1"/>
  <c r="AK199" i="37"/>
  <c r="AL199" i="37" s="1"/>
  <c r="AJ199" i="37"/>
  <c r="T199" i="37" s="1"/>
  <c r="V199" i="37" s="1"/>
  <c r="AK198" i="37"/>
  <c r="AL198" i="37" s="1"/>
  <c r="AJ198" i="37"/>
  <c r="T198" i="37" s="1"/>
  <c r="V198" i="37" s="1"/>
  <c r="AK197" i="37"/>
  <c r="AL197" i="37" s="1"/>
  <c r="AJ197" i="37"/>
  <c r="T197" i="37" s="1"/>
  <c r="V197" i="37" s="1"/>
  <c r="AK196" i="37"/>
  <c r="AL196" i="37" s="1"/>
  <c r="AJ196" i="37"/>
  <c r="T196" i="37" s="1"/>
  <c r="AK195" i="37"/>
  <c r="AL195" i="37" s="1"/>
  <c r="AJ195" i="37"/>
  <c r="T195" i="37" s="1"/>
  <c r="V195" i="37" s="1"/>
  <c r="AK194" i="37"/>
  <c r="AL194" i="37" s="1"/>
  <c r="AJ194" i="37"/>
  <c r="T194" i="37" s="1"/>
  <c r="V194" i="37" s="1"/>
  <c r="AI193" i="37"/>
  <c r="AH193" i="37"/>
  <c r="AG193" i="37"/>
  <c r="AF193" i="37"/>
  <c r="AE193" i="37"/>
  <c r="AD193" i="37"/>
  <c r="AC193" i="37"/>
  <c r="AA193" i="37"/>
  <c r="Z193" i="37"/>
  <c r="Y193" i="37"/>
  <c r="X193" i="37"/>
  <c r="Q193" i="37"/>
  <c r="R197" i="37" s="1"/>
  <c r="P193" i="37"/>
  <c r="AJ192" i="37"/>
  <c r="T191" i="37" s="1"/>
  <c r="AK191" i="37"/>
  <c r="AL191" i="37" s="1"/>
  <c r="AJ191" i="37"/>
  <c r="V191" i="37"/>
  <c r="AK190" i="37"/>
  <c r="AL190" i="37" s="1"/>
  <c r="AJ190" i="37"/>
  <c r="T190" i="37" s="1"/>
  <c r="V190" i="37" s="1"/>
  <c r="AK189" i="37"/>
  <c r="AL189" i="37" s="1"/>
  <c r="AJ189" i="37"/>
  <c r="T189" i="37" s="1"/>
  <c r="V189" i="37" s="1"/>
  <c r="AK188" i="37"/>
  <c r="AL188" i="37" s="1"/>
  <c r="AJ188" i="37"/>
  <c r="T188" i="37" s="1"/>
  <c r="V188" i="37" s="1"/>
  <c r="AK187" i="37"/>
  <c r="AL187" i="37" s="1"/>
  <c r="AJ187" i="37"/>
  <c r="T187" i="37" s="1"/>
  <c r="V187" i="37" s="1"/>
  <c r="AK186" i="37"/>
  <c r="AL186" i="37" s="1"/>
  <c r="AJ186" i="37"/>
  <c r="T186" i="37" s="1"/>
  <c r="V186" i="37" s="1"/>
  <c r="AK185" i="37"/>
  <c r="AL185" i="37" s="1"/>
  <c r="AJ185" i="37"/>
  <c r="T185" i="37" s="1"/>
  <c r="V185" i="37" s="1"/>
  <c r="AK184" i="37"/>
  <c r="AJ184" i="37"/>
  <c r="T184" i="37" s="1"/>
  <c r="V184" i="37" s="1"/>
  <c r="AK183" i="37"/>
  <c r="AL183" i="37" s="1"/>
  <c r="AJ183" i="37"/>
  <c r="T183" i="37" s="1"/>
  <c r="V183" i="37" s="1"/>
  <c r="AR182" i="37"/>
  <c r="AK182" i="37"/>
  <c r="AL182" i="37" s="1"/>
  <c r="AJ182" i="37"/>
  <c r="T182" i="37" s="1"/>
  <c r="V182" i="37" s="1"/>
  <c r="AH181" i="37"/>
  <c r="AG181" i="37"/>
  <c r="AG180" i="37" s="1"/>
  <c r="AF181" i="37"/>
  <c r="AF180" i="37" s="1"/>
  <c r="AE181" i="37"/>
  <c r="AE180" i="37" s="1"/>
  <c r="AD181" i="37"/>
  <c r="AD180" i="37" s="1"/>
  <c r="AC181" i="37"/>
  <c r="AC180" i="37" s="1"/>
  <c r="AA181" i="37"/>
  <c r="Z181" i="37"/>
  <c r="Z180" i="37" s="1"/>
  <c r="Y181" i="37"/>
  <c r="Y180" i="37" s="1"/>
  <c r="X181" i="37"/>
  <c r="X180" i="37" s="1"/>
  <c r="Q181" i="37"/>
  <c r="R190" i="37" s="1"/>
  <c r="P181" i="37"/>
  <c r="AH180" i="37"/>
  <c r="AB180" i="37"/>
  <c r="AA180" i="37"/>
  <c r="W180" i="37"/>
  <c r="S180" i="37"/>
  <c r="O180" i="37"/>
  <c r="AK179" i="37"/>
  <c r="AL179" i="37" s="1"/>
  <c r="AJ179" i="37"/>
  <c r="T179" i="37" s="1"/>
  <c r="V179" i="37" s="1"/>
  <c r="AK178" i="37"/>
  <c r="AL178" i="37" s="1"/>
  <c r="AJ178" i="37"/>
  <c r="T178" i="37" s="1"/>
  <c r="V178" i="37" s="1"/>
  <c r="AK177" i="37"/>
  <c r="AL177" i="37" s="1"/>
  <c r="AJ177" i="37"/>
  <c r="T177" i="37" s="1"/>
  <c r="V177" i="37" s="1"/>
  <c r="AK176" i="37"/>
  <c r="AL176" i="37" s="1"/>
  <c r="AJ176" i="37"/>
  <c r="T176" i="37" s="1"/>
  <c r="V176" i="37" s="1"/>
  <c r="AK175" i="37"/>
  <c r="AL175" i="37" s="1"/>
  <c r="AJ175" i="37"/>
  <c r="T175" i="37" s="1"/>
  <c r="V175" i="37" s="1"/>
  <c r="AK174" i="37"/>
  <c r="AL174" i="37" s="1"/>
  <c r="AJ174" i="37"/>
  <c r="T174" i="37" s="1"/>
  <c r="V174" i="37" s="1"/>
  <c r="AK173" i="37"/>
  <c r="AL173" i="37" s="1"/>
  <c r="AJ173" i="37"/>
  <c r="T173" i="37" s="1"/>
  <c r="V173" i="37" s="1"/>
  <c r="AK172" i="37"/>
  <c r="AL172" i="37" s="1"/>
  <c r="AJ172" i="37"/>
  <c r="T172" i="37" s="1"/>
  <c r="V172" i="37" s="1"/>
  <c r="AI171" i="37"/>
  <c r="AH171" i="37"/>
  <c r="AG171" i="37"/>
  <c r="AF171" i="37"/>
  <c r="AE171" i="37"/>
  <c r="AD171" i="37"/>
  <c r="AC171" i="37"/>
  <c r="AA171" i="37"/>
  <c r="Z171" i="37"/>
  <c r="Y171" i="37"/>
  <c r="X171" i="37"/>
  <c r="Q171" i="37"/>
  <c r="R179" i="37" s="1"/>
  <c r="U179" i="37" s="1"/>
  <c r="P171" i="37"/>
  <c r="AL170" i="37"/>
  <c r="AK170" i="37"/>
  <c r="AJ170" i="37"/>
  <c r="T170" i="37" s="1"/>
  <c r="V170" i="37" s="1"/>
  <c r="AI169" i="37"/>
  <c r="AH169" i="37"/>
  <c r="AG169" i="37"/>
  <c r="AG168" i="37" s="1"/>
  <c r="AF169" i="37"/>
  <c r="AF168" i="37" s="1"/>
  <c r="AE169" i="37"/>
  <c r="AE168" i="37" s="1"/>
  <c r="AD169" i="37"/>
  <c r="AD168" i="37" s="1"/>
  <c r="AC169" i="37"/>
  <c r="AC168" i="37" s="1"/>
  <c r="AA169" i="37"/>
  <c r="Z169" i="37"/>
  <c r="Z168" i="37" s="1"/>
  <c r="Y169" i="37"/>
  <c r="Y168" i="37" s="1"/>
  <c r="X169" i="37"/>
  <c r="Q169" i="37"/>
  <c r="R170" i="37" s="1"/>
  <c r="P169" i="37"/>
  <c r="P168" i="37" s="1"/>
  <c r="AB168" i="37"/>
  <c r="AA168" i="37"/>
  <c r="X168" i="37"/>
  <c r="W168" i="37"/>
  <c r="O168" i="37"/>
  <c r="AK167" i="37"/>
  <c r="AL167" i="37" s="1"/>
  <c r="AJ167" i="37"/>
  <c r="T167" i="37" s="1"/>
  <c r="V167" i="37" s="1"/>
  <c r="AK166" i="37"/>
  <c r="AL166" i="37" s="1"/>
  <c r="AJ166" i="37"/>
  <c r="T166" i="37" s="1"/>
  <c r="V166" i="37" s="1"/>
  <c r="AI165" i="37"/>
  <c r="AH165" i="37"/>
  <c r="AH161" i="37" s="1"/>
  <c r="AG165" i="37"/>
  <c r="AG161" i="37" s="1"/>
  <c r="AF165" i="37"/>
  <c r="AF161" i="37" s="1"/>
  <c r="AE165" i="37"/>
  <c r="AE161" i="37" s="1"/>
  <c r="AD165" i="37"/>
  <c r="AD161" i="37" s="1"/>
  <c r="AC165" i="37"/>
  <c r="AC161" i="37" s="1"/>
  <c r="AA165" i="37"/>
  <c r="Z165" i="37"/>
  <c r="Z161" i="37" s="1"/>
  <c r="Y165" i="37"/>
  <c r="Y161" i="37" s="1"/>
  <c r="X165" i="37"/>
  <c r="X161" i="37" s="1"/>
  <c r="Q165" i="37"/>
  <c r="P165" i="37"/>
  <c r="P161" i="37" s="1"/>
  <c r="AK164" i="37"/>
  <c r="AL164" i="37" s="1"/>
  <c r="AJ164" i="37"/>
  <c r="T164" i="37" s="1"/>
  <c r="V164" i="37" s="1"/>
  <c r="AK163" i="37"/>
  <c r="AL163" i="37" s="1"/>
  <c r="AJ163" i="37"/>
  <c r="T163" i="37" s="1"/>
  <c r="V163" i="37" s="1"/>
  <c r="AI162" i="37"/>
  <c r="AH162" i="37"/>
  <c r="AG162" i="37"/>
  <c r="AF162" i="37"/>
  <c r="AE162" i="37"/>
  <c r="AD162" i="37"/>
  <c r="AC162" i="37"/>
  <c r="AA162" i="37"/>
  <c r="Z162" i="37"/>
  <c r="Y162" i="37"/>
  <c r="X162" i="37"/>
  <c r="Q162" i="37"/>
  <c r="AI161" i="37"/>
  <c r="AB161" i="37"/>
  <c r="AA161" i="37"/>
  <c r="W161" i="37"/>
  <c r="O161" i="37"/>
  <c r="AK160" i="37"/>
  <c r="AL160" i="37" s="1"/>
  <c r="AJ160" i="37"/>
  <c r="T160" i="37" s="1"/>
  <c r="V160" i="37" s="1"/>
  <c r="AH160" i="37"/>
  <c r="AF160" i="37"/>
  <c r="AE160" i="37"/>
  <c r="AD160" i="37"/>
  <c r="AC160" i="37"/>
  <c r="AA160" i="37"/>
  <c r="Z160" i="37"/>
  <c r="Y160" i="37"/>
  <c r="X160" i="37"/>
  <c r="AI159" i="37"/>
  <c r="AH159" i="37"/>
  <c r="AF159" i="37"/>
  <c r="AE159" i="37"/>
  <c r="AD159" i="37"/>
  <c r="AC159" i="37"/>
  <c r="AA159" i="37"/>
  <c r="Z159" i="37"/>
  <c r="Y159" i="37"/>
  <c r="X159" i="37"/>
  <c r="Q159" i="37"/>
  <c r="AK158" i="37"/>
  <c r="AL158" i="37" s="1"/>
  <c r="AH158" i="37"/>
  <c r="AF158" i="37"/>
  <c r="AE158" i="37"/>
  <c r="AD158" i="37"/>
  <c r="AC158" i="37"/>
  <c r="AA158" i="37"/>
  <c r="Z158" i="37"/>
  <c r="Y158" i="37"/>
  <c r="X158" i="37"/>
  <c r="AH157" i="37"/>
  <c r="AF157" i="37"/>
  <c r="AE157" i="37"/>
  <c r="AD157" i="37"/>
  <c r="AC157" i="37"/>
  <c r="AA157" i="37"/>
  <c r="Z157" i="37"/>
  <c r="Y157" i="37"/>
  <c r="X157" i="37"/>
  <c r="Q157" i="37"/>
  <c r="AK156" i="37"/>
  <c r="AL156" i="37" s="1"/>
  <c r="AJ156" i="37"/>
  <c r="T156" i="37" s="1"/>
  <c r="V156" i="37" s="1"/>
  <c r="AH156" i="37"/>
  <c r="AF156" i="37"/>
  <c r="AE156" i="37"/>
  <c r="AD156" i="37"/>
  <c r="AC156" i="37"/>
  <c r="AA156" i="37"/>
  <c r="Z156" i="37"/>
  <c r="Y156" i="37"/>
  <c r="X156" i="37"/>
  <c r="AI155" i="37"/>
  <c r="AH155" i="37"/>
  <c r="AF155" i="37"/>
  <c r="AE155" i="37"/>
  <c r="AD155" i="37"/>
  <c r="AC155" i="37"/>
  <c r="AA155" i="37"/>
  <c r="Z155" i="37"/>
  <c r="Y155" i="37"/>
  <c r="X155" i="37"/>
  <c r="Q155" i="37"/>
  <c r="P155" i="37"/>
  <c r="AH153" i="37"/>
  <c r="AG153" i="37"/>
  <c r="AF153" i="37"/>
  <c r="AE153" i="37"/>
  <c r="AD153" i="37"/>
  <c r="AC153" i="37"/>
  <c r="AA153" i="37"/>
  <c r="Z153" i="37"/>
  <c r="Y153" i="37"/>
  <c r="X153" i="37"/>
  <c r="AI152" i="37"/>
  <c r="AH152" i="37"/>
  <c r="AG152" i="37"/>
  <c r="AF152" i="37"/>
  <c r="AE152" i="37"/>
  <c r="AD152" i="37"/>
  <c r="AC152" i="37"/>
  <c r="AA152" i="37"/>
  <c r="Z152" i="37"/>
  <c r="Y152" i="37"/>
  <c r="X152" i="37"/>
  <c r="AI151" i="37"/>
  <c r="AJ151" i="37" s="1"/>
  <c r="T151" i="37" s="1"/>
  <c r="V151" i="37" s="1"/>
  <c r="AH151" i="37"/>
  <c r="AG151" i="37"/>
  <c r="AF151" i="37"/>
  <c r="AE151" i="37"/>
  <c r="AD151" i="37"/>
  <c r="AC151" i="37"/>
  <c r="AA151" i="37"/>
  <c r="Z151" i="37"/>
  <c r="Y151" i="37"/>
  <c r="X151" i="37"/>
  <c r="AK150" i="37"/>
  <c r="AL150" i="37" s="1"/>
  <c r="AJ150" i="37"/>
  <c r="T150" i="37" s="1"/>
  <c r="V150" i="37" s="1"/>
  <c r="AH150" i="37"/>
  <c r="AG150" i="37"/>
  <c r="AF150" i="37"/>
  <c r="AE150" i="37"/>
  <c r="AD150" i="37"/>
  <c r="AC150" i="37"/>
  <c r="AA150" i="37"/>
  <c r="Z150" i="37"/>
  <c r="Y150" i="37"/>
  <c r="X150" i="37"/>
  <c r="AK149" i="37"/>
  <c r="AL149" i="37" s="1"/>
  <c r="AJ149" i="37"/>
  <c r="T149" i="37" s="1"/>
  <c r="V149" i="37" s="1"/>
  <c r="AH149" i="37"/>
  <c r="AG149" i="37"/>
  <c r="AF149" i="37"/>
  <c r="AE149" i="37"/>
  <c r="AD149" i="37"/>
  <c r="AC149" i="37"/>
  <c r="AA149" i="37"/>
  <c r="Z149" i="37"/>
  <c r="Y149" i="37"/>
  <c r="X149" i="37"/>
  <c r="AH148" i="37"/>
  <c r="AG148" i="37"/>
  <c r="AF148" i="37"/>
  <c r="AE148" i="37"/>
  <c r="AD148" i="37"/>
  <c r="AC148" i="37"/>
  <c r="AA148" i="37"/>
  <c r="Z148" i="37"/>
  <c r="Y148" i="37"/>
  <c r="X148" i="37"/>
  <c r="Q148" i="37"/>
  <c r="R151" i="37" s="1"/>
  <c r="P148" i="37"/>
  <c r="AK147" i="37"/>
  <c r="AL147" i="37" s="1"/>
  <c r="AJ147" i="37"/>
  <c r="T147" i="37" s="1"/>
  <c r="V147" i="37" s="1"/>
  <c r="AH147" i="37"/>
  <c r="AG147" i="37"/>
  <c r="AF147" i="37"/>
  <c r="AE147" i="37"/>
  <c r="AD147" i="37"/>
  <c r="AC147" i="37"/>
  <c r="AA147" i="37"/>
  <c r="Z147" i="37"/>
  <c r="Y147" i="37"/>
  <c r="X147" i="37"/>
  <c r="AH146" i="37"/>
  <c r="AG146" i="37"/>
  <c r="AF146" i="37"/>
  <c r="AE146" i="37"/>
  <c r="AD146" i="37"/>
  <c r="AC146" i="37"/>
  <c r="AA146" i="37"/>
  <c r="Z146" i="37"/>
  <c r="Y146" i="37"/>
  <c r="X146" i="37"/>
  <c r="AK145" i="37"/>
  <c r="AL145" i="37" s="1"/>
  <c r="AJ145" i="37"/>
  <c r="AH145" i="37"/>
  <c r="AG145" i="37"/>
  <c r="AF145" i="37"/>
  <c r="AE145" i="37"/>
  <c r="AD145" i="37"/>
  <c r="AC145" i="37"/>
  <c r="AA145" i="37"/>
  <c r="Z145" i="37"/>
  <c r="Y145" i="37"/>
  <c r="X145" i="37"/>
  <c r="V145" i="37"/>
  <c r="T145" i="37"/>
  <c r="AH144" i="37"/>
  <c r="AG144" i="37"/>
  <c r="AF144" i="37"/>
  <c r="AE144" i="37"/>
  <c r="AD144" i="37"/>
  <c r="AC144" i="37"/>
  <c r="AA144" i="37"/>
  <c r="Z144" i="37"/>
  <c r="Y144" i="37"/>
  <c r="X144" i="37"/>
  <c r="Q144" i="37"/>
  <c r="R149" i="37" s="1"/>
  <c r="P144" i="37"/>
  <c r="AK143" i="37"/>
  <c r="AL143" i="37" s="1"/>
  <c r="AJ143" i="37"/>
  <c r="T143" i="37" s="1"/>
  <c r="V143" i="37" s="1"/>
  <c r="AH143" i="37"/>
  <c r="AG143" i="37"/>
  <c r="AK142" i="37"/>
  <c r="AL142" i="37" s="1"/>
  <c r="AJ142" i="37"/>
  <c r="T142" i="37" s="1"/>
  <c r="V142" i="37" s="1"/>
  <c r="AI141" i="37"/>
  <c r="AH141" i="37"/>
  <c r="AG141" i="37"/>
  <c r="Q141" i="37"/>
  <c r="R143" i="37" s="1"/>
  <c r="AK140" i="37"/>
  <c r="AL140" i="37" s="1"/>
  <c r="AJ140" i="37"/>
  <c r="T140" i="37" s="1"/>
  <c r="V140" i="37" s="1"/>
  <c r="AI139" i="37"/>
  <c r="AH139" i="37"/>
  <c r="AG139" i="37"/>
  <c r="AF139" i="37"/>
  <c r="AE139" i="37"/>
  <c r="AD139" i="37"/>
  <c r="AC139" i="37"/>
  <c r="AA139" i="37"/>
  <c r="Z139" i="37"/>
  <c r="Y139" i="37"/>
  <c r="X139" i="37"/>
  <c r="Q139" i="37"/>
  <c r="P139" i="37"/>
  <c r="AK138" i="37"/>
  <c r="AL138" i="37" s="1"/>
  <c r="AJ138" i="37"/>
  <c r="T138" i="37" s="1"/>
  <c r="V138" i="37" s="1"/>
  <c r="AL137" i="37"/>
  <c r="AK137" i="37"/>
  <c r="AJ137" i="37"/>
  <c r="T137" i="37" s="1"/>
  <c r="V137" i="37" s="1"/>
  <c r="AK136" i="37"/>
  <c r="AL136" i="37" s="1"/>
  <c r="AJ136" i="37"/>
  <c r="T136" i="37" s="1"/>
  <c r="V136" i="37" s="1"/>
  <c r="AK135" i="37"/>
  <c r="AL135" i="37" s="1"/>
  <c r="AJ135" i="37"/>
  <c r="T135" i="37" s="1"/>
  <c r="V135" i="37" s="1"/>
  <c r="AK134" i="37"/>
  <c r="AL134" i="37" s="1"/>
  <c r="AJ134" i="37"/>
  <c r="T134" i="37" s="1"/>
  <c r="V134" i="37" s="1"/>
  <c r="AK133" i="37"/>
  <c r="AL133" i="37" s="1"/>
  <c r="AJ133" i="37"/>
  <c r="T133" i="37" s="1"/>
  <c r="V133" i="37" s="1"/>
  <c r="AK132" i="37"/>
  <c r="AL132" i="37" s="1"/>
  <c r="AJ132" i="37"/>
  <c r="T132" i="37" s="1"/>
  <c r="V132" i="37" s="1"/>
  <c r="AH132" i="37"/>
  <c r="AG132" i="37"/>
  <c r="AF132" i="37"/>
  <c r="AE132" i="37"/>
  <c r="AD132" i="37"/>
  <c r="AC132" i="37"/>
  <c r="AA132" i="37"/>
  <c r="Z132" i="37"/>
  <c r="Y132" i="37"/>
  <c r="X132" i="37"/>
  <c r="AL131" i="37"/>
  <c r="AK131" i="37"/>
  <c r="AJ131" i="37"/>
  <c r="T131" i="37" s="1"/>
  <c r="V131" i="37" s="1"/>
  <c r="AH131" i="37"/>
  <c r="AG131" i="37"/>
  <c r="AF131" i="37"/>
  <c r="AE131" i="37"/>
  <c r="AD131" i="37"/>
  <c r="AC131" i="37"/>
  <c r="AA131" i="37"/>
  <c r="Z131" i="37"/>
  <c r="Y131" i="37"/>
  <c r="X131" i="37"/>
  <c r="AK130" i="37"/>
  <c r="AL130" i="37" s="1"/>
  <c r="AJ130" i="37"/>
  <c r="T130" i="37" s="1"/>
  <c r="V130" i="37" s="1"/>
  <c r="AH130" i="37"/>
  <c r="AG130" i="37"/>
  <c r="AF130" i="37"/>
  <c r="AE130" i="37"/>
  <c r="AD130" i="37"/>
  <c r="AC130" i="37"/>
  <c r="AA130" i="37"/>
  <c r="Z130" i="37"/>
  <c r="Y130" i="37"/>
  <c r="X130" i="37"/>
  <c r="AK129" i="37"/>
  <c r="AL129" i="37" s="1"/>
  <c r="AJ129" i="37"/>
  <c r="T129" i="37" s="1"/>
  <c r="V129" i="37" s="1"/>
  <c r="AH129" i="37"/>
  <c r="AG129" i="37"/>
  <c r="AF129" i="37"/>
  <c r="AE129" i="37"/>
  <c r="AD129" i="37"/>
  <c r="AC129" i="37"/>
  <c r="AA129" i="37"/>
  <c r="Z129" i="37"/>
  <c r="Y129" i="37"/>
  <c r="X129" i="37"/>
  <c r="AK128" i="37"/>
  <c r="AL128" i="37" s="1"/>
  <c r="AJ128" i="37"/>
  <c r="T128" i="37" s="1"/>
  <c r="V128" i="37" s="1"/>
  <c r="AH128" i="37"/>
  <c r="AG128" i="37"/>
  <c r="AF128" i="37"/>
  <c r="AE128" i="37"/>
  <c r="AD128" i="37"/>
  <c r="AC128" i="37"/>
  <c r="AA128" i="37"/>
  <c r="Z128" i="37"/>
  <c r="Y128" i="37"/>
  <c r="X128" i="37"/>
  <c r="AI127" i="37"/>
  <c r="AH127" i="37"/>
  <c r="AG127" i="37"/>
  <c r="AG124" i="37" s="1"/>
  <c r="AF127" i="37"/>
  <c r="AF124" i="37" s="1"/>
  <c r="AE127" i="37"/>
  <c r="AD127" i="37"/>
  <c r="AD124" i="37" s="1"/>
  <c r="AC127" i="37"/>
  <c r="AC124" i="37" s="1"/>
  <c r="AA127" i="37"/>
  <c r="AA124" i="37" s="1"/>
  <c r="Z127" i="37"/>
  <c r="Z124" i="37" s="1"/>
  <c r="Y127" i="37"/>
  <c r="Y124" i="37" s="1"/>
  <c r="X127" i="37"/>
  <c r="X124" i="37" s="1"/>
  <c r="Q127" i="37"/>
  <c r="R137" i="37" s="1"/>
  <c r="P127" i="37"/>
  <c r="AI126" i="37"/>
  <c r="AH126" i="37"/>
  <c r="AG126" i="37"/>
  <c r="AF126" i="37"/>
  <c r="AE126" i="37"/>
  <c r="AD126" i="37"/>
  <c r="AC126" i="37"/>
  <c r="AA126" i="37"/>
  <c r="Z126" i="37"/>
  <c r="Y126" i="37"/>
  <c r="X126" i="37"/>
  <c r="AH125" i="37"/>
  <c r="AG125" i="37"/>
  <c r="AF125" i="37"/>
  <c r="AE125" i="37"/>
  <c r="AD125" i="37"/>
  <c r="AC125" i="37"/>
  <c r="AA125" i="37"/>
  <c r="Z125" i="37"/>
  <c r="Y125" i="37"/>
  <c r="X125" i="37"/>
  <c r="Q125" i="37"/>
  <c r="P125" i="37"/>
  <c r="AE124" i="37"/>
  <c r="AB124" i="37"/>
  <c r="W124" i="37"/>
  <c r="O124" i="37"/>
  <c r="AK123" i="37"/>
  <c r="AL123" i="37" s="1"/>
  <c r="AJ123" i="37"/>
  <c r="T123" i="37" s="1"/>
  <c r="V123" i="37" s="1"/>
  <c r="AK122" i="37"/>
  <c r="AL122" i="37" s="1"/>
  <c r="AJ122" i="37"/>
  <c r="T122" i="37" s="1"/>
  <c r="V122" i="37" s="1"/>
  <c r="AI120" i="37"/>
  <c r="AK119" i="37"/>
  <c r="AL119" i="37" s="1"/>
  <c r="AJ119" i="37"/>
  <c r="T119" i="37" s="1"/>
  <c r="V119" i="37" s="1"/>
  <c r="AI118" i="37"/>
  <c r="AK118" i="37" s="1"/>
  <c r="AL118" i="37" s="1"/>
  <c r="AI117" i="37"/>
  <c r="AK117" i="37" s="1"/>
  <c r="AL117" i="37" s="1"/>
  <c r="AI116" i="37"/>
  <c r="AK116" i="37" s="1"/>
  <c r="AL116" i="37" s="1"/>
  <c r="AI114" i="37"/>
  <c r="AK114" i="37" s="1"/>
  <c r="AL114" i="37" s="1"/>
  <c r="AI113" i="37"/>
  <c r="AK113" i="37" s="1"/>
  <c r="AL113" i="37" s="1"/>
  <c r="AI112" i="37"/>
  <c r="AK112" i="37" s="1"/>
  <c r="AL112" i="37" s="1"/>
  <c r="AI111" i="37"/>
  <c r="AK111" i="37" s="1"/>
  <c r="AL111" i="37" s="1"/>
  <c r="AH110" i="37"/>
  <c r="AG110" i="37"/>
  <c r="AF110" i="37"/>
  <c r="AE110" i="37"/>
  <c r="AD110" i="37"/>
  <c r="AC110" i="37"/>
  <c r="AA110" i="37"/>
  <c r="Z110" i="37"/>
  <c r="Y110" i="37"/>
  <c r="X110" i="37"/>
  <c r="Q110" i="37"/>
  <c r="P110" i="37"/>
  <c r="AK109" i="37"/>
  <c r="AL109" i="37" s="1"/>
  <c r="AJ109" i="37"/>
  <c r="T109" i="37" s="1"/>
  <c r="V109" i="37" s="1"/>
  <c r="AK108" i="37"/>
  <c r="AL108" i="37" s="1"/>
  <c r="AJ108" i="37"/>
  <c r="T108" i="37" s="1"/>
  <c r="V108" i="37" s="1"/>
  <c r="AK107" i="37"/>
  <c r="AL107" i="37" s="1"/>
  <c r="AJ107" i="37"/>
  <c r="T107" i="37" s="1"/>
  <c r="V107" i="37" s="1"/>
  <c r="AK106" i="37"/>
  <c r="AL106" i="37" s="1"/>
  <c r="AK105" i="37"/>
  <c r="AL105" i="37" s="1"/>
  <c r="AK104" i="37"/>
  <c r="AL104" i="37" s="1"/>
  <c r="AJ104" i="37"/>
  <c r="T104" i="37" s="1"/>
  <c r="V104" i="37" s="1"/>
  <c r="AK103" i="37"/>
  <c r="AL103" i="37" s="1"/>
  <c r="AJ103" i="37"/>
  <c r="T103" i="37" s="1"/>
  <c r="V103" i="37" s="1"/>
  <c r="AI102" i="37"/>
  <c r="AJ102" i="37" s="1"/>
  <c r="T102" i="37" s="1"/>
  <c r="V102" i="37" s="1"/>
  <c r="AI101" i="37"/>
  <c r="AJ101" i="37" s="1"/>
  <c r="T101" i="37" s="1"/>
  <c r="V101" i="37" s="1"/>
  <c r="AK100" i="37"/>
  <c r="AL100" i="37" s="1"/>
  <c r="AI100" i="37"/>
  <c r="AJ100" i="37" s="1"/>
  <c r="T100" i="37" s="1"/>
  <c r="V100" i="37" s="1"/>
  <c r="AK99" i="37"/>
  <c r="AL99" i="37" s="1"/>
  <c r="AJ99" i="37"/>
  <c r="T99" i="37" s="1"/>
  <c r="V99" i="37" s="1"/>
  <c r="AK98" i="37"/>
  <c r="AL98" i="37" s="1"/>
  <c r="AI97" i="37"/>
  <c r="AH96" i="37"/>
  <c r="AG96" i="37"/>
  <c r="AF96" i="37"/>
  <c r="AE96" i="37"/>
  <c r="AD96" i="37"/>
  <c r="AC96" i="37"/>
  <c r="AA96" i="37"/>
  <c r="Z96" i="37"/>
  <c r="Y96" i="37"/>
  <c r="X96" i="37"/>
  <c r="Q96" i="37"/>
  <c r="P96" i="37"/>
  <c r="AK95" i="37"/>
  <c r="AL95" i="37" s="1"/>
  <c r="AJ95" i="37"/>
  <c r="T95" i="37" s="1"/>
  <c r="V95" i="37" s="1"/>
  <c r="AI94" i="37"/>
  <c r="AH94" i="37"/>
  <c r="AG94" i="37"/>
  <c r="AF94" i="37"/>
  <c r="AE94" i="37"/>
  <c r="AD94" i="37"/>
  <c r="AC94" i="37"/>
  <c r="AA94" i="37"/>
  <c r="Z94" i="37"/>
  <c r="Y94" i="37"/>
  <c r="X94" i="37"/>
  <c r="Q94" i="37"/>
  <c r="R126" i="37" s="1"/>
  <c r="P94" i="37"/>
  <c r="AH92" i="37"/>
  <c r="AG92" i="37"/>
  <c r="AF92" i="37"/>
  <c r="AE92" i="37"/>
  <c r="AD92" i="37"/>
  <c r="AC92" i="37"/>
  <c r="AA92" i="37"/>
  <c r="Z92" i="37"/>
  <c r="Y92" i="37"/>
  <c r="X92" i="37"/>
  <c r="Q92" i="37"/>
  <c r="P92" i="37"/>
  <c r="AH89" i="37"/>
  <c r="AG89" i="37"/>
  <c r="AF89" i="37"/>
  <c r="AE89" i="37"/>
  <c r="AD89" i="37"/>
  <c r="AC89" i="37"/>
  <c r="AA89" i="37"/>
  <c r="Z89" i="37"/>
  <c r="Y89" i="37"/>
  <c r="X89" i="37"/>
  <c r="Q89" i="37"/>
  <c r="P89" i="37"/>
  <c r="AK88" i="37"/>
  <c r="AL88" i="37" s="1"/>
  <c r="AJ88" i="37"/>
  <c r="T88" i="37" s="1"/>
  <c r="V88" i="37" s="1"/>
  <c r="AJ87" i="37"/>
  <c r="T87" i="37" s="1"/>
  <c r="V87" i="37" s="1"/>
  <c r="AH86" i="37"/>
  <c r="AG86" i="37"/>
  <c r="AF86" i="37"/>
  <c r="AE86" i="37"/>
  <c r="AD86" i="37"/>
  <c r="AC86" i="37"/>
  <c r="AA86" i="37"/>
  <c r="Z86" i="37"/>
  <c r="Y86" i="37"/>
  <c r="X86" i="37"/>
  <c r="Q86" i="37"/>
  <c r="P86" i="37"/>
  <c r="AK85" i="37"/>
  <c r="AL85" i="37" s="1"/>
  <c r="AJ85" i="37"/>
  <c r="T85" i="37" s="1"/>
  <c r="V85" i="37" s="1"/>
  <c r="AK84" i="37"/>
  <c r="AL84" i="37" s="1"/>
  <c r="AJ84" i="37"/>
  <c r="T84" i="37" s="1"/>
  <c r="V84" i="37" s="1"/>
  <c r="AI83" i="37"/>
  <c r="AH83" i="37"/>
  <c r="AF83" i="37"/>
  <c r="AE83" i="37"/>
  <c r="AD83" i="37"/>
  <c r="AC83" i="37"/>
  <c r="AA83" i="37"/>
  <c r="Z83" i="37"/>
  <c r="Y83" i="37"/>
  <c r="X83" i="37"/>
  <c r="Q83" i="37"/>
  <c r="R84" i="37" s="1"/>
  <c r="AK82" i="37"/>
  <c r="AL82" i="37" s="1"/>
  <c r="AJ82" i="37"/>
  <c r="T82" i="37" s="1"/>
  <c r="V82" i="37" s="1"/>
  <c r="AI81" i="37"/>
  <c r="AH81" i="37"/>
  <c r="AF81" i="37"/>
  <c r="AE81" i="37"/>
  <c r="AD81" i="37"/>
  <c r="AC81" i="37"/>
  <c r="AA81" i="37"/>
  <c r="Z81" i="37"/>
  <c r="Y81" i="37"/>
  <c r="X81" i="37"/>
  <c r="Q81" i="37"/>
  <c r="P81" i="37"/>
  <c r="AK80" i="37"/>
  <c r="AL80" i="37" s="1"/>
  <c r="AJ80" i="37"/>
  <c r="T80" i="37" s="1"/>
  <c r="V80" i="37" s="1"/>
  <c r="AK79" i="37"/>
  <c r="AL79" i="37" s="1"/>
  <c r="AJ79" i="37"/>
  <c r="T79" i="37" s="1"/>
  <c r="V79" i="37" s="1"/>
  <c r="AJ78" i="37"/>
  <c r="T78" i="37" s="1"/>
  <c r="V78" i="37" s="1"/>
  <c r="AI78" i="37"/>
  <c r="AK78" i="37" s="1"/>
  <c r="AL78" i="37" s="1"/>
  <c r="AK77" i="37"/>
  <c r="AL77" i="37" s="1"/>
  <c r="AJ77" i="37"/>
  <c r="T77" i="37" s="1"/>
  <c r="V77" i="37" s="1"/>
  <c r="AK76" i="37"/>
  <c r="AL76" i="37" s="1"/>
  <c r="AJ76" i="37"/>
  <c r="T76" i="37" s="1"/>
  <c r="V76" i="37" s="1"/>
  <c r="AH75" i="37"/>
  <c r="AG75" i="37"/>
  <c r="AF75" i="37"/>
  <c r="AE75" i="37"/>
  <c r="AD75" i="37"/>
  <c r="AC75" i="37"/>
  <c r="AA75" i="37"/>
  <c r="Z75" i="37"/>
  <c r="Y75" i="37"/>
  <c r="X75" i="37"/>
  <c r="Q75" i="37"/>
  <c r="R80" i="37" s="1"/>
  <c r="U80" i="37" s="1"/>
  <c r="P75" i="37"/>
  <c r="AK73" i="37"/>
  <c r="AL73" i="37" s="1"/>
  <c r="AJ73" i="37"/>
  <c r="T73" i="37" s="1"/>
  <c r="V73" i="37" s="1"/>
  <c r="AH72" i="37"/>
  <c r="AG72" i="37"/>
  <c r="AF72" i="37"/>
  <c r="AE72" i="37"/>
  <c r="AD72" i="37"/>
  <c r="AC72" i="37"/>
  <c r="AA72" i="37"/>
  <c r="Z72" i="37"/>
  <c r="Y72" i="37"/>
  <c r="X72" i="37"/>
  <c r="Q72" i="37"/>
  <c r="R74" i="37" s="1"/>
  <c r="P72" i="37"/>
  <c r="AI71" i="37"/>
  <c r="AH71" i="37"/>
  <c r="AG71" i="37"/>
  <c r="AF71" i="37"/>
  <c r="AE71" i="37"/>
  <c r="AD71" i="37"/>
  <c r="AC71" i="37"/>
  <c r="AA71" i="37"/>
  <c r="Z71" i="37"/>
  <c r="Y71" i="37"/>
  <c r="X71" i="37"/>
  <c r="AI70" i="37"/>
  <c r="AJ70" i="37" s="1"/>
  <c r="T70" i="37" s="1"/>
  <c r="V70" i="37" s="1"/>
  <c r="AK69" i="37"/>
  <c r="AL69" i="37" s="1"/>
  <c r="AJ69" i="37"/>
  <c r="AH69" i="37"/>
  <c r="AG69" i="37"/>
  <c r="AF69" i="37"/>
  <c r="AE69" i="37"/>
  <c r="AD69" i="37"/>
  <c r="AC69" i="37"/>
  <c r="AA69" i="37"/>
  <c r="Z69" i="37"/>
  <c r="Y69" i="37"/>
  <c r="X69" i="37"/>
  <c r="V69" i="37"/>
  <c r="T69" i="37"/>
  <c r="AH68" i="37"/>
  <c r="AG68" i="37"/>
  <c r="AF68" i="37"/>
  <c r="AE68" i="37"/>
  <c r="AD68" i="37"/>
  <c r="AC68" i="37"/>
  <c r="AA68" i="37"/>
  <c r="Z68" i="37"/>
  <c r="Y68" i="37"/>
  <c r="X68" i="37"/>
  <c r="Q68" i="37"/>
  <c r="R71" i="37" s="1"/>
  <c r="P68" i="37"/>
  <c r="AI67" i="37"/>
  <c r="AH67" i="37"/>
  <c r="AG67" i="37"/>
  <c r="AF67" i="37"/>
  <c r="AE67" i="37"/>
  <c r="AD67" i="37"/>
  <c r="AC67" i="37"/>
  <c r="AA67" i="37"/>
  <c r="Z67" i="37"/>
  <c r="Y67" i="37"/>
  <c r="X67" i="37"/>
  <c r="AH66" i="37"/>
  <c r="AG66" i="37"/>
  <c r="AF66" i="37"/>
  <c r="AE66" i="37"/>
  <c r="AD66" i="37"/>
  <c r="AC66" i="37"/>
  <c r="AA66" i="37"/>
  <c r="Z66" i="37"/>
  <c r="Y66" i="37"/>
  <c r="X66" i="37"/>
  <c r="Q66" i="37"/>
  <c r="R67" i="37" s="1"/>
  <c r="P66" i="37"/>
  <c r="AH65" i="37"/>
  <c r="AG65" i="37"/>
  <c r="AF65" i="37"/>
  <c r="AE65" i="37"/>
  <c r="AD65" i="37"/>
  <c r="AC65" i="37"/>
  <c r="AA65" i="37"/>
  <c r="Z65" i="37"/>
  <c r="Y65" i="37"/>
  <c r="X65" i="37"/>
  <c r="AK64" i="37"/>
  <c r="AL64" i="37" s="1"/>
  <c r="AJ64" i="37"/>
  <c r="T64" i="37" s="1"/>
  <c r="V64" i="37" s="1"/>
  <c r="AH63" i="37"/>
  <c r="AG63" i="37"/>
  <c r="AF63" i="37"/>
  <c r="AE63" i="37"/>
  <c r="AD63" i="37"/>
  <c r="AC63" i="37"/>
  <c r="AA63" i="37"/>
  <c r="Z63" i="37"/>
  <c r="Y63" i="37"/>
  <c r="X63" i="37"/>
  <c r="AH62" i="37"/>
  <c r="AH59" i="37" s="1"/>
  <c r="AG62" i="37"/>
  <c r="AF62" i="37"/>
  <c r="AE62" i="37"/>
  <c r="AD62" i="37"/>
  <c r="AC62" i="37"/>
  <c r="AA62" i="37"/>
  <c r="Z62" i="37"/>
  <c r="Y62" i="37"/>
  <c r="X62" i="37"/>
  <c r="Q62" i="37"/>
  <c r="R65" i="37" s="1"/>
  <c r="P62" i="37"/>
  <c r="A62" i="37"/>
  <c r="A66" i="37" s="1"/>
  <c r="A68" i="37" s="1"/>
  <c r="A72" i="37" s="1"/>
  <c r="A75" i="37" s="1"/>
  <c r="A81" i="37" s="1"/>
  <c r="A83" i="37" s="1"/>
  <c r="A86" i="37" s="1"/>
  <c r="A89" i="37" s="1"/>
  <c r="A92" i="37" s="1"/>
  <c r="A94" i="37" s="1"/>
  <c r="A96" i="37" s="1"/>
  <c r="A110" i="37" s="1"/>
  <c r="A125" i="37" s="1"/>
  <c r="A127" i="37" s="1"/>
  <c r="A139" i="37" s="1"/>
  <c r="A141" i="37" s="1"/>
  <c r="A144" i="37" s="1"/>
  <c r="A148" i="37" s="1"/>
  <c r="A155" i="37" s="1"/>
  <c r="A157" i="37" s="1"/>
  <c r="A159" i="37" s="1"/>
  <c r="A162" i="37" s="1"/>
  <c r="A165" i="37" s="1"/>
  <c r="A169" i="37" s="1"/>
  <c r="A171" i="37" s="1"/>
  <c r="A181" i="37" s="1"/>
  <c r="A193" i="37" s="1"/>
  <c r="AH61" i="37"/>
  <c r="AG61" i="37"/>
  <c r="AF61" i="37"/>
  <c r="AE61" i="37"/>
  <c r="AD61" i="37"/>
  <c r="AC61" i="37"/>
  <c r="AA61" i="37"/>
  <c r="Z61" i="37"/>
  <c r="Y61" i="37"/>
  <c r="X61" i="37"/>
  <c r="AH60" i="37"/>
  <c r="AG60" i="37"/>
  <c r="AG59" i="37" s="1"/>
  <c r="AG58" i="37" s="1"/>
  <c r="AF60" i="37"/>
  <c r="AF59" i="37" s="1"/>
  <c r="AF58" i="37" s="1"/>
  <c r="AE60" i="37"/>
  <c r="AE59" i="37" s="1"/>
  <c r="AE58" i="37" s="1"/>
  <c r="AD60" i="37"/>
  <c r="AD59" i="37" s="1"/>
  <c r="AD58" i="37" s="1"/>
  <c r="AC60" i="37"/>
  <c r="AC59" i="37" s="1"/>
  <c r="AC58" i="37" s="1"/>
  <c r="AA60" i="37"/>
  <c r="Z60" i="37"/>
  <c r="Z59" i="37" s="1"/>
  <c r="Z58" i="37" s="1"/>
  <c r="Y60" i="37"/>
  <c r="X60" i="37"/>
  <c r="X59" i="37" s="1"/>
  <c r="X58" i="37" s="1"/>
  <c r="Q60" i="37"/>
  <c r="R61" i="37" s="1"/>
  <c r="AB59" i="37"/>
  <c r="AA59" i="37"/>
  <c r="AA58" i="37" s="1"/>
  <c r="Y59" i="37"/>
  <c r="Y58" i="37" s="1"/>
  <c r="W59" i="37"/>
  <c r="S59" i="37"/>
  <c r="S58" i="37" s="1"/>
  <c r="O59" i="37"/>
  <c r="O58" i="37" s="1"/>
  <c r="O35" i="37" s="1"/>
  <c r="AB58" i="37"/>
  <c r="AB35" i="37" s="1"/>
  <c r="W58" i="37"/>
  <c r="AI56" i="37"/>
  <c r="Q55" i="37"/>
  <c r="AK54" i="37"/>
  <c r="AL54" i="37" s="1"/>
  <c r="AJ54" i="37"/>
  <c r="T54" i="37" s="1"/>
  <c r="V54" i="37" s="1"/>
  <c r="AK52" i="37"/>
  <c r="AL52" i="37" s="1"/>
  <c r="Q51" i="37"/>
  <c r="AK50" i="37"/>
  <c r="AL50" i="37" s="1"/>
  <c r="AJ50" i="37"/>
  <c r="T50" i="37" s="1"/>
  <c r="V50" i="37" s="1"/>
  <c r="AK49" i="37"/>
  <c r="AL49" i="37" s="1"/>
  <c r="AJ49" i="37"/>
  <c r="T49" i="37" s="1"/>
  <c r="V49" i="37" s="1"/>
  <c r="AJ46" i="37"/>
  <c r="T46" i="37" s="1"/>
  <c r="V46" i="37" s="1"/>
  <c r="AJ45" i="37"/>
  <c r="T45" i="37" s="1"/>
  <c r="V45" i="37" s="1"/>
  <c r="AJ40" i="37"/>
  <c r="T40" i="37" s="1"/>
  <c r="V40" i="37" s="1"/>
  <c r="Q39" i="37"/>
  <c r="Q38" i="37" s="1"/>
  <c r="AH37" i="37"/>
  <c r="AG37" i="37"/>
  <c r="AF37" i="37"/>
  <c r="AF35" i="37" s="1"/>
  <c r="AE37" i="37"/>
  <c r="AE35" i="37" s="1"/>
  <c r="AD37" i="37"/>
  <c r="AC37" i="37"/>
  <c r="AC35" i="37" s="1"/>
  <c r="AA37" i="37"/>
  <c r="AA35" i="37" s="1"/>
  <c r="Z37" i="37"/>
  <c r="Z35" i="37" s="1"/>
  <c r="Y37" i="37"/>
  <c r="Y35" i="37" s="1"/>
  <c r="X37" i="37"/>
  <c r="X35" i="37" s="1"/>
  <c r="P37" i="37"/>
  <c r="AG35" i="37"/>
  <c r="AD35" i="37"/>
  <c r="W35" i="37"/>
  <c r="S35" i="37"/>
  <c r="AK34" i="37"/>
  <c r="AB34" i="37"/>
  <c r="AA34" i="37"/>
  <c r="Z34" i="37"/>
  <c r="Y34" i="37"/>
  <c r="T34" i="37"/>
  <c r="V34" i="37" s="1"/>
  <c r="AK33" i="37"/>
  <c r="AB33" i="37"/>
  <c r="AA33" i="37"/>
  <c r="Z33" i="37"/>
  <c r="Y33" i="37"/>
  <c r="T33" i="37"/>
  <c r="V33" i="37" s="1"/>
  <c r="AK32" i="37"/>
  <c r="AB32" i="37"/>
  <c r="AA32" i="37"/>
  <c r="Z32" i="37"/>
  <c r="Y32" i="37"/>
  <c r="T32" i="37"/>
  <c r="V32" i="37" s="1"/>
  <c r="AK31" i="37"/>
  <c r="AB31" i="37"/>
  <c r="AA31" i="37"/>
  <c r="Z31" i="37"/>
  <c r="Y31" i="37"/>
  <c r="T31" i="37"/>
  <c r="V31" i="37" s="1"/>
  <c r="AK30" i="37"/>
  <c r="AB30" i="37"/>
  <c r="AA30" i="37"/>
  <c r="Z30" i="37"/>
  <c r="Y30" i="37"/>
  <c r="T30" i="37"/>
  <c r="V30" i="37" s="1"/>
  <c r="AJ29" i="37"/>
  <c r="T29" i="37" s="1"/>
  <c r="V29" i="37" s="1"/>
  <c r="AB29" i="37"/>
  <c r="AA29" i="37"/>
  <c r="Z29" i="37"/>
  <c r="Y29" i="37"/>
  <c r="AK28" i="37"/>
  <c r="AB28" i="37"/>
  <c r="AA28" i="37"/>
  <c r="Z28" i="37"/>
  <c r="Y28" i="37"/>
  <c r="T28" i="37"/>
  <c r="V28" i="37" s="1"/>
  <c r="AK27" i="37"/>
  <c r="AL27" i="37" s="1"/>
  <c r="AB27" i="37"/>
  <c r="AA27" i="37"/>
  <c r="Y27" i="37"/>
  <c r="AH26" i="37"/>
  <c r="AH12" i="37" s="1"/>
  <c r="AG26" i="37"/>
  <c r="AF26" i="37"/>
  <c r="AF12" i="37" s="1"/>
  <c r="AE26" i="37"/>
  <c r="AE12" i="37" s="1"/>
  <c r="AD26" i="37"/>
  <c r="AD12" i="37" s="1"/>
  <c r="AC26" i="37"/>
  <c r="AA26" i="37"/>
  <c r="AA12" i="37" s="1"/>
  <c r="Z26" i="37"/>
  <c r="Z12" i="37" s="1"/>
  <c r="Y26" i="37"/>
  <c r="Y12" i="37" s="1"/>
  <c r="X26" i="37"/>
  <c r="Q26" i="37"/>
  <c r="P26" i="37"/>
  <c r="AK25" i="37"/>
  <c r="AL25" i="37" s="1"/>
  <c r="AC25" i="37"/>
  <c r="AH24" i="37"/>
  <c r="AG24" i="37"/>
  <c r="AF24" i="37"/>
  <c r="AE24" i="37"/>
  <c r="AD24" i="37"/>
  <c r="AC24" i="37"/>
  <c r="AA24" i="37"/>
  <c r="Z24" i="37"/>
  <c r="Y24" i="37"/>
  <c r="X24" i="37"/>
  <c r="R24" i="37"/>
  <c r="Q24" i="37"/>
  <c r="P24" i="37"/>
  <c r="AJ23" i="37"/>
  <c r="T23" i="37" s="1"/>
  <c r="V23" i="37" s="1"/>
  <c r="AJ22" i="37"/>
  <c r="T22" i="37" s="1"/>
  <c r="V22" i="37" s="1"/>
  <c r="AJ19" i="37"/>
  <c r="T19" i="37" s="1"/>
  <c r="V19" i="37" s="1"/>
  <c r="AJ18" i="37"/>
  <c r="T18" i="37" s="1"/>
  <c r="V18" i="37" s="1"/>
  <c r="AJ17" i="37"/>
  <c r="T17" i="37" s="1"/>
  <c r="V17" i="37" s="1"/>
  <c r="AK17" i="37"/>
  <c r="AL17" i="37" s="1"/>
  <c r="AJ16" i="37"/>
  <c r="T16" i="37" s="1"/>
  <c r="V16" i="37" s="1"/>
  <c r="AK16" i="37"/>
  <c r="AL16" i="37" s="1"/>
  <c r="AH14" i="37"/>
  <c r="AG14" i="37"/>
  <c r="AG10" i="37" s="1"/>
  <c r="AF14" i="37"/>
  <c r="AE14" i="37"/>
  <c r="AE10" i="37" s="1"/>
  <c r="AD14" i="37"/>
  <c r="AC14" i="37"/>
  <c r="AC10" i="37" s="1"/>
  <c r="AA14" i="37"/>
  <c r="AA10" i="37" s="1"/>
  <c r="Z14" i="37"/>
  <c r="Z10" i="37" s="1"/>
  <c r="Y14" i="37"/>
  <c r="X14" i="37"/>
  <c r="X10" i="37" s="1"/>
  <c r="Q14" i="37"/>
  <c r="Q12" i="37" s="1"/>
  <c r="R12" i="37" s="1"/>
  <c r="P14" i="37"/>
  <c r="AG12" i="37"/>
  <c r="AC12" i="37"/>
  <c r="AB12" i="37"/>
  <c r="X12" i="37"/>
  <c r="W12" i="37"/>
  <c r="P12" i="37"/>
  <c r="O12" i="37"/>
  <c r="AF10" i="37"/>
  <c r="AD10" i="37"/>
  <c r="AB10" i="37"/>
  <c r="Y10" i="37"/>
  <c r="W10" i="37"/>
  <c r="S10" i="37"/>
  <c r="O10" i="37"/>
  <c r="AI32" i="36"/>
  <c r="AI32" i="35"/>
  <c r="AI32" i="34"/>
  <c r="AI32" i="32"/>
  <c r="AI31" i="31"/>
  <c r="AI31" i="30"/>
  <c r="AI221" i="36"/>
  <c r="AI643" i="36"/>
  <c r="AI641" i="36"/>
  <c r="AI640" i="36"/>
  <c r="AI639" i="36"/>
  <c r="AI593" i="36"/>
  <c r="AI591" i="36"/>
  <c r="AI510" i="36"/>
  <c r="AI487" i="36"/>
  <c r="AI485" i="36"/>
  <c r="AI465" i="36"/>
  <c r="AI463" i="36"/>
  <c r="AI459" i="36"/>
  <c r="AI458" i="36"/>
  <c r="AI421" i="36"/>
  <c r="AI376" i="36"/>
  <c r="AI373" i="36"/>
  <c r="AI372" i="36"/>
  <c r="AI369" i="36"/>
  <c r="AI367" i="36"/>
  <c r="AI363" i="36"/>
  <c r="AI362" i="36"/>
  <c r="AI361" i="36"/>
  <c r="AI360" i="36"/>
  <c r="AI359" i="36"/>
  <c r="AI357" i="36"/>
  <c r="AI347" i="36"/>
  <c r="AI341" i="36"/>
  <c r="AI262" i="36"/>
  <c r="AI259" i="36"/>
  <c r="AI256" i="36"/>
  <c r="AI254" i="36"/>
  <c r="AI253" i="36"/>
  <c r="AI251" i="36"/>
  <c r="AI250" i="36"/>
  <c r="AI247" i="36"/>
  <c r="AI220" i="36"/>
  <c r="AI219" i="36"/>
  <c r="AI192" i="36"/>
  <c r="AI154" i="36"/>
  <c r="AI153" i="36"/>
  <c r="AI146" i="36"/>
  <c r="AI121" i="36"/>
  <c r="AI120" i="36"/>
  <c r="AI118" i="36"/>
  <c r="AI117" i="36"/>
  <c r="AI116" i="36"/>
  <c r="AI114" i="36"/>
  <c r="AI113" i="36"/>
  <c r="AI112" i="36"/>
  <c r="AI111" i="36"/>
  <c r="AJ111" i="36" s="1"/>
  <c r="T111" i="36" s="1"/>
  <c r="V111" i="36" s="1"/>
  <c r="AI106" i="36"/>
  <c r="AI93" i="36"/>
  <c r="AI65" i="36"/>
  <c r="AI56" i="36"/>
  <c r="AI53" i="36"/>
  <c r="AI52" i="36"/>
  <c r="AI48" i="36"/>
  <c r="AI47" i="36"/>
  <c r="AI46" i="36"/>
  <c r="AI45" i="36"/>
  <c r="AI44" i="36"/>
  <c r="AI43" i="36"/>
  <c r="AI42" i="36"/>
  <c r="AI41" i="36"/>
  <c r="AI40" i="36"/>
  <c r="AI34" i="36"/>
  <c r="AI31" i="36"/>
  <c r="AI33" i="36"/>
  <c r="AK33" i="36" s="1"/>
  <c r="AI30" i="36"/>
  <c r="AI28" i="36"/>
  <c r="AI29" i="36"/>
  <c r="AI27" i="36"/>
  <c r="A722" i="36"/>
  <c r="A718" i="36"/>
  <c r="A712" i="36"/>
  <c r="A709" i="36"/>
  <c r="P688" i="36"/>
  <c r="P679" i="36" s="1"/>
  <c r="O688" i="36"/>
  <c r="O679" i="36" s="1"/>
  <c r="O248" i="36" s="1"/>
  <c r="AK687" i="36"/>
  <c r="AL687" i="36" s="1"/>
  <c r="AJ687" i="36"/>
  <c r="T687" i="36" s="1"/>
  <c r="V687" i="36" s="1"/>
  <c r="AK686" i="36"/>
  <c r="AL686" i="36" s="1"/>
  <c r="AJ686" i="36"/>
  <c r="T686" i="36" s="1"/>
  <c r="V686" i="36" s="1"/>
  <c r="AK685" i="36"/>
  <c r="AL685" i="36" s="1"/>
  <c r="AJ685" i="36"/>
  <c r="T685" i="36" s="1"/>
  <c r="V685" i="36" s="1"/>
  <c r="AK684" i="36"/>
  <c r="AL684" i="36" s="1"/>
  <c r="AJ684" i="36"/>
  <c r="T684" i="36" s="1"/>
  <c r="V684" i="36" s="1"/>
  <c r="AK683" i="36"/>
  <c r="AL683" i="36" s="1"/>
  <c r="AJ683" i="36"/>
  <c r="T683" i="36" s="1"/>
  <c r="V683" i="36" s="1"/>
  <c r="AK682" i="36"/>
  <c r="AL682" i="36" s="1"/>
  <c r="AJ682" i="36"/>
  <c r="T682" i="36" s="1"/>
  <c r="V682" i="36" s="1"/>
  <c r="AK681" i="36"/>
  <c r="AL681" i="36" s="1"/>
  <c r="AJ681" i="36"/>
  <c r="T681" i="36" s="1"/>
  <c r="V681" i="36" s="1"/>
  <c r="AI680" i="36"/>
  <c r="AI679" i="36" s="1"/>
  <c r="AH680" i="36"/>
  <c r="AH679" i="36" s="1"/>
  <c r="AG680" i="36"/>
  <c r="AG679" i="36" s="1"/>
  <c r="Q680" i="36"/>
  <c r="R686" i="36" s="1"/>
  <c r="AF679" i="36"/>
  <c r="AE679" i="36"/>
  <c r="AD679" i="36"/>
  <c r="AC679" i="36"/>
  <c r="AB679" i="36"/>
  <c r="AA679" i="36"/>
  <c r="Z679" i="36"/>
  <c r="Y679" i="36"/>
  <c r="X679" i="36"/>
  <c r="W679" i="36"/>
  <c r="AI678" i="36"/>
  <c r="AK678" i="36" s="1"/>
  <c r="AL678" i="36" s="1"/>
  <c r="AK677" i="36"/>
  <c r="AL677" i="36" s="1"/>
  <c r="AJ677" i="36"/>
  <c r="T677" i="36" s="1"/>
  <c r="V677" i="36" s="1"/>
  <c r="AI676" i="36"/>
  <c r="AJ676" i="36" s="1"/>
  <c r="T676" i="36" s="1"/>
  <c r="V676" i="36" s="1"/>
  <c r="AK675" i="36"/>
  <c r="AL675" i="36" s="1"/>
  <c r="AJ675" i="36"/>
  <c r="T675" i="36" s="1"/>
  <c r="V675" i="36" s="1"/>
  <c r="AI674" i="36"/>
  <c r="AJ674" i="36" s="1"/>
  <c r="T674" i="36" s="1"/>
  <c r="V674" i="36" s="1"/>
  <c r="AH673" i="36"/>
  <c r="AG673" i="36"/>
  <c r="Q673" i="36"/>
  <c r="R677" i="36" s="1"/>
  <c r="A673" i="36"/>
  <c r="A680" i="36" s="1"/>
  <c r="AK672" i="36"/>
  <c r="AL672" i="36" s="1"/>
  <c r="AJ672" i="36"/>
  <c r="T672" i="36" s="1"/>
  <c r="AK671" i="36"/>
  <c r="AL671" i="36" s="1"/>
  <c r="AJ671" i="36"/>
  <c r="T671" i="36" s="1"/>
  <c r="V671" i="36" s="1"/>
  <c r="AK670" i="36"/>
  <c r="AL670" i="36" s="1"/>
  <c r="AJ670" i="36"/>
  <c r="T670" i="36" s="1"/>
  <c r="V670" i="36" s="1"/>
  <c r="AK669" i="36"/>
  <c r="AL669" i="36" s="1"/>
  <c r="AJ669" i="36"/>
  <c r="T669" i="36" s="1"/>
  <c r="V669" i="36" s="1"/>
  <c r="AK668" i="36"/>
  <c r="AL668" i="36" s="1"/>
  <c r="AJ668" i="36"/>
  <c r="T668" i="36" s="1"/>
  <c r="V668" i="36" s="1"/>
  <c r="AK667" i="36"/>
  <c r="AL667" i="36" s="1"/>
  <c r="AJ667" i="36"/>
  <c r="T667" i="36" s="1"/>
  <c r="V667" i="36" s="1"/>
  <c r="AK666" i="36"/>
  <c r="AL666" i="36" s="1"/>
  <c r="AJ666" i="36"/>
  <c r="T666" i="36" s="1"/>
  <c r="V666" i="36" s="1"/>
  <c r="AK665" i="36"/>
  <c r="AL665" i="36" s="1"/>
  <c r="AJ665" i="36"/>
  <c r="T665" i="36" s="1"/>
  <c r="V665" i="36" s="1"/>
  <c r="AK664" i="36"/>
  <c r="AL664" i="36" s="1"/>
  <c r="AJ664" i="36"/>
  <c r="T664" i="36" s="1"/>
  <c r="V664" i="36" s="1"/>
  <c r="AL663" i="36"/>
  <c r="AK663" i="36"/>
  <c r="AJ663" i="36"/>
  <c r="T663" i="36" s="1"/>
  <c r="V663" i="36" s="1"/>
  <c r="AK662" i="36"/>
  <c r="AL662" i="36" s="1"/>
  <c r="AJ662" i="36"/>
  <c r="T662" i="36" s="1"/>
  <c r="V662" i="36" s="1"/>
  <c r="AK661" i="36"/>
  <c r="AL661" i="36" s="1"/>
  <c r="AJ661" i="36"/>
  <c r="T661" i="36" s="1"/>
  <c r="V661" i="36" s="1"/>
  <c r="AK660" i="36"/>
  <c r="AL660" i="36" s="1"/>
  <c r="AJ660" i="36"/>
  <c r="T660" i="36" s="1"/>
  <c r="V660" i="36" s="1"/>
  <c r="AI659" i="36"/>
  <c r="Q659" i="36"/>
  <c r="R671" i="36" s="1"/>
  <c r="AK658" i="36"/>
  <c r="AL658" i="36" s="1"/>
  <c r="AJ658" i="36"/>
  <c r="T658" i="36" s="1"/>
  <c r="V658" i="36" s="1"/>
  <c r="AK657" i="36"/>
  <c r="AL657" i="36" s="1"/>
  <c r="AJ657" i="36"/>
  <c r="T657" i="36" s="1"/>
  <c r="V657" i="36" s="1"/>
  <c r="AK656" i="36"/>
  <c r="AL656" i="36" s="1"/>
  <c r="AJ656" i="36"/>
  <c r="T656" i="36" s="1"/>
  <c r="V656" i="36" s="1"/>
  <c r="AK655" i="36"/>
  <c r="AL655" i="36" s="1"/>
  <c r="AJ655" i="36"/>
  <c r="T655" i="36"/>
  <c r="V655" i="36" s="1"/>
  <c r="AK654" i="36"/>
  <c r="AL654" i="36" s="1"/>
  <c r="AJ654" i="36"/>
  <c r="T654" i="36" s="1"/>
  <c r="V654" i="36" s="1"/>
  <c r="AK653" i="36"/>
  <c r="AL653" i="36" s="1"/>
  <c r="AJ653" i="36"/>
  <c r="T653" i="36" s="1"/>
  <c r="V653" i="36" s="1"/>
  <c r="AK652" i="36"/>
  <c r="AL652" i="36" s="1"/>
  <c r="AJ652" i="36"/>
  <c r="T652" i="36" s="1"/>
  <c r="V652" i="36" s="1"/>
  <c r="AK651" i="36"/>
  <c r="AL651" i="36" s="1"/>
  <c r="AJ651" i="36"/>
  <c r="T651" i="36" s="1"/>
  <c r="V651" i="36" s="1"/>
  <c r="AK650" i="36"/>
  <c r="AL650" i="36" s="1"/>
  <c r="AJ650" i="36"/>
  <c r="T650" i="36" s="1"/>
  <c r="V650" i="36" s="1"/>
  <c r="AK649" i="36"/>
  <c r="AL649" i="36" s="1"/>
  <c r="AJ649" i="36"/>
  <c r="T649" i="36" s="1"/>
  <c r="V649" i="36" s="1"/>
  <c r="AK648" i="36"/>
  <c r="AL648" i="36" s="1"/>
  <c r="AJ648" i="36"/>
  <c r="T648" i="36" s="1"/>
  <c r="V648" i="36" s="1"/>
  <c r="AK647" i="36"/>
  <c r="AL647" i="36" s="1"/>
  <c r="AJ647" i="36"/>
  <c r="T647" i="36" s="1"/>
  <c r="V647" i="36" s="1"/>
  <c r="AK646" i="36"/>
  <c r="AL646" i="36" s="1"/>
  <c r="AJ646" i="36"/>
  <c r="T646" i="36" s="1"/>
  <c r="V646" i="36" s="1"/>
  <c r="AK645" i="36"/>
  <c r="AL645" i="36" s="1"/>
  <c r="AJ645" i="36"/>
  <c r="T645" i="36" s="1"/>
  <c r="V645" i="36" s="1"/>
  <c r="AI644" i="36"/>
  <c r="Q644" i="36"/>
  <c r="R656" i="36" s="1"/>
  <c r="AK643" i="36"/>
  <c r="AL643" i="36" s="1"/>
  <c r="AK642" i="36"/>
  <c r="AL642" i="36" s="1"/>
  <c r="AJ642" i="36"/>
  <c r="T642" i="36" s="1"/>
  <c r="V642" i="36" s="1"/>
  <c r="AJ641" i="36"/>
  <c r="T641" i="36" s="1"/>
  <c r="V641" i="36" s="1"/>
  <c r="AJ640" i="36"/>
  <c r="T640" i="36" s="1"/>
  <c r="V640" i="36" s="1"/>
  <c r="AJ639" i="36"/>
  <c r="T639" i="36" s="1"/>
  <c r="V639" i="36" s="1"/>
  <c r="AK638" i="36"/>
  <c r="AL638" i="36" s="1"/>
  <c r="AJ638" i="36"/>
  <c r="T638" i="36" s="1"/>
  <c r="V638" i="36" s="1"/>
  <c r="Q637" i="36"/>
  <c r="R642" i="36" s="1"/>
  <c r="AK636" i="36"/>
  <c r="AL636" i="36" s="1"/>
  <c r="AJ636" i="36"/>
  <c r="T636" i="36" s="1"/>
  <c r="AK635" i="36"/>
  <c r="AL635" i="36" s="1"/>
  <c r="AJ635" i="36"/>
  <c r="T635" i="36" s="1"/>
  <c r="V635" i="36" s="1"/>
  <c r="AK634" i="36"/>
  <c r="AL634" i="36" s="1"/>
  <c r="AJ634" i="36"/>
  <c r="T634" i="36" s="1"/>
  <c r="V634" i="36" s="1"/>
  <c r="AK633" i="36"/>
  <c r="AL633" i="36" s="1"/>
  <c r="AJ633" i="36"/>
  <c r="T633" i="36" s="1"/>
  <c r="V633" i="36" s="1"/>
  <c r="AK632" i="36"/>
  <c r="AL632" i="36" s="1"/>
  <c r="AJ632" i="36"/>
  <c r="T632" i="36" s="1"/>
  <c r="V632" i="36" s="1"/>
  <c r="AK631" i="36"/>
  <c r="AL631" i="36" s="1"/>
  <c r="AJ631" i="36"/>
  <c r="T631" i="36" s="1"/>
  <c r="V631" i="36" s="1"/>
  <c r="AK630" i="36"/>
  <c r="AL630" i="36" s="1"/>
  <c r="AJ630" i="36"/>
  <c r="T630" i="36" s="1"/>
  <c r="V630" i="36" s="1"/>
  <c r="AK629" i="36"/>
  <c r="AL629" i="36" s="1"/>
  <c r="AJ629" i="36"/>
  <c r="T629" i="36" s="1"/>
  <c r="V629" i="36" s="1"/>
  <c r="AK628" i="36"/>
  <c r="AL628" i="36" s="1"/>
  <c r="AJ628" i="36"/>
  <c r="T628" i="36" s="1"/>
  <c r="V628" i="36" s="1"/>
  <c r="AI627" i="36"/>
  <c r="Q627" i="36"/>
  <c r="R629" i="36" s="1"/>
  <c r="AK626" i="36"/>
  <c r="AL626" i="36" s="1"/>
  <c r="AJ626" i="36"/>
  <c r="T626" i="36" s="1"/>
  <c r="V626" i="36" s="1"/>
  <c r="AK625" i="36"/>
  <c r="AL625" i="36" s="1"/>
  <c r="AJ625" i="36"/>
  <c r="T625" i="36" s="1"/>
  <c r="V625" i="36" s="1"/>
  <c r="AK624" i="36"/>
  <c r="AL624" i="36" s="1"/>
  <c r="AJ624" i="36"/>
  <c r="T624" i="36" s="1"/>
  <c r="V624" i="36" s="1"/>
  <c r="AI623" i="36"/>
  <c r="AK623" i="36" s="1"/>
  <c r="AL623" i="36" s="1"/>
  <c r="AI622" i="36"/>
  <c r="AK622" i="36" s="1"/>
  <c r="AL622" i="36" s="1"/>
  <c r="AK621" i="36"/>
  <c r="AL621" i="36" s="1"/>
  <c r="AJ621" i="36"/>
  <c r="T621" i="36" s="1"/>
  <c r="V621" i="36" s="1"/>
  <c r="AI620" i="36"/>
  <c r="AJ620" i="36" s="1"/>
  <c r="T620" i="36" s="1"/>
  <c r="V620" i="36" s="1"/>
  <c r="AK619" i="36"/>
  <c r="AL619" i="36" s="1"/>
  <c r="AJ619" i="36"/>
  <c r="T619" i="36" s="1"/>
  <c r="V619" i="36" s="1"/>
  <c r="Q618" i="36"/>
  <c r="R626" i="36" s="1"/>
  <c r="U626" i="36" s="1"/>
  <c r="AK617" i="36"/>
  <c r="AL617" i="36" s="1"/>
  <c r="AJ617" i="36"/>
  <c r="T617" i="36" s="1"/>
  <c r="V617" i="36" s="1"/>
  <c r="AK616" i="36"/>
  <c r="AL616" i="36" s="1"/>
  <c r="AJ616" i="36"/>
  <c r="T616" i="36" s="1"/>
  <c r="V616" i="36" s="1"/>
  <c r="AI615" i="36"/>
  <c r="AJ615" i="36" s="1"/>
  <c r="T615" i="36" s="1"/>
  <c r="V615" i="36" s="1"/>
  <c r="AK614" i="36"/>
  <c r="AL614" i="36" s="1"/>
  <c r="AJ614" i="36"/>
  <c r="T614" i="36" s="1"/>
  <c r="V614" i="36" s="1"/>
  <c r="AK613" i="36"/>
  <c r="AL613" i="36" s="1"/>
  <c r="AJ613" i="36"/>
  <c r="T613" i="36"/>
  <c r="V613" i="36" s="1"/>
  <c r="AK612" i="36"/>
  <c r="AL612" i="36" s="1"/>
  <c r="AJ612" i="36"/>
  <c r="T612" i="36" s="1"/>
  <c r="V612" i="36" s="1"/>
  <c r="AI611" i="36"/>
  <c r="AK611" i="36" s="1"/>
  <c r="AL611" i="36" s="1"/>
  <c r="AK610" i="36"/>
  <c r="AL610" i="36" s="1"/>
  <c r="AJ610" i="36"/>
  <c r="T610" i="36" s="1"/>
  <c r="V610" i="36" s="1"/>
  <c r="AK609" i="36"/>
  <c r="AL609" i="36" s="1"/>
  <c r="AJ609" i="36"/>
  <c r="T609" i="36" s="1"/>
  <c r="V609" i="36" s="1"/>
  <c r="Q608" i="36"/>
  <c r="R610" i="36" s="1"/>
  <c r="AK607" i="36"/>
  <c r="AL607" i="36" s="1"/>
  <c r="AJ607" i="36"/>
  <c r="T607" i="36" s="1"/>
  <c r="V607" i="36" s="1"/>
  <c r="AK606" i="36"/>
  <c r="AL606" i="36" s="1"/>
  <c r="AJ606" i="36"/>
  <c r="T606" i="36" s="1"/>
  <c r="V606" i="36" s="1"/>
  <c r="AK605" i="36"/>
  <c r="AL605" i="36" s="1"/>
  <c r="AJ605" i="36"/>
  <c r="T605" i="36" s="1"/>
  <c r="V605" i="36" s="1"/>
  <c r="AK604" i="36"/>
  <c r="AL604" i="36" s="1"/>
  <c r="AJ604" i="36"/>
  <c r="T604" i="36" s="1"/>
  <c r="V604" i="36" s="1"/>
  <c r="AK603" i="36"/>
  <c r="AL603" i="36" s="1"/>
  <c r="AJ603" i="36"/>
  <c r="T603" i="36" s="1"/>
  <c r="V603" i="36" s="1"/>
  <c r="AK602" i="36"/>
  <c r="AL602" i="36" s="1"/>
  <c r="AJ602" i="36"/>
  <c r="T602" i="36" s="1"/>
  <c r="V602" i="36" s="1"/>
  <c r="AK601" i="36"/>
  <c r="AL601" i="36" s="1"/>
  <c r="AJ601" i="36"/>
  <c r="T601" i="36"/>
  <c r="V601" i="36" s="1"/>
  <c r="AK600" i="36"/>
  <c r="AL600" i="36" s="1"/>
  <c r="AJ600" i="36"/>
  <c r="T600" i="36" s="1"/>
  <c r="V600" i="36" s="1"/>
  <c r="AK599" i="36"/>
  <c r="AL599" i="36" s="1"/>
  <c r="AJ599" i="36"/>
  <c r="T599" i="36" s="1"/>
  <c r="V599" i="36" s="1"/>
  <c r="AK598" i="36"/>
  <c r="AL598" i="36" s="1"/>
  <c r="AJ598" i="36"/>
  <c r="T598" i="36" s="1"/>
  <c r="V598" i="36" s="1"/>
  <c r="AK597" i="36"/>
  <c r="AL597" i="36" s="1"/>
  <c r="AJ597" i="36"/>
  <c r="T597" i="36" s="1"/>
  <c r="V597" i="36" s="1"/>
  <c r="AK596" i="36"/>
  <c r="AL596" i="36" s="1"/>
  <c r="AJ596" i="36"/>
  <c r="T596" i="36" s="1"/>
  <c r="V596" i="36" s="1"/>
  <c r="AK595" i="36"/>
  <c r="AL595" i="36" s="1"/>
  <c r="AJ595" i="36"/>
  <c r="T595" i="36" s="1"/>
  <c r="V595" i="36" s="1"/>
  <c r="AI594" i="36"/>
  <c r="Q594" i="36"/>
  <c r="R602" i="36" s="1"/>
  <c r="AK593" i="36"/>
  <c r="AL593" i="36" s="1"/>
  <c r="AJ593" i="36"/>
  <c r="T593" i="36" s="1"/>
  <c r="AK592" i="36"/>
  <c r="AL592" i="36" s="1"/>
  <c r="AJ592" i="36"/>
  <c r="T592" i="36"/>
  <c r="AK591" i="36"/>
  <c r="AL591" i="36" s="1"/>
  <c r="AJ591" i="36"/>
  <c r="T591" i="36" s="1"/>
  <c r="V591" i="36" s="1"/>
  <c r="AK590" i="36"/>
  <c r="AL590" i="36" s="1"/>
  <c r="AJ590" i="36"/>
  <c r="T590" i="36" s="1"/>
  <c r="V590" i="36" s="1"/>
  <c r="AK589" i="36"/>
  <c r="AL589" i="36" s="1"/>
  <c r="AJ589" i="36"/>
  <c r="T589" i="36" s="1"/>
  <c r="V589" i="36" s="1"/>
  <c r="AK588" i="36"/>
  <c r="AL588" i="36" s="1"/>
  <c r="AJ588" i="36"/>
  <c r="T588" i="36" s="1"/>
  <c r="V588" i="36" s="1"/>
  <c r="AK587" i="36"/>
  <c r="AL587" i="36" s="1"/>
  <c r="AJ587" i="36"/>
  <c r="T587" i="36" s="1"/>
  <c r="V587" i="36" s="1"/>
  <c r="AK586" i="36"/>
  <c r="AL586" i="36" s="1"/>
  <c r="AJ586" i="36"/>
  <c r="T586" i="36" s="1"/>
  <c r="V586" i="36" s="1"/>
  <c r="AI585" i="36"/>
  <c r="Q585" i="36"/>
  <c r="R589" i="36" s="1"/>
  <c r="AK584" i="36"/>
  <c r="AL584" i="36" s="1"/>
  <c r="AJ584" i="36"/>
  <c r="T584" i="36"/>
  <c r="AK583" i="36"/>
  <c r="AL583" i="36" s="1"/>
  <c r="AJ583" i="36"/>
  <c r="T583" i="36" s="1"/>
  <c r="V583" i="36" s="1"/>
  <c r="AK582" i="36"/>
  <c r="AL582" i="36" s="1"/>
  <c r="AJ582" i="36"/>
  <c r="T582" i="36" s="1"/>
  <c r="V582" i="36" s="1"/>
  <c r="AK581" i="36"/>
  <c r="AL581" i="36" s="1"/>
  <c r="AJ581" i="36"/>
  <c r="T581" i="36" s="1"/>
  <c r="V581" i="36" s="1"/>
  <c r="AK580" i="36"/>
  <c r="AL580" i="36" s="1"/>
  <c r="AJ580" i="36"/>
  <c r="T580" i="36" s="1"/>
  <c r="V580" i="36" s="1"/>
  <c r="AK579" i="36"/>
  <c r="AL579" i="36" s="1"/>
  <c r="AJ579" i="36"/>
  <c r="T579" i="36" s="1"/>
  <c r="AK578" i="36"/>
  <c r="AL578" i="36" s="1"/>
  <c r="AJ578" i="36"/>
  <c r="T578" i="36" s="1"/>
  <c r="V578" i="36" s="1"/>
  <c r="AK577" i="36"/>
  <c r="AL577" i="36" s="1"/>
  <c r="AJ577" i="36"/>
  <c r="T577" i="36" s="1"/>
  <c r="V577" i="36" s="1"/>
  <c r="AK576" i="36"/>
  <c r="AL576" i="36" s="1"/>
  <c r="AJ576" i="36"/>
  <c r="T576" i="36" s="1"/>
  <c r="V576" i="36" s="1"/>
  <c r="AK575" i="36"/>
  <c r="AL575" i="36" s="1"/>
  <c r="AJ575" i="36"/>
  <c r="T575" i="36" s="1"/>
  <c r="V575" i="36" s="1"/>
  <c r="AK574" i="36"/>
  <c r="AL574" i="36" s="1"/>
  <c r="AJ574" i="36"/>
  <c r="T574" i="36" s="1"/>
  <c r="V574" i="36" s="1"/>
  <c r="AK573" i="36"/>
  <c r="AL573" i="36" s="1"/>
  <c r="AJ573" i="36"/>
  <c r="T573" i="36" s="1"/>
  <c r="V573" i="36" s="1"/>
  <c r="AI572" i="36"/>
  <c r="Q572" i="36"/>
  <c r="R582" i="36" s="1"/>
  <c r="AI571" i="36"/>
  <c r="AJ571" i="36" s="1"/>
  <c r="T571" i="36" s="1"/>
  <c r="V571" i="36" s="1"/>
  <c r="AI570" i="36"/>
  <c r="AJ570" i="36" s="1"/>
  <c r="T570" i="36" s="1"/>
  <c r="V570" i="36" s="1"/>
  <c r="AK569" i="36"/>
  <c r="AL569" i="36" s="1"/>
  <c r="AI569" i="36"/>
  <c r="AJ569" i="36" s="1"/>
  <c r="T569" i="36" s="1"/>
  <c r="V569" i="36" s="1"/>
  <c r="AI568" i="36"/>
  <c r="AK568" i="36" s="1"/>
  <c r="AL568" i="36" s="1"/>
  <c r="AI567" i="36"/>
  <c r="AJ567" i="36" s="1"/>
  <c r="T567" i="36" s="1"/>
  <c r="V567" i="36" s="1"/>
  <c r="AI566" i="36"/>
  <c r="AJ566" i="36" s="1"/>
  <c r="T566" i="36" s="1"/>
  <c r="V566" i="36" s="1"/>
  <c r="AK565" i="36"/>
  <c r="AL565" i="36" s="1"/>
  <c r="AI565" i="36"/>
  <c r="AJ565" i="36" s="1"/>
  <c r="T565" i="36" s="1"/>
  <c r="V565" i="36" s="1"/>
  <c r="AI564" i="36"/>
  <c r="AK564" i="36" s="1"/>
  <c r="AL564" i="36" s="1"/>
  <c r="AK563" i="36"/>
  <c r="AL563" i="36" s="1"/>
  <c r="AI563" i="36"/>
  <c r="AJ563" i="36" s="1"/>
  <c r="T563" i="36" s="1"/>
  <c r="V563" i="36" s="1"/>
  <c r="Q562" i="36"/>
  <c r="R571" i="36" s="1"/>
  <c r="AK561" i="36"/>
  <c r="AL561" i="36" s="1"/>
  <c r="AJ561" i="36"/>
  <c r="T561" i="36" s="1"/>
  <c r="V561" i="36" s="1"/>
  <c r="AK560" i="36"/>
  <c r="AL560" i="36" s="1"/>
  <c r="AJ560" i="36"/>
  <c r="T560" i="36" s="1"/>
  <c r="V560" i="36" s="1"/>
  <c r="AK559" i="36"/>
  <c r="AL559" i="36" s="1"/>
  <c r="AJ559" i="36"/>
  <c r="T559" i="36" s="1"/>
  <c r="V559" i="36" s="1"/>
  <c r="AK558" i="36"/>
  <c r="AL558" i="36" s="1"/>
  <c r="AJ558" i="36"/>
  <c r="T558" i="36" s="1"/>
  <c r="AK557" i="36"/>
  <c r="AL557" i="36" s="1"/>
  <c r="AJ557" i="36"/>
  <c r="T557" i="36"/>
  <c r="V557" i="36" s="1"/>
  <c r="AK556" i="36"/>
  <c r="AL556" i="36" s="1"/>
  <c r="AJ556" i="36"/>
  <c r="T556" i="36" s="1"/>
  <c r="V556" i="36" s="1"/>
  <c r="AK555" i="36"/>
  <c r="AL555" i="36" s="1"/>
  <c r="AJ555" i="36"/>
  <c r="T555" i="36" s="1"/>
  <c r="V555" i="36" s="1"/>
  <c r="AK554" i="36"/>
  <c r="AL554" i="36" s="1"/>
  <c r="AJ554" i="36"/>
  <c r="T554" i="36" s="1"/>
  <c r="V554" i="36" s="1"/>
  <c r="AI553" i="36"/>
  <c r="Q553" i="36"/>
  <c r="R561" i="36" s="1"/>
  <c r="AK552" i="36"/>
  <c r="AL552" i="36" s="1"/>
  <c r="AJ552" i="36"/>
  <c r="T552" i="36" s="1"/>
  <c r="V552" i="36" s="1"/>
  <c r="AK551" i="36"/>
  <c r="AJ551" i="36"/>
  <c r="T551" i="36" s="1"/>
  <c r="AK550" i="36"/>
  <c r="AL550" i="36" s="1"/>
  <c r="AJ550" i="36"/>
  <c r="T550" i="36" s="1"/>
  <c r="V550" i="36" s="1"/>
  <c r="AK549" i="36"/>
  <c r="AL549" i="36" s="1"/>
  <c r="AJ549" i="36"/>
  <c r="T549" i="36" s="1"/>
  <c r="V549" i="36" s="1"/>
  <c r="AK548" i="36"/>
  <c r="AL548" i="36" s="1"/>
  <c r="AJ548" i="36"/>
  <c r="T548" i="36" s="1"/>
  <c r="V548" i="36" s="1"/>
  <c r="AK547" i="36"/>
  <c r="AL547" i="36" s="1"/>
  <c r="AJ547" i="36"/>
  <c r="T547" i="36" s="1"/>
  <c r="V547" i="36" s="1"/>
  <c r="AK546" i="36"/>
  <c r="AL546" i="36" s="1"/>
  <c r="AJ546" i="36"/>
  <c r="T546" i="36" s="1"/>
  <c r="V546" i="36" s="1"/>
  <c r="AK545" i="36"/>
  <c r="AL545" i="36" s="1"/>
  <c r="AJ545" i="36"/>
  <c r="T545" i="36"/>
  <c r="V545" i="36" s="1"/>
  <c r="AK544" i="36"/>
  <c r="AL544" i="36" s="1"/>
  <c r="AJ544" i="36"/>
  <c r="T544" i="36" s="1"/>
  <c r="V544" i="36" s="1"/>
  <c r="AK543" i="36"/>
  <c r="AL543" i="36" s="1"/>
  <c r="AJ543" i="36"/>
  <c r="T543" i="36" s="1"/>
  <c r="V543" i="36" s="1"/>
  <c r="AI542" i="36"/>
  <c r="AH542" i="36"/>
  <c r="AG542" i="36"/>
  <c r="Q542" i="36"/>
  <c r="R545" i="36" s="1"/>
  <c r="U545" i="36" s="1"/>
  <c r="AK541" i="36"/>
  <c r="AL541" i="36" s="1"/>
  <c r="AJ541" i="36"/>
  <c r="T541" i="36" s="1"/>
  <c r="V541" i="36" s="1"/>
  <c r="AK540" i="36"/>
  <c r="AL540" i="36" s="1"/>
  <c r="AJ540" i="36"/>
  <c r="T540" i="36" s="1"/>
  <c r="V540" i="36" s="1"/>
  <c r="AK539" i="36"/>
  <c r="AL539" i="36" s="1"/>
  <c r="AJ539" i="36"/>
  <c r="T539" i="36" s="1"/>
  <c r="V539" i="36" s="1"/>
  <c r="AI538" i="36"/>
  <c r="AK538" i="36" s="1"/>
  <c r="AL538" i="36" s="1"/>
  <c r="AI537" i="36"/>
  <c r="AK536" i="36"/>
  <c r="AL536" i="36" s="1"/>
  <c r="AJ536" i="36"/>
  <c r="T536" i="36" s="1"/>
  <c r="V536" i="36" s="1"/>
  <c r="AK535" i="36"/>
  <c r="AL535" i="36" s="1"/>
  <c r="AJ535" i="36"/>
  <c r="T535" i="36" s="1"/>
  <c r="V535" i="36" s="1"/>
  <c r="AK534" i="36"/>
  <c r="AL534" i="36" s="1"/>
  <c r="AJ534" i="36"/>
  <c r="T534" i="36" s="1"/>
  <c r="V534" i="36" s="1"/>
  <c r="AK533" i="36"/>
  <c r="AL533" i="36" s="1"/>
  <c r="AJ533" i="36"/>
  <c r="T533" i="36" s="1"/>
  <c r="AK532" i="36"/>
  <c r="AL532" i="36" s="1"/>
  <c r="AJ532" i="36"/>
  <c r="T532" i="36" s="1"/>
  <c r="V532" i="36" s="1"/>
  <c r="AK531" i="36"/>
  <c r="AL531" i="36" s="1"/>
  <c r="AJ531" i="36"/>
  <c r="T531" i="36" s="1"/>
  <c r="V531" i="36" s="1"/>
  <c r="AH530" i="36"/>
  <c r="AG530" i="36"/>
  <c r="Q530" i="36"/>
  <c r="R540" i="36" s="1"/>
  <c r="AK529" i="36"/>
  <c r="AL529" i="36" s="1"/>
  <c r="AJ529" i="36"/>
  <c r="T529" i="36" s="1"/>
  <c r="V529" i="36" s="1"/>
  <c r="AK528" i="36"/>
  <c r="AL528" i="36" s="1"/>
  <c r="AJ528" i="36"/>
  <c r="T528" i="36" s="1"/>
  <c r="V528" i="36" s="1"/>
  <c r="AK527" i="36"/>
  <c r="AL527" i="36" s="1"/>
  <c r="AJ527" i="36"/>
  <c r="T527" i="36" s="1"/>
  <c r="V527" i="36" s="1"/>
  <c r="AK526" i="36"/>
  <c r="AL526" i="36" s="1"/>
  <c r="AJ526" i="36"/>
  <c r="T526" i="36" s="1"/>
  <c r="V526" i="36" s="1"/>
  <c r="AK525" i="36"/>
  <c r="AL525" i="36" s="1"/>
  <c r="AJ525" i="36"/>
  <c r="T525" i="36" s="1"/>
  <c r="V525" i="36" s="1"/>
  <c r="AK524" i="36"/>
  <c r="AL524" i="36" s="1"/>
  <c r="AJ524" i="36"/>
  <c r="T524" i="36" s="1"/>
  <c r="V524" i="36" s="1"/>
  <c r="AI523" i="36"/>
  <c r="AH523" i="36"/>
  <c r="AG523" i="36"/>
  <c r="Q523" i="36"/>
  <c r="R527" i="36" s="1"/>
  <c r="AK522" i="36"/>
  <c r="AL522" i="36" s="1"/>
  <c r="AJ522" i="36"/>
  <c r="T522" i="36" s="1"/>
  <c r="V522" i="36" s="1"/>
  <c r="AI521" i="36"/>
  <c r="AK520" i="36"/>
  <c r="AL520" i="36" s="1"/>
  <c r="AJ520" i="36"/>
  <c r="T520" i="36" s="1"/>
  <c r="V520" i="36" s="1"/>
  <c r="AK519" i="36"/>
  <c r="AL519" i="36" s="1"/>
  <c r="AJ519" i="36"/>
  <c r="T519" i="36" s="1"/>
  <c r="V519" i="36" s="1"/>
  <c r="AK518" i="36"/>
  <c r="AL518" i="36" s="1"/>
  <c r="AJ518" i="36"/>
  <c r="T518" i="36" s="1"/>
  <c r="V518" i="36" s="1"/>
  <c r="AI517" i="36"/>
  <c r="AK517" i="36" s="1"/>
  <c r="AL517" i="36" s="1"/>
  <c r="AI516" i="36"/>
  <c r="AK516" i="36" s="1"/>
  <c r="AL516" i="36" s="1"/>
  <c r="AK515" i="36"/>
  <c r="AL515" i="36" s="1"/>
  <c r="AJ515" i="36"/>
  <c r="T515" i="36" s="1"/>
  <c r="V515" i="36" s="1"/>
  <c r="AK514" i="36"/>
  <c r="AL514" i="36" s="1"/>
  <c r="AJ514" i="36"/>
  <c r="T514" i="36" s="1"/>
  <c r="V514" i="36" s="1"/>
  <c r="AI513" i="36"/>
  <c r="AJ513" i="36" s="1"/>
  <c r="T513" i="36" s="1"/>
  <c r="V513" i="36" s="1"/>
  <c r="AK512" i="36"/>
  <c r="AJ512" i="36"/>
  <c r="T512" i="36" s="1"/>
  <c r="V512" i="36" s="1"/>
  <c r="AH511" i="36"/>
  <c r="AG511" i="36"/>
  <c r="Q511" i="36"/>
  <c r="R521" i="36" s="1"/>
  <c r="AK510" i="36"/>
  <c r="AL510" i="36" s="1"/>
  <c r="AJ510" i="36"/>
  <c r="T510" i="36" s="1"/>
  <c r="AI509" i="36"/>
  <c r="AJ509" i="36" s="1"/>
  <c r="T509" i="36" s="1"/>
  <c r="AI508" i="36"/>
  <c r="AJ508" i="36" s="1"/>
  <c r="T508" i="36" s="1"/>
  <c r="AI507" i="36"/>
  <c r="AJ507" i="36" s="1"/>
  <c r="T507" i="36" s="1"/>
  <c r="AK506" i="36"/>
  <c r="AL506" i="36" s="1"/>
  <c r="AJ506" i="36"/>
  <c r="T506" i="36" s="1"/>
  <c r="V506" i="36" s="1"/>
  <c r="AK505" i="36"/>
  <c r="AL505" i="36" s="1"/>
  <c r="AJ505" i="36"/>
  <c r="T505" i="36" s="1"/>
  <c r="AH504" i="36"/>
  <c r="AG504" i="36"/>
  <c r="Q504" i="36"/>
  <c r="R510" i="36" s="1"/>
  <c r="AK503" i="36"/>
  <c r="AL503" i="36" s="1"/>
  <c r="AJ503" i="36"/>
  <c r="T503" i="36" s="1"/>
  <c r="V503" i="36" s="1"/>
  <c r="AK502" i="36"/>
  <c r="AL502" i="36" s="1"/>
  <c r="AJ502" i="36"/>
  <c r="T502" i="36" s="1"/>
  <c r="V502" i="36" s="1"/>
  <c r="AK501" i="36"/>
  <c r="AL501" i="36" s="1"/>
  <c r="AJ501" i="36"/>
  <c r="T501" i="36" s="1"/>
  <c r="V501" i="36" s="1"/>
  <c r="AK500" i="36"/>
  <c r="AL500" i="36" s="1"/>
  <c r="AJ500" i="36"/>
  <c r="T500" i="36" s="1"/>
  <c r="AK499" i="36"/>
  <c r="AL499" i="36" s="1"/>
  <c r="AJ499" i="36"/>
  <c r="T499" i="36"/>
  <c r="V499" i="36" s="1"/>
  <c r="AK498" i="36"/>
  <c r="AL498" i="36" s="1"/>
  <c r="AJ498" i="36"/>
  <c r="T498" i="36" s="1"/>
  <c r="AK497" i="36"/>
  <c r="AL497" i="36" s="1"/>
  <c r="AJ497" i="36"/>
  <c r="T497" i="36" s="1"/>
  <c r="V497" i="36" s="1"/>
  <c r="AK496" i="36"/>
  <c r="AL496" i="36" s="1"/>
  <c r="AJ496" i="36"/>
  <c r="T496" i="36" s="1"/>
  <c r="V496" i="36" s="1"/>
  <c r="AI495" i="36"/>
  <c r="AH495" i="36"/>
  <c r="AG495" i="36"/>
  <c r="Q495" i="36"/>
  <c r="R503" i="36" s="1"/>
  <c r="A495" i="36"/>
  <c r="A504" i="36" s="1"/>
  <c r="A511" i="36" s="1"/>
  <c r="A523" i="36" s="1"/>
  <c r="A530" i="36" s="1"/>
  <c r="A542" i="36" s="1"/>
  <c r="A553" i="36" s="1"/>
  <c r="A562" i="36" s="1"/>
  <c r="A572" i="36" s="1"/>
  <c r="A585" i="36" s="1"/>
  <c r="A594" i="36" s="1"/>
  <c r="A608" i="36" s="1"/>
  <c r="A618" i="36" s="1"/>
  <c r="A627" i="36" s="1"/>
  <c r="A637" i="36" s="1"/>
  <c r="AK494" i="36"/>
  <c r="AL494" i="36" s="1"/>
  <c r="AJ494" i="36"/>
  <c r="T494" i="36" s="1"/>
  <c r="V494" i="36" s="1"/>
  <c r="AK493" i="36"/>
  <c r="AL493" i="36" s="1"/>
  <c r="AJ493" i="36"/>
  <c r="T493" i="36" s="1"/>
  <c r="V493" i="36" s="1"/>
  <c r="AK492" i="36"/>
  <c r="AL492" i="36" s="1"/>
  <c r="AJ492" i="36"/>
  <c r="T492" i="36" s="1"/>
  <c r="V492" i="36" s="1"/>
  <c r="AK491" i="36"/>
  <c r="AL491" i="36" s="1"/>
  <c r="AJ491" i="36"/>
  <c r="T491" i="36" s="1"/>
  <c r="V491" i="36" s="1"/>
  <c r="AI490" i="36"/>
  <c r="Q490" i="36"/>
  <c r="AK489" i="36"/>
  <c r="AL489" i="36" s="1"/>
  <c r="AJ489" i="36"/>
  <c r="T489" i="36" s="1"/>
  <c r="V489" i="36" s="1"/>
  <c r="AK488" i="36"/>
  <c r="AL488" i="36" s="1"/>
  <c r="AJ488" i="36"/>
  <c r="T488" i="36" s="1"/>
  <c r="V488" i="36" s="1"/>
  <c r="AK487" i="36"/>
  <c r="AL487" i="36" s="1"/>
  <c r="AJ487" i="36"/>
  <c r="T487" i="36" s="1"/>
  <c r="V487" i="36" s="1"/>
  <c r="AK486" i="36"/>
  <c r="AL486" i="36" s="1"/>
  <c r="AJ486" i="36"/>
  <c r="T486" i="36" s="1"/>
  <c r="V486" i="36" s="1"/>
  <c r="AK485" i="36"/>
  <c r="AL485" i="36" s="1"/>
  <c r="AJ485" i="36"/>
  <c r="T485" i="36" s="1"/>
  <c r="V485" i="36" s="1"/>
  <c r="AK484" i="36"/>
  <c r="AL484" i="36" s="1"/>
  <c r="AJ484" i="36"/>
  <c r="T484" i="36" s="1"/>
  <c r="V484" i="36" s="1"/>
  <c r="AI483" i="36"/>
  <c r="AH483" i="36"/>
  <c r="AG483" i="36"/>
  <c r="AF483" i="36"/>
  <c r="AE483" i="36"/>
  <c r="AD483" i="36"/>
  <c r="AC483" i="36"/>
  <c r="AA483" i="36"/>
  <c r="Z483" i="36"/>
  <c r="Y483" i="36"/>
  <c r="X483" i="36"/>
  <c r="Q483" i="36"/>
  <c r="R484" i="36" s="1"/>
  <c r="U484" i="36" s="1"/>
  <c r="P483" i="36"/>
  <c r="AK482" i="36"/>
  <c r="AL482" i="36" s="1"/>
  <c r="AJ482" i="36"/>
  <c r="T482" i="36" s="1"/>
  <c r="V482" i="36" s="1"/>
  <c r="AK481" i="36"/>
  <c r="AL481" i="36" s="1"/>
  <c r="AJ481" i="36"/>
  <c r="T481" i="36" s="1"/>
  <c r="V481" i="36" s="1"/>
  <c r="AK480" i="36"/>
  <c r="AL480" i="36" s="1"/>
  <c r="AJ480" i="36"/>
  <c r="T480" i="36" s="1"/>
  <c r="V480" i="36" s="1"/>
  <c r="AK479" i="36"/>
  <c r="AL479" i="36" s="1"/>
  <c r="AJ479" i="36"/>
  <c r="T479" i="36" s="1"/>
  <c r="V479" i="36" s="1"/>
  <c r="AK478" i="36"/>
  <c r="AL478" i="36" s="1"/>
  <c r="AJ478" i="36"/>
  <c r="T478" i="36" s="1"/>
  <c r="AK477" i="36"/>
  <c r="AL477" i="36" s="1"/>
  <c r="AJ477" i="36"/>
  <c r="T477" i="36" s="1"/>
  <c r="V477" i="36" s="1"/>
  <c r="AI476" i="36"/>
  <c r="AH476" i="36"/>
  <c r="AG476" i="36"/>
  <c r="AF476" i="36"/>
  <c r="AE476" i="36"/>
  <c r="AD476" i="36"/>
  <c r="AC476" i="36"/>
  <c r="AA476" i="36"/>
  <c r="Z476" i="36"/>
  <c r="Y476" i="36"/>
  <c r="X476" i="36"/>
  <c r="Q476" i="36"/>
  <c r="R481" i="36" s="1"/>
  <c r="P476" i="36"/>
  <c r="AK475" i="36"/>
  <c r="AL475" i="36" s="1"/>
  <c r="AJ475" i="36"/>
  <c r="T475" i="36" s="1"/>
  <c r="V475" i="36" s="1"/>
  <c r="AK474" i="36"/>
  <c r="AL474" i="36" s="1"/>
  <c r="AJ474" i="36"/>
  <c r="T474" i="36" s="1"/>
  <c r="V474" i="36" s="1"/>
  <c r="AK473" i="36"/>
  <c r="AL473" i="36" s="1"/>
  <c r="AJ473" i="36"/>
  <c r="T473" i="36" s="1"/>
  <c r="V473" i="36" s="1"/>
  <c r="AK472" i="36"/>
  <c r="AL472" i="36" s="1"/>
  <c r="AJ472" i="36"/>
  <c r="T472" i="36" s="1"/>
  <c r="V472" i="36" s="1"/>
  <c r="AK471" i="36"/>
  <c r="AL471" i="36" s="1"/>
  <c r="AJ471" i="36"/>
  <c r="T471" i="36" s="1"/>
  <c r="V471" i="36" s="1"/>
  <c r="AK470" i="36"/>
  <c r="AL470" i="36" s="1"/>
  <c r="AJ470" i="36"/>
  <c r="T470" i="36" s="1"/>
  <c r="V470" i="36" s="1"/>
  <c r="AK469" i="36"/>
  <c r="AL469" i="36" s="1"/>
  <c r="AJ469" i="36"/>
  <c r="T469" i="36" s="1"/>
  <c r="V469" i="36" s="1"/>
  <c r="AK468" i="36"/>
  <c r="AL468" i="36" s="1"/>
  <c r="AJ468" i="36"/>
  <c r="T468" i="36" s="1"/>
  <c r="V468" i="36" s="1"/>
  <c r="AK467" i="36"/>
  <c r="AL467" i="36" s="1"/>
  <c r="AJ467" i="36"/>
  <c r="T467" i="36" s="1"/>
  <c r="V467" i="36" s="1"/>
  <c r="AI466" i="36"/>
  <c r="AH466" i="36"/>
  <c r="AG466" i="36"/>
  <c r="AF466" i="36"/>
  <c r="AE466" i="36"/>
  <c r="AD466" i="36"/>
  <c r="AC466" i="36"/>
  <c r="AA466" i="36"/>
  <c r="Z466" i="36"/>
  <c r="Y466" i="36"/>
  <c r="X466" i="36"/>
  <c r="Q466" i="36"/>
  <c r="R474" i="36" s="1"/>
  <c r="U474" i="36" s="1"/>
  <c r="P466" i="36"/>
  <c r="AK465" i="36"/>
  <c r="AL465" i="36" s="1"/>
  <c r="AJ465" i="36"/>
  <c r="T465" i="36" s="1"/>
  <c r="V465" i="36" s="1"/>
  <c r="AK464" i="36"/>
  <c r="AL464" i="36" s="1"/>
  <c r="AJ464" i="36"/>
  <c r="T464" i="36" s="1"/>
  <c r="V464" i="36" s="1"/>
  <c r="AK463" i="36"/>
  <c r="AL463" i="36" s="1"/>
  <c r="AJ463" i="36"/>
  <c r="T463" i="36" s="1"/>
  <c r="V463" i="36" s="1"/>
  <c r="AK462" i="36"/>
  <c r="AL462" i="36" s="1"/>
  <c r="AJ462" i="36"/>
  <c r="T462" i="36" s="1"/>
  <c r="V462" i="36" s="1"/>
  <c r="AK461" i="36"/>
  <c r="AL461" i="36" s="1"/>
  <c r="AJ461" i="36"/>
  <c r="T461" i="36" s="1"/>
  <c r="V461" i="36" s="1"/>
  <c r="AL460" i="36"/>
  <c r="AK460" i="36"/>
  <c r="AJ460" i="36"/>
  <c r="T460" i="36" s="1"/>
  <c r="V460" i="36" s="1"/>
  <c r="AK459" i="36"/>
  <c r="AL459" i="36" s="1"/>
  <c r="AJ459" i="36"/>
  <c r="T459" i="36" s="1"/>
  <c r="V459" i="36" s="1"/>
  <c r="AK458" i="36"/>
  <c r="AL458" i="36" s="1"/>
  <c r="AJ458" i="36"/>
  <c r="T458" i="36" s="1"/>
  <c r="V458" i="36" s="1"/>
  <c r="AI457" i="36"/>
  <c r="AH457" i="36"/>
  <c r="AG457" i="36"/>
  <c r="AF457" i="36"/>
  <c r="AE457" i="36"/>
  <c r="AD457" i="36"/>
  <c r="AC457" i="36"/>
  <c r="AA457" i="36"/>
  <c r="Z457" i="36"/>
  <c r="Y457" i="36"/>
  <c r="X457" i="36"/>
  <c r="Q457" i="36"/>
  <c r="R461" i="36" s="1"/>
  <c r="P457" i="36"/>
  <c r="AK456" i="36"/>
  <c r="AL456" i="36" s="1"/>
  <c r="AJ456" i="36"/>
  <c r="T456" i="36" s="1"/>
  <c r="AK455" i="36"/>
  <c r="AL455" i="36" s="1"/>
  <c r="AJ455" i="36"/>
  <c r="T455" i="36" s="1"/>
  <c r="V455" i="36" s="1"/>
  <c r="AK454" i="36"/>
  <c r="AL454" i="36" s="1"/>
  <c r="AJ454" i="36"/>
  <c r="T454" i="36" s="1"/>
  <c r="V454" i="36" s="1"/>
  <c r="AK453" i="36"/>
  <c r="AL453" i="36" s="1"/>
  <c r="AJ453" i="36"/>
  <c r="T453" i="36" s="1"/>
  <c r="V453" i="36" s="1"/>
  <c r="AK452" i="36"/>
  <c r="AL452" i="36" s="1"/>
  <c r="AJ452" i="36"/>
  <c r="T452" i="36" s="1"/>
  <c r="V452" i="36" s="1"/>
  <c r="AK451" i="36"/>
  <c r="AL451" i="36" s="1"/>
  <c r="AJ451" i="36"/>
  <c r="T451" i="36" s="1"/>
  <c r="V451" i="36" s="1"/>
  <c r="AK450" i="36"/>
  <c r="AL450" i="36" s="1"/>
  <c r="AJ450" i="36"/>
  <c r="T450" i="36" s="1"/>
  <c r="V450" i="36" s="1"/>
  <c r="AK449" i="36"/>
  <c r="AL449" i="36" s="1"/>
  <c r="AJ449" i="36"/>
  <c r="T449" i="36" s="1"/>
  <c r="V449" i="36" s="1"/>
  <c r="AK448" i="36"/>
  <c r="AL448" i="36" s="1"/>
  <c r="AJ448" i="36"/>
  <c r="T448" i="36" s="1"/>
  <c r="V448" i="36" s="1"/>
  <c r="AI447" i="36"/>
  <c r="AH447" i="36"/>
  <c r="AG447" i="36"/>
  <c r="AF447" i="36"/>
  <c r="AE447" i="36"/>
  <c r="AD447" i="36"/>
  <c r="AC447" i="36"/>
  <c r="AA447" i="36"/>
  <c r="Z447" i="36"/>
  <c r="Y447" i="36"/>
  <c r="X447" i="36"/>
  <c r="Q447" i="36"/>
  <c r="R449" i="36" s="1"/>
  <c r="P447" i="36"/>
  <c r="AK446" i="36"/>
  <c r="AL446" i="36" s="1"/>
  <c r="AJ446" i="36"/>
  <c r="T446" i="36" s="1"/>
  <c r="AK445" i="36"/>
  <c r="AL445" i="36" s="1"/>
  <c r="AJ445" i="36"/>
  <c r="T445" i="36" s="1"/>
  <c r="V445" i="36" s="1"/>
  <c r="AK444" i="36"/>
  <c r="AL444" i="36" s="1"/>
  <c r="AJ444" i="36"/>
  <c r="T444" i="36" s="1"/>
  <c r="V444" i="36" s="1"/>
  <c r="AK443" i="36"/>
  <c r="AL443" i="36" s="1"/>
  <c r="AJ443" i="36"/>
  <c r="T443" i="36" s="1"/>
  <c r="V443" i="36" s="1"/>
  <c r="AK442" i="36"/>
  <c r="AL442" i="36" s="1"/>
  <c r="AJ442" i="36"/>
  <c r="T442" i="36" s="1"/>
  <c r="V442" i="36" s="1"/>
  <c r="AK441" i="36"/>
  <c r="AL441" i="36" s="1"/>
  <c r="AJ441" i="36"/>
  <c r="T441" i="36" s="1"/>
  <c r="V441" i="36" s="1"/>
  <c r="AK440" i="36"/>
  <c r="AL440" i="36" s="1"/>
  <c r="AJ440" i="36"/>
  <c r="T440" i="36" s="1"/>
  <c r="V440" i="36" s="1"/>
  <c r="AK439" i="36"/>
  <c r="AL439" i="36" s="1"/>
  <c r="AJ439" i="36"/>
  <c r="T439" i="36" s="1"/>
  <c r="V439" i="36" s="1"/>
  <c r="AK438" i="36"/>
  <c r="AL438" i="36" s="1"/>
  <c r="AJ438" i="36"/>
  <c r="T438" i="36" s="1"/>
  <c r="AK437" i="36"/>
  <c r="AL437" i="36" s="1"/>
  <c r="AJ437" i="36"/>
  <c r="T437" i="36" s="1"/>
  <c r="V437" i="36" s="1"/>
  <c r="AI436" i="36"/>
  <c r="AH436" i="36"/>
  <c r="AG436" i="36"/>
  <c r="AF436" i="36"/>
  <c r="AE436" i="36"/>
  <c r="AD436" i="36"/>
  <c r="AC436" i="36"/>
  <c r="AA436" i="36"/>
  <c r="Z436" i="36"/>
  <c r="Y436" i="36"/>
  <c r="X436" i="36"/>
  <c r="Q436" i="36"/>
  <c r="R441" i="36" s="1"/>
  <c r="U441" i="36" s="1"/>
  <c r="P436" i="36"/>
  <c r="AK435" i="36"/>
  <c r="AL435" i="36" s="1"/>
  <c r="AJ435" i="36"/>
  <c r="T435" i="36" s="1"/>
  <c r="AK434" i="36"/>
  <c r="AL434" i="36" s="1"/>
  <c r="AJ434" i="36"/>
  <c r="T434" i="36" s="1"/>
  <c r="V434" i="36" s="1"/>
  <c r="AK433" i="36"/>
  <c r="AL433" i="36" s="1"/>
  <c r="AJ433" i="36"/>
  <c r="T433" i="36" s="1"/>
  <c r="V433" i="36" s="1"/>
  <c r="AK432" i="36"/>
  <c r="AL432" i="36" s="1"/>
  <c r="AJ432" i="36"/>
  <c r="T432" i="36" s="1"/>
  <c r="V432" i="36" s="1"/>
  <c r="AK431" i="36"/>
  <c r="AL431" i="36" s="1"/>
  <c r="AJ431" i="36"/>
  <c r="T431" i="36" s="1"/>
  <c r="V431" i="36" s="1"/>
  <c r="AK430" i="36"/>
  <c r="AL430" i="36" s="1"/>
  <c r="AJ430" i="36"/>
  <c r="T430" i="36" s="1"/>
  <c r="V430" i="36" s="1"/>
  <c r="AK429" i="36"/>
  <c r="AL429" i="36" s="1"/>
  <c r="AJ429" i="36"/>
  <c r="T429" i="36" s="1"/>
  <c r="V429" i="36" s="1"/>
  <c r="AK428" i="36"/>
  <c r="AL428" i="36" s="1"/>
  <c r="AJ428" i="36"/>
  <c r="T428" i="36" s="1"/>
  <c r="V428" i="36" s="1"/>
  <c r="AK427" i="36"/>
  <c r="AL427" i="36" s="1"/>
  <c r="AJ427" i="36"/>
  <c r="T427" i="36"/>
  <c r="V427" i="36" s="1"/>
  <c r="AK426" i="36"/>
  <c r="AL426" i="36" s="1"/>
  <c r="AJ426" i="36"/>
  <c r="T426" i="36" s="1"/>
  <c r="V426" i="36" s="1"/>
  <c r="AI425" i="36"/>
  <c r="AH425" i="36"/>
  <c r="AG425" i="36"/>
  <c r="AF425" i="36"/>
  <c r="AE425" i="36"/>
  <c r="AD425" i="36"/>
  <c r="AC425" i="36"/>
  <c r="AA425" i="36"/>
  <c r="Z425" i="36"/>
  <c r="Y425" i="36"/>
  <c r="X425" i="36"/>
  <c r="Q425" i="36"/>
  <c r="R430" i="36" s="1"/>
  <c r="P425" i="36"/>
  <c r="A425" i="36"/>
  <c r="A436" i="36" s="1"/>
  <c r="A447" i="36" s="1"/>
  <c r="A457" i="36" s="1"/>
  <c r="A466" i="36" s="1"/>
  <c r="AK424" i="36"/>
  <c r="AL424" i="36" s="1"/>
  <c r="AJ424" i="36"/>
  <c r="T424" i="36" s="1"/>
  <c r="V424" i="36" s="1"/>
  <c r="AI423" i="36"/>
  <c r="AJ423" i="36" s="1"/>
  <c r="T423" i="36"/>
  <c r="V423" i="36" s="1"/>
  <c r="AH422" i="36"/>
  <c r="AG422" i="36"/>
  <c r="AF422" i="36"/>
  <c r="AE422" i="36"/>
  <c r="AD422" i="36"/>
  <c r="AC422" i="36"/>
  <c r="AA422" i="36"/>
  <c r="Z422" i="36"/>
  <c r="Y422" i="36"/>
  <c r="X422" i="36"/>
  <c r="Q422" i="36"/>
  <c r="R424" i="36" s="1"/>
  <c r="P422" i="36"/>
  <c r="AJ421" i="36"/>
  <c r="T421" i="36" s="1"/>
  <c r="AK421" i="36"/>
  <c r="AL421" i="36" s="1"/>
  <c r="AK420" i="36"/>
  <c r="AL420" i="36" s="1"/>
  <c r="AJ420" i="36"/>
  <c r="T420" i="36" s="1"/>
  <c r="V420" i="36" s="1"/>
  <c r="AK419" i="36"/>
  <c r="AL419" i="36" s="1"/>
  <c r="AJ419" i="36"/>
  <c r="T419" i="36" s="1"/>
  <c r="V419" i="36" s="1"/>
  <c r="AI418" i="36"/>
  <c r="AK418" i="36" s="1"/>
  <c r="AL418" i="36" s="1"/>
  <c r="AI417" i="36"/>
  <c r="AK417" i="36" s="1"/>
  <c r="AL417" i="36" s="1"/>
  <c r="AK416" i="36"/>
  <c r="AL416" i="36" s="1"/>
  <c r="AJ416" i="36"/>
  <c r="T416" i="36" s="1"/>
  <c r="V416" i="36" s="1"/>
  <c r="AK415" i="36"/>
  <c r="AL415" i="36" s="1"/>
  <c r="AJ415" i="36"/>
  <c r="T415" i="36" s="1"/>
  <c r="V415" i="36" s="1"/>
  <c r="AK414" i="36"/>
  <c r="AL414" i="36" s="1"/>
  <c r="AI414" i="36"/>
  <c r="AJ414" i="36" s="1"/>
  <c r="T414" i="36" s="1"/>
  <c r="V414" i="36" s="1"/>
  <c r="AI413" i="36"/>
  <c r="AJ413" i="36" s="1"/>
  <c r="T413" i="36" s="1"/>
  <c r="V413" i="36" s="1"/>
  <c r="AI412" i="36"/>
  <c r="AJ412" i="36" s="1"/>
  <c r="T412" i="36" s="1"/>
  <c r="V412" i="36" s="1"/>
  <c r="AK411" i="36"/>
  <c r="AL411" i="36" s="1"/>
  <c r="AJ411" i="36"/>
  <c r="T411" i="36" s="1"/>
  <c r="V411" i="36" s="1"/>
  <c r="AK410" i="36"/>
  <c r="AL410" i="36" s="1"/>
  <c r="AJ410" i="36"/>
  <c r="T410" i="36"/>
  <c r="V410" i="36" s="1"/>
  <c r="AK409" i="36"/>
  <c r="AL409" i="36" s="1"/>
  <c r="AJ409" i="36"/>
  <c r="T409" i="36" s="1"/>
  <c r="V409" i="36" s="1"/>
  <c r="AH408" i="36"/>
  <c r="AG408" i="36"/>
  <c r="AF408" i="36"/>
  <c r="AE408" i="36"/>
  <c r="AD408" i="36"/>
  <c r="AC408" i="36"/>
  <c r="AA408" i="36"/>
  <c r="Z408" i="36"/>
  <c r="Y408" i="36"/>
  <c r="X408" i="36"/>
  <c r="Q408" i="36"/>
  <c r="R416" i="36" s="1"/>
  <c r="P408" i="36"/>
  <c r="AK407" i="36"/>
  <c r="AL407" i="36" s="1"/>
  <c r="AJ407" i="36"/>
  <c r="T407" i="36" s="1"/>
  <c r="V407" i="36" s="1"/>
  <c r="AK406" i="36"/>
  <c r="AL406" i="36" s="1"/>
  <c r="AJ406" i="36"/>
  <c r="T406" i="36" s="1"/>
  <c r="V406" i="36" s="1"/>
  <c r="AK405" i="36"/>
  <c r="AL405" i="36" s="1"/>
  <c r="AJ405" i="36"/>
  <c r="T405" i="36" s="1"/>
  <c r="V405" i="36" s="1"/>
  <c r="AK404" i="36"/>
  <c r="AL404" i="36" s="1"/>
  <c r="AJ404" i="36"/>
  <c r="T404" i="36"/>
  <c r="V404" i="36" s="1"/>
  <c r="AK403" i="36"/>
  <c r="AL403" i="36" s="1"/>
  <c r="AJ403" i="36"/>
  <c r="T403" i="36" s="1"/>
  <c r="V403" i="36" s="1"/>
  <c r="AK402" i="36"/>
  <c r="AL402" i="36" s="1"/>
  <c r="AJ402" i="36"/>
  <c r="T402" i="36" s="1"/>
  <c r="AK401" i="36"/>
  <c r="AL401" i="36" s="1"/>
  <c r="AJ401" i="36"/>
  <c r="T401" i="36" s="1"/>
  <c r="V401" i="36" s="1"/>
  <c r="AI400" i="36"/>
  <c r="AH400" i="36"/>
  <c r="AG400" i="36"/>
  <c r="AF400" i="36"/>
  <c r="AE400" i="36"/>
  <c r="AD400" i="36"/>
  <c r="AC400" i="36"/>
  <c r="AA400" i="36"/>
  <c r="Z400" i="36"/>
  <c r="Y400" i="36"/>
  <c r="X400" i="36"/>
  <c r="Q400" i="36"/>
  <c r="P400" i="36"/>
  <c r="AK399" i="36"/>
  <c r="AL399" i="36" s="1"/>
  <c r="AJ399" i="36"/>
  <c r="T399" i="36" s="1"/>
  <c r="AK398" i="36"/>
  <c r="AL398" i="36" s="1"/>
  <c r="AJ398" i="36"/>
  <c r="T398" i="36" s="1"/>
  <c r="AI397" i="36"/>
  <c r="AK396" i="36"/>
  <c r="AL396" i="36" s="1"/>
  <c r="AJ396" i="36"/>
  <c r="T396" i="36" s="1"/>
  <c r="V396" i="36" s="1"/>
  <c r="AK395" i="36"/>
  <c r="AL395" i="36" s="1"/>
  <c r="AJ395" i="36"/>
  <c r="T395" i="36" s="1"/>
  <c r="V395" i="36" s="1"/>
  <c r="AK394" i="36"/>
  <c r="AL394" i="36" s="1"/>
  <c r="AJ394" i="36"/>
  <c r="T394" i="36" s="1"/>
  <c r="V394" i="36" s="1"/>
  <c r="AK393" i="36"/>
  <c r="AL393" i="36" s="1"/>
  <c r="AJ393" i="36"/>
  <c r="T393" i="36" s="1"/>
  <c r="V393" i="36" s="1"/>
  <c r="AK392" i="36"/>
  <c r="AL392" i="36" s="1"/>
  <c r="AJ392" i="36"/>
  <c r="T392" i="36" s="1"/>
  <c r="V392" i="36" s="1"/>
  <c r="AK391" i="36"/>
  <c r="AL391" i="36" s="1"/>
  <c r="AJ391" i="36"/>
  <c r="T391" i="36" s="1"/>
  <c r="V391" i="36" s="1"/>
  <c r="AK390" i="36"/>
  <c r="AL390" i="36" s="1"/>
  <c r="AJ390" i="36"/>
  <c r="T390" i="36" s="1"/>
  <c r="V390" i="36" s="1"/>
  <c r="AK389" i="36"/>
  <c r="AL389" i="36" s="1"/>
  <c r="AJ389" i="36"/>
  <c r="T389" i="36" s="1"/>
  <c r="AK388" i="36"/>
  <c r="AL388" i="36" s="1"/>
  <c r="AJ388" i="36"/>
  <c r="T388" i="36"/>
  <c r="V388" i="36" s="1"/>
  <c r="AH387" i="36"/>
  <c r="AG387" i="36"/>
  <c r="AF387" i="36"/>
  <c r="AE387" i="36"/>
  <c r="AD387" i="36"/>
  <c r="AC387" i="36"/>
  <c r="AA387" i="36"/>
  <c r="Z387" i="36"/>
  <c r="Y387" i="36"/>
  <c r="X387" i="36"/>
  <c r="Q387" i="36"/>
  <c r="R392" i="36" s="1"/>
  <c r="U392" i="36" s="1"/>
  <c r="P387" i="36"/>
  <c r="AK386" i="36"/>
  <c r="AL386" i="36" s="1"/>
  <c r="AJ386" i="36"/>
  <c r="T386" i="36" s="1"/>
  <c r="V386" i="36" s="1"/>
  <c r="AK385" i="36"/>
  <c r="AL385" i="36" s="1"/>
  <c r="AJ385" i="36"/>
  <c r="T385" i="36" s="1"/>
  <c r="V385" i="36" s="1"/>
  <c r="AK384" i="36"/>
  <c r="AL384" i="36" s="1"/>
  <c r="AJ384" i="36"/>
  <c r="T384" i="36" s="1"/>
  <c r="V384" i="36" s="1"/>
  <c r="AK383" i="36"/>
  <c r="AL383" i="36" s="1"/>
  <c r="AJ383" i="36"/>
  <c r="T383" i="36" s="1"/>
  <c r="V383" i="36" s="1"/>
  <c r="AK382" i="36"/>
  <c r="AL382" i="36" s="1"/>
  <c r="AJ382" i="36"/>
  <c r="T382" i="36" s="1"/>
  <c r="V382" i="36" s="1"/>
  <c r="AK381" i="36"/>
  <c r="AL381" i="36" s="1"/>
  <c r="AJ381" i="36"/>
  <c r="T381" i="36" s="1"/>
  <c r="V381" i="36" s="1"/>
  <c r="AK380" i="36"/>
  <c r="AL380" i="36" s="1"/>
  <c r="AJ380" i="36"/>
  <c r="T380" i="36" s="1"/>
  <c r="V380" i="36" s="1"/>
  <c r="AK379" i="36"/>
  <c r="AL379" i="36" s="1"/>
  <c r="AJ379" i="36"/>
  <c r="T379" i="36" s="1"/>
  <c r="V379" i="36" s="1"/>
  <c r="AK378" i="36"/>
  <c r="AL378" i="36" s="1"/>
  <c r="AJ378" i="36"/>
  <c r="T378" i="36" s="1"/>
  <c r="V378" i="36" s="1"/>
  <c r="AI377" i="36"/>
  <c r="AH377" i="36"/>
  <c r="AG377" i="36"/>
  <c r="AF377" i="36"/>
  <c r="AE377" i="36"/>
  <c r="AD377" i="36"/>
  <c r="AC377" i="36"/>
  <c r="AA377" i="36"/>
  <c r="Z377" i="36"/>
  <c r="Y377" i="36"/>
  <c r="X377" i="36"/>
  <c r="Q377" i="36"/>
  <c r="R386" i="36" s="1"/>
  <c r="P377" i="36"/>
  <c r="AI375" i="36"/>
  <c r="AI374" i="36"/>
  <c r="AI371" i="36"/>
  <c r="AI370" i="36"/>
  <c r="AK368" i="36"/>
  <c r="AL368" i="36" s="1"/>
  <c r="AJ368" i="36"/>
  <c r="T368" i="36" s="1"/>
  <c r="V368" i="36" s="1"/>
  <c r="AK367" i="36"/>
  <c r="AL367" i="36" s="1"/>
  <c r="AJ367" i="36"/>
  <c r="T367" i="36" s="1"/>
  <c r="V367" i="36" s="1"/>
  <c r="AK366" i="36"/>
  <c r="AL366" i="36" s="1"/>
  <c r="AJ366" i="36"/>
  <c r="T366" i="36" s="1"/>
  <c r="V366" i="36" s="1"/>
  <c r="AI365" i="36"/>
  <c r="AJ365" i="36" s="1"/>
  <c r="T365" i="36" s="1"/>
  <c r="V365" i="36" s="1"/>
  <c r="AH364" i="36"/>
  <c r="AG364" i="36"/>
  <c r="AF364" i="36"/>
  <c r="AE364" i="36"/>
  <c r="AD364" i="36"/>
  <c r="AC364" i="36"/>
  <c r="AA364" i="36"/>
  <c r="Z364" i="36"/>
  <c r="Y364" i="36"/>
  <c r="X364" i="36"/>
  <c r="Q364" i="36"/>
  <c r="R368" i="36" s="1"/>
  <c r="P364" i="36"/>
  <c r="A364" i="36"/>
  <c r="A377" i="36" s="1"/>
  <c r="A387" i="36" s="1"/>
  <c r="A400" i="36" s="1"/>
  <c r="A408" i="36" s="1"/>
  <c r="AK363" i="36"/>
  <c r="AL363" i="36" s="1"/>
  <c r="AJ363" i="36"/>
  <c r="T363" i="36" s="1"/>
  <c r="V363" i="36" s="1"/>
  <c r="AK362" i="36"/>
  <c r="AL362" i="36" s="1"/>
  <c r="AJ362" i="36"/>
  <c r="T362" i="36" s="1"/>
  <c r="V362" i="36" s="1"/>
  <c r="AK361" i="36"/>
  <c r="AL361" i="36" s="1"/>
  <c r="AJ361" i="36"/>
  <c r="T361" i="36" s="1"/>
  <c r="V361" i="36" s="1"/>
  <c r="AK360" i="36"/>
  <c r="AL360" i="36" s="1"/>
  <c r="AJ360" i="36"/>
  <c r="T360" i="36" s="1"/>
  <c r="V360" i="36" s="1"/>
  <c r="AK359" i="36"/>
  <c r="AL359" i="36" s="1"/>
  <c r="AJ359" i="36"/>
  <c r="T359" i="36" s="1"/>
  <c r="V359" i="36" s="1"/>
  <c r="AI358" i="36"/>
  <c r="AK358" i="36" s="1"/>
  <c r="AL358" i="36" s="1"/>
  <c r="AK357" i="36"/>
  <c r="AL357" i="36" s="1"/>
  <c r="AJ357" i="36"/>
  <c r="T357" i="36" s="1"/>
  <c r="V357" i="36" s="1"/>
  <c r="AH356" i="36"/>
  <c r="AG356" i="36"/>
  <c r="AF356" i="36"/>
  <c r="AE356" i="36"/>
  <c r="AD356" i="36"/>
  <c r="AC356" i="36"/>
  <c r="AA356" i="36"/>
  <c r="Z356" i="36"/>
  <c r="Y356" i="36"/>
  <c r="X356" i="36"/>
  <c r="Q356" i="36"/>
  <c r="R359" i="36" s="1"/>
  <c r="P356" i="36"/>
  <c r="AK355" i="36"/>
  <c r="AL355" i="36" s="1"/>
  <c r="AJ355" i="36"/>
  <c r="T355" i="36" s="1"/>
  <c r="AK354" i="36"/>
  <c r="AL354" i="36" s="1"/>
  <c r="AJ354" i="36"/>
  <c r="T354" i="36" s="1"/>
  <c r="AK353" i="36"/>
  <c r="AL353" i="36" s="1"/>
  <c r="AJ353" i="36"/>
  <c r="T353" i="36" s="1"/>
  <c r="V353" i="36" s="1"/>
  <c r="AK352" i="36"/>
  <c r="AL352" i="36" s="1"/>
  <c r="AJ352" i="36"/>
  <c r="T352" i="36" s="1"/>
  <c r="V352" i="36" s="1"/>
  <c r="AK351" i="36"/>
  <c r="AL351" i="36" s="1"/>
  <c r="AJ351" i="36"/>
  <c r="T351" i="36" s="1"/>
  <c r="V351" i="36" s="1"/>
  <c r="AI350" i="36"/>
  <c r="AH350" i="36"/>
  <c r="AG350" i="36"/>
  <c r="AF350" i="36"/>
  <c r="AE350" i="36"/>
  <c r="AD350" i="36"/>
  <c r="AC350" i="36"/>
  <c r="AA350" i="36"/>
  <c r="Z350" i="36"/>
  <c r="Y350" i="36"/>
  <c r="X350" i="36"/>
  <c r="Q350" i="36"/>
  <c r="R354" i="36" s="1"/>
  <c r="P350" i="36"/>
  <c r="AK349" i="36"/>
  <c r="AL349" i="36" s="1"/>
  <c r="AJ349" i="36"/>
  <c r="T349" i="36" s="1"/>
  <c r="AK348" i="36"/>
  <c r="AL348" i="36" s="1"/>
  <c r="AJ348" i="36"/>
  <c r="T348" i="36" s="1"/>
  <c r="V348" i="36" s="1"/>
  <c r="AK346" i="36"/>
  <c r="AL346" i="36" s="1"/>
  <c r="AJ346" i="36"/>
  <c r="T346" i="36" s="1"/>
  <c r="AK345" i="36"/>
  <c r="AL345" i="36" s="1"/>
  <c r="AJ345" i="36"/>
  <c r="T345" i="36" s="1"/>
  <c r="V345" i="36" s="1"/>
  <c r="AK344" i="36"/>
  <c r="AL344" i="36" s="1"/>
  <c r="AJ344" i="36"/>
  <c r="T344" i="36" s="1"/>
  <c r="V344" i="36" s="1"/>
  <c r="AK343" i="36"/>
  <c r="AL343" i="36" s="1"/>
  <c r="AJ343" i="36"/>
  <c r="T343" i="36" s="1"/>
  <c r="V343" i="36" s="1"/>
  <c r="AK342" i="36"/>
  <c r="AL342" i="36" s="1"/>
  <c r="AJ342" i="36"/>
  <c r="T342" i="36" s="1"/>
  <c r="V342" i="36" s="1"/>
  <c r="AJ341" i="36"/>
  <c r="T341" i="36" s="1"/>
  <c r="V341" i="36" s="1"/>
  <c r="AK341" i="36"/>
  <c r="AL341" i="36" s="1"/>
  <c r="AK340" i="36"/>
  <c r="AL340" i="36" s="1"/>
  <c r="AJ340" i="36"/>
  <c r="T340" i="36" s="1"/>
  <c r="V340" i="36" s="1"/>
  <c r="AH339" i="36"/>
  <c r="AG339" i="36"/>
  <c r="AF339" i="36"/>
  <c r="AE339" i="36"/>
  <c r="AD339" i="36"/>
  <c r="AC339" i="36"/>
  <c r="AA339" i="36"/>
  <c r="Z339" i="36"/>
  <c r="Y339" i="36"/>
  <c r="X339" i="36"/>
  <c r="Q339" i="36"/>
  <c r="R348" i="36" s="1"/>
  <c r="P339" i="36"/>
  <c r="AK338" i="36"/>
  <c r="AL338" i="36" s="1"/>
  <c r="AJ338" i="36"/>
  <c r="T338" i="36" s="1"/>
  <c r="V338" i="36" s="1"/>
  <c r="AK337" i="36"/>
  <c r="AL337" i="36" s="1"/>
  <c r="AJ337" i="36"/>
  <c r="T337" i="36" s="1"/>
  <c r="V337" i="36" s="1"/>
  <c r="AK336" i="36"/>
  <c r="AL336" i="36" s="1"/>
  <c r="AJ336" i="36"/>
  <c r="T336" i="36" s="1"/>
  <c r="V336" i="36" s="1"/>
  <c r="AK335" i="36"/>
  <c r="AL335" i="36" s="1"/>
  <c r="AJ335" i="36"/>
  <c r="T335" i="36" s="1"/>
  <c r="V335" i="36" s="1"/>
  <c r="AK334" i="36"/>
  <c r="AL334" i="36" s="1"/>
  <c r="AJ334" i="36"/>
  <c r="T334" i="36" s="1"/>
  <c r="V334" i="36" s="1"/>
  <c r="AK333" i="36"/>
  <c r="AL333" i="36" s="1"/>
  <c r="AJ333" i="36"/>
  <c r="T333" i="36" s="1"/>
  <c r="V333" i="36" s="1"/>
  <c r="AI332" i="36"/>
  <c r="AH332" i="36"/>
  <c r="AG332" i="36"/>
  <c r="AF332" i="36"/>
  <c r="AE332" i="36"/>
  <c r="AD332" i="36"/>
  <c r="AC332" i="36"/>
  <c r="AA332" i="36"/>
  <c r="Z332" i="36"/>
  <c r="Y332" i="36"/>
  <c r="X332" i="36"/>
  <c r="Q332" i="36"/>
  <c r="AK331" i="36"/>
  <c r="AL331" i="36" s="1"/>
  <c r="AJ331" i="36"/>
  <c r="T331" i="36" s="1"/>
  <c r="V331" i="36" s="1"/>
  <c r="AK330" i="36"/>
  <c r="AL330" i="36" s="1"/>
  <c r="AJ330" i="36"/>
  <c r="T330" i="36" s="1"/>
  <c r="V330" i="36" s="1"/>
  <c r="AK329" i="36"/>
  <c r="AL329" i="36" s="1"/>
  <c r="AJ329" i="36"/>
  <c r="T329" i="36" s="1"/>
  <c r="V329" i="36" s="1"/>
  <c r="AK328" i="36"/>
  <c r="AL328" i="36" s="1"/>
  <c r="AJ328" i="36"/>
  <c r="T328" i="36" s="1"/>
  <c r="V328" i="36" s="1"/>
  <c r="AK327" i="36"/>
  <c r="AL327" i="36" s="1"/>
  <c r="AJ327" i="36"/>
  <c r="T327" i="36" s="1"/>
  <c r="AK326" i="36"/>
  <c r="AL326" i="36" s="1"/>
  <c r="AJ326" i="36"/>
  <c r="T326" i="36" s="1"/>
  <c r="V326" i="36" s="1"/>
  <c r="AI325" i="36"/>
  <c r="AH325" i="36"/>
  <c r="AG325" i="36"/>
  <c r="AF325" i="36"/>
  <c r="AE325" i="36"/>
  <c r="AD325" i="36"/>
  <c r="AC325" i="36"/>
  <c r="AA325" i="36"/>
  <c r="Z325" i="36"/>
  <c r="Y325" i="36"/>
  <c r="X325" i="36"/>
  <c r="Q325" i="36"/>
  <c r="R330" i="36" s="1"/>
  <c r="U330" i="36" s="1"/>
  <c r="P325" i="36"/>
  <c r="AK324" i="36"/>
  <c r="AL324" i="36" s="1"/>
  <c r="AJ324" i="36"/>
  <c r="T324" i="36" s="1"/>
  <c r="V324" i="36" s="1"/>
  <c r="AK323" i="36"/>
  <c r="AL323" i="36" s="1"/>
  <c r="AJ323" i="36"/>
  <c r="T323" i="36" s="1"/>
  <c r="V323" i="36" s="1"/>
  <c r="AK322" i="36"/>
  <c r="AL322" i="36" s="1"/>
  <c r="AJ322" i="36"/>
  <c r="T322" i="36" s="1"/>
  <c r="V322" i="36" s="1"/>
  <c r="AK321" i="36"/>
  <c r="AL321" i="36" s="1"/>
  <c r="AJ321" i="36"/>
  <c r="T321" i="36" s="1"/>
  <c r="V321" i="36" s="1"/>
  <c r="AK320" i="36"/>
  <c r="AL320" i="36" s="1"/>
  <c r="AJ320" i="36"/>
  <c r="T320" i="36" s="1"/>
  <c r="V320" i="36" s="1"/>
  <c r="AK319" i="36"/>
  <c r="AL319" i="36" s="1"/>
  <c r="AJ319" i="36"/>
  <c r="T319" i="36" s="1"/>
  <c r="V319" i="36" s="1"/>
  <c r="AK318" i="36"/>
  <c r="AL318" i="36" s="1"/>
  <c r="AJ318" i="36"/>
  <c r="T318" i="36" s="1"/>
  <c r="V318" i="36" s="1"/>
  <c r="AI317" i="36"/>
  <c r="AH317" i="36"/>
  <c r="AG317" i="36"/>
  <c r="AF317" i="36"/>
  <c r="AE317" i="36"/>
  <c r="AD317" i="36"/>
  <c r="AC317" i="36"/>
  <c r="AA317" i="36"/>
  <c r="Z317" i="36"/>
  <c r="Y317" i="36"/>
  <c r="X317" i="36"/>
  <c r="Q317" i="36"/>
  <c r="R320" i="36" s="1"/>
  <c r="U320" i="36" s="1"/>
  <c r="P317" i="36"/>
  <c r="AK316" i="36"/>
  <c r="AL316" i="36" s="1"/>
  <c r="AJ316" i="36"/>
  <c r="T316" i="36" s="1"/>
  <c r="V316" i="36" s="1"/>
  <c r="AK315" i="36"/>
  <c r="AL315" i="36" s="1"/>
  <c r="AJ315" i="36"/>
  <c r="T315" i="36" s="1"/>
  <c r="V315" i="36" s="1"/>
  <c r="AK314" i="36"/>
  <c r="AL314" i="36" s="1"/>
  <c r="AJ314" i="36"/>
  <c r="T314" i="36" s="1"/>
  <c r="V314" i="36" s="1"/>
  <c r="AK313" i="36"/>
  <c r="AL313" i="36" s="1"/>
  <c r="AJ313" i="36"/>
  <c r="T313" i="36" s="1"/>
  <c r="V313" i="36" s="1"/>
  <c r="AK312" i="36"/>
  <c r="AL312" i="36" s="1"/>
  <c r="AJ312" i="36"/>
  <c r="T312" i="36" s="1"/>
  <c r="V312" i="36" s="1"/>
  <c r="AK311" i="36"/>
  <c r="AL311" i="36" s="1"/>
  <c r="AJ311" i="36"/>
  <c r="T311" i="36" s="1"/>
  <c r="V311" i="36" s="1"/>
  <c r="AK310" i="36"/>
  <c r="AL310" i="36" s="1"/>
  <c r="AJ310" i="36"/>
  <c r="T310" i="36" s="1"/>
  <c r="V310" i="36" s="1"/>
  <c r="AI309" i="36"/>
  <c r="AH309" i="36"/>
  <c r="AG309" i="36"/>
  <c r="AF309" i="36"/>
  <c r="AE309" i="36"/>
  <c r="AD309" i="36"/>
  <c r="AC309" i="36"/>
  <c r="AA309" i="36"/>
  <c r="Z309" i="36"/>
  <c r="Y309" i="36"/>
  <c r="X309" i="36"/>
  <c r="Q309" i="36"/>
  <c r="R310" i="36" s="1"/>
  <c r="U310" i="36" s="1"/>
  <c r="P309" i="36"/>
  <c r="AK308" i="36"/>
  <c r="AL308" i="36" s="1"/>
  <c r="AJ308" i="36"/>
  <c r="T308" i="36" s="1"/>
  <c r="V308" i="36" s="1"/>
  <c r="AK307" i="36"/>
  <c r="AL307" i="36" s="1"/>
  <c r="AJ307" i="36"/>
  <c r="T307" i="36" s="1"/>
  <c r="V307" i="36" s="1"/>
  <c r="AK306" i="36"/>
  <c r="AL306" i="36" s="1"/>
  <c r="AJ306" i="36"/>
  <c r="T306" i="36" s="1"/>
  <c r="V306" i="36" s="1"/>
  <c r="AK305" i="36"/>
  <c r="AL305" i="36" s="1"/>
  <c r="AJ305" i="36"/>
  <c r="T305" i="36" s="1"/>
  <c r="V305" i="36" s="1"/>
  <c r="AK304" i="36"/>
  <c r="AL304" i="36" s="1"/>
  <c r="AJ304" i="36"/>
  <c r="T304" i="36" s="1"/>
  <c r="V304" i="36" s="1"/>
  <c r="AK303" i="36"/>
  <c r="AL303" i="36" s="1"/>
  <c r="AJ303" i="36"/>
  <c r="T303" i="36" s="1"/>
  <c r="V303" i="36" s="1"/>
  <c r="AK302" i="36"/>
  <c r="AL302" i="36" s="1"/>
  <c r="AJ302" i="36"/>
  <c r="T302" i="36" s="1"/>
  <c r="V302" i="36" s="1"/>
  <c r="AK301" i="36"/>
  <c r="AL301" i="36" s="1"/>
  <c r="AJ301" i="36"/>
  <c r="T301" i="36" s="1"/>
  <c r="V301" i="36" s="1"/>
  <c r="AK300" i="36"/>
  <c r="AL300" i="36" s="1"/>
  <c r="AJ300" i="36"/>
  <c r="T300" i="36" s="1"/>
  <c r="V300" i="36" s="1"/>
  <c r="AK299" i="36"/>
  <c r="AL299" i="36" s="1"/>
  <c r="AJ299" i="36"/>
  <c r="T299" i="36" s="1"/>
  <c r="V299" i="36" s="1"/>
  <c r="AK298" i="36"/>
  <c r="AL298" i="36" s="1"/>
  <c r="AJ298" i="36"/>
  <c r="T298" i="36" s="1"/>
  <c r="V298" i="36" s="1"/>
  <c r="AI297" i="36"/>
  <c r="AH297" i="36"/>
  <c r="AG297" i="36"/>
  <c r="AF297" i="36"/>
  <c r="AE297" i="36"/>
  <c r="AD297" i="36"/>
  <c r="AC297" i="36"/>
  <c r="AA297" i="36"/>
  <c r="Z297" i="36"/>
  <c r="Y297" i="36"/>
  <c r="X297" i="36"/>
  <c r="Q297" i="36"/>
  <c r="R289" i="36" s="1"/>
  <c r="P297" i="36"/>
  <c r="AK296" i="36"/>
  <c r="AL296" i="36" s="1"/>
  <c r="AJ296" i="36"/>
  <c r="T296" i="36" s="1"/>
  <c r="V296" i="36" s="1"/>
  <c r="AK295" i="36"/>
  <c r="AL295" i="36" s="1"/>
  <c r="AJ295" i="36"/>
  <c r="T295" i="36" s="1"/>
  <c r="V295" i="36" s="1"/>
  <c r="AK294" i="36"/>
  <c r="AL294" i="36" s="1"/>
  <c r="AJ294" i="36"/>
  <c r="T294" i="36" s="1"/>
  <c r="V294" i="36" s="1"/>
  <c r="AK293" i="36"/>
  <c r="AL293" i="36" s="1"/>
  <c r="AJ293" i="36"/>
  <c r="T293" i="36" s="1"/>
  <c r="V293" i="36" s="1"/>
  <c r="AK292" i="36"/>
  <c r="AL292" i="36" s="1"/>
  <c r="AJ292" i="36"/>
  <c r="T292" i="36" s="1"/>
  <c r="V292" i="36" s="1"/>
  <c r="AK291" i="36"/>
  <c r="AL291" i="36" s="1"/>
  <c r="AJ291" i="36"/>
  <c r="T291" i="36" s="1"/>
  <c r="V291" i="36" s="1"/>
  <c r="R291" i="36"/>
  <c r="AK290" i="36"/>
  <c r="AL290" i="36" s="1"/>
  <c r="AJ290" i="36"/>
  <c r="T290" i="36" s="1"/>
  <c r="V290" i="36" s="1"/>
  <c r="AK289" i="36"/>
  <c r="AL289" i="36" s="1"/>
  <c r="AJ289" i="36"/>
  <c r="T289" i="36" s="1"/>
  <c r="V289" i="36" s="1"/>
  <c r="AK288" i="36"/>
  <c r="AL288" i="36" s="1"/>
  <c r="AJ288" i="36"/>
  <c r="T288" i="36" s="1"/>
  <c r="V288" i="36" s="1"/>
  <c r="R288" i="36"/>
  <c r="AI287" i="36"/>
  <c r="AH287" i="36"/>
  <c r="AF287" i="36"/>
  <c r="AE287" i="36"/>
  <c r="AD287" i="36"/>
  <c r="AC287" i="36"/>
  <c r="AA287" i="36"/>
  <c r="Z287" i="36"/>
  <c r="Y287" i="36"/>
  <c r="X287" i="36"/>
  <c r="Q287" i="36"/>
  <c r="P287" i="36"/>
  <c r="AK286" i="36"/>
  <c r="AL286" i="36" s="1"/>
  <c r="AJ286" i="36"/>
  <c r="T286" i="36" s="1"/>
  <c r="AK285" i="36"/>
  <c r="AL285" i="36" s="1"/>
  <c r="AJ285" i="36"/>
  <c r="T285" i="36" s="1"/>
  <c r="V285" i="36" s="1"/>
  <c r="AK284" i="36"/>
  <c r="AL284" i="36" s="1"/>
  <c r="AJ284" i="36"/>
  <c r="T284" i="36" s="1"/>
  <c r="V284" i="36" s="1"/>
  <c r="AK283" i="36"/>
  <c r="AL283" i="36" s="1"/>
  <c r="AJ283" i="36"/>
  <c r="T283" i="36" s="1"/>
  <c r="V283" i="36" s="1"/>
  <c r="AK282" i="36"/>
  <c r="AL282" i="36" s="1"/>
  <c r="AJ282" i="36"/>
  <c r="T282" i="36" s="1"/>
  <c r="AK281" i="36"/>
  <c r="AL281" i="36" s="1"/>
  <c r="AJ281" i="36"/>
  <c r="T281" i="36" s="1"/>
  <c r="V281" i="36" s="1"/>
  <c r="AK280" i="36"/>
  <c r="AL280" i="36" s="1"/>
  <c r="AJ280" i="36"/>
  <c r="T280" i="36" s="1"/>
  <c r="V280" i="36" s="1"/>
  <c r="AK279" i="36"/>
  <c r="AL279" i="36" s="1"/>
  <c r="AJ279" i="36"/>
  <c r="T279" i="36" s="1"/>
  <c r="V279" i="36" s="1"/>
  <c r="AK278" i="36"/>
  <c r="AL278" i="36" s="1"/>
  <c r="AJ278" i="36"/>
  <c r="T278" i="36" s="1"/>
  <c r="AK277" i="36"/>
  <c r="AL277" i="36" s="1"/>
  <c r="AJ277" i="36"/>
  <c r="T277" i="36" s="1"/>
  <c r="V277" i="36" s="1"/>
  <c r="AK276" i="36"/>
  <c r="AL276" i="36" s="1"/>
  <c r="AJ276" i="36"/>
  <c r="T276" i="36" s="1"/>
  <c r="V276" i="36" s="1"/>
  <c r="AI275" i="36"/>
  <c r="AH275" i="36"/>
  <c r="AG275" i="36"/>
  <c r="AF275" i="36"/>
  <c r="AE275" i="36"/>
  <c r="AD275" i="36"/>
  <c r="AC275" i="36"/>
  <c r="AA275" i="36"/>
  <c r="Z275" i="36"/>
  <c r="Y275" i="36"/>
  <c r="X275" i="36"/>
  <c r="Q275" i="36"/>
  <c r="R279" i="36" s="1"/>
  <c r="P275" i="36"/>
  <c r="AK274" i="36"/>
  <c r="AL274" i="36" s="1"/>
  <c r="AJ274" i="36"/>
  <c r="T274" i="36" s="1"/>
  <c r="V274" i="36" s="1"/>
  <c r="AK273" i="36"/>
  <c r="AL273" i="36" s="1"/>
  <c r="AJ273" i="36"/>
  <c r="T273" i="36" s="1"/>
  <c r="V273" i="36" s="1"/>
  <c r="AK272" i="36"/>
  <c r="AL272" i="36" s="1"/>
  <c r="AJ272" i="36"/>
  <c r="T272" i="36" s="1"/>
  <c r="V272" i="36" s="1"/>
  <c r="AK271" i="36"/>
  <c r="AL271" i="36" s="1"/>
  <c r="AJ271" i="36"/>
  <c r="T271" i="36" s="1"/>
  <c r="V271" i="36" s="1"/>
  <c r="AK270" i="36"/>
  <c r="AL270" i="36" s="1"/>
  <c r="AJ270" i="36"/>
  <c r="T270" i="36" s="1"/>
  <c r="V270" i="36" s="1"/>
  <c r="AK269" i="36"/>
  <c r="AL269" i="36" s="1"/>
  <c r="AJ269" i="36"/>
  <c r="T269" i="36" s="1"/>
  <c r="V269" i="36" s="1"/>
  <c r="AK268" i="36"/>
  <c r="AL268" i="36" s="1"/>
  <c r="AJ268" i="36"/>
  <c r="T268" i="36" s="1"/>
  <c r="V268" i="36" s="1"/>
  <c r="AK267" i="36"/>
  <c r="AL267" i="36" s="1"/>
  <c r="AJ267" i="36"/>
  <c r="T267" i="36" s="1"/>
  <c r="V267" i="36" s="1"/>
  <c r="AK266" i="36"/>
  <c r="AL266" i="36" s="1"/>
  <c r="AJ266" i="36"/>
  <c r="T266" i="36" s="1"/>
  <c r="V266" i="36" s="1"/>
  <c r="AK265" i="36"/>
  <c r="AL265" i="36" s="1"/>
  <c r="AJ265" i="36"/>
  <c r="T265" i="36" s="1"/>
  <c r="V265" i="36" s="1"/>
  <c r="AI264" i="36"/>
  <c r="AH264" i="36"/>
  <c r="AG264" i="36"/>
  <c r="AF264" i="36"/>
  <c r="AE264" i="36"/>
  <c r="AD264" i="36"/>
  <c r="AC264" i="36"/>
  <c r="AA264" i="36"/>
  <c r="Z264" i="36"/>
  <c r="Y264" i="36"/>
  <c r="X264" i="36"/>
  <c r="Q264" i="36"/>
  <c r="R268" i="36" s="1"/>
  <c r="AK263" i="36"/>
  <c r="AL263" i="36" s="1"/>
  <c r="AJ263" i="36"/>
  <c r="T263" i="36" s="1"/>
  <c r="V263" i="36" s="1"/>
  <c r="AK262" i="36"/>
  <c r="AL262" i="36" s="1"/>
  <c r="AJ262" i="36"/>
  <c r="T262" i="36" s="1"/>
  <c r="V262" i="36" s="1"/>
  <c r="AK261" i="36"/>
  <c r="AL261" i="36" s="1"/>
  <c r="AJ261" i="36"/>
  <c r="T261" i="36" s="1"/>
  <c r="V261" i="36" s="1"/>
  <c r="AK260" i="36"/>
  <c r="AL260" i="36" s="1"/>
  <c r="AJ260" i="36"/>
  <c r="T260" i="36" s="1"/>
  <c r="V260" i="36" s="1"/>
  <c r="AK259" i="36"/>
  <c r="AL259" i="36" s="1"/>
  <c r="AJ259" i="36"/>
  <c r="T259" i="36" s="1"/>
  <c r="V259" i="36" s="1"/>
  <c r="AK258" i="36"/>
  <c r="AL258" i="36" s="1"/>
  <c r="AJ258" i="36"/>
  <c r="T258" i="36" s="1"/>
  <c r="V258" i="36" s="1"/>
  <c r="AK257" i="36"/>
  <c r="AL257" i="36" s="1"/>
  <c r="AJ257" i="36"/>
  <c r="T257" i="36" s="1"/>
  <c r="V257" i="36" s="1"/>
  <c r="AK256" i="36"/>
  <c r="AL256" i="36" s="1"/>
  <c r="AJ256" i="36"/>
  <c r="T256" i="36" s="1"/>
  <c r="V256" i="36" s="1"/>
  <c r="AK255" i="36"/>
  <c r="AL255" i="36" s="1"/>
  <c r="AJ255" i="36"/>
  <c r="T255" i="36" s="1"/>
  <c r="V255" i="36" s="1"/>
  <c r="AK254" i="36"/>
  <c r="AL254" i="36" s="1"/>
  <c r="AJ254" i="36"/>
  <c r="T254" i="36" s="1"/>
  <c r="V254" i="36" s="1"/>
  <c r="AK253" i="36"/>
  <c r="AL253" i="36" s="1"/>
  <c r="AJ253" i="36"/>
  <c r="T253" i="36" s="1"/>
  <c r="V253" i="36" s="1"/>
  <c r="AK252" i="36"/>
  <c r="AL252" i="36" s="1"/>
  <c r="AJ252" i="36"/>
  <c r="T252" i="36" s="1"/>
  <c r="V252" i="36" s="1"/>
  <c r="AK251" i="36"/>
  <c r="AL251" i="36" s="1"/>
  <c r="AJ251" i="36"/>
  <c r="T251" i="36" s="1"/>
  <c r="V251" i="36" s="1"/>
  <c r="AK250" i="36"/>
  <c r="AL250" i="36" s="1"/>
  <c r="AJ250" i="36"/>
  <c r="T250" i="36" s="1"/>
  <c r="V250" i="36" s="1"/>
  <c r="AI249" i="36"/>
  <c r="AH249" i="36"/>
  <c r="AG249" i="36"/>
  <c r="AG248" i="36" s="1"/>
  <c r="AF249" i="36"/>
  <c r="AF248" i="36" s="1"/>
  <c r="AE249" i="36"/>
  <c r="AD249" i="36"/>
  <c r="AD248" i="36" s="1"/>
  <c r="AC249" i="36"/>
  <c r="AC248" i="36" s="1"/>
  <c r="AA249" i="36"/>
  <c r="AA248" i="36" s="1"/>
  <c r="Z249" i="36"/>
  <c r="Z248" i="36" s="1"/>
  <c r="Y249" i="36"/>
  <c r="Y248" i="36" s="1"/>
  <c r="X249" i="36"/>
  <c r="X248" i="36" s="1"/>
  <c r="Q249" i="36"/>
  <c r="R256" i="36" s="1"/>
  <c r="P249" i="36"/>
  <c r="AE248" i="36"/>
  <c r="AB248" i="36"/>
  <c r="W248" i="36"/>
  <c r="S248" i="36"/>
  <c r="AK247" i="36"/>
  <c r="AL247" i="36" s="1"/>
  <c r="AI241" i="36"/>
  <c r="AK246" i="36"/>
  <c r="AL246" i="36" s="1"/>
  <c r="AJ246" i="36"/>
  <c r="T246" i="36" s="1"/>
  <c r="V246" i="36" s="1"/>
  <c r="AL245" i="36"/>
  <c r="AK245" i="36"/>
  <c r="AJ245" i="36"/>
  <c r="T245" i="36" s="1"/>
  <c r="V245" i="36" s="1"/>
  <c r="AK244" i="36"/>
  <c r="AL244" i="36" s="1"/>
  <c r="AJ244" i="36"/>
  <c r="T244" i="36" s="1"/>
  <c r="V244" i="36" s="1"/>
  <c r="AK243" i="36"/>
  <c r="AL243" i="36" s="1"/>
  <c r="AJ243" i="36"/>
  <c r="T243" i="36" s="1"/>
  <c r="V243" i="36" s="1"/>
  <c r="AK242" i="36"/>
  <c r="AL242" i="36" s="1"/>
  <c r="AJ242" i="36"/>
  <c r="T242" i="36" s="1"/>
  <c r="V242" i="36" s="1"/>
  <c r="AH241" i="36"/>
  <c r="AG241" i="36"/>
  <c r="AF241" i="36"/>
  <c r="AE241" i="36"/>
  <c r="AD241" i="36"/>
  <c r="AC241" i="36"/>
  <c r="AA241" i="36"/>
  <c r="Z241" i="36"/>
  <c r="Y241" i="36"/>
  <c r="X241" i="36"/>
  <c r="Q241" i="36"/>
  <c r="P241" i="36"/>
  <c r="AK240" i="36"/>
  <c r="AL240" i="36" s="1"/>
  <c r="AJ240" i="36"/>
  <c r="T240" i="36"/>
  <c r="V240" i="36" s="1"/>
  <c r="AK239" i="36"/>
  <c r="AL239" i="36" s="1"/>
  <c r="AJ239" i="36"/>
  <c r="T239" i="36" s="1"/>
  <c r="V239" i="36" s="1"/>
  <c r="AK238" i="36"/>
  <c r="AL238" i="36" s="1"/>
  <c r="AJ238" i="36"/>
  <c r="T238" i="36" s="1"/>
  <c r="V238" i="36" s="1"/>
  <c r="AK237" i="36"/>
  <c r="AL237" i="36" s="1"/>
  <c r="AJ237" i="36"/>
  <c r="T237" i="36" s="1"/>
  <c r="V237" i="36" s="1"/>
  <c r="AK236" i="36"/>
  <c r="AL236" i="36" s="1"/>
  <c r="AJ236" i="36"/>
  <c r="T236" i="36" s="1"/>
  <c r="V236" i="36" s="1"/>
  <c r="AK235" i="36"/>
  <c r="AL235" i="36" s="1"/>
  <c r="AJ235" i="36"/>
  <c r="T235" i="36" s="1"/>
  <c r="V235" i="36" s="1"/>
  <c r="AK234" i="36"/>
  <c r="AL234" i="36" s="1"/>
  <c r="AJ234" i="36"/>
  <c r="T234" i="36" s="1"/>
  <c r="V234" i="36" s="1"/>
  <c r="AL233" i="36"/>
  <c r="AK233" i="36"/>
  <c r="AJ233" i="36"/>
  <c r="T233" i="36" s="1"/>
  <c r="V233" i="36" s="1"/>
  <c r="AK232" i="36"/>
  <c r="AL232" i="36" s="1"/>
  <c r="AJ232" i="36"/>
  <c r="T232" i="36" s="1"/>
  <c r="V232" i="36" s="1"/>
  <c r="AK231" i="36"/>
  <c r="AL231" i="36" s="1"/>
  <c r="AJ231" i="36"/>
  <c r="T231" i="36" s="1"/>
  <c r="V231" i="36" s="1"/>
  <c r="AI230" i="36"/>
  <c r="AH230" i="36"/>
  <c r="AG230" i="36"/>
  <c r="AF230" i="36"/>
  <c r="AE230" i="36"/>
  <c r="AD230" i="36"/>
  <c r="AC230" i="36"/>
  <c r="AA230" i="36"/>
  <c r="Z230" i="36"/>
  <c r="Y230" i="36"/>
  <c r="X230" i="36"/>
  <c r="Q230" i="36"/>
  <c r="R234" i="36" s="1"/>
  <c r="P230" i="36"/>
  <c r="A230" i="36"/>
  <c r="A241" i="36" s="1"/>
  <c r="A249" i="36" s="1"/>
  <c r="A264" i="36" s="1"/>
  <c r="A275" i="36" s="1"/>
  <c r="A287" i="36" s="1"/>
  <c r="A297" i="36" s="1"/>
  <c r="A309" i="36" s="1"/>
  <c r="A317" i="36" s="1"/>
  <c r="A325" i="36" s="1"/>
  <c r="A332" i="36" s="1"/>
  <c r="A339" i="36" s="1"/>
  <c r="A350" i="36" s="1"/>
  <c r="AK229" i="36"/>
  <c r="AL229" i="36" s="1"/>
  <c r="AJ229" i="36"/>
  <c r="T229" i="36" s="1"/>
  <c r="V229" i="36" s="1"/>
  <c r="AK228" i="36"/>
  <c r="AL228" i="36" s="1"/>
  <c r="AJ228" i="36"/>
  <c r="T228" i="36" s="1"/>
  <c r="V228" i="36" s="1"/>
  <c r="AK227" i="36"/>
  <c r="AL227" i="36" s="1"/>
  <c r="AJ227" i="36"/>
  <c r="T227" i="36" s="1"/>
  <c r="V227" i="36" s="1"/>
  <c r="AK226" i="36"/>
  <c r="AL226" i="36" s="1"/>
  <c r="AJ226" i="36"/>
  <c r="T226" i="36" s="1"/>
  <c r="V226" i="36" s="1"/>
  <c r="AK225" i="36"/>
  <c r="AL225" i="36" s="1"/>
  <c r="AJ225" i="36"/>
  <c r="T225" i="36" s="1"/>
  <c r="V225" i="36" s="1"/>
  <c r="AK224" i="36"/>
  <c r="AL224" i="36" s="1"/>
  <c r="AJ224" i="36"/>
  <c r="T224" i="36" s="1"/>
  <c r="V224" i="36" s="1"/>
  <c r="AK223" i="36"/>
  <c r="AL223" i="36" s="1"/>
  <c r="AJ223" i="36"/>
  <c r="T223" i="36" s="1"/>
  <c r="AI222" i="36"/>
  <c r="AH222" i="36"/>
  <c r="AG222" i="36"/>
  <c r="AF222" i="36"/>
  <c r="AE222" i="36"/>
  <c r="AD222" i="36"/>
  <c r="AC222" i="36"/>
  <c r="AA222" i="36"/>
  <c r="Z222" i="36"/>
  <c r="Y222" i="36"/>
  <c r="X222" i="36"/>
  <c r="Q222" i="36"/>
  <c r="R226" i="36" s="1"/>
  <c r="P222" i="36"/>
  <c r="AK221" i="36"/>
  <c r="AL221" i="36" s="1"/>
  <c r="AJ221" i="36"/>
  <c r="T221" i="36" s="1"/>
  <c r="V221" i="36" s="1"/>
  <c r="AK220" i="36"/>
  <c r="AL220" i="36" s="1"/>
  <c r="AJ220" i="36"/>
  <c r="T220" i="36" s="1"/>
  <c r="V220" i="36" s="1"/>
  <c r="AH220" i="36"/>
  <c r="AG220" i="36"/>
  <c r="AF220" i="36"/>
  <c r="AE220" i="36"/>
  <c r="AD220" i="36"/>
  <c r="AC220" i="36"/>
  <c r="AA220" i="36"/>
  <c r="Z220" i="36"/>
  <c r="Y220" i="36"/>
  <c r="X220" i="36"/>
  <c r="AJ219" i="36"/>
  <c r="T219" i="36" s="1"/>
  <c r="V219" i="36" s="1"/>
  <c r="AH219" i="36"/>
  <c r="AG219" i="36"/>
  <c r="AF219" i="36"/>
  <c r="AE219" i="36"/>
  <c r="AD219" i="36"/>
  <c r="AC219" i="36"/>
  <c r="AA219" i="36"/>
  <c r="Z219" i="36"/>
  <c r="Y219" i="36"/>
  <c r="X219" i="36"/>
  <c r="AK218" i="36"/>
  <c r="AL218" i="36" s="1"/>
  <c r="AJ218" i="36"/>
  <c r="T218" i="36" s="1"/>
  <c r="V218" i="36" s="1"/>
  <c r="AH218" i="36"/>
  <c r="AG218" i="36"/>
  <c r="AF218" i="36"/>
  <c r="AE218" i="36"/>
  <c r="AD218" i="36"/>
  <c r="AC218" i="36"/>
  <c r="AA218" i="36"/>
  <c r="Z218" i="36"/>
  <c r="Y218" i="36"/>
  <c r="X218" i="36"/>
  <c r="AK217" i="36"/>
  <c r="AL217" i="36" s="1"/>
  <c r="AJ217" i="36"/>
  <c r="T217" i="36" s="1"/>
  <c r="V217" i="36" s="1"/>
  <c r="AH217" i="36"/>
  <c r="AG217" i="36"/>
  <c r="AF217" i="36"/>
  <c r="AE217" i="36"/>
  <c r="AD217" i="36"/>
  <c r="AC217" i="36"/>
  <c r="AA217" i="36"/>
  <c r="Z217" i="36"/>
  <c r="Y217" i="36"/>
  <c r="X217" i="36"/>
  <c r="AI216" i="36"/>
  <c r="AH216" i="36"/>
  <c r="AG216" i="36"/>
  <c r="AF216" i="36"/>
  <c r="AE216" i="36"/>
  <c r="AD216" i="36"/>
  <c r="AC216" i="36"/>
  <c r="AA216" i="36"/>
  <c r="Z216" i="36"/>
  <c r="Y216" i="36"/>
  <c r="X216" i="36"/>
  <c r="Q216" i="36"/>
  <c r="R218" i="36" s="1"/>
  <c r="P216" i="36"/>
  <c r="AK215" i="36"/>
  <c r="AL215" i="36" s="1"/>
  <c r="AJ215" i="36"/>
  <c r="T215" i="36" s="1"/>
  <c r="V215" i="36" s="1"/>
  <c r="AH215" i="36"/>
  <c r="AG215" i="36"/>
  <c r="AF215" i="36"/>
  <c r="AE215" i="36"/>
  <c r="AD215" i="36"/>
  <c r="AC215" i="36"/>
  <c r="AA215" i="36"/>
  <c r="Z215" i="36"/>
  <c r="Y215" i="36"/>
  <c r="X215" i="36"/>
  <c r="AK214" i="36"/>
  <c r="AL214" i="36" s="1"/>
  <c r="AJ214" i="36"/>
  <c r="T214" i="36" s="1"/>
  <c r="V214" i="36" s="1"/>
  <c r="AH214" i="36"/>
  <c r="AG214" i="36"/>
  <c r="AF214" i="36"/>
  <c r="AE214" i="36"/>
  <c r="AD214" i="36"/>
  <c r="AC214" i="36"/>
  <c r="AA214" i="36"/>
  <c r="Z214" i="36"/>
  <c r="Y214" i="36"/>
  <c r="X214" i="36"/>
  <c r="AK213" i="36"/>
  <c r="AL213" i="36" s="1"/>
  <c r="AJ213" i="36"/>
  <c r="T213" i="36" s="1"/>
  <c r="V213" i="36" s="1"/>
  <c r="AH213" i="36"/>
  <c r="AG213" i="36"/>
  <c r="AF213" i="36"/>
  <c r="AE213" i="36"/>
  <c r="AD213" i="36"/>
  <c r="AC213" i="36"/>
  <c r="AA213" i="36"/>
  <c r="Z213" i="36"/>
  <c r="Y213" i="36"/>
  <c r="X213" i="36"/>
  <c r="AK212" i="36"/>
  <c r="AL212" i="36" s="1"/>
  <c r="AJ212" i="36"/>
  <c r="T212" i="36" s="1"/>
  <c r="V212" i="36" s="1"/>
  <c r="AH212" i="36"/>
  <c r="AG212" i="36"/>
  <c r="AF212" i="36"/>
  <c r="AE212" i="36"/>
  <c r="AD212" i="36"/>
  <c r="AC212" i="36"/>
  <c r="AA212" i="36"/>
  <c r="Z212" i="36"/>
  <c r="Y212" i="36"/>
  <c r="X212" i="36"/>
  <c r="AK211" i="36"/>
  <c r="AL211" i="36" s="1"/>
  <c r="AJ211" i="36"/>
  <c r="T211" i="36" s="1"/>
  <c r="V211" i="36" s="1"/>
  <c r="AH211" i="36"/>
  <c r="AG211" i="36"/>
  <c r="AF211" i="36"/>
  <c r="AE211" i="36"/>
  <c r="AD211" i="36"/>
  <c r="AC211" i="36"/>
  <c r="AA211" i="36"/>
  <c r="Z211" i="36"/>
  <c r="Y211" i="36"/>
  <c r="X211" i="36"/>
  <c r="AK210" i="36"/>
  <c r="AL210" i="36" s="1"/>
  <c r="AJ210" i="36"/>
  <c r="T210" i="36" s="1"/>
  <c r="V210" i="36" s="1"/>
  <c r="AH210" i="36"/>
  <c r="AG210" i="36"/>
  <c r="AF210" i="36"/>
  <c r="AE210" i="36"/>
  <c r="AD210" i="36"/>
  <c r="AC210" i="36"/>
  <c r="AA210" i="36"/>
  <c r="Z210" i="36"/>
  <c r="Y210" i="36"/>
  <c r="X210" i="36"/>
  <c r="AI209" i="36"/>
  <c r="AH209" i="36"/>
  <c r="AG209" i="36"/>
  <c r="AF209" i="36"/>
  <c r="AE209" i="36"/>
  <c r="AD209" i="36"/>
  <c r="AC209" i="36"/>
  <c r="AA209" i="36"/>
  <c r="Z209" i="36"/>
  <c r="Y209" i="36"/>
  <c r="X209" i="36"/>
  <c r="Q209" i="36"/>
  <c r="R212" i="36" s="1"/>
  <c r="P209" i="36"/>
  <c r="A209" i="36"/>
  <c r="A216" i="36" s="1"/>
  <c r="AK208" i="36"/>
  <c r="AL208" i="36" s="1"/>
  <c r="AJ208" i="36"/>
  <c r="T208" i="36" s="1"/>
  <c r="V208" i="36" s="1"/>
  <c r="AK207" i="36"/>
  <c r="AL207" i="36" s="1"/>
  <c r="AJ207" i="36"/>
  <c r="T207" i="36" s="1"/>
  <c r="AK206" i="36"/>
  <c r="AL206" i="36" s="1"/>
  <c r="AJ206" i="36"/>
  <c r="T206" i="36" s="1"/>
  <c r="V206" i="36" s="1"/>
  <c r="AK205" i="36"/>
  <c r="AL205" i="36" s="1"/>
  <c r="AJ205" i="36"/>
  <c r="T205" i="36" s="1"/>
  <c r="V205" i="36" s="1"/>
  <c r="AK204" i="36"/>
  <c r="AL204" i="36" s="1"/>
  <c r="AJ204" i="36"/>
  <c r="T204" i="36" s="1"/>
  <c r="V204" i="36" s="1"/>
  <c r="AI203" i="36"/>
  <c r="AJ203" i="36" s="1"/>
  <c r="T203" i="36" s="1"/>
  <c r="V203" i="36" s="1"/>
  <c r="AK202" i="36"/>
  <c r="AL202" i="36" s="1"/>
  <c r="AJ202" i="36"/>
  <c r="T202" i="36" s="1"/>
  <c r="V202" i="36" s="1"/>
  <c r="AH201" i="36"/>
  <c r="AG201" i="36"/>
  <c r="AF201" i="36"/>
  <c r="AE201" i="36"/>
  <c r="AD201" i="36"/>
  <c r="AC201" i="36"/>
  <c r="AA201" i="36"/>
  <c r="Z201" i="36"/>
  <c r="Y201" i="36"/>
  <c r="X201" i="36"/>
  <c r="Q201" i="36"/>
  <c r="R208" i="36" s="1"/>
  <c r="U208" i="36" s="1"/>
  <c r="P201" i="36"/>
  <c r="AK200" i="36"/>
  <c r="AL200" i="36" s="1"/>
  <c r="AJ200" i="36"/>
  <c r="T200" i="36" s="1"/>
  <c r="V200" i="36" s="1"/>
  <c r="AK199" i="36"/>
  <c r="AL199" i="36" s="1"/>
  <c r="AJ199" i="36"/>
  <c r="T199" i="36" s="1"/>
  <c r="V199" i="36" s="1"/>
  <c r="AK198" i="36"/>
  <c r="AL198" i="36" s="1"/>
  <c r="AJ198" i="36"/>
  <c r="T198" i="36" s="1"/>
  <c r="V198" i="36" s="1"/>
  <c r="AK197" i="36"/>
  <c r="AL197" i="36" s="1"/>
  <c r="AJ197" i="36"/>
  <c r="T197" i="36" s="1"/>
  <c r="V197" i="36" s="1"/>
  <c r="AK196" i="36"/>
  <c r="AL196" i="36" s="1"/>
  <c r="AJ196" i="36"/>
  <c r="T196" i="36" s="1"/>
  <c r="V196" i="36" s="1"/>
  <c r="AK195" i="36"/>
  <c r="AL195" i="36" s="1"/>
  <c r="AJ195" i="36"/>
  <c r="T195" i="36" s="1"/>
  <c r="V195" i="36" s="1"/>
  <c r="AK194" i="36"/>
  <c r="AL194" i="36" s="1"/>
  <c r="AJ194" i="36"/>
  <c r="T194" i="36" s="1"/>
  <c r="V194" i="36" s="1"/>
  <c r="AI193" i="36"/>
  <c r="AH193" i="36"/>
  <c r="AG193" i="36"/>
  <c r="AF193" i="36"/>
  <c r="AE193" i="36"/>
  <c r="AD193" i="36"/>
  <c r="AC193" i="36"/>
  <c r="AA193" i="36"/>
  <c r="Z193" i="36"/>
  <c r="Y193" i="36"/>
  <c r="X193" i="36"/>
  <c r="Q193" i="36"/>
  <c r="R198" i="36" s="1"/>
  <c r="P193" i="36"/>
  <c r="AJ192" i="36"/>
  <c r="AK192" i="36"/>
  <c r="AL192" i="36" s="1"/>
  <c r="AK191" i="36"/>
  <c r="AL191" i="36" s="1"/>
  <c r="AJ191" i="36"/>
  <c r="T191" i="36"/>
  <c r="V191" i="36" s="1"/>
  <c r="AK190" i="36"/>
  <c r="AL190" i="36" s="1"/>
  <c r="AJ190" i="36"/>
  <c r="T190" i="36" s="1"/>
  <c r="V190" i="36" s="1"/>
  <c r="AK189" i="36"/>
  <c r="AL189" i="36" s="1"/>
  <c r="AJ189" i="36"/>
  <c r="T189" i="36" s="1"/>
  <c r="V189" i="36" s="1"/>
  <c r="AK188" i="36"/>
  <c r="AL188" i="36" s="1"/>
  <c r="AJ188" i="36"/>
  <c r="T188" i="36" s="1"/>
  <c r="V188" i="36" s="1"/>
  <c r="AK187" i="36"/>
  <c r="AL187" i="36" s="1"/>
  <c r="AJ187" i="36"/>
  <c r="T187" i="36" s="1"/>
  <c r="V187" i="36" s="1"/>
  <c r="AK186" i="36"/>
  <c r="AL186" i="36" s="1"/>
  <c r="AJ186" i="36"/>
  <c r="T186" i="36" s="1"/>
  <c r="AK185" i="36"/>
  <c r="AL185" i="36" s="1"/>
  <c r="AJ185" i="36"/>
  <c r="T185" i="36" s="1"/>
  <c r="V185" i="36" s="1"/>
  <c r="AK184" i="36"/>
  <c r="AJ184" i="36"/>
  <c r="T184" i="36" s="1"/>
  <c r="V184" i="36" s="1"/>
  <c r="AK183" i="36"/>
  <c r="AL183" i="36" s="1"/>
  <c r="AJ183" i="36"/>
  <c r="T183" i="36" s="1"/>
  <c r="V183" i="36" s="1"/>
  <c r="AR182" i="36"/>
  <c r="AK182" i="36"/>
  <c r="AL182" i="36" s="1"/>
  <c r="AJ182" i="36"/>
  <c r="T182" i="36" s="1"/>
  <c r="V182" i="36" s="1"/>
  <c r="AH181" i="36"/>
  <c r="AG181" i="36"/>
  <c r="AG180" i="36" s="1"/>
  <c r="AF181" i="36"/>
  <c r="AF180" i="36" s="1"/>
  <c r="AE181" i="36"/>
  <c r="AE180" i="36" s="1"/>
  <c r="AD181" i="36"/>
  <c r="AC181" i="36"/>
  <c r="AC180" i="36" s="1"/>
  <c r="AA181" i="36"/>
  <c r="AA180" i="36" s="1"/>
  <c r="Z181" i="36"/>
  <c r="Y181" i="36"/>
  <c r="X181" i="36"/>
  <c r="X180" i="36" s="1"/>
  <c r="Q181" i="36"/>
  <c r="R187" i="36" s="1"/>
  <c r="P181" i="36"/>
  <c r="AD180" i="36"/>
  <c r="AB180" i="36"/>
  <c r="Z180" i="36"/>
  <c r="Y180" i="36"/>
  <c r="W180" i="36"/>
  <c r="S180" i="36"/>
  <c r="O180" i="36"/>
  <c r="AK179" i="36"/>
  <c r="AL179" i="36" s="1"/>
  <c r="AJ179" i="36"/>
  <c r="T179" i="36" s="1"/>
  <c r="V179" i="36" s="1"/>
  <c r="AK178" i="36"/>
  <c r="AL178" i="36" s="1"/>
  <c r="AJ178" i="36"/>
  <c r="T178" i="36" s="1"/>
  <c r="V178" i="36" s="1"/>
  <c r="AK177" i="36"/>
  <c r="AL177" i="36" s="1"/>
  <c r="AJ177" i="36"/>
  <c r="T177" i="36" s="1"/>
  <c r="V177" i="36" s="1"/>
  <c r="AK176" i="36"/>
  <c r="AL176" i="36" s="1"/>
  <c r="AJ176" i="36"/>
  <c r="T176" i="36" s="1"/>
  <c r="V176" i="36" s="1"/>
  <c r="AK175" i="36"/>
  <c r="AL175" i="36" s="1"/>
  <c r="AJ175" i="36"/>
  <c r="T175" i="36" s="1"/>
  <c r="V175" i="36" s="1"/>
  <c r="AK174" i="36"/>
  <c r="AL174" i="36" s="1"/>
  <c r="AJ174" i="36"/>
  <c r="T174" i="36" s="1"/>
  <c r="V174" i="36" s="1"/>
  <c r="AK173" i="36"/>
  <c r="AL173" i="36" s="1"/>
  <c r="AJ173" i="36"/>
  <c r="T173" i="36" s="1"/>
  <c r="V173" i="36" s="1"/>
  <c r="AK172" i="36"/>
  <c r="AL172" i="36" s="1"/>
  <c r="AJ172" i="36"/>
  <c r="T172" i="36" s="1"/>
  <c r="V172" i="36" s="1"/>
  <c r="AI171" i="36"/>
  <c r="AH171" i="36"/>
  <c r="AG171" i="36"/>
  <c r="AF171" i="36"/>
  <c r="AE171" i="36"/>
  <c r="AD171" i="36"/>
  <c r="AC171" i="36"/>
  <c r="AA171" i="36"/>
  <c r="Z171" i="36"/>
  <c r="Y171" i="36"/>
  <c r="X171" i="36"/>
  <c r="Q171" i="36"/>
  <c r="R176" i="36" s="1"/>
  <c r="P171" i="36"/>
  <c r="AK170" i="36"/>
  <c r="AL170" i="36" s="1"/>
  <c r="AJ170" i="36"/>
  <c r="T170" i="36" s="1"/>
  <c r="V170" i="36" s="1"/>
  <c r="AI169" i="36"/>
  <c r="AI168" i="36" s="1"/>
  <c r="AH169" i="36"/>
  <c r="AG169" i="36"/>
  <c r="AG168" i="36" s="1"/>
  <c r="AF169" i="36"/>
  <c r="AF168" i="36" s="1"/>
  <c r="AE169" i="36"/>
  <c r="AE168" i="36" s="1"/>
  <c r="AD169" i="36"/>
  <c r="AD168" i="36" s="1"/>
  <c r="AC169" i="36"/>
  <c r="AA169" i="36"/>
  <c r="AA168" i="36" s="1"/>
  <c r="Z169" i="36"/>
  <c r="Y169" i="36"/>
  <c r="Y168" i="36" s="1"/>
  <c r="X169" i="36"/>
  <c r="X168" i="36" s="1"/>
  <c r="Q169" i="36"/>
  <c r="R170" i="36" s="1"/>
  <c r="P169" i="36"/>
  <c r="P168" i="36" s="1"/>
  <c r="AC168" i="36"/>
  <c r="AB168" i="36"/>
  <c r="Z168" i="36"/>
  <c r="W168" i="36"/>
  <c r="O168" i="36"/>
  <c r="AL167" i="36"/>
  <c r="AK167" i="36"/>
  <c r="AJ167" i="36"/>
  <c r="T167" i="36" s="1"/>
  <c r="V167" i="36" s="1"/>
  <c r="AK166" i="36"/>
  <c r="AL166" i="36" s="1"/>
  <c r="AJ166" i="36"/>
  <c r="T166" i="36" s="1"/>
  <c r="V166" i="36" s="1"/>
  <c r="AI165" i="36"/>
  <c r="AH165" i="36"/>
  <c r="AH161" i="36" s="1"/>
  <c r="AG165" i="36"/>
  <c r="AF165" i="36"/>
  <c r="AF161" i="36" s="1"/>
  <c r="AE165" i="36"/>
  <c r="AD165" i="36"/>
  <c r="AD161" i="36" s="1"/>
  <c r="AC165" i="36"/>
  <c r="AC161" i="36" s="1"/>
  <c r="AA165" i="36"/>
  <c r="AA161" i="36" s="1"/>
  <c r="Z165" i="36"/>
  <c r="Y165" i="36"/>
  <c r="Y161" i="36" s="1"/>
  <c r="X165" i="36"/>
  <c r="Q165" i="36"/>
  <c r="P165" i="36"/>
  <c r="AK164" i="36"/>
  <c r="AL164" i="36" s="1"/>
  <c r="AJ164" i="36"/>
  <c r="T164" i="36" s="1"/>
  <c r="V164" i="36" s="1"/>
  <c r="AL163" i="36"/>
  <c r="AK163" i="36"/>
  <c r="AJ163" i="36"/>
  <c r="T163" i="36" s="1"/>
  <c r="V163" i="36" s="1"/>
  <c r="AI162" i="36"/>
  <c r="AH162" i="36"/>
  <c r="AG162" i="36"/>
  <c r="AF162" i="36"/>
  <c r="AE162" i="36"/>
  <c r="AD162" i="36"/>
  <c r="AC162" i="36"/>
  <c r="AA162" i="36"/>
  <c r="Z162" i="36"/>
  <c r="Y162" i="36"/>
  <c r="X162" i="36"/>
  <c r="Q162" i="36"/>
  <c r="R164" i="36" s="1"/>
  <c r="AG161" i="36"/>
  <c r="AE161" i="36"/>
  <c r="AB161" i="36"/>
  <c r="Z161" i="36"/>
  <c r="X161" i="36"/>
  <c r="W161" i="36"/>
  <c r="P161" i="36"/>
  <c r="O161" i="36"/>
  <c r="AK160" i="36"/>
  <c r="AL160" i="36" s="1"/>
  <c r="AJ160" i="36"/>
  <c r="T160" i="36" s="1"/>
  <c r="V160" i="36" s="1"/>
  <c r="AH160" i="36"/>
  <c r="AF160" i="36"/>
  <c r="AE160" i="36"/>
  <c r="AD160" i="36"/>
  <c r="AC160" i="36"/>
  <c r="AA160" i="36"/>
  <c r="Z160" i="36"/>
  <c r="Y160" i="36"/>
  <c r="X160" i="36"/>
  <c r="AI159" i="36"/>
  <c r="AH159" i="36"/>
  <c r="AF159" i="36"/>
  <c r="AE159" i="36"/>
  <c r="AD159" i="36"/>
  <c r="AC159" i="36"/>
  <c r="AA159" i="36"/>
  <c r="Z159" i="36"/>
  <c r="Y159" i="36"/>
  <c r="X159" i="36"/>
  <c r="Q159" i="36"/>
  <c r="AI158" i="36"/>
  <c r="AI157" i="36" s="1"/>
  <c r="AH158" i="36"/>
  <c r="AF158" i="36"/>
  <c r="AE158" i="36"/>
  <c r="AD158" i="36"/>
  <c r="AC158" i="36"/>
  <c r="AA158" i="36"/>
  <c r="Z158" i="36"/>
  <c r="Y158" i="36"/>
  <c r="X158" i="36"/>
  <c r="AH157" i="36"/>
  <c r="AF157" i="36"/>
  <c r="AE157" i="36"/>
  <c r="AD157" i="36"/>
  <c r="AC157" i="36"/>
  <c r="AA157" i="36"/>
  <c r="Z157" i="36"/>
  <c r="Y157" i="36"/>
  <c r="X157" i="36"/>
  <c r="Q157" i="36"/>
  <c r="AK156" i="36"/>
  <c r="AL156" i="36" s="1"/>
  <c r="AJ156" i="36"/>
  <c r="T156" i="36" s="1"/>
  <c r="V156" i="36" s="1"/>
  <c r="AH156" i="36"/>
  <c r="AF156" i="36"/>
  <c r="AE156" i="36"/>
  <c r="AD156" i="36"/>
  <c r="AC156" i="36"/>
  <c r="AA156" i="36"/>
  <c r="Z156" i="36"/>
  <c r="Y156" i="36"/>
  <c r="X156" i="36"/>
  <c r="AI155" i="36"/>
  <c r="AH155" i="36"/>
  <c r="AF155" i="36"/>
  <c r="AE155" i="36"/>
  <c r="AD155" i="36"/>
  <c r="AC155" i="36"/>
  <c r="AA155" i="36"/>
  <c r="Z155" i="36"/>
  <c r="Y155" i="36"/>
  <c r="X155" i="36"/>
  <c r="Q155" i="36"/>
  <c r="P155" i="36"/>
  <c r="AJ154" i="36"/>
  <c r="T154" i="36" s="1"/>
  <c r="AJ153" i="36"/>
  <c r="T153" i="36" s="1"/>
  <c r="V153" i="36" s="1"/>
  <c r="AH153" i="36"/>
  <c r="AG153" i="36"/>
  <c r="AF153" i="36"/>
  <c r="AE153" i="36"/>
  <c r="AD153" i="36"/>
  <c r="AC153" i="36"/>
  <c r="AA153" i="36"/>
  <c r="Z153" i="36"/>
  <c r="Y153" i="36"/>
  <c r="X153" i="36"/>
  <c r="AI152" i="36"/>
  <c r="AJ152" i="36" s="1"/>
  <c r="T152" i="36" s="1"/>
  <c r="V152" i="36" s="1"/>
  <c r="AH152" i="36"/>
  <c r="AG152" i="36"/>
  <c r="AF152" i="36"/>
  <c r="AE152" i="36"/>
  <c r="AD152" i="36"/>
  <c r="AC152" i="36"/>
  <c r="AA152" i="36"/>
  <c r="Z152" i="36"/>
  <c r="Y152" i="36"/>
  <c r="X152" i="36"/>
  <c r="AI151" i="36"/>
  <c r="AJ151" i="36" s="1"/>
  <c r="T151" i="36" s="1"/>
  <c r="V151" i="36" s="1"/>
  <c r="AH151" i="36"/>
  <c r="AG151" i="36"/>
  <c r="AF151" i="36"/>
  <c r="AE151" i="36"/>
  <c r="AD151" i="36"/>
  <c r="AC151" i="36"/>
  <c r="AA151" i="36"/>
  <c r="Z151" i="36"/>
  <c r="Y151" i="36"/>
  <c r="X151" i="36"/>
  <c r="AK150" i="36"/>
  <c r="AL150" i="36" s="1"/>
  <c r="AJ150" i="36"/>
  <c r="T150" i="36" s="1"/>
  <c r="V150" i="36" s="1"/>
  <c r="AH150" i="36"/>
  <c r="AG150" i="36"/>
  <c r="AF150" i="36"/>
  <c r="AE150" i="36"/>
  <c r="AD150" i="36"/>
  <c r="AC150" i="36"/>
  <c r="AA150" i="36"/>
  <c r="Z150" i="36"/>
  <c r="Y150" i="36"/>
  <c r="X150" i="36"/>
  <c r="AK149" i="36"/>
  <c r="AL149" i="36" s="1"/>
  <c r="AJ149" i="36"/>
  <c r="T149" i="36" s="1"/>
  <c r="V149" i="36" s="1"/>
  <c r="AH149" i="36"/>
  <c r="AG149" i="36"/>
  <c r="AF149" i="36"/>
  <c r="AE149" i="36"/>
  <c r="AD149" i="36"/>
  <c r="AC149" i="36"/>
  <c r="AA149" i="36"/>
  <c r="Z149" i="36"/>
  <c r="Y149" i="36"/>
  <c r="X149" i="36"/>
  <c r="AH148" i="36"/>
  <c r="AG148" i="36"/>
  <c r="AF148" i="36"/>
  <c r="AE148" i="36"/>
  <c r="AD148" i="36"/>
  <c r="AC148" i="36"/>
  <c r="AA148" i="36"/>
  <c r="Z148" i="36"/>
  <c r="Y148" i="36"/>
  <c r="X148" i="36"/>
  <c r="Q148" i="36"/>
  <c r="R150" i="36" s="1"/>
  <c r="P148" i="36"/>
  <c r="AK147" i="36"/>
  <c r="AL147" i="36" s="1"/>
  <c r="AJ147" i="36"/>
  <c r="T147" i="36" s="1"/>
  <c r="V147" i="36" s="1"/>
  <c r="AH147" i="36"/>
  <c r="AG147" i="36"/>
  <c r="AF147" i="36"/>
  <c r="AE147" i="36"/>
  <c r="AD147" i="36"/>
  <c r="AC147" i="36"/>
  <c r="AA147" i="36"/>
  <c r="Z147" i="36"/>
  <c r="Y147" i="36"/>
  <c r="X147" i="36"/>
  <c r="AK146" i="36"/>
  <c r="AL146" i="36" s="1"/>
  <c r="AI144" i="36"/>
  <c r="AH146" i="36"/>
  <c r="AG146" i="36"/>
  <c r="AF146" i="36"/>
  <c r="AE146" i="36"/>
  <c r="AD146" i="36"/>
  <c r="AC146" i="36"/>
  <c r="AA146" i="36"/>
  <c r="Z146" i="36"/>
  <c r="Y146" i="36"/>
  <c r="X146" i="36"/>
  <c r="AK145" i="36"/>
  <c r="AL145" i="36" s="1"/>
  <c r="AJ145" i="36"/>
  <c r="AH145" i="36"/>
  <c r="AG145" i="36"/>
  <c r="AF145" i="36"/>
  <c r="AE145" i="36"/>
  <c r="AD145" i="36"/>
  <c r="AC145" i="36"/>
  <c r="AA145" i="36"/>
  <c r="Z145" i="36"/>
  <c r="Y145" i="36"/>
  <c r="X145" i="36"/>
  <c r="V145" i="36"/>
  <c r="T145" i="36"/>
  <c r="AH144" i="36"/>
  <c r="AG144" i="36"/>
  <c r="AF144" i="36"/>
  <c r="AE144" i="36"/>
  <c r="AD144" i="36"/>
  <c r="AC144" i="36"/>
  <c r="AA144" i="36"/>
  <c r="Z144" i="36"/>
  <c r="Y144" i="36"/>
  <c r="X144" i="36"/>
  <c r="Q144" i="36"/>
  <c r="AK144" i="36" s="1"/>
  <c r="AL144" i="36" s="1"/>
  <c r="P144" i="36"/>
  <c r="AK143" i="36"/>
  <c r="AL143" i="36" s="1"/>
  <c r="AJ143" i="36"/>
  <c r="T143" i="36" s="1"/>
  <c r="V143" i="36" s="1"/>
  <c r="AH143" i="36"/>
  <c r="AG143" i="36"/>
  <c r="AK142" i="36"/>
  <c r="AL142" i="36" s="1"/>
  <c r="AJ142" i="36"/>
  <c r="T142" i="36" s="1"/>
  <c r="V142" i="36" s="1"/>
  <c r="AI141" i="36"/>
  <c r="AH141" i="36"/>
  <c r="AG141" i="36"/>
  <c r="Q141" i="36"/>
  <c r="R143" i="36" s="1"/>
  <c r="AK140" i="36"/>
  <c r="AL140" i="36" s="1"/>
  <c r="AJ140" i="36"/>
  <c r="T140" i="36" s="1"/>
  <c r="V140" i="36" s="1"/>
  <c r="AI139" i="36"/>
  <c r="AH139" i="36"/>
  <c r="AG139" i="36"/>
  <c r="AF139" i="36"/>
  <c r="AE139" i="36"/>
  <c r="AD139" i="36"/>
  <c r="AC139" i="36"/>
  <c r="AA139" i="36"/>
  <c r="Z139" i="36"/>
  <c r="Y139" i="36"/>
  <c r="X139" i="36"/>
  <c r="Q139" i="36"/>
  <c r="P139" i="36"/>
  <c r="AK138" i="36"/>
  <c r="AL138" i="36" s="1"/>
  <c r="AJ138" i="36"/>
  <c r="T138" i="36" s="1"/>
  <c r="V138" i="36" s="1"/>
  <c r="AK137" i="36"/>
  <c r="AL137" i="36" s="1"/>
  <c r="AJ137" i="36"/>
  <c r="T137" i="36" s="1"/>
  <c r="V137" i="36" s="1"/>
  <c r="AK136" i="36"/>
  <c r="AL136" i="36" s="1"/>
  <c r="AJ136" i="36"/>
  <c r="T136" i="36" s="1"/>
  <c r="V136" i="36" s="1"/>
  <c r="AK135" i="36"/>
  <c r="AL135" i="36" s="1"/>
  <c r="AJ135" i="36"/>
  <c r="T135" i="36" s="1"/>
  <c r="V135" i="36" s="1"/>
  <c r="AK134" i="36"/>
  <c r="AL134" i="36" s="1"/>
  <c r="AJ134" i="36"/>
  <c r="T134" i="36" s="1"/>
  <c r="V134" i="36" s="1"/>
  <c r="AK133" i="36"/>
  <c r="AL133" i="36" s="1"/>
  <c r="AJ133" i="36"/>
  <c r="T133" i="36" s="1"/>
  <c r="V133" i="36" s="1"/>
  <c r="AK132" i="36"/>
  <c r="AL132" i="36" s="1"/>
  <c r="AJ132" i="36"/>
  <c r="T132" i="36" s="1"/>
  <c r="V132" i="36" s="1"/>
  <c r="AH132" i="36"/>
  <c r="AG132" i="36"/>
  <c r="AF132" i="36"/>
  <c r="AE132" i="36"/>
  <c r="AD132" i="36"/>
  <c r="AC132" i="36"/>
  <c r="AA132" i="36"/>
  <c r="Z132" i="36"/>
  <c r="Y132" i="36"/>
  <c r="X132" i="36"/>
  <c r="AK131" i="36"/>
  <c r="AL131" i="36" s="1"/>
  <c r="AJ131" i="36"/>
  <c r="T131" i="36" s="1"/>
  <c r="V131" i="36" s="1"/>
  <c r="AH131" i="36"/>
  <c r="AG131" i="36"/>
  <c r="AF131" i="36"/>
  <c r="AE131" i="36"/>
  <c r="AD131" i="36"/>
  <c r="AC131" i="36"/>
  <c r="AA131" i="36"/>
  <c r="Z131" i="36"/>
  <c r="Y131" i="36"/>
  <c r="X131" i="36"/>
  <c r="AK130" i="36"/>
  <c r="AL130" i="36" s="1"/>
  <c r="AJ130" i="36"/>
  <c r="AH130" i="36"/>
  <c r="AG130" i="36"/>
  <c r="AF130" i="36"/>
  <c r="AE130" i="36"/>
  <c r="AD130" i="36"/>
  <c r="AC130" i="36"/>
  <c r="AA130" i="36"/>
  <c r="Z130" i="36"/>
  <c r="Y130" i="36"/>
  <c r="X130" i="36"/>
  <c r="T130" i="36"/>
  <c r="V130" i="36" s="1"/>
  <c r="AK129" i="36"/>
  <c r="AL129" i="36" s="1"/>
  <c r="AJ129" i="36"/>
  <c r="T129" i="36" s="1"/>
  <c r="V129" i="36" s="1"/>
  <c r="AH129" i="36"/>
  <c r="AG129" i="36"/>
  <c r="AF129" i="36"/>
  <c r="AE129" i="36"/>
  <c r="AD129" i="36"/>
  <c r="AC129" i="36"/>
  <c r="AA129" i="36"/>
  <c r="Z129" i="36"/>
  <c r="Y129" i="36"/>
  <c r="X129" i="36"/>
  <c r="AK128" i="36"/>
  <c r="AL128" i="36" s="1"/>
  <c r="AJ128" i="36"/>
  <c r="T128" i="36" s="1"/>
  <c r="V128" i="36" s="1"/>
  <c r="AH128" i="36"/>
  <c r="AG128" i="36"/>
  <c r="AF128" i="36"/>
  <c r="AE128" i="36"/>
  <c r="AD128" i="36"/>
  <c r="AC128" i="36"/>
  <c r="AA128" i="36"/>
  <c r="Z128" i="36"/>
  <c r="Y128" i="36"/>
  <c r="X128" i="36"/>
  <c r="AI127" i="36"/>
  <c r="AH127" i="36"/>
  <c r="AG127" i="36"/>
  <c r="AG124" i="36" s="1"/>
  <c r="AF127" i="36"/>
  <c r="AF124" i="36" s="1"/>
  <c r="AE127" i="36"/>
  <c r="AE124" i="36" s="1"/>
  <c r="AD127" i="36"/>
  <c r="AD124" i="36" s="1"/>
  <c r="AC127" i="36"/>
  <c r="AC124" i="36" s="1"/>
  <c r="AA127" i="36"/>
  <c r="AA124" i="36" s="1"/>
  <c r="Z127" i="36"/>
  <c r="Z124" i="36" s="1"/>
  <c r="Y127" i="36"/>
  <c r="Y124" i="36" s="1"/>
  <c r="X127" i="36"/>
  <c r="X124" i="36" s="1"/>
  <c r="Q127" i="36"/>
  <c r="R138" i="36" s="1"/>
  <c r="P127" i="36"/>
  <c r="AI126" i="36"/>
  <c r="AK126" i="36" s="1"/>
  <c r="AL126" i="36" s="1"/>
  <c r="AH126" i="36"/>
  <c r="AG126" i="36"/>
  <c r="AF126" i="36"/>
  <c r="AE126" i="36"/>
  <c r="AD126" i="36"/>
  <c r="AC126" i="36"/>
  <c r="AA126" i="36"/>
  <c r="Z126" i="36"/>
  <c r="Y126" i="36"/>
  <c r="X126" i="36"/>
  <c r="AH125" i="36"/>
  <c r="AG125" i="36"/>
  <c r="AF125" i="36"/>
  <c r="AE125" i="36"/>
  <c r="AD125" i="36"/>
  <c r="AC125" i="36"/>
  <c r="AA125" i="36"/>
  <c r="Z125" i="36"/>
  <c r="Y125" i="36"/>
  <c r="X125" i="36"/>
  <c r="Q125" i="36"/>
  <c r="P125" i="36"/>
  <c r="AB124" i="36"/>
  <c r="W124" i="36"/>
  <c r="O124" i="36"/>
  <c r="AK123" i="36"/>
  <c r="AL123" i="36" s="1"/>
  <c r="AJ123" i="36"/>
  <c r="T123" i="36" s="1"/>
  <c r="V123" i="36" s="1"/>
  <c r="AK122" i="36"/>
  <c r="AL122" i="36" s="1"/>
  <c r="AJ122" i="36"/>
  <c r="T122" i="36" s="1"/>
  <c r="V122" i="36" s="1"/>
  <c r="AK121" i="36"/>
  <c r="AL121" i="36" s="1"/>
  <c r="AJ121" i="36"/>
  <c r="T121" i="36" s="1"/>
  <c r="V121" i="36" s="1"/>
  <c r="AK120" i="36"/>
  <c r="AL120" i="36" s="1"/>
  <c r="AJ120" i="36"/>
  <c r="T120" i="36" s="1"/>
  <c r="V120" i="36" s="1"/>
  <c r="AK119" i="36"/>
  <c r="AL119" i="36" s="1"/>
  <c r="AJ119" i="36"/>
  <c r="T119" i="36" s="1"/>
  <c r="V119" i="36" s="1"/>
  <c r="AK118" i="36"/>
  <c r="AL118" i="36" s="1"/>
  <c r="AJ118" i="36"/>
  <c r="T118" i="36" s="1"/>
  <c r="V118" i="36" s="1"/>
  <c r="AK117" i="36"/>
  <c r="AL117" i="36" s="1"/>
  <c r="AJ117" i="36"/>
  <c r="T117" i="36" s="1"/>
  <c r="V117" i="36" s="1"/>
  <c r="AK116" i="36"/>
  <c r="AL116" i="36" s="1"/>
  <c r="AJ116" i="36"/>
  <c r="T116" i="36" s="1"/>
  <c r="V116" i="36" s="1"/>
  <c r="AI115" i="36"/>
  <c r="AK115" i="36" s="1"/>
  <c r="AL115" i="36" s="1"/>
  <c r="AK114" i="36"/>
  <c r="AL114" i="36" s="1"/>
  <c r="AJ114" i="36"/>
  <c r="T114" i="36" s="1"/>
  <c r="V114" i="36" s="1"/>
  <c r="AK113" i="36"/>
  <c r="AL113" i="36" s="1"/>
  <c r="AJ113" i="36"/>
  <c r="T113" i="36" s="1"/>
  <c r="V113" i="36" s="1"/>
  <c r="AK112" i="36"/>
  <c r="AL112" i="36" s="1"/>
  <c r="AJ112" i="36"/>
  <c r="T112" i="36" s="1"/>
  <c r="V112" i="36" s="1"/>
  <c r="AH110" i="36"/>
  <c r="AG110" i="36"/>
  <c r="AF110" i="36"/>
  <c r="AE110" i="36"/>
  <c r="AD110" i="36"/>
  <c r="AC110" i="36"/>
  <c r="AA110" i="36"/>
  <c r="Z110" i="36"/>
  <c r="Y110" i="36"/>
  <c r="X110" i="36"/>
  <c r="Q110" i="36"/>
  <c r="P110" i="36"/>
  <c r="AK109" i="36"/>
  <c r="AL109" i="36" s="1"/>
  <c r="AJ109" i="36"/>
  <c r="T109" i="36" s="1"/>
  <c r="V109" i="36" s="1"/>
  <c r="AK108" i="36"/>
  <c r="AL108" i="36" s="1"/>
  <c r="AJ108" i="36"/>
  <c r="T108" i="36" s="1"/>
  <c r="V108" i="36" s="1"/>
  <c r="AK107" i="36"/>
  <c r="AL107" i="36" s="1"/>
  <c r="AJ107" i="36"/>
  <c r="T107" i="36" s="1"/>
  <c r="V107" i="36" s="1"/>
  <c r="AJ106" i="36"/>
  <c r="T106" i="36" s="1"/>
  <c r="V106" i="36" s="1"/>
  <c r="AK106" i="36"/>
  <c r="AL106" i="36" s="1"/>
  <c r="AK105" i="36"/>
  <c r="AL105" i="36" s="1"/>
  <c r="AJ105" i="36"/>
  <c r="T105" i="36" s="1"/>
  <c r="V105" i="36" s="1"/>
  <c r="AK104" i="36"/>
  <c r="AL104" i="36" s="1"/>
  <c r="AJ104" i="36"/>
  <c r="T104" i="36" s="1"/>
  <c r="V104" i="36" s="1"/>
  <c r="AK103" i="36"/>
  <c r="AL103" i="36" s="1"/>
  <c r="AJ103" i="36"/>
  <c r="T103" i="36" s="1"/>
  <c r="V103" i="36" s="1"/>
  <c r="AI102" i="36"/>
  <c r="AJ102" i="36" s="1"/>
  <c r="T102" i="36" s="1"/>
  <c r="V102" i="36" s="1"/>
  <c r="AI101" i="36"/>
  <c r="AJ101" i="36" s="1"/>
  <c r="T101" i="36" s="1"/>
  <c r="V101" i="36" s="1"/>
  <c r="AI100" i="36"/>
  <c r="AJ100" i="36" s="1"/>
  <c r="T100" i="36" s="1"/>
  <c r="V100" i="36" s="1"/>
  <c r="AK99" i="36"/>
  <c r="AL99" i="36" s="1"/>
  <c r="AJ99" i="36"/>
  <c r="T99" i="36" s="1"/>
  <c r="V99" i="36" s="1"/>
  <c r="AK98" i="36"/>
  <c r="AL98" i="36" s="1"/>
  <c r="AJ98" i="36"/>
  <c r="T98" i="36" s="1"/>
  <c r="V98" i="36" s="1"/>
  <c r="AI97" i="36"/>
  <c r="AJ97" i="36" s="1"/>
  <c r="T97" i="36" s="1"/>
  <c r="AH96" i="36"/>
  <c r="AG96" i="36"/>
  <c r="AF96" i="36"/>
  <c r="AE96" i="36"/>
  <c r="AD96" i="36"/>
  <c r="AC96" i="36"/>
  <c r="AA96" i="36"/>
  <c r="Z96" i="36"/>
  <c r="Y96" i="36"/>
  <c r="X96" i="36"/>
  <c r="Q96" i="36"/>
  <c r="P96" i="36"/>
  <c r="AK95" i="36"/>
  <c r="AL95" i="36" s="1"/>
  <c r="AJ95" i="36"/>
  <c r="T95" i="36" s="1"/>
  <c r="V95" i="36" s="1"/>
  <c r="AI94" i="36"/>
  <c r="AH94" i="36"/>
  <c r="AG94" i="36"/>
  <c r="AF94" i="36"/>
  <c r="AE94" i="36"/>
  <c r="AD94" i="36"/>
  <c r="AC94" i="36"/>
  <c r="AA94" i="36"/>
  <c r="Z94" i="36"/>
  <c r="Y94" i="36"/>
  <c r="X94" i="36"/>
  <c r="Q94" i="36"/>
  <c r="R118" i="36" s="1"/>
  <c r="P94" i="36"/>
  <c r="AK93" i="36"/>
  <c r="AL93" i="36" s="1"/>
  <c r="AJ93" i="36"/>
  <c r="T93" i="36" s="1"/>
  <c r="V93" i="36" s="1"/>
  <c r="AI92" i="36"/>
  <c r="AH92" i="36"/>
  <c r="AG92" i="36"/>
  <c r="AF92" i="36"/>
  <c r="AE92" i="36"/>
  <c r="AD92" i="36"/>
  <c r="AC92" i="36"/>
  <c r="AA92" i="36"/>
  <c r="Z92" i="36"/>
  <c r="Y92" i="36"/>
  <c r="X92" i="36"/>
  <c r="Q92" i="36"/>
  <c r="R93" i="36" s="1"/>
  <c r="P92" i="36"/>
  <c r="AI91" i="36"/>
  <c r="AJ91" i="36" s="1"/>
  <c r="T91" i="36" s="1"/>
  <c r="V91" i="36" s="1"/>
  <c r="AI90" i="36"/>
  <c r="AJ90" i="36" s="1"/>
  <c r="T90" i="36" s="1"/>
  <c r="V90" i="36" s="1"/>
  <c r="AH89" i="36"/>
  <c r="AG89" i="36"/>
  <c r="AF89" i="36"/>
  <c r="AE89" i="36"/>
  <c r="AD89" i="36"/>
  <c r="AC89" i="36"/>
  <c r="AA89" i="36"/>
  <c r="Z89" i="36"/>
  <c r="Y89" i="36"/>
  <c r="X89" i="36"/>
  <c r="Q89" i="36"/>
  <c r="R91" i="36" s="1"/>
  <c r="U91" i="36" s="1"/>
  <c r="P89" i="36"/>
  <c r="AK88" i="36"/>
  <c r="AL88" i="36" s="1"/>
  <c r="AJ88" i="36"/>
  <c r="T88" i="36" s="1"/>
  <c r="V88" i="36" s="1"/>
  <c r="AI87" i="36"/>
  <c r="AJ87" i="36" s="1"/>
  <c r="T87" i="36" s="1"/>
  <c r="V87" i="36" s="1"/>
  <c r="AH86" i="36"/>
  <c r="AG86" i="36"/>
  <c r="AF86" i="36"/>
  <c r="AE86" i="36"/>
  <c r="AD86" i="36"/>
  <c r="AC86" i="36"/>
  <c r="AA86" i="36"/>
  <c r="Z86" i="36"/>
  <c r="Y86" i="36"/>
  <c r="X86" i="36"/>
  <c r="Q86" i="36"/>
  <c r="R88" i="36" s="1"/>
  <c r="U88" i="36" s="1"/>
  <c r="P86" i="36"/>
  <c r="AK85" i="36"/>
  <c r="AL85" i="36" s="1"/>
  <c r="AJ85" i="36"/>
  <c r="T85" i="36" s="1"/>
  <c r="V85" i="36" s="1"/>
  <c r="AK84" i="36"/>
  <c r="AL84" i="36" s="1"/>
  <c r="AJ84" i="36"/>
  <c r="T84" i="36" s="1"/>
  <c r="V84" i="36" s="1"/>
  <c r="AI83" i="36"/>
  <c r="AH83" i="36"/>
  <c r="AF83" i="36"/>
  <c r="AE83" i="36"/>
  <c r="AD83" i="36"/>
  <c r="AC83" i="36"/>
  <c r="AA83" i="36"/>
  <c r="Z83" i="36"/>
  <c r="Y83" i="36"/>
  <c r="X83" i="36"/>
  <c r="Q83" i="36"/>
  <c r="AK82" i="36"/>
  <c r="AL82" i="36" s="1"/>
  <c r="AJ82" i="36"/>
  <c r="T82" i="36" s="1"/>
  <c r="V82" i="36" s="1"/>
  <c r="AI81" i="36"/>
  <c r="AH81" i="36"/>
  <c r="AF81" i="36"/>
  <c r="AE81" i="36"/>
  <c r="AD81" i="36"/>
  <c r="AC81" i="36"/>
  <c r="AA81" i="36"/>
  <c r="Z81" i="36"/>
  <c r="Y81" i="36"/>
  <c r="X81" i="36"/>
  <c r="Q81" i="36"/>
  <c r="P81" i="36"/>
  <c r="AK80" i="36"/>
  <c r="AL80" i="36" s="1"/>
  <c r="AJ80" i="36"/>
  <c r="T80" i="36" s="1"/>
  <c r="V80" i="36" s="1"/>
  <c r="AK79" i="36"/>
  <c r="AL79" i="36" s="1"/>
  <c r="AJ79" i="36"/>
  <c r="T79" i="36" s="1"/>
  <c r="V79" i="36" s="1"/>
  <c r="AI78" i="36"/>
  <c r="AJ78" i="36" s="1"/>
  <c r="T78" i="36" s="1"/>
  <c r="V78" i="36" s="1"/>
  <c r="AK77" i="36"/>
  <c r="AL77" i="36" s="1"/>
  <c r="AJ77" i="36"/>
  <c r="T77" i="36" s="1"/>
  <c r="V77" i="36" s="1"/>
  <c r="AK76" i="36"/>
  <c r="AL76" i="36" s="1"/>
  <c r="AJ76" i="36"/>
  <c r="T76" i="36" s="1"/>
  <c r="V76" i="36" s="1"/>
  <c r="AH75" i="36"/>
  <c r="AG75" i="36"/>
  <c r="AF75" i="36"/>
  <c r="AE75" i="36"/>
  <c r="AD75" i="36"/>
  <c r="AC75" i="36"/>
  <c r="AA75" i="36"/>
  <c r="Z75" i="36"/>
  <c r="Y75" i="36"/>
  <c r="X75" i="36"/>
  <c r="Q75" i="36"/>
  <c r="R77" i="36" s="1"/>
  <c r="P75" i="36"/>
  <c r="AI74" i="36"/>
  <c r="AK74" i="36" s="1"/>
  <c r="AL74" i="36" s="1"/>
  <c r="AK73" i="36"/>
  <c r="AL73" i="36" s="1"/>
  <c r="AJ73" i="36"/>
  <c r="T73" i="36" s="1"/>
  <c r="V73" i="36" s="1"/>
  <c r="AH72" i="36"/>
  <c r="AG72" i="36"/>
  <c r="AF72" i="36"/>
  <c r="AE72" i="36"/>
  <c r="AD72" i="36"/>
  <c r="AC72" i="36"/>
  <c r="AA72" i="36"/>
  <c r="Z72" i="36"/>
  <c r="Y72" i="36"/>
  <c r="X72" i="36"/>
  <c r="Q72" i="36"/>
  <c r="R74" i="36" s="1"/>
  <c r="P72" i="36"/>
  <c r="AI71" i="36"/>
  <c r="AK71" i="36" s="1"/>
  <c r="AL71" i="36" s="1"/>
  <c r="AH71" i="36"/>
  <c r="AG71" i="36"/>
  <c r="AF71" i="36"/>
  <c r="AE71" i="36"/>
  <c r="AD71" i="36"/>
  <c r="AC71" i="36"/>
  <c r="AA71" i="36"/>
  <c r="Z71" i="36"/>
  <c r="Y71" i="36"/>
  <c r="X71" i="36"/>
  <c r="AI70" i="36"/>
  <c r="AK70" i="36" s="1"/>
  <c r="AL70" i="36" s="1"/>
  <c r="AK69" i="36"/>
  <c r="AL69" i="36" s="1"/>
  <c r="AJ69" i="36"/>
  <c r="T69" i="36" s="1"/>
  <c r="V69" i="36" s="1"/>
  <c r="AH69" i="36"/>
  <c r="AG69" i="36"/>
  <c r="AF69" i="36"/>
  <c r="AE69" i="36"/>
  <c r="AD69" i="36"/>
  <c r="AC69" i="36"/>
  <c r="AA69" i="36"/>
  <c r="Z69" i="36"/>
  <c r="Y69" i="36"/>
  <c r="X69" i="36"/>
  <c r="AH68" i="36"/>
  <c r="AG68" i="36"/>
  <c r="AF68" i="36"/>
  <c r="AE68" i="36"/>
  <c r="AD68" i="36"/>
  <c r="AC68" i="36"/>
  <c r="AA68" i="36"/>
  <c r="Z68" i="36"/>
  <c r="Y68" i="36"/>
  <c r="X68" i="36"/>
  <c r="Q68" i="36"/>
  <c r="R70" i="36" s="1"/>
  <c r="P68" i="36"/>
  <c r="AI67" i="36"/>
  <c r="AJ67" i="36" s="1"/>
  <c r="T67" i="36" s="1"/>
  <c r="V67" i="36" s="1"/>
  <c r="AH67" i="36"/>
  <c r="AG67" i="36"/>
  <c r="AF67" i="36"/>
  <c r="AE67" i="36"/>
  <c r="AD67" i="36"/>
  <c r="AC67" i="36"/>
  <c r="AA67" i="36"/>
  <c r="Z67" i="36"/>
  <c r="Y67" i="36"/>
  <c r="X67" i="36"/>
  <c r="AH66" i="36"/>
  <c r="AG66" i="36"/>
  <c r="AF66" i="36"/>
  <c r="AE66" i="36"/>
  <c r="AD66" i="36"/>
  <c r="AC66" i="36"/>
  <c r="AA66" i="36"/>
  <c r="Z66" i="36"/>
  <c r="Y66" i="36"/>
  <c r="X66" i="36"/>
  <c r="Q66" i="36"/>
  <c r="R67" i="36" s="1"/>
  <c r="U67" i="36" s="1"/>
  <c r="P66" i="36"/>
  <c r="AJ65" i="36"/>
  <c r="T65" i="36" s="1"/>
  <c r="V65" i="36" s="1"/>
  <c r="AH65" i="36"/>
  <c r="AG65" i="36"/>
  <c r="AF65" i="36"/>
  <c r="AE65" i="36"/>
  <c r="AD65" i="36"/>
  <c r="AC65" i="36"/>
  <c r="AA65" i="36"/>
  <c r="Z65" i="36"/>
  <c r="Y65" i="36"/>
  <c r="X65" i="36"/>
  <c r="AK64" i="36"/>
  <c r="AL64" i="36" s="1"/>
  <c r="AJ64" i="36"/>
  <c r="T64" i="36" s="1"/>
  <c r="V64" i="36" s="1"/>
  <c r="AI63" i="36"/>
  <c r="AJ63" i="36" s="1"/>
  <c r="T63" i="36" s="1"/>
  <c r="V63" i="36" s="1"/>
  <c r="AH63" i="36"/>
  <c r="AG63" i="36"/>
  <c r="AF63" i="36"/>
  <c r="AE63" i="36"/>
  <c r="AD63" i="36"/>
  <c r="AC63" i="36"/>
  <c r="AA63" i="36"/>
  <c r="Z63" i="36"/>
  <c r="Y63" i="36"/>
  <c r="X63" i="36"/>
  <c r="AH62" i="36"/>
  <c r="AG62" i="36"/>
  <c r="AF62" i="36"/>
  <c r="AE62" i="36"/>
  <c r="AD62" i="36"/>
  <c r="AC62" i="36"/>
  <c r="AA62" i="36"/>
  <c r="Z62" i="36"/>
  <c r="Y62" i="36"/>
  <c r="X62" i="36"/>
  <c r="Q62" i="36"/>
  <c r="R63" i="36" s="1"/>
  <c r="P62" i="36"/>
  <c r="A62" i="36"/>
  <c r="A66" i="36" s="1"/>
  <c r="A68" i="36" s="1"/>
  <c r="A72" i="36" s="1"/>
  <c r="A75" i="36" s="1"/>
  <c r="A81" i="36" s="1"/>
  <c r="A83" i="36" s="1"/>
  <c r="A86" i="36" s="1"/>
  <c r="A89" i="36" s="1"/>
  <c r="A92" i="36" s="1"/>
  <c r="A94" i="36" s="1"/>
  <c r="A96" i="36" s="1"/>
  <c r="A110" i="36" s="1"/>
  <c r="A125" i="36" s="1"/>
  <c r="A127" i="36" s="1"/>
  <c r="A139" i="36" s="1"/>
  <c r="A141" i="36" s="1"/>
  <c r="A144" i="36" s="1"/>
  <c r="A148" i="36" s="1"/>
  <c r="A155" i="36" s="1"/>
  <c r="A157" i="36" s="1"/>
  <c r="A159" i="36" s="1"/>
  <c r="A162" i="36" s="1"/>
  <c r="A165" i="36" s="1"/>
  <c r="A169" i="36" s="1"/>
  <c r="A171" i="36" s="1"/>
  <c r="A181" i="36" s="1"/>
  <c r="A193" i="36" s="1"/>
  <c r="AK61" i="36"/>
  <c r="AL61" i="36" s="1"/>
  <c r="AJ61" i="36"/>
  <c r="T61" i="36" s="1"/>
  <c r="V61" i="36" s="1"/>
  <c r="AH61" i="36"/>
  <c r="AG61" i="36"/>
  <c r="AF61" i="36"/>
  <c r="AE61" i="36"/>
  <c r="AD61" i="36"/>
  <c r="AC61" i="36"/>
  <c r="AA61" i="36"/>
  <c r="Z61" i="36"/>
  <c r="Y61" i="36"/>
  <c r="X61" i="36"/>
  <c r="AI60" i="36"/>
  <c r="AH60" i="36"/>
  <c r="AG60" i="36"/>
  <c r="AF60" i="36"/>
  <c r="AF59" i="36" s="1"/>
  <c r="AF58" i="36" s="1"/>
  <c r="AE60" i="36"/>
  <c r="AE59" i="36" s="1"/>
  <c r="AE58" i="36" s="1"/>
  <c r="AD60" i="36"/>
  <c r="AD59" i="36" s="1"/>
  <c r="AD58" i="36" s="1"/>
  <c r="AC60" i="36"/>
  <c r="AA60" i="36"/>
  <c r="AA59" i="36" s="1"/>
  <c r="AA58" i="36" s="1"/>
  <c r="Z60" i="36"/>
  <c r="Z59" i="36" s="1"/>
  <c r="Z58" i="36" s="1"/>
  <c r="Y60" i="36"/>
  <c r="Y59" i="36" s="1"/>
  <c r="Y58" i="36" s="1"/>
  <c r="X60" i="36"/>
  <c r="Q60" i="36"/>
  <c r="AG59" i="36"/>
  <c r="AG58" i="36" s="1"/>
  <c r="AC59" i="36"/>
  <c r="AC58" i="36" s="1"/>
  <c r="AB59" i="36"/>
  <c r="AB58" i="36" s="1"/>
  <c r="AB35" i="36" s="1"/>
  <c r="X59" i="36"/>
  <c r="X58" i="36" s="1"/>
  <c r="W59" i="36"/>
  <c r="W58" i="36" s="1"/>
  <c r="W35" i="36" s="1"/>
  <c r="S59" i="36"/>
  <c r="O59" i="36"/>
  <c r="S58" i="36"/>
  <c r="AK56" i="36"/>
  <c r="AL56" i="36" s="1"/>
  <c r="AJ56" i="36"/>
  <c r="T56" i="36" s="1"/>
  <c r="V56" i="36" s="1"/>
  <c r="AI55" i="36"/>
  <c r="Q55" i="36"/>
  <c r="AK54" i="36"/>
  <c r="AL54" i="36" s="1"/>
  <c r="AJ54" i="36"/>
  <c r="T54" i="36" s="1"/>
  <c r="V54" i="36" s="1"/>
  <c r="AK53" i="36"/>
  <c r="AL53" i="36" s="1"/>
  <c r="AJ53" i="36"/>
  <c r="T53" i="36" s="1"/>
  <c r="V53" i="36" s="1"/>
  <c r="AK52" i="36"/>
  <c r="AL52" i="36" s="1"/>
  <c r="AJ52" i="36"/>
  <c r="T52" i="36" s="1"/>
  <c r="V52" i="36" s="1"/>
  <c r="AI51" i="36"/>
  <c r="Q51" i="36"/>
  <c r="AK50" i="36"/>
  <c r="AL50" i="36" s="1"/>
  <c r="AJ50" i="36"/>
  <c r="T50" i="36" s="1"/>
  <c r="V50" i="36" s="1"/>
  <c r="AK49" i="36"/>
  <c r="AL49" i="36" s="1"/>
  <c r="AJ49" i="36"/>
  <c r="T49" i="36" s="1"/>
  <c r="V49" i="36" s="1"/>
  <c r="AK48" i="36"/>
  <c r="AL48" i="36" s="1"/>
  <c r="AJ48" i="36"/>
  <c r="T48" i="36" s="1"/>
  <c r="V48" i="36" s="1"/>
  <c r="AK47" i="36"/>
  <c r="AL47" i="36" s="1"/>
  <c r="AJ47" i="36"/>
  <c r="T47" i="36" s="1"/>
  <c r="V47" i="36" s="1"/>
  <c r="AK46" i="36"/>
  <c r="AL46" i="36" s="1"/>
  <c r="AJ46" i="36"/>
  <c r="T46" i="36" s="1"/>
  <c r="V46" i="36" s="1"/>
  <c r="AK44" i="36"/>
  <c r="AL44" i="36" s="1"/>
  <c r="AJ44" i="36"/>
  <c r="T44" i="36" s="1"/>
  <c r="V44" i="36" s="1"/>
  <c r="AK43" i="36"/>
  <c r="AL43" i="36" s="1"/>
  <c r="AJ43" i="36"/>
  <c r="T43" i="36" s="1"/>
  <c r="V43" i="36" s="1"/>
  <c r="AK42" i="36"/>
  <c r="AL42" i="36" s="1"/>
  <c r="AJ42" i="36"/>
  <c r="T42" i="36" s="1"/>
  <c r="V42" i="36" s="1"/>
  <c r="AK41" i="36"/>
  <c r="AL41" i="36" s="1"/>
  <c r="AJ41" i="36"/>
  <c r="T41" i="36" s="1"/>
  <c r="V41" i="36" s="1"/>
  <c r="AK40" i="36"/>
  <c r="AL40" i="36" s="1"/>
  <c r="AJ40" i="36"/>
  <c r="T40" i="36" s="1"/>
  <c r="V40" i="36" s="1"/>
  <c r="Q39" i="36"/>
  <c r="AH37" i="36"/>
  <c r="AG37" i="36"/>
  <c r="AG35" i="36" s="1"/>
  <c r="AF37" i="36"/>
  <c r="AF35" i="36" s="1"/>
  <c r="AE37" i="36"/>
  <c r="AE35" i="36" s="1"/>
  <c r="AD37" i="36"/>
  <c r="AD35" i="36" s="1"/>
  <c r="AC37" i="36"/>
  <c r="AC35" i="36" s="1"/>
  <c r="AA37" i="36"/>
  <c r="AA35" i="36" s="1"/>
  <c r="Z37" i="36"/>
  <c r="Z35" i="36" s="1"/>
  <c r="Y37" i="36"/>
  <c r="Y35" i="36" s="1"/>
  <c r="X37" i="36"/>
  <c r="X35" i="36" s="1"/>
  <c r="P37" i="36"/>
  <c r="S35" i="36"/>
  <c r="AK34" i="36"/>
  <c r="AB34" i="36"/>
  <c r="AA34" i="36"/>
  <c r="Z34" i="36"/>
  <c r="Y34" i="36"/>
  <c r="T34" i="36"/>
  <c r="V34" i="36" s="1"/>
  <c r="AB33" i="36"/>
  <c r="AA33" i="36"/>
  <c r="Z33" i="36"/>
  <c r="Y33" i="36"/>
  <c r="T33" i="36"/>
  <c r="V33" i="36" s="1"/>
  <c r="AK32" i="36"/>
  <c r="AB32" i="36"/>
  <c r="AA32" i="36"/>
  <c r="Z32" i="36"/>
  <c r="Y32" i="36"/>
  <c r="T32" i="36"/>
  <c r="V32" i="36" s="1"/>
  <c r="AK31" i="36"/>
  <c r="AB31" i="36"/>
  <c r="AA31" i="36"/>
  <c r="Z31" i="36"/>
  <c r="Y31" i="36"/>
  <c r="T31" i="36"/>
  <c r="V31" i="36" s="1"/>
  <c r="AK30" i="36"/>
  <c r="AB30" i="36"/>
  <c r="AA30" i="36"/>
  <c r="Z30" i="36"/>
  <c r="Y30" i="36"/>
  <c r="T30" i="36"/>
  <c r="V30" i="36" s="1"/>
  <c r="AK29" i="36"/>
  <c r="AL29" i="36" s="1"/>
  <c r="AJ29" i="36"/>
  <c r="T29" i="36" s="1"/>
  <c r="V29" i="36" s="1"/>
  <c r="AB29" i="36"/>
  <c r="AA29" i="36"/>
  <c r="Z29" i="36"/>
  <c r="Y29" i="36"/>
  <c r="AK28" i="36"/>
  <c r="AB28" i="36"/>
  <c r="AA28" i="36"/>
  <c r="Z28" i="36"/>
  <c r="Y28" i="36"/>
  <c r="T28" i="36"/>
  <c r="V28" i="36" s="1"/>
  <c r="AJ27" i="36"/>
  <c r="T27" i="36" s="1"/>
  <c r="V27" i="36" s="1"/>
  <c r="AB27" i="36"/>
  <c r="AA27" i="36"/>
  <c r="Y27" i="36"/>
  <c r="AH26" i="36"/>
  <c r="AG26" i="36"/>
  <c r="AF26" i="36"/>
  <c r="AE26" i="36"/>
  <c r="AE12" i="36" s="1"/>
  <c r="AD26" i="36"/>
  <c r="AD12" i="36" s="1"/>
  <c r="AC26" i="36"/>
  <c r="AC12" i="36" s="1"/>
  <c r="AA26" i="36"/>
  <c r="Z26" i="36"/>
  <c r="Y26" i="36"/>
  <c r="X26" i="36"/>
  <c r="Q26" i="36"/>
  <c r="R26" i="36" s="1"/>
  <c r="P26" i="36"/>
  <c r="AJ25" i="36"/>
  <c r="T25" i="36" s="1"/>
  <c r="V25" i="36" s="1"/>
  <c r="AC25" i="36"/>
  <c r="AI24" i="36"/>
  <c r="AH24" i="36"/>
  <c r="AG24" i="36"/>
  <c r="AF24" i="36"/>
  <c r="AE24" i="36"/>
  <c r="AD24" i="36"/>
  <c r="AC24" i="36"/>
  <c r="AA24" i="36"/>
  <c r="Z24" i="36"/>
  <c r="Y24" i="36"/>
  <c r="X24" i="36"/>
  <c r="Q24" i="36"/>
  <c r="P24" i="36"/>
  <c r="AK23" i="36"/>
  <c r="AL23" i="36" s="1"/>
  <c r="AJ23" i="36"/>
  <c r="T23" i="36" s="1"/>
  <c r="V23" i="36" s="1"/>
  <c r="AK22" i="36"/>
  <c r="AL22" i="36" s="1"/>
  <c r="AJ22" i="36"/>
  <c r="T22" i="36" s="1"/>
  <c r="V22" i="36" s="1"/>
  <c r="AK21" i="36"/>
  <c r="AL21" i="36" s="1"/>
  <c r="AJ21" i="36"/>
  <c r="T21" i="36" s="1"/>
  <c r="V21" i="36" s="1"/>
  <c r="AK20" i="36"/>
  <c r="AL20" i="36" s="1"/>
  <c r="AJ20" i="36"/>
  <c r="T20" i="36" s="1"/>
  <c r="V20" i="36" s="1"/>
  <c r="AK19" i="36"/>
  <c r="AL19" i="36" s="1"/>
  <c r="AJ19" i="36"/>
  <c r="T19" i="36" s="1"/>
  <c r="V19" i="36" s="1"/>
  <c r="AK18" i="36"/>
  <c r="AL18" i="36" s="1"/>
  <c r="AJ18" i="36"/>
  <c r="T18" i="36" s="1"/>
  <c r="V18" i="36" s="1"/>
  <c r="AK17" i="36"/>
  <c r="AL17" i="36" s="1"/>
  <c r="AJ17" i="36"/>
  <c r="T17" i="36" s="1"/>
  <c r="V17" i="36" s="1"/>
  <c r="AK16" i="36"/>
  <c r="AL16" i="36" s="1"/>
  <c r="AJ16" i="36"/>
  <c r="T16" i="36" s="1"/>
  <c r="V16" i="36" s="1"/>
  <c r="AK15" i="36"/>
  <c r="AL15" i="36" s="1"/>
  <c r="AJ15" i="36"/>
  <c r="T15" i="36" s="1"/>
  <c r="V15" i="36" s="1"/>
  <c r="AI14" i="36"/>
  <c r="AH14" i="36"/>
  <c r="AG14" i="36"/>
  <c r="AG10" i="36" s="1"/>
  <c r="AF14" i="36"/>
  <c r="AF10" i="36" s="1"/>
  <c r="AE14" i="36"/>
  <c r="AE10" i="36" s="1"/>
  <c r="AD14" i="36"/>
  <c r="AD10" i="36" s="1"/>
  <c r="AC14" i="36"/>
  <c r="AC10" i="36" s="1"/>
  <c r="AA14" i="36"/>
  <c r="Z14" i="36"/>
  <c r="Z10" i="36" s="1"/>
  <c r="Y14" i="36"/>
  <c r="X14" i="36"/>
  <c r="X10" i="36" s="1"/>
  <c r="Q14" i="36"/>
  <c r="AS15" i="36" s="1"/>
  <c r="P14" i="36"/>
  <c r="AH12" i="36"/>
  <c r="AG12" i="36"/>
  <c r="AF12" i="36"/>
  <c r="AB12" i="36"/>
  <c r="AA12" i="36"/>
  <c r="Z12" i="36"/>
  <c r="Y12" i="36"/>
  <c r="X12" i="36"/>
  <c r="W12" i="36"/>
  <c r="Q12" i="36"/>
  <c r="R12" i="36" s="1"/>
  <c r="P12" i="36"/>
  <c r="O12" i="36"/>
  <c r="AB10" i="36"/>
  <c r="AA10" i="36"/>
  <c r="Y10" i="36"/>
  <c r="W10" i="36"/>
  <c r="S10" i="36"/>
  <c r="Q10" i="36"/>
  <c r="R32" i="36" s="1"/>
  <c r="O10" i="36"/>
  <c r="AI33" i="34"/>
  <c r="AI27" i="34"/>
  <c r="AI23" i="34"/>
  <c r="AI17" i="34"/>
  <c r="AI15" i="34"/>
  <c r="AI65" i="35"/>
  <c r="AI643" i="35"/>
  <c r="AI641" i="35"/>
  <c r="AK641" i="35" s="1"/>
  <c r="AL641" i="35" s="1"/>
  <c r="AI640" i="35"/>
  <c r="AI639" i="35"/>
  <c r="AI521" i="35"/>
  <c r="AI517" i="35"/>
  <c r="AI516" i="35"/>
  <c r="AK516" i="35" s="1"/>
  <c r="AL516" i="35" s="1"/>
  <c r="AI513" i="35"/>
  <c r="AI510" i="35"/>
  <c r="AI509" i="35"/>
  <c r="AI508" i="35"/>
  <c r="AI507" i="35"/>
  <c r="AI465" i="35"/>
  <c r="AI463" i="35"/>
  <c r="AI421" i="35"/>
  <c r="AI418" i="35"/>
  <c r="AI417" i="35"/>
  <c r="AI414" i="35"/>
  <c r="AI413" i="35"/>
  <c r="AI412" i="35"/>
  <c r="AI376" i="35"/>
  <c r="AI375" i="35"/>
  <c r="AI374" i="35"/>
  <c r="AI373" i="35"/>
  <c r="AJ373" i="35" s="1"/>
  <c r="T373" i="35" s="1"/>
  <c r="V373" i="35" s="1"/>
  <c r="AI372" i="35"/>
  <c r="AI371" i="35"/>
  <c r="AI370" i="35"/>
  <c r="AI369" i="35"/>
  <c r="AI367" i="35"/>
  <c r="AI365" i="35"/>
  <c r="AI363" i="35"/>
  <c r="AI247" i="35"/>
  <c r="AI220" i="35"/>
  <c r="AI192" i="35"/>
  <c r="AI153" i="35"/>
  <c r="AJ153" i="35" s="1"/>
  <c r="T153" i="35" s="1"/>
  <c r="V153" i="35" s="1"/>
  <c r="AI154" i="35"/>
  <c r="AI152" i="35"/>
  <c r="AI151" i="35"/>
  <c r="AI146" i="35"/>
  <c r="AI127" i="35"/>
  <c r="AI121" i="35"/>
  <c r="AI106" i="35"/>
  <c r="AI78" i="35"/>
  <c r="AJ65" i="35"/>
  <c r="T65" i="35" s="1"/>
  <c r="V65" i="35" s="1"/>
  <c r="AI71" i="35"/>
  <c r="AI70" i="35"/>
  <c r="AI53" i="35"/>
  <c r="AI52" i="35"/>
  <c r="AI48" i="35"/>
  <c r="AI47" i="35"/>
  <c r="AI46" i="35"/>
  <c r="AI45" i="35"/>
  <c r="AI44" i="35"/>
  <c r="AI43" i="35"/>
  <c r="AI42" i="35"/>
  <c r="AI41" i="35"/>
  <c r="AI40" i="35"/>
  <c r="AI34" i="35"/>
  <c r="AI31" i="35"/>
  <c r="AI33" i="35"/>
  <c r="AI28" i="35"/>
  <c r="AI27" i="35"/>
  <c r="A722" i="35"/>
  <c r="A718" i="35"/>
  <c r="A712" i="35"/>
  <c r="A709" i="35"/>
  <c r="P688" i="35"/>
  <c r="P679" i="35" s="1"/>
  <c r="O688" i="35"/>
  <c r="AK687" i="35"/>
  <c r="AL687" i="35" s="1"/>
  <c r="AJ687" i="35"/>
  <c r="T687" i="35" s="1"/>
  <c r="V687" i="35" s="1"/>
  <c r="AK686" i="35"/>
  <c r="AL686" i="35" s="1"/>
  <c r="AJ686" i="35"/>
  <c r="T686" i="35" s="1"/>
  <c r="V686" i="35" s="1"/>
  <c r="AK685" i="35"/>
  <c r="AL685" i="35" s="1"/>
  <c r="AJ685" i="35"/>
  <c r="T685" i="35" s="1"/>
  <c r="V685" i="35" s="1"/>
  <c r="AK684" i="35"/>
  <c r="AL684" i="35" s="1"/>
  <c r="AJ684" i="35"/>
  <c r="T684" i="35" s="1"/>
  <c r="V684" i="35" s="1"/>
  <c r="AK683" i="35"/>
  <c r="AL683" i="35" s="1"/>
  <c r="AJ683" i="35"/>
  <c r="T683" i="35"/>
  <c r="V683" i="35" s="1"/>
  <c r="AK682" i="35"/>
  <c r="AL682" i="35" s="1"/>
  <c r="AJ682" i="35"/>
  <c r="T682" i="35" s="1"/>
  <c r="V682" i="35" s="1"/>
  <c r="AK681" i="35"/>
  <c r="AL681" i="35" s="1"/>
  <c r="AJ681" i="35"/>
  <c r="T681" i="35" s="1"/>
  <c r="V681" i="35" s="1"/>
  <c r="AI680" i="35"/>
  <c r="AH680" i="35"/>
  <c r="AH679" i="35" s="1"/>
  <c r="AG680" i="35"/>
  <c r="AG679" i="35" s="1"/>
  <c r="Q680" i="35"/>
  <c r="R686" i="35" s="1"/>
  <c r="AF679" i="35"/>
  <c r="AE679" i="35"/>
  <c r="AD679" i="35"/>
  <c r="AC679" i="35"/>
  <c r="AB679" i="35"/>
  <c r="AA679" i="35"/>
  <c r="Z679" i="35"/>
  <c r="Y679" i="35"/>
  <c r="X679" i="35"/>
  <c r="W679" i="35"/>
  <c r="O679" i="35"/>
  <c r="AI678" i="35"/>
  <c r="AK678" i="35" s="1"/>
  <c r="AL678" i="35" s="1"/>
  <c r="AK677" i="35"/>
  <c r="AL677" i="35" s="1"/>
  <c r="AJ677" i="35"/>
  <c r="T677" i="35" s="1"/>
  <c r="V677" i="35" s="1"/>
  <c r="AI676" i="35"/>
  <c r="AK676" i="35" s="1"/>
  <c r="AL676" i="35" s="1"/>
  <c r="AK675" i="35"/>
  <c r="AL675" i="35" s="1"/>
  <c r="AJ675" i="35"/>
  <c r="T675" i="35" s="1"/>
  <c r="V675" i="35" s="1"/>
  <c r="AI674" i="35"/>
  <c r="AJ674" i="35" s="1"/>
  <c r="T674" i="35" s="1"/>
  <c r="V674" i="35" s="1"/>
  <c r="AH673" i="35"/>
  <c r="AG673" i="35"/>
  <c r="Q673" i="35"/>
  <c r="R678" i="35" s="1"/>
  <c r="A673" i="35"/>
  <c r="A680" i="35" s="1"/>
  <c r="AK672" i="35"/>
  <c r="AL672" i="35" s="1"/>
  <c r="AJ672" i="35"/>
  <c r="T672" i="35" s="1"/>
  <c r="AK671" i="35"/>
  <c r="AL671" i="35" s="1"/>
  <c r="AJ671" i="35"/>
  <c r="T671" i="35" s="1"/>
  <c r="V671" i="35" s="1"/>
  <c r="AK670" i="35"/>
  <c r="AL670" i="35" s="1"/>
  <c r="AJ670" i="35"/>
  <c r="T670" i="35" s="1"/>
  <c r="V670" i="35" s="1"/>
  <c r="AK669" i="35"/>
  <c r="AL669" i="35" s="1"/>
  <c r="AJ669" i="35"/>
  <c r="T669" i="35"/>
  <c r="V669" i="35" s="1"/>
  <c r="AK668" i="35"/>
  <c r="AL668" i="35" s="1"/>
  <c r="AJ668" i="35"/>
  <c r="T668" i="35" s="1"/>
  <c r="V668" i="35" s="1"/>
  <c r="AK667" i="35"/>
  <c r="AL667" i="35" s="1"/>
  <c r="AJ667" i="35"/>
  <c r="T667" i="35" s="1"/>
  <c r="V667" i="35" s="1"/>
  <c r="AK666" i="35"/>
  <c r="AL666" i="35" s="1"/>
  <c r="AJ666" i="35"/>
  <c r="T666" i="35" s="1"/>
  <c r="V666" i="35" s="1"/>
  <c r="AK665" i="35"/>
  <c r="AL665" i="35" s="1"/>
  <c r="AJ665" i="35"/>
  <c r="T665" i="35" s="1"/>
  <c r="V665" i="35" s="1"/>
  <c r="AK664" i="35"/>
  <c r="AL664" i="35" s="1"/>
  <c r="AJ664" i="35"/>
  <c r="T664" i="35" s="1"/>
  <c r="V664" i="35" s="1"/>
  <c r="AK663" i="35"/>
  <c r="AL663" i="35" s="1"/>
  <c r="AJ663" i="35"/>
  <c r="T663" i="35" s="1"/>
  <c r="V663" i="35" s="1"/>
  <c r="AK662" i="35"/>
  <c r="AL662" i="35" s="1"/>
  <c r="AJ662" i="35"/>
  <c r="T662" i="35" s="1"/>
  <c r="V662" i="35" s="1"/>
  <c r="AK661" i="35"/>
  <c r="AL661" i="35" s="1"/>
  <c r="AJ661" i="35"/>
  <c r="T661" i="35" s="1"/>
  <c r="V661" i="35" s="1"/>
  <c r="AK660" i="35"/>
  <c r="AL660" i="35" s="1"/>
  <c r="AJ660" i="35"/>
  <c r="T660" i="35" s="1"/>
  <c r="V660" i="35" s="1"/>
  <c r="AI659" i="35"/>
  <c r="Q659" i="35"/>
  <c r="R671" i="35" s="1"/>
  <c r="AK658" i="35"/>
  <c r="AL658" i="35" s="1"/>
  <c r="AJ658" i="35"/>
  <c r="T658" i="35" s="1"/>
  <c r="V658" i="35" s="1"/>
  <c r="AK657" i="35"/>
  <c r="AL657" i="35" s="1"/>
  <c r="AJ657" i="35"/>
  <c r="T657" i="35" s="1"/>
  <c r="V657" i="35" s="1"/>
  <c r="AK656" i="35"/>
  <c r="AL656" i="35" s="1"/>
  <c r="AJ656" i="35"/>
  <c r="T656" i="35" s="1"/>
  <c r="V656" i="35" s="1"/>
  <c r="AK655" i="35"/>
  <c r="AL655" i="35" s="1"/>
  <c r="AJ655" i="35"/>
  <c r="T655" i="35" s="1"/>
  <c r="V655" i="35" s="1"/>
  <c r="AK654" i="35"/>
  <c r="AL654" i="35" s="1"/>
  <c r="AJ654" i="35"/>
  <c r="T654" i="35" s="1"/>
  <c r="V654" i="35" s="1"/>
  <c r="AK653" i="35"/>
  <c r="AL653" i="35" s="1"/>
  <c r="AJ653" i="35"/>
  <c r="T653" i="35" s="1"/>
  <c r="V653" i="35" s="1"/>
  <c r="AK652" i="35"/>
  <c r="AL652" i="35" s="1"/>
  <c r="AJ652" i="35"/>
  <c r="T652" i="35" s="1"/>
  <c r="V652" i="35" s="1"/>
  <c r="AK651" i="35"/>
  <c r="AL651" i="35" s="1"/>
  <c r="AJ651" i="35"/>
  <c r="T651" i="35" s="1"/>
  <c r="V651" i="35" s="1"/>
  <c r="AK650" i="35"/>
  <c r="AL650" i="35" s="1"/>
  <c r="AJ650" i="35"/>
  <c r="T650" i="35" s="1"/>
  <c r="V650" i="35" s="1"/>
  <c r="AK649" i="35"/>
  <c r="AL649" i="35" s="1"/>
  <c r="AJ649" i="35"/>
  <c r="T649" i="35" s="1"/>
  <c r="V649" i="35" s="1"/>
  <c r="AK648" i="35"/>
  <c r="AL648" i="35" s="1"/>
  <c r="AJ648" i="35"/>
  <c r="T648" i="35" s="1"/>
  <c r="V648" i="35" s="1"/>
  <c r="AK647" i="35"/>
  <c r="AL647" i="35" s="1"/>
  <c r="AJ647" i="35"/>
  <c r="T647" i="35" s="1"/>
  <c r="V647" i="35" s="1"/>
  <c r="AK646" i="35"/>
  <c r="AL646" i="35" s="1"/>
  <c r="AJ646" i="35"/>
  <c r="T646" i="35" s="1"/>
  <c r="V646" i="35" s="1"/>
  <c r="AK645" i="35"/>
  <c r="AL645" i="35" s="1"/>
  <c r="AJ645" i="35"/>
  <c r="T645" i="35" s="1"/>
  <c r="V645" i="35" s="1"/>
  <c r="AI644" i="35"/>
  <c r="Q644" i="35"/>
  <c r="R654" i="35" s="1"/>
  <c r="AK643" i="35"/>
  <c r="AL643" i="35" s="1"/>
  <c r="AJ643" i="35"/>
  <c r="T643" i="35" s="1"/>
  <c r="V643" i="35" s="1"/>
  <c r="AK642" i="35"/>
  <c r="AL642" i="35" s="1"/>
  <c r="AJ642" i="35"/>
  <c r="T642" i="35" s="1"/>
  <c r="V642" i="35" s="1"/>
  <c r="AJ641" i="35"/>
  <c r="T641" i="35" s="1"/>
  <c r="V641" i="35" s="1"/>
  <c r="AJ640" i="35"/>
  <c r="T640" i="35" s="1"/>
  <c r="V640" i="35" s="1"/>
  <c r="AK640" i="35"/>
  <c r="AL640" i="35" s="1"/>
  <c r="AK638" i="35"/>
  <c r="AL638" i="35" s="1"/>
  <c r="AJ638" i="35"/>
  <c r="T638" i="35" s="1"/>
  <c r="V638" i="35" s="1"/>
  <c r="Q637" i="35"/>
  <c r="R642" i="35" s="1"/>
  <c r="AK636" i="35"/>
  <c r="AL636" i="35" s="1"/>
  <c r="AJ636" i="35"/>
  <c r="T636" i="35" s="1"/>
  <c r="AK635" i="35"/>
  <c r="AL635" i="35" s="1"/>
  <c r="AJ635" i="35"/>
  <c r="T635" i="35" s="1"/>
  <c r="V635" i="35" s="1"/>
  <c r="AK634" i="35"/>
  <c r="AL634" i="35" s="1"/>
  <c r="AJ634" i="35"/>
  <c r="T634" i="35" s="1"/>
  <c r="AK633" i="35"/>
  <c r="AL633" i="35" s="1"/>
  <c r="AJ633" i="35"/>
  <c r="T633" i="35" s="1"/>
  <c r="V633" i="35" s="1"/>
  <c r="AK632" i="35"/>
  <c r="AL632" i="35" s="1"/>
  <c r="AJ632" i="35"/>
  <c r="T632" i="35" s="1"/>
  <c r="V632" i="35" s="1"/>
  <c r="AK631" i="35"/>
  <c r="AL631" i="35" s="1"/>
  <c r="AJ631" i="35"/>
  <c r="T631" i="35" s="1"/>
  <c r="V631" i="35" s="1"/>
  <c r="AK630" i="35"/>
  <c r="AL630" i="35" s="1"/>
  <c r="AJ630" i="35"/>
  <c r="T630" i="35" s="1"/>
  <c r="V630" i="35" s="1"/>
  <c r="AK629" i="35"/>
  <c r="AL629" i="35" s="1"/>
  <c r="AJ629" i="35"/>
  <c r="T629" i="35" s="1"/>
  <c r="V629" i="35" s="1"/>
  <c r="AK628" i="35"/>
  <c r="AL628" i="35" s="1"/>
  <c r="AJ628" i="35"/>
  <c r="T628" i="35" s="1"/>
  <c r="V628" i="35" s="1"/>
  <c r="AI627" i="35"/>
  <c r="Q627" i="35"/>
  <c r="R629" i="35" s="1"/>
  <c r="U629" i="35" s="1"/>
  <c r="AK626" i="35"/>
  <c r="AL626" i="35" s="1"/>
  <c r="AJ626" i="35"/>
  <c r="T626" i="35" s="1"/>
  <c r="V626" i="35" s="1"/>
  <c r="AK625" i="35"/>
  <c r="AL625" i="35" s="1"/>
  <c r="AJ625" i="35"/>
  <c r="T625" i="35" s="1"/>
  <c r="V625" i="35" s="1"/>
  <c r="AK624" i="35"/>
  <c r="AL624" i="35" s="1"/>
  <c r="AJ624" i="35"/>
  <c r="T624" i="35" s="1"/>
  <c r="V624" i="35" s="1"/>
  <c r="AI623" i="35"/>
  <c r="AJ623" i="35" s="1"/>
  <c r="T623" i="35" s="1"/>
  <c r="V623" i="35" s="1"/>
  <c r="AI622" i="35"/>
  <c r="AJ622" i="35" s="1"/>
  <c r="T622" i="35" s="1"/>
  <c r="V622" i="35" s="1"/>
  <c r="AK621" i="35"/>
  <c r="AL621" i="35" s="1"/>
  <c r="AJ621" i="35"/>
  <c r="T621" i="35" s="1"/>
  <c r="V621" i="35" s="1"/>
  <c r="AI620" i="35"/>
  <c r="AJ620" i="35" s="1"/>
  <c r="T620" i="35" s="1"/>
  <c r="V620" i="35" s="1"/>
  <c r="AK619" i="35"/>
  <c r="AL619" i="35" s="1"/>
  <c r="AJ619" i="35"/>
  <c r="T619" i="35" s="1"/>
  <c r="V619" i="35" s="1"/>
  <c r="Q618" i="35"/>
  <c r="R626" i="35" s="1"/>
  <c r="U626" i="35" s="1"/>
  <c r="AK617" i="35"/>
  <c r="AL617" i="35" s="1"/>
  <c r="AJ617" i="35"/>
  <c r="T617" i="35" s="1"/>
  <c r="V617" i="35" s="1"/>
  <c r="AK616" i="35"/>
  <c r="AL616" i="35" s="1"/>
  <c r="AJ616" i="35"/>
  <c r="T616" i="35" s="1"/>
  <c r="V616" i="35" s="1"/>
  <c r="AI615" i="35"/>
  <c r="AJ615" i="35" s="1"/>
  <c r="T615" i="35" s="1"/>
  <c r="V615" i="35" s="1"/>
  <c r="AK614" i="35"/>
  <c r="AL614" i="35" s="1"/>
  <c r="AJ614" i="35"/>
  <c r="T614" i="35" s="1"/>
  <c r="V614" i="35" s="1"/>
  <c r="AK613" i="35"/>
  <c r="AL613" i="35" s="1"/>
  <c r="AJ613" i="35"/>
  <c r="T613" i="35" s="1"/>
  <c r="V613" i="35" s="1"/>
  <c r="AK612" i="35"/>
  <c r="AL612" i="35" s="1"/>
  <c r="AJ612" i="35"/>
  <c r="T612" i="35" s="1"/>
  <c r="V612" i="35" s="1"/>
  <c r="AI611" i="35"/>
  <c r="AJ611" i="35" s="1"/>
  <c r="T611" i="35" s="1"/>
  <c r="V611" i="35" s="1"/>
  <c r="AK610" i="35"/>
  <c r="AL610" i="35" s="1"/>
  <c r="AJ610" i="35"/>
  <c r="T610" i="35" s="1"/>
  <c r="V610" i="35" s="1"/>
  <c r="AK609" i="35"/>
  <c r="AL609" i="35" s="1"/>
  <c r="AJ609" i="35"/>
  <c r="T609" i="35" s="1"/>
  <c r="V609" i="35" s="1"/>
  <c r="Q608" i="35"/>
  <c r="R610" i="35" s="1"/>
  <c r="U610" i="35" s="1"/>
  <c r="AK607" i="35"/>
  <c r="AL607" i="35" s="1"/>
  <c r="AJ607" i="35"/>
  <c r="T607" i="35" s="1"/>
  <c r="V607" i="35" s="1"/>
  <c r="AK606" i="35"/>
  <c r="AL606" i="35" s="1"/>
  <c r="AJ606" i="35"/>
  <c r="T606" i="35" s="1"/>
  <c r="V606" i="35" s="1"/>
  <c r="AK605" i="35"/>
  <c r="AL605" i="35" s="1"/>
  <c r="AJ605" i="35"/>
  <c r="T605" i="35" s="1"/>
  <c r="V605" i="35" s="1"/>
  <c r="AK604" i="35"/>
  <c r="AL604" i="35" s="1"/>
  <c r="AJ604" i="35"/>
  <c r="T604" i="35" s="1"/>
  <c r="V604" i="35" s="1"/>
  <c r="AK603" i="35"/>
  <c r="AL603" i="35" s="1"/>
  <c r="AJ603" i="35"/>
  <c r="T603" i="35" s="1"/>
  <c r="V603" i="35" s="1"/>
  <c r="AK602" i="35"/>
  <c r="AL602" i="35" s="1"/>
  <c r="AJ602" i="35"/>
  <c r="T602" i="35" s="1"/>
  <c r="V602" i="35" s="1"/>
  <c r="AK601" i="35"/>
  <c r="AL601" i="35" s="1"/>
  <c r="AJ601" i="35"/>
  <c r="T601" i="35" s="1"/>
  <c r="V601" i="35" s="1"/>
  <c r="AK600" i="35"/>
  <c r="AL600" i="35" s="1"/>
  <c r="AJ600" i="35"/>
  <c r="T600" i="35" s="1"/>
  <c r="V600" i="35" s="1"/>
  <c r="AK599" i="35"/>
  <c r="AL599" i="35" s="1"/>
  <c r="AJ599" i="35"/>
  <c r="T599" i="35" s="1"/>
  <c r="V599" i="35" s="1"/>
  <c r="AK598" i="35"/>
  <c r="AL598" i="35" s="1"/>
  <c r="AJ598" i="35"/>
  <c r="T598" i="35" s="1"/>
  <c r="V598" i="35" s="1"/>
  <c r="AK597" i="35"/>
  <c r="AL597" i="35" s="1"/>
  <c r="AJ597" i="35"/>
  <c r="T597" i="35" s="1"/>
  <c r="V597" i="35" s="1"/>
  <c r="AK596" i="35"/>
  <c r="AL596" i="35" s="1"/>
  <c r="AJ596" i="35"/>
  <c r="T596" i="35" s="1"/>
  <c r="V596" i="35" s="1"/>
  <c r="AK595" i="35"/>
  <c r="AL595" i="35" s="1"/>
  <c r="AJ595" i="35"/>
  <c r="T595" i="35" s="1"/>
  <c r="V595" i="35" s="1"/>
  <c r="AI594" i="35"/>
  <c r="Q594" i="35"/>
  <c r="R601" i="35" s="1"/>
  <c r="AK593" i="35"/>
  <c r="AL593" i="35" s="1"/>
  <c r="AJ593" i="35"/>
  <c r="T593" i="35" s="1"/>
  <c r="AK592" i="35"/>
  <c r="AL592" i="35" s="1"/>
  <c r="AJ592" i="35"/>
  <c r="T592" i="35"/>
  <c r="AI591" i="35"/>
  <c r="AK591" i="35" s="1"/>
  <c r="AL591" i="35" s="1"/>
  <c r="AK590" i="35"/>
  <c r="AL590" i="35" s="1"/>
  <c r="AJ590" i="35"/>
  <c r="T590" i="35" s="1"/>
  <c r="V590" i="35" s="1"/>
  <c r="AK589" i="35"/>
  <c r="AL589" i="35" s="1"/>
  <c r="AJ589" i="35"/>
  <c r="T589" i="35" s="1"/>
  <c r="V589" i="35" s="1"/>
  <c r="AK588" i="35"/>
  <c r="AL588" i="35" s="1"/>
  <c r="AJ588" i="35"/>
  <c r="T588" i="35" s="1"/>
  <c r="V588" i="35" s="1"/>
  <c r="AK587" i="35"/>
  <c r="AL587" i="35" s="1"/>
  <c r="AJ587" i="35"/>
  <c r="T587" i="35" s="1"/>
  <c r="V587" i="35" s="1"/>
  <c r="AK586" i="35"/>
  <c r="AL586" i="35" s="1"/>
  <c r="AJ586" i="35"/>
  <c r="T586" i="35" s="1"/>
  <c r="V586" i="35" s="1"/>
  <c r="AI585" i="35"/>
  <c r="Q585" i="35"/>
  <c r="R589" i="35" s="1"/>
  <c r="U589" i="35" s="1"/>
  <c r="AK584" i="35"/>
  <c r="AL584" i="35" s="1"/>
  <c r="AJ584" i="35"/>
  <c r="T584" i="35" s="1"/>
  <c r="AK583" i="35"/>
  <c r="AL583" i="35" s="1"/>
  <c r="AJ583" i="35"/>
  <c r="T583" i="35" s="1"/>
  <c r="V583" i="35" s="1"/>
  <c r="AK582" i="35"/>
  <c r="AL582" i="35" s="1"/>
  <c r="AJ582" i="35"/>
  <c r="T582" i="35" s="1"/>
  <c r="V582" i="35" s="1"/>
  <c r="AK581" i="35"/>
  <c r="AL581" i="35" s="1"/>
  <c r="AJ581" i="35"/>
  <c r="T581" i="35" s="1"/>
  <c r="V581" i="35" s="1"/>
  <c r="AK580" i="35"/>
  <c r="AL580" i="35" s="1"/>
  <c r="AJ580" i="35"/>
  <c r="T580" i="35" s="1"/>
  <c r="V580" i="35" s="1"/>
  <c r="AK579" i="35"/>
  <c r="AL579" i="35" s="1"/>
  <c r="AJ579" i="35"/>
  <c r="T579" i="35" s="1"/>
  <c r="AK578" i="35"/>
  <c r="AL578" i="35" s="1"/>
  <c r="AJ578" i="35"/>
  <c r="T578" i="35" s="1"/>
  <c r="V578" i="35" s="1"/>
  <c r="AK577" i="35"/>
  <c r="AL577" i="35" s="1"/>
  <c r="AJ577" i="35"/>
  <c r="T577" i="35" s="1"/>
  <c r="V577" i="35" s="1"/>
  <c r="AK576" i="35"/>
  <c r="AL576" i="35" s="1"/>
  <c r="AJ576" i="35"/>
  <c r="T576" i="35"/>
  <c r="V576" i="35" s="1"/>
  <c r="AK575" i="35"/>
  <c r="AL575" i="35" s="1"/>
  <c r="AJ575" i="35"/>
  <c r="T575" i="35" s="1"/>
  <c r="V575" i="35" s="1"/>
  <c r="AK574" i="35"/>
  <c r="AL574" i="35" s="1"/>
  <c r="AJ574" i="35"/>
  <c r="T574" i="35" s="1"/>
  <c r="V574" i="35" s="1"/>
  <c r="AK573" i="35"/>
  <c r="AL573" i="35" s="1"/>
  <c r="AJ573" i="35"/>
  <c r="T573" i="35" s="1"/>
  <c r="V573" i="35" s="1"/>
  <c r="AI572" i="35"/>
  <c r="Q572" i="35"/>
  <c r="R581" i="35" s="1"/>
  <c r="AI571" i="35"/>
  <c r="AJ571" i="35" s="1"/>
  <c r="T571" i="35" s="1"/>
  <c r="V571" i="35" s="1"/>
  <c r="AI570" i="35"/>
  <c r="AJ570" i="35" s="1"/>
  <c r="T570" i="35" s="1"/>
  <c r="V570" i="35" s="1"/>
  <c r="AI569" i="35"/>
  <c r="AJ569" i="35" s="1"/>
  <c r="T569" i="35" s="1"/>
  <c r="V569" i="35" s="1"/>
  <c r="AI568" i="35"/>
  <c r="AJ568" i="35" s="1"/>
  <c r="T568" i="35" s="1"/>
  <c r="V568" i="35" s="1"/>
  <c r="AI567" i="35"/>
  <c r="AJ567" i="35" s="1"/>
  <c r="T567" i="35" s="1"/>
  <c r="V567" i="35" s="1"/>
  <c r="AI566" i="35"/>
  <c r="AJ566" i="35" s="1"/>
  <c r="T566" i="35" s="1"/>
  <c r="V566" i="35" s="1"/>
  <c r="AI565" i="35"/>
  <c r="AJ565" i="35" s="1"/>
  <c r="T565" i="35" s="1"/>
  <c r="V565" i="35" s="1"/>
  <c r="AI564" i="35"/>
  <c r="AJ564" i="35" s="1"/>
  <c r="T564" i="35" s="1"/>
  <c r="V564" i="35" s="1"/>
  <c r="AI563" i="35"/>
  <c r="AJ563" i="35" s="1"/>
  <c r="T563" i="35" s="1"/>
  <c r="V563" i="35" s="1"/>
  <c r="Q562" i="35"/>
  <c r="R571" i="35" s="1"/>
  <c r="AK561" i="35"/>
  <c r="AL561" i="35" s="1"/>
  <c r="AJ561" i="35"/>
  <c r="T561" i="35" s="1"/>
  <c r="V561" i="35" s="1"/>
  <c r="AK560" i="35"/>
  <c r="AL560" i="35" s="1"/>
  <c r="AJ560" i="35"/>
  <c r="T560" i="35" s="1"/>
  <c r="V560" i="35" s="1"/>
  <c r="AK559" i="35"/>
  <c r="AL559" i="35" s="1"/>
  <c r="AJ559" i="35"/>
  <c r="T559" i="35" s="1"/>
  <c r="V559" i="35" s="1"/>
  <c r="AK558" i="35"/>
  <c r="AL558" i="35" s="1"/>
  <c r="AJ558" i="35"/>
  <c r="T558" i="35" s="1"/>
  <c r="AK557" i="35"/>
  <c r="AL557" i="35" s="1"/>
  <c r="AJ557" i="35"/>
  <c r="T557" i="35" s="1"/>
  <c r="V557" i="35" s="1"/>
  <c r="AK556" i="35"/>
  <c r="AL556" i="35" s="1"/>
  <c r="AJ556" i="35"/>
  <c r="T556" i="35" s="1"/>
  <c r="V556" i="35" s="1"/>
  <c r="AK555" i="35"/>
  <c r="AL555" i="35" s="1"/>
  <c r="AJ555" i="35"/>
  <c r="T555" i="35" s="1"/>
  <c r="V555" i="35" s="1"/>
  <c r="AK554" i="35"/>
  <c r="AL554" i="35" s="1"/>
  <c r="AJ554" i="35"/>
  <c r="T554" i="35" s="1"/>
  <c r="V554" i="35" s="1"/>
  <c r="AI553" i="35"/>
  <c r="Q553" i="35"/>
  <c r="R560" i="35" s="1"/>
  <c r="AK552" i="35"/>
  <c r="AL552" i="35" s="1"/>
  <c r="AJ552" i="35"/>
  <c r="T552" i="35" s="1"/>
  <c r="V552" i="35" s="1"/>
  <c r="AK551" i="35"/>
  <c r="AJ551" i="35"/>
  <c r="T551" i="35" s="1"/>
  <c r="AK550" i="35"/>
  <c r="AL550" i="35" s="1"/>
  <c r="AJ550" i="35"/>
  <c r="T550" i="35" s="1"/>
  <c r="V550" i="35" s="1"/>
  <c r="AK549" i="35"/>
  <c r="AL549" i="35" s="1"/>
  <c r="AJ549" i="35"/>
  <c r="T549" i="35" s="1"/>
  <c r="V549" i="35" s="1"/>
  <c r="AK548" i="35"/>
  <c r="AL548" i="35" s="1"/>
  <c r="AJ548" i="35"/>
  <c r="T548" i="35" s="1"/>
  <c r="V548" i="35" s="1"/>
  <c r="AK547" i="35"/>
  <c r="AL547" i="35" s="1"/>
  <c r="AJ547" i="35"/>
  <c r="T547" i="35" s="1"/>
  <c r="V547" i="35" s="1"/>
  <c r="AK546" i="35"/>
  <c r="AL546" i="35" s="1"/>
  <c r="AJ546" i="35"/>
  <c r="T546" i="35" s="1"/>
  <c r="V546" i="35" s="1"/>
  <c r="AK545" i="35"/>
  <c r="AL545" i="35" s="1"/>
  <c r="AJ545" i="35"/>
  <c r="T545" i="35" s="1"/>
  <c r="V545" i="35" s="1"/>
  <c r="AK544" i="35"/>
  <c r="AL544" i="35" s="1"/>
  <c r="AJ544" i="35"/>
  <c r="T544" i="35" s="1"/>
  <c r="V544" i="35" s="1"/>
  <c r="AK543" i="35"/>
  <c r="AL543" i="35" s="1"/>
  <c r="AJ543" i="35"/>
  <c r="T543" i="35" s="1"/>
  <c r="V543" i="35" s="1"/>
  <c r="AI542" i="35"/>
  <c r="AH542" i="35"/>
  <c r="AG542" i="35"/>
  <c r="Q542" i="35"/>
  <c r="R544" i="35" s="1"/>
  <c r="AK541" i="35"/>
  <c r="AL541" i="35" s="1"/>
  <c r="AJ541" i="35"/>
  <c r="T541" i="35" s="1"/>
  <c r="V541" i="35" s="1"/>
  <c r="AK540" i="35"/>
  <c r="AL540" i="35" s="1"/>
  <c r="AJ540" i="35"/>
  <c r="T540" i="35" s="1"/>
  <c r="V540" i="35" s="1"/>
  <c r="AK539" i="35"/>
  <c r="AL539" i="35" s="1"/>
  <c r="AJ539" i="35"/>
  <c r="T539" i="35" s="1"/>
  <c r="V539" i="35" s="1"/>
  <c r="AI538" i="35"/>
  <c r="AK538" i="35" s="1"/>
  <c r="AL538" i="35" s="1"/>
  <c r="AI537" i="35"/>
  <c r="AK537" i="35" s="1"/>
  <c r="AL537" i="35" s="1"/>
  <c r="AK536" i="35"/>
  <c r="AL536" i="35" s="1"/>
  <c r="AJ536" i="35"/>
  <c r="T536" i="35" s="1"/>
  <c r="V536" i="35" s="1"/>
  <c r="AK535" i="35"/>
  <c r="AL535" i="35" s="1"/>
  <c r="AJ535" i="35"/>
  <c r="T535" i="35" s="1"/>
  <c r="V535" i="35" s="1"/>
  <c r="AK534" i="35"/>
  <c r="AL534" i="35" s="1"/>
  <c r="AJ534" i="35"/>
  <c r="T534" i="35" s="1"/>
  <c r="V534" i="35" s="1"/>
  <c r="AK533" i="35"/>
  <c r="AL533" i="35" s="1"/>
  <c r="AJ533" i="35"/>
  <c r="T533" i="35" s="1"/>
  <c r="AK532" i="35"/>
  <c r="AL532" i="35" s="1"/>
  <c r="AJ532" i="35"/>
  <c r="T532" i="35" s="1"/>
  <c r="V532" i="35" s="1"/>
  <c r="AK531" i="35"/>
  <c r="AL531" i="35" s="1"/>
  <c r="AJ531" i="35"/>
  <c r="T531" i="35" s="1"/>
  <c r="V531" i="35" s="1"/>
  <c r="AH530" i="35"/>
  <c r="AG530" i="35"/>
  <c r="Q530" i="35"/>
  <c r="R539" i="35" s="1"/>
  <c r="U539" i="35" s="1"/>
  <c r="AK529" i="35"/>
  <c r="AL529" i="35" s="1"/>
  <c r="AJ529" i="35"/>
  <c r="T529" i="35" s="1"/>
  <c r="V529" i="35" s="1"/>
  <c r="AK528" i="35"/>
  <c r="AL528" i="35" s="1"/>
  <c r="AJ528" i="35"/>
  <c r="T528" i="35" s="1"/>
  <c r="V528" i="35" s="1"/>
  <c r="AK527" i="35"/>
  <c r="AL527" i="35" s="1"/>
  <c r="AJ527" i="35"/>
  <c r="T527" i="35" s="1"/>
  <c r="V527" i="35" s="1"/>
  <c r="AK526" i="35"/>
  <c r="AL526" i="35" s="1"/>
  <c r="AJ526" i="35"/>
  <c r="T526" i="35" s="1"/>
  <c r="V526" i="35" s="1"/>
  <c r="AK525" i="35"/>
  <c r="AL525" i="35" s="1"/>
  <c r="AJ525" i="35"/>
  <c r="T525" i="35" s="1"/>
  <c r="V525" i="35" s="1"/>
  <c r="AK524" i="35"/>
  <c r="AL524" i="35" s="1"/>
  <c r="AJ524" i="35"/>
  <c r="T524" i="35" s="1"/>
  <c r="V524" i="35" s="1"/>
  <c r="AI523" i="35"/>
  <c r="AH523" i="35"/>
  <c r="AG523" i="35"/>
  <c r="Q523" i="35"/>
  <c r="R524" i="35" s="1"/>
  <c r="AK522" i="35"/>
  <c r="AL522" i="35" s="1"/>
  <c r="AJ522" i="35"/>
  <c r="T522" i="35" s="1"/>
  <c r="V522" i="35" s="1"/>
  <c r="AK521" i="35"/>
  <c r="AL521" i="35" s="1"/>
  <c r="AJ521" i="35"/>
  <c r="T521" i="35" s="1"/>
  <c r="V521" i="35" s="1"/>
  <c r="AK520" i="35"/>
  <c r="AL520" i="35" s="1"/>
  <c r="AJ520" i="35"/>
  <c r="T520" i="35" s="1"/>
  <c r="V520" i="35" s="1"/>
  <c r="AK519" i="35"/>
  <c r="AL519" i="35" s="1"/>
  <c r="AJ519" i="35"/>
  <c r="T519" i="35" s="1"/>
  <c r="V519" i="35" s="1"/>
  <c r="AK518" i="35"/>
  <c r="AL518" i="35" s="1"/>
  <c r="AJ518" i="35"/>
  <c r="T518" i="35" s="1"/>
  <c r="V518" i="35" s="1"/>
  <c r="AK517" i="35"/>
  <c r="AL517" i="35" s="1"/>
  <c r="AJ517" i="35"/>
  <c r="T517" i="35" s="1"/>
  <c r="V517" i="35" s="1"/>
  <c r="AJ516" i="35"/>
  <c r="T516" i="35" s="1"/>
  <c r="V516" i="35" s="1"/>
  <c r="AK515" i="35"/>
  <c r="AL515" i="35" s="1"/>
  <c r="AJ515" i="35"/>
  <c r="T515" i="35"/>
  <c r="V515" i="35" s="1"/>
  <c r="AK514" i="35"/>
  <c r="AL514" i="35" s="1"/>
  <c r="AJ514" i="35"/>
  <c r="T514" i="35" s="1"/>
  <c r="V514" i="35" s="1"/>
  <c r="AK513" i="35"/>
  <c r="AL513" i="35" s="1"/>
  <c r="AJ513" i="35"/>
  <c r="T513" i="35" s="1"/>
  <c r="V513" i="35" s="1"/>
  <c r="AK512" i="35"/>
  <c r="AJ512" i="35"/>
  <c r="T512" i="35" s="1"/>
  <c r="V512" i="35" s="1"/>
  <c r="AH511" i="35"/>
  <c r="AG511" i="35"/>
  <c r="Q511" i="35"/>
  <c r="R519" i="35" s="1"/>
  <c r="AJ510" i="35"/>
  <c r="T510" i="35" s="1"/>
  <c r="AJ509" i="35"/>
  <c r="T509" i="35" s="1"/>
  <c r="AJ508" i="35"/>
  <c r="T508" i="35" s="1"/>
  <c r="AJ507" i="35"/>
  <c r="T507" i="35" s="1"/>
  <c r="AK506" i="35"/>
  <c r="AL506" i="35" s="1"/>
  <c r="AJ506" i="35"/>
  <c r="T506" i="35" s="1"/>
  <c r="V506" i="35" s="1"/>
  <c r="AK505" i="35"/>
  <c r="AL505" i="35" s="1"/>
  <c r="AJ505" i="35"/>
  <c r="T505" i="35" s="1"/>
  <c r="V505" i="35" s="1"/>
  <c r="AH504" i="35"/>
  <c r="AG504" i="35"/>
  <c r="Q504" i="35"/>
  <c r="R510" i="35" s="1"/>
  <c r="AK503" i="35"/>
  <c r="AL503" i="35" s="1"/>
  <c r="AJ503" i="35"/>
  <c r="T503" i="35" s="1"/>
  <c r="V503" i="35" s="1"/>
  <c r="AK502" i="35"/>
  <c r="AL502" i="35" s="1"/>
  <c r="AJ502" i="35"/>
  <c r="T502" i="35" s="1"/>
  <c r="V502" i="35" s="1"/>
  <c r="AK501" i="35"/>
  <c r="AL501" i="35" s="1"/>
  <c r="AJ501" i="35"/>
  <c r="T501" i="35"/>
  <c r="V501" i="35" s="1"/>
  <c r="AK500" i="35"/>
  <c r="AL500" i="35" s="1"/>
  <c r="AJ500" i="35"/>
  <c r="T500" i="35" s="1"/>
  <c r="V500" i="35" s="1"/>
  <c r="AK499" i="35"/>
  <c r="AL499" i="35" s="1"/>
  <c r="AJ499" i="35"/>
  <c r="T499" i="35" s="1"/>
  <c r="V499" i="35" s="1"/>
  <c r="AK498" i="35"/>
  <c r="AL498" i="35" s="1"/>
  <c r="AJ498" i="35"/>
  <c r="T498" i="35" s="1"/>
  <c r="V498" i="35" s="1"/>
  <c r="AK497" i="35"/>
  <c r="AL497" i="35" s="1"/>
  <c r="AJ497" i="35"/>
  <c r="T497" i="35" s="1"/>
  <c r="V497" i="35" s="1"/>
  <c r="AK496" i="35"/>
  <c r="AL496" i="35" s="1"/>
  <c r="AJ496" i="35"/>
  <c r="T496" i="35" s="1"/>
  <c r="V496" i="35" s="1"/>
  <c r="AI495" i="35"/>
  <c r="AH495" i="35"/>
  <c r="AG495" i="35"/>
  <c r="Q495" i="35"/>
  <c r="R499" i="35" s="1"/>
  <c r="A495" i="35"/>
  <c r="A504" i="35" s="1"/>
  <c r="A511" i="35" s="1"/>
  <c r="A523" i="35" s="1"/>
  <c r="A530" i="35" s="1"/>
  <c r="A542" i="35" s="1"/>
  <c r="A553" i="35" s="1"/>
  <c r="A562" i="35" s="1"/>
  <c r="A572" i="35" s="1"/>
  <c r="A585" i="35" s="1"/>
  <c r="A594" i="35" s="1"/>
  <c r="A608" i="35" s="1"/>
  <c r="A618" i="35" s="1"/>
  <c r="A627" i="35" s="1"/>
  <c r="A637" i="35" s="1"/>
  <c r="AK494" i="35"/>
  <c r="AL494" i="35" s="1"/>
  <c r="AJ494" i="35"/>
  <c r="T494" i="35" s="1"/>
  <c r="V494" i="35" s="1"/>
  <c r="AK493" i="35"/>
  <c r="AL493" i="35" s="1"/>
  <c r="AJ493" i="35"/>
  <c r="T493" i="35" s="1"/>
  <c r="V493" i="35" s="1"/>
  <c r="AK492" i="35"/>
  <c r="AL492" i="35" s="1"/>
  <c r="AJ492" i="35"/>
  <c r="T492" i="35" s="1"/>
  <c r="V492" i="35" s="1"/>
  <c r="AK491" i="35"/>
  <c r="AL491" i="35" s="1"/>
  <c r="AJ491" i="35"/>
  <c r="T491" i="35" s="1"/>
  <c r="V491" i="35" s="1"/>
  <c r="AI490" i="35"/>
  <c r="Q490" i="35"/>
  <c r="R492" i="35" s="1"/>
  <c r="AK489" i="35"/>
  <c r="AL489" i="35" s="1"/>
  <c r="AJ489" i="35"/>
  <c r="T489" i="35" s="1"/>
  <c r="V489" i="35" s="1"/>
  <c r="AK488" i="35"/>
  <c r="AL488" i="35" s="1"/>
  <c r="AJ488" i="35"/>
  <c r="T488" i="35" s="1"/>
  <c r="V488" i="35" s="1"/>
  <c r="AI487" i="35"/>
  <c r="AJ487" i="35" s="1"/>
  <c r="T487" i="35" s="1"/>
  <c r="V487" i="35" s="1"/>
  <c r="AK486" i="35"/>
  <c r="AL486" i="35" s="1"/>
  <c r="AJ486" i="35"/>
  <c r="T486" i="35" s="1"/>
  <c r="AI485" i="35"/>
  <c r="AJ485" i="35" s="1"/>
  <c r="T485" i="35" s="1"/>
  <c r="AK484" i="35"/>
  <c r="AL484" i="35" s="1"/>
  <c r="AJ484" i="35"/>
  <c r="T484" i="35" s="1"/>
  <c r="AH483" i="35"/>
  <c r="AG483" i="35"/>
  <c r="AF483" i="35"/>
  <c r="AE483" i="35"/>
  <c r="AD483" i="35"/>
  <c r="AC483" i="35"/>
  <c r="AA483" i="35"/>
  <c r="Z483" i="35"/>
  <c r="Y483" i="35"/>
  <c r="X483" i="35"/>
  <c r="Q483" i="35"/>
  <c r="R489" i="35" s="1"/>
  <c r="U489" i="35" s="1"/>
  <c r="P483" i="35"/>
  <c r="AK482" i="35"/>
  <c r="AL482" i="35" s="1"/>
  <c r="AJ482" i="35"/>
  <c r="T482" i="35" s="1"/>
  <c r="V482" i="35" s="1"/>
  <c r="AK481" i="35"/>
  <c r="AL481" i="35" s="1"/>
  <c r="AJ481" i="35"/>
  <c r="T481" i="35" s="1"/>
  <c r="V481" i="35" s="1"/>
  <c r="AK480" i="35"/>
  <c r="AL480" i="35" s="1"/>
  <c r="AJ480" i="35"/>
  <c r="T480" i="35" s="1"/>
  <c r="V480" i="35" s="1"/>
  <c r="AK479" i="35"/>
  <c r="AL479" i="35" s="1"/>
  <c r="AJ479" i="35"/>
  <c r="T479" i="35" s="1"/>
  <c r="V479" i="35" s="1"/>
  <c r="AK478" i="35"/>
  <c r="AL478" i="35" s="1"/>
  <c r="AJ478" i="35"/>
  <c r="T478" i="35" s="1"/>
  <c r="V478" i="35" s="1"/>
  <c r="AK477" i="35"/>
  <c r="AL477" i="35" s="1"/>
  <c r="AJ477" i="35"/>
  <c r="T477" i="35" s="1"/>
  <c r="V477" i="35" s="1"/>
  <c r="AI476" i="35"/>
  <c r="AH476" i="35"/>
  <c r="AG476" i="35"/>
  <c r="AF476" i="35"/>
  <c r="AE476" i="35"/>
  <c r="AD476" i="35"/>
  <c r="AC476" i="35"/>
  <c r="AA476" i="35"/>
  <c r="Z476" i="35"/>
  <c r="Y476" i="35"/>
  <c r="X476" i="35"/>
  <c r="Q476" i="35"/>
  <c r="R482" i="35" s="1"/>
  <c r="P476" i="35"/>
  <c r="AK475" i="35"/>
  <c r="AL475" i="35" s="1"/>
  <c r="AJ475" i="35"/>
  <c r="T475" i="35" s="1"/>
  <c r="V475" i="35" s="1"/>
  <c r="AK474" i="35"/>
  <c r="AL474" i="35" s="1"/>
  <c r="AJ474" i="35"/>
  <c r="T474" i="35" s="1"/>
  <c r="V474" i="35" s="1"/>
  <c r="AK473" i="35"/>
  <c r="AL473" i="35" s="1"/>
  <c r="AJ473" i="35"/>
  <c r="T473" i="35" s="1"/>
  <c r="V473" i="35" s="1"/>
  <c r="AK472" i="35"/>
  <c r="AL472" i="35" s="1"/>
  <c r="AJ472" i="35"/>
  <c r="T472" i="35" s="1"/>
  <c r="V472" i="35" s="1"/>
  <c r="AK471" i="35"/>
  <c r="AL471" i="35" s="1"/>
  <c r="AJ471" i="35"/>
  <c r="T471" i="35" s="1"/>
  <c r="V471" i="35" s="1"/>
  <c r="AK470" i="35"/>
  <c r="AL470" i="35" s="1"/>
  <c r="AJ470" i="35"/>
  <c r="T470" i="35" s="1"/>
  <c r="V470" i="35" s="1"/>
  <c r="AK469" i="35"/>
  <c r="AL469" i="35" s="1"/>
  <c r="AJ469" i="35"/>
  <c r="T469" i="35" s="1"/>
  <c r="V469" i="35" s="1"/>
  <c r="AK468" i="35"/>
  <c r="AL468" i="35" s="1"/>
  <c r="AJ468" i="35"/>
  <c r="T468" i="35" s="1"/>
  <c r="V468" i="35" s="1"/>
  <c r="AK467" i="35"/>
  <c r="AL467" i="35" s="1"/>
  <c r="AJ467" i="35"/>
  <c r="T467" i="35" s="1"/>
  <c r="V467" i="35" s="1"/>
  <c r="AI466" i="35"/>
  <c r="AH466" i="35"/>
  <c r="AG466" i="35"/>
  <c r="AF466" i="35"/>
  <c r="AE466" i="35"/>
  <c r="AD466" i="35"/>
  <c r="AC466" i="35"/>
  <c r="AA466" i="35"/>
  <c r="Z466" i="35"/>
  <c r="Y466" i="35"/>
  <c r="X466" i="35"/>
  <c r="Q466" i="35"/>
  <c r="R470" i="35" s="1"/>
  <c r="P466" i="35"/>
  <c r="AK465" i="35"/>
  <c r="AL465" i="35" s="1"/>
  <c r="AJ465" i="35"/>
  <c r="T465" i="35" s="1"/>
  <c r="V465" i="35" s="1"/>
  <c r="AK464" i="35"/>
  <c r="AL464" i="35" s="1"/>
  <c r="AJ464" i="35"/>
  <c r="T464" i="35"/>
  <c r="V464" i="35" s="1"/>
  <c r="AK463" i="35"/>
  <c r="AL463" i="35" s="1"/>
  <c r="AJ463" i="35"/>
  <c r="T463" i="35" s="1"/>
  <c r="V463" i="35" s="1"/>
  <c r="AK462" i="35"/>
  <c r="AL462" i="35" s="1"/>
  <c r="AJ462" i="35"/>
  <c r="T462" i="35" s="1"/>
  <c r="V462" i="35" s="1"/>
  <c r="AK461" i="35"/>
  <c r="AL461" i="35" s="1"/>
  <c r="AJ461" i="35"/>
  <c r="T461" i="35" s="1"/>
  <c r="V461" i="35" s="1"/>
  <c r="AK460" i="35"/>
  <c r="AL460" i="35" s="1"/>
  <c r="AJ460" i="35"/>
  <c r="T460" i="35" s="1"/>
  <c r="AK459" i="35"/>
  <c r="AL459" i="35" s="1"/>
  <c r="AJ459" i="35"/>
  <c r="T459" i="35" s="1"/>
  <c r="V459" i="35" s="1"/>
  <c r="AK458" i="35"/>
  <c r="AL458" i="35" s="1"/>
  <c r="AJ458" i="35"/>
  <c r="T458" i="35" s="1"/>
  <c r="V458" i="35" s="1"/>
  <c r="AI457" i="35"/>
  <c r="AH457" i="35"/>
  <c r="AG457" i="35"/>
  <c r="AF457" i="35"/>
  <c r="AE457" i="35"/>
  <c r="AD457" i="35"/>
  <c r="AC457" i="35"/>
  <c r="AA457" i="35"/>
  <c r="Z457" i="35"/>
  <c r="Y457" i="35"/>
  <c r="X457" i="35"/>
  <c r="Q457" i="35"/>
  <c r="R462" i="35" s="1"/>
  <c r="P457" i="35"/>
  <c r="AK456" i="35"/>
  <c r="AL456" i="35" s="1"/>
  <c r="AJ456" i="35"/>
  <c r="T456" i="35" s="1"/>
  <c r="AK455" i="35"/>
  <c r="AL455" i="35" s="1"/>
  <c r="AJ455" i="35"/>
  <c r="T455" i="35" s="1"/>
  <c r="V455" i="35" s="1"/>
  <c r="AK454" i="35"/>
  <c r="AL454" i="35" s="1"/>
  <c r="AJ454" i="35"/>
  <c r="T454" i="35" s="1"/>
  <c r="V454" i="35" s="1"/>
  <c r="AK453" i="35"/>
  <c r="AL453" i="35" s="1"/>
  <c r="AJ453" i="35"/>
  <c r="T453" i="35" s="1"/>
  <c r="V453" i="35" s="1"/>
  <c r="AK452" i="35"/>
  <c r="AL452" i="35" s="1"/>
  <c r="AJ452" i="35"/>
  <c r="T452" i="35" s="1"/>
  <c r="V452" i="35" s="1"/>
  <c r="AK451" i="35"/>
  <c r="AL451" i="35" s="1"/>
  <c r="AJ451" i="35"/>
  <c r="T451" i="35" s="1"/>
  <c r="V451" i="35" s="1"/>
  <c r="AK450" i="35"/>
  <c r="AL450" i="35" s="1"/>
  <c r="AJ450" i="35"/>
  <c r="T450" i="35" s="1"/>
  <c r="V450" i="35" s="1"/>
  <c r="AK449" i="35"/>
  <c r="AL449" i="35" s="1"/>
  <c r="AJ449" i="35"/>
  <c r="T449" i="35" s="1"/>
  <c r="V449" i="35" s="1"/>
  <c r="AK448" i="35"/>
  <c r="AL448" i="35" s="1"/>
  <c r="AJ448" i="35"/>
  <c r="T448" i="35" s="1"/>
  <c r="V448" i="35" s="1"/>
  <c r="AI447" i="35"/>
  <c r="AH447" i="35"/>
  <c r="AG447" i="35"/>
  <c r="AF447" i="35"/>
  <c r="AE447" i="35"/>
  <c r="AD447" i="35"/>
  <c r="AC447" i="35"/>
  <c r="AA447" i="35"/>
  <c r="Z447" i="35"/>
  <c r="Y447" i="35"/>
  <c r="X447" i="35"/>
  <c r="Q447" i="35"/>
  <c r="R451" i="35" s="1"/>
  <c r="P447" i="35"/>
  <c r="AK446" i="35"/>
  <c r="AL446" i="35" s="1"/>
  <c r="AJ446" i="35"/>
  <c r="T446" i="35" s="1"/>
  <c r="V446" i="35" s="1"/>
  <c r="AK445" i="35"/>
  <c r="AL445" i="35" s="1"/>
  <c r="AJ445" i="35"/>
  <c r="T445" i="35" s="1"/>
  <c r="V445" i="35" s="1"/>
  <c r="AK444" i="35"/>
  <c r="AL444" i="35" s="1"/>
  <c r="AJ444" i="35"/>
  <c r="T444" i="35" s="1"/>
  <c r="V444" i="35" s="1"/>
  <c r="AK443" i="35"/>
  <c r="AL443" i="35" s="1"/>
  <c r="AJ443" i="35"/>
  <c r="T443" i="35" s="1"/>
  <c r="V443" i="35" s="1"/>
  <c r="AK442" i="35"/>
  <c r="AL442" i="35" s="1"/>
  <c r="AJ442" i="35"/>
  <c r="T442" i="35" s="1"/>
  <c r="V442" i="35" s="1"/>
  <c r="AK441" i="35"/>
  <c r="AL441" i="35" s="1"/>
  <c r="AJ441" i="35"/>
  <c r="T441" i="35" s="1"/>
  <c r="V441" i="35" s="1"/>
  <c r="AK440" i="35"/>
  <c r="AL440" i="35" s="1"/>
  <c r="AJ440" i="35"/>
  <c r="T440" i="35" s="1"/>
  <c r="V440" i="35" s="1"/>
  <c r="AK439" i="35"/>
  <c r="AL439" i="35" s="1"/>
  <c r="AJ439" i="35"/>
  <c r="T439" i="35" s="1"/>
  <c r="V439" i="35" s="1"/>
  <c r="AK438" i="35"/>
  <c r="AL438" i="35" s="1"/>
  <c r="AJ438" i="35"/>
  <c r="T438" i="35" s="1"/>
  <c r="V438" i="35" s="1"/>
  <c r="AK437" i="35"/>
  <c r="AL437" i="35" s="1"/>
  <c r="AJ437" i="35"/>
  <c r="T437" i="35" s="1"/>
  <c r="V437" i="35" s="1"/>
  <c r="AI436" i="35"/>
  <c r="AH436" i="35"/>
  <c r="AG436" i="35"/>
  <c r="AF436" i="35"/>
  <c r="AE436" i="35"/>
  <c r="AD436" i="35"/>
  <c r="AC436" i="35"/>
  <c r="AA436" i="35"/>
  <c r="Z436" i="35"/>
  <c r="Y436" i="35"/>
  <c r="X436" i="35"/>
  <c r="Q436" i="35"/>
  <c r="P436" i="35"/>
  <c r="AK435" i="35"/>
  <c r="AL435" i="35" s="1"/>
  <c r="AJ435" i="35"/>
  <c r="T435" i="35" s="1"/>
  <c r="AK434" i="35"/>
  <c r="AL434" i="35" s="1"/>
  <c r="AJ434" i="35"/>
  <c r="T434" i="35" s="1"/>
  <c r="V434" i="35" s="1"/>
  <c r="AK433" i="35"/>
  <c r="AL433" i="35" s="1"/>
  <c r="AJ433" i="35"/>
  <c r="T433" i="35" s="1"/>
  <c r="V433" i="35" s="1"/>
  <c r="AK432" i="35"/>
  <c r="AL432" i="35" s="1"/>
  <c r="AJ432" i="35"/>
  <c r="T432" i="35" s="1"/>
  <c r="V432" i="35" s="1"/>
  <c r="AK431" i="35"/>
  <c r="AL431" i="35" s="1"/>
  <c r="AJ431" i="35"/>
  <c r="T431" i="35" s="1"/>
  <c r="V431" i="35" s="1"/>
  <c r="AK430" i="35"/>
  <c r="AL430" i="35" s="1"/>
  <c r="AJ430" i="35"/>
  <c r="T430" i="35" s="1"/>
  <c r="V430" i="35" s="1"/>
  <c r="AK429" i="35"/>
  <c r="AL429" i="35" s="1"/>
  <c r="AJ429" i="35"/>
  <c r="T429" i="35" s="1"/>
  <c r="V429" i="35" s="1"/>
  <c r="AK428" i="35"/>
  <c r="AL428" i="35" s="1"/>
  <c r="AJ428" i="35"/>
  <c r="T428" i="35" s="1"/>
  <c r="V428" i="35" s="1"/>
  <c r="AK427" i="35"/>
  <c r="AL427" i="35" s="1"/>
  <c r="AJ427" i="35"/>
  <c r="T427" i="35" s="1"/>
  <c r="V427" i="35" s="1"/>
  <c r="AK426" i="35"/>
  <c r="AL426" i="35" s="1"/>
  <c r="AJ426" i="35"/>
  <c r="T426" i="35" s="1"/>
  <c r="V426" i="35" s="1"/>
  <c r="AI425" i="35"/>
  <c r="AH425" i="35"/>
  <c r="AG425" i="35"/>
  <c r="AF425" i="35"/>
  <c r="AE425" i="35"/>
  <c r="AD425" i="35"/>
  <c r="AC425" i="35"/>
  <c r="AA425" i="35"/>
  <c r="Z425" i="35"/>
  <c r="Y425" i="35"/>
  <c r="X425" i="35"/>
  <c r="Q425" i="35"/>
  <c r="P425" i="35"/>
  <c r="A425" i="35"/>
  <c r="A436" i="35" s="1"/>
  <c r="A447" i="35" s="1"/>
  <c r="A457" i="35" s="1"/>
  <c r="A466" i="35" s="1"/>
  <c r="AK424" i="35"/>
  <c r="AL424" i="35" s="1"/>
  <c r="AJ424" i="35"/>
  <c r="T424" i="35" s="1"/>
  <c r="V424" i="35" s="1"/>
  <c r="AI423" i="35"/>
  <c r="AK423" i="35" s="1"/>
  <c r="AL423" i="35" s="1"/>
  <c r="AH422" i="35"/>
  <c r="AG422" i="35"/>
  <c r="AF422" i="35"/>
  <c r="AE422" i="35"/>
  <c r="AD422" i="35"/>
  <c r="AC422" i="35"/>
  <c r="AA422" i="35"/>
  <c r="Z422" i="35"/>
  <c r="Y422" i="35"/>
  <c r="X422" i="35"/>
  <c r="Q422" i="35"/>
  <c r="P422" i="35"/>
  <c r="AK421" i="35"/>
  <c r="AL421" i="35" s="1"/>
  <c r="AJ421" i="35"/>
  <c r="T421" i="35" s="1"/>
  <c r="AK420" i="35"/>
  <c r="AL420" i="35" s="1"/>
  <c r="AJ420" i="35"/>
  <c r="T420" i="35" s="1"/>
  <c r="V420" i="35" s="1"/>
  <c r="AK419" i="35"/>
  <c r="AL419" i="35" s="1"/>
  <c r="AJ419" i="35"/>
  <c r="T419" i="35" s="1"/>
  <c r="V419" i="35" s="1"/>
  <c r="AK418" i="35"/>
  <c r="AL418" i="35" s="1"/>
  <c r="AJ418" i="35"/>
  <c r="T418" i="35" s="1"/>
  <c r="V418" i="35" s="1"/>
  <c r="AK417" i="35"/>
  <c r="AL417" i="35" s="1"/>
  <c r="AJ417" i="35"/>
  <c r="T417" i="35" s="1"/>
  <c r="V417" i="35" s="1"/>
  <c r="AK416" i="35"/>
  <c r="AL416" i="35" s="1"/>
  <c r="AJ416" i="35"/>
  <c r="T416" i="35"/>
  <c r="V416" i="35" s="1"/>
  <c r="AK415" i="35"/>
  <c r="AL415" i="35" s="1"/>
  <c r="AJ415" i="35"/>
  <c r="T415" i="35" s="1"/>
  <c r="V415" i="35" s="1"/>
  <c r="AJ414" i="35"/>
  <c r="T414" i="35" s="1"/>
  <c r="V414" i="35" s="1"/>
  <c r="AJ413" i="35"/>
  <c r="T413" i="35" s="1"/>
  <c r="V413" i="35" s="1"/>
  <c r="AJ412" i="35"/>
  <c r="T412" i="35" s="1"/>
  <c r="V412" i="35" s="1"/>
  <c r="AK411" i="35"/>
  <c r="AL411" i="35" s="1"/>
  <c r="AJ411" i="35"/>
  <c r="T411" i="35" s="1"/>
  <c r="V411" i="35" s="1"/>
  <c r="AK410" i="35"/>
  <c r="AL410" i="35" s="1"/>
  <c r="AJ410" i="35"/>
  <c r="T410" i="35" s="1"/>
  <c r="V410" i="35" s="1"/>
  <c r="AK409" i="35"/>
  <c r="AL409" i="35" s="1"/>
  <c r="AJ409" i="35"/>
  <c r="T409" i="35"/>
  <c r="V409" i="35" s="1"/>
  <c r="AH408" i="35"/>
  <c r="AG408" i="35"/>
  <c r="AF408" i="35"/>
  <c r="AE408" i="35"/>
  <c r="AD408" i="35"/>
  <c r="AC408" i="35"/>
  <c r="AA408" i="35"/>
  <c r="Z408" i="35"/>
  <c r="Y408" i="35"/>
  <c r="X408" i="35"/>
  <c r="Q408" i="35"/>
  <c r="R412" i="35" s="1"/>
  <c r="P408" i="35"/>
  <c r="AK407" i="35"/>
  <c r="AL407" i="35" s="1"/>
  <c r="AJ407" i="35"/>
  <c r="T407" i="35" s="1"/>
  <c r="V407" i="35" s="1"/>
  <c r="AK406" i="35"/>
  <c r="AL406" i="35" s="1"/>
  <c r="AJ406" i="35"/>
  <c r="T406" i="35" s="1"/>
  <c r="V406" i="35" s="1"/>
  <c r="AK405" i="35"/>
  <c r="AL405" i="35" s="1"/>
  <c r="AJ405" i="35"/>
  <c r="T405" i="35" s="1"/>
  <c r="V405" i="35" s="1"/>
  <c r="AK404" i="35"/>
  <c r="AL404" i="35" s="1"/>
  <c r="AJ404" i="35"/>
  <c r="T404" i="35" s="1"/>
  <c r="V404" i="35" s="1"/>
  <c r="AK403" i="35"/>
  <c r="AL403" i="35" s="1"/>
  <c r="AJ403" i="35"/>
  <c r="T403" i="35" s="1"/>
  <c r="V403" i="35" s="1"/>
  <c r="AK402" i="35"/>
  <c r="AL402" i="35" s="1"/>
  <c r="AJ402" i="35"/>
  <c r="T402" i="35" s="1"/>
  <c r="AK401" i="35"/>
  <c r="AL401" i="35" s="1"/>
  <c r="AJ401" i="35"/>
  <c r="T401" i="35" s="1"/>
  <c r="V401" i="35" s="1"/>
  <c r="AI400" i="35"/>
  <c r="AH400" i="35"/>
  <c r="AG400" i="35"/>
  <c r="AF400" i="35"/>
  <c r="AE400" i="35"/>
  <c r="AD400" i="35"/>
  <c r="AC400" i="35"/>
  <c r="AA400" i="35"/>
  <c r="Z400" i="35"/>
  <c r="Y400" i="35"/>
  <c r="X400" i="35"/>
  <c r="Q400" i="35"/>
  <c r="R402" i="35" s="1"/>
  <c r="P400" i="35"/>
  <c r="AK399" i="35"/>
  <c r="AL399" i="35" s="1"/>
  <c r="AJ399" i="35"/>
  <c r="T399" i="35" s="1"/>
  <c r="AK398" i="35"/>
  <c r="AL398" i="35" s="1"/>
  <c r="AJ398" i="35"/>
  <c r="T398" i="35" s="1"/>
  <c r="V398" i="35" s="1"/>
  <c r="AI397" i="35"/>
  <c r="AK396" i="35"/>
  <c r="AL396" i="35" s="1"/>
  <c r="AJ396" i="35"/>
  <c r="T396" i="35"/>
  <c r="V396" i="35" s="1"/>
  <c r="AK395" i="35"/>
  <c r="AL395" i="35" s="1"/>
  <c r="AJ395" i="35"/>
  <c r="T395" i="35" s="1"/>
  <c r="V395" i="35" s="1"/>
  <c r="AK394" i="35"/>
  <c r="AL394" i="35" s="1"/>
  <c r="AJ394" i="35"/>
  <c r="T394" i="35" s="1"/>
  <c r="V394" i="35" s="1"/>
  <c r="AK393" i="35"/>
  <c r="AL393" i="35" s="1"/>
  <c r="AJ393" i="35"/>
  <c r="T393" i="35" s="1"/>
  <c r="V393" i="35" s="1"/>
  <c r="AK392" i="35"/>
  <c r="AL392" i="35" s="1"/>
  <c r="AJ392" i="35"/>
  <c r="T392" i="35" s="1"/>
  <c r="V392" i="35" s="1"/>
  <c r="AK391" i="35"/>
  <c r="AL391" i="35" s="1"/>
  <c r="AJ391" i="35"/>
  <c r="T391" i="35" s="1"/>
  <c r="V391" i="35" s="1"/>
  <c r="AK390" i="35"/>
  <c r="AL390" i="35" s="1"/>
  <c r="AJ390" i="35"/>
  <c r="T390" i="35" s="1"/>
  <c r="V390" i="35" s="1"/>
  <c r="AK389" i="35"/>
  <c r="AL389" i="35" s="1"/>
  <c r="AJ389" i="35"/>
  <c r="T389" i="35" s="1"/>
  <c r="V389" i="35" s="1"/>
  <c r="AK388" i="35"/>
  <c r="AL388" i="35" s="1"/>
  <c r="AJ388" i="35"/>
  <c r="T388" i="35" s="1"/>
  <c r="V388" i="35" s="1"/>
  <c r="AH387" i="35"/>
  <c r="AG387" i="35"/>
  <c r="AF387" i="35"/>
  <c r="AE387" i="35"/>
  <c r="AD387" i="35"/>
  <c r="AC387" i="35"/>
  <c r="AA387" i="35"/>
  <c r="Z387" i="35"/>
  <c r="Y387" i="35"/>
  <c r="X387" i="35"/>
  <c r="Q387" i="35"/>
  <c r="R396" i="35" s="1"/>
  <c r="P387" i="35"/>
  <c r="AK386" i="35"/>
  <c r="AL386" i="35" s="1"/>
  <c r="AJ386" i="35"/>
  <c r="T386" i="35" s="1"/>
  <c r="V386" i="35" s="1"/>
  <c r="AK385" i="35"/>
  <c r="AL385" i="35" s="1"/>
  <c r="AJ385" i="35"/>
  <c r="T385" i="35" s="1"/>
  <c r="V385" i="35" s="1"/>
  <c r="AK384" i="35"/>
  <c r="AL384" i="35" s="1"/>
  <c r="AJ384" i="35"/>
  <c r="T384" i="35" s="1"/>
  <c r="V384" i="35" s="1"/>
  <c r="AK383" i="35"/>
  <c r="AL383" i="35" s="1"/>
  <c r="AJ383" i="35"/>
  <c r="T383" i="35" s="1"/>
  <c r="V383" i="35" s="1"/>
  <c r="AK382" i="35"/>
  <c r="AL382" i="35" s="1"/>
  <c r="AJ382" i="35"/>
  <c r="T382" i="35" s="1"/>
  <c r="V382" i="35" s="1"/>
  <c r="AK381" i="35"/>
  <c r="AL381" i="35" s="1"/>
  <c r="AJ381" i="35"/>
  <c r="T381" i="35" s="1"/>
  <c r="V381" i="35" s="1"/>
  <c r="AK380" i="35"/>
  <c r="AL380" i="35" s="1"/>
  <c r="AJ380" i="35"/>
  <c r="T380" i="35" s="1"/>
  <c r="V380" i="35" s="1"/>
  <c r="AK379" i="35"/>
  <c r="AL379" i="35" s="1"/>
  <c r="AJ379" i="35"/>
  <c r="T379" i="35" s="1"/>
  <c r="V379" i="35" s="1"/>
  <c r="AK378" i="35"/>
  <c r="AL378" i="35" s="1"/>
  <c r="AJ378" i="35"/>
  <c r="T378" i="35" s="1"/>
  <c r="V378" i="35" s="1"/>
  <c r="AI377" i="35"/>
  <c r="AH377" i="35"/>
  <c r="AG377" i="35"/>
  <c r="AF377" i="35"/>
  <c r="AE377" i="35"/>
  <c r="AD377" i="35"/>
  <c r="AC377" i="35"/>
  <c r="AA377" i="35"/>
  <c r="Z377" i="35"/>
  <c r="Y377" i="35"/>
  <c r="X377" i="35"/>
  <c r="Q377" i="35"/>
  <c r="R381" i="35" s="1"/>
  <c r="P377" i="35"/>
  <c r="AK375" i="35"/>
  <c r="AL375" i="35" s="1"/>
  <c r="AJ375" i="35"/>
  <c r="T375" i="35" s="1"/>
  <c r="V375" i="35" s="1"/>
  <c r="AK374" i="35"/>
  <c r="AL374" i="35" s="1"/>
  <c r="AJ374" i="35"/>
  <c r="T374" i="35" s="1"/>
  <c r="V374" i="35" s="1"/>
  <c r="AJ372" i="35"/>
  <c r="T372" i="35" s="1"/>
  <c r="V372" i="35" s="1"/>
  <c r="AK372" i="35"/>
  <c r="AL372" i="35" s="1"/>
  <c r="AK371" i="35"/>
  <c r="AL371" i="35" s="1"/>
  <c r="AJ371" i="35"/>
  <c r="T371" i="35" s="1"/>
  <c r="V371" i="35" s="1"/>
  <c r="AK370" i="35"/>
  <c r="AL370" i="35" s="1"/>
  <c r="AJ370" i="35"/>
  <c r="T370" i="35" s="1"/>
  <c r="V370" i="35" s="1"/>
  <c r="AK369" i="35"/>
  <c r="AL369" i="35" s="1"/>
  <c r="AJ369" i="35"/>
  <c r="T369" i="35" s="1"/>
  <c r="V369" i="35" s="1"/>
  <c r="AK368" i="35"/>
  <c r="AL368" i="35" s="1"/>
  <c r="AJ368" i="35"/>
  <c r="T368" i="35" s="1"/>
  <c r="V368" i="35" s="1"/>
  <c r="AJ367" i="35"/>
  <c r="T367" i="35" s="1"/>
  <c r="V367" i="35" s="1"/>
  <c r="AK367" i="35"/>
  <c r="AL367" i="35" s="1"/>
  <c r="AK366" i="35"/>
  <c r="AL366" i="35" s="1"/>
  <c r="AJ366" i="35"/>
  <c r="T366" i="35" s="1"/>
  <c r="V366" i="35" s="1"/>
  <c r="AK365" i="35"/>
  <c r="AL365" i="35" s="1"/>
  <c r="AJ365" i="35"/>
  <c r="T365" i="35" s="1"/>
  <c r="V365" i="35" s="1"/>
  <c r="AH364" i="35"/>
  <c r="AG364" i="35"/>
  <c r="AF364" i="35"/>
  <c r="AE364" i="35"/>
  <c r="AD364" i="35"/>
  <c r="AC364" i="35"/>
  <c r="AA364" i="35"/>
  <c r="Z364" i="35"/>
  <c r="Y364" i="35"/>
  <c r="X364" i="35"/>
  <c r="Q364" i="35"/>
  <c r="R375" i="35" s="1"/>
  <c r="P364" i="35"/>
  <c r="A364" i="35"/>
  <c r="A377" i="35" s="1"/>
  <c r="A387" i="35" s="1"/>
  <c r="A400" i="35" s="1"/>
  <c r="A408" i="35" s="1"/>
  <c r="AK362" i="35"/>
  <c r="AL362" i="35" s="1"/>
  <c r="AJ362" i="35"/>
  <c r="T362" i="35" s="1"/>
  <c r="V362" i="35" s="1"/>
  <c r="AK361" i="35"/>
  <c r="AL361" i="35" s="1"/>
  <c r="AJ361" i="35"/>
  <c r="T361" i="35" s="1"/>
  <c r="V361" i="35" s="1"/>
  <c r="AK360" i="35"/>
  <c r="AL360" i="35" s="1"/>
  <c r="AJ360" i="35"/>
  <c r="T360" i="35" s="1"/>
  <c r="V360" i="35" s="1"/>
  <c r="AK359" i="35"/>
  <c r="AL359" i="35" s="1"/>
  <c r="AJ359" i="35"/>
  <c r="T359" i="35" s="1"/>
  <c r="V359" i="35" s="1"/>
  <c r="AI358" i="35"/>
  <c r="AK357" i="35"/>
  <c r="AL357" i="35" s="1"/>
  <c r="AJ357" i="35"/>
  <c r="T357" i="35" s="1"/>
  <c r="V357" i="35" s="1"/>
  <c r="AH356" i="35"/>
  <c r="AG356" i="35"/>
  <c r="AF356" i="35"/>
  <c r="AE356" i="35"/>
  <c r="AD356" i="35"/>
  <c r="AC356" i="35"/>
  <c r="AA356" i="35"/>
  <c r="Z356" i="35"/>
  <c r="Y356" i="35"/>
  <c r="X356" i="35"/>
  <c r="Q356" i="35"/>
  <c r="R357" i="35" s="1"/>
  <c r="U357" i="35" s="1"/>
  <c r="P356" i="35"/>
  <c r="AK355" i="35"/>
  <c r="AL355" i="35" s="1"/>
  <c r="AJ355" i="35"/>
  <c r="T355" i="35" s="1"/>
  <c r="V355" i="35" s="1"/>
  <c r="AK354" i="35"/>
  <c r="AL354" i="35" s="1"/>
  <c r="AJ354" i="35"/>
  <c r="T354" i="35" s="1"/>
  <c r="V354" i="35" s="1"/>
  <c r="AK353" i="35"/>
  <c r="AL353" i="35" s="1"/>
  <c r="AJ353" i="35"/>
  <c r="T353" i="35" s="1"/>
  <c r="V353" i="35" s="1"/>
  <c r="AK352" i="35"/>
  <c r="AL352" i="35" s="1"/>
  <c r="AJ352" i="35"/>
  <c r="T352" i="35" s="1"/>
  <c r="V352" i="35" s="1"/>
  <c r="AK351" i="35"/>
  <c r="AL351" i="35" s="1"/>
  <c r="AJ351" i="35"/>
  <c r="T351" i="35" s="1"/>
  <c r="V351" i="35" s="1"/>
  <c r="AI350" i="35"/>
  <c r="AH350" i="35"/>
  <c r="AG350" i="35"/>
  <c r="AF350" i="35"/>
  <c r="AE350" i="35"/>
  <c r="AD350" i="35"/>
  <c r="AC350" i="35"/>
  <c r="AA350" i="35"/>
  <c r="Z350" i="35"/>
  <c r="Y350" i="35"/>
  <c r="X350" i="35"/>
  <c r="Q350" i="35"/>
  <c r="R352" i="35" s="1"/>
  <c r="P350" i="35"/>
  <c r="AK349" i="35"/>
  <c r="AL349" i="35" s="1"/>
  <c r="AJ349" i="35"/>
  <c r="T349" i="35" s="1"/>
  <c r="AK348" i="35"/>
  <c r="AL348" i="35" s="1"/>
  <c r="AJ348" i="35"/>
  <c r="T348" i="35" s="1"/>
  <c r="V348" i="35" s="1"/>
  <c r="AI347" i="35"/>
  <c r="AJ347" i="35" s="1"/>
  <c r="T347" i="35" s="1"/>
  <c r="V347" i="35" s="1"/>
  <c r="AI346" i="35"/>
  <c r="AJ346" i="35" s="1"/>
  <c r="T346" i="35" s="1"/>
  <c r="V346" i="35" s="1"/>
  <c r="AK345" i="35"/>
  <c r="AL345" i="35" s="1"/>
  <c r="AJ345" i="35"/>
  <c r="T345" i="35" s="1"/>
  <c r="V345" i="35" s="1"/>
  <c r="AK344" i="35"/>
  <c r="AL344" i="35" s="1"/>
  <c r="AJ344" i="35"/>
  <c r="T344" i="35" s="1"/>
  <c r="V344" i="35" s="1"/>
  <c r="AK343" i="35"/>
  <c r="AL343" i="35" s="1"/>
  <c r="AJ343" i="35"/>
  <c r="T343" i="35" s="1"/>
  <c r="V343" i="35" s="1"/>
  <c r="AK342" i="35"/>
  <c r="AL342" i="35" s="1"/>
  <c r="AJ342" i="35"/>
  <c r="T342" i="35" s="1"/>
  <c r="V342" i="35" s="1"/>
  <c r="AI341" i="35"/>
  <c r="AK340" i="35"/>
  <c r="AL340" i="35" s="1"/>
  <c r="AJ340" i="35"/>
  <c r="T340" i="35" s="1"/>
  <c r="V340" i="35" s="1"/>
  <c r="AH339" i="35"/>
  <c r="AG339" i="35"/>
  <c r="AF339" i="35"/>
  <c r="AE339" i="35"/>
  <c r="AD339" i="35"/>
  <c r="AC339" i="35"/>
  <c r="AA339" i="35"/>
  <c r="Z339" i="35"/>
  <c r="Y339" i="35"/>
  <c r="X339" i="35"/>
  <c r="Q339" i="35"/>
  <c r="R344" i="35" s="1"/>
  <c r="P339" i="35"/>
  <c r="AK338" i="35"/>
  <c r="AL338" i="35" s="1"/>
  <c r="AJ338" i="35"/>
  <c r="T338" i="35" s="1"/>
  <c r="V338" i="35" s="1"/>
  <c r="AK337" i="35"/>
  <c r="AL337" i="35" s="1"/>
  <c r="AJ337" i="35"/>
  <c r="T337" i="35" s="1"/>
  <c r="V337" i="35" s="1"/>
  <c r="AK336" i="35"/>
  <c r="AL336" i="35" s="1"/>
  <c r="AJ336" i="35"/>
  <c r="T336" i="35" s="1"/>
  <c r="V336" i="35" s="1"/>
  <c r="AK335" i="35"/>
  <c r="AL335" i="35" s="1"/>
  <c r="AJ335" i="35"/>
  <c r="T335" i="35" s="1"/>
  <c r="V335" i="35" s="1"/>
  <c r="AK334" i="35"/>
  <c r="AL334" i="35" s="1"/>
  <c r="AJ334" i="35"/>
  <c r="T334" i="35" s="1"/>
  <c r="V334" i="35" s="1"/>
  <c r="AK333" i="35"/>
  <c r="AL333" i="35" s="1"/>
  <c r="AJ333" i="35"/>
  <c r="T333" i="35" s="1"/>
  <c r="V333" i="35" s="1"/>
  <c r="AI332" i="35"/>
  <c r="AH332" i="35"/>
  <c r="AG332" i="35"/>
  <c r="AF332" i="35"/>
  <c r="AE332" i="35"/>
  <c r="AD332" i="35"/>
  <c r="AC332" i="35"/>
  <c r="AA332" i="35"/>
  <c r="Z332" i="35"/>
  <c r="Y332" i="35"/>
  <c r="X332" i="35"/>
  <c r="Q332" i="35"/>
  <c r="R337" i="35" s="1"/>
  <c r="U337" i="35" s="1"/>
  <c r="AK331" i="35"/>
  <c r="AL331" i="35" s="1"/>
  <c r="AJ331" i="35"/>
  <c r="T331" i="35" s="1"/>
  <c r="V331" i="35" s="1"/>
  <c r="AK330" i="35"/>
  <c r="AL330" i="35" s="1"/>
  <c r="AJ330" i="35"/>
  <c r="T330" i="35" s="1"/>
  <c r="V330" i="35" s="1"/>
  <c r="AK329" i="35"/>
  <c r="AL329" i="35" s="1"/>
  <c r="AJ329" i="35"/>
  <c r="T329" i="35" s="1"/>
  <c r="V329" i="35" s="1"/>
  <c r="AK328" i="35"/>
  <c r="AL328" i="35" s="1"/>
  <c r="AJ328" i="35"/>
  <c r="T328" i="35" s="1"/>
  <c r="V328" i="35" s="1"/>
  <c r="AK327" i="35"/>
  <c r="AL327" i="35" s="1"/>
  <c r="AJ327" i="35"/>
  <c r="T327" i="35" s="1"/>
  <c r="V327" i="35" s="1"/>
  <c r="AK326" i="35"/>
  <c r="AL326" i="35" s="1"/>
  <c r="AJ326" i="35"/>
  <c r="T326" i="35" s="1"/>
  <c r="V326" i="35" s="1"/>
  <c r="AI325" i="35"/>
  <c r="AH325" i="35"/>
  <c r="AG325" i="35"/>
  <c r="AF325" i="35"/>
  <c r="AE325" i="35"/>
  <c r="AD325" i="35"/>
  <c r="AC325" i="35"/>
  <c r="AA325" i="35"/>
  <c r="Z325" i="35"/>
  <c r="Y325" i="35"/>
  <c r="X325" i="35"/>
  <c r="Q325" i="35"/>
  <c r="R331" i="35" s="1"/>
  <c r="P325" i="35"/>
  <c r="AK324" i="35"/>
  <c r="AL324" i="35" s="1"/>
  <c r="AJ324" i="35"/>
  <c r="T324" i="35" s="1"/>
  <c r="V324" i="35" s="1"/>
  <c r="AK323" i="35"/>
  <c r="AL323" i="35" s="1"/>
  <c r="AJ323" i="35"/>
  <c r="T323" i="35" s="1"/>
  <c r="V323" i="35" s="1"/>
  <c r="AK322" i="35"/>
  <c r="AL322" i="35" s="1"/>
  <c r="AJ322" i="35"/>
  <c r="T322" i="35" s="1"/>
  <c r="V322" i="35" s="1"/>
  <c r="AK321" i="35"/>
  <c r="AL321" i="35" s="1"/>
  <c r="AJ321" i="35"/>
  <c r="T321" i="35" s="1"/>
  <c r="V321" i="35" s="1"/>
  <c r="AK320" i="35"/>
  <c r="AL320" i="35" s="1"/>
  <c r="AJ320" i="35"/>
  <c r="T320" i="35" s="1"/>
  <c r="V320" i="35" s="1"/>
  <c r="AK319" i="35"/>
  <c r="AL319" i="35" s="1"/>
  <c r="AJ319" i="35"/>
  <c r="T319" i="35" s="1"/>
  <c r="V319" i="35" s="1"/>
  <c r="AK318" i="35"/>
  <c r="AL318" i="35" s="1"/>
  <c r="AJ318" i="35"/>
  <c r="T318" i="35" s="1"/>
  <c r="V318" i="35" s="1"/>
  <c r="AI317" i="35"/>
  <c r="AH317" i="35"/>
  <c r="AG317" i="35"/>
  <c r="AF317" i="35"/>
  <c r="AE317" i="35"/>
  <c r="AD317" i="35"/>
  <c r="AC317" i="35"/>
  <c r="AA317" i="35"/>
  <c r="Z317" i="35"/>
  <c r="Y317" i="35"/>
  <c r="X317" i="35"/>
  <c r="Q317" i="35"/>
  <c r="AK317" i="35" s="1"/>
  <c r="AL317" i="35" s="1"/>
  <c r="P317" i="35"/>
  <c r="AK316" i="35"/>
  <c r="AL316" i="35" s="1"/>
  <c r="AJ316" i="35"/>
  <c r="T316" i="35" s="1"/>
  <c r="V316" i="35" s="1"/>
  <c r="AK315" i="35"/>
  <c r="AL315" i="35" s="1"/>
  <c r="AJ315" i="35"/>
  <c r="T315" i="35" s="1"/>
  <c r="V315" i="35" s="1"/>
  <c r="AK314" i="35"/>
  <c r="AL314" i="35" s="1"/>
  <c r="AJ314" i="35"/>
  <c r="T314" i="35" s="1"/>
  <c r="V314" i="35" s="1"/>
  <c r="AK313" i="35"/>
  <c r="AL313" i="35" s="1"/>
  <c r="AJ313" i="35"/>
  <c r="T313" i="35" s="1"/>
  <c r="V313" i="35" s="1"/>
  <c r="AK312" i="35"/>
  <c r="AL312" i="35" s="1"/>
  <c r="AJ312" i="35"/>
  <c r="T312" i="35" s="1"/>
  <c r="V312" i="35" s="1"/>
  <c r="AK311" i="35"/>
  <c r="AL311" i="35" s="1"/>
  <c r="AJ311" i="35"/>
  <c r="T311" i="35" s="1"/>
  <c r="V311" i="35" s="1"/>
  <c r="AK310" i="35"/>
  <c r="AL310" i="35" s="1"/>
  <c r="AJ310" i="35"/>
  <c r="T310" i="35" s="1"/>
  <c r="V310" i="35" s="1"/>
  <c r="AI309" i="35"/>
  <c r="AH309" i="35"/>
  <c r="AG309" i="35"/>
  <c r="AF309" i="35"/>
  <c r="AE309" i="35"/>
  <c r="AD309" i="35"/>
  <c r="AC309" i="35"/>
  <c r="AA309" i="35"/>
  <c r="Z309" i="35"/>
  <c r="Y309" i="35"/>
  <c r="X309" i="35"/>
  <c r="Q309" i="35"/>
  <c r="R312" i="35" s="1"/>
  <c r="P309" i="35"/>
  <c r="AK308" i="35"/>
  <c r="AL308" i="35" s="1"/>
  <c r="AJ308" i="35"/>
  <c r="T308" i="35" s="1"/>
  <c r="V308" i="35" s="1"/>
  <c r="AK307" i="35"/>
  <c r="AL307" i="35" s="1"/>
  <c r="AJ307" i="35"/>
  <c r="T307" i="35" s="1"/>
  <c r="V307" i="35" s="1"/>
  <c r="AK306" i="35"/>
  <c r="AL306" i="35" s="1"/>
  <c r="AJ306" i="35"/>
  <c r="T306" i="35" s="1"/>
  <c r="V306" i="35" s="1"/>
  <c r="AK305" i="35"/>
  <c r="AL305" i="35" s="1"/>
  <c r="AJ305" i="35"/>
  <c r="T305" i="35" s="1"/>
  <c r="V305" i="35" s="1"/>
  <c r="AK304" i="35"/>
  <c r="AL304" i="35" s="1"/>
  <c r="AJ304" i="35"/>
  <c r="T304" i="35" s="1"/>
  <c r="V304" i="35" s="1"/>
  <c r="AK303" i="35"/>
  <c r="AL303" i="35" s="1"/>
  <c r="AJ303" i="35"/>
  <c r="T303" i="35" s="1"/>
  <c r="V303" i="35" s="1"/>
  <c r="AK302" i="35"/>
  <c r="AL302" i="35" s="1"/>
  <c r="AJ302" i="35"/>
  <c r="T302" i="35" s="1"/>
  <c r="V302" i="35" s="1"/>
  <c r="AK301" i="35"/>
  <c r="AL301" i="35" s="1"/>
  <c r="AJ301" i="35"/>
  <c r="T301" i="35" s="1"/>
  <c r="V301" i="35" s="1"/>
  <c r="AK300" i="35"/>
  <c r="AL300" i="35" s="1"/>
  <c r="AJ300" i="35"/>
  <c r="T300" i="35" s="1"/>
  <c r="V300" i="35" s="1"/>
  <c r="AK299" i="35"/>
  <c r="AL299" i="35" s="1"/>
  <c r="AJ299" i="35"/>
  <c r="T299" i="35" s="1"/>
  <c r="V299" i="35" s="1"/>
  <c r="AK298" i="35"/>
  <c r="AL298" i="35" s="1"/>
  <c r="AJ298" i="35"/>
  <c r="T298" i="35" s="1"/>
  <c r="V298" i="35" s="1"/>
  <c r="AI297" i="35"/>
  <c r="AH297" i="35"/>
  <c r="AG297" i="35"/>
  <c r="AF297" i="35"/>
  <c r="AE297" i="35"/>
  <c r="AD297" i="35"/>
  <c r="AC297" i="35"/>
  <c r="AA297" i="35"/>
  <c r="Z297" i="35"/>
  <c r="Y297" i="35"/>
  <c r="X297" i="35"/>
  <c r="Q297" i="35"/>
  <c r="R301" i="35" s="1"/>
  <c r="P297" i="35"/>
  <c r="AK296" i="35"/>
  <c r="AL296" i="35" s="1"/>
  <c r="AJ296" i="35"/>
  <c r="T296" i="35"/>
  <c r="V296" i="35" s="1"/>
  <c r="AK295" i="35"/>
  <c r="AL295" i="35" s="1"/>
  <c r="AJ295" i="35"/>
  <c r="T295" i="35" s="1"/>
  <c r="V295" i="35" s="1"/>
  <c r="AK294" i="35"/>
  <c r="AL294" i="35" s="1"/>
  <c r="AJ294" i="35"/>
  <c r="T294" i="35" s="1"/>
  <c r="R294" i="35"/>
  <c r="AK293" i="35"/>
  <c r="AL293" i="35" s="1"/>
  <c r="AJ293" i="35"/>
  <c r="T293" i="35" s="1"/>
  <c r="V293" i="35" s="1"/>
  <c r="AK292" i="35"/>
  <c r="AL292" i="35" s="1"/>
  <c r="AJ292" i="35"/>
  <c r="T292" i="35" s="1"/>
  <c r="V292" i="35" s="1"/>
  <c r="AK291" i="35"/>
  <c r="AL291" i="35" s="1"/>
  <c r="AJ291" i="35"/>
  <c r="T291" i="35" s="1"/>
  <c r="V291" i="35" s="1"/>
  <c r="AK290" i="35"/>
  <c r="AL290" i="35" s="1"/>
  <c r="AJ290" i="35"/>
  <c r="T290" i="35" s="1"/>
  <c r="V290" i="35" s="1"/>
  <c r="AK289" i="35"/>
  <c r="AL289" i="35" s="1"/>
  <c r="AJ289" i="35"/>
  <c r="T289" i="35" s="1"/>
  <c r="AK288" i="35"/>
  <c r="AL288" i="35" s="1"/>
  <c r="AJ288" i="35"/>
  <c r="T288" i="35" s="1"/>
  <c r="V288" i="35" s="1"/>
  <c r="AI287" i="35"/>
  <c r="AH287" i="35"/>
  <c r="AF287" i="35"/>
  <c r="AE287" i="35"/>
  <c r="AD287" i="35"/>
  <c r="AC287" i="35"/>
  <c r="AA287" i="35"/>
  <c r="Z287" i="35"/>
  <c r="Y287" i="35"/>
  <c r="X287" i="35"/>
  <c r="Q287" i="35"/>
  <c r="P287" i="35"/>
  <c r="AK286" i="35"/>
  <c r="AL286" i="35" s="1"/>
  <c r="AJ286" i="35"/>
  <c r="T286" i="35"/>
  <c r="V286" i="35" s="1"/>
  <c r="AK285" i="35"/>
  <c r="AL285" i="35" s="1"/>
  <c r="AJ285" i="35"/>
  <c r="T285" i="35" s="1"/>
  <c r="V285" i="35" s="1"/>
  <c r="AK284" i="35"/>
  <c r="AL284" i="35" s="1"/>
  <c r="AJ284" i="35"/>
  <c r="T284" i="35" s="1"/>
  <c r="AK283" i="35"/>
  <c r="AL283" i="35" s="1"/>
  <c r="AJ283" i="35"/>
  <c r="T283" i="35" s="1"/>
  <c r="V283" i="35" s="1"/>
  <c r="AK282" i="35"/>
  <c r="AL282" i="35" s="1"/>
  <c r="AJ282" i="35"/>
  <c r="T282" i="35" s="1"/>
  <c r="AK281" i="35"/>
  <c r="AL281" i="35" s="1"/>
  <c r="AJ281" i="35"/>
  <c r="T281" i="35" s="1"/>
  <c r="V281" i="35" s="1"/>
  <c r="AK280" i="35"/>
  <c r="AL280" i="35" s="1"/>
  <c r="AJ280" i="35"/>
  <c r="T280" i="35" s="1"/>
  <c r="V280" i="35" s="1"/>
  <c r="AK279" i="35"/>
  <c r="AL279" i="35" s="1"/>
  <c r="AJ279" i="35"/>
  <c r="T279" i="35" s="1"/>
  <c r="V279" i="35" s="1"/>
  <c r="AK278" i="35"/>
  <c r="AL278" i="35" s="1"/>
  <c r="AJ278" i="35"/>
  <c r="T278" i="35" s="1"/>
  <c r="V278" i="35" s="1"/>
  <c r="AK277" i="35"/>
  <c r="AL277" i="35" s="1"/>
  <c r="AJ277" i="35"/>
  <c r="T277" i="35" s="1"/>
  <c r="V277" i="35" s="1"/>
  <c r="AK276" i="35"/>
  <c r="AL276" i="35" s="1"/>
  <c r="AJ276" i="35"/>
  <c r="T276" i="35" s="1"/>
  <c r="AI275" i="35"/>
  <c r="AH275" i="35"/>
  <c r="AG275" i="35"/>
  <c r="AF275" i="35"/>
  <c r="AE275" i="35"/>
  <c r="AD275" i="35"/>
  <c r="AC275" i="35"/>
  <c r="AA275" i="35"/>
  <c r="Z275" i="35"/>
  <c r="Y275" i="35"/>
  <c r="X275" i="35"/>
  <c r="Q275" i="35"/>
  <c r="R283" i="35" s="1"/>
  <c r="P275" i="35"/>
  <c r="AK274" i="35"/>
  <c r="AL274" i="35" s="1"/>
  <c r="AJ274" i="35"/>
  <c r="T274" i="35" s="1"/>
  <c r="V274" i="35" s="1"/>
  <c r="AK273" i="35"/>
  <c r="AL273" i="35" s="1"/>
  <c r="AJ273" i="35"/>
  <c r="T273" i="35" s="1"/>
  <c r="V273" i="35" s="1"/>
  <c r="AK272" i="35"/>
  <c r="AL272" i="35" s="1"/>
  <c r="AJ272" i="35"/>
  <c r="T272" i="35" s="1"/>
  <c r="V272" i="35" s="1"/>
  <c r="AK271" i="35"/>
  <c r="AL271" i="35" s="1"/>
  <c r="AJ271" i="35"/>
  <c r="T271" i="35" s="1"/>
  <c r="V271" i="35" s="1"/>
  <c r="AK270" i="35"/>
  <c r="AL270" i="35" s="1"/>
  <c r="AJ270" i="35"/>
  <c r="T270" i="35" s="1"/>
  <c r="V270" i="35" s="1"/>
  <c r="AK269" i="35"/>
  <c r="AL269" i="35" s="1"/>
  <c r="AJ269" i="35"/>
  <c r="T269" i="35" s="1"/>
  <c r="V269" i="35" s="1"/>
  <c r="AK268" i="35"/>
  <c r="AL268" i="35" s="1"/>
  <c r="AJ268" i="35"/>
  <c r="T268" i="35" s="1"/>
  <c r="V268" i="35" s="1"/>
  <c r="AK267" i="35"/>
  <c r="AL267" i="35" s="1"/>
  <c r="AJ267" i="35"/>
  <c r="T267" i="35" s="1"/>
  <c r="V267" i="35" s="1"/>
  <c r="AK266" i="35"/>
  <c r="AL266" i="35" s="1"/>
  <c r="AJ266" i="35"/>
  <c r="T266" i="35" s="1"/>
  <c r="V266" i="35" s="1"/>
  <c r="AK265" i="35"/>
  <c r="AL265" i="35" s="1"/>
  <c r="AJ265" i="35"/>
  <c r="T265" i="35" s="1"/>
  <c r="V265" i="35" s="1"/>
  <c r="AI264" i="35"/>
  <c r="AH264" i="35"/>
  <c r="AG264" i="35"/>
  <c r="AF264" i="35"/>
  <c r="AE264" i="35"/>
  <c r="AD264" i="35"/>
  <c r="AC264" i="35"/>
  <c r="AA264" i="35"/>
  <c r="Z264" i="35"/>
  <c r="Y264" i="35"/>
  <c r="X264" i="35"/>
  <c r="Q264" i="35"/>
  <c r="R272" i="35" s="1"/>
  <c r="AK263" i="35"/>
  <c r="AL263" i="35" s="1"/>
  <c r="AJ263" i="35"/>
  <c r="T263" i="35" s="1"/>
  <c r="V263" i="35" s="1"/>
  <c r="AK262" i="35"/>
  <c r="AL262" i="35" s="1"/>
  <c r="AJ262" i="35"/>
  <c r="T262" i="35" s="1"/>
  <c r="V262" i="35" s="1"/>
  <c r="AK261" i="35"/>
  <c r="AL261" i="35" s="1"/>
  <c r="AJ261" i="35"/>
  <c r="T261" i="35" s="1"/>
  <c r="V261" i="35" s="1"/>
  <c r="AK260" i="35"/>
  <c r="AL260" i="35" s="1"/>
  <c r="AJ260" i="35"/>
  <c r="T260" i="35" s="1"/>
  <c r="V260" i="35" s="1"/>
  <c r="AK259" i="35"/>
  <c r="AL259" i="35" s="1"/>
  <c r="AJ259" i="35"/>
  <c r="T259" i="35" s="1"/>
  <c r="V259" i="35" s="1"/>
  <c r="AK258" i="35"/>
  <c r="AL258" i="35" s="1"/>
  <c r="AJ258" i="35"/>
  <c r="T258" i="35" s="1"/>
  <c r="V258" i="35" s="1"/>
  <c r="AK257" i="35"/>
  <c r="AL257" i="35" s="1"/>
  <c r="AJ257" i="35"/>
  <c r="T257" i="35" s="1"/>
  <c r="V257" i="35" s="1"/>
  <c r="AK256" i="35"/>
  <c r="AL256" i="35" s="1"/>
  <c r="AJ256" i="35"/>
  <c r="T256" i="35" s="1"/>
  <c r="V256" i="35" s="1"/>
  <c r="AK255" i="35"/>
  <c r="AL255" i="35" s="1"/>
  <c r="AJ255" i="35"/>
  <c r="T255" i="35" s="1"/>
  <c r="V255" i="35" s="1"/>
  <c r="AK254" i="35"/>
  <c r="AL254" i="35" s="1"/>
  <c r="AJ254" i="35"/>
  <c r="T254" i="35" s="1"/>
  <c r="V254" i="35" s="1"/>
  <c r="AL253" i="35"/>
  <c r="AK253" i="35"/>
  <c r="AJ253" i="35"/>
  <c r="T253" i="35" s="1"/>
  <c r="V253" i="35" s="1"/>
  <c r="AK252" i="35"/>
  <c r="AL252" i="35" s="1"/>
  <c r="AJ252" i="35"/>
  <c r="T252" i="35" s="1"/>
  <c r="V252" i="35" s="1"/>
  <c r="AK251" i="35"/>
  <c r="AL251" i="35" s="1"/>
  <c r="AJ251" i="35"/>
  <c r="T251" i="35" s="1"/>
  <c r="V251" i="35" s="1"/>
  <c r="AK250" i="35"/>
  <c r="AL250" i="35" s="1"/>
  <c r="AJ250" i="35"/>
  <c r="T250" i="35" s="1"/>
  <c r="V250" i="35" s="1"/>
  <c r="AI249" i="35"/>
  <c r="AH249" i="35"/>
  <c r="AG249" i="35"/>
  <c r="AG248" i="35" s="1"/>
  <c r="AF249" i="35"/>
  <c r="AF248" i="35" s="1"/>
  <c r="AE249" i="35"/>
  <c r="AE248" i="35" s="1"/>
  <c r="AD249" i="35"/>
  <c r="AD248" i="35" s="1"/>
  <c r="AC249" i="35"/>
  <c r="AC248" i="35" s="1"/>
  <c r="AA249" i="35"/>
  <c r="AA248" i="35" s="1"/>
  <c r="Z249" i="35"/>
  <c r="Z248" i="35" s="1"/>
  <c r="Y249" i="35"/>
  <c r="Y248" i="35" s="1"/>
  <c r="X249" i="35"/>
  <c r="X248" i="35" s="1"/>
  <c r="Q249" i="35"/>
  <c r="R259" i="35" s="1"/>
  <c r="P249" i="35"/>
  <c r="AB248" i="35"/>
  <c r="W248" i="35"/>
  <c r="S248" i="35"/>
  <c r="O248" i="35"/>
  <c r="AJ247" i="35"/>
  <c r="T247" i="35" s="1"/>
  <c r="V247" i="35" s="1"/>
  <c r="AK247" i="35"/>
  <c r="AL247" i="35" s="1"/>
  <c r="AK246" i="35"/>
  <c r="AL246" i="35" s="1"/>
  <c r="AJ246" i="35"/>
  <c r="T246" i="35" s="1"/>
  <c r="V246" i="35" s="1"/>
  <c r="AK245" i="35"/>
  <c r="AL245" i="35" s="1"/>
  <c r="AJ245" i="35"/>
  <c r="T245" i="35" s="1"/>
  <c r="V245" i="35" s="1"/>
  <c r="AK244" i="35"/>
  <c r="AL244" i="35" s="1"/>
  <c r="AJ244" i="35"/>
  <c r="T244" i="35" s="1"/>
  <c r="V244" i="35" s="1"/>
  <c r="AK243" i="35"/>
  <c r="AL243" i="35" s="1"/>
  <c r="AJ243" i="35"/>
  <c r="T243" i="35" s="1"/>
  <c r="V243" i="35" s="1"/>
  <c r="AK242" i="35"/>
  <c r="AL242" i="35" s="1"/>
  <c r="AJ242" i="35"/>
  <c r="T242" i="35" s="1"/>
  <c r="V242" i="35" s="1"/>
  <c r="AI241" i="35"/>
  <c r="AH241" i="35"/>
  <c r="AG241" i="35"/>
  <c r="AF241" i="35"/>
  <c r="AE241" i="35"/>
  <c r="AD241" i="35"/>
  <c r="AC241" i="35"/>
  <c r="AA241" i="35"/>
  <c r="Z241" i="35"/>
  <c r="Y241" i="35"/>
  <c r="X241" i="35"/>
  <c r="Q241" i="35"/>
  <c r="P241" i="35"/>
  <c r="AK240" i="35"/>
  <c r="AL240" i="35" s="1"/>
  <c r="AJ240" i="35"/>
  <c r="T240" i="35" s="1"/>
  <c r="V240" i="35" s="1"/>
  <c r="AK239" i="35"/>
  <c r="AL239" i="35" s="1"/>
  <c r="AJ239" i="35"/>
  <c r="T239" i="35" s="1"/>
  <c r="V239" i="35" s="1"/>
  <c r="AK238" i="35"/>
  <c r="AL238" i="35" s="1"/>
  <c r="AJ238" i="35"/>
  <c r="T238" i="35" s="1"/>
  <c r="V238" i="35" s="1"/>
  <c r="AK237" i="35"/>
  <c r="AL237" i="35" s="1"/>
  <c r="AJ237" i="35"/>
  <c r="T237" i="35" s="1"/>
  <c r="V237" i="35" s="1"/>
  <c r="AK236" i="35"/>
  <c r="AL236" i="35" s="1"/>
  <c r="AJ236" i="35"/>
  <c r="T236" i="35" s="1"/>
  <c r="V236" i="35" s="1"/>
  <c r="AK235" i="35"/>
  <c r="AL235" i="35" s="1"/>
  <c r="AJ235" i="35"/>
  <c r="T235" i="35" s="1"/>
  <c r="AK234" i="35"/>
  <c r="AL234" i="35" s="1"/>
  <c r="AJ234" i="35"/>
  <c r="T234" i="35" s="1"/>
  <c r="V234" i="35" s="1"/>
  <c r="AK233" i="35"/>
  <c r="AL233" i="35" s="1"/>
  <c r="AJ233" i="35"/>
  <c r="T233" i="35" s="1"/>
  <c r="V233" i="35" s="1"/>
  <c r="AK232" i="35"/>
  <c r="AL232" i="35" s="1"/>
  <c r="AJ232" i="35"/>
  <c r="T232" i="35" s="1"/>
  <c r="V232" i="35" s="1"/>
  <c r="AK231" i="35"/>
  <c r="AL231" i="35" s="1"/>
  <c r="AJ231" i="35"/>
  <c r="T231" i="35" s="1"/>
  <c r="V231" i="35" s="1"/>
  <c r="AI230" i="35"/>
  <c r="AH230" i="35"/>
  <c r="AG230" i="35"/>
  <c r="AF230" i="35"/>
  <c r="AE230" i="35"/>
  <c r="AD230" i="35"/>
  <c r="AC230" i="35"/>
  <c r="AA230" i="35"/>
  <c r="Z230" i="35"/>
  <c r="Y230" i="35"/>
  <c r="X230" i="35"/>
  <c r="Q230" i="35"/>
  <c r="R234" i="35" s="1"/>
  <c r="P230" i="35"/>
  <c r="A230" i="35"/>
  <c r="A241" i="35" s="1"/>
  <c r="A249" i="35" s="1"/>
  <c r="A264" i="35" s="1"/>
  <c r="A275" i="35" s="1"/>
  <c r="A287" i="35" s="1"/>
  <c r="A297" i="35" s="1"/>
  <c r="A309" i="35" s="1"/>
  <c r="A317" i="35" s="1"/>
  <c r="A325" i="35" s="1"/>
  <c r="A332" i="35" s="1"/>
  <c r="A339" i="35" s="1"/>
  <c r="A350" i="35" s="1"/>
  <c r="AK229" i="35"/>
  <c r="AL229" i="35" s="1"/>
  <c r="AJ229" i="35"/>
  <c r="T229" i="35" s="1"/>
  <c r="V229" i="35" s="1"/>
  <c r="AK228" i="35"/>
  <c r="AL228" i="35" s="1"/>
  <c r="AJ228" i="35"/>
  <c r="T228" i="35" s="1"/>
  <c r="V228" i="35" s="1"/>
  <c r="AK227" i="35"/>
  <c r="AL227" i="35" s="1"/>
  <c r="AJ227" i="35"/>
  <c r="T227" i="35" s="1"/>
  <c r="V227" i="35" s="1"/>
  <c r="AK226" i="35"/>
  <c r="AL226" i="35" s="1"/>
  <c r="AJ226" i="35"/>
  <c r="T226" i="35" s="1"/>
  <c r="V226" i="35" s="1"/>
  <c r="AK225" i="35"/>
  <c r="AL225" i="35" s="1"/>
  <c r="AJ225" i="35"/>
  <c r="T225" i="35" s="1"/>
  <c r="V225" i="35" s="1"/>
  <c r="AK224" i="35"/>
  <c r="AL224" i="35" s="1"/>
  <c r="AJ224" i="35"/>
  <c r="T224" i="35" s="1"/>
  <c r="V224" i="35" s="1"/>
  <c r="AK223" i="35"/>
  <c r="AL223" i="35" s="1"/>
  <c r="AJ223" i="35"/>
  <c r="T223" i="35" s="1"/>
  <c r="V223" i="35" s="1"/>
  <c r="AI222" i="35"/>
  <c r="AH222" i="35"/>
  <c r="AG222" i="35"/>
  <c r="AF222" i="35"/>
  <c r="AE222" i="35"/>
  <c r="AD222" i="35"/>
  <c r="AC222" i="35"/>
  <c r="AA222" i="35"/>
  <c r="Z222" i="35"/>
  <c r="Y222" i="35"/>
  <c r="X222" i="35"/>
  <c r="Q222" i="35"/>
  <c r="R223" i="35" s="1"/>
  <c r="U223" i="35" s="1"/>
  <c r="P222" i="35"/>
  <c r="AI221" i="35"/>
  <c r="AK221" i="35" s="1"/>
  <c r="AL221" i="35" s="1"/>
  <c r="AJ220" i="35"/>
  <c r="T220" i="35" s="1"/>
  <c r="AK220" i="35"/>
  <c r="AL220" i="35" s="1"/>
  <c r="AH220" i="35"/>
  <c r="AG220" i="35"/>
  <c r="AF220" i="35"/>
  <c r="AE220" i="35"/>
  <c r="AD220" i="35"/>
  <c r="AC220" i="35"/>
  <c r="AA220" i="35"/>
  <c r="Z220" i="35"/>
  <c r="Y220" i="35"/>
  <c r="X220" i="35"/>
  <c r="AI219" i="35"/>
  <c r="AK219" i="35" s="1"/>
  <c r="AL219" i="35" s="1"/>
  <c r="AH219" i="35"/>
  <c r="AG219" i="35"/>
  <c r="AF219" i="35"/>
  <c r="AE219" i="35"/>
  <c r="AD219" i="35"/>
  <c r="AC219" i="35"/>
  <c r="AA219" i="35"/>
  <c r="Z219" i="35"/>
  <c r="Y219" i="35"/>
  <c r="X219" i="35"/>
  <c r="AK218" i="35"/>
  <c r="AL218" i="35" s="1"/>
  <c r="AJ218" i="35"/>
  <c r="T218" i="35" s="1"/>
  <c r="V218" i="35" s="1"/>
  <c r="AH218" i="35"/>
  <c r="AG218" i="35"/>
  <c r="AF218" i="35"/>
  <c r="AE218" i="35"/>
  <c r="AD218" i="35"/>
  <c r="AC218" i="35"/>
  <c r="AA218" i="35"/>
  <c r="Z218" i="35"/>
  <c r="Y218" i="35"/>
  <c r="X218" i="35"/>
  <c r="AK217" i="35"/>
  <c r="AL217" i="35" s="1"/>
  <c r="AJ217" i="35"/>
  <c r="T217" i="35" s="1"/>
  <c r="V217" i="35" s="1"/>
  <c r="AH217" i="35"/>
  <c r="AG217" i="35"/>
  <c r="AF217" i="35"/>
  <c r="AE217" i="35"/>
  <c r="AD217" i="35"/>
  <c r="AC217" i="35"/>
  <c r="AA217" i="35"/>
  <c r="Z217" i="35"/>
  <c r="Y217" i="35"/>
  <c r="X217" i="35"/>
  <c r="AH216" i="35"/>
  <c r="AG216" i="35"/>
  <c r="AF216" i="35"/>
  <c r="AE216" i="35"/>
  <c r="AD216" i="35"/>
  <c r="AC216" i="35"/>
  <c r="AA216" i="35"/>
  <c r="Z216" i="35"/>
  <c r="Y216" i="35"/>
  <c r="X216" i="35"/>
  <c r="Q216" i="35"/>
  <c r="R218" i="35" s="1"/>
  <c r="P216" i="35"/>
  <c r="AK215" i="35"/>
  <c r="AL215" i="35" s="1"/>
  <c r="AJ215" i="35"/>
  <c r="T215" i="35" s="1"/>
  <c r="V215" i="35" s="1"/>
  <c r="AH215" i="35"/>
  <c r="AG215" i="35"/>
  <c r="AF215" i="35"/>
  <c r="AE215" i="35"/>
  <c r="AD215" i="35"/>
  <c r="AC215" i="35"/>
  <c r="AA215" i="35"/>
  <c r="Z215" i="35"/>
  <c r="Y215" i="35"/>
  <c r="X215" i="35"/>
  <c r="AK214" i="35"/>
  <c r="AL214" i="35" s="1"/>
  <c r="AJ214" i="35"/>
  <c r="T214" i="35" s="1"/>
  <c r="V214" i="35" s="1"/>
  <c r="AH214" i="35"/>
  <c r="AG214" i="35"/>
  <c r="AF214" i="35"/>
  <c r="AE214" i="35"/>
  <c r="AD214" i="35"/>
  <c r="AC214" i="35"/>
  <c r="AA214" i="35"/>
  <c r="Z214" i="35"/>
  <c r="Y214" i="35"/>
  <c r="X214" i="35"/>
  <c r="AK213" i="35"/>
  <c r="AL213" i="35" s="1"/>
  <c r="AJ213" i="35"/>
  <c r="T213" i="35" s="1"/>
  <c r="V213" i="35" s="1"/>
  <c r="AH213" i="35"/>
  <c r="AG213" i="35"/>
  <c r="AF213" i="35"/>
  <c r="AE213" i="35"/>
  <c r="AD213" i="35"/>
  <c r="AC213" i="35"/>
  <c r="AA213" i="35"/>
  <c r="Z213" i="35"/>
  <c r="Y213" i="35"/>
  <c r="X213" i="35"/>
  <c r="AK212" i="35"/>
  <c r="AL212" i="35" s="1"/>
  <c r="AJ212" i="35"/>
  <c r="T212" i="35" s="1"/>
  <c r="V212" i="35" s="1"/>
  <c r="AH212" i="35"/>
  <c r="AG212" i="35"/>
  <c r="AF212" i="35"/>
  <c r="AE212" i="35"/>
  <c r="AD212" i="35"/>
  <c r="AC212" i="35"/>
  <c r="AA212" i="35"/>
  <c r="Z212" i="35"/>
  <c r="Y212" i="35"/>
  <c r="X212" i="35"/>
  <c r="AK211" i="35"/>
  <c r="AL211" i="35" s="1"/>
  <c r="AJ211" i="35"/>
  <c r="T211" i="35" s="1"/>
  <c r="V211" i="35" s="1"/>
  <c r="AH211" i="35"/>
  <c r="AG211" i="35"/>
  <c r="AF211" i="35"/>
  <c r="AE211" i="35"/>
  <c r="AD211" i="35"/>
  <c r="AC211" i="35"/>
  <c r="AA211" i="35"/>
  <c r="Z211" i="35"/>
  <c r="Y211" i="35"/>
  <c r="X211" i="35"/>
  <c r="AK210" i="35"/>
  <c r="AL210" i="35" s="1"/>
  <c r="AJ210" i="35"/>
  <c r="T210" i="35" s="1"/>
  <c r="V210" i="35" s="1"/>
  <c r="AH210" i="35"/>
  <c r="AG210" i="35"/>
  <c r="AF210" i="35"/>
  <c r="AE210" i="35"/>
  <c r="AD210" i="35"/>
  <c r="AC210" i="35"/>
  <c r="AA210" i="35"/>
  <c r="Z210" i="35"/>
  <c r="Y210" i="35"/>
  <c r="X210" i="35"/>
  <c r="AI209" i="35"/>
  <c r="AH209" i="35"/>
  <c r="AG209" i="35"/>
  <c r="AF209" i="35"/>
  <c r="AE209" i="35"/>
  <c r="AD209" i="35"/>
  <c r="AC209" i="35"/>
  <c r="AA209" i="35"/>
  <c r="Z209" i="35"/>
  <c r="Y209" i="35"/>
  <c r="X209" i="35"/>
  <c r="Q209" i="35"/>
  <c r="R215" i="35" s="1"/>
  <c r="P209" i="35"/>
  <c r="A209" i="35"/>
  <c r="A216" i="35" s="1"/>
  <c r="AK208" i="35"/>
  <c r="AL208" i="35" s="1"/>
  <c r="AJ208" i="35"/>
  <c r="T208" i="35" s="1"/>
  <c r="V208" i="35" s="1"/>
  <c r="AK207" i="35"/>
  <c r="AL207" i="35" s="1"/>
  <c r="AJ207" i="35"/>
  <c r="T207" i="35" s="1"/>
  <c r="V207" i="35" s="1"/>
  <c r="AK206" i="35"/>
  <c r="AL206" i="35" s="1"/>
  <c r="AJ206" i="35"/>
  <c r="T206" i="35" s="1"/>
  <c r="V206" i="35" s="1"/>
  <c r="AK205" i="35"/>
  <c r="AL205" i="35" s="1"/>
  <c r="AJ205" i="35"/>
  <c r="T205" i="35" s="1"/>
  <c r="V205" i="35" s="1"/>
  <c r="AK204" i="35"/>
  <c r="AL204" i="35" s="1"/>
  <c r="AJ204" i="35"/>
  <c r="T204" i="35" s="1"/>
  <c r="V204" i="35" s="1"/>
  <c r="AI203" i="35"/>
  <c r="AJ203" i="35" s="1"/>
  <c r="T203" i="35" s="1"/>
  <c r="V203" i="35" s="1"/>
  <c r="AK202" i="35"/>
  <c r="AL202" i="35" s="1"/>
  <c r="AJ202" i="35"/>
  <c r="T202" i="35" s="1"/>
  <c r="V202" i="35" s="1"/>
  <c r="AH201" i="35"/>
  <c r="AG201" i="35"/>
  <c r="AF201" i="35"/>
  <c r="AE201" i="35"/>
  <c r="AD201" i="35"/>
  <c r="AC201" i="35"/>
  <c r="AA201" i="35"/>
  <c r="Z201" i="35"/>
  <c r="Y201" i="35"/>
  <c r="X201" i="35"/>
  <c r="Q201" i="35"/>
  <c r="R207" i="35" s="1"/>
  <c r="P201" i="35"/>
  <c r="AK200" i="35"/>
  <c r="AL200" i="35" s="1"/>
  <c r="AJ200" i="35"/>
  <c r="T200" i="35" s="1"/>
  <c r="V200" i="35" s="1"/>
  <c r="AK199" i="35"/>
  <c r="AL199" i="35" s="1"/>
  <c r="AJ199" i="35"/>
  <c r="T199" i="35" s="1"/>
  <c r="V199" i="35" s="1"/>
  <c r="AK198" i="35"/>
  <c r="AL198" i="35" s="1"/>
  <c r="AJ198" i="35"/>
  <c r="T198" i="35" s="1"/>
  <c r="V198" i="35" s="1"/>
  <c r="AK197" i="35"/>
  <c r="AL197" i="35" s="1"/>
  <c r="AJ197" i="35"/>
  <c r="T197" i="35" s="1"/>
  <c r="V197" i="35" s="1"/>
  <c r="AK196" i="35"/>
  <c r="AL196" i="35" s="1"/>
  <c r="AJ196" i="35"/>
  <c r="T196" i="35" s="1"/>
  <c r="V196" i="35" s="1"/>
  <c r="AK195" i="35"/>
  <c r="AL195" i="35" s="1"/>
  <c r="AJ195" i="35"/>
  <c r="T195" i="35" s="1"/>
  <c r="V195" i="35" s="1"/>
  <c r="AK194" i="35"/>
  <c r="AL194" i="35" s="1"/>
  <c r="AJ194" i="35"/>
  <c r="T194" i="35" s="1"/>
  <c r="V194" i="35" s="1"/>
  <c r="AI193" i="35"/>
  <c r="AH193" i="35"/>
  <c r="AG193" i="35"/>
  <c r="AF193" i="35"/>
  <c r="AE193" i="35"/>
  <c r="AD193" i="35"/>
  <c r="AC193" i="35"/>
  <c r="AA193" i="35"/>
  <c r="Z193" i="35"/>
  <c r="Y193" i="35"/>
  <c r="X193" i="35"/>
  <c r="Q193" i="35"/>
  <c r="R200" i="35" s="1"/>
  <c r="P193" i="35"/>
  <c r="AJ192" i="35"/>
  <c r="T191" i="35" s="1"/>
  <c r="V191" i="35" s="1"/>
  <c r="AK192" i="35"/>
  <c r="AL192" i="35" s="1"/>
  <c r="AK191" i="35"/>
  <c r="AL191" i="35" s="1"/>
  <c r="AJ191" i="35"/>
  <c r="AK190" i="35"/>
  <c r="AL190" i="35" s="1"/>
  <c r="AJ190" i="35"/>
  <c r="T190" i="35" s="1"/>
  <c r="V190" i="35" s="1"/>
  <c r="AK189" i="35"/>
  <c r="AL189" i="35" s="1"/>
  <c r="AJ189" i="35"/>
  <c r="T189" i="35" s="1"/>
  <c r="V189" i="35" s="1"/>
  <c r="AK188" i="35"/>
  <c r="AL188" i="35" s="1"/>
  <c r="AJ188" i="35"/>
  <c r="T188" i="35" s="1"/>
  <c r="V188" i="35" s="1"/>
  <c r="AK187" i="35"/>
  <c r="AL187" i="35" s="1"/>
  <c r="AJ187" i="35"/>
  <c r="T187" i="35" s="1"/>
  <c r="V187" i="35" s="1"/>
  <c r="AK186" i="35"/>
  <c r="AL186" i="35" s="1"/>
  <c r="AJ186" i="35"/>
  <c r="T186" i="35" s="1"/>
  <c r="V186" i="35" s="1"/>
  <c r="AK185" i="35"/>
  <c r="AL185" i="35" s="1"/>
  <c r="AJ185" i="35"/>
  <c r="T185" i="35" s="1"/>
  <c r="V185" i="35" s="1"/>
  <c r="AK184" i="35"/>
  <c r="AJ184" i="35"/>
  <c r="T184" i="35" s="1"/>
  <c r="V184" i="35" s="1"/>
  <c r="AK183" i="35"/>
  <c r="AL183" i="35" s="1"/>
  <c r="AJ183" i="35"/>
  <c r="T183" i="35" s="1"/>
  <c r="V183" i="35" s="1"/>
  <c r="AR182" i="35"/>
  <c r="AK182" i="35"/>
  <c r="AL182" i="35" s="1"/>
  <c r="AJ182" i="35"/>
  <c r="T182" i="35"/>
  <c r="V182" i="35" s="1"/>
  <c r="AH181" i="35"/>
  <c r="AG181" i="35"/>
  <c r="AG180" i="35" s="1"/>
  <c r="AF181" i="35"/>
  <c r="AF180" i="35" s="1"/>
  <c r="AE181" i="35"/>
  <c r="AE180" i="35" s="1"/>
  <c r="AD181" i="35"/>
  <c r="AD180" i="35" s="1"/>
  <c r="AC181" i="35"/>
  <c r="AA181" i="35"/>
  <c r="AA180" i="35" s="1"/>
  <c r="Z181" i="35"/>
  <c r="Z180" i="35" s="1"/>
  <c r="Y181" i="35"/>
  <c r="Y180" i="35" s="1"/>
  <c r="X181" i="35"/>
  <c r="X180" i="35" s="1"/>
  <c r="Q181" i="35"/>
  <c r="R186" i="35" s="1"/>
  <c r="P181" i="35"/>
  <c r="AC180" i="35"/>
  <c r="AB180" i="35"/>
  <c r="W180" i="35"/>
  <c r="S180" i="35"/>
  <c r="Q180" i="35"/>
  <c r="R209" i="35" s="1"/>
  <c r="O180" i="35"/>
  <c r="AK179" i="35"/>
  <c r="AL179" i="35" s="1"/>
  <c r="AJ179" i="35"/>
  <c r="T179" i="35" s="1"/>
  <c r="V179" i="35" s="1"/>
  <c r="AK178" i="35"/>
  <c r="AL178" i="35" s="1"/>
  <c r="AJ178" i="35"/>
  <c r="T178" i="35" s="1"/>
  <c r="V178" i="35" s="1"/>
  <c r="AK177" i="35"/>
  <c r="AL177" i="35" s="1"/>
  <c r="AJ177" i="35"/>
  <c r="T177" i="35" s="1"/>
  <c r="V177" i="35" s="1"/>
  <c r="AK176" i="35"/>
  <c r="AL176" i="35" s="1"/>
  <c r="AJ176" i="35"/>
  <c r="T176" i="35" s="1"/>
  <c r="V176" i="35" s="1"/>
  <c r="AK175" i="35"/>
  <c r="AL175" i="35" s="1"/>
  <c r="AJ175" i="35"/>
  <c r="T175" i="35" s="1"/>
  <c r="V175" i="35" s="1"/>
  <c r="AK174" i="35"/>
  <c r="AL174" i="35" s="1"/>
  <c r="AJ174" i="35"/>
  <c r="T174" i="35" s="1"/>
  <c r="V174" i="35" s="1"/>
  <c r="AK173" i="35"/>
  <c r="AL173" i="35" s="1"/>
  <c r="AJ173" i="35"/>
  <c r="T173" i="35" s="1"/>
  <c r="V173" i="35" s="1"/>
  <c r="AK172" i="35"/>
  <c r="AL172" i="35" s="1"/>
  <c r="AJ172" i="35"/>
  <c r="T172" i="35" s="1"/>
  <c r="V172" i="35" s="1"/>
  <c r="AI171" i="35"/>
  <c r="AH171" i="35"/>
  <c r="AG171" i="35"/>
  <c r="AF171" i="35"/>
  <c r="AE171" i="35"/>
  <c r="AD171" i="35"/>
  <c r="AC171" i="35"/>
  <c r="AA171" i="35"/>
  <c r="Z171" i="35"/>
  <c r="Y171" i="35"/>
  <c r="X171" i="35"/>
  <c r="Q171" i="35"/>
  <c r="R179" i="35" s="1"/>
  <c r="U179" i="35" s="1"/>
  <c r="P171" i="35"/>
  <c r="AL170" i="35"/>
  <c r="AK170" i="35"/>
  <c r="AJ170" i="35"/>
  <c r="T170" i="35" s="1"/>
  <c r="V170" i="35" s="1"/>
  <c r="AI169" i="35"/>
  <c r="AI168" i="35" s="1"/>
  <c r="AH169" i="35"/>
  <c r="AH168" i="35" s="1"/>
  <c r="AG169" i="35"/>
  <c r="AF169" i="35"/>
  <c r="AF168" i="35" s="1"/>
  <c r="AE169" i="35"/>
  <c r="AE168" i="35" s="1"/>
  <c r="AD169" i="35"/>
  <c r="AD168" i="35" s="1"/>
  <c r="AC169" i="35"/>
  <c r="AA169" i="35"/>
  <c r="AA168" i="35" s="1"/>
  <c r="Z169" i="35"/>
  <c r="Z168" i="35" s="1"/>
  <c r="Y169" i="35"/>
  <c r="Y168" i="35" s="1"/>
  <c r="X169" i="35"/>
  <c r="X168" i="35" s="1"/>
  <c r="Q169" i="35"/>
  <c r="P169" i="35"/>
  <c r="AG168" i="35"/>
  <c r="AC168" i="35"/>
  <c r="AB168" i="35"/>
  <c r="W168" i="35"/>
  <c r="P168" i="35"/>
  <c r="O168" i="35"/>
  <c r="AK167" i="35"/>
  <c r="AL167" i="35" s="1"/>
  <c r="AJ167" i="35"/>
  <c r="T167" i="35" s="1"/>
  <c r="V167" i="35" s="1"/>
  <c r="AK166" i="35"/>
  <c r="AL166" i="35" s="1"/>
  <c r="AJ166" i="35"/>
  <c r="T166" i="35" s="1"/>
  <c r="V166" i="35" s="1"/>
  <c r="AI165" i="35"/>
  <c r="AH165" i="35"/>
  <c r="AH161" i="35" s="1"/>
  <c r="AG165" i="35"/>
  <c r="AG161" i="35" s="1"/>
  <c r="AF165" i="35"/>
  <c r="AF161" i="35" s="1"/>
  <c r="AE165" i="35"/>
  <c r="AE161" i="35" s="1"/>
  <c r="AD165" i="35"/>
  <c r="AD161" i="35" s="1"/>
  <c r="AC165" i="35"/>
  <c r="AC161" i="35" s="1"/>
  <c r="AA165" i="35"/>
  <c r="AA161" i="35" s="1"/>
  <c r="Z165" i="35"/>
  <c r="Z161" i="35" s="1"/>
  <c r="Y165" i="35"/>
  <c r="Y161" i="35" s="1"/>
  <c r="X165" i="35"/>
  <c r="X161" i="35" s="1"/>
  <c r="Q165" i="35"/>
  <c r="R167" i="35" s="1"/>
  <c r="P165" i="35"/>
  <c r="P161" i="35" s="1"/>
  <c r="AK164" i="35"/>
  <c r="AL164" i="35" s="1"/>
  <c r="AJ164" i="35"/>
  <c r="T164" i="35" s="1"/>
  <c r="V164" i="35" s="1"/>
  <c r="AK163" i="35"/>
  <c r="AL163" i="35" s="1"/>
  <c r="AJ163" i="35"/>
  <c r="T163" i="35" s="1"/>
  <c r="V163" i="35" s="1"/>
  <c r="AI162" i="35"/>
  <c r="AH162" i="35"/>
  <c r="AG162" i="35"/>
  <c r="AF162" i="35"/>
  <c r="AE162" i="35"/>
  <c r="AD162" i="35"/>
  <c r="AC162" i="35"/>
  <c r="AA162" i="35"/>
  <c r="Z162" i="35"/>
  <c r="Y162" i="35"/>
  <c r="X162" i="35"/>
  <c r="Q162" i="35"/>
  <c r="AK162" i="35" s="1"/>
  <c r="AL162" i="35" s="1"/>
  <c r="AB161" i="35"/>
  <c r="W161" i="35"/>
  <c r="O161" i="35"/>
  <c r="AK160" i="35"/>
  <c r="AL160" i="35" s="1"/>
  <c r="AJ160" i="35"/>
  <c r="T160" i="35" s="1"/>
  <c r="V160" i="35" s="1"/>
  <c r="AH160" i="35"/>
  <c r="AF160" i="35"/>
  <c r="AE160" i="35"/>
  <c r="AD160" i="35"/>
  <c r="AC160" i="35"/>
  <c r="AA160" i="35"/>
  <c r="Z160" i="35"/>
  <c r="Y160" i="35"/>
  <c r="X160" i="35"/>
  <c r="AI159" i="35"/>
  <c r="AH159" i="35"/>
  <c r="AF159" i="35"/>
  <c r="AE159" i="35"/>
  <c r="AD159" i="35"/>
  <c r="AC159" i="35"/>
  <c r="AA159" i="35"/>
  <c r="Z159" i="35"/>
  <c r="Y159" i="35"/>
  <c r="X159" i="35"/>
  <c r="Q159" i="35"/>
  <c r="AJ159" i="35" s="1"/>
  <c r="T159" i="35" s="1"/>
  <c r="V159" i="35" s="1"/>
  <c r="AI158" i="35"/>
  <c r="AI157" i="35" s="1"/>
  <c r="AH158" i="35"/>
  <c r="AF158" i="35"/>
  <c r="AE158" i="35"/>
  <c r="AD158" i="35"/>
  <c r="AC158" i="35"/>
  <c r="AA158" i="35"/>
  <c r="Z158" i="35"/>
  <c r="Y158" i="35"/>
  <c r="X158" i="35"/>
  <c r="AH157" i="35"/>
  <c r="AF157" i="35"/>
  <c r="AE157" i="35"/>
  <c r="AD157" i="35"/>
  <c r="AC157" i="35"/>
  <c r="AA157" i="35"/>
  <c r="Z157" i="35"/>
  <c r="Y157" i="35"/>
  <c r="X157" i="35"/>
  <c r="Q157" i="35"/>
  <c r="R160" i="35" s="1"/>
  <c r="AK156" i="35"/>
  <c r="AL156" i="35" s="1"/>
  <c r="AJ156" i="35"/>
  <c r="T156" i="35" s="1"/>
  <c r="V156" i="35" s="1"/>
  <c r="AH156" i="35"/>
  <c r="AF156" i="35"/>
  <c r="AE156" i="35"/>
  <c r="AD156" i="35"/>
  <c r="AC156" i="35"/>
  <c r="AA156" i="35"/>
  <c r="Z156" i="35"/>
  <c r="Y156" i="35"/>
  <c r="X156" i="35"/>
  <c r="AI155" i="35"/>
  <c r="AH155" i="35"/>
  <c r="AF155" i="35"/>
  <c r="AE155" i="35"/>
  <c r="AD155" i="35"/>
  <c r="AC155" i="35"/>
  <c r="AA155" i="35"/>
  <c r="Z155" i="35"/>
  <c r="Y155" i="35"/>
  <c r="X155" i="35"/>
  <c r="Q155" i="35"/>
  <c r="P155" i="35"/>
  <c r="AJ154" i="35"/>
  <c r="T154" i="35" s="1"/>
  <c r="V154" i="35" s="1"/>
  <c r="AH153" i="35"/>
  <c r="AG153" i="35"/>
  <c r="AF153" i="35"/>
  <c r="AE153" i="35"/>
  <c r="AD153" i="35"/>
  <c r="AC153" i="35"/>
  <c r="AA153" i="35"/>
  <c r="Z153" i="35"/>
  <c r="Y153" i="35"/>
  <c r="X153" i="35"/>
  <c r="AK152" i="35"/>
  <c r="AL152" i="35" s="1"/>
  <c r="AJ152" i="35"/>
  <c r="T152" i="35" s="1"/>
  <c r="V152" i="35" s="1"/>
  <c r="AH152" i="35"/>
  <c r="AG152" i="35"/>
  <c r="AF152" i="35"/>
  <c r="AE152" i="35"/>
  <c r="AD152" i="35"/>
  <c r="AC152" i="35"/>
  <c r="AA152" i="35"/>
  <c r="Z152" i="35"/>
  <c r="Y152" i="35"/>
  <c r="X152" i="35"/>
  <c r="AK151" i="35"/>
  <c r="AL151" i="35" s="1"/>
  <c r="AJ151" i="35"/>
  <c r="T151" i="35" s="1"/>
  <c r="V151" i="35" s="1"/>
  <c r="AH151" i="35"/>
  <c r="AG151" i="35"/>
  <c r="AF151" i="35"/>
  <c r="AE151" i="35"/>
  <c r="AD151" i="35"/>
  <c r="AC151" i="35"/>
  <c r="AA151" i="35"/>
  <c r="Z151" i="35"/>
  <c r="Y151" i="35"/>
  <c r="X151" i="35"/>
  <c r="AK150" i="35"/>
  <c r="AL150" i="35" s="1"/>
  <c r="AJ150" i="35"/>
  <c r="T150" i="35" s="1"/>
  <c r="V150" i="35" s="1"/>
  <c r="AH150" i="35"/>
  <c r="AG150" i="35"/>
  <c r="AF150" i="35"/>
  <c r="AE150" i="35"/>
  <c r="AD150" i="35"/>
  <c r="AC150" i="35"/>
  <c r="AA150" i="35"/>
  <c r="Z150" i="35"/>
  <c r="Y150" i="35"/>
  <c r="X150" i="35"/>
  <c r="AK149" i="35"/>
  <c r="AL149" i="35" s="1"/>
  <c r="AJ149" i="35"/>
  <c r="T149" i="35" s="1"/>
  <c r="V149" i="35" s="1"/>
  <c r="AH149" i="35"/>
  <c r="AG149" i="35"/>
  <c r="AF149" i="35"/>
  <c r="AE149" i="35"/>
  <c r="AD149" i="35"/>
  <c r="AC149" i="35"/>
  <c r="AA149" i="35"/>
  <c r="Z149" i="35"/>
  <c r="Y149" i="35"/>
  <c r="X149" i="35"/>
  <c r="AH148" i="35"/>
  <c r="AG148" i="35"/>
  <c r="AF148" i="35"/>
  <c r="AE148" i="35"/>
  <c r="AD148" i="35"/>
  <c r="AC148" i="35"/>
  <c r="AA148" i="35"/>
  <c r="Z148" i="35"/>
  <c r="Y148" i="35"/>
  <c r="X148" i="35"/>
  <c r="Q148" i="35"/>
  <c r="R150" i="35" s="1"/>
  <c r="P148" i="35"/>
  <c r="AK147" i="35"/>
  <c r="AL147" i="35" s="1"/>
  <c r="AJ147" i="35"/>
  <c r="T147" i="35" s="1"/>
  <c r="V147" i="35" s="1"/>
  <c r="AH147" i="35"/>
  <c r="AG147" i="35"/>
  <c r="AF147" i="35"/>
  <c r="AE147" i="35"/>
  <c r="AD147" i="35"/>
  <c r="AC147" i="35"/>
  <c r="AA147" i="35"/>
  <c r="Z147" i="35"/>
  <c r="Y147" i="35"/>
  <c r="X147" i="35"/>
  <c r="AJ146" i="35"/>
  <c r="T146" i="35" s="1"/>
  <c r="V146" i="35" s="1"/>
  <c r="AK146" i="35"/>
  <c r="AL146" i="35" s="1"/>
  <c r="AH146" i="35"/>
  <c r="AG146" i="35"/>
  <c r="AF146" i="35"/>
  <c r="AE146" i="35"/>
  <c r="AD146" i="35"/>
  <c r="AC146" i="35"/>
  <c r="AA146" i="35"/>
  <c r="Z146" i="35"/>
  <c r="Y146" i="35"/>
  <c r="X146" i="35"/>
  <c r="AK145" i="35"/>
  <c r="AL145" i="35" s="1"/>
  <c r="AJ145" i="35"/>
  <c r="T145" i="35" s="1"/>
  <c r="V145" i="35" s="1"/>
  <c r="AH145" i="35"/>
  <c r="AG145" i="35"/>
  <c r="AF145" i="35"/>
  <c r="AE145" i="35"/>
  <c r="AD145" i="35"/>
  <c r="AC145" i="35"/>
  <c r="AA145" i="35"/>
  <c r="Z145" i="35"/>
  <c r="Y145" i="35"/>
  <c r="X145" i="35"/>
  <c r="AH144" i="35"/>
  <c r="AG144" i="35"/>
  <c r="AF144" i="35"/>
  <c r="AE144" i="35"/>
  <c r="AD144" i="35"/>
  <c r="AC144" i="35"/>
  <c r="AA144" i="35"/>
  <c r="Z144" i="35"/>
  <c r="Y144" i="35"/>
  <c r="X144" i="35"/>
  <c r="Q144" i="35"/>
  <c r="R149" i="35" s="1"/>
  <c r="P144" i="35"/>
  <c r="AK143" i="35"/>
  <c r="AL143" i="35" s="1"/>
  <c r="AJ143" i="35"/>
  <c r="T143" i="35" s="1"/>
  <c r="V143" i="35" s="1"/>
  <c r="AH143" i="35"/>
  <c r="AG143" i="35"/>
  <c r="AK142" i="35"/>
  <c r="AL142" i="35" s="1"/>
  <c r="AJ142" i="35"/>
  <c r="T142" i="35" s="1"/>
  <c r="V142" i="35" s="1"/>
  <c r="AI141" i="35"/>
  <c r="AH141" i="35"/>
  <c r="AG141" i="35"/>
  <c r="Q141" i="35"/>
  <c r="AK140" i="35"/>
  <c r="AL140" i="35" s="1"/>
  <c r="AJ140" i="35"/>
  <c r="T140" i="35" s="1"/>
  <c r="V140" i="35" s="1"/>
  <c r="AI139" i="35"/>
  <c r="AH139" i="35"/>
  <c r="AG139" i="35"/>
  <c r="AF139" i="35"/>
  <c r="AE139" i="35"/>
  <c r="AD139" i="35"/>
  <c r="AC139" i="35"/>
  <c r="AA139" i="35"/>
  <c r="Z139" i="35"/>
  <c r="Y139" i="35"/>
  <c r="X139" i="35"/>
  <c r="Q139" i="35"/>
  <c r="P139" i="35"/>
  <c r="AK138" i="35"/>
  <c r="AL138" i="35" s="1"/>
  <c r="AJ138" i="35"/>
  <c r="T138" i="35" s="1"/>
  <c r="V138" i="35" s="1"/>
  <c r="AK137" i="35"/>
  <c r="AL137" i="35" s="1"/>
  <c r="AJ137" i="35"/>
  <c r="T137" i="35" s="1"/>
  <c r="V137" i="35" s="1"/>
  <c r="AK136" i="35"/>
  <c r="AL136" i="35" s="1"/>
  <c r="AJ136" i="35"/>
  <c r="T136" i="35" s="1"/>
  <c r="V136" i="35" s="1"/>
  <c r="AK135" i="35"/>
  <c r="AL135" i="35" s="1"/>
  <c r="AJ135" i="35"/>
  <c r="T135" i="35" s="1"/>
  <c r="V135" i="35" s="1"/>
  <c r="AK134" i="35"/>
  <c r="AL134" i="35" s="1"/>
  <c r="AJ134" i="35"/>
  <c r="T134" i="35" s="1"/>
  <c r="V134" i="35" s="1"/>
  <c r="AK133" i="35"/>
  <c r="AL133" i="35" s="1"/>
  <c r="AJ133" i="35"/>
  <c r="T133" i="35" s="1"/>
  <c r="V133" i="35" s="1"/>
  <c r="AK132" i="35"/>
  <c r="AL132" i="35" s="1"/>
  <c r="AJ132" i="35"/>
  <c r="T132" i="35" s="1"/>
  <c r="V132" i="35" s="1"/>
  <c r="AH132" i="35"/>
  <c r="AG132" i="35"/>
  <c r="AF132" i="35"/>
  <c r="AE132" i="35"/>
  <c r="AD132" i="35"/>
  <c r="AC132" i="35"/>
  <c r="AA132" i="35"/>
  <c r="Z132" i="35"/>
  <c r="Y132" i="35"/>
  <c r="X132" i="35"/>
  <c r="AK131" i="35"/>
  <c r="AL131" i="35" s="1"/>
  <c r="AJ131" i="35"/>
  <c r="T131" i="35" s="1"/>
  <c r="V131" i="35" s="1"/>
  <c r="AH131" i="35"/>
  <c r="AG131" i="35"/>
  <c r="AF131" i="35"/>
  <c r="AE131" i="35"/>
  <c r="AD131" i="35"/>
  <c r="AC131" i="35"/>
  <c r="AA131" i="35"/>
  <c r="Z131" i="35"/>
  <c r="Y131" i="35"/>
  <c r="X131" i="35"/>
  <c r="AK130" i="35"/>
  <c r="AL130" i="35" s="1"/>
  <c r="AJ130" i="35"/>
  <c r="T130" i="35" s="1"/>
  <c r="V130" i="35" s="1"/>
  <c r="AH130" i="35"/>
  <c r="AG130" i="35"/>
  <c r="AF130" i="35"/>
  <c r="AE130" i="35"/>
  <c r="AD130" i="35"/>
  <c r="AC130" i="35"/>
  <c r="AA130" i="35"/>
  <c r="Z130" i="35"/>
  <c r="Y130" i="35"/>
  <c r="X130" i="35"/>
  <c r="AL129" i="35"/>
  <c r="AK129" i="35"/>
  <c r="AJ129" i="35"/>
  <c r="T129" i="35" s="1"/>
  <c r="V129" i="35" s="1"/>
  <c r="AH129" i="35"/>
  <c r="AG129" i="35"/>
  <c r="AF129" i="35"/>
  <c r="AE129" i="35"/>
  <c r="AD129" i="35"/>
  <c r="AC129" i="35"/>
  <c r="AA129" i="35"/>
  <c r="Z129" i="35"/>
  <c r="Y129" i="35"/>
  <c r="X129" i="35"/>
  <c r="AK128" i="35"/>
  <c r="AL128" i="35" s="1"/>
  <c r="AJ128" i="35"/>
  <c r="AH128" i="35"/>
  <c r="AG128" i="35"/>
  <c r="AF128" i="35"/>
  <c r="AE128" i="35"/>
  <c r="AD128" i="35"/>
  <c r="AC128" i="35"/>
  <c r="AA128" i="35"/>
  <c r="Z128" i="35"/>
  <c r="Y128" i="35"/>
  <c r="X128" i="35"/>
  <c r="T128" i="35"/>
  <c r="V128" i="35" s="1"/>
  <c r="AH127" i="35"/>
  <c r="AG127" i="35"/>
  <c r="AG124" i="35" s="1"/>
  <c r="AF127" i="35"/>
  <c r="AF124" i="35" s="1"/>
  <c r="AE127" i="35"/>
  <c r="AD127" i="35"/>
  <c r="AD124" i="35" s="1"/>
  <c r="AC127" i="35"/>
  <c r="AC124" i="35" s="1"/>
  <c r="AA127" i="35"/>
  <c r="AA124" i="35" s="1"/>
  <c r="Z127" i="35"/>
  <c r="Y127" i="35"/>
  <c r="Y124" i="35" s="1"/>
  <c r="X127" i="35"/>
  <c r="X124" i="35" s="1"/>
  <c r="Q127" i="35"/>
  <c r="R133" i="35" s="1"/>
  <c r="P127" i="35"/>
  <c r="AI126" i="35"/>
  <c r="AI125" i="35" s="1"/>
  <c r="AH126" i="35"/>
  <c r="AG126" i="35"/>
  <c r="AF126" i="35"/>
  <c r="AE126" i="35"/>
  <c r="AD126" i="35"/>
  <c r="AC126" i="35"/>
  <c r="AA126" i="35"/>
  <c r="Z126" i="35"/>
  <c r="Y126" i="35"/>
  <c r="X126" i="35"/>
  <c r="AH125" i="35"/>
  <c r="AG125" i="35"/>
  <c r="AF125" i="35"/>
  <c r="AE125" i="35"/>
  <c r="AD125" i="35"/>
  <c r="AC125" i="35"/>
  <c r="AA125" i="35"/>
  <c r="Z125" i="35"/>
  <c r="Y125" i="35"/>
  <c r="X125" i="35"/>
  <c r="Q125" i="35"/>
  <c r="P125" i="35"/>
  <c r="AE124" i="35"/>
  <c r="AB124" i="35"/>
  <c r="Z124" i="35"/>
  <c r="W124" i="35"/>
  <c r="O124" i="35"/>
  <c r="AK123" i="35"/>
  <c r="AL123" i="35" s="1"/>
  <c r="AJ123" i="35"/>
  <c r="T123" i="35" s="1"/>
  <c r="V123" i="35" s="1"/>
  <c r="AK122" i="35"/>
  <c r="AL122" i="35" s="1"/>
  <c r="AJ122" i="35"/>
  <c r="T122" i="35" s="1"/>
  <c r="V122" i="35" s="1"/>
  <c r="AJ121" i="35"/>
  <c r="T121" i="35" s="1"/>
  <c r="V121" i="35" s="1"/>
  <c r="AK121" i="35"/>
  <c r="AL121" i="35" s="1"/>
  <c r="AK120" i="35"/>
  <c r="AL120" i="35" s="1"/>
  <c r="AJ120" i="35"/>
  <c r="T120" i="35" s="1"/>
  <c r="V120" i="35" s="1"/>
  <c r="AK119" i="35"/>
  <c r="AL119" i="35" s="1"/>
  <c r="AJ119" i="35"/>
  <c r="T119" i="35" s="1"/>
  <c r="V119" i="35" s="1"/>
  <c r="AK118" i="35"/>
  <c r="AL118" i="35" s="1"/>
  <c r="AJ118" i="35"/>
  <c r="T118" i="35" s="1"/>
  <c r="V118" i="35" s="1"/>
  <c r="AK117" i="35"/>
  <c r="AL117" i="35" s="1"/>
  <c r="AJ117" i="35"/>
  <c r="T117" i="35" s="1"/>
  <c r="V117" i="35" s="1"/>
  <c r="AK116" i="35"/>
  <c r="AL116" i="35" s="1"/>
  <c r="AJ116" i="35"/>
  <c r="T116" i="35" s="1"/>
  <c r="V116" i="35" s="1"/>
  <c r="AI115" i="35"/>
  <c r="AK115" i="35" s="1"/>
  <c r="AL115" i="35" s="1"/>
  <c r="AK114" i="35"/>
  <c r="AL114" i="35" s="1"/>
  <c r="AJ114" i="35"/>
  <c r="T114" i="35" s="1"/>
  <c r="V114" i="35" s="1"/>
  <c r="AK113" i="35"/>
  <c r="AL113" i="35" s="1"/>
  <c r="AJ113" i="35"/>
  <c r="T113" i="35" s="1"/>
  <c r="V113" i="35" s="1"/>
  <c r="AK112" i="35"/>
  <c r="AL112" i="35" s="1"/>
  <c r="AJ112" i="35"/>
  <c r="T112" i="35" s="1"/>
  <c r="V112" i="35" s="1"/>
  <c r="AK111" i="35"/>
  <c r="AL111" i="35" s="1"/>
  <c r="AJ111" i="35"/>
  <c r="T111" i="35" s="1"/>
  <c r="V111" i="35" s="1"/>
  <c r="AH110" i="35"/>
  <c r="AG110" i="35"/>
  <c r="AF110" i="35"/>
  <c r="AE110" i="35"/>
  <c r="AD110" i="35"/>
  <c r="AC110" i="35"/>
  <c r="AA110" i="35"/>
  <c r="Z110" i="35"/>
  <c r="Y110" i="35"/>
  <c r="X110" i="35"/>
  <c r="Q110" i="35"/>
  <c r="P110" i="35"/>
  <c r="AK109" i="35"/>
  <c r="AL109" i="35" s="1"/>
  <c r="AJ109" i="35"/>
  <c r="T109" i="35" s="1"/>
  <c r="V109" i="35" s="1"/>
  <c r="AK108" i="35"/>
  <c r="AL108" i="35" s="1"/>
  <c r="AJ108" i="35"/>
  <c r="T108" i="35" s="1"/>
  <c r="V108" i="35" s="1"/>
  <c r="AK107" i="35"/>
  <c r="AL107" i="35" s="1"/>
  <c r="AJ107" i="35"/>
  <c r="T107" i="35" s="1"/>
  <c r="V107" i="35" s="1"/>
  <c r="AK106" i="35"/>
  <c r="AL106" i="35" s="1"/>
  <c r="AJ106" i="35"/>
  <c r="T106" i="35" s="1"/>
  <c r="V106" i="35" s="1"/>
  <c r="AK105" i="35"/>
  <c r="AL105" i="35" s="1"/>
  <c r="AJ105" i="35"/>
  <c r="T105" i="35" s="1"/>
  <c r="V105" i="35" s="1"/>
  <c r="AK104" i="35"/>
  <c r="AL104" i="35" s="1"/>
  <c r="AJ104" i="35"/>
  <c r="T104" i="35" s="1"/>
  <c r="V104" i="35" s="1"/>
  <c r="AK103" i="35"/>
  <c r="AL103" i="35" s="1"/>
  <c r="AJ103" i="35"/>
  <c r="T103" i="35" s="1"/>
  <c r="V103" i="35" s="1"/>
  <c r="AI102" i="35"/>
  <c r="AJ102" i="35" s="1"/>
  <c r="T102" i="35" s="1"/>
  <c r="V102" i="35" s="1"/>
  <c r="AK101" i="35"/>
  <c r="AL101" i="35" s="1"/>
  <c r="AI101" i="35"/>
  <c r="AJ101" i="35" s="1"/>
  <c r="T101" i="35" s="1"/>
  <c r="V101" i="35" s="1"/>
  <c r="AI100" i="35"/>
  <c r="AJ100" i="35" s="1"/>
  <c r="T100" i="35" s="1"/>
  <c r="V100" i="35" s="1"/>
  <c r="AK99" i="35"/>
  <c r="AL99" i="35" s="1"/>
  <c r="AJ99" i="35"/>
  <c r="T99" i="35" s="1"/>
  <c r="V99" i="35" s="1"/>
  <c r="AK98" i="35"/>
  <c r="AL98" i="35" s="1"/>
  <c r="AJ98" i="35"/>
  <c r="T98" i="35" s="1"/>
  <c r="V98" i="35" s="1"/>
  <c r="AI97" i="35"/>
  <c r="AJ97" i="35" s="1"/>
  <c r="T97" i="35" s="1"/>
  <c r="V97" i="35" s="1"/>
  <c r="AH96" i="35"/>
  <c r="AG96" i="35"/>
  <c r="AF96" i="35"/>
  <c r="AE96" i="35"/>
  <c r="AD96" i="35"/>
  <c r="AC96" i="35"/>
  <c r="AA96" i="35"/>
  <c r="Z96" i="35"/>
  <c r="Y96" i="35"/>
  <c r="X96" i="35"/>
  <c r="Q96" i="35"/>
  <c r="P96" i="35"/>
  <c r="AK95" i="35"/>
  <c r="AL95" i="35" s="1"/>
  <c r="AJ95" i="35"/>
  <c r="T95" i="35" s="1"/>
  <c r="V95" i="35" s="1"/>
  <c r="AI94" i="35"/>
  <c r="AH94" i="35"/>
  <c r="AG94" i="35"/>
  <c r="AF94" i="35"/>
  <c r="AE94" i="35"/>
  <c r="AD94" i="35"/>
  <c r="AC94" i="35"/>
  <c r="AA94" i="35"/>
  <c r="Z94" i="35"/>
  <c r="Y94" i="35"/>
  <c r="X94" i="35"/>
  <c r="Q94" i="35"/>
  <c r="R117" i="35" s="1"/>
  <c r="P94" i="35"/>
  <c r="AI93" i="35"/>
  <c r="AJ93" i="35" s="1"/>
  <c r="T93" i="35" s="1"/>
  <c r="V93" i="35" s="1"/>
  <c r="AH92" i="35"/>
  <c r="AG92" i="35"/>
  <c r="AF92" i="35"/>
  <c r="AE92" i="35"/>
  <c r="AD92" i="35"/>
  <c r="AC92" i="35"/>
  <c r="AA92" i="35"/>
  <c r="Z92" i="35"/>
  <c r="Y92" i="35"/>
  <c r="X92" i="35"/>
  <c r="Q92" i="35"/>
  <c r="P92" i="35"/>
  <c r="AI91" i="35"/>
  <c r="AK91" i="35" s="1"/>
  <c r="AL91" i="35" s="1"/>
  <c r="AI90" i="35"/>
  <c r="AK90" i="35" s="1"/>
  <c r="AL90" i="35" s="1"/>
  <c r="AH89" i="35"/>
  <c r="AG89" i="35"/>
  <c r="AF89" i="35"/>
  <c r="AE89" i="35"/>
  <c r="AD89" i="35"/>
  <c r="AC89" i="35"/>
  <c r="AA89" i="35"/>
  <c r="Z89" i="35"/>
  <c r="Y89" i="35"/>
  <c r="X89" i="35"/>
  <c r="Q89" i="35"/>
  <c r="R90" i="35" s="1"/>
  <c r="P89" i="35"/>
  <c r="AK88" i="35"/>
  <c r="AL88" i="35" s="1"/>
  <c r="AJ88" i="35"/>
  <c r="T88" i="35" s="1"/>
  <c r="V88" i="35" s="1"/>
  <c r="AI87" i="35"/>
  <c r="AJ87" i="35" s="1"/>
  <c r="T87" i="35" s="1"/>
  <c r="V87" i="35" s="1"/>
  <c r="AH86" i="35"/>
  <c r="AG86" i="35"/>
  <c r="AF86" i="35"/>
  <c r="AE86" i="35"/>
  <c r="AD86" i="35"/>
  <c r="AC86" i="35"/>
  <c r="AA86" i="35"/>
  <c r="Z86" i="35"/>
  <c r="Y86" i="35"/>
  <c r="X86" i="35"/>
  <c r="Q86" i="35"/>
  <c r="R88" i="35" s="1"/>
  <c r="U88" i="35" s="1"/>
  <c r="P86" i="35"/>
  <c r="AK85" i="35"/>
  <c r="AL85" i="35" s="1"/>
  <c r="AJ85" i="35"/>
  <c r="T85" i="35" s="1"/>
  <c r="V85" i="35" s="1"/>
  <c r="AK84" i="35"/>
  <c r="AL84" i="35" s="1"/>
  <c r="AJ84" i="35"/>
  <c r="T84" i="35" s="1"/>
  <c r="V84" i="35" s="1"/>
  <c r="AI83" i="35"/>
  <c r="AH83" i="35"/>
  <c r="AF83" i="35"/>
  <c r="AE83" i="35"/>
  <c r="AD83" i="35"/>
  <c r="AC83" i="35"/>
  <c r="AA83" i="35"/>
  <c r="Z83" i="35"/>
  <c r="Y83" i="35"/>
  <c r="X83" i="35"/>
  <c r="Q83" i="35"/>
  <c r="AK82" i="35"/>
  <c r="AL82" i="35" s="1"/>
  <c r="AJ82" i="35"/>
  <c r="T82" i="35" s="1"/>
  <c r="V82" i="35" s="1"/>
  <c r="AI81" i="35"/>
  <c r="AH81" i="35"/>
  <c r="AF81" i="35"/>
  <c r="AE81" i="35"/>
  <c r="AD81" i="35"/>
  <c r="AC81" i="35"/>
  <c r="AA81" i="35"/>
  <c r="Z81" i="35"/>
  <c r="Y81" i="35"/>
  <c r="X81" i="35"/>
  <c r="Q81" i="35"/>
  <c r="R82" i="35" s="1"/>
  <c r="U82" i="35" s="1"/>
  <c r="P81" i="35"/>
  <c r="AK80" i="35"/>
  <c r="AL80" i="35" s="1"/>
  <c r="AJ80" i="35"/>
  <c r="T80" i="35" s="1"/>
  <c r="V80" i="35" s="1"/>
  <c r="AK79" i="35"/>
  <c r="AL79" i="35" s="1"/>
  <c r="AJ79" i="35"/>
  <c r="T79" i="35" s="1"/>
  <c r="V79" i="35" s="1"/>
  <c r="AK78" i="35"/>
  <c r="AL78" i="35" s="1"/>
  <c r="AJ78" i="35"/>
  <c r="T78" i="35" s="1"/>
  <c r="V78" i="35" s="1"/>
  <c r="AK77" i="35"/>
  <c r="AL77" i="35" s="1"/>
  <c r="AJ77" i="35"/>
  <c r="T77" i="35" s="1"/>
  <c r="V77" i="35" s="1"/>
  <c r="AK76" i="35"/>
  <c r="AL76" i="35" s="1"/>
  <c r="AJ76" i="35"/>
  <c r="T76" i="35" s="1"/>
  <c r="V76" i="35" s="1"/>
  <c r="AI75" i="35"/>
  <c r="AH75" i="35"/>
  <c r="AG75" i="35"/>
  <c r="AF75" i="35"/>
  <c r="AE75" i="35"/>
  <c r="AD75" i="35"/>
  <c r="AC75" i="35"/>
  <c r="AA75" i="35"/>
  <c r="Z75" i="35"/>
  <c r="Y75" i="35"/>
  <c r="X75" i="35"/>
  <c r="Q75" i="35"/>
  <c r="R77" i="35" s="1"/>
  <c r="P75" i="35"/>
  <c r="AI74" i="35"/>
  <c r="AK74" i="35" s="1"/>
  <c r="AL74" i="35" s="1"/>
  <c r="AK73" i="35"/>
  <c r="AL73" i="35" s="1"/>
  <c r="AJ73" i="35"/>
  <c r="T73" i="35" s="1"/>
  <c r="V73" i="35" s="1"/>
  <c r="AH72" i="35"/>
  <c r="AG72" i="35"/>
  <c r="AF72" i="35"/>
  <c r="AE72" i="35"/>
  <c r="AD72" i="35"/>
  <c r="AC72" i="35"/>
  <c r="AA72" i="35"/>
  <c r="Z72" i="35"/>
  <c r="Y72" i="35"/>
  <c r="X72" i="35"/>
  <c r="Q72" i="35"/>
  <c r="P72" i="35"/>
  <c r="AK71" i="35"/>
  <c r="AL71" i="35" s="1"/>
  <c r="AJ71" i="35"/>
  <c r="T71" i="35" s="1"/>
  <c r="V71" i="35" s="1"/>
  <c r="AH71" i="35"/>
  <c r="AG71" i="35"/>
  <c r="AF71" i="35"/>
  <c r="AE71" i="35"/>
  <c r="AD71" i="35"/>
  <c r="AC71" i="35"/>
  <c r="AA71" i="35"/>
  <c r="Z71" i="35"/>
  <c r="Y71" i="35"/>
  <c r="X71" i="35"/>
  <c r="AK70" i="35"/>
  <c r="AL70" i="35" s="1"/>
  <c r="AJ70" i="35"/>
  <c r="T70" i="35" s="1"/>
  <c r="V70" i="35" s="1"/>
  <c r="AK69" i="35"/>
  <c r="AL69" i="35" s="1"/>
  <c r="AJ69" i="35"/>
  <c r="T69" i="35" s="1"/>
  <c r="V69" i="35" s="1"/>
  <c r="AH69" i="35"/>
  <c r="AG69" i="35"/>
  <c r="AF69" i="35"/>
  <c r="AE69" i="35"/>
  <c r="AD69" i="35"/>
  <c r="AC69" i="35"/>
  <c r="AA69" i="35"/>
  <c r="Z69" i="35"/>
  <c r="Y69" i="35"/>
  <c r="X69" i="35"/>
  <c r="AI68" i="35"/>
  <c r="AH68" i="35"/>
  <c r="AG68" i="35"/>
  <c r="AF68" i="35"/>
  <c r="AE68" i="35"/>
  <c r="AD68" i="35"/>
  <c r="AC68" i="35"/>
  <c r="AA68" i="35"/>
  <c r="Z68" i="35"/>
  <c r="Y68" i="35"/>
  <c r="X68" i="35"/>
  <c r="Q68" i="35"/>
  <c r="R70" i="35" s="1"/>
  <c r="P68" i="35"/>
  <c r="AI67" i="35"/>
  <c r="AK67" i="35" s="1"/>
  <c r="AL67" i="35" s="1"/>
  <c r="AH67" i="35"/>
  <c r="AG67" i="35"/>
  <c r="AF67" i="35"/>
  <c r="AE67" i="35"/>
  <c r="AD67" i="35"/>
  <c r="AC67" i="35"/>
  <c r="AA67" i="35"/>
  <c r="Z67" i="35"/>
  <c r="Y67" i="35"/>
  <c r="X67" i="35"/>
  <c r="AI66" i="35"/>
  <c r="AH66" i="35"/>
  <c r="AG66" i="35"/>
  <c r="AF66" i="35"/>
  <c r="AE66" i="35"/>
  <c r="AD66" i="35"/>
  <c r="AC66" i="35"/>
  <c r="AA66" i="35"/>
  <c r="Z66" i="35"/>
  <c r="Y66" i="35"/>
  <c r="X66" i="35"/>
  <c r="Q66" i="35"/>
  <c r="R67" i="35" s="1"/>
  <c r="P66" i="35"/>
  <c r="AH65" i="35"/>
  <c r="AG65" i="35"/>
  <c r="AF65" i="35"/>
  <c r="AE65" i="35"/>
  <c r="AD65" i="35"/>
  <c r="AC65" i="35"/>
  <c r="AA65" i="35"/>
  <c r="Z65" i="35"/>
  <c r="Y65" i="35"/>
  <c r="X65" i="35"/>
  <c r="AK64" i="35"/>
  <c r="AL64" i="35" s="1"/>
  <c r="AJ64" i="35"/>
  <c r="T64" i="35" s="1"/>
  <c r="V64" i="35" s="1"/>
  <c r="AI63" i="35"/>
  <c r="AK63" i="35" s="1"/>
  <c r="AL63" i="35" s="1"/>
  <c r="AH63" i="35"/>
  <c r="AG63" i="35"/>
  <c r="AF63" i="35"/>
  <c r="AE63" i="35"/>
  <c r="AD63" i="35"/>
  <c r="AC63" i="35"/>
  <c r="AA63" i="35"/>
  <c r="Z63" i="35"/>
  <c r="Y63" i="35"/>
  <c r="X63" i="35"/>
  <c r="AH62" i="35"/>
  <c r="AG62" i="35"/>
  <c r="AF62" i="35"/>
  <c r="AE62" i="35"/>
  <c r="AD62" i="35"/>
  <c r="AC62" i="35"/>
  <c r="AA62" i="35"/>
  <c r="Z62" i="35"/>
  <c r="Y62" i="35"/>
  <c r="X62" i="35"/>
  <c r="Q62" i="35"/>
  <c r="R64" i="35" s="1"/>
  <c r="U64" i="35" s="1"/>
  <c r="P62" i="35"/>
  <c r="A62" i="35"/>
  <c r="A66" i="35" s="1"/>
  <c r="A68" i="35" s="1"/>
  <c r="A72" i="35" s="1"/>
  <c r="A75" i="35" s="1"/>
  <c r="A81" i="35" s="1"/>
  <c r="A83" i="35" s="1"/>
  <c r="A86" i="35" s="1"/>
  <c r="A89" i="35" s="1"/>
  <c r="A92" i="35" s="1"/>
  <c r="A94" i="35" s="1"/>
  <c r="A96" i="35" s="1"/>
  <c r="A110" i="35" s="1"/>
  <c r="A125" i="35" s="1"/>
  <c r="A127" i="35" s="1"/>
  <c r="A139" i="35" s="1"/>
  <c r="A141" i="35" s="1"/>
  <c r="A144" i="35" s="1"/>
  <c r="A148" i="35" s="1"/>
  <c r="A155" i="35" s="1"/>
  <c r="A157" i="35" s="1"/>
  <c r="A159" i="35" s="1"/>
  <c r="A162" i="35" s="1"/>
  <c r="A165" i="35" s="1"/>
  <c r="A169" i="35" s="1"/>
  <c r="A171" i="35" s="1"/>
  <c r="A181" i="35" s="1"/>
  <c r="A193" i="35" s="1"/>
  <c r="AK61" i="35"/>
  <c r="AL61" i="35" s="1"/>
  <c r="AJ61" i="35"/>
  <c r="T61" i="35" s="1"/>
  <c r="V61" i="35" s="1"/>
  <c r="AH61" i="35"/>
  <c r="AG61" i="35"/>
  <c r="AF61" i="35"/>
  <c r="AE61" i="35"/>
  <c r="AD61" i="35"/>
  <c r="AC61" i="35"/>
  <c r="AA61" i="35"/>
  <c r="Z61" i="35"/>
  <c r="Y61" i="35"/>
  <c r="X61" i="35"/>
  <c r="AI60" i="35"/>
  <c r="AH60" i="35"/>
  <c r="AG60" i="35"/>
  <c r="AG59" i="35" s="1"/>
  <c r="AG58" i="35" s="1"/>
  <c r="AF60" i="35"/>
  <c r="AF59" i="35" s="1"/>
  <c r="AF58" i="35" s="1"/>
  <c r="AE60" i="35"/>
  <c r="AE59" i="35" s="1"/>
  <c r="AE58" i="35" s="1"/>
  <c r="AD60" i="35"/>
  <c r="AD59" i="35" s="1"/>
  <c r="AD58" i="35" s="1"/>
  <c r="AC60" i="35"/>
  <c r="AC59" i="35" s="1"/>
  <c r="AC58" i="35" s="1"/>
  <c r="AA60" i="35"/>
  <c r="AA59" i="35" s="1"/>
  <c r="AA58" i="35" s="1"/>
  <c r="Z60" i="35"/>
  <c r="Z59" i="35" s="1"/>
  <c r="Z58" i="35" s="1"/>
  <c r="Y60" i="35"/>
  <c r="Y59" i="35" s="1"/>
  <c r="Y58" i="35" s="1"/>
  <c r="X60" i="35"/>
  <c r="X59" i="35" s="1"/>
  <c r="X58" i="35" s="1"/>
  <c r="Q60" i="35"/>
  <c r="R61" i="35" s="1"/>
  <c r="AB59" i="35"/>
  <c r="AB58" i="35" s="1"/>
  <c r="AB35" i="35" s="1"/>
  <c r="W59" i="35"/>
  <c r="W58" i="35" s="1"/>
  <c r="W35" i="35" s="1"/>
  <c r="S59" i="35"/>
  <c r="S58" i="35" s="1"/>
  <c r="O59" i="35"/>
  <c r="O58" i="35" s="1"/>
  <c r="O35" i="35" s="1"/>
  <c r="AK56" i="35"/>
  <c r="AL56" i="35" s="1"/>
  <c r="AJ56" i="35"/>
  <c r="T56" i="35" s="1"/>
  <c r="V56" i="35" s="1"/>
  <c r="AI55" i="35"/>
  <c r="Q55" i="35"/>
  <c r="AK54" i="35"/>
  <c r="AL54" i="35" s="1"/>
  <c r="AJ54" i="35"/>
  <c r="T54" i="35" s="1"/>
  <c r="V54" i="35" s="1"/>
  <c r="AK53" i="35"/>
  <c r="AL53" i="35" s="1"/>
  <c r="AJ53" i="35"/>
  <c r="T53" i="35" s="1"/>
  <c r="V53" i="35" s="1"/>
  <c r="AJ52" i="35"/>
  <c r="T52" i="35" s="1"/>
  <c r="V52" i="35" s="1"/>
  <c r="Q51" i="35"/>
  <c r="AL50" i="35"/>
  <c r="AK50" i="35"/>
  <c r="AJ50" i="35"/>
  <c r="T50" i="35" s="1"/>
  <c r="V50" i="35" s="1"/>
  <c r="AK49" i="35"/>
  <c r="AL49" i="35" s="1"/>
  <c r="AJ49" i="35"/>
  <c r="T49" i="35" s="1"/>
  <c r="V49" i="35" s="1"/>
  <c r="AJ48" i="35"/>
  <c r="T48" i="35" s="1"/>
  <c r="V48" i="35" s="1"/>
  <c r="AK48" i="35"/>
  <c r="AL48" i="35" s="1"/>
  <c r="AJ47" i="35"/>
  <c r="T47" i="35" s="1"/>
  <c r="V47" i="35" s="1"/>
  <c r="AK47" i="35"/>
  <c r="AL47" i="35" s="1"/>
  <c r="AJ46" i="35"/>
  <c r="T46" i="35" s="1"/>
  <c r="V46" i="35" s="1"/>
  <c r="AK46" i="35"/>
  <c r="AL46" i="35" s="1"/>
  <c r="AJ45" i="35"/>
  <c r="T45" i="35" s="1"/>
  <c r="V45" i="35" s="1"/>
  <c r="AK45" i="35"/>
  <c r="AL45" i="35" s="1"/>
  <c r="AJ44" i="35"/>
  <c r="T44" i="35" s="1"/>
  <c r="V44" i="35" s="1"/>
  <c r="AK44" i="35"/>
  <c r="AL44" i="35" s="1"/>
  <c r="AJ43" i="35"/>
  <c r="T43" i="35" s="1"/>
  <c r="V43" i="35" s="1"/>
  <c r="AK43" i="35"/>
  <c r="AL43" i="35" s="1"/>
  <c r="AJ42" i="35"/>
  <c r="T42" i="35" s="1"/>
  <c r="V42" i="35" s="1"/>
  <c r="AK42" i="35"/>
  <c r="AL42" i="35" s="1"/>
  <c r="AJ41" i="35"/>
  <c r="T41" i="35" s="1"/>
  <c r="V41" i="35" s="1"/>
  <c r="AK41" i="35"/>
  <c r="AL41" i="35" s="1"/>
  <c r="AJ40" i="35"/>
  <c r="T40" i="35" s="1"/>
  <c r="V40" i="35" s="1"/>
  <c r="AK40" i="35"/>
  <c r="AL40" i="35" s="1"/>
  <c r="AI39" i="35"/>
  <c r="Q39" i="35"/>
  <c r="AH37" i="35"/>
  <c r="AG37" i="35"/>
  <c r="AG35" i="35" s="1"/>
  <c r="AF37" i="35"/>
  <c r="AF35" i="35" s="1"/>
  <c r="AE37" i="35"/>
  <c r="AD37" i="35"/>
  <c r="AD35" i="35" s="1"/>
  <c r="AC37" i="35"/>
  <c r="AC35" i="35" s="1"/>
  <c r="AA37" i="35"/>
  <c r="AA35" i="35" s="1"/>
  <c r="Z37" i="35"/>
  <c r="Z35" i="35" s="1"/>
  <c r="Y37" i="35"/>
  <c r="X37" i="35"/>
  <c r="X35" i="35" s="1"/>
  <c r="P37" i="35"/>
  <c r="AE35" i="35"/>
  <c r="Y35" i="35"/>
  <c r="S35" i="35"/>
  <c r="AK34" i="35"/>
  <c r="AB34" i="35"/>
  <c r="AA34" i="35"/>
  <c r="Z34" i="35"/>
  <c r="Y34" i="35"/>
  <c r="T34" i="35"/>
  <c r="V34" i="35" s="1"/>
  <c r="AK33" i="35"/>
  <c r="AB33" i="35"/>
  <c r="AB12" i="35" s="1"/>
  <c r="AA33" i="35"/>
  <c r="Z33" i="35"/>
  <c r="Y33" i="35"/>
  <c r="T33" i="35"/>
  <c r="V33" i="35" s="1"/>
  <c r="AK32" i="35"/>
  <c r="AB32" i="35"/>
  <c r="AA32" i="35"/>
  <c r="Z32" i="35"/>
  <c r="Y32" i="35"/>
  <c r="T32" i="35"/>
  <c r="V32" i="35" s="1"/>
  <c r="AK31" i="35"/>
  <c r="AB31" i="35"/>
  <c r="AA31" i="35"/>
  <c r="Z31" i="35"/>
  <c r="Y31" i="35"/>
  <c r="T31" i="35"/>
  <c r="V31" i="35" s="1"/>
  <c r="AI30" i="35"/>
  <c r="AK30" i="35" s="1"/>
  <c r="AB30" i="35"/>
  <c r="AA30" i="35"/>
  <c r="Z30" i="35"/>
  <c r="Y30" i="35"/>
  <c r="T30" i="35"/>
  <c r="V30" i="35" s="1"/>
  <c r="AI29" i="35"/>
  <c r="AJ29" i="35" s="1"/>
  <c r="T29" i="35" s="1"/>
  <c r="V29" i="35" s="1"/>
  <c r="AB29" i="35"/>
  <c r="AA29" i="35"/>
  <c r="Z29" i="35"/>
  <c r="Y29" i="35"/>
  <c r="AK28" i="35"/>
  <c r="AB28" i="35"/>
  <c r="AA28" i="35"/>
  <c r="Z28" i="35"/>
  <c r="Y28" i="35"/>
  <c r="T28" i="35"/>
  <c r="V28" i="35" s="1"/>
  <c r="AK27" i="35"/>
  <c r="AL27" i="35" s="1"/>
  <c r="AJ27" i="35"/>
  <c r="T27" i="35" s="1"/>
  <c r="V27" i="35" s="1"/>
  <c r="AB27" i="35"/>
  <c r="AA27" i="35"/>
  <c r="Y27" i="35"/>
  <c r="AH26" i="35"/>
  <c r="AH12" i="35" s="1"/>
  <c r="AG26" i="35"/>
  <c r="AF26" i="35"/>
  <c r="AF12" i="35" s="1"/>
  <c r="AE26" i="35"/>
  <c r="AE12" i="35" s="1"/>
  <c r="AD26" i="35"/>
  <c r="AD12" i="35" s="1"/>
  <c r="AC26" i="35"/>
  <c r="AA26" i="35"/>
  <c r="AA12" i="35" s="1"/>
  <c r="Z26" i="35"/>
  <c r="Y26" i="35"/>
  <c r="Y12" i="35" s="1"/>
  <c r="X26" i="35"/>
  <c r="Q26" i="35"/>
  <c r="P26" i="35"/>
  <c r="AK25" i="35"/>
  <c r="AL25" i="35" s="1"/>
  <c r="AC25" i="35"/>
  <c r="AH24" i="35"/>
  <c r="AG24" i="35"/>
  <c r="AF24" i="35"/>
  <c r="AE24" i="35"/>
  <c r="AD24" i="35"/>
  <c r="AC24" i="35"/>
  <c r="AA24" i="35"/>
  <c r="Z24" i="35"/>
  <c r="Y24" i="35"/>
  <c r="X24" i="35"/>
  <c r="Q24" i="35"/>
  <c r="P24" i="35"/>
  <c r="AJ23" i="35"/>
  <c r="T23" i="35" s="1"/>
  <c r="V23" i="35" s="1"/>
  <c r="AK23" i="35"/>
  <c r="AL23" i="35" s="1"/>
  <c r="AK22" i="35"/>
  <c r="AL22" i="35" s="1"/>
  <c r="AJ22" i="35"/>
  <c r="T22" i="35" s="1"/>
  <c r="V22" i="35" s="1"/>
  <c r="AK21" i="35"/>
  <c r="AL21" i="35" s="1"/>
  <c r="AJ21" i="35"/>
  <c r="T21" i="35" s="1"/>
  <c r="V21" i="35" s="1"/>
  <c r="AJ20" i="35"/>
  <c r="T20" i="35" s="1"/>
  <c r="V20" i="35" s="1"/>
  <c r="AJ19" i="35"/>
  <c r="T19" i="35" s="1"/>
  <c r="V19" i="35" s="1"/>
  <c r="AK19" i="35"/>
  <c r="AL19" i="35" s="1"/>
  <c r="AK18" i="35"/>
  <c r="AL18" i="35" s="1"/>
  <c r="AJ18" i="35"/>
  <c r="T18" i="35" s="1"/>
  <c r="V18" i="35" s="1"/>
  <c r="AK17" i="35"/>
  <c r="AL17" i="35" s="1"/>
  <c r="AJ17" i="35"/>
  <c r="T17" i="35" s="1"/>
  <c r="V17" i="35" s="1"/>
  <c r="AI14" i="35"/>
  <c r="AK15" i="35"/>
  <c r="AL15" i="35" s="1"/>
  <c r="AJ15" i="35"/>
  <c r="T15" i="35" s="1"/>
  <c r="V15" i="35" s="1"/>
  <c r="AH14" i="35"/>
  <c r="AG14" i="35"/>
  <c r="AG10" i="35" s="1"/>
  <c r="AF14" i="35"/>
  <c r="AF10" i="35" s="1"/>
  <c r="AE14" i="35"/>
  <c r="AE10" i="35" s="1"/>
  <c r="AD14" i="35"/>
  <c r="AD10" i="35" s="1"/>
  <c r="AC14" i="35"/>
  <c r="AA14" i="35"/>
  <c r="AA10" i="35" s="1"/>
  <c r="Z14" i="35"/>
  <c r="Y14" i="35"/>
  <c r="Y10" i="35" s="1"/>
  <c r="X14" i="35"/>
  <c r="X10" i="35" s="1"/>
  <c r="Q14" i="35"/>
  <c r="AS15" i="35" s="1"/>
  <c r="P14" i="35"/>
  <c r="AG12" i="35"/>
  <c r="AC12" i="35"/>
  <c r="Z12" i="35"/>
  <c r="X12" i="35"/>
  <c r="W12" i="35"/>
  <c r="P12" i="35"/>
  <c r="O12" i="35"/>
  <c r="AC10" i="35"/>
  <c r="AB10" i="35"/>
  <c r="Z10" i="35"/>
  <c r="W10" i="35"/>
  <c r="S10" i="35"/>
  <c r="P10" i="35"/>
  <c r="O10" i="35"/>
  <c r="AJ585" i="35" l="1"/>
  <c r="T585" i="35" s="1"/>
  <c r="V585" i="35" s="1"/>
  <c r="Q124" i="36"/>
  <c r="AJ490" i="36"/>
  <c r="T490" i="36" s="1"/>
  <c r="V490" i="36" s="1"/>
  <c r="AH10" i="37"/>
  <c r="P10" i="37"/>
  <c r="AJ81" i="37"/>
  <c r="T81" i="37" s="1"/>
  <c r="V81" i="37" s="1"/>
  <c r="U137" i="37"/>
  <c r="Q168" i="37"/>
  <c r="U221" i="37"/>
  <c r="R229" i="37"/>
  <c r="U229" i="37" s="1"/>
  <c r="AJ230" i="37"/>
  <c r="T230" i="37" s="1"/>
  <c r="V230" i="37" s="1"/>
  <c r="AK253" i="37"/>
  <c r="AL253" i="37" s="1"/>
  <c r="AJ264" i="37"/>
  <c r="T264" i="37" s="1"/>
  <c r="V264" i="37" s="1"/>
  <c r="AJ297" i="37"/>
  <c r="T297" i="37" s="1"/>
  <c r="V297" i="37" s="1"/>
  <c r="AJ350" i="37"/>
  <c r="T350" i="37" s="1"/>
  <c r="V350" i="37" s="1"/>
  <c r="R520" i="37"/>
  <c r="R664" i="37"/>
  <c r="AI72" i="35"/>
  <c r="AJ74" i="35"/>
  <c r="T74" i="35" s="1"/>
  <c r="V74" i="35" s="1"/>
  <c r="AJ115" i="35"/>
  <c r="T115" i="35" s="1"/>
  <c r="V115" i="35" s="1"/>
  <c r="P180" i="35"/>
  <c r="AI201" i="35"/>
  <c r="U215" i="35"/>
  <c r="Q248" i="35"/>
  <c r="R350" i="35" s="1"/>
  <c r="U301" i="35"/>
  <c r="AJ425" i="35"/>
  <c r="T425" i="35" s="1"/>
  <c r="V425" i="35" s="1"/>
  <c r="U571" i="35"/>
  <c r="AK565" i="35"/>
  <c r="AL565" i="35" s="1"/>
  <c r="AJ659" i="35"/>
  <c r="T659" i="35" s="1"/>
  <c r="V659" i="35" s="1"/>
  <c r="AI66" i="36"/>
  <c r="AK83" i="36"/>
  <c r="AL83" i="36" s="1"/>
  <c r="AH124" i="36"/>
  <c r="AH168" i="36"/>
  <c r="AH180" i="36"/>
  <c r="AI201" i="36"/>
  <c r="AJ201" i="36" s="1"/>
  <c r="T201" i="36" s="1"/>
  <c r="V201" i="36" s="1"/>
  <c r="U268" i="36"/>
  <c r="AJ332" i="36"/>
  <c r="T332" i="36" s="1"/>
  <c r="V332" i="36" s="1"/>
  <c r="AJ627" i="36"/>
  <c r="T627" i="36" s="1"/>
  <c r="V627" i="36" s="1"/>
  <c r="AI75" i="37"/>
  <c r="AJ83" i="37"/>
  <c r="T83" i="37" s="1"/>
  <c r="V83" i="37" s="1"/>
  <c r="P124" i="37"/>
  <c r="R177" i="37"/>
  <c r="R192" i="37"/>
  <c r="U294" i="37"/>
  <c r="U296" i="37"/>
  <c r="U330" i="37"/>
  <c r="R390" i="37"/>
  <c r="U456" i="37"/>
  <c r="R672" i="37"/>
  <c r="U61" i="35"/>
  <c r="U117" i="35"/>
  <c r="R217" i="35"/>
  <c r="P248" i="35"/>
  <c r="U482" i="35"/>
  <c r="R484" i="35"/>
  <c r="AH10" i="36"/>
  <c r="P59" i="36"/>
  <c r="U279" i="36"/>
  <c r="AK287" i="36"/>
  <c r="AL287" i="36" s="1"/>
  <c r="AJ466" i="36"/>
  <c r="T466" i="36" s="1"/>
  <c r="V466" i="36" s="1"/>
  <c r="AJ516" i="36"/>
  <c r="T516" i="36" s="1"/>
  <c r="V516" i="36" s="1"/>
  <c r="AJ165" i="37"/>
  <c r="T165" i="37" s="1"/>
  <c r="V165" i="37" s="1"/>
  <c r="AJ169" i="37"/>
  <c r="T169" i="37" s="1"/>
  <c r="V169" i="37" s="1"/>
  <c r="R225" i="37"/>
  <c r="R273" i="37"/>
  <c r="R460" i="37"/>
  <c r="AJ476" i="37"/>
  <c r="T476" i="37" s="1"/>
  <c r="V476" i="37" s="1"/>
  <c r="R514" i="37"/>
  <c r="R529" i="37"/>
  <c r="AK659" i="37"/>
  <c r="AL659" i="37" s="1"/>
  <c r="AI110" i="35"/>
  <c r="AJ157" i="35"/>
  <c r="T157" i="35" s="1"/>
  <c r="V157" i="35" s="1"/>
  <c r="U312" i="35"/>
  <c r="R184" i="37"/>
  <c r="U292" i="37"/>
  <c r="AK591" i="37"/>
  <c r="AL591" i="37" s="1"/>
  <c r="AK593" i="37"/>
  <c r="AL593" i="37" s="1"/>
  <c r="AI14" i="37"/>
  <c r="AJ14" i="37" s="1"/>
  <c r="T14" i="37" s="1"/>
  <c r="V14" i="37" s="1"/>
  <c r="AI680" i="37"/>
  <c r="AI679" i="37" s="1"/>
  <c r="AK675" i="37"/>
  <c r="AL675" i="37" s="1"/>
  <c r="AJ622" i="37"/>
  <c r="T622" i="37" s="1"/>
  <c r="V622" i="37" s="1"/>
  <c r="AK561" i="37"/>
  <c r="AL561" i="37" s="1"/>
  <c r="AK556" i="37"/>
  <c r="AL556" i="37" s="1"/>
  <c r="AI553" i="37"/>
  <c r="AK553" i="37" s="1"/>
  <c r="AL553" i="37" s="1"/>
  <c r="AK555" i="37"/>
  <c r="AL555" i="37" s="1"/>
  <c r="AJ554" i="37"/>
  <c r="T554" i="37" s="1"/>
  <c r="V554" i="37" s="1"/>
  <c r="AK507" i="37"/>
  <c r="AL507" i="37" s="1"/>
  <c r="AI504" i="37"/>
  <c r="AJ504" i="37" s="1"/>
  <c r="T504" i="37" s="1"/>
  <c r="V504" i="37" s="1"/>
  <c r="AK489" i="37"/>
  <c r="AL489" i="37" s="1"/>
  <c r="AK486" i="37"/>
  <c r="AL486" i="37" s="1"/>
  <c r="AI436" i="37"/>
  <c r="AK436" i="37" s="1"/>
  <c r="AL436" i="37" s="1"/>
  <c r="AK437" i="37"/>
  <c r="AL437" i="37" s="1"/>
  <c r="AK419" i="37"/>
  <c r="AL419" i="37" s="1"/>
  <c r="AK416" i="37"/>
  <c r="AL416" i="37" s="1"/>
  <c r="AK409" i="37"/>
  <c r="AL409" i="37" s="1"/>
  <c r="AJ347" i="37"/>
  <c r="T347" i="37" s="1"/>
  <c r="V347" i="37" s="1"/>
  <c r="AI339" i="37"/>
  <c r="AK339" i="37" s="1"/>
  <c r="AL339" i="37" s="1"/>
  <c r="AI275" i="37"/>
  <c r="AJ275" i="37" s="1"/>
  <c r="T275" i="37" s="1"/>
  <c r="V275" i="37" s="1"/>
  <c r="AK285" i="37"/>
  <c r="AL285" i="37" s="1"/>
  <c r="AK247" i="37"/>
  <c r="AL247" i="37" s="1"/>
  <c r="AJ247" i="37"/>
  <c r="T247" i="37" s="1"/>
  <c r="V247" i="37" s="1"/>
  <c r="AI216" i="37"/>
  <c r="AJ216" i="37" s="1"/>
  <c r="T216" i="37" s="1"/>
  <c r="V216" i="37" s="1"/>
  <c r="AK208" i="37"/>
  <c r="AL208" i="37" s="1"/>
  <c r="U207" i="37"/>
  <c r="AJ158" i="37"/>
  <c r="T158" i="37" s="1"/>
  <c r="V158" i="37" s="1"/>
  <c r="AJ154" i="37"/>
  <c r="T154" i="37" s="1"/>
  <c r="V154" i="37" s="1"/>
  <c r="AI60" i="37"/>
  <c r="AJ60" i="37" s="1"/>
  <c r="T60" i="37" s="1"/>
  <c r="V60" i="37" s="1"/>
  <c r="AK61" i="37"/>
  <c r="AL61" i="37" s="1"/>
  <c r="AJ53" i="37"/>
  <c r="T53" i="37" s="1"/>
  <c r="V53" i="37" s="1"/>
  <c r="AI51" i="37"/>
  <c r="AJ51" i="37" s="1"/>
  <c r="T51" i="37" s="1"/>
  <c r="V51" i="37" s="1"/>
  <c r="AK29" i="35"/>
  <c r="AL29" i="35" s="1"/>
  <c r="AK72" i="35"/>
  <c r="AL72" i="35" s="1"/>
  <c r="Q124" i="35"/>
  <c r="R131" i="35"/>
  <c r="R147" i="35"/>
  <c r="U147" i="35" s="1"/>
  <c r="AJ169" i="35"/>
  <c r="T169" i="35" s="1"/>
  <c r="V169" i="35" s="1"/>
  <c r="R341" i="35"/>
  <c r="U381" i="35"/>
  <c r="U396" i="35"/>
  <c r="AK490" i="35"/>
  <c r="AL490" i="35" s="1"/>
  <c r="AK569" i="35"/>
  <c r="AL569" i="35" s="1"/>
  <c r="AK203" i="36"/>
  <c r="AL203" i="36" s="1"/>
  <c r="R293" i="36"/>
  <c r="AJ538" i="36"/>
  <c r="T538" i="36" s="1"/>
  <c r="V538" i="36" s="1"/>
  <c r="AK70" i="37"/>
  <c r="AL70" i="37" s="1"/>
  <c r="AK87" i="37"/>
  <c r="AL87" i="37" s="1"/>
  <c r="R98" i="37"/>
  <c r="AK102" i="37"/>
  <c r="AL102" i="37" s="1"/>
  <c r="AJ111" i="37"/>
  <c r="T111" i="37" s="1"/>
  <c r="V111" i="37" s="1"/>
  <c r="AJ112" i="37"/>
  <c r="T112" i="37" s="1"/>
  <c r="V112" i="37" s="1"/>
  <c r="AJ113" i="37"/>
  <c r="T113" i="37" s="1"/>
  <c r="V113" i="37" s="1"/>
  <c r="AJ114" i="37"/>
  <c r="T114" i="37" s="1"/>
  <c r="V114" i="37" s="1"/>
  <c r="AJ115" i="37"/>
  <c r="T115" i="37" s="1"/>
  <c r="V115" i="37" s="1"/>
  <c r="AJ116" i="37"/>
  <c r="T116" i="37" s="1"/>
  <c r="V116" i="37" s="1"/>
  <c r="AJ117" i="37"/>
  <c r="T117" i="37" s="1"/>
  <c r="V117" i="37" s="1"/>
  <c r="AJ118" i="37"/>
  <c r="T118" i="37" s="1"/>
  <c r="V118" i="37" s="1"/>
  <c r="Q124" i="37"/>
  <c r="R159" i="37" s="1"/>
  <c r="AJ139" i="37"/>
  <c r="T139" i="37" s="1"/>
  <c r="V139" i="37" s="1"/>
  <c r="AK151" i="37"/>
  <c r="AL151" i="37" s="1"/>
  <c r="AJ153" i="37"/>
  <c r="T153" i="37" s="1"/>
  <c r="V153" i="37" s="1"/>
  <c r="AK162" i="37"/>
  <c r="AL162" i="37" s="1"/>
  <c r="R220" i="37"/>
  <c r="AJ256" i="37"/>
  <c r="T256" i="37" s="1"/>
  <c r="V256" i="37" s="1"/>
  <c r="R306" i="37"/>
  <c r="AJ341" i="37"/>
  <c r="T341" i="37" s="1"/>
  <c r="V341" i="37" s="1"/>
  <c r="AJ357" i="37"/>
  <c r="T357" i="37" s="1"/>
  <c r="V357" i="37" s="1"/>
  <c r="AJ359" i="37"/>
  <c r="T359" i="37" s="1"/>
  <c r="V359" i="37" s="1"/>
  <c r="AJ361" i="37"/>
  <c r="T361" i="37" s="1"/>
  <c r="V361" i="37" s="1"/>
  <c r="AJ363" i="37"/>
  <c r="T363" i="37" s="1"/>
  <c r="V363" i="37" s="1"/>
  <c r="AK376" i="37"/>
  <c r="AL376" i="37" s="1"/>
  <c r="R430" i="37"/>
  <c r="U430" i="37" s="1"/>
  <c r="R545" i="37"/>
  <c r="U545" i="37" s="1"/>
  <c r="R639" i="37"/>
  <c r="P248" i="37"/>
  <c r="R322" i="37"/>
  <c r="U322" i="37" s="1"/>
  <c r="R384" i="37"/>
  <c r="AJ466" i="37"/>
  <c r="T466" i="37" s="1"/>
  <c r="V466" i="37" s="1"/>
  <c r="R662" i="37"/>
  <c r="U662" i="37" s="1"/>
  <c r="R675" i="37"/>
  <c r="U675" i="37" s="1"/>
  <c r="R677" i="37"/>
  <c r="U677" i="37" s="1"/>
  <c r="AJ81" i="35"/>
  <c r="T81" i="35" s="1"/>
  <c r="V81" i="35" s="1"/>
  <c r="AJ83" i="35"/>
  <c r="T83" i="35" s="1"/>
  <c r="V83" i="35" s="1"/>
  <c r="AK155" i="35"/>
  <c r="AL155" i="35" s="1"/>
  <c r="U344" i="35"/>
  <c r="Q38" i="36"/>
  <c r="R55" i="36" s="1"/>
  <c r="AJ141" i="36"/>
  <c r="T141" i="36" s="1"/>
  <c r="V141" i="36" s="1"/>
  <c r="P180" i="36"/>
  <c r="R203" i="36"/>
  <c r="AI422" i="36"/>
  <c r="AJ422" i="36" s="1"/>
  <c r="T422" i="36" s="1"/>
  <c r="V422" i="36" s="1"/>
  <c r="U481" i="36"/>
  <c r="AI504" i="36"/>
  <c r="AJ504" i="36" s="1"/>
  <c r="T504" i="36" s="1"/>
  <c r="V504" i="36" s="1"/>
  <c r="AI530" i="36"/>
  <c r="AK566" i="36"/>
  <c r="AL566" i="36" s="1"/>
  <c r="AK570" i="36"/>
  <c r="AL570" i="36" s="1"/>
  <c r="R665" i="36"/>
  <c r="AK674" i="36"/>
  <c r="AL674" i="36" s="1"/>
  <c r="AI24" i="37"/>
  <c r="AJ24" i="37" s="1"/>
  <c r="T24" i="37" s="1"/>
  <c r="V24" i="37" s="1"/>
  <c r="R87" i="37"/>
  <c r="U87" i="37" s="1"/>
  <c r="R90" i="37"/>
  <c r="U90" i="37" s="1"/>
  <c r="R91" i="37"/>
  <c r="U91" i="37" s="1"/>
  <c r="R102" i="37"/>
  <c r="R121" i="37"/>
  <c r="R173" i="37"/>
  <c r="U173" i="37" s="1"/>
  <c r="R228" i="37"/>
  <c r="R235" i="37"/>
  <c r="U235" i="37" s="1"/>
  <c r="Q248" i="37"/>
  <c r="AK254" i="37"/>
  <c r="AL254" i="37" s="1"/>
  <c r="AJ259" i="37"/>
  <c r="T259" i="37" s="1"/>
  <c r="V259" i="37" s="1"/>
  <c r="AJ317" i="37"/>
  <c r="T317" i="37" s="1"/>
  <c r="V317" i="37" s="1"/>
  <c r="AI356" i="37"/>
  <c r="AJ358" i="37"/>
  <c r="T358" i="37" s="1"/>
  <c r="V358" i="37" s="1"/>
  <c r="AJ360" i="37"/>
  <c r="T360" i="37" s="1"/>
  <c r="V360" i="37" s="1"/>
  <c r="AJ362" i="37"/>
  <c r="T362" i="37" s="1"/>
  <c r="V362" i="37" s="1"/>
  <c r="AK375" i="37"/>
  <c r="AL375" i="37" s="1"/>
  <c r="R380" i="37"/>
  <c r="U380" i="37" s="1"/>
  <c r="R394" i="37"/>
  <c r="R399" i="37"/>
  <c r="AK417" i="37"/>
  <c r="AL417" i="37" s="1"/>
  <c r="AJ422" i="37"/>
  <c r="T422" i="37" s="1"/>
  <c r="V422" i="37" s="1"/>
  <c r="AJ425" i="37"/>
  <c r="T425" i="37" s="1"/>
  <c r="V425" i="37" s="1"/>
  <c r="U464" i="37"/>
  <c r="R486" i="37"/>
  <c r="R494" i="37"/>
  <c r="U494" i="37" s="1"/>
  <c r="AK508" i="37"/>
  <c r="AL508" i="37" s="1"/>
  <c r="R525" i="37"/>
  <c r="R526" i="37"/>
  <c r="AK623" i="37"/>
  <c r="AL623" i="37" s="1"/>
  <c r="R668" i="37"/>
  <c r="U668" i="37" s="1"/>
  <c r="R670" i="37"/>
  <c r="AK674" i="37"/>
  <c r="AL674" i="37" s="1"/>
  <c r="R678" i="37"/>
  <c r="R683" i="37"/>
  <c r="U683" i="37" s="1"/>
  <c r="R687" i="37"/>
  <c r="U687" i="37" s="1"/>
  <c r="AH10" i="35"/>
  <c r="AH124" i="35"/>
  <c r="R153" i="35"/>
  <c r="U186" i="35"/>
  <c r="R295" i="35"/>
  <c r="U470" i="35"/>
  <c r="U654" i="35"/>
  <c r="U32" i="36"/>
  <c r="U77" i="36"/>
  <c r="AJ155" i="36"/>
  <c r="T155" i="36" s="1"/>
  <c r="V155" i="36" s="1"/>
  <c r="AK157" i="36"/>
  <c r="AL157" i="36" s="1"/>
  <c r="U218" i="36"/>
  <c r="U461" i="36"/>
  <c r="AI562" i="36"/>
  <c r="AJ562" i="36" s="1"/>
  <c r="T562" i="36" s="1"/>
  <c r="V562" i="36" s="1"/>
  <c r="AJ564" i="36"/>
  <c r="T564" i="36" s="1"/>
  <c r="V564" i="36" s="1"/>
  <c r="AJ568" i="36"/>
  <c r="T568" i="36" s="1"/>
  <c r="V568" i="36" s="1"/>
  <c r="AJ585" i="36"/>
  <c r="T585" i="36" s="1"/>
  <c r="V585" i="36" s="1"/>
  <c r="R666" i="36"/>
  <c r="U666" i="36" s="1"/>
  <c r="AJ25" i="37"/>
  <c r="T25" i="37" s="1"/>
  <c r="V25" i="37" s="1"/>
  <c r="R63" i="37"/>
  <c r="R64" i="37"/>
  <c r="AJ65" i="37"/>
  <c r="T65" i="37" s="1"/>
  <c r="V65" i="37" s="1"/>
  <c r="AI86" i="37"/>
  <c r="AK86" i="37" s="1"/>
  <c r="AL86" i="37" s="1"/>
  <c r="R88" i="37"/>
  <c r="U88" i="37" s="1"/>
  <c r="AI89" i="37"/>
  <c r="AK89" i="37" s="1"/>
  <c r="AL89" i="37" s="1"/>
  <c r="AK90" i="37"/>
  <c r="AL90" i="37" s="1"/>
  <c r="AK91" i="37"/>
  <c r="AL91" i="37" s="1"/>
  <c r="AK101" i="37"/>
  <c r="AL101" i="37" s="1"/>
  <c r="R103" i="37"/>
  <c r="R105" i="37"/>
  <c r="R108" i="37"/>
  <c r="U108" i="37" s="1"/>
  <c r="AK157" i="37"/>
  <c r="AL157" i="37" s="1"/>
  <c r="AK159" i="37"/>
  <c r="AL159" i="37" s="1"/>
  <c r="R172" i="37"/>
  <c r="U172" i="37" s="1"/>
  <c r="R176" i="37"/>
  <c r="R188" i="37"/>
  <c r="R239" i="37"/>
  <c r="U279" i="37"/>
  <c r="AK287" i="37"/>
  <c r="AL287" i="37" s="1"/>
  <c r="R293" i="37"/>
  <c r="AK372" i="37"/>
  <c r="AL372" i="37" s="1"/>
  <c r="U398" i="37"/>
  <c r="R437" i="37"/>
  <c r="U437" i="37" s="1"/>
  <c r="R472" i="37"/>
  <c r="U480" i="37"/>
  <c r="AJ485" i="37"/>
  <c r="T485" i="37" s="1"/>
  <c r="V485" i="37" s="1"/>
  <c r="AK523" i="37"/>
  <c r="AL523" i="37" s="1"/>
  <c r="AJ572" i="37"/>
  <c r="T572" i="37" s="1"/>
  <c r="V572" i="37" s="1"/>
  <c r="AI585" i="37"/>
  <c r="R619" i="37"/>
  <c r="U619" i="37" s="1"/>
  <c r="R645" i="37"/>
  <c r="R657" i="37"/>
  <c r="U657" i="37" s="1"/>
  <c r="R660" i="37"/>
  <c r="AJ93" i="37"/>
  <c r="T93" i="37" s="1"/>
  <c r="V93" i="37" s="1"/>
  <c r="AK93" i="37"/>
  <c r="AL93" i="37" s="1"/>
  <c r="AI92" i="37"/>
  <c r="AJ92" i="37" s="1"/>
  <c r="T92" i="37" s="1"/>
  <c r="V92" i="37" s="1"/>
  <c r="R91" i="35"/>
  <c r="R211" i="35"/>
  <c r="R233" i="35"/>
  <c r="R240" i="35"/>
  <c r="AK325" i="35"/>
  <c r="AL325" i="35" s="1"/>
  <c r="R327" i="35"/>
  <c r="U499" i="35"/>
  <c r="AI562" i="35"/>
  <c r="AK567" i="35"/>
  <c r="AL567" i="35" s="1"/>
  <c r="AJ676" i="35"/>
  <c r="T676" i="35" s="1"/>
  <c r="V676" i="35" s="1"/>
  <c r="AJ678" i="35"/>
  <c r="T678" i="35" s="1"/>
  <c r="V678" i="35" s="1"/>
  <c r="AJ24" i="36"/>
  <c r="AK60" i="36"/>
  <c r="AL60" i="36" s="1"/>
  <c r="R71" i="36"/>
  <c r="U71" i="36" s="1"/>
  <c r="AJ71" i="36"/>
  <c r="T71" i="36" s="1"/>
  <c r="V71" i="36" s="1"/>
  <c r="AJ83" i="36"/>
  <c r="T83" i="36" s="1"/>
  <c r="V83" i="36" s="1"/>
  <c r="AI148" i="36"/>
  <c r="U170" i="36"/>
  <c r="U176" i="36"/>
  <c r="AH248" i="36"/>
  <c r="AK413" i="36"/>
  <c r="AL413" i="36" s="1"/>
  <c r="AK508" i="36"/>
  <c r="AL508" i="36" s="1"/>
  <c r="AJ517" i="36"/>
  <c r="T517" i="36" s="1"/>
  <c r="V517" i="36" s="1"/>
  <c r="U527" i="36"/>
  <c r="U589" i="36"/>
  <c r="R593" i="36"/>
  <c r="U593" i="36" s="1"/>
  <c r="AJ594" i="36"/>
  <c r="T594" i="36" s="1"/>
  <c r="V594" i="36" s="1"/>
  <c r="O58" i="36"/>
  <c r="O35" i="36" s="1"/>
  <c r="AK18" i="37"/>
  <c r="AL18" i="37" s="1"/>
  <c r="AK20" i="37"/>
  <c r="AL20" i="37" s="1"/>
  <c r="AK22" i="37"/>
  <c r="AL22" i="37" s="1"/>
  <c r="AK41" i="37"/>
  <c r="AL41" i="37" s="1"/>
  <c r="AK43" i="37"/>
  <c r="AL43" i="37" s="1"/>
  <c r="AK45" i="37"/>
  <c r="AL45" i="37" s="1"/>
  <c r="AK47" i="37"/>
  <c r="AL47" i="37" s="1"/>
  <c r="Q12" i="35"/>
  <c r="R12" i="35" s="1"/>
  <c r="R135" i="35"/>
  <c r="AJ141" i="35"/>
  <c r="T141" i="35" s="1"/>
  <c r="V141" i="35" s="1"/>
  <c r="AI161" i="35"/>
  <c r="AJ222" i="35"/>
  <c r="T222" i="35" s="1"/>
  <c r="V222" i="35" s="1"/>
  <c r="R227" i="35"/>
  <c r="R328" i="35"/>
  <c r="U328" i="35" s="1"/>
  <c r="R404" i="35"/>
  <c r="U404" i="35" s="1"/>
  <c r="U416" i="36"/>
  <c r="R437" i="36"/>
  <c r="U437" i="36" s="1"/>
  <c r="AK509" i="36"/>
  <c r="AL509" i="36" s="1"/>
  <c r="U561" i="36"/>
  <c r="AK567" i="36"/>
  <c r="AL567" i="36" s="1"/>
  <c r="U602" i="36"/>
  <c r="AI39" i="37"/>
  <c r="AJ39" i="37" s="1"/>
  <c r="T39" i="37" s="1"/>
  <c r="V39" i="37" s="1"/>
  <c r="U149" i="35"/>
  <c r="R231" i="35"/>
  <c r="U231" i="35" s="1"/>
  <c r="R235" i="35"/>
  <c r="R348" i="35"/>
  <c r="U348" i="35" s="1"/>
  <c r="AJ377" i="35"/>
  <c r="T377" i="35" s="1"/>
  <c r="V377" i="35" s="1"/>
  <c r="R478" i="35"/>
  <c r="U478" i="35" s="1"/>
  <c r="AJ542" i="35"/>
  <c r="T542" i="35" s="1"/>
  <c r="V542" i="35" s="1"/>
  <c r="AK563" i="35"/>
  <c r="AL563" i="35" s="1"/>
  <c r="AK571" i="35"/>
  <c r="AL571" i="35" s="1"/>
  <c r="R586" i="35"/>
  <c r="AJ591" i="35"/>
  <c r="T591" i="35" s="1"/>
  <c r="V591" i="35" s="1"/>
  <c r="AI608" i="35"/>
  <c r="AJ608" i="35" s="1"/>
  <c r="T608" i="35" s="1"/>
  <c r="V608" i="35" s="1"/>
  <c r="R660" i="35"/>
  <c r="U660" i="35" s="1"/>
  <c r="AH59" i="36"/>
  <c r="AH58" i="36" s="1"/>
  <c r="U63" i="36"/>
  <c r="AI75" i="36"/>
  <c r="AJ75" i="36" s="1"/>
  <c r="T75" i="36" s="1"/>
  <c r="V75" i="36" s="1"/>
  <c r="AI89" i="36"/>
  <c r="AJ162" i="36"/>
  <c r="T162" i="36" s="1"/>
  <c r="V162" i="36" s="1"/>
  <c r="R202" i="36"/>
  <c r="Q248" i="36"/>
  <c r="R350" i="36" s="1"/>
  <c r="AK297" i="36"/>
  <c r="AL297" i="36" s="1"/>
  <c r="AJ358" i="36"/>
  <c r="T358" i="36" s="1"/>
  <c r="V358" i="36" s="1"/>
  <c r="R380" i="36"/>
  <c r="AI408" i="36"/>
  <c r="AJ408" i="36" s="1"/>
  <c r="T408" i="36" s="1"/>
  <c r="V408" i="36" s="1"/>
  <c r="AJ425" i="36"/>
  <c r="T425" i="36" s="1"/>
  <c r="V425" i="36" s="1"/>
  <c r="AK571" i="36"/>
  <c r="AL571" i="36" s="1"/>
  <c r="R591" i="36"/>
  <c r="U591" i="36" s="1"/>
  <c r="R660" i="36"/>
  <c r="U660" i="36" s="1"/>
  <c r="R663" i="36"/>
  <c r="R664" i="36"/>
  <c r="R14" i="37"/>
  <c r="AS15" i="37"/>
  <c r="AK19" i="37"/>
  <c r="AL19" i="37" s="1"/>
  <c r="AK21" i="37"/>
  <c r="AL21" i="37" s="1"/>
  <c r="AK23" i="37"/>
  <c r="AL23" i="37" s="1"/>
  <c r="AK40" i="37"/>
  <c r="AL40" i="37" s="1"/>
  <c r="AK42" i="37"/>
  <c r="AL42" i="37" s="1"/>
  <c r="AK44" i="37"/>
  <c r="AL44" i="37" s="1"/>
  <c r="AK46" i="37"/>
  <c r="AL46" i="37" s="1"/>
  <c r="AK48" i="37"/>
  <c r="AL48" i="37" s="1"/>
  <c r="U151" i="37"/>
  <c r="AK56" i="37"/>
  <c r="AL56" i="37" s="1"/>
  <c r="AJ56" i="37"/>
  <c r="T56" i="37" s="1"/>
  <c r="V56" i="37" s="1"/>
  <c r="AI55" i="37"/>
  <c r="R14" i="35"/>
  <c r="Q10" i="35"/>
  <c r="R17" i="35" s="1"/>
  <c r="U17" i="35" s="1"/>
  <c r="AI62" i="35"/>
  <c r="R74" i="35"/>
  <c r="U74" i="35" s="1"/>
  <c r="U77" i="35"/>
  <c r="AK100" i="35"/>
  <c r="AL100" i="35" s="1"/>
  <c r="AK102" i="35"/>
  <c r="AL102" i="35" s="1"/>
  <c r="AJ127" i="35"/>
  <c r="T127" i="35" s="1"/>
  <c r="V127" i="35" s="1"/>
  <c r="R145" i="35"/>
  <c r="U145" i="35" s="1"/>
  <c r="AK203" i="35"/>
  <c r="AL203" i="35" s="1"/>
  <c r="R219" i="35"/>
  <c r="R220" i="35"/>
  <c r="R225" i="35"/>
  <c r="AJ230" i="35"/>
  <c r="T230" i="35" s="1"/>
  <c r="V230" i="35" s="1"/>
  <c r="R232" i="35"/>
  <c r="R236" i="35"/>
  <c r="R239" i="35"/>
  <c r="R242" i="35"/>
  <c r="AJ309" i="35"/>
  <c r="T309" i="35" s="1"/>
  <c r="V309" i="35" s="1"/>
  <c r="R326" i="35"/>
  <c r="U326" i="35" s="1"/>
  <c r="R342" i="35"/>
  <c r="U342" i="35" s="1"/>
  <c r="R345" i="35"/>
  <c r="U345" i="35" s="1"/>
  <c r="R349" i="35"/>
  <c r="AJ423" i="35"/>
  <c r="T423" i="35" s="1"/>
  <c r="V423" i="35" s="1"/>
  <c r="AI530" i="35"/>
  <c r="AK644" i="35"/>
  <c r="AL644" i="35" s="1"/>
  <c r="U678" i="35"/>
  <c r="AK81" i="36"/>
  <c r="AL81" i="36" s="1"/>
  <c r="U150" i="36"/>
  <c r="AK159" i="36"/>
  <c r="AL159" i="36" s="1"/>
  <c r="U665" i="36"/>
  <c r="P59" i="37"/>
  <c r="R147" i="37"/>
  <c r="U147" i="37" s="1"/>
  <c r="R210" i="37"/>
  <c r="U210" i="37" s="1"/>
  <c r="R213" i="37"/>
  <c r="U213" i="37" s="1"/>
  <c r="U220" i="37"/>
  <c r="AK325" i="37"/>
  <c r="AL325" i="37" s="1"/>
  <c r="U335" i="37"/>
  <c r="R333" i="37"/>
  <c r="U333" i="37" s="1"/>
  <c r="R449" i="37"/>
  <c r="U449" i="37" s="1"/>
  <c r="U486" i="37"/>
  <c r="R575" i="37"/>
  <c r="R582" i="37"/>
  <c r="U582" i="37" s="1"/>
  <c r="R583" i="37"/>
  <c r="U583" i="37" s="1"/>
  <c r="AK585" i="37"/>
  <c r="AL585" i="37" s="1"/>
  <c r="R607" i="37"/>
  <c r="U607" i="37" s="1"/>
  <c r="AJ620" i="37"/>
  <c r="T620" i="37" s="1"/>
  <c r="V620" i="37" s="1"/>
  <c r="R626" i="37"/>
  <c r="U626" i="37" s="1"/>
  <c r="AJ643" i="37"/>
  <c r="T643" i="37" s="1"/>
  <c r="V643" i="37" s="1"/>
  <c r="AJ659" i="37"/>
  <c r="T659" i="37" s="1"/>
  <c r="V659" i="37" s="1"/>
  <c r="R131" i="37"/>
  <c r="U131" i="37" s="1"/>
  <c r="R160" i="37"/>
  <c r="U160" i="37" s="1"/>
  <c r="AI168" i="37"/>
  <c r="AJ168" i="37" s="1"/>
  <c r="T168" i="37" s="1"/>
  <c r="V168" i="37" s="1"/>
  <c r="U176" i="37"/>
  <c r="U184" i="37"/>
  <c r="U188" i="37"/>
  <c r="U197" i="37"/>
  <c r="R194" i="37"/>
  <c r="R195" i="37"/>
  <c r="R198" i="37"/>
  <c r="U198" i="37" s="1"/>
  <c r="R199" i="37"/>
  <c r="R203" i="37"/>
  <c r="U203" i="37" s="1"/>
  <c r="AJ209" i="37"/>
  <c r="T209" i="37" s="1"/>
  <c r="V209" i="37" s="1"/>
  <c r="R214" i="37"/>
  <c r="U214" i="37" s="1"/>
  <c r="U239" i="37"/>
  <c r="U291" i="37"/>
  <c r="U314" i="37"/>
  <c r="AK309" i="37"/>
  <c r="AL309" i="37" s="1"/>
  <c r="AJ332" i="37"/>
  <c r="T332" i="37" s="1"/>
  <c r="V332" i="37" s="1"/>
  <c r="AI364" i="37"/>
  <c r="AJ364" i="37" s="1"/>
  <c r="T364" i="37" s="1"/>
  <c r="V364" i="37" s="1"/>
  <c r="U384" i="37"/>
  <c r="U399" i="37"/>
  <c r="AK422" i="37"/>
  <c r="AL422" i="37" s="1"/>
  <c r="R423" i="37"/>
  <c r="U444" i="37"/>
  <c r="R441" i="37"/>
  <c r="R442" i="37"/>
  <c r="R443" i="37"/>
  <c r="AJ447" i="37"/>
  <c r="T447" i="37" s="1"/>
  <c r="V447" i="37" s="1"/>
  <c r="R465" i="37"/>
  <c r="U472" i="37"/>
  <c r="R481" i="37"/>
  <c r="U489" i="37"/>
  <c r="R485" i="37"/>
  <c r="R488" i="37"/>
  <c r="U488" i="37" s="1"/>
  <c r="AK542" i="37"/>
  <c r="AL542" i="37" s="1"/>
  <c r="AK572" i="37"/>
  <c r="AL572" i="37" s="1"/>
  <c r="R576" i="37"/>
  <c r="AJ585" i="37"/>
  <c r="T585" i="37" s="1"/>
  <c r="V585" i="37" s="1"/>
  <c r="R588" i="37"/>
  <c r="U588" i="37" s="1"/>
  <c r="R589" i="37"/>
  <c r="R593" i="37"/>
  <c r="U593" i="37" s="1"/>
  <c r="AK81" i="37"/>
  <c r="AL81" i="37" s="1"/>
  <c r="AJ86" i="37"/>
  <c r="T86" i="37" s="1"/>
  <c r="V86" i="37" s="1"/>
  <c r="R100" i="37"/>
  <c r="U100" i="37" s="1"/>
  <c r="R135" i="37"/>
  <c r="U135" i="37" s="1"/>
  <c r="R150" i="37"/>
  <c r="U150" i="37" s="1"/>
  <c r="R158" i="37"/>
  <c r="U158" i="37" s="1"/>
  <c r="AJ159" i="37"/>
  <c r="T159" i="37" s="1"/>
  <c r="V159" i="37" s="1"/>
  <c r="R163" i="37"/>
  <c r="U163" i="37" s="1"/>
  <c r="AJ171" i="37"/>
  <c r="T171" i="37" s="1"/>
  <c r="V171" i="37" s="1"/>
  <c r="R187" i="37"/>
  <c r="U187" i="37" s="1"/>
  <c r="R191" i="37"/>
  <c r="U191" i="37" s="1"/>
  <c r="AJ193" i="37"/>
  <c r="T192" i="37" s="1"/>
  <c r="V192" i="37" s="1"/>
  <c r="R196" i="37"/>
  <c r="U196" i="37" s="1"/>
  <c r="R200" i="37"/>
  <c r="U200" i="37" s="1"/>
  <c r="R217" i="37"/>
  <c r="U217" i="37" s="1"/>
  <c r="AK220" i="37"/>
  <c r="AL220" i="37" s="1"/>
  <c r="U227" i="37"/>
  <c r="AK222" i="37"/>
  <c r="AL222" i="37" s="1"/>
  <c r="R245" i="37"/>
  <c r="U245" i="37" s="1"/>
  <c r="AI249" i="37"/>
  <c r="AJ249" i="37" s="1"/>
  <c r="T249" i="37" s="1"/>
  <c r="V249" i="37" s="1"/>
  <c r="AJ250" i="37"/>
  <c r="T250" i="37" s="1"/>
  <c r="V250" i="37" s="1"/>
  <c r="AK262" i="37"/>
  <c r="AL262" i="37" s="1"/>
  <c r="R269" i="37"/>
  <c r="R270" i="37"/>
  <c r="U270" i="37" s="1"/>
  <c r="U288" i="37"/>
  <c r="R302" i="37"/>
  <c r="U302" i="37" s="1"/>
  <c r="R316" i="37"/>
  <c r="U316" i="37" s="1"/>
  <c r="U324" i="37"/>
  <c r="R318" i="37"/>
  <c r="U318" i="37" s="1"/>
  <c r="R327" i="37"/>
  <c r="U327" i="37" s="1"/>
  <c r="R328" i="37"/>
  <c r="U328" i="37" s="1"/>
  <c r="R337" i="37"/>
  <c r="U337" i="37" s="1"/>
  <c r="AK369" i="37"/>
  <c r="AL369" i="37" s="1"/>
  <c r="AK373" i="37"/>
  <c r="AL373" i="37" s="1"/>
  <c r="U383" i="37"/>
  <c r="AK377" i="37"/>
  <c r="AL377" i="37" s="1"/>
  <c r="R409" i="37"/>
  <c r="R416" i="37"/>
  <c r="U416" i="37" s="1"/>
  <c r="AK418" i="37"/>
  <c r="AL418" i="37" s="1"/>
  <c r="U433" i="37"/>
  <c r="R426" i="37"/>
  <c r="U426" i="37" s="1"/>
  <c r="R434" i="37"/>
  <c r="U434" i="37" s="1"/>
  <c r="R459" i="37"/>
  <c r="U475" i="37"/>
  <c r="R468" i="37"/>
  <c r="R484" i="37"/>
  <c r="U484" i="37" s="1"/>
  <c r="U493" i="37"/>
  <c r="AK509" i="37"/>
  <c r="AL509" i="37" s="1"/>
  <c r="AK510" i="37"/>
  <c r="AL510" i="37" s="1"/>
  <c r="R513" i="37"/>
  <c r="AK521" i="37"/>
  <c r="AL521" i="37" s="1"/>
  <c r="U528" i="37"/>
  <c r="AJ523" i="37"/>
  <c r="T523" i="37" s="1"/>
  <c r="V523" i="37" s="1"/>
  <c r="AK538" i="37"/>
  <c r="AL538" i="37" s="1"/>
  <c r="R561" i="37"/>
  <c r="U561" i="37" s="1"/>
  <c r="R599" i="37"/>
  <c r="U599" i="37" s="1"/>
  <c r="AI618" i="37"/>
  <c r="AJ618" i="37" s="1"/>
  <c r="T618" i="37" s="1"/>
  <c r="V618" i="37" s="1"/>
  <c r="U642" i="37"/>
  <c r="R641" i="37"/>
  <c r="AJ644" i="37"/>
  <c r="T644" i="37" s="1"/>
  <c r="V644" i="37" s="1"/>
  <c r="R653" i="37"/>
  <c r="U669" i="37"/>
  <c r="V662" i="37"/>
  <c r="R663" i="37"/>
  <c r="U663" i="37" s="1"/>
  <c r="U670" i="37"/>
  <c r="U674" i="37"/>
  <c r="V675" i="37"/>
  <c r="AJ678" i="37"/>
  <c r="T678" i="37" s="1"/>
  <c r="V678" i="37" s="1"/>
  <c r="U686" i="37"/>
  <c r="R77" i="37"/>
  <c r="U77" i="37" s="1"/>
  <c r="R85" i="37"/>
  <c r="U85" i="37" s="1"/>
  <c r="R95" i="37"/>
  <c r="U95" i="37" s="1"/>
  <c r="R97" i="37"/>
  <c r="R101" i="37"/>
  <c r="R120" i="37"/>
  <c r="R122" i="37"/>
  <c r="U122" i="37" s="1"/>
  <c r="AH124" i="37"/>
  <c r="AH58" i="37" s="1"/>
  <c r="AH35" i="37" s="1"/>
  <c r="AJ157" i="37"/>
  <c r="T157" i="37" s="1"/>
  <c r="V157" i="37" s="1"/>
  <c r="AJ162" i="37"/>
  <c r="T162" i="37" s="1"/>
  <c r="V162" i="37" s="1"/>
  <c r="U190" i="37"/>
  <c r="R204" i="37"/>
  <c r="U204" i="37" s="1"/>
  <c r="R205" i="37"/>
  <c r="U205" i="37" s="1"/>
  <c r="R208" i="37"/>
  <c r="R212" i="37"/>
  <c r="U212" i="37" s="1"/>
  <c r="U247" i="37"/>
  <c r="R231" i="37"/>
  <c r="U231" i="37" s="1"/>
  <c r="AH248" i="37"/>
  <c r="AJ251" i="37"/>
  <c r="T251" i="37" s="1"/>
  <c r="V251" i="37" s="1"/>
  <c r="U271" i="37"/>
  <c r="R265" i="37"/>
  <c r="U265" i="37" s="1"/>
  <c r="R266" i="37"/>
  <c r="AJ287" i="37"/>
  <c r="T287" i="37" s="1"/>
  <c r="V287" i="37" s="1"/>
  <c r="U289" i="37"/>
  <c r="U308" i="37"/>
  <c r="R298" i="37"/>
  <c r="U298" i="37" s="1"/>
  <c r="U363" i="37"/>
  <c r="AK356" i="37"/>
  <c r="AL356" i="37" s="1"/>
  <c r="AJ365" i="37"/>
  <c r="T365" i="37" s="1"/>
  <c r="V365" i="37" s="1"/>
  <c r="AK370" i="37"/>
  <c r="AL370" i="37" s="1"/>
  <c r="AK374" i="37"/>
  <c r="AL374" i="37" s="1"/>
  <c r="AI387" i="37"/>
  <c r="AJ387" i="37" s="1"/>
  <c r="T387" i="37" s="1"/>
  <c r="V387" i="37" s="1"/>
  <c r="AI408" i="37"/>
  <c r="AJ408" i="37" s="1"/>
  <c r="T408" i="37" s="1"/>
  <c r="V408" i="37" s="1"/>
  <c r="R424" i="37"/>
  <c r="R438" i="37"/>
  <c r="U438" i="37" s="1"/>
  <c r="R439" i="37"/>
  <c r="U439" i="37" s="1"/>
  <c r="R445" i="37"/>
  <c r="R446" i="37"/>
  <c r="U446" i="37" s="1"/>
  <c r="R453" i="37"/>
  <c r="U453" i="37" s="1"/>
  <c r="R477" i="37"/>
  <c r="U477" i="37" s="1"/>
  <c r="R487" i="37"/>
  <c r="AK516" i="37"/>
  <c r="AL516" i="37" s="1"/>
  <c r="R519" i="37"/>
  <c r="U519" i="37" s="1"/>
  <c r="AJ553" i="37"/>
  <c r="T553" i="37" s="1"/>
  <c r="V553" i="37" s="1"/>
  <c r="R579" i="37"/>
  <c r="U579" i="37" s="1"/>
  <c r="U592" i="37"/>
  <c r="AJ594" i="37"/>
  <c r="T594" i="37" s="1"/>
  <c r="V594" i="37" s="1"/>
  <c r="R600" i="37"/>
  <c r="U600" i="37" s="1"/>
  <c r="R618" i="37"/>
  <c r="R649" i="37"/>
  <c r="U649" i="37" s="1"/>
  <c r="U660" i="37"/>
  <c r="R666" i="37"/>
  <c r="U666" i="37" s="1"/>
  <c r="R667" i="37"/>
  <c r="R671" i="37"/>
  <c r="U671" i="37" s="1"/>
  <c r="AK15" i="37"/>
  <c r="AL15" i="37" s="1"/>
  <c r="AK74" i="37"/>
  <c r="AL74" i="37" s="1"/>
  <c r="AJ74" i="37"/>
  <c r="T74" i="37" s="1"/>
  <c r="V74" i="37" s="1"/>
  <c r="AI72" i="37"/>
  <c r="AJ72" i="37" s="1"/>
  <c r="T72" i="37" s="1"/>
  <c r="V72" i="37" s="1"/>
  <c r="AK94" i="37"/>
  <c r="AL94" i="37" s="1"/>
  <c r="AJ94" i="37"/>
  <c r="T94" i="37" s="1"/>
  <c r="V94" i="37" s="1"/>
  <c r="AK51" i="37"/>
  <c r="AL51" i="37" s="1"/>
  <c r="R51" i="37"/>
  <c r="AK152" i="37"/>
  <c r="AL152" i="37" s="1"/>
  <c r="AI148" i="37"/>
  <c r="AJ148" i="37" s="1"/>
  <c r="T148" i="37" s="1"/>
  <c r="V148" i="37" s="1"/>
  <c r="AJ152" i="37"/>
  <c r="T152" i="37" s="1"/>
  <c r="V152" i="37" s="1"/>
  <c r="Q10" i="37"/>
  <c r="U61" i="37"/>
  <c r="U98" i="37"/>
  <c r="U101" i="37"/>
  <c r="U102" i="37"/>
  <c r="U103" i="37"/>
  <c r="U105" i="37"/>
  <c r="U143" i="37"/>
  <c r="U149" i="37"/>
  <c r="AK97" i="37"/>
  <c r="AL97" i="37" s="1"/>
  <c r="AJ97" i="37"/>
  <c r="T97" i="37" s="1"/>
  <c r="V97" i="37" s="1"/>
  <c r="AK120" i="37"/>
  <c r="AL120" i="37" s="1"/>
  <c r="AJ120" i="37"/>
  <c r="T120" i="37" s="1"/>
  <c r="V120" i="37" s="1"/>
  <c r="AI110" i="37"/>
  <c r="AJ110" i="37" s="1"/>
  <c r="T110" i="37" s="1"/>
  <c r="V110" i="37" s="1"/>
  <c r="AK141" i="37"/>
  <c r="AL141" i="37" s="1"/>
  <c r="AJ141" i="37"/>
  <c r="T141" i="37" s="1"/>
  <c r="V141" i="37" s="1"/>
  <c r="AJ55" i="37"/>
  <c r="T55" i="37" s="1"/>
  <c r="V55" i="37" s="1"/>
  <c r="AK55" i="37"/>
  <c r="AL55" i="37" s="1"/>
  <c r="R55" i="37"/>
  <c r="AK67" i="37"/>
  <c r="AL67" i="37" s="1"/>
  <c r="AI66" i="37"/>
  <c r="AJ67" i="37"/>
  <c r="T67" i="37" s="1"/>
  <c r="AK71" i="37"/>
  <c r="AL71" i="37" s="1"/>
  <c r="AJ71" i="37"/>
  <c r="T71" i="37" s="1"/>
  <c r="AK146" i="37"/>
  <c r="AL146" i="37" s="1"/>
  <c r="AJ146" i="37"/>
  <c r="T146" i="37" s="1"/>
  <c r="V146" i="37" s="1"/>
  <c r="AI144" i="37"/>
  <c r="AJ144" i="37" s="1"/>
  <c r="T144" i="37" s="1"/>
  <c r="AK29" i="37"/>
  <c r="AL29" i="37" s="1"/>
  <c r="U64" i="37"/>
  <c r="U84" i="37"/>
  <c r="AK60" i="37"/>
  <c r="AL60" i="37" s="1"/>
  <c r="R93" i="37"/>
  <c r="AK92" i="37"/>
  <c r="AL92" i="37" s="1"/>
  <c r="R157" i="37"/>
  <c r="T193" i="37"/>
  <c r="V193" i="37" s="1"/>
  <c r="R26" i="37"/>
  <c r="AJ27" i="37"/>
  <c r="T27" i="37" s="1"/>
  <c r="V27" i="37" s="1"/>
  <c r="AI26" i="37"/>
  <c r="AK26" i="37" s="1"/>
  <c r="R39" i="37"/>
  <c r="Q37" i="37"/>
  <c r="AK63" i="37"/>
  <c r="AL63" i="37" s="1"/>
  <c r="AI62" i="37"/>
  <c r="AJ63" i="37"/>
  <c r="T63" i="37" s="1"/>
  <c r="AK121" i="37"/>
  <c r="AL121" i="37" s="1"/>
  <c r="AJ121" i="37"/>
  <c r="T121" i="37" s="1"/>
  <c r="V121" i="37" s="1"/>
  <c r="AK126" i="37"/>
  <c r="AL126" i="37" s="1"/>
  <c r="AI125" i="37"/>
  <c r="AJ126" i="37"/>
  <c r="T126" i="37" s="1"/>
  <c r="V126" i="37" s="1"/>
  <c r="AK192" i="37"/>
  <c r="AL192" i="37" s="1"/>
  <c r="AI181" i="37"/>
  <c r="R644" i="37"/>
  <c r="R523" i="37"/>
  <c r="R553" i="37"/>
  <c r="R511" i="37"/>
  <c r="R264" i="37"/>
  <c r="U264" i="37" s="1"/>
  <c r="R356" i="37"/>
  <c r="R287" i="37"/>
  <c r="R483" i="37"/>
  <c r="R325" i="37"/>
  <c r="R309" i="37"/>
  <c r="R387" i="37"/>
  <c r="U387" i="37" s="1"/>
  <c r="R377" i="37"/>
  <c r="AK72" i="37"/>
  <c r="AL72" i="37" s="1"/>
  <c r="AI96" i="37"/>
  <c r="R156" i="37"/>
  <c r="U156" i="37" s="1"/>
  <c r="AJ155" i="37"/>
  <c r="T155" i="37" s="1"/>
  <c r="V155" i="37" s="1"/>
  <c r="R155" i="37"/>
  <c r="R167" i="37"/>
  <c r="U167" i="37" s="1"/>
  <c r="R166" i="37"/>
  <c r="U166" i="37" s="1"/>
  <c r="AK165" i="37"/>
  <c r="AL165" i="37" s="1"/>
  <c r="V200" i="37"/>
  <c r="Q180" i="37"/>
  <c r="AK241" i="37"/>
  <c r="AL241" i="37" s="1"/>
  <c r="R285" i="37"/>
  <c r="U285" i="37" s="1"/>
  <c r="R281" i="37"/>
  <c r="U281" i="37" s="1"/>
  <c r="R277" i="37"/>
  <c r="U277" i="37" s="1"/>
  <c r="R284" i="37"/>
  <c r="U284" i="37" s="1"/>
  <c r="R280" i="37"/>
  <c r="U280" i="37" s="1"/>
  <c r="R276" i="37"/>
  <c r="U276" i="37" s="1"/>
  <c r="R286" i="37"/>
  <c r="U286" i="37" s="1"/>
  <c r="R282" i="37"/>
  <c r="U282" i="37" s="1"/>
  <c r="R278" i="37"/>
  <c r="U278" i="37" s="1"/>
  <c r="AK275" i="37"/>
  <c r="AL275" i="37" s="1"/>
  <c r="R275" i="37"/>
  <c r="AI68" i="37"/>
  <c r="AJ68" i="37" s="1"/>
  <c r="T68" i="37" s="1"/>
  <c r="V68" i="37" s="1"/>
  <c r="R69" i="37"/>
  <c r="U69" i="37" s="1"/>
  <c r="R73" i="37"/>
  <c r="U73" i="37" s="1"/>
  <c r="R76" i="37"/>
  <c r="U76" i="37" s="1"/>
  <c r="R82" i="37"/>
  <c r="U82" i="37" s="1"/>
  <c r="AK83" i="37"/>
  <c r="AL83" i="37" s="1"/>
  <c r="R104" i="37"/>
  <c r="U104" i="37" s="1"/>
  <c r="R109" i="37"/>
  <c r="U109" i="37" s="1"/>
  <c r="R111" i="37"/>
  <c r="U111" i="37" s="1"/>
  <c r="R112" i="37"/>
  <c r="U112" i="37" s="1"/>
  <c r="R113" i="37"/>
  <c r="U113" i="37" s="1"/>
  <c r="R114" i="37"/>
  <c r="U114" i="37" s="1"/>
  <c r="R115" i="37"/>
  <c r="U115" i="37" s="1"/>
  <c r="R116" i="37"/>
  <c r="U116" i="37" s="1"/>
  <c r="R117" i="37"/>
  <c r="U117" i="37" s="1"/>
  <c r="R118" i="37"/>
  <c r="U118" i="37" s="1"/>
  <c r="R119" i="37"/>
  <c r="U119" i="37" s="1"/>
  <c r="R128" i="37"/>
  <c r="U128" i="37" s="1"/>
  <c r="R132" i="37"/>
  <c r="U132" i="37" s="1"/>
  <c r="R134" i="37"/>
  <c r="U134" i="37" s="1"/>
  <c r="R138" i="37"/>
  <c r="U138" i="37" s="1"/>
  <c r="R140" i="37"/>
  <c r="U140" i="37" s="1"/>
  <c r="R145" i="37"/>
  <c r="U145" i="37" s="1"/>
  <c r="AK155" i="37"/>
  <c r="AL155" i="37" s="1"/>
  <c r="U177" i="37"/>
  <c r="U199" i="37"/>
  <c r="U208" i="37"/>
  <c r="U266" i="37"/>
  <c r="U273" i="37"/>
  <c r="R283" i="37"/>
  <c r="U283" i="37" s="1"/>
  <c r="U343" i="37"/>
  <c r="R154" i="37"/>
  <c r="R152" i="37"/>
  <c r="V196" i="37"/>
  <c r="AK219" i="37"/>
  <c r="AL219" i="37" s="1"/>
  <c r="AJ219" i="37"/>
  <c r="T219" i="37" s="1"/>
  <c r="V219" i="37" s="1"/>
  <c r="R261" i="37"/>
  <c r="U261" i="37" s="1"/>
  <c r="R255" i="37"/>
  <c r="U255" i="37" s="1"/>
  <c r="R254" i="37"/>
  <c r="U254" i="37" s="1"/>
  <c r="R253" i="37"/>
  <c r="U253" i="37" s="1"/>
  <c r="R260" i="37"/>
  <c r="U260" i="37" s="1"/>
  <c r="R259" i="37"/>
  <c r="U259" i="37" s="1"/>
  <c r="R252" i="37"/>
  <c r="U252" i="37" s="1"/>
  <c r="R251" i="37"/>
  <c r="R250" i="37"/>
  <c r="U250" i="37" s="1"/>
  <c r="R263" i="37"/>
  <c r="U263" i="37" s="1"/>
  <c r="R262" i="37"/>
  <c r="U262" i="37" s="1"/>
  <c r="R257" i="37"/>
  <c r="U257" i="37" s="1"/>
  <c r="R256" i="37"/>
  <c r="R249" i="37"/>
  <c r="U249" i="37" s="1"/>
  <c r="Q59" i="37"/>
  <c r="R68" i="37" s="1"/>
  <c r="R72" i="37"/>
  <c r="U72" i="37" s="1"/>
  <c r="R75" i="37"/>
  <c r="AK75" i="37"/>
  <c r="AL75" i="37" s="1"/>
  <c r="R78" i="37"/>
  <c r="U78" i="37" s="1"/>
  <c r="R79" i="37"/>
  <c r="U79" i="37" s="1"/>
  <c r="R99" i="37"/>
  <c r="U99" i="37" s="1"/>
  <c r="R106" i="37"/>
  <c r="U106" i="37" s="1"/>
  <c r="R107" i="37"/>
  <c r="U107" i="37" s="1"/>
  <c r="R110" i="37"/>
  <c r="R123" i="37"/>
  <c r="U123" i="37" s="1"/>
  <c r="R127" i="37"/>
  <c r="AK127" i="37"/>
  <c r="AL127" i="37" s="1"/>
  <c r="R130" i="37"/>
  <c r="U130" i="37" s="1"/>
  <c r="R136" i="37"/>
  <c r="U136" i="37" s="1"/>
  <c r="R139" i="37"/>
  <c r="U139" i="37" s="1"/>
  <c r="AK139" i="37"/>
  <c r="AL139" i="37" s="1"/>
  <c r="R144" i="37"/>
  <c r="AH168" i="37"/>
  <c r="P180" i="37"/>
  <c r="U195" i="37"/>
  <c r="U225" i="37"/>
  <c r="U228" i="37"/>
  <c r="U269" i="37"/>
  <c r="U306" i="37"/>
  <c r="V212" i="37"/>
  <c r="R70" i="37"/>
  <c r="U70" i="37" s="1"/>
  <c r="AJ75" i="37"/>
  <c r="T75" i="37" s="1"/>
  <c r="V75" i="37" s="1"/>
  <c r="AJ127" i="37"/>
  <c r="T127" i="37" s="1"/>
  <c r="V127" i="37" s="1"/>
  <c r="R129" i="37"/>
  <c r="U129" i="37" s="1"/>
  <c r="R133" i="37"/>
  <c r="U133" i="37" s="1"/>
  <c r="R146" i="37"/>
  <c r="R153" i="37"/>
  <c r="U153" i="37" s="1"/>
  <c r="U170" i="37"/>
  <c r="U194" i="37"/>
  <c r="U224" i="37"/>
  <c r="AJ241" i="37"/>
  <c r="T241" i="37" s="1"/>
  <c r="V241" i="37" s="1"/>
  <c r="R376" i="37"/>
  <c r="U376" i="37" s="1"/>
  <c r="R375" i="37"/>
  <c r="U375" i="37" s="1"/>
  <c r="R374" i="37"/>
  <c r="U374" i="37" s="1"/>
  <c r="R373" i="37"/>
  <c r="U373" i="37" s="1"/>
  <c r="R372" i="37"/>
  <c r="U372" i="37" s="1"/>
  <c r="R371" i="37"/>
  <c r="U371" i="37" s="1"/>
  <c r="R370" i="37"/>
  <c r="U370" i="37" s="1"/>
  <c r="R369" i="37"/>
  <c r="U369" i="37" s="1"/>
  <c r="R364" i="37"/>
  <c r="R368" i="37"/>
  <c r="U368" i="37" s="1"/>
  <c r="R367" i="37"/>
  <c r="U367" i="37" s="1"/>
  <c r="R366" i="37"/>
  <c r="U366" i="37" s="1"/>
  <c r="R365" i="37"/>
  <c r="AJ465" i="37"/>
  <c r="T465" i="37" s="1"/>
  <c r="V465" i="37" s="1"/>
  <c r="AK465" i="37"/>
  <c r="AL465" i="37" s="1"/>
  <c r="AJ487" i="37"/>
  <c r="T487" i="37" s="1"/>
  <c r="V487" i="37" s="1"/>
  <c r="AK487" i="37"/>
  <c r="AL487" i="37" s="1"/>
  <c r="AI483" i="37"/>
  <c r="R502" i="37"/>
  <c r="U502" i="37" s="1"/>
  <c r="R501" i="37"/>
  <c r="U501" i="37" s="1"/>
  <c r="R503" i="37"/>
  <c r="U503" i="37" s="1"/>
  <c r="R498" i="37"/>
  <c r="U498" i="37" s="1"/>
  <c r="AK495" i="37"/>
  <c r="AL495" i="37" s="1"/>
  <c r="R495" i="37"/>
  <c r="R500" i="37"/>
  <c r="U500" i="37" s="1"/>
  <c r="R497" i="37"/>
  <c r="U497" i="37" s="1"/>
  <c r="R496" i="37"/>
  <c r="U496" i="37" s="1"/>
  <c r="R539" i="37"/>
  <c r="U539" i="37" s="1"/>
  <c r="R538" i="37"/>
  <c r="U538" i="37" s="1"/>
  <c r="R537" i="37"/>
  <c r="U537" i="37" s="1"/>
  <c r="R533" i="37"/>
  <c r="U533" i="37" s="1"/>
  <c r="AK530" i="37"/>
  <c r="AL530" i="37" s="1"/>
  <c r="R530" i="37"/>
  <c r="R536" i="37"/>
  <c r="U536" i="37" s="1"/>
  <c r="R532" i="37"/>
  <c r="U532" i="37" s="1"/>
  <c r="R541" i="37"/>
  <c r="U541" i="37" s="1"/>
  <c r="R534" i="37"/>
  <c r="U534" i="37" s="1"/>
  <c r="AJ530" i="37"/>
  <c r="T530" i="37" s="1"/>
  <c r="V530" i="37" s="1"/>
  <c r="R535" i="37"/>
  <c r="U535" i="37" s="1"/>
  <c r="R531" i="37"/>
  <c r="U531" i="37" s="1"/>
  <c r="R218" i="37"/>
  <c r="U218" i="37" s="1"/>
  <c r="R234" i="37"/>
  <c r="U234" i="37" s="1"/>
  <c r="R238" i="37"/>
  <c r="U238" i="37" s="1"/>
  <c r="R244" i="37"/>
  <c r="U244" i="37" s="1"/>
  <c r="R268" i="37"/>
  <c r="U268" i="37" s="1"/>
  <c r="R272" i="37"/>
  <c r="U272" i="37" s="1"/>
  <c r="R301" i="37"/>
  <c r="U301" i="37" s="1"/>
  <c r="R305" i="37"/>
  <c r="U305" i="37" s="1"/>
  <c r="R311" i="37"/>
  <c r="U311" i="37" s="1"/>
  <c r="R315" i="37"/>
  <c r="U315" i="37" s="1"/>
  <c r="R321" i="37"/>
  <c r="U321" i="37" s="1"/>
  <c r="R331" i="37"/>
  <c r="U331" i="37" s="1"/>
  <c r="R336" i="37"/>
  <c r="U336" i="37" s="1"/>
  <c r="R339" i="37"/>
  <c r="AJ400" i="37"/>
  <c r="T400" i="37" s="1"/>
  <c r="V400" i="37" s="1"/>
  <c r="R348" i="37"/>
  <c r="U348" i="37" s="1"/>
  <c r="R347" i="37"/>
  <c r="R353" i="37"/>
  <c r="U353" i="37" s="1"/>
  <c r="AK350" i="37"/>
  <c r="AL350" i="37" s="1"/>
  <c r="R350" i="37"/>
  <c r="U350" i="37" s="1"/>
  <c r="R352" i="37"/>
  <c r="U352" i="37" s="1"/>
  <c r="R355" i="37"/>
  <c r="U355" i="37" s="1"/>
  <c r="R351" i="37"/>
  <c r="U351" i="37" s="1"/>
  <c r="R406" i="37"/>
  <c r="U406" i="37" s="1"/>
  <c r="AK400" i="37"/>
  <c r="AL400" i="37" s="1"/>
  <c r="R400" i="37"/>
  <c r="R405" i="37"/>
  <c r="U405" i="37" s="1"/>
  <c r="R402" i="37"/>
  <c r="U402" i="37" s="1"/>
  <c r="R404" i="37"/>
  <c r="U404" i="37" s="1"/>
  <c r="R401" i="37"/>
  <c r="U401" i="37" s="1"/>
  <c r="AJ458" i="37"/>
  <c r="T458" i="37" s="1"/>
  <c r="V458" i="37" s="1"/>
  <c r="AK458" i="37"/>
  <c r="AL458" i="37" s="1"/>
  <c r="AK513" i="37"/>
  <c r="AL513" i="37" s="1"/>
  <c r="AI511" i="37"/>
  <c r="AJ513" i="37"/>
  <c r="T513" i="37" s="1"/>
  <c r="V513" i="37" s="1"/>
  <c r="R344" i="37"/>
  <c r="U344" i="37" s="1"/>
  <c r="R349" i="37"/>
  <c r="U349" i="37" s="1"/>
  <c r="R403" i="37"/>
  <c r="U403" i="37" s="1"/>
  <c r="Q161" i="37"/>
  <c r="R164" i="37"/>
  <c r="U164" i="37" s="1"/>
  <c r="R169" i="37"/>
  <c r="U169" i="37" s="1"/>
  <c r="AK169" i="37"/>
  <c r="AL169" i="37" s="1"/>
  <c r="R171" i="37"/>
  <c r="U171" i="37" s="1"/>
  <c r="AK171" i="37"/>
  <c r="AL171" i="37" s="1"/>
  <c r="R174" i="37"/>
  <c r="U174" i="37" s="1"/>
  <c r="R178" i="37"/>
  <c r="U178" i="37" s="1"/>
  <c r="R185" i="37"/>
  <c r="U185" i="37" s="1"/>
  <c r="R189" i="37"/>
  <c r="U189" i="37" s="1"/>
  <c r="AK193" i="37"/>
  <c r="AL193" i="37" s="1"/>
  <c r="AK203" i="37"/>
  <c r="AL203" i="37" s="1"/>
  <c r="R206" i="37"/>
  <c r="U206" i="37" s="1"/>
  <c r="AK209" i="37"/>
  <c r="AL209" i="37" s="1"/>
  <c r="AJ222" i="37"/>
  <c r="T222" i="37" s="1"/>
  <c r="V222" i="37" s="1"/>
  <c r="R226" i="37"/>
  <c r="U226" i="37" s="1"/>
  <c r="R232" i="37"/>
  <c r="U232" i="37" s="1"/>
  <c r="R236" i="37"/>
  <c r="U236" i="37" s="1"/>
  <c r="R240" i="37"/>
  <c r="U240" i="37" s="1"/>
  <c r="R242" i="37"/>
  <c r="U242" i="37" s="1"/>
  <c r="R246" i="37"/>
  <c r="U246" i="37" s="1"/>
  <c r="R274" i="37"/>
  <c r="U274" i="37" s="1"/>
  <c r="R299" i="37"/>
  <c r="U299" i="37" s="1"/>
  <c r="R303" i="37"/>
  <c r="U303" i="37" s="1"/>
  <c r="R307" i="37"/>
  <c r="U307" i="37" s="1"/>
  <c r="AJ309" i="37"/>
  <c r="T309" i="37" s="1"/>
  <c r="V309" i="37" s="1"/>
  <c r="R313" i="37"/>
  <c r="U313" i="37" s="1"/>
  <c r="R319" i="37"/>
  <c r="U319" i="37" s="1"/>
  <c r="R323" i="37"/>
  <c r="U323" i="37" s="1"/>
  <c r="AJ325" i="37"/>
  <c r="T325" i="37" s="1"/>
  <c r="V325" i="37" s="1"/>
  <c r="R329" i="37"/>
  <c r="U329" i="37" s="1"/>
  <c r="R334" i="37"/>
  <c r="U334" i="37" s="1"/>
  <c r="R338" i="37"/>
  <c r="U338" i="37" s="1"/>
  <c r="R340" i="37"/>
  <c r="U340" i="37" s="1"/>
  <c r="R345" i="37"/>
  <c r="U345" i="37" s="1"/>
  <c r="R354" i="37"/>
  <c r="U354" i="37" s="1"/>
  <c r="U394" i="37"/>
  <c r="U424" i="37"/>
  <c r="U441" i="37"/>
  <c r="U442" i="37"/>
  <c r="U443" i="37"/>
  <c r="U460" i="37"/>
  <c r="U481" i="37"/>
  <c r="R540" i="37"/>
  <c r="U540" i="37" s="1"/>
  <c r="R542" i="37"/>
  <c r="U604" i="37"/>
  <c r="U612" i="37"/>
  <c r="AJ421" i="37"/>
  <c r="T421" i="37" s="1"/>
  <c r="U421" i="37" s="1"/>
  <c r="AK421" i="37"/>
  <c r="AL421" i="37" s="1"/>
  <c r="AJ423" i="37"/>
  <c r="T423" i="37" s="1"/>
  <c r="V423" i="37" s="1"/>
  <c r="AK423" i="37"/>
  <c r="AL423" i="37" s="1"/>
  <c r="AJ459" i="37"/>
  <c r="T459" i="37" s="1"/>
  <c r="V459" i="37" s="1"/>
  <c r="AK459" i="37"/>
  <c r="AL459" i="37" s="1"/>
  <c r="R175" i="37"/>
  <c r="U175" i="37" s="1"/>
  <c r="R182" i="37"/>
  <c r="U182" i="37" s="1"/>
  <c r="R183" i="37"/>
  <c r="U183" i="37" s="1"/>
  <c r="R186" i="37"/>
  <c r="U186" i="37" s="1"/>
  <c r="AI201" i="37"/>
  <c r="R202" i="37"/>
  <c r="U202" i="37" s="1"/>
  <c r="R211" i="37"/>
  <c r="U211" i="37" s="1"/>
  <c r="R216" i="37"/>
  <c r="R219" i="37"/>
  <c r="U219" i="37" s="1"/>
  <c r="R223" i="37"/>
  <c r="U223" i="37" s="1"/>
  <c r="R230" i="37"/>
  <c r="U230" i="37" s="1"/>
  <c r="AK230" i="37"/>
  <c r="AL230" i="37" s="1"/>
  <c r="R233" i="37"/>
  <c r="U233" i="37" s="1"/>
  <c r="R237" i="37"/>
  <c r="U237" i="37" s="1"/>
  <c r="R243" i="37"/>
  <c r="U243" i="37" s="1"/>
  <c r="AK264" i="37"/>
  <c r="AL264" i="37" s="1"/>
  <c r="R267" i="37"/>
  <c r="U267" i="37" s="1"/>
  <c r="R295" i="37"/>
  <c r="R297" i="37"/>
  <c r="U297" i="37" s="1"/>
  <c r="AK297" i="37"/>
  <c r="AL297" i="37" s="1"/>
  <c r="R300" i="37"/>
  <c r="U300" i="37" s="1"/>
  <c r="R304" i="37"/>
  <c r="U304" i="37" s="1"/>
  <c r="R310" i="37"/>
  <c r="U310" i="37" s="1"/>
  <c r="R317" i="37"/>
  <c r="U317" i="37" s="1"/>
  <c r="AK317" i="37"/>
  <c r="AL317" i="37" s="1"/>
  <c r="R320" i="37"/>
  <c r="U320" i="37" s="1"/>
  <c r="R326" i="37"/>
  <c r="U326" i="37" s="1"/>
  <c r="R332" i="37"/>
  <c r="U332" i="37" s="1"/>
  <c r="AK332" i="37"/>
  <c r="AL332" i="37" s="1"/>
  <c r="R341" i="37"/>
  <c r="U341" i="37" s="1"/>
  <c r="R342" i="37"/>
  <c r="U342" i="37" s="1"/>
  <c r="R346" i="37"/>
  <c r="U346" i="37" s="1"/>
  <c r="U390" i="37"/>
  <c r="U409" i="37"/>
  <c r="U445" i="37"/>
  <c r="AI457" i="37"/>
  <c r="AJ457" i="37" s="1"/>
  <c r="T457" i="37" s="1"/>
  <c r="V457" i="37" s="1"/>
  <c r="U468" i="37"/>
  <c r="AJ495" i="37"/>
  <c r="T495" i="37" s="1"/>
  <c r="V495" i="37" s="1"/>
  <c r="R499" i="37"/>
  <c r="U499" i="37" s="1"/>
  <c r="AJ564" i="37"/>
  <c r="T564" i="37" s="1"/>
  <c r="V564" i="37" s="1"/>
  <c r="AI562" i="37"/>
  <c r="AJ562" i="37" s="1"/>
  <c r="T562" i="37" s="1"/>
  <c r="V562" i="37" s="1"/>
  <c r="AK564" i="37"/>
  <c r="AL564" i="37" s="1"/>
  <c r="AJ565" i="37"/>
  <c r="T565" i="37" s="1"/>
  <c r="V565" i="37" s="1"/>
  <c r="AK565" i="37"/>
  <c r="AL565" i="37" s="1"/>
  <c r="AJ566" i="37"/>
  <c r="T566" i="37" s="1"/>
  <c r="V566" i="37" s="1"/>
  <c r="AK566" i="37"/>
  <c r="AL566" i="37" s="1"/>
  <c r="AJ567" i="37"/>
  <c r="T567" i="37" s="1"/>
  <c r="V567" i="37" s="1"/>
  <c r="AK567" i="37"/>
  <c r="AL567" i="37" s="1"/>
  <c r="AJ568" i="37"/>
  <c r="T568" i="37" s="1"/>
  <c r="V568" i="37" s="1"/>
  <c r="AK568" i="37"/>
  <c r="AL568" i="37" s="1"/>
  <c r="AJ569" i="37"/>
  <c r="T569" i="37" s="1"/>
  <c r="V569" i="37" s="1"/>
  <c r="AK569" i="37"/>
  <c r="AL569" i="37" s="1"/>
  <c r="AJ570" i="37"/>
  <c r="T570" i="37" s="1"/>
  <c r="V570" i="37" s="1"/>
  <c r="AK570" i="37"/>
  <c r="AL570" i="37" s="1"/>
  <c r="AJ571" i="37"/>
  <c r="T571" i="37" s="1"/>
  <c r="V571" i="37" s="1"/>
  <c r="AK571" i="37"/>
  <c r="AL571" i="37" s="1"/>
  <c r="AJ615" i="37"/>
  <c r="T615" i="37" s="1"/>
  <c r="V615" i="37" s="1"/>
  <c r="AK615" i="37"/>
  <c r="AL615" i="37" s="1"/>
  <c r="AJ640" i="37"/>
  <c r="T640" i="37" s="1"/>
  <c r="V640" i="37" s="1"/>
  <c r="AK640" i="37"/>
  <c r="AL640" i="37" s="1"/>
  <c r="AJ676" i="37"/>
  <c r="T676" i="37" s="1"/>
  <c r="V676" i="37" s="1"/>
  <c r="AI673" i="37"/>
  <c r="AK676" i="37"/>
  <c r="AL676" i="37" s="1"/>
  <c r="AJ356" i="37"/>
  <c r="T356" i="37" s="1"/>
  <c r="V356" i="37" s="1"/>
  <c r="AJ377" i="37"/>
  <c r="T377" i="37" s="1"/>
  <c r="V377" i="37" s="1"/>
  <c r="R381" i="37"/>
  <c r="U381" i="37" s="1"/>
  <c r="R385" i="37"/>
  <c r="U385" i="37" s="1"/>
  <c r="R391" i="37"/>
  <c r="U391" i="37" s="1"/>
  <c r="R395" i="37"/>
  <c r="U395" i="37" s="1"/>
  <c r="AK397" i="37"/>
  <c r="AL397" i="37" s="1"/>
  <c r="R410" i="37"/>
  <c r="U410" i="37" s="1"/>
  <c r="AK412" i="37"/>
  <c r="AL412" i="37" s="1"/>
  <c r="AK413" i="37"/>
  <c r="AL413" i="37" s="1"/>
  <c r="AK414" i="37"/>
  <c r="AL414" i="37" s="1"/>
  <c r="R417" i="37"/>
  <c r="U417" i="37" s="1"/>
  <c r="R418" i="37"/>
  <c r="U418" i="37" s="1"/>
  <c r="R419" i="37"/>
  <c r="U419" i="37" s="1"/>
  <c r="R427" i="37"/>
  <c r="U427" i="37" s="1"/>
  <c r="R431" i="37"/>
  <c r="U431" i="37" s="1"/>
  <c r="R435" i="37"/>
  <c r="U435" i="37" s="1"/>
  <c r="R440" i="37"/>
  <c r="U440" i="37" s="1"/>
  <c r="R447" i="37"/>
  <c r="AK447" i="37"/>
  <c r="AL447" i="37" s="1"/>
  <c r="R450" i="37"/>
  <c r="U450" i="37" s="1"/>
  <c r="R454" i="37"/>
  <c r="U454" i="37" s="1"/>
  <c r="R461" i="37"/>
  <c r="U461" i="37" s="1"/>
  <c r="AK463" i="37"/>
  <c r="AL463" i="37" s="1"/>
  <c r="AK466" i="37"/>
  <c r="AL466" i="37" s="1"/>
  <c r="R469" i="37"/>
  <c r="U469" i="37" s="1"/>
  <c r="R473" i="37"/>
  <c r="U473" i="37" s="1"/>
  <c r="R478" i="37"/>
  <c r="U478" i="37" s="1"/>
  <c r="R482" i="37"/>
  <c r="U482" i="37" s="1"/>
  <c r="R490" i="37"/>
  <c r="U490" i="37" s="1"/>
  <c r="R491" i="37"/>
  <c r="U491" i="37" s="1"/>
  <c r="U526" i="37"/>
  <c r="AJ542" i="37"/>
  <c r="T542" i="37" s="1"/>
  <c r="V542" i="37" s="1"/>
  <c r="R555" i="37"/>
  <c r="U555" i="37" s="1"/>
  <c r="U589" i="37"/>
  <c r="R610" i="37"/>
  <c r="U610" i="37" s="1"/>
  <c r="R611" i="37"/>
  <c r="U611" i="37" s="1"/>
  <c r="AJ627" i="37"/>
  <c r="T627" i="37" s="1"/>
  <c r="V627" i="37" s="1"/>
  <c r="U645" i="37"/>
  <c r="U664" i="37"/>
  <c r="U678" i="37"/>
  <c r="R510" i="37"/>
  <c r="U510" i="37" s="1"/>
  <c r="R509" i="37"/>
  <c r="U509" i="37" s="1"/>
  <c r="R508" i="37"/>
  <c r="U508" i="37" s="1"/>
  <c r="R507" i="37"/>
  <c r="U507" i="37" s="1"/>
  <c r="R504" i="37"/>
  <c r="R506" i="37"/>
  <c r="U506" i="37" s="1"/>
  <c r="R564" i="37"/>
  <c r="R563" i="37"/>
  <c r="U563" i="37" s="1"/>
  <c r="R562" i="37"/>
  <c r="R357" i="37"/>
  <c r="U357" i="37" s="1"/>
  <c r="R358" i="37"/>
  <c r="U358" i="37" s="1"/>
  <c r="R359" i="37"/>
  <c r="R360" i="37"/>
  <c r="U360" i="37" s="1"/>
  <c r="R361" i="37"/>
  <c r="U361" i="37" s="1"/>
  <c r="R362" i="37"/>
  <c r="U362" i="37" s="1"/>
  <c r="R378" i="37"/>
  <c r="U378" i="37" s="1"/>
  <c r="R382" i="37"/>
  <c r="U382" i="37" s="1"/>
  <c r="R386" i="37"/>
  <c r="U386" i="37" s="1"/>
  <c r="R388" i="37"/>
  <c r="U388" i="37" s="1"/>
  <c r="R392" i="37"/>
  <c r="U392" i="37" s="1"/>
  <c r="R396" i="37"/>
  <c r="U396" i="37" s="1"/>
  <c r="AK408" i="37"/>
  <c r="AL408" i="37" s="1"/>
  <c r="R411" i="37"/>
  <c r="U411" i="37" s="1"/>
  <c r="R420" i="37"/>
  <c r="U420" i="37" s="1"/>
  <c r="R422" i="37"/>
  <c r="R425" i="37"/>
  <c r="U425" i="37" s="1"/>
  <c r="AK425" i="37"/>
  <c r="AL425" i="37" s="1"/>
  <c r="R428" i="37"/>
  <c r="U428" i="37" s="1"/>
  <c r="R432" i="37"/>
  <c r="U432" i="37" s="1"/>
  <c r="R451" i="37"/>
  <c r="U451" i="37" s="1"/>
  <c r="R455" i="37"/>
  <c r="U455" i="37" s="1"/>
  <c r="R457" i="37"/>
  <c r="R462" i="37"/>
  <c r="U462" i="37" s="1"/>
  <c r="R470" i="37"/>
  <c r="U470" i="37" s="1"/>
  <c r="R474" i="37"/>
  <c r="U474" i="37" s="1"/>
  <c r="R476" i="37"/>
  <c r="U476" i="37" s="1"/>
  <c r="AK476" i="37"/>
  <c r="AL476" i="37" s="1"/>
  <c r="R479" i="37"/>
  <c r="U479" i="37" s="1"/>
  <c r="R492" i="37"/>
  <c r="U492" i="37" s="1"/>
  <c r="U513" i="37"/>
  <c r="U514" i="37"/>
  <c r="U520" i="37"/>
  <c r="U525" i="37"/>
  <c r="U529" i="37"/>
  <c r="R554" i="37"/>
  <c r="U575" i="37"/>
  <c r="U576" i="37"/>
  <c r="R594" i="37"/>
  <c r="R595" i="37"/>
  <c r="U595" i="37" s="1"/>
  <c r="R596" i="37"/>
  <c r="U596" i="37" s="1"/>
  <c r="R603" i="37"/>
  <c r="U603" i="37" s="1"/>
  <c r="R640" i="37"/>
  <c r="U676" i="37"/>
  <c r="R548" i="37"/>
  <c r="U548" i="37" s="1"/>
  <c r="R544" i="37"/>
  <c r="U544" i="37" s="1"/>
  <c r="R551" i="37"/>
  <c r="U551" i="37" s="1"/>
  <c r="R547" i="37"/>
  <c r="U547" i="37" s="1"/>
  <c r="R543" i="37"/>
  <c r="U543" i="37" s="1"/>
  <c r="R560" i="37"/>
  <c r="U560" i="37" s="1"/>
  <c r="R557" i="37"/>
  <c r="U557" i="37" s="1"/>
  <c r="R559" i="37"/>
  <c r="U559" i="37" s="1"/>
  <c r="R556" i="37"/>
  <c r="U556" i="37" s="1"/>
  <c r="R606" i="37"/>
  <c r="U606" i="37" s="1"/>
  <c r="R602" i="37"/>
  <c r="U602" i="37" s="1"/>
  <c r="R598" i="37"/>
  <c r="U598" i="37" s="1"/>
  <c r="R605" i="37"/>
  <c r="U605" i="37" s="1"/>
  <c r="R601" i="37"/>
  <c r="U601" i="37" s="1"/>
  <c r="R597" i="37"/>
  <c r="U597" i="37" s="1"/>
  <c r="AK594" i="37"/>
  <c r="AL594" i="37" s="1"/>
  <c r="R614" i="37"/>
  <c r="U614" i="37" s="1"/>
  <c r="R609" i="37"/>
  <c r="U609" i="37" s="1"/>
  <c r="R608" i="37"/>
  <c r="R613" i="37"/>
  <c r="U613" i="37" s="1"/>
  <c r="R617" i="37"/>
  <c r="U617" i="37" s="1"/>
  <c r="AK611" i="37"/>
  <c r="AL611" i="37" s="1"/>
  <c r="AI608" i="37"/>
  <c r="R636" i="37"/>
  <c r="U636" i="37" s="1"/>
  <c r="R632" i="37"/>
  <c r="U632" i="37" s="1"/>
  <c r="R628" i="37"/>
  <c r="U628" i="37" s="1"/>
  <c r="R627" i="37"/>
  <c r="U627" i="37" s="1"/>
  <c r="R635" i="37"/>
  <c r="U635" i="37" s="1"/>
  <c r="R631" i="37"/>
  <c r="U631" i="37" s="1"/>
  <c r="R634" i="37"/>
  <c r="U634" i="37" s="1"/>
  <c r="R630" i="37"/>
  <c r="U630" i="37" s="1"/>
  <c r="AK627" i="37"/>
  <c r="AL627" i="37" s="1"/>
  <c r="R638" i="37"/>
  <c r="U638" i="37" s="1"/>
  <c r="R637" i="37"/>
  <c r="R643" i="37"/>
  <c r="U643" i="37" s="1"/>
  <c r="AJ639" i="37"/>
  <c r="T639" i="37" s="1"/>
  <c r="V639" i="37" s="1"/>
  <c r="AI637" i="37"/>
  <c r="AJ637" i="37" s="1"/>
  <c r="T637" i="37" s="1"/>
  <c r="V637" i="37" s="1"/>
  <c r="AK639" i="37"/>
  <c r="AL639" i="37" s="1"/>
  <c r="AJ641" i="37"/>
  <c r="T641" i="37" s="1"/>
  <c r="V641" i="37" s="1"/>
  <c r="AK641" i="37"/>
  <c r="AL641" i="37" s="1"/>
  <c r="R379" i="37"/>
  <c r="U379" i="37" s="1"/>
  <c r="R389" i="37"/>
  <c r="U389" i="37" s="1"/>
  <c r="R393" i="37"/>
  <c r="U393" i="37" s="1"/>
  <c r="R397" i="37"/>
  <c r="U397" i="37" s="1"/>
  <c r="R412" i="37"/>
  <c r="U412" i="37" s="1"/>
  <c r="R413" i="37"/>
  <c r="U413" i="37" s="1"/>
  <c r="R414" i="37"/>
  <c r="U414" i="37" s="1"/>
  <c r="R415" i="37"/>
  <c r="U415" i="37" s="1"/>
  <c r="R429" i="37"/>
  <c r="U429" i="37" s="1"/>
  <c r="R448" i="37"/>
  <c r="U448" i="37" s="1"/>
  <c r="R452" i="37"/>
  <c r="U452" i="37" s="1"/>
  <c r="R463" i="37"/>
  <c r="U463" i="37" s="1"/>
  <c r="R467" i="37"/>
  <c r="U467" i="37" s="1"/>
  <c r="R471" i="37"/>
  <c r="U471" i="37" s="1"/>
  <c r="AK490" i="37"/>
  <c r="AL490" i="37" s="1"/>
  <c r="R505" i="37"/>
  <c r="U505" i="37" s="1"/>
  <c r="R546" i="37"/>
  <c r="U546" i="37" s="1"/>
  <c r="R550" i="37"/>
  <c r="U550" i="37" s="1"/>
  <c r="R552" i="37"/>
  <c r="U552" i="37" s="1"/>
  <c r="R565" i="37"/>
  <c r="R566" i="37"/>
  <c r="R567" i="37"/>
  <c r="R568" i="37"/>
  <c r="R569" i="37"/>
  <c r="R570" i="37"/>
  <c r="R571" i="37"/>
  <c r="R615" i="37"/>
  <c r="R616" i="37"/>
  <c r="U616" i="37" s="1"/>
  <c r="R629" i="37"/>
  <c r="U629" i="37" s="1"/>
  <c r="U653" i="37"/>
  <c r="V666" i="37"/>
  <c r="U667" i="37"/>
  <c r="U672" i="37"/>
  <c r="V674" i="37"/>
  <c r="R620" i="37"/>
  <c r="U620" i="37" s="1"/>
  <c r="R621" i="37"/>
  <c r="U621" i="37" s="1"/>
  <c r="R646" i="37"/>
  <c r="U646" i="37" s="1"/>
  <c r="R650" i="37"/>
  <c r="U650" i="37" s="1"/>
  <c r="R654" i="37"/>
  <c r="U654" i="37" s="1"/>
  <c r="R658" i="37"/>
  <c r="U658" i="37" s="1"/>
  <c r="R684" i="37"/>
  <c r="U684" i="37" s="1"/>
  <c r="R515" i="37"/>
  <c r="U515" i="37" s="1"/>
  <c r="R521" i="37"/>
  <c r="U521" i="37" s="1"/>
  <c r="R522" i="37"/>
  <c r="U522" i="37" s="1"/>
  <c r="R527" i="37"/>
  <c r="U527" i="37" s="1"/>
  <c r="R572" i="37"/>
  <c r="U572" i="37" s="1"/>
  <c r="R573" i="37"/>
  <c r="U573" i="37" s="1"/>
  <c r="R577" i="37"/>
  <c r="U577" i="37" s="1"/>
  <c r="R580" i="37"/>
  <c r="U580" i="37" s="1"/>
  <c r="R584" i="37"/>
  <c r="U584" i="37" s="1"/>
  <c r="R585" i="37"/>
  <c r="U585" i="37" s="1"/>
  <c r="R586" i="37"/>
  <c r="U586" i="37" s="1"/>
  <c r="R590" i="37"/>
  <c r="U590" i="37" s="1"/>
  <c r="AK618" i="37"/>
  <c r="AL618" i="37" s="1"/>
  <c r="R622" i="37"/>
  <c r="R623" i="37"/>
  <c r="U623" i="37" s="1"/>
  <c r="R624" i="37"/>
  <c r="U624" i="37" s="1"/>
  <c r="AK644" i="37"/>
  <c r="AL644" i="37" s="1"/>
  <c r="R647" i="37"/>
  <c r="U647" i="37" s="1"/>
  <c r="R651" i="37"/>
  <c r="U651" i="37" s="1"/>
  <c r="R655" i="37"/>
  <c r="U655" i="37" s="1"/>
  <c r="R661" i="37"/>
  <c r="U661" i="37" s="1"/>
  <c r="R665" i="37"/>
  <c r="U665" i="37" s="1"/>
  <c r="R681" i="37"/>
  <c r="U681" i="37" s="1"/>
  <c r="R685" i="37"/>
  <c r="U685" i="37" s="1"/>
  <c r="R512" i="37"/>
  <c r="U512" i="37" s="1"/>
  <c r="R516" i="37"/>
  <c r="U516" i="37" s="1"/>
  <c r="R517" i="37"/>
  <c r="U517" i="37" s="1"/>
  <c r="R524" i="37"/>
  <c r="U524" i="37" s="1"/>
  <c r="R574" i="37"/>
  <c r="U574" i="37" s="1"/>
  <c r="R578" i="37"/>
  <c r="U578" i="37" s="1"/>
  <c r="R587" i="37"/>
  <c r="U587" i="37" s="1"/>
  <c r="R591" i="37"/>
  <c r="U591" i="37" s="1"/>
  <c r="R648" i="37"/>
  <c r="U648" i="37" s="1"/>
  <c r="R652" i="37"/>
  <c r="U652" i="37" s="1"/>
  <c r="Q679" i="37"/>
  <c r="R682" i="37"/>
  <c r="U682" i="37" s="1"/>
  <c r="V486" i="35"/>
  <c r="R76" i="35"/>
  <c r="AH180" i="35"/>
  <c r="U211" i="35"/>
  <c r="U227" i="35"/>
  <c r="U240" i="35"/>
  <c r="AK297" i="35"/>
  <c r="AL297" i="35" s="1"/>
  <c r="U327" i="35"/>
  <c r="AJ332" i="35"/>
  <c r="T332" i="35" s="1"/>
  <c r="V332" i="35" s="1"/>
  <c r="R359" i="35"/>
  <c r="R445" i="35"/>
  <c r="U445" i="35" s="1"/>
  <c r="R446" i="35"/>
  <c r="U446" i="35" s="1"/>
  <c r="AJ14" i="35"/>
  <c r="T14" i="35" s="1"/>
  <c r="V14" i="35" s="1"/>
  <c r="Q59" i="35"/>
  <c r="AH59" i="35"/>
  <c r="AK81" i="35"/>
  <c r="AL81" i="35" s="1"/>
  <c r="R87" i="35"/>
  <c r="U87" i="35" s="1"/>
  <c r="AI92" i="35"/>
  <c r="AJ92" i="35" s="1"/>
  <c r="T92" i="35" s="1"/>
  <c r="V92" i="35" s="1"/>
  <c r="AI96" i="35"/>
  <c r="AJ96" i="35" s="1"/>
  <c r="T96" i="35" s="1"/>
  <c r="V96" i="35" s="1"/>
  <c r="R128" i="35"/>
  <c r="U128" i="35" s="1"/>
  <c r="R134" i="35"/>
  <c r="R137" i="35"/>
  <c r="R152" i="35"/>
  <c r="R154" i="35"/>
  <c r="U154" i="35" s="1"/>
  <c r="R156" i="35"/>
  <c r="U160" i="35"/>
  <c r="R163" i="35"/>
  <c r="R164" i="35"/>
  <c r="U164" i="35" s="1"/>
  <c r="R166" i="35"/>
  <c r="U166" i="35" s="1"/>
  <c r="Q168" i="35"/>
  <c r="R169" i="35" s="1"/>
  <c r="R212" i="35"/>
  <c r="U212" i="35" s="1"/>
  <c r="R221" i="35"/>
  <c r="U221" i="35" s="1"/>
  <c r="R245" i="35"/>
  <c r="R246" i="35"/>
  <c r="U246" i="35" s="1"/>
  <c r="R247" i="35"/>
  <c r="U259" i="35"/>
  <c r="U283" i="35"/>
  <c r="R276" i="35"/>
  <c r="R277" i="35"/>
  <c r="U277" i="35" s="1"/>
  <c r="AJ287" i="35"/>
  <c r="T287" i="35" s="1"/>
  <c r="V287" i="35" s="1"/>
  <c r="R289" i="35"/>
  <c r="R335" i="35"/>
  <c r="U335" i="35" s="1"/>
  <c r="R338" i="35"/>
  <c r="U338" i="35" s="1"/>
  <c r="R346" i="35"/>
  <c r="U346" i="35" s="1"/>
  <c r="R353" i="35"/>
  <c r="R363" i="35"/>
  <c r="R366" i="35"/>
  <c r="R376" i="35"/>
  <c r="R389" i="35"/>
  <c r="R397" i="35"/>
  <c r="U586" i="35"/>
  <c r="U348" i="36"/>
  <c r="V460" i="35"/>
  <c r="R63" i="35"/>
  <c r="AI89" i="35"/>
  <c r="AK89" i="35" s="1"/>
  <c r="AL89" i="35" s="1"/>
  <c r="AK93" i="35"/>
  <c r="AL93" i="35" s="1"/>
  <c r="P124" i="35"/>
  <c r="U150" i="35"/>
  <c r="R151" i="35"/>
  <c r="U151" i="35" s="1"/>
  <c r="AJ155" i="35"/>
  <c r="T155" i="35" s="1"/>
  <c r="V155" i="35" s="1"/>
  <c r="AK169" i="35"/>
  <c r="AL169" i="35" s="1"/>
  <c r="R183" i="35"/>
  <c r="U183" i="35" s="1"/>
  <c r="AK209" i="35"/>
  <c r="AL209" i="35" s="1"/>
  <c r="U232" i="35"/>
  <c r="U233" i="35"/>
  <c r="U272" i="35"/>
  <c r="AK275" i="35"/>
  <c r="AL275" i="35" s="1"/>
  <c r="R278" i="35"/>
  <c r="U278" i="35" s="1"/>
  <c r="R280" i="35"/>
  <c r="R281" i="35"/>
  <c r="U281" i="35" s="1"/>
  <c r="R282" i="35"/>
  <c r="U282" i="35" s="1"/>
  <c r="R284" i="35"/>
  <c r="R285" i="35"/>
  <c r="R291" i="35"/>
  <c r="U291" i="35" s="1"/>
  <c r="R292" i="35"/>
  <c r="U292" i="35" s="1"/>
  <c r="R293" i="35"/>
  <c r="R303" i="35"/>
  <c r="R330" i="35"/>
  <c r="U330" i="35" s="1"/>
  <c r="R333" i="35"/>
  <c r="U333" i="35" s="1"/>
  <c r="R347" i="35"/>
  <c r="U347" i="35" s="1"/>
  <c r="R355" i="35"/>
  <c r="U355" i="35" s="1"/>
  <c r="R358" i="35"/>
  <c r="R382" i="35"/>
  <c r="U382" i="35" s="1"/>
  <c r="R393" i="35"/>
  <c r="AK400" i="35"/>
  <c r="AL400" i="35" s="1"/>
  <c r="R406" i="35"/>
  <c r="U406" i="35" s="1"/>
  <c r="R438" i="35"/>
  <c r="U438" i="35" s="1"/>
  <c r="V484" i="35"/>
  <c r="U484" i="35"/>
  <c r="AK60" i="35"/>
  <c r="AL60" i="35" s="1"/>
  <c r="R65" i="35"/>
  <c r="U65" i="35" s="1"/>
  <c r="AJ72" i="35"/>
  <c r="T72" i="35" s="1"/>
  <c r="V72" i="35" s="1"/>
  <c r="AI86" i="35"/>
  <c r="AJ86" i="35" s="1"/>
  <c r="T86" i="35" s="1"/>
  <c r="V86" i="35" s="1"/>
  <c r="AK87" i="35"/>
  <c r="AL87" i="35" s="1"/>
  <c r="AJ110" i="35"/>
  <c r="T110" i="35" s="1"/>
  <c r="V110" i="35" s="1"/>
  <c r="R129" i="35"/>
  <c r="R132" i="35"/>
  <c r="U132" i="35" s="1"/>
  <c r="AJ139" i="35"/>
  <c r="T139" i="35" s="1"/>
  <c r="V139" i="35" s="1"/>
  <c r="R140" i="35"/>
  <c r="U140" i="35" s="1"/>
  <c r="AJ162" i="35"/>
  <c r="T162" i="35" s="1"/>
  <c r="V162" i="35" s="1"/>
  <c r="R182" i="35"/>
  <c r="U182" i="35" s="1"/>
  <c r="U207" i="35"/>
  <c r="R202" i="35"/>
  <c r="U202" i="35" s="1"/>
  <c r="R213" i="35"/>
  <c r="U213" i="35" s="1"/>
  <c r="U218" i="35"/>
  <c r="AJ221" i="35"/>
  <c r="T221" i="35" s="1"/>
  <c r="V221" i="35" s="1"/>
  <c r="U234" i="35"/>
  <c r="AK230" i="35"/>
  <c r="AL230" i="35" s="1"/>
  <c r="R237" i="35"/>
  <c r="R243" i="35"/>
  <c r="AH248" i="35"/>
  <c r="R266" i="35"/>
  <c r="U266" i="35" s="1"/>
  <c r="R286" i="35"/>
  <c r="U286" i="35" s="1"/>
  <c r="R300" i="35"/>
  <c r="U300" i="35" s="1"/>
  <c r="AJ317" i="35"/>
  <c r="T317" i="35" s="1"/>
  <c r="V317" i="35" s="1"/>
  <c r="AJ325" i="35"/>
  <c r="T325" i="35" s="1"/>
  <c r="V325" i="35" s="1"/>
  <c r="AK332" i="35"/>
  <c r="AL332" i="35" s="1"/>
  <c r="AK346" i="35"/>
  <c r="AL346" i="35" s="1"/>
  <c r="AJ350" i="35"/>
  <c r="T350" i="35" s="1"/>
  <c r="V350" i="35" s="1"/>
  <c r="R371" i="35"/>
  <c r="R379" i="35"/>
  <c r="R383" i="35"/>
  <c r="U383" i="35" s="1"/>
  <c r="R384" i="35"/>
  <c r="U384" i="35" s="1"/>
  <c r="R385" i="35"/>
  <c r="U385" i="35" s="1"/>
  <c r="R398" i="35"/>
  <c r="AJ400" i="35"/>
  <c r="T400" i="35" s="1"/>
  <c r="V400" i="35" s="1"/>
  <c r="AI422" i="35"/>
  <c r="AJ422" i="35" s="1"/>
  <c r="T422" i="35" s="1"/>
  <c r="V422" i="35" s="1"/>
  <c r="AJ447" i="35"/>
  <c r="T447" i="35" s="1"/>
  <c r="V447" i="35" s="1"/>
  <c r="R453" i="35"/>
  <c r="U453" i="35" s="1"/>
  <c r="AJ457" i="35"/>
  <c r="T457" i="35" s="1"/>
  <c r="V457" i="35" s="1"/>
  <c r="R459" i="35"/>
  <c r="U459" i="35" s="1"/>
  <c r="AJ466" i="35"/>
  <c r="T466" i="35" s="1"/>
  <c r="V466" i="35" s="1"/>
  <c r="R471" i="35"/>
  <c r="U471" i="35" s="1"/>
  <c r="R472" i="35"/>
  <c r="U472" i="35" s="1"/>
  <c r="AK476" i="35"/>
  <c r="AL476" i="35" s="1"/>
  <c r="R505" i="35"/>
  <c r="U505" i="35" s="1"/>
  <c r="R531" i="35"/>
  <c r="U531" i="35" s="1"/>
  <c r="AJ537" i="35"/>
  <c r="T537" i="35" s="1"/>
  <c r="V537" i="35" s="1"/>
  <c r="AJ538" i="35"/>
  <c r="T538" i="35" s="1"/>
  <c r="V538" i="35" s="1"/>
  <c r="U560" i="35"/>
  <c r="U581" i="35"/>
  <c r="R582" i="35"/>
  <c r="U582" i="35" s="1"/>
  <c r="AJ594" i="35"/>
  <c r="T594" i="35" s="1"/>
  <c r="V594" i="35" s="1"/>
  <c r="AK611" i="35"/>
  <c r="AL611" i="35" s="1"/>
  <c r="R616" i="35"/>
  <c r="U616" i="35" s="1"/>
  <c r="R647" i="35"/>
  <c r="U647" i="35" s="1"/>
  <c r="R648" i="35"/>
  <c r="U648" i="35" s="1"/>
  <c r="R658" i="35"/>
  <c r="U658" i="35" s="1"/>
  <c r="R664" i="35"/>
  <c r="U664" i="35" s="1"/>
  <c r="R665" i="35"/>
  <c r="U665" i="35" s="1"/>
  <c r="R666" i="35"/>
  <c r="U666" i="35" s="1"/>
  <c r="AJ680" i="35"/>
  <c r="T680" i="35" s="1"/>
  <c r="V680" i="35" s="1"/>
  <c r="R21" i="36"/>
  <c r="R23" i="36"/>
  <c r="AK24" i="36"/>
  <c r="AK51" i="36"/>
  <c r="AL51" i="36" s="1"/>
  <c r="R80" i="36"/>
  <c r="U80" i="36" s="1"/>
  <c r="R97" i="36"/>
  <c r="R111" i="36"/>
  <c r="AJ115" i="36"/>
  <c r="T115" i="36" s="1"/>
  <c r="V115" i="36" s="1"/>
  <c r="R119" i="36"/>
  <c r="U119" i="36" s="1"/>
  <c r="R120" i="36"/>
  <c r="R137" i="36"/>
  <c r="U137" i="36" s="1"/>
  <c r="AJ139" i="36"/>
  <c r="T139" i="36" s="1"/>
  <c r="V139" i="36" s="1"/>
  <c r="U143" i="36"/>
  <c r="AK141" i="36"/>
  <c r="AL141" i="36" s="1"/>
  <c r="R151" i="36"/>
  <c r="U151" i="36" s="1"/>
  <c r="AK151" i="36"/>
  <c r="AL151" i="36" s="1"/>
  <c r="U164" i="36"/>
  <c r="R163" i="36"/>
  <c r="AJ165" i="36"/>
  <c r="T165" i="36" s="1"/>
  <c r="V165" i="36" s="1"/>
  <c r="R183" i="36"/>
  <c r="U183" i="36" s="1"/>
  <c r="R184" i="36"/>
  <c r="R188" i="36"/>
  <c r="U188" i="36" s="1"/>
  <c r="R189" i="36"/>
  <c r="U189" i="36" s="1"/>
  <c r="R190" i="36"/>
  <c r="U190" i="36" s="1"/>
  <c r="R191" i="36"/>
  <c r="U191" i="36" s="1"/>
  <c r="R192" i="36"/>
  <c r="U198" i="36"/>
  <c r="R204" i="36"/>
  <c r="U204" i="36" s="1"/>
  <c r="R205" i="36"/>
  <c r="U205" i="36" s="1"/>
  <c r="R213" i="36"/>
  <c r="U213" i="36" s="1"/>
  <c r="R229" i="36"/>
  <c r="U229" i="36" s="1"/>
  <c r="R235" i="36"/>
  <c r="U235" i="36" s="1"/>
  <c r="R239" i="36"/>
  <c r="U239" i="36" s="1"/>
  <c r="R257" i="36"/>
  <c r="R266" i="36"/>
  <c r="U289" i="36"/>
  <c r="AJ297" i="36"/>
  <c r="T297" i="36" s="1"/>
  <c r="V297" i="36" s="1"/>
  <c r="R307" i="36"/>
  <c r="U307" i="36" s="1"/>
  <c r="AK325" i="36"/>
  <c r="AL325" i="36" s="1"/>
  <c r="R347" i="36"/>
  <c r="AJ350" i="36"/>
  <c r="T350" i="36" s="1"/>
  <c r="V350" i="36" s="1"/>
  <c r="R352" i="36"/>
  <c r="R355" i="36"/>
  <c r="U355" i="36" s="1"/>
  <c r="AI356" i="36"/>
  <c r="AJ356" i="36" s="1"/>
  <c r="T356" i="36" s="1"/>
  <c r="V356" i="36" s="1"/>
  <c r="R366" i="36"/>
  <c r="U366" i="36" s="1"/>
  <c r="R393" i="36"/>
  <c r="R413" i="36"/>
  <c r="U413" i="36" s="1"/>
  <c r="AJ417" i="36"/>
  <c r="T417" i="36" s="1"/>
  <c r="V417" i="36" s="1"/>
  <c r="AJ418" i="36"/>
  <c r="T418" i="36" s="1"/>
  <c r="V418" i="36" s="1"/>
  <c r="R426" i="36"/>
  <c r="U426" i="36" s="1"/>
  <c r="AK436" i="36"/>
  <c r="AL436" i="36" s="1"/>
  <c r="R438" i="36"/>
  <c r="U438" i="36" s="1"/>
  <c r="AK466" i="36"/>
  <c r="AL466" i="36" s="1"/>
  <c r="R469" i="36"/>
  <c r="U469" i="36" s="1"/>
  <c r="R477" i="36"/>
  <c r="U477" i="36" s="1"/>
  <c r="R498" i="36"/>
  <c r="U498" i="36" s="1"/>
  <c r="R505" i="36"/>
  <c r="U505" i="36" s="1"/>
  <c r="R506" i="36"/>
  <c r="R509" i="36"/>
  <c r="U509" i="36" s="1"/>
  <c r="R583" i="36"/>
  <c r="U583" i="36" s="1"/>
  <c r="R586" i="36"/>
  <c r="U586" i="36" s="1"/>
  <c r="R590" i="36"/>
  <c r="R612" i="36"/>
  <c r="U612" i="36" s="1"/>
  <c r="R631" i="36"/>
  <c r="U631" i="36" s="1"/>
  <c r="R632" i="36"/>
  <c r="U632" i="36" s="1"/>
  <c r="U642" i="36"/>
  <c r="U656" i="36"/>
  <c r="R678" i="36"/>
  <c r="AI39" i="36"/>
  <c r="AI38" i="36" s="1"/>
  <c r="R452" i="35"/>
  <c r="U452" i="35" s="1"/>
  <c r="R479" i="35"/>
  <c r="U479" i="35" s="1"/>
  <c r="R486" i="35"/>
  <c r="U486" i="35" s="1"/>
  <c r="AJ490" i="35"/>
  <c r="T490" i="35" s="1"/>
  <c r="V490" i="35" s="1"/>
  <c r="R507" i="35"/>
  <c r="R509" i="35"/>
  <c r="U509" i="35" s="1"/>
  <c r="U519" i="35"/>
  <c r="R520" i="35"/>
  <c r="U520" i="35" s="1"/>
  <c r="U524" i="35"/>
  <c r="R533" i="35"/>
  <c r="U533" i="35" s="1"/>
  <c r="R554" i="35"/>
  <c r="U554" i="35" s="1"/>
  <c r="R556" i="35"/>
  <c r="U556" i="35" s="1"/>
  <c r="R593" i="35"/>
  <c r="U593" i="35" s="1"/>
  <c r="U601" i="35"/>
  <c r="R630" i="35"/>
  <c r="R657" i="35"/>
  <c r="U657" i="35" s="1"/>
  <c r="R672" i="35"/>
  <c r="U672" i="35" s="1"/>
  <c r="R14" i="36"/>
  <c r="R15" i="36"/>
  <c r="U15" i="36" s="1"/>
  <c r="R16" i="36"/>
  <c r="U16" i="36" s="1"/>
  <c r="R17" i="36"/>
  <c r="U17" i="36" s="1"/>
  <c r="R18" i="36"/>
  <c r="P10" i="36"/>
  <c r="AK78" i="36"/>
  <c r="AL78" i="36" s="1"/>
  <c r="AJ81" i="36"/>
  <c r="T81" i="36" s="1"/>
  <c r="V81" i="36" s="1"/>
  <c r="R87" i="36"/>
  <c r="U87" i="36" s="1"/>
  <c r="R95" i="36"/>
  <c r="U95" i="36" s="1"/>
  <c r="AK101" i="36"/>
  <c r="AL101" i="36" s="1"/>
  <c r="R103" i="36"/>
  <c r="R104" i="36"/>
  <c r="U104" i="36" s="1"/>
  <c r="R105" i="36"/>
  <c r="U105" i="36" s="1"/>
  <c r="R117" i="36"/>
  <c r="U117" i="36" s="1"/>
  <c r="R121" i="36"/>
  <c r="U121" i="36" s="1"/>
  <c r="R129" i="36"/>
  <c r="U129" i="36" s="1"/>
  <c r="P124" i="36"/>
  <c r="R147" i="36"/>
  <c r="R160" i="36"/>
  <c r="U160" i="36" s="1"/>
  <c r="R182" i="36"/>
  <c r="U182" i="36" s="1"/>
  <c r="R207" i="36"/>
  <c r="U207" i="36" s="1"/>
  <c r="U212" i="36"/>
  <c r="R210" i="36"/>
  <c r="U210" i="36" s="1"/>
  <c r="R225" i="36"/>
  <c r="U225" i="36" s="1"/>
  <c r="AJ241" i="36"/>
  <c r="T241" i="36" s="1"/>
  <c r="V241" i="36" s="1"/>
  <c r="R280" i="36"/>
  <c r="U280" i="36" s="1"/>
  <c r="U288" i="36"/>
  <c r="R315" i="36"/>
  <c r="U315" i="36" s="1"/>
  <c r="R316" i="36"/>
  <c r="U316" i="36" s="1"/>
  <c r="R353" i="36"/>
  <c r="R361" i="36"/>
  <c r="R367" i="36"/>
  <c r="U367" i="36" s="1"/>
  <c r="R388" i="36"/>
  <c r="U388" i="36" s="1"/>
  <c r="R394" i="36"/>
  <c r="R395" i="36"/>
  <c r="R396" i="36"/>
  <c r="U396" i="36" s="1"/>
  <c r="R398" i="36"/>
  <c r="U398" i="36" s="1"/>
  <c r="R399" i="36"/>
  <c r="U399" i="36" s="1"/>
  <c r="R415" i="36"/>
  <c r="U415" i="36" s="1"/>
  <c r="R434" i="36"/>
  <c r="U434" i="36" s="1"/>
  <c r="AJ436" i="36"/>
  <c r="T436" i="36" s="1"/>
  <c r="V436" i="36" s="1"/>
  <c r="R439" i="36"/>
  <c r="U439" i="36" s="1"/>
  <c r="R465" i="36"/>
  <c r="R470" i="36"/>
  <c r="U470" i="36" s="1"/>
  <c r="R472" i="36"/>
  <c r="U472" i="36" s="1"/>
  <c r="AK476" i="36"/>
  <c r="AL476" i="36" s="1"/>
  <c r="R478" i="36"/>
  <c r="R479" i="36"/>
  <c r="U479" i="36" s="1"/>
  <c r="R482" i="36"/>
  <c r="U482" i="36" s="1"/>
  <c r="AJ483" i="36"/>
  <c r="T483" i="36" s="1"/>
  <c r="V483" i="36" s="1"/>
  <c r="AK495" i="36"/>
  <c r="AL495" i="36" s="1"/>
  <c r="R507" i="36"/>
  <c r="U507" i="36" s="1"/>
  <c r="R508" i="36"/>
  <c r="R515" i="36"/>
  <c r="U515" i="36" s="1"/>
  <c r="R531" i="36"/>
  <c r="U531" i="36" s="1"/>
  <c r="AK537" i="36"/>
  <c r="AL537" i="36" s="1"/>
  <c r="R543" i="36"/>
  <c r="U543" i="36" s="1"/>
  <c r="R551" i="36"/>
  <c r="R556" i="36"/>
  <c r="U556" i="36" s="1"/>
  <c r="U571" i="36"/>
  <c r="R563" i="36"/>
  <c r="U563" i="36" s="1"/>
  <c r="R564" i="36"/>
  <c r="R576" i="36"/>
  <c r="U576" i="36" s="1"/>
  <c r="R580" i="36"/>
  <c r="U580" i="36" s="1"/>
  <c r="R613" i="36"/>
  <c r="U613" i="36" s="1"/>
  <c r="R614" i="36"/>
  <c r="U614" i="36" s="1"/>
  <c r="R616" i="36"/>
  <c r="U616" i="36" s="1"/>
  <c r="R634" i="36"/>
  <c r="U634" i="36" s="1"/>
  <c r="R463" i="35"/>
  <c r="R474" i="35"/>
  <c r="U474" i="35" s="1"/>
  <c r="R525" i="35"/>
  <c r="U525" i="35" s="1"/>
  <c r="U544" i="35"/>
  <c r="AK542" i="35"/>
  <c r="AL542" i="35" s="1"/>
  <c r="AK553" i="35"/>
  <c r="AL553" i="35" s="1"/>
  <c r="AK572" i="35"/>
  <c r="AL572" i="35" s="1"/>
  <c r="R576" i="35"/>
  <c r="U576" i="35" s="1"/>
  <c r="R577" i="35"/>
  <c r="U577" i="35" s="1"/>
  <c r="R592" i="35"/>
  <c r="U592" i="35" s="1"/>
  <c r="R611" i="35"/>
  <c r="U611" i="35" s="1"/>
  <c r="R615" i="35"/>
  <c r="U615" i="35" s="1"/>
  <c r="AJ627" i="35"/>
  <c r="T627" i="35" s="1"/>
  <c r="V627" i="35" s="1"/>
  <c r="R631" i="35"/>
  <c r="U631" i="35" s="1"/>
  <c r="R632" i="35"/>
  <c r="R633" i="35"/>
  <c r="U633" i="35" s="1"/>
  <c r="R634" i="35"/>
  <c r="AJ644" i="35"/>
  <c r="T644" i="35" s="1"/>
  <c r="V644" i="35" s="1"/>
  <c r="R650" i="35"/>
  <c r="U650" i="35" s="1"/>
  <c r="R655" i="35"/>
  <c r="U655" i="35" s="1"/>
  <c r="R656" i="35"/>
  <c r="U656" i="35" s="1"/>
  <c r="R668" i="35"/>
  <c r="U668" i="35" s="1"/>
  <c r="AI673" i="35"/>
  <c r="AJ673" i="35" s="1"/>
  <c r="T673" i="35" s="1"/>
  <c r="V673" i="35" s="1"/>
  <c r="R685" i="35"/>
  <c r="U685" i="35" s="1"/>
  <c r="R10" i="36"/>
  <c r="AJ14" i="36"/>
  <c r="T14" i="36" s="1"/>
  <c r="V14" i="36" s="1"/>
  <c r="R19" i="36"/>
  <c r="U19" i="36" s="1"/>
  <c r="R39" i="36"/>
  <c r="AK55" i="36"/>
  <c r="AL55" i="36" s="1"/>
  <c r="AJ60" i="36"/>
  <c r="T60" i="36" s="1"/>
  <c r="V60" i="36" s="1"/>
  <c r="AK67" i="36"/>
  <c r="AL67" i="36" s="1"/>
  <c r="R85" i="36"/>
  <c r="U85" i="36" s="1"/>
  <c r="R90" i="36"/>
  <c r="U90" i="36" s="1"/>
  <c r="AK94" i="36"/>
  <c r="AL94" i="36" s="1"/>
  <c r="R98" i="36"/>
  <c r="U98" i="36" s="1"/>
  <c r="R99" i="36"/>
  <c r="U99" i="36" s="1"/>
  <c r="R100" i="36"/>
  <c r="U100" i="36" s="1"/>
  <c r="R114" i="36"/>
  <c r="R122" i="36"/>
  <c r="U122" i="36" s="1"/>
  <c r="U138" i="36"/>
  <c r="AJ157" i="36"/>
  <c r="T157" i="36" s="1"/>
  <c r="V157" i="36" s="1"/>
  <c r="AJ159" i="36"/>
  <c r="T159" i="36" s="1"/>
  <c r="V159" i="36" s="1"/>
  <c r="R186" i="36"/>
  <c r="U203" i="36"/>
  <c r="R217" i="36"/>
  <c r="U217" i="36" s="1"/>
  <c r="R221" i="36"/>
  <c r="U221" i="36" s="1"/>
  <c r="R223" i="36"/>
  <c r="U234" i="36"/>
  <c r="R231" i="36"/>
  <c r="U231" i="36" s="1"/>
  <c r="R247" i="36"/>
  <c r="R270" i="36"/>
  <c r="U270" i="36" s="1"/>
  <c r="R274" i="36"/>
  <c r="U274" i="36" s="1"/>
  <c r="R276" i="36"/>
  <c r="U276" i="36" s="1"/>
  <c r="R281" i="36"/>
  <c r="U281" i="36" s="1"/>
  <c r="R282" i="36"/>
  <c r="R283" i="36"/>
  <c r="U283" i="36" s="1"/>
  <c r="AJ287" i="36"/>
  <c r="T287" i="36" s="1"/>
  <c r="V287" i="36" s="1"/>
  <c r="AJ317" i="36"/>
  <c r="T317" i="36" s="1"/>
  <c r="V317" i="36" s="1"/>
  <c r="R327" i="36"/>
  <c r="U327" i="36" s="1"/>
  <c r="AK365" i="36"/>
  <c r="AL365" i="36" s="1"/>
  <c r="AJ377" i="36"/>
  <c r="T377" i="36" s="1"/>
  <c r="V377" i="36" s="1"/>
  <c r="R384" i="36"/>
  <c r="U384" i="36" s="1"/>
  <c r="R412" i="36"/>
  <c r="U412" i="36" s="1"/>
  <c r="AK412" i="36"/>
  <c r="AL412" i="36" s="1"/>
  <c r="R414" i="36"/>
  <c r="U414" i="36" s="1"/>
  <c r="R423" i="36"/>
  <c r="U423" i="36" s="1"/>
  <c r="R429" i="36"/>
  <c r="R442" i="36"/>
  <c r="U442" i="36" s="1"/>
  <c r="R443" i="36"/>
  <c r="U443" i="36" s="1"/>
  <c r="R444" i="36"/>
  <c r="R445" i="36"/>
  <c r="U445" i="36" s="1"/>
  <c r="R458" i="36"/>
  <c r="U458" i="36" s="1"/>
  <c r="AJ495" i="36"/>
  <c r="T495" i="36" s="1"/>
  <c r="V495" i="36" s="1"/>
  <c r="V500" i="36"/>
  <c r="R501" i="36"/>
  <c r="AK507" i="36"/>
  <c r="AL507" i="36" s="1"/>
  <c r="R536" i="36"/>
  <c r="U536" i="36" s="1"/>
  <c r="AJ537" i="36"/>
  <c r="T537" i="36" s="1"/>
  <c r="V537" i="36" s="1"/>
  <c r="AJ542" i="36"/>
  <c r="T542" i="36" s="1"/>
  <c r="V542" i="36" s="1"/>
  <c r="R547" i="36"/>
  <c r="U547" i="36" s="1"/>
  <c r="R573" i="36"/>
  <c r="U573" i="36" s="1"/>
  <c r="R584" i="36"/>
  <c r="U584" i="36" s="1"/>
  <c r="R592" i="36"/>
  <c r="U592" i="36" s="1"/>
  <c r="R611" i="36"/>
  <c r="AJ622" i="36"/>
  <c r="T622" i="36" s="1"/>
  <c r="V622" i="36" s="1"/>
  <c r="AK627" i="36"/>
  <c r="AL627" i="36" s="1"/>
  <c r="R633" i="36"/>
  <c r="U633" i="36" s="1"/>
  <c r="R643" i="36"/>
  <c r="AJ659" i="36"/>
  <c r="T659" i="36" s="1"/>
  <c r="V659" i="36" s="1"/>
  <c r="R668" i="36"/>
  <c r="R672" i="36"/>
  <c r="U672" i="36" s="1"/>
  <c r="U686" i="36"/>
  <c r="AI339" i="36"/>
  <c r="AJ339" i="36" s="1"/>
  <c r="T339" i="36" s="1"/>
  <c r="V339" i="36" s="1"/>
  <c r="U451" i="35"/>
  <c r="R454" i="35"/>
  <c r="U454" i="35" s="1"/>
  <c r="R458" i="35"/>
  <c r="R460" i="35"/>
  <c r="U460" i="35" s="1"/>
  <c r="R464" i="35"/>
  <c r="U464" i="35" s="1"/>
  <c r="R465" i="35"/>
  <c r="U465" i="35" s="1"/>
  <c r="R473" i="35"/>
  <c r="U473" i="35" s="1"/>
  <c r="R477" i="35"/>
  <c r="U477" i="35" s="1"/>
  <c r="R485" i="35"/>
  <c r="U492" i="35"/>
  <c r="R493" i="35"/>
  <c r="U493" i="35" s="1"/>
  <c r="R494" i="35"/>
  <c r="U494" i="35" s="1"/>
  <c r="R506" i="35"/>
  <c r="U506" i="35" s="1"/>
  <c r="R508" i="35"/>
  <c r="R532" i="35"/>
  <c r="U532" i="35" s="1"/>
  <c r="V533" i="35"/>
  <c r="R540" i="35"/>
  <c r="R541" i="35"/>
  <c r="U541" i="35" s="1"/>
  <c r="R545" i="35"/>
  <c r="U545" i="35" s="1"/>
  <c r="R547" i="35"/>
  <c r="U547" i="35" s="1"/>
  <c r="AJ553" i="35"/>
  <c r="T553" i="35" s="1"/>
  <c r="V553" i="35" s="1"/>
  <c r="R561" i="35"/>
  <c r="U561" i="35" s="1"/>
  <c r="AK564" i="35"/>
  <c r="AL564" i="35" s="1"/>
  <c r="AK566" i="35"/>
  <c r="AL566" i="35" s="1"/>
  <c r="AK568" i="35"/>
  <c r="AL568" i="35" s="1"/>
  <c r="AK570" i="35"/>
  <c r="AL570" i="35" s="1"/>
  <c r="AJ572" i="35"/>
  <c r="T572" i="35" s="1"/>
  <c r="V572" i="35" s="1"/>
  <c r="R575" i="35"/>
  <c r="U575" i="35" s="1"/>
  <c r="R583" i="35"/>
  <c r="U583" i="35" s="1"/>
  <c r="R584" i="35"/>
  <c r="U584" i="35" s="1"/>
  <c r="R590" i="35"/>
  <c r="R591" i="35"/>
  <c r="U591" i="35" s="1"/>
  <c r="R602" i="35"/>
  <c r="U602" i="35" s="1"/>
  <c r="R612" i="35"/>
  <c r="U612" i="35" s="1"/>
  <c r="R613" i="35"/>
  <c r="U613" i="35" s="1"/>
  <c r="R614" i="35"/>
  <c r="U614" i="35" s="1"/>
  <c r="R617" i="35"/>
  <c r="U617" i="35" s="1"/>
  <c r="R643" i="35"/>
  <c r="U643" i="35" s="1"/>
  <c r="R649" i="35"/>
  <c r="U649" i="35" s="1"/>
  <c r="R667" i="35"/>
  <c r="U667" i="35" s="1"/>
  <c r="U686" i="35"/>
  <c r="R20" i="36"/>
  <c r="U20" i="36" s="1"/>
  <c r="R22" i="36"/>
  <c r="AH35" i="36"/>
  <c r="AJ66" i="36"/>
  <c r="T66" i="36" s="1"/>
  <c r="V66" i="36" s="1"/>
  <c r="AJ89" i="36"/>
  <c r="T89" i="36" s="1"/>
  <c r="V89" i="36" s="1"/>
  <c r="AK90" i="36"/>
  <c r="AL90" i="36" s="1"/>
  <c r="AJ94" i="36"/>
  <c r="T94" i="36" s="1"/>
  <c r="V94" i="36" s="1"/>
  <c r="R101" i="36"/>
  <c r="U101" i="36" s="1"/>
  <c r="R102" i="36"/>
  <c r="U102" i="36" s="1"/>
  <c r="R108" i="36"/>
  <c r="U108" i="36" s="1"/>
  <c r="R112" i="36"/>
  <c r="U112" i="36" s="1"/>
  <c r="R126" i="36"/>
  <c r="AJ144" i="36"/>
  <c r="T144" i="36" s="1"/>
  <c r="V144" i="36" s="1"/>
  <c r="AJ148" i="36"/>
  <c r="T148" i="36" s="1"/>
  <c r="V148" i="36" s="1"/>
  <c r="R152" i="36"/>
  <c r="U152" i="36" s="1"/>
  <c r="R153" i="36"/>
  <c r="U153" i="36" s="1"/>
  <c r="R154" i="36"/>
  <c r="U154" i="36" s="1"/>
  <c r="AK201" i="36"/>
  <c r="AL201" i="36" s="1"/>
  <c r="R211" i="36"/>
  <c r="U211" i="36" s="1"/>
  <c r="AJ216" i="36"/>
  <c r="T216" i="36" s="1"/>
  <c r="V216" i="36" s="1"/>
  <c r="R220" i="36"/>
  <c r="U220" i="36" s="1"/>
  <c r="AJ222" i="36"/>
  <c r="T222" i="36" s="1"/>
  <c r="V222" i="36" s="1"/>
  <c r="R227" i="36"/>
  <c r="R228" i="36"/>
  <c r="U228" i="36" s="1"/>
  <c r="AJ230" i="36"/>
  <c r="T230" i="36" s="1"/>
  <c r="V230" i="36" s="1"/>
  <c r="R233" i="36"/>
  <c r="U233" i="36" s="1"/>
  <c r="AJ264" i="36"/>
  <c r="T264" i="36" s="1"/>
  <c r="V264" i="36" s="1"/>
  <c r="R269" i="36"/>
  <c r="U269" i="36" s="1"/>
  <c r="P248" i="36"/>
  <c r="AJ275" i="36"/>
  <c r="T275" i="36" s="1"/>
  <c r="V275" i="36" s="1"/>
  <c r="R278" i="36"/>
  <c r="U278" i="36" s="1"/>
  <c r="R284" i="36"/>
  <c r="U284" i="36" s="1"/>
  <c r="R286" i="36"/>
  <c r="AJ309" i="36"/>
  <c r="T309" i="36" s="1"/>
  <c r="V309" i="36" s="1"/>
  <c r="R312" i="36"/>
  <c r="R326" i="36"/>
  <c r="U326" i="36" s="1"/>
  <c r="R328" i="36"/>
  <c r="U328" i="36" s="1"/>
  <c r="R331" i="36"/>
  <c r="R343" i="36"/>
  <c r="U343" i="36" s="1"/>
  <c r="R344" i="36"/>
  <c r="U344" i="36" s="1"/>
  <c r="R346" i="36"/>
  <c r="U346" i="36" s="1"/>
  <c r="R351" i="36"/>
  <c r="R358" i="36"/>
  <c r="U358" i="36" s="1"/>
  <c r="R379" i="36"/>
  <c r="U379" i="36" s="1"/>
  <c r="R382" i="36"/>
  <c r="U382" i="36" s="1"/>
  <c r="R389" i="36"/>
  <c r="U389" i="36" s="1"/>
  <c r="R390" i="36"/>
  <c r="U390" i="36" s="1"/>
  <c r="R397" i="36"/>
  <c r="R446" i="36"/>
  <c r="U446" i="36" s="1"/>
  <c r="AJ457" i="36"/>
  <c r="T457" i="36" s="1"/>
  <c r="V457" i="36" s="1"/>
  <c r="R496" i="36"/>
  <c r="U496" i="36" s="1"/>
  <c r="R497" i="36"/>
  <c r="R500" i="36"/>
  <c r="U500" i="36" s="1"/>
  <c r="R532" i="36"/>
  <c r="U532" i="36" s="1"/>
  <c r="R533" i="36"/>
  <c r="R541" i="36"/>
  <c r="U541" i="36" s="1"/>
  <c r="AK553" i="36"/>
  <c r="AL553" i="36" s="1"/>
  <c r="R559" i="36"/>
  <c r="AJ572" i="36"/>
  <c r="T572" i="36" s="1"/>
  <c r="V572" i="36" s="1"/>
  <c r="R577" i="36"/>
  <c r="U577" i="36" s="1"/>
  <c r="R615" i="36"/>
  <c r="U615" i="36" s="1"/>
  <c r="R617" i="36"/>
  <c r="AJ623" i="36"/>
  <c r="T623" i="36" s="1"/>
  <c r="V623" i="36" s="1"/>
  <c r="R630" i="36"/>
  <c r="AJ644" i="36"/>
  <c r="T644" i="36" s="1"/>
  <c r="V644" i="36" s="1"/>
  <c r="U671" i="36"/>
  <c r="R667" i="36"/>
  <c r="U667" i="36" s="1"/>
  <c r="U582" i="36"/>
  <c r="U465" i="36"/>
  <c r="U449" i="36"/>
  <c r="U386" i="36"/>
  <c r="U380" i="36"/>
  <c r="AK377" i="36"/>
  <c r="AL377" i="36" s="1"/>
  <c r="U368" i="36"/>
  <c r="U361" i="36"/>
  <c r="U359" i="36"/>
  <c r="U353" i="36"/>
  <c r="U352" i="36"/>
  <c r="U350" i="36"/>
  <c r="AK350" i="36"/>
  <c r="AL350" i="36" s="1"/>
  <c r="AK347" i="36"/>
  <c r="AL347" i="36" s="1"/>
  <c r="AJ347" i="36"/>
  <c r="T347" i="36" s="1"/>
  <c r="V347" i="36" s="1"/>
  <c r="V346" i="36"/>
  <c r="AK339" i="36"/>
  <c r="AL339" i="36" s="1"/>
  <c r="AK317" i="36"/>
  <c r="AL317" i="36" s="1"/>
  <c r="U257" i="36"/>
  <c r="U256" i="36"/>
  <c r="AK241" i="36"/>
  <c r="AL241" i="36" s="1"/>
  <c r="U226" i="36"/>
  <c r="U184" i="36"/>
  <c r="U120" i="36"/>
  <c r="U118" i="36"/>
  <c r="U114" i="36"/>
  <c r="AK111" i="36"/>
  <c r="AL111" i="36" s="1"/>
  <c r="U111" i="36"/>
  <c r="AJ55" i="36"/>
  <c r="T55" i="36" s="1"/>
  <c r="V55" i="36" s="1"/>
  <c r="AJ51" i="36"/>
  <c r="T51" i="36" s="1"/>
  <c r="V51" i="36" s="1"/>
  <c r="AK45" i="36"/>
  <c r="AL45" i="36" s="1"/>
  <c r="AJ45" i="36"/>
  <c r="T45" i="36" s="1"/>
  <c r="V45" i="36" s="1"/>
  <c r="AJ39" i="36"/>
  <c r="T39" i="36" s="1"/>
  <c r="V39" i="36" s="1"/>
  <c r="U23" i="36"/>
  <c r="U22" i="36"/>
  <c r="U21" i="36"/>
  <c r="U18" i="36"/>
  <c r="AK14" i="36"/>
  <c r="AL14" i="36" s="1"/>
  <c r="V97" i="36"/>
  <c r="U97" i="36"/>
  <c r="T24" i="36"/>
  <c r="V24" i="36" s="1"/>
  <c r="U24" i="36"/>
  <c r="AL24" i="36"/>
  <c r="V286" i="36"/>
  <c r="U286" i="36"/>
  <c r="U510" i="36"/>
  <c r="V510" i="36"/>
  <c r="AI26" i="36"/>
  <c r="Q37" i="36"/>
  <c r="AI62" i="36"/>
  <c r="AK66" i="36"/>
  <c r="AL66" i="36" s="1"/>
  <c r="AJ92" i="36"/>
  <c r="T92" i="36" s="1"/>
  <c r="V92" i="36" s="1"/>
  <c r="U147" i="36"/>
  <c r="U202" i="36"/>
  <c r="U266" i="36"/>
  <c r="U282" i="36"/>
  <c r="V282" i="36"/>
  <c r="R25" i="36"/>
  <c r="U25" i="36" s="1"/>
  <c r="R28" i="36"/>
  <c r="U28" i="36" s="1"/>
  <c r="R31" i="36"/>
  <c r="U31" i="36" s="1"/>
  <c r="R73" i="36"/>
  <c r="U73" i="36" s="1"/>
  <c r="AI86" i="36"/>
  <c r="V207" i="36"/>
  <c r="AK25" i="36"/>
  <c r="AL25" i="36" s="1"/>
  <c r="R61" i="36"/>
  <c r="U61" i="36" s="1"/>
  <c r="R64" i="36"/>
  <c r="U64" i="36" s="1"/>
  <c r="AK91" i="36"/>
  <c r="AL91" i="36" s="1"/>
  <c r="AI96" i="36"/>
  <c r="AJ96" i="36" s="1"/>
  <c r="T96" i="36" s="1"/>
  <c r="V96" i="36" s="1"/>
  <c r="AK102" i="36"/>
  <c r="AL102" i="36" s="1"/>
  <c r="R79" i="36"/>
  <c r="U79" i="36" s="1"/>
  <c r="R78" i="36"/>
  <c r="U78" i="36" s="1"/>
  <c r="R76" i="36"/>
  <c r="U76" i="36" s="1"/>
  <c r="AJ126" i="36"/>
  <c r="T126" i="36" s="1"/>
  <c r="V126" i="36" s="1"/>
  <c r="AI125" i="36"/>
  <c r="V223" i="36"/>
  <c r="U223" i="36"/>
  <c r="V398" i="36"/>
  <c r="V446" i="36"/>
  <c r="R24" i="36"/>
  <c r="AK27" i="36"/>
  <c r="AL27" i="36" s="1"/>
  <c r="R30" i="36"/>
  <c r="U30" i="36" s="1"/>
  <c r="R34" i="36"/>
  <c r="U34" i="36" s="1"/>
  <c r="Q59" i="36"/>
  <c r="R68" i="36" s="1"/>
  <c r="R65" i="36"/>
  <c r="U65" i="36" s="1"/>
  <c r="AK65" i="36"/>
  <c r="AL65" i="36" s="1"/>
  <c r="R69" i="36"/>
  <c r="U69" i="36" s="1"/>
  <c r="AK87" i="36"/>
  <c r="AL87" i="36" s="1"/>
  <c r="AK97" i="36"/>
  <c r="AL97" i="36" s="1"/>
  <c r="R155" i="36"/>
  <c r="U187" i="36"/>
  <c r="U291" i="36"/>
  <c r="V438" i="36"/>
  <c r="R27" i="36"/>
  <c r="U27" i="36" s="1"/>
  <c r="AK63" i="36"/>
  <c r="AL63" i="36" s="1"/>
  <c r="AK89" i="36"/>
  <c r="AL89" i="36" s="1"/>
  <c r="AK100" i="36"/>
  <c r="AL100" i="36" s="1"/>
  <c r="V154" i="36"/>
  <c r="U478" i="36"/>
  <c r="V478" i="36"/>
  <c r="R33" i="36"/>
  <c r="U33" i="36" s="1"/>
  <c r="V278" i="36"/>
  <c r="V354" i="36"/>
  <c r="U354" i="36"/>
  <c r="V507" i="36"/>
  <c r="U126" i="36"/>
  <c r="AI68" i="36"/>
  <c r="AJ68" i="36" s="1"/>
  <c r="T68" i="36" s="1"/>
  <c r="V68" i="36" s="1"/>
  <c r="AJ70" i="36"/>
  <c r="T70" i="36" s="1"/>
  <c r="V70" i="36" s="1"/>
  <c r="AJ74" i="36"/>
  <c r="T74" i="36" s="1"/>
  <c r="V74" i="36" s="1"/>
  <c r="AI72" i="36"/>
  <c r="AJ72" i="36" s="1"/>
  <c r="T72" i="36" s="1"/>
  <c r="V72" i="36" s="1"/>
  <c r="R157" i="36"/>
  <c r="R159" i="36"/>
  <c r="V186" i="36"/>
  <c r="U186" i="36"/>
  <c r="V327" i="36"/>
  <c r="R29" i="36"/>
  <c r="U29" i="36" s="1"/>
  <c r="U93" i="36"/>
  <c r="AK92" i="36"/>
  <c r="AL92" i="36" s="1"/>
  <c r="U103" i="36"/>
  <c r="U163" i="36"/>
  <c r="U227" i="36"/>
  <c r="R335" i="36"/>
  <c r="U335" i="36" s="1"/>
  <c r="AK332" i="36"/>
  <c r="AL332" i="36" s="1"/>
  <c r="R332" i="36"/>
  <c r="U332" i="36" s="1"/>
  <c r="R334" i="36"/>
  <c r="U334" i="36" s="1"/>
  <c r="AJ375" i="36"/>
  <c r="T375" i="36" s="1"/>
  <c r="V375" i="36" s="1"/>
  <c r="AK375" i="36"/>
  <c r="AL375" i="36" s="1"/>
  <c r="R405" i="36"/>
  <c r="U405" i="36" s="1"/>
  <c r="R404" i="36"/>
  <c r="U404" i="36" s="1"/>
  <c r="AK400" i="36"/>
  <c r="AL400" i="36" s="1"/>
  <c r="R401" i="36"/>
  <c r="U401" i="36" s="1"/>
  <c r="AJ521" i="36"/>
  <c r="T521" i="36" s="1"/>
  <c r="V521" i="36" s="1"/>
  <c r="AK521" i="36"/>
  <c r="AL521" i="36" s="1"/>
  <c r="AK155" i="36"/>
  <c r="AL155" i="36" s="1"/>
  <c r="R177" i="36"/>
  <c r="U177" i="36" s="1"/>
  <c r="R199" i="36"/>
  <c r="U199" i="36" s="1"/>
  <c r="R403" i="36"/>
  <c r="U403" i="36" s="1"/>
  <c r="AJ370" i="36"/>
  <c r="T370" i="36" s="1"/>
  <c r="V370" i="36" s="1"/>
  <c r="AK370" i="36"/>
  <c r="AL370" i="36" s="1"/>
  <c r="R411" i="36"/>
  <c r="U411" i="36" s="1"/>
  <c r="R410" i="36"/>
  <c r="U410" i="36" s="1"/>
  <c r="R421" i="36"/>
  <c r="U421" i="36" s="1"/>
  <c r="R419" i="36"/>
  <c r="U419" i="36" s="1"/>
  <c r="R418" i="36"/>
  <c r="U418" i="36" s="1"/>
  <c r="R417" i="36"/>
  <c r="U417" i="36" s="1"/>
  <c r="V498" i="36"/>
  <c r="R84" i="36"/>
  <c r="U84" i="36" s="1"/>
  <c r="R106" i="36"/>
  <c r="U106" i="36" s="1"/>
  <c r="R107" i="36"/>
  <c r="U107" i="36" s="1"/>
  <c r="R113" i="36"/>
  <c r="U113" i="36" s="1"/>
  <c r="R123" i="36"/>
  <c r="U123" i="36" s="1"/>
  <c r="AK127" i="36"/>
  <c r="AL127" i="36" s="1"/>
  <c r="R166" i="36"/>
  <c r="U166" i="36" s="1"/>
  <c r="Q168" i="36"/>
  <c r="AJ168" i="36" s="1"/>
  <c r="T168" i="36" s="1"/>
  <c r="V168" i="36" s="1"/>
  <c r="AK169" i="36"/>
  <c r="AL169" i="36" s="1"/>
  <c r="R178" i="36"/>
  <c r="U178" i="36" s="1"/>
  <c r="Q180" i="36"/>
  <c r="R185" i="36"/>
  <c r="U185" i="36" s="1"/>
  <c r="R200" i="36"/>
  <c r="U200" i="36" s="1"/>
  <c r="R206" i="36"/>
  <c r="U206" i="36" s="1"/>
  <c r="AK209" i="36"/>
  <c r="AL209" i="36" s="1"/>
  <c r="R236" i="36"/>
  <c r="U236" i="36" s="1"/>
  <c r="R242" i="36"/>
  <c r="U242" i="36" s="1"/>
  <c r="AJ247" i="36"/>
  <c r="T247" i="36" s="1"/>
  <c r="V247" i="36" s="1"/>
  <c r="R250" i="36"/>
  <c r="U250" i="36" s="1"/>
  <c r="R258" i="36"/>
  <c r="U258" i="36" s="1"/>
  <c r="R271" i="36"/>
  <c r="U271" i="36" s="1"/>
  <c r="R277" i="36"/>
  <c r="U277" i="36" s="1"/>
  <c r="R285" i="36"/>
  <c r="U285" i="36" s="1"/>
  <c r="R300" i="36"/>
  <c r="U300" i="36" s="1"/>
  <c r="R313" i="36"/>
  <c r="U313" i="36" s="1"/>
  <c r="R321" i="36"/>
  <c r="U321" i="36" s="1"/>
  <c r="V355" i="36"/>
  <c r="AK422" i="36"/>
  <c r="AL422" i="36" s="1"/>
  <c r="V505" i="36"/>
  <c r="U630" i="36"/>
  <c r="U663" i="36"/>
  <c r="AJ373" i="36"/>
  <c r="T373" i="36" s="1"/>
  <c r="V373" i="36" s="1"/>
  <c r="AK373" i="36"/>
  <c r="AL373" i="36" s="1"/>
  <c r="R460" i="36"/>
  <c r="U460" i="36" s="1"/>
  <c r="AK457" i="36"/>
  <c r="AL457" i="36" s="1"/>
  <c r="R457" i="36"/>
  <c r="U457" i="36" s="1"/>
  <c r="R459" i="36"/>
  <c r="U459" i="36" s="1"/>
  <c r="R464" i="36"/>
  <c r="U464" i="36" s="1"/>
  <c r="R463" i="36"/>
  <c r="U463" i="36" s="1"/>
  <c r="AJ127" i="36"/>
  <c r="T127" i="36" s="1"/>
  <c r="V127" i="36" s="1"/>
  <c r="R133" i="36"/>
  <c r="U133" i="36" s="1"/>
  <c r="R146" i="36"/>
  <c r="R149" i="36"/>
  <c r="U149" i="36" s="1"/>
  <c r="R167" i="36"/>
  <c r="U167" i="36" s="1"/>
  <c r="AJ169" i="36"/>
  <c r="T169" i="36" s="1"/>
  <c r="V169" i="36" s="1"/>
  <c r="R179" i="36"/>
  <c r="U179" i="36" s="1"/>
  <c r="AI181" i="36"/>
  <c r="AJ209" i="36"/>
  <c r="T209" i="36" s="1"/>
  <c r="V209" i="36" s="1"/>
  <c r="R215" i="36"/>
  <c r="U215" i="36" s="1"/>
  <c r="R219" i="36"/>
  <c r="U219" i="36" s="1"/>
  <c r="AK219" i="36"/>
  <c r="AL219" i="36" s="1"/>
  <c r="R237" i="36"/>
  <c r="U237" i="36" s="1"/>
  <c r="R243" i="36"/>
  <c r="U243" i="36" s="1"/>
  <c r="R251" i="36"/>
  <c r="U251" i="36" s="1"/>
  <c r="R259" i="36"/>
  <c r="U259" i="36" s="1"/>
  <c r="R272" i="36"/>
  <c r="U272" i="36" s="1"/>
  <c r="AK275" i="36"/>
  <c r="AL275" i="36" s="1"/>
  <c r="R294" i="36"/>
  <c r="U294" i="36" s="1"/>
  <c r="R301" i="36"/>
  <c r="U301" i="36" s="1"/>
  <c r="R305" i="36"/>
  <c r="U305" i="36" s="1"/>
  <c r="R308" i="36"/>
  <c r="U308" i="36" s="1"/>
  <c r="AK309" i="36"/>
  <c r="AL309" i="36" s="1"/>
  <c r="R322" i="36"/>
  <c r="U322" i="36" s="1"/>
  <c r="R333" i="36"/>
  <c r="U333" i="36" s="1"/>
  <c r="R338" i="36"/>
  <c r="U338" i="36" s="1"/>
  <c r="U351" i="36"/>
  <c r="U394" i="36"/>
  <c r="AJ400" i="36"/>
  <c r="T400" i="36" s="1"/>
  <c r="V400" i="36" s="1"/>
  <c r="U429" i="36"/>
  <c r="U677" i="36"/>
  <c r="R342" i="36"/>
  <c r="U342" i="36" s="1"/>
  <c r="R341" i="36"/>
  <c r="U341" i="36" s="1"/>
  <c r="R340" i="36"/>
  <c r="U340" i="36" s="1"/>
  <c r="R349" i="36"/>
  <c r="U349" i="36" s="1"/>
  <c r="R376" i="36"/>
  <c r="R375" i="36"/>
  <c r="R374" i="36"/>
  <c r="R373" i="36"/>
  <c r="R372" i="36"/>
  <c r="R371" i="36"/>
  <c r="R370" i="36"/>
  <c r="R369" i="36"/>
  <c r="R488" i="36"/>
  <c r="U488" i="36" s="1"/>
  <c r="R487" i="36"/>
  <c r="U487" i="36" s="1"/>
  <c r="AK483" i="36"/>
  <c r="AL483" i="36" s="1"/>
  <c r="R486" i="36"/>
  <c r="U486" i="36" s="1"/>
  <c r="R485" i="36"/>
  <c r="U485" i="36" s="1"/>
  <c r="R489" i="36"/>
  <c r="U489" i="36" s="1"/>
  <c r="R82" i="36"/>
  <c r="U82" i="36" s="1"/>
  <c r="R109" i="36"/>
  <c r="U109" i="36" s="1"/>
  <c r="AI110" i="36"/>
  <c r="AJ110" i="36" s="1"/>
  <c r="T110" i="36" s="1"/>
  <c r="V110" i="36" s="1"/>
  <c r="R115" i="36"/>
  <c r="R116" i="36"/>
  <c r="U116" i="36" s="1"/>
  <c r="R132" i="36"/>
  <c r="U132" i="36" s="1"/>
  <c r="R134" i="36"/>
  <c r="U134" i="36" s="1"/>
  <c r="R140" i="36"/>
  <c r="U140" i="36" s="1"/>
  <c r="R145" i="36"/>
  <c r="U145" i="36" s="1"/>
  <c r="AJ146" i="36"/>
  <c r="T146" i="36" s="1"/>
  <c r="V146" i="36" s="1"/>
  <c r="R158" i="36"/>
  <c r="AK165" i="36"/>
  <c r="AL165" i="36" s="1"/>
  <c r="R172" i="36"/>
  <c r="U172" i="36" s="1"/>
  <c r="R194" i="36"/>
  <c r="U194" i="36" s="1"/>
  <c r="R214" i="36"/>
  <c r="U214" i="36" s="1"/>
  <c r="R224" i="36"/>
  <c r="U224" i="36" s="1"/>
  <c r="R238" i="36"/>
  <c r="U238" i="36" s="1"/>
  <c r="R241" i="36"/>
  <c r="U241" i="36" s="1"/>
  <c r="R244" i="36"/>
  <c r="U244" i="36" s="1"/>
  <c r="R249" i="36"/>
  <c r="AK249" i="36"/>
  <c r="AL249" i="36" s="1"/>
  <c r="R252" i="36"/>
  <c r="U252" i="36" s="1"/>
  <c r="R260" i="36"/>
  <c r="U260" i="36" s="1"/>
  <c r="R265" i="36"/>
  <c r="U265" i="36" s="1"/>
  <c r="R273" i="36"/>
  <c r="U273" i="36" s="1"/>
  <c r="R302" i="36"/>
  <c r="U302" i="36" s="1"/>
  <c r="R311" i="36"/>
  <c r="U311" i="36" s="1"/>
  <c r="R314" i="36"/>
  <c r="U314" i="36" s="1"/>
  <c r="R318" i="36"/>
  <c r="U318" i="36" s="1"/>
  <c r="R345" i="36"/>
  <c r="U345" i="36" s="1"/>
  <c r="R365" i="36"/>
  <c r="U365" i="36" s="1"/>
  <c r="U395" i="36"/>
  <c r="R406" i="36"/>
  <c r="U406" i="36" s="1"/>
  <c r="R409" i="36"/>
  <c r="U409" i="36" s="1"/>
  <c r="R420" i="36"/>
  <c r="U420" i="36" s="1"/>
  <c r="R462" i="36"/>
  <c r="U462" i="36" s="1"/>
  <c r="U501" i="36"/>
  <c r="U551" i="36"/>
  <c r="U590" i="36"/>
  <c r="U610" i="36"/>
  <c r="U629" i="36"/>
  <c r="U668" i="36"/>
  <c r="R504" i="36"/>
  <c r="U504" i="36" s="1"/>
  <c r="R585" i="36"/>
  <c r="U585" i="36" s="1"/>
  <c r="AJ371" i="36"/>
  <c r="T371" i="36" s="1"/>
  <c r="V371" i="36" s="1"/>
  <c r="AK371" i="36"/>
  <c r="AL371" i="36" s="1"/>
  <c r="AJ376" i="36"/>
  <c r="T376" i="36" s="1"/>
  <c r="V376" i="36" s="1"/>
  <c r="AK376" i="36"/>
  <c r="AL376" i="36" s="1"/>
  <c r="R455" i="36"/>
  <c r="U455" i="36" s="1"/>
  <c r="R454" i="36"/>
  <c r="U454" i="36" s="1"/>
  <c r="R452" i="36"/>
  <c r="U452" i="36" s="1"/>
  <c r="R450" i="36"/>
  <c r="U450" i="36" s="1"/>
  <c r="AK447" i="36"/>
  <c r="AL447" i="36" s="1"/>
  <c r="U508" i="36"/>
  <c r="V508" i="36"/>
  <c r="R525" i="36"/>
  <c r="U525" i="36" s="1"/>
  <c r="R524" i="36"/>
  <c r="U524" i="36" s="1"/>
  <c r="R529" i="36"/>
  <c r="U529" i="36" s="1"/>
  <c r="R528" i="36"/>
  <c r="U528" i="36" s="1"/>
  <c r="R526" i="36"/>
  <c r="U526" i="36" s="1"/>
  <c r="AK523" i="36"/>
  <c r="AL523" i="36" s="1"/>
  <c r="R131" i="36"/>
  <c r="U131" i="36" s="1"/>
  <c r="R135" i="36"/>
  <c r="U135" i="36" s="1"/>
  <c r="AK148" i="36"/>
  <c r="AL148" i="36" s="1"/>
  <c r="AK153" i="36"/>
  <c r="AL153" i="36" s="1"/>
  <c r="AK154" i="36"/>
  <c r="AL154" i="36" s="1"/>
  <c r="AK158" i="36"/>
  <c r="AL158" i="36" s="1"/>
  <c r="AI161" i="36"/>
  <c r="R173" i="36"/>
  <c r="U173" i="36" s="1"/>
  <c r="R195" i="36"/>
  <c r="U195" i="36" s="1"/>
  <c r="AK222" i="36"/>
  <c r="AL222" i="36" s="1"/>
  <c r="R245" i="36"/>
  <c r="U245" i="36" s="1"/>
  <c r="AJ249" i="36"/>
  <c r="T249" i="36" s="1"/>
  <c r="V249" i="36" s="1"/>
  <c r="R253" i="36"/>
  <c r="U253" i="36" s="1"/>
  <c r="R261" i="36"/>
  <c r="U261" i="36" s="1"/>
  <c r="R295" i="36"/>
  <c r="R298" i="36"/>
  <c r="U298" i="36" s="1"/>
  <c r="R336" i="36"/>
  <c r="U336" i="36" s="1"/>
  <c r="R402" i="36"/>
  <c r="U402" i="36" s="1"/>
  <c r="U424" i="36"/>
  <c r="R448" i="36"/>
  <c r="U448" i="36" s="1"/>
  <c r="R453" i="36"/>
  <c r="U453" i="36" s="1"/>
  <c r="R363" i="36"/>
  <c r="U363" i="36" s="1"/>
  <c r="R362" i="36"/>
  <c r="U362" i="36" s="1"/>
  <c r="R360" i="36"/>
  <c r="U360" i="36" s="1"/>
  <c r="AK356" i="36"/>
  <c r="AL356" i="36" s="1"/>
  <c r="AJ374" i="36"/>
  <c r="T374" i="36" s="1"/>
  <c r="V374" i="36" s="1"/>
  <c r="AK374" i="36"/>
  <c r="AL374" i="36" s="1"/>
  <c r="R428" i="36"/>
  <c r="U428" i="36" s="1"/>
  <c r="AK425" i="36"/>
  <c r="AL425" i="36" s="1"/>
  <c r="R425" i="36"/>
  <c r="U425" i="36" s="1"/>
  <c r="R435" i="36"/>
  <c r="U435" i="36" s="1"/>
  <c r="R427" i="36"/>
  <c r="U427" i="36" s="1"/>
  <c r="R433" i="36"/>
  <c r="U433" i="36" s="1"/>
  <c r="R431" i="36"/>
  <c r="U431" i="36" s="1"/>
  <c r="R468" i="36"/>
  <c r="U468" i="36" s="1"/>
  <c r="R475" i="36"/>
  <c r="U475" i="36" s="1"/>
  <c r="R467" i="36"/>
  <c r="U467" i="36" s="1"/>
  <c r="R473" i="36"/>
  <c r="U473" i="36" s="1"/>
  <c r="R471" i="36"/>
  <c r="U471" i="36" s="1"/>
  <c r="V533" i="36"/>
  <c r="U533" i="36"/>
  <c r="AJ530" i="36"/>
  <c r="T530" i="36" s="1"/>
  <c r="V530" i="36" s="1"/>
  <c r="AK530" i="36"/>
  <c r="AL530" i="36" s="1"/>
  <c r="R130" i="36"/>
  <c r="U130" i="36" s="1"/>
  <c r="R136" i="36"/>
  <c r="U136" i="36" s="1"/>
  <c r="AK139" i="36"/>
  <c r="AL139" i="36" s="1"/>
  <c r="AJ158" i="36"/>
  <c r="T158" i="36" s="1"/>
  <c r="V158" i="36" s="1"/>
  <c r="Q161" i="36"/>
  <c r="R171" i="36"/>
  <c r="AK171" i="36"/>
  <c r="AL171" i="36" s="1"/>
  <c r="R174" i="36"/>
  <c r="U174" i="36" s="1"/>
  <c r="R193" i="36"/>
  <c r="AK193" i="36"/>
  <c r="AL193" i="36" s="1"/>
  <c r="R196" i="36"/>
  <c r="U196" i="36" s="1"/>
  <c r="R232" i="36"/>
  <c r="U232" i="36" s="1"/>
  <c r="R240" i="36"/>
  <c r="U240" i="36" s="1"/>
  <c r="R246" i="36"/>
  <c r="U246" i="36" s="1"/>
  <c r="R254" i="36"/>
  <c r="U254" i="36" s="1"/>
  <c r="R262" i="36"/>
  <c r="U262" i="36" s="1"/>
  <c r="AK264" i="36"/>
  <c r="AL264" i="36" s="1"/>
  <c r="R267" i="36"/>
  <c r="U267" i="36" s="1"/>
  <c r="R306" i="36"/>
  <c r="U306" i="36" s="1"/>
  <c r="R357" i="36"/>
  <c r="U357" i="36" s="1"/>
  <c r="AK423" i="36"/>
  <c r="AL423" i="36" s="1"/>
  <c r="R432" i="36"/>
  <c r="U432" i="36" s="1"/>
  <c r="U444" i="36"/>
  <c r="U497" i="36"/>
  <c r="U503" i="36"/>
  <c r="U506" i="36"/>
  <c r="U540" i="36"/>
  <c r="U559" i="36"/>
  <c r="U617" i="36"/>
  <c r="U664" i="36"/>
  <c r="R324" i="36"/>
  <c r="U324" i="36" s="1"/>
  <c r="R323" i="36"/>
  <c r="U323" i="36" s="1"/>
  <c r="AJ369" i="36"/>
  <c r="T369" i="36" s="1"/>
  <c r="V369" i="36" s="1"/>
  <c r="AK369" i="36"/>
  <c r="AL369" i="36" s="1"/>
  <c r="AI364" i="36"/>
  <c r="AJ397" i="36"/>
  <c r="T397" i="36" s="1"/>
  <c r="AI387" i="36"/>
  <c r="AK397" i="36"/>
  <c r="AL397" i="36" s="1"/>
  <c r="R494" i="36"/>
  <c r="U494" i="36" s="1"/>
  <c r="R493" i="36"/>
  <c r="U493" i="36" s="1"/>
  <c r="AK490" i="36"/>
  <c r="AL490" i="36" s="1"/>
  <c r="R491" i="36"/>
  <c r="U491" i="36" s="1"/>
  <c r="R490" i="36"/>
  <c r="U490" i="36" s="1"/>
  <c r="R519" i="36"/>
  <c r="U519" i="36" s="1"/>
  <c r="R518" i="36"/>
  <c r="U518" i="36" s="1"/>
  <c r="R517" i="36"/>
  <c r="U517" i="36" s="1"/>
  <c r="R516" i="36"/>
  <c r="U516" i="36" s="1"/>
  <c r="R514" i="36"/>
  <c r="U514" i="36" s="1"/>
  <c r="R513" i="36"/>
  <c r="U513" i="36" s="1"/>
  <c r="R512" i="36"/>
  <c r="U512" i="36" s="1"/>
  <c r="R520" i="36"/>
  <c r="U520" i="36" s="1"/>
  <c r="AK152" i="36"/>
  <c r="AL152" i="36" s="1"/>
  <c r="R156" i="36"/>
  <c r="U156" i="36" s="1"/>
  <c r="AK162" i="36"/>
  <c r="AL162" i="36" s="1"/>
  <c r="AJ171" i="36"/>
  <c r="T171" i="36" s="1"/>
  <c r="V171" i="36" s="1"/>
  <c r="R175" i="36"/>
  <c r="U175" i="36" s="1"/>
  <c r="AJ193" i="36"/>
  <c r="R197" i="36"/>
  <c r="U197" i="36" s="1"/>
  <c r="AK216" i="36"/>
  <c r="AL216" i="36" s="1"/>
  <c r="AK230" i="36"/>
  <c r="AL230" i="36" s="1"/>
  <c r="R255" i="36"/>
  <c r="U255" i="36" s="1"/>
  <c r="R263" i="36"/>
  <c r="U263" i="36" s="1"/>
  <c r="R296" i="36"/>
  <c r="U296" i="36" s="1"/>
  <c r="U312" i="36"/>
  <c r="R319" i="36"/>
  <c r="U319" i="36" s="1"/>
  <c r="U331" i="36"/>
  <c r="V389" i="36"/>
  <c r="U393" i="36"/>
  <c r="U430" i="36"/>
  <c r="AJ447" i="36"/>
  <c r="T447" i="36" s="1"/>
  <c r="V447" i="36" s="1"/>
  <c r="R492" i="36"/>
  <c r="U492" i="36" s="1"/>
  <c r="R304" i="36"/>
  <c r="U304" i="36" s="1"/>
  <c r="R292" i="36"/>
  <c r="U292" i="36" s="1"/>
  <c r="R303" i="36"/>
  <c r="U303" i="36" s="1"/>
  <c r="AJ372" i="36"/>
  <c r="T372" i="36" s="1"/>
  <c r="V372" i="36" s="1"/>
  <c r="AK372" i="36"/>
  <c r="AL372" i="36" s="1"/>
  <c r="V509" i="36"/>
  <c r="R128" i="36"/>
  <c r="U128" i="36" s="1"/>
  <c r="R299" i="36"/>
  <c r="U299" i="36" s="1"/>
  <c r="R337" i="36"/>
  <c r="U337" i="36" s="1"/>
  <c r="R407" i="36"/>
  <c r="U407" i="36" s="1"/>
  <c r="R422" i="36"/>
  <c r="R451" i="36"/>
  <c r="U451" i="36" s="1"/>
  <c r="R456" i="36"/>
  <c r="U456" i="36" s="1"/>
  <c r="R522" i="36"/>
  <c r="U522" i="36" s="1"/>
  <c r="AJ523" i="36"/>
  <c r="T523" i="36" s="1"/>
  <c r="V523" i="36" s="1"/>
  <c r="R546" i="36"/>
  <c r="U546" i="36" s="1"/>
  <c r="R552" i="36"/>
  <c r="U552" i="36" s="1"/>
  <c r="R555" i="36"/>
  <c r="U555" i="36" s="1"/>
  <c r="R595" i="36"/>
  <c r="U595" i="36" s="1"/>
  <c r="R603" i="36"/>
  <c r="U603" i="36" s="1"/>
  <c r="AJ611" i="36"/>
  <c r="T611" i="36" s="1"/>
  <c r="V611" i="36" s="1"/>
  <c r="R618" i="36"/>
  <c r="R619" i="36"/>
  <c r="U619" i="36" s="1"/>
  <c r="AJ643" i="36"/>
  <c r="T643" i="36" s="1"/>
  <c r="V643" i="36" s="1"/>
  <c r="R649" i="36"/>
  <c r="U649" i="36" s="1"/>
  <c r="R657" i="36"/>
  <c r="U657" i="36" s="1"/>
  <c r="AJ678" i="36"/>
  <c r="T678" i="36" s="1"/>
  <c r="V678" i="36" s="1"/>
  <c r="R687" i="36"/>
  <c r="U687" i="36" s="1"/>
  <c r="R596" i="36"/>
  <c r="U596" i="36" s="1"/>
  <c r="R604" i="36"/>
  <c r="U604" i="36" s="1"/>
  <c r="R620" i="36"/>
  <c r="U620" i="36" s="1"/>
  <c r="R621" i="36"/>
  <c r="U621" i="36" s="1"/>
  <c r="R650" i="36"/>
  <c r="U650" i="36" s="1"/>
  <c r="R658" i="36"/>
  <c r="U658" i="36" s="1"/>
  <c r="R381" i="36"/>
  <c r="U381" i="36" s="1"/>
  <c r="R548" i="36"/>
  <c r="U548" i="36" s="1"/>
  <c r="AJ553" i="36"/>
  <c r="T553" i="36" s="1"/>
  <c r="V553" i="36" s="1"/>
  <c r="R557" i="36"/>
  <c r="U557" i="36" s="1"/>
  <c r="R578" i="36"/>
  <c r="U578" i="36" s="1"/>
  <c r="R587" i="36"/>
  <c r="U587" i="36" s="1"/>
  <c r="AK594" i="36"/>
  <c r="AL594" i="36" s="1"/>
  <c r="R597" i="36"/>
  <c r="U597" i="36" s="1"/>
  <c r="R605" i="36"/>
  <c r="U605" i="36" s="1"/>
  <c r="AK615" i="36"/>
  <c r="AL615" i="36" s="1"/>
  <c r="R622" i="36"/>
  <c r="U622" i="36" s="1"/>
  <c r="R623" i="36"/>
  <c r="U623" i="36" s="1"/>
  <c r="R624" i="36"/>
  <c r="U624" i="36" s="1"/>
  <c r="R635" i="36"/>
  <c r="U635" i="36" s="1"/>
  <c r="R651" i="36"/>
  <c r="U651" i="36" s="1"/>
  <c r="R661" i="36"/>
  <c r="U661" i="36" s="1"/>
  <c r="R669" i="36"/>
  <c r="U669" i="36" s="1"/>
  <c r="R681" i="36"/>
  <c r="U681" i="36" s="1"/>
  <c r="R499" i="36"/>
  <c r="U499" i="36" s="1"/>
  <c r="R534" i="36"/>
  <c r="U534" i="36" s="1"/>
  <c r="R549" i="36"/>
  <c r="U549" i="36" s="1"/>
  <c r="R558" i="36"/>
  <c r="U558" i="36" s="1"/>
  <c r="R579" i="36"/>
  <c r="U579" i="36" s="1"/>
  <c r="AK585" i="36"/>
  <c r="AL585" i="36" s="1"/>
  <c r="R588" i="36"/>
  <c r="U588" i="36" s="1"/>
  <c r="R598" i="36"/>
  <c r="U598" i="36" s="1"/>
  <c r="R606" i="36"/>
  <c r="U606" i="36" s="1"/>
  <c r="R609" i="36"/>
  <c r="U609" i="36" s="1"/>
  <c r="AK620" i="36"/>
  <c r="AL620" i="36" s="1"/>
  <c r="R625" i="36"/>
  <c r="U625" i="36" s="1"/>
  <c r="R628" i="36"/>
  <c r="U628" i="36" s="1"/>
  <c r="R636" i="36"/>
  <c r="U636" i="36" s="1"/>
  <c r="R637" i="36"/>
  <c r="R638" i="36"/>
  <c r="U638" i="36" s="1"/>
  <c r="R652" i="36"/>
  <c r="U652" i="36" s="1"/>
  <c r="AK659" i="36"/>
  <c r="AL659" i="36" s="1"/>
  <c r="R662" i="36"/>
  <c r="U662" i="36" s="1"/>
  <c r="R670" i="36"/>
  <c r="U670" i="36" s="1"/>
  <c r="R674" i="36"/>
  <c r="U674" i="36" s="1"/>
  <c r="R675" i="36"/>
  <c r="U675" i="36" s="1"/>
  <c r="Q679" i="36"/>
  <c r="AJ679" i="36" s="1"/>
  <c r="T679" i="36" s="1"/>
  <c r="V679" i="36" s="1"/>
  <c r="R682" i="36"/>
  <c r="U682" i="36" s="1"/>
  <c r="R383" i="36"/>
  <c r="U383" i="36" s="1"/>
  <c r="R535" i="36"/>
  <c r="U535" i="36" s="1"/>
  <c r="R550" i="36"/>
  <c r="U550" i="36" s="1"/>
  <c r="R599" i="36"/>
  <c r="U599" i="36" s="1"/>
  <c r="R607" i="36"/>
  <c r="U607" i="36" s="1"/>
  <c r="AI618" i="36"/>
  <c r="AJ618" i="36" s="1"/>
  <c r="T618" i="36" s="1"/>
  <c r="V618" i="36" s="1"/>
  <c r="R639" i="36"/>
  <c r="U639" i="36" s="1"/>
  <c r="R640" i="36"/>
  <c r="U640" i="36" s="1"/>
  <c r="R641" i="36"/>
  <c r="U641" i="36" s="1"/>
  <c r="R645" i="36"/>
  <c r="U645" i="36" s="1"/>
  <c r="R653" i="36"/>
  <c r="U653" i="36" s="1"/>
  <c r="R676" i="36"/>
  <c r="U676" i="36" s="1"/>
  <c r="AK680" i="36"/>
  <c r="AL680" i="36" s="1"/>
  <c r="R683" i="36"/>
  <c r="U683" i="36" s="1"/>
  <c r="R600" i="36"/>
  <c r="U600" i="36" s="1"/>
  <c r="R646" i="36"/>
  <c r="U646" i="36" s="1"/>
  <c r="R654" i="36"/>
  <c r="U654" i="36" s="1"/>
  <c r="AJ680" i="36"/>
  <c r="T680" i="36" s="1"/>
  <c r="V680" i="36" s="1"/>
  <c r="R684" i="36"/>
  <c r="U684" i="36" s="1"/>
  <c r="AJ325" i="36"/>
  <c r="T325" i="36" s="1"/>
  <c r="V325" i="36" s="1"/>
  <c r="R329" i="36"/>
  <c r="U329" i="36" s="1"/>
  <c r="R385" i="36"/>
  <c r="U385" i="36" s="1"/>
  <c r="R391" i="36"/>
  <c r="U391" i="36" s="1"/>
  <c r="R440" i="36"/>
  <c r="U440" i="36" s="1"/>
  <c r="AJ476" i="36"/>
  <c r="T476" i="36" s="1"/>
  <c r="V476" i="36" s="1"/>
  <c r="R480" i="36"/>
  <c r="U480" i="36" s="1"/>
  <c r="R502" i="36"/>
  <c r="U502" i="36" s="1"/>
  <c r="AK504" i="36"/>
  <c r="AL504" i="36" s="1"/>
  <c r="AI511" i="36"/>
  <c r="AJ511" i="36" s="1"/>
  <c r="T511" i="36" s="1"/>
  <c r="V511" i="36" s="1"/>
  <c r="AK513" i="36"/>
  <c r="AL513" i="36" s="1"/>
  <c r="R537" i="36"/>
  <c r="U537" i="36" s="1"/>
  <c r="R538" i="36"/>
  <c r="U538" i="36" s="1"/>
  <c r="R539" i="36"/>
  <c r="U539" i="36" s="1"/>
  <c r="R544" i="36"/>
  <c r="U544" i="36" s="1"/>
  <c r="R560" i="36"/>
  <c r="U560" i="36" s="1"/>
  <c r="R574" i="36"/>
  <c r="U574" i="36" s="1"/>
  <c r="R581" i="36"/>
  <c r="U581" i="36" s="1"/>
  <c r="R601" i="36"/>
  <c r="U601" i="36" s="1"/>
  <c r="AK639" i="36"/>
  <c r="AL639" i="36" s="1"/>
  <c r="AK640" i="36"/>
  <c r="AL640" i="36" s="1"/>
  <c r="AK641" i="36"/>
  <c r="AL641" i="36" s="1"/>
  <c r="AK644" i="36"/>
  <c r="AL644" i="36" s="1"/>
  <c r="R647" i="36"/>
  <c r="U647" i="36" s="1"/>
  <c r="R655" i="36"/>
  <c r="U655" i="36" s="1"/>
  <c r="AK676" i="36"/>
  <c r="AL676" i="36" s="1"/>
  <c r="R685" i="36"/>
  <c r="U685" i="36" s="1"/>
  <c r="R378" i="36"/>
  <c r="U378" i="36" s="1"/>
  <c r="AK542" i="36"/>
  <c r="AL542" i="36" s="1"/>
  <c r="R553" i="36"/>
  <c r="R554" i="36"/>
  <c r="U554" i="36" s="1"/>
  <c r="R565" i="36"/>
  <c r="U565" i="36" s="1"/>
  <c r="R566" i="36"/>
  <c r="U566" i="36" s="1"/>
  <c r="R567" i="36"/>
  <c r="U567" i="36" s="1"/>
  <c r="R568" i="36"/>
  <c r="U568" i="36" s="1"/>
  <c r="R569" i="36"/>
  <c r="U569" i="36" s="1"/>
  <c r="R570" i="36"/>
  <c r="U570" i="36" s="1"/>
  <c r="AK572" i="36"/>
  <c r="AL572" i="36" s="1"/>
  <c r="R575" i="36"/>
  <c r="U575" i="36" s="1"/>
  <c r="AI608" i="36"/>
  <c r="AI637" i="36"/>
  <c r="R648" i="36"/>
  <c r="U648" i="36" s="1"/>
  <c r="AI673" i="36"/>
  <c r="AI637" i="35"/>
  <c r="AJ637" i="35" s="1"/>
  <c r="T637" i="35" s="1"/>
  <c r="V637" i="35" s="1"/>
  <c r="AJ639" i="35"/>
  <c r="T639" i="35" s="1"/>
  <c r="V639" i="35" s="1"/>
  <c r="AK639" i="35"/>
  <c r="AL639" i="35" s="1"/>
  <c r="V634" i="35"/>
  <c r="U634" i="35"/>
  <c r="U632" i="35"/>
  <c r="U630" i="35"/>
  <c r="AI511" i="35"/>
  <c r="AK511" i="35" s="1"/>
  <c r="AL511" i="35" s="1"/>
  <c r="AK457" i="35"/>
  <c r="AL457" i="35" s="1"/>
  <c r="U458" i="35"/>
  <c r="U412" i="35"/>
  <c r="AK373" i="35"/>
  <c r="AL373" i="35" s="1"/>
  <c r="U371" i="35"/>
  <c r="AJ241" i="35"/>
  <c r="T241" i="35" s="1"/>
  <c r="V241" i="35" s="1"/>
  <c r="U152" i="35"/>
  <c r="U135" i="35"/>
  <c r="U133" i="35"/>
  <c r="U131" i="35"/>
  <c r="AK110" i="35"/>
  <c r="AL110" i="35" s="1"/>
  <c r="AK65" i="35"/>
  <c r="AL65" i="35" s="1"/>
  <c r="U70" i="35"/>
  <c r="AJ66" i="35"/>
  <c r="T66" i="35" s="1"/>
  <c r="V66" i="35" s="1"/>
  <c r="AK66" i="35"/>
  <c r="AL66" i="35" s="1"/>
  <c r="U235" i="35"/>
  <c r="V235" i="35"/>
  <c r="U294" i="35"/>
  <c r="V294" i="35"/>
  <c r="AI26" i="35"/>
  <c r="AJ26" i="35" s="1"/>
  <c r="R31" i="35"/>
  <c r="U31" i="35" s="1"/>
  <c r="AK14" i="35"/>
  <c r="AI24" i="35"/>
  <c r="AJ24" i="35" s="1"/>
  <c r="AJ25" i="35"/>
  <c r="T25" i="35" s="1"/>
  <c r="V25" i="35" s="1"/>
  <c r="U134" i="35"/>
  <c r="U156" i="35"/>
  <c r="U163" i="35"/>
  <c r="U167" i="35"/>
  <c r="AK39" i="35"/>
  <c r="Q38" i="35"/>
  <c r="R39" i="35" s="1"/>
  <c r="AJ125" i="35"/>
  <c r="T125" i="35" s="1"/>
  <c r="V125" i="35" s="1"/>
  <c r="AK125" i="35"/>
  <c r="AL125" i="35" s="1"/>
  <c r="U220" i="35"/>
  <c r="V220" i="35"/>
  <c r="U276" i="35"/>
  <c r="V276" i="35"/>
  <c r="R34" i="35"/>
  <c r="U34" i="35" s="1"/>
  <c r="V282" i="35"/>
  <c r="U284" i="35"/>
  <c r="V284" i="35"/>
  <c r="AK16" i="35"/>
  <c r="AL16" i="35" s="1"/>
  <c r="AI51" i="35"/>
  <c r="U76" i="35"/>
  <c r="U225" i="35"/>
  <c r="U237" i="35"/>
  <c r="U243" i="35"/>
  <c r="R148" i="35"/>
  <c r="R89" i="35"/>
  <c r="R81" i="35"/>
  <c r="U81" i="35" s="1"/>
  <c r="R60" i="35"/>
  <c r="R125" i="35"/>
  <c r="U125" i="35" s="1"/>
  <c r="R86" i="35"/>
  <c r="U86" i="35" s="1"/>
  <c r="R96" i="35"/>
  <c r="U96" i="35" s="1"/>
  <c r="R66" i="35"/>
  <c r="R62" i="35"/>
  <c r="AJ55" i="35"/>
  <c r="T55" i="35" s="1"/>
  <c r="V55" i="35" s="1"/>
  <c r="AK55" i="35"/>
  <c r="AL55" i="35" s="1"/>
  <c r="AK20" i="35"/>
  <c r="AL20" i="35" s="1"/>
  <c r="AJ16" i="35"/>
  <c r="T16" i="35" s="1"/>
  <c r="V16" i="35" s="1"/>
  <c r="P59" i="35"/>
  <c r="P58" i="35" s="1"/>
  <c r="P35" i="35" s="1"/>
  <c r="U200" i="35"/>
  <c r="U217" i="35"/>
  <c r="U239" i="35"/>
  <c r="U245" i="35"/>
  <c r="U247" i="35"/>
  <c r="U280" i="35"/>
  <c r="U303" i="35"/>
  <c r="U153" i="35"/>
  <c r="U169" i="35"/>
  <c r="R26" i="35"/>
  <c r="U289" i="35"/>
  <c r="V289" i="35"/>
  <c r="R23" i="35"/>
  <c r="U23" i="35" s="1"/>
  <c r="R24" i="35"/>
  <c r="AJ39" i="35"/>
  <c r="T39" i="35" s="1"/>
  <c r="V39" i="35" s="1"/>
  <c r="AK52" i="35"/>
  <c r="AL52" i="35" s="1"/>
  <c r="U129" i="35"/>
  <c r="U137" i="35"/>
  <c r="U236" i="35"/>
  <c r="U242" i="35"/>
  <c r="AJ62" i="35"/>
  <c r="T62" i="35" s="1"/>
  <c r="V62" i="35" s="1"/>
  <c r="AK62" i="35"/>
  <c r="AL62" i="35" s="1"/>
  <c r="U14" i="35"/>
  <c r="R33" i="35"/>
  <c r="U33" i="35" s="1"/>
  <c r="U285" i="35"/>
  <c r="R319" i="35"/>
  <c r="U319" i="35" s="1"/>
  <c r="R318" i="35"/>
  <c r="U318" i="35" s="1"/>
  <c r="R323" i="35"/>
  <c r="U323" i="35" s="1"/>
  <c r="V485" i="35"/>
  <c r="U485" i="35"/>
  <c r="V510" i="35"/>
  <c r="U510" i="35"/>
  <c r="AJ60" i="35"/>
  <c r="T60" i="35" s="1"/>
  <c r="V60" i="35" s="1"/>
  <c r="AJ63" i="35"/>
  <c r="T63" i="35" s="1"/>
  <c r="V63" i="35" s="1"/>
  <c r="AJ67" i="35"/>
  <c r="T67" i="35" s="1"/>
  <c r="V67" i="35" s="1"/>
  <c r="R69" i="35"/>
  <c r="U69" i="35" s="1"/>
  <c r="R71" i="35"/>
  <c r="U71" i="35" s="1"/>
  <c r="R75" i="35"/>
  <c r="AK75" i="35"/>
  <c r="AL75" i="35" s="1"/>
  <c r="R78" i="35"/>
  <c r="U78" i="35" s="1"/>
  <c r="R79" i="35"/>
  <c r="U79" i="35" s="1"/>
  <c r="AJ89" i="35"/>
  <c r="T89" i="35" s="1"/>
  <c r="V89" i="35" s="1"/>
  <c r="AJ90" i="35"/>
  <c r="T90" i="35" s="1"/>
  <c r="AJ91" i="35"/>
  <c r="T91" i="35" s="1"/>
  <c r="R93" i="35"/>
  <c r="U93" i="35" s="1"/>
  <c r="R99" i="35"/>
  <c r="U99" i="35" s="1"/>
  <c r="R118" i="35"/>
  <c r="U118" i="35" s="1"/>
  <c r="R130" i="35"/>
  <c r="U130" i="35" s="1"/>
  <c r="R136" i="35"/>
  <c r="U136" i="35" s="1"/>
  <c r="R139" i="35"/>
  <c r="U139" i="35" s="1"/>
  <c r="AK139" i="35"/>
  <c r="AL139" i="35" s="1"/>
  <c r="R144" i="35"/>
  <c r="R158" i="35"/>
  <c r="AK165" i="35"/>
  <c r="AL165" i="35" s="1"/>
  <c r="R172" i="35"/>
  <c r="U172" i="35" s="1"/>
  <c r="R187" i="35"/>
  <c r="U187" i="35" s="1"/>
  <c r="R194" i="35"/>
  <c r="U194" i="35" s="1"/>
  <c r="R208" i="35"/>
  <c r="U208" i="35" s="1"/>
  <c r="R214" i="35"/>
  <c r="U214" i="35" s="1"/>
  <c r="AJ219" i="35"/>
  <c r="T219" i="35" s="1"/>
  <c r="V219" i="35" s="1"/>
  <c r="R224" i="35"/>
  <c r="U224" i="35" s="1"/>
  <c r="R238" i="35"/>
  <c r="U238" i="35" s="1"/>
  <c r="R241" i="35"/>
  <c r="AK241" i="35"/>
  <c r="AL241" i="35" s="1"/>
  <c r="R244" i="35"/>
  <c r="U244" i="35" s="1"/>
  <c r="R249" i="35"/>
  <c r="AK249" i="35"/>
  <c r="AL249" i="35" s="1"/>
  <c r="R252" i="35"/>
  <c r="U252" i="35" s="1"/>
  <c r="R260" i="35"/>
  <c r="U260" i="35" s="1"/>
  <c r="R265" i="35"/>
  <c r="U265" i="35" s="1"/>
  <c r="R273" i="35"/>
  <c r="U273" i="35" s="1"/>
  <c r="AJ275" i="35"/>
  <c r="T275" i="35" s="1"/>
  <c r="V275" i="35" s="1"/>
  <c r="R279" i="35"/>
  <c r="U279" i="35" s="1"/>
  <c r="R296" i="35"/>
  <c r="U296" i="35" s="1"/>
  <c r="R302" i="35"/>
  <c r="U302" i="35" s="1"/>
  <c r="R316" i="35"/>
  <c r="U316" i="35" s="1"/>
  <c r="R320" i="35"/>
  <c r="U320" i="35" s="1"/>
  <c r="R322" i="35"/>
  <c r="U322" i="35" s="1"/>
  <c r="R332" i="35"/>
  <c r="U332" i="35" s="1"/>
  <c r="U375" i="35"/>
  <c r="U366" i="35"/>
  <c r="R553" i="35"/>
  <c r="U553" i="35" s="1"/>
  <c r="R542" i="35"/>
  <c r="U542" i="35" s="1"/>
  <c r="R530" i="35"/>
  <c r="R504" i="35"/>
  <c r="R457" i="35"/>
  <c r="U457" i="35" s="1"/>
  <c r="R585" i="35"/>
  <c r="U585" i="35" s="1"/>
  <c r="R476" i="35"/>
  <c r="AJ530" i="35"/>
  <c r="T530" i="35" s="1"/>
  <c r="V530" i="35" s="1"/>
  <c r="AK530" i="35"/>
  <c r="AL530" i="35" s="1"/>
  <c r="AJ75" i="35"/>
  <c r="T75" i="35" s="1"/>
  <c r="V75" i="35" s="1"/>
  <c r="R80" i="35"/>
  <c r="U80" i="35" s="1"/>
  <c r="AK96" i="35"/>
  <c r="AL96" i="35" s="1"/>
  <c r="AK97" i="35"/>
  <c r="AL97" i="35" s="1"/>
  <c r="R100" i="35"/>
  <c r="U100" i="35" s="1"/>
  <c r="R101" i="35"/>
  <c r="U101" i="35" s="1"/>
  <c r="R102" i="35"/>
  <c r="U102" i="35" s="1"/>
  <c r="R103" i="35"/>
  <c r="U103" i="35" s="1"/>
  <c r="R119" i="35"/>
  <c r="U119" i="35" s="1"/>
  <c r="R126" i="35"/>
  <c r="AK126" i="35"/>
  <c r="AL126" i="35" s="1"/>
  <c r="AI148" i="35"/>
  <c r="AK153" i="35"/>
  <c r="AL153" i="35" s="1"/>
  <c r="AK154" i="35"/>
  <c r="AL154" i="35" s="1"/>
  <c r="R157" i="35"/>
  <c r="U157" i="35" s="1"/>
  <c r="AK158" i="35"/>
  <c r="AL158" i="35" s="1"/>
  <c r="AJ165" i="35"/>
  <c r="T165" i="35" s="1"/>
  <c r="V165" i="35" s="1"/>
  <c r="R173" i="35"/>
  <c r="U173" i="35" s="1"/>
  <c r="R188" i="35"/>
  <c r="U188" i="35" s="1"/>
  <c r="R195" i="35"/>
  <c r="U195" i="35" s="1"/>
  <c r="R222" i="35"/>
  <c r="U222" i="35" s="1"/>
  <c r="AK222" i="35"/>
  <c r="AL222" i="35" s="1"/>
  <c r="AJ249" i="35"/>
  <c r="T249" i="35" s="1"/>
  <c r="V249" i="35" s="1"/>
  <c r="R253" i="35"/>
  <c r="U253" i="35" s="1"/>
  <c r="R261" i="35"/>
  <c r="U261" i="35" s="1"/>
  <c r="R274" i="35"/>
  <c r="U274" i="35" s="1"/>
  <c r="U352" i="35"/>
  <c r="R421" i="35"/>
  <c r="U421" i="35" s="1"/>
  <c r="R420" i="35"/>
  <c r="U420" i="35" s="1"/>
  <c r="R419" i="35"/>
  <c r="U419" i="35" s="1"/>
  <c r="R418" i="35"/>
  <c r="U418" i="35" s="1"/>
  <c r="R417" i="35"/>
  <c r="U417" i="35" s="1"/>
  <c r="R416" i="35"/>
  <c r="U416" i="35" s="1"/>
  <c r="R411" i="35"/>
  <c r="U411" i="35" s="1"/>
  <c r="R410" i="35"/>
  <c r="U410" i="35" s="1"/>
  <c r="R409" i="35"/>
  <c r="U409" i="35" s="1"/>
  <c r="V509" i="35"/>
  <c r="R68" i="35"/>
  <c r="AK68" i="35"/>
  <c r="AL68" i="35" s="1"/>
  <c r="R73" i="35"/>
  <c r="U73" i="35" s="1"/>
  <c r="R92" i="35"/>
  <c r="AK92" i="35"/>
  <c r="AL92" i="35" s="1"/>
  <c r="R104" i="35"/>
  <c r="U104" i="35" s="1"/>
  <c r="R111" i="35"/>
  <c r="U111" i="35" s="1"/>
  <c r="R120" i="35"/>
  <c r="U120" i="35" s="1"/>
  <c r="AJ126" i="35"/>
  <c r="T126" i="35" s="1"/>
  <c r="V126" i="35" s="1"/>
  <c r="R138" i="35"/>
  <c r="U138" i="35" s="1"/>
  <c r="AI144" i="35"/>
  <c r="AJ144" i="35" s="1"/>
  <c r="T144" i="35" s="1"/>
  <c r="AK157" i="35"/>
  <c r="AL157" i="35" s="1"/>
  <c r="AJ158" i="35"/>
  <c r="T158" i="35" s="1"/>
  <c r="V158" i="35" s="1"/>
  <c r="Q161" i="35"/>
  <c r="AJ161" i="35" s="1"/>
  <c r="T161" i="35" s="1"/>
  <c r="V161" i="35" s="1"/>
  <c r="R171" i="35"/>
  <c r="AK171" i="35"/>
  <c r="AL171" i="35" s="1"/>
  <c r="R174" i="35"/>
  <c r="U174" i="35" s="1"/>
  <c r="R189" i="35"/>
  <c r="U189" i="35" s="1"/>
  <c r="R193" i="35"/>
  <c r="AK193" i="35"/>
  <c r="AL193" i="35" s="1"/>
  <c r="R196" i="35"/>
  <c r="U196" i="35" s="1"/>
  <c r="R226" i="35"/>
  <c r="U226" i="35" s="1"/>
  <c r="R254" i="35"/>
  <c r="U254" i="35" s="1"/>
  <c r="R262" i="35"/>
  <c r="U262" i="35" s="1"/>
  <c r="R264" i="35"/>
  <c r="AK264" i="35"/>
  <c r="AL264" i="35" s="1"/>
  <c r="R267" i="35"/>
  <c r="U267" i="35" s="1"/>
  <c r="R304" i="35"/>
  <c r="U304" i="35" s="1"/>
  <c r="R310" i="35"/>
  <c r="U310" i="35" s="1"/>
  <c r="R314" i="35"/>
  <c r="U314" i="35" s="1"/>
  <c r="R400" i="35"/>
  <c r="U400" i="35" s="1"/>
  <c r="AJ341" i="35"/>
  <c r="T341" i="35" s="1"/>
  <c r="V341" i="35" s="1"/>
  <c r="AI339" i="35"/>
  <c r="AK339" i="35" s="1"/>
  <c r="AL339" i="35" s="1"/>
  <c r="AK341" i="35"/>
  <c r="AL341" i="35" s="1"/>
  <c r="AJ363" i="35"/>
  <c r="T363" i="35" s="1"/>
  <c r="V363" i="35" s="1"/>
  <c r="AK363" i="35"/>
  <c r="AL363" i="35" s="1"/>
  <c r="AJ68" i="35"/>
  <c r="T68" i="35" s="1"/>
  <c r="V68" i="35" s="1"/>
  <c r="R95" i="35"/>
  <c r="U95" i="35" s="1"/>
  <c r="R105" i="35"/>
  <c r="U105" i="35" s="1"/>
  <c r="R112" i="35"/>
  <c r="U112" i="35" s="1"/>
  <c r="R121" i="35"/>
  <c r="U121" i="35" s="1"/>
  <c r="R122" i="35"/>
  <c r="U122" i="35" s="1"/>
  <c r="AK168" i="35"/>
  <c r="AL168" i="35" s="1"/>
  <c r="AJ171" i="35"/>
  <c r="T171" i="35" s="1"/>
  <c r="V171" i="35" s="1"/>
  <c r="R175" i="35"/>
  <c r="U175" i="35" s="1"/>
  <c r="R190" i="35"/>
  <c r="U190" i="35" s="1"/>
  <c r="AJ193" i="35"/>
  <c r="R197" i="35"/>
  <c r="U197" i="35" s="1"/>
  <c r="R216" i="35"/>
  <c r="R230" i="35"/>
  <c r="R255" i="35"/>
  <c r="U255" i="35" s="1"/>
  <c r="R263" i="35"/>
  <c r="U263" i="35" s="1"/>
  <c r="AJ264" i="35"/>
  <c r="T264" i="35" s="1"/>
  <c r="V264" i="35" s="1"/>
  <c r="R268" i="35"/>
  <c r="U268" i="35" s="1"/>
  <c r="R305" i="35"/>
  <c r="U305" i="35" s="1"/>
  <c r="R311" i="35"/>
  <c r="U311" i="35" s="1"/>
  <c r="U402" i="35"/>
  <c r="R415" i="35"/>
  <c r="U415" i="35" s="1"/>
  <c r="U463" i="35"/>
  <c r="AJ376" i="35"/>
  <c r="T376" i="35" s="1"/>
  <c r="V376" i="35" s="1"/>
  <c r="AK376" i="35"/>
  <c r="AL376" i="35" s="1"/>
  <c r="V508" i="35"/>
  <c r="U508" i="35"/>
  <c r="AI59" i="35"/>
  <c r="AK59" i="35" s="1"/>
  <c r="AL59" i="35" s="1"/>
  <c r="R72" i="35"/>
  <c r="U72" i="35" s="1"/>
  <c r="R84" i="35"/>
  <c r="U84" i="35" s="1"/>
  <c r="R106" i="35"/>
  <c r="U106" i="35" s="1"/>
  <c r="R107" i="35"/>
  <c r="U107" i="35" s="1"/>
  <c r="R110" i="35"/>
  <c r="R113" i="35"/>
  <c r="U113" i="35" s="1"/>
  <c r="R123" i="35"/>
  <c r="U123" i="35" s="1"/>
  <c r="R127" i="35"/>
  <c r="U127" i="35" s="1"/>
  <c r="AK127" i="35"/>
  <c r="AL127" i="35" s="1"/>
  <c r="R143" i="35"/>
  <c r="U143" i="35" s="1"/>
  <c r="R155" i="35"/>
  <c r="U155" i="35" s="1"/>
  <c r="R170" i="35"/>
  <c r="U170" i="35" s="1"/>
  <c r="R176" i="35"/>
  <c r="U176" i="35" s="1"/>
  <c r="R184" i="35"/>
  <c r="U184" i="35" s="1"/>
  <c r="R191" i="35"/>
  <c r="U191" i="35" s="1"/>
  <c r="R198" i="35"/>
  <c r="U198" i="35" s="1"/>
  <c r="R203" i="35"/>
  <c r="U203" i="35" s="1"/>
  <c r="R204" i="35"/>
  <c r="U204" i="35" s="1"/>
  <c r="R210" i="35"/>
  <c r="U210" i="35" s="1"/>
  <c r="R228" i="35"/>
  <c r="U228" i="35" s="1"/>
  <c r="R256" i="35"/>
  <c r="U256" i="35" s="1"/>
  <c r="R269" i="35"/>
  <c r="U269" i="35" s="1"/>
  <c r="R288" i="35"/>
  <c r="U288" i="35" s="1"/>
  <c r="R298" i="35"/>
  <c r="U298" i="35" s="1"/>
  <c r="R306" i="35"/>
  <c r="U306" i="35" s="1"/>
  <c r="R309" i="35"/>
  <c r="U309" i="35" s="1"/>
  <c r="AK309" i="35"/>
  <c r="AL309" i="35" s="1"/>
  <c r="R321" i="35"/>
  <c r="U321" i="35" s="1"/>
  <c r="R324" i="35"/>
  <c r="U324" i="35" s="1"/>
  <c r="AK347" i="35"/>
  <c r="AL347" i="35" s="1"/>
  <c r="AK350" i="35"/>
  <c r="AL350" i="35" s="1"/>
  <c r="U353" i="35"/>
  <c r="U359" i="35"/>
  <c r="U389" i="35"/>
  <c r="U393" i="35"/>
  <c r="U398" i="35"/>
  <c r="U462" i="35"/>
  <c r="U642" i="35"/>
  <c r="U671" i="35"/>
  <c r="AJ358" i="35"/>
  <c r="T358" i="35" s="1"/>
  <c r="V358" i="35" s="1"/>
  <c r="AI356" i="35"/>
  <c r="AJ356" i="35" s="1"/>
  <c r="T356" i="35" s="1"/>
  <c r="V356" i="35" s="1"/>
  <c r="AK358" i="35"/>
  <c r="AL358" i="35" s="1"/>
  <c r="AJ397" i="35"/>
  <c r="T397" i="35" s="1"/>
  <c r="V397" i="35" s="1"/>
  <c r="AI387" i="35"/>
  <c r="AJ387" i="35" s="1"/>
  <c r="T387" i="35" s="1"/>
  <c r="V387" i="35" s="1"/>
  <c r="AK397" i="35"/>
  <c r="AL397" i="35" s="1"/>
  <c r="R433" i="35"/>
  <c r="U433" i="35" s="1"/>
  <c r="R432" i="35"/>
  <c r="U432" i="35" s="1"/>
  <c r="R431" i="35"/>
  <c r="U431" i="35" s="1"/>
  <c r="R430" i="35"/>
  <c r="U430" i="35" s="1"/>
  <c r="R429" i="35"/>
  <c r="U429" i="35" s="1"/>
  <c r="R428" i="35"/>
  <c r="U428" i="35" s="1"/>
  <c r="AK425" i="35"/>
  <c r="AL425" i="35" s="1"/>
  <c r="R425" i="35"/>
  <c r="U425" i="35" s="1"/>
  <c r="R435" i="35"/>
  <c r="U435" i="35" s="1"/>
  <c r="R427" i="35"/>
  <c r="U427" i="35" s="1"/>
  <c r="R434" i="35"/>
  <c r="U434" i="35" s="1"/>
  <c r="R426" i="35"/>
  <c r="U426" i="35" s="1"/>
  <c r="R83" i="35"/>
  <c r="U83" i="35" s="1"/>
  <c r="R85" i="35"/>
  <c r="U85" i="35" s="1"/>
  <c r="R94" i="35"/>
  <c r="AK94" i="35"/>
  <c r="AL94" i="35" s="1"/>
  <c r="R108" i="35"/>
  <c r="U108" i="35" s="1"/>
  <c r="R114" i="35"/>
  <c r="U114" i="35" s="1"/>
  <c r="R141" i="35"/>
  <c r="AK141" i="35"/>
  <c r="AL141" i="35" s="1"/>
  <c r="R146" i="35"/>
  <c r="U146" i="35" s="1"/>
  <c r="R159" i="35"/>
  <c r="U159" i="35" s="1"/>
  <c r="R177" i="35"/>
  <c r="U177" i="35" s="1"/>
  <c r="R181" i="35"/>
  <c r="R192" i="35"/>
  <c r="R199" i="35"/>
  <c r="U199" i="35" s="1"/>
  <c r="R201" i="35"/>
  <c r="AK201" i="35"/>
  <c r="AL201" i="35" s="1"/>
  <c r="R205" i="35"/>
  <c r="U205" i="35" s="1"/>
  <c r="AI216" i="35"/>
  <c r="R229" i="35"/>
  <c r="U229" i="35" s="1"/>
  <c r="R257" i="35"/>
  <c r="U257" i="35" s="1"/>
  <c r="R270" i="35"/>
  <c r="U270" i="35" s="1"/>
  <c r="R287" i="35"/>
  <c r="U287" i="35" s="1"/>
  <c r="R299" i="35"/>
  <c r="U299" i="35" s="1"/>
  <c r="R307" i="35"/>
  <c r="U307" i="35" s="1"/>
  <c r="R315" i="35"/>
  <c r="U315" i="35" s="1"/>
  <c r="R325" i="35"/>
  <c r="U325" i="35" s="1"/>
  <c r="R414" i="35"/>
  <c r="U414" i="35" s="1"/>
  <c r="V507" i="35"/>
  <c r="U507" i="35"/>
  <c r="AK83" i="35"/>
  <c r="AL83" i="35" s="1"/>
  <c r="AJ94" i="35"/>
  <c r="T94" i="35" s="1"/>
  <c r="V94" i="35" s="1"/>
  <c r="R109" i="35"/>
  <c r="U109" i="35" s="1"/>
  <c r="R115" i="35"/>
  <c r="U115" i="35" s="1"/>
  <c r="R116" i="35"/>
  <c r="U116" i="35" s="1"/>
  <c r="AK159" i="35"/>
  <c r="AL159" i="35" s="1"/>
  <c r="R178" i="35"/>
  <c r="U178" i="35" s="1"/>
  <c r="R185" i="35"/>
  <c r="U185" i="35" s="1"/>
  <c r="AJ201" i="35"/>
  <c r="T201" i="35" s="1"/>
  <c r="V201" i="35" s="1"/>
  <c r="R206" i="35"/>
  <c r="U206" i="35" s="1"/>
  <c r="R250" i="35"/>
  <c r="U250" i="35" s="1"/>
  <c r="R258" i="35"/>
  <c r="U258" i="35" s="1"/>
  <c r="R271" i="35"/>
  <c r="U271" i="35" s="1"/>
  <c r="AK287" i="35"/>
  <c r="AL287" i="35" s="1"/>
  <c r="R297" i="35"/>
  <c r="R308" i="35"/>
  <c r="U308" i="35" s="1"/>
  <c r="U331" i="35"/>
  <c r="R97" i="35"/>
  <c r="U97" i="35" s="1"/>
  <c r="R98" i="35"/>
  <c r="U98" i="35" s="1"/>
  <c r="AI181" i="35"/>
  <c r="AK181" i="35" s="1"/>
  <c r="AL181" i="35" s="1"/>
  <c r="AJ209" i="35"/>
  <c r="T209" i="35" s="1"/>
  <c r="V209" i="35" s="1"/>
  <c r="R251" i="35"/>
  <c r="U251" i="35" s="1"/>
  <c r="R275" i="35"/>
  <c r="AJ297" i="35"/>
  <c r="T297" i="35" s="1"/>
  <c r="V297" i="35" s="1"/>
  <c r="R313" i="35"/>
  <c r="U313" i="35" s="1"/>
  <c r="R317" i="35"/>
  <c r="U349" i="35"/>
  <c r="U379" i="35"/>
  <c r="R413" i="35"/>
  <c r="U413" i="35" s="1"/>
  <c r="U540" i="35"/>
  <c r="U590" i="35"/>
  <c r="R354" i="35"/>
  <c r="U354" i="35" s="1"/>
  <c r="R356" i="35"/>
  <c r="R360" i="35"/>
  <c r="U360" i="35" s="1"/>
  <c r="R364" i="35"/>
  <c r="R367" i="35"/>
  <c r="U367" i="35" s="1"/>
  <c r="R368" i="35"/>
  <c r="U368" i="35" s="1"/>
  <c r="R387" i="35"/>
  <c r="R390" i="35"/>
  <c r="U390" i="35" s="1"/>
  <c r="R399" i="35"/>
  <c r="U399" i="35" s="1"/>
  <c r="R403" i="35"/>
  <c r="U403" i="35" s="1"/>
  <c r="AK436" i="35"/>
  <c r="AL436" i="35" s="1"/>
  <c r="R439" i="35"/>
  <c r="U439" i="35" s="1"/>
  <c r="R500" i="35"/>
  <c r="U500" i="35" s="1"/>
  <c r="R511" i="35"/>
  <c r="R513" i="35"/>
  <c r="U513" i="35" s="1"/>
  <c r="R521" i="35"/>
  <c r="U521" i="35" s="1"/>
  <c r="R523" i="35"/>
  <c r="AK523" i="35"/>
  <c r="AL523" i="35" s="1"/>
  <c r="R526" i="35"/>
  <c r="U526" i="35" s="1"/>
  <c r="R546" i="35"/>
  <c r="U546" i="35" s="1"/>
  <c r="R552" i="35"/>
  <c r="U552" i="35" s="1"/>
  <c r="R555" i="35"/>
  <c r="U555" i="35" s="1"/>
  <c r="AK562" i="35"/>
  <c r="AL562" i="35" s="1"/>
  <c r="R594" i="35"/>
  <c r="R595" i="35"/>
  <c r="U595" i="35" s="1"/>
  <c r="R603" i="35"/>
  <c r="U603" i="35" s="1"/>
  <c r="R618" i="35"/>
  <c r="R619" i="35"/>
  <c r="U619" i="35" s="1"/>
  <c r="R687" i="35"/>
  <c r="U687" i="35" s="1"/>
  <c r="R361" i="35"/>
  <c r="U361" i="35" s="1"/>
  <c r="R369" i="35"/>
  <c r="U369" i="35" s="1"/>
  <c r="R391" i="35"/>
  <c r="U391" i="35" s="1"/>
  <c r="AJ436" i="35"/>
  <c r="T436" i="35" s="1"/>
  <c r="V436" i="35" s="1"/>
  <c r="R440" i="35"/>
  <c r="U440" i="35" s="1"/>
  <c r="R501" i="35"/>
  <c r="U501" i="35" s="1"/>
  <c r="AJ511" i="35"/>
  <c r="T511" i="35" s="1"/>
  <c r="V511" i="35" s="1"/>
  <c r="R514" i="35"/>
  <c r="U514" i="35" s="1"/>
  <c r="R522" i="35"/>
  <c r="U522" i="35" s="1"/>
  <c r="AJ523" i="35"/>
  <c r="T523" i="35" s="1"/>
  <c r="V523" i="35" s="1"/>
  <c r="R527" i="35"/>
  <c r="U527" i="35" s="1"/>
  <c r="AJ562" i="35"/>
  <c r="T562" i="35" s="1"/>
  <c r="V562" i="35" s="1"/>
  <c r="R596" i="35"/>
  <c r="U596" i="35" s="1"/>
  <c r="R604" i="35"/>
  <c r="U604" i="35" s="1"/>
  <c r="R620" i="35"/>
  <c r="U620" i="35" s="1"/>
  <c r="R621" i="35"/>
  <c r="U621" i="35" s="1"/>
  <c r="R329" i="35"/>
  <c r="U329" i="35" s="1"/>
  <c r="R334" i="35"/>
  <c r="U334" i="35" s="1"/>
  <c r="R340" i="35"/>
  <c r="U340" i="35" s="1"/>
  <c r="R362" i="35"/>
  <c r="U362" i="35" s="1"/>
  <c r="AI364" i="35"/>
  <c r="AJ364" i="35" s="1"/>
  <c r="T364" i="35" s="1"/>
  <c r="V364" i="35" s="1"/>
  <c r="R370" i="35"/>
  <c r="U370" i="35" s="1"/>
  <c r="R378" i="35"/>
  <c r="U378" i="35" s="1"/>
  <c r="R386" i="35"/>
  <c r="U386" i="35" s="1"/>
  <c r="R392" i="35"/>
  <c r="U392" i="35" s="1"/>
  <c r="R405" i="35"/>
  <c r="U405" i="35" s="1"/>
  <c r="R441" i="35"/>
  <c r="U441" i="35" s="1"/>
  <c r="R455" i="35"/>
  <c r="U455" i="35" s="1"/>
  <c r="R467" i="35"/>
  <c r="U467" i="35" s="1"/>
  <c r="R475" i="35"/>
  <c r="U475" i="35" s="1"/>
  <c r="AJ476" i="35"/>
  <c r="T476" i="35" s="1"/>
  <c r="V476" i="35" s="1"/>
  <c r="R480" i="35"/>
  <c r="U480" i="35" s="1"/>
  <c r="R502" i="35"/>
  <c r="U502" i="35" s="1"/>
  <c r="R515" i="35"/>
  <c r="U515" i="35" s="1"/>
  <c r="R528" i="35"/>
  <c r="U528" i="35" s="1"/>
  <c r="R548" i="35"/>
  <c r="U548" i="35" s="1"/>
  <c r="R557" i="35"/>
  <c r="U557" i="35" s="1"/>
  <c r="R578" i="35"/>
  <c r="U578" i="35" s="1"/>
  <c r="R587" i="35"/>
  <c r="U587" i="35" s="1"/>
  <c r="AK594" i="35"/>
  <c r="AL594" i="35" s="1"/>
  <c r="R597" i="35"/>
  <c r="U597" i="35" s="1"/>
  <c r="R605" i="35"/>
  <c r="U605" i="35" s="1"/>
  <c r="AK615" i="35"/>
  <c r="AL615" i="35" s="1"/>
  <c r="R622" i="35"/>
  <c r="U622" i="35" s="1"/>
  <c r="R623" i="35"/>
  <c r="U623" i="35" s="1"/>
  <c r="R624" i="35"/>
  <c r="U624" i="35" s="1"/>
  <c r="R635" i="35"/>
  <c r="U635" i="35" s="1"/>
  <c r="R651" i="35"/>
  <c r="U651" i="35" s="1"/>
  <c r="R661" i="35"/>
  <c r="U661" i="35" s="1"/>
  <c r="R669" i="35"/>
  <c r="U669" i="35" s="1"/>
  <c r="AI679" i="35"/>
  <c r="R681" i="35"/>
  <c r="U681" i="35" s="1"/>
  <c r="R442" i="35"/>
  <c r="U442" i="35" s="1"/>
  <c r="R448" i="35"/>
  <c r="U448" i="35" s="1"/>
  <c r="R456" i="35"/>
  <c r="U456" i="35" s="1"/>
  <c r="R461" i="35"/>
  <c r="U461" i="35" s="1"/>
  <c r="R468" i="35"/>
  <c r="U468" i="35" s="1"/>
  <c r="R481" i="35"/>
  <c r="U481" i="35" s="1"/>
  <c r="R483" i="35"/>
  <c r="R487" i="35"/>
  <c r="U487" i="35" s="1"/>
  <c r="R488" i="35"/>
  <c r="U488" i="35" s="1"/>
  <c r="R503" i="35"/>
  <c r="U503" i="35" s="1"/>
  <c r="R516" i="35"/>
  <c r="U516" i="35" s="1"/>
  <c r="R529" i="35"/>
  <c r="U529" i="35" s="1"/>
  <c r="R534" i="35"/>
  <c r="U534" i="35" s="1"/>
  <c r="R549" i="35"/>
  <c r="U549" i="35" s="1"/>
  <c r="R558" i="35"/>
  <c r="U558" i="35" s="1"/>
  <c r="R579" i="35"/>
  <c r="U579" i="35" s="1"/>
  <c r="AK585" i="35"/>
  <c r="AL585" i="35" s="1"/>
  <c r="R588" i="35"/>
  <c r="U588" i="35" s="1"/>
  <c r="R598" i="35"/>
  <c r="U598" i="35" s="1"/>
  <c r="R606" i="35"/>
  <c r="U606" i="35" s="1"/>
  <c r="R608" i="35"/>
  <c r="R609" i="35"/>
  <c r="U609" i="35" s="1"/>
  <c r="AK620" i="35"/>
  <c r="AL620" i="35" s="1"/>
  <c r="R625" i="35"/>
  <c r="U625" i="35" s="1"/>
  <c r="R627" i="35"/>
  <c r="U627" i="35" s="1"/>
  <c r="R628" i="35"/>
  <c r="U628" i="35" s="1"/>
  <c r="R636" i="35"/>
  <c r="U636" i="35" s="1"/>
  <c r="R637" i="35"/>
  <c r="R638" i="35"/>
  <c r="U638" i="35" s="1"/>
  <c r="R652" i="35"/>
  <c r="U652" i="35" s="1"/>
  <c r="AK659" i="35"/>
  <c r="AL659" i="35" s="1"/>
  <c r="R662" i="35"/>
  <c r="U662" i="35" s="1"/>
  <c r="R670" i="35"/>
  <c r="U670" i="35" s="1"/>
  <c r="R674" i="35"/>
  <c r="U674" i="35" s="1"/>
  <c r="R675" i="35"/>
  <c r="U675" i="35" s="1"/>
  <c r="Q679" i="35"/>
  <c r="R682" i="35"/>
  <c r="U682" i="35" s="1"/>
  <c r="R336" i="35"/>
  <c r="U336" i="35" s="1"/>
  <c r="R339" i="35"/>
  <c r="R343" i="35"/>
  <c r="U343" i="35" s="1"/>
  <c r="R372" i="35"/>
  <c r="U372" i="35" s="1"/>
  <c r="R373" i="35"/>
  <c r="U373" i="35" s="1"/>
  <c r="R377" i="35"/>
  <c r="U377" i="35" s="1"/>
  <c r="AK377" i="35"/>
  <c r="AL377" i="35" s="1"/>
  <c r="R380" i="35"/>
  <c r="U380" i="35" s="1"/>
  <c r="R394" i="35"/>
  <c r="U394" i="35" s="1"/>
  <c r="R407" i="35"/>
  <c r="U407" i="35" s="1"/>
  <c r="AI408" i="35"/>
  <c r="AJ408" i="35" s="1"/>
  <c r="T408" i="35" s="1"/>
  <c r="V408" i="35" s="1"/>
  <c r="R423" i="35"/>
  <c r="U423" i="35" s="1"/>
  <c r="R424" i="35"/>
  <c r="U424" i="35" s="1"/>
  <c r="R443" i="35"/>
  <c r="U443" i="35" s="1"/>
  <c r="R449" i="35"/>
  <c r="U449" i="35" s="1"/>
  <c r="AK466" i="35"/>
  <c r="AL466" i="35" s="1"/>
  <c r="R469" i="35"/>
  <c r="U469" i="35" s="1"/>
  <c r="AK485" i="35"/>
  <c r="AL485" i="35" s="1"/>
  <c r="R490" i="35"/>
  <c r="U490" i="35" s="1"/>
  <c r="R491" i="35"/>
  <c r="U491" i="35" s="1"/>
  <c r="R496" i="35"/>
  <c r="U496" i="35" s="1"/>
  <c r="AI504" i="35"/>
  <c r="AK507" i="35"/>
  <c r="AL507" i="35" s="1"/>
  <c r="AK508" i="35"/>
  <c r="AL508" i="35" s="1"/>
  <c r="AK509" i="35"/>
  <c r="AL509" i="35" s="1"/>
  <c r="AK510" i="35"/>
  <c r="AL510" i="35" s="1"/>
  <c r="R517" i="35"/>
  <c r="U517" i="35" s="1"/>
  <c r="R535" i="35"/>
  <c r="U535" i="35" s="1"/>
  <c r="R550" i="35"/>
  <c r="U550" i="35" s="1"/>
  <c r="R599" i="35"/>
  <c r="U599" i="35" s="1"/>
  <c r="R607" i="35"/>
  <c r="U607" i="35" s="1"/>
  <c r="AI618" i="35"/>
  <c r="AJ618" i="35" s="1"/>
  <c r="T618" i="35" s="1"/>
  <c r="V618" i="35" s="1"/>
  <c r="AK622" i="35"/>
  <c r="AL622" i="35" s="1"/>
  <c r="AK623" i="35"/>
  <c r="AL623" i="35" s="1"/>
  <c r="R639" i="35"/>
  <c r="U639" i="35" s="1"/>
  <c r="R640" i="35"/>
  <c r="U640" i="35" s="1"/>
  <c r="R641" i="35"/>
  <c r="U641" i="35" s="1"/>
  <c r="R644" i="35"/>
  <c r="U644" i="35" s="1"/>
  <c r="R645" i="35"/>
  <c r="U645" i="35" s="1"/>
  <c r="R653" i="35"/>
  <c r="U653" i="35" s="1"/>
  <c r="R663" i="35"/>
  <c r="U663" i="35" s="1"/>
  <c r="R676" i="35"/>
  <c r="R677" i="35"/>
  <c r="U677" i="35" s="1"/>
  <c r="AK680" i="35"/>
  <c r="AL680" i="35" s="1"/>
  <c r="R683" i="35"/>
  <c r="U683" i="35" s="1"/>
  <c r="R351" i="35"/>
  <c r="U351" i="35" s="1"/>
  <c r="R374" i="35"/>
  <c r="U374" i="35" s="1"/>
  <c r="R395" i="35"/>
  <c r="U395" i="35" s="1"/>
  <c r="R401" i="35"/>
  <c r="U401" i="35" s="1"/>
  <c r="AK412" i="35"/>
  <c r="AL412" i="35" s="1"/>
  <c r="AK413" i="35"/>
  <c r="AL413" i="35" s="1"/>
  <c r="AK414" i="35"/>
  <c r="AL414" i="35" s="1"/>
  <c r="R444" i="35"/>
  <c r="U444" i="35" s="1"/>
  <c r="R447" i="35"/>
  <c r="U447" i="35" s="1"/>
  <c r="AK447" i="35"/>
  <c r="AL447" i="35" s="1"/>
  <c r="R450" i="35"/>
  <c r="U450" i="35" s="1"/>
  <c r="AI483" i="35"/>
  <c r="AJ483" i="35" s="1"/>
  <c r="T483" i="35" s="1"/>
  <c r="V483" i="35" s="1"/>
  <c r="AK487" i="35"/>
  <c r="AL487" i="35" s="1"/>
  <c r="R497" i="35"/>
  <c r="U497" i="35" s="1"/>
  <c r="R518" i="35"/>
  <c r="U518" i="35" s="1"/>
  <c r="R536" i="35"/>
  <c r="U536" i="35" s="1"/>
  <c r="R543" i="35"/>
  <c r="U543" i="35" s="1"/>
  <c r="R551" i="35"/>
  <c r="U551" i="35" s="1"/>
  <c r="R559" i="35"/>
  <c r="U559" i="35" s="1"/>
  <c r="R572" i="35"/>
  <c r="U572" i="35" s="1"/>
  <c r="R573" i="35"/>
  <c r="U573" i="35" s="1"/>
  <c r="R580" i="35"/>
  <c r="U580" i="35" s="1"/>
  <c r="R600" i="35"/>
  <c r="U600" i="35" s="1"/>
  <c r="AK627" i="35"/>
  <c r="AL627" i="35" s="1"/>
  <c r="R646" i="35"/>
  <c r="U646" i="35" s="1"/>
  <c r="AK673" i="35"/>
  <c r="AL673" i="35" s="1"/>
  <c r="AK674" i="35"/>
  <c r="AL674" i="35" s="1"/>
  <c r="R684" i="35"/>
  <c r="U684" i="35" s="1"/>
  <c r="R365" i="35"/>
  <c r="U365" i="35" s="1"/>
  <c r="R388" i="35"/>
  <c r="U388" i="35" s="1"/>
  <c r="R422" i="35"/>
  <c r="R437" i="35"/>
  <c r="U437" i="35" s="1"/>
  <c r="R495" i="35"/>
  <c r="AK495" i="35"/>
  <c r="AL495" i="35" s="1"/>
  <c r="R498" i="35"/>
  <c r="U498" i="35" s="1"/>
  <c r="R512" i="35"/>
  <c r="U512" i="35" s="1"/>
  <c r="R537" i="35"/>
  <c r="U537" i="35" s="1"/>
  <c r="R538" i="35"/>
  <c r="R562" i="35"/>
  <c r="U562" i="35" s="1"/>
  <c r="R563" i="35"/>
  <c r="U563" i="35" s="1"/>
  <c r="R564" i="35"/>
  <c r="R574" i="35"/>
  <c r="U574" i="35" s="1"/>
  <c r="AJ495" i="35"/>
  <c r="T495" i="35" s="1"/>
  <c r="V495" i="35" s="1"/>
  <c r="R565" i="35"/>
  <c r="U565" i="35" s="1"/>
  <c r="R566" i="35"/>
  <c r="U566" i="35" s="1"/>
  <c r="R567" i="35"/>
  <c r="U567" i="35" s="1"/>
  <c r="R568" i="35"/>
  <c r="U568" i="35" s="1"/>
  <c r="R569" i="35"/>
  <c r="U569" i="35" s="1"/>
  <c r="R570" i="35"/>
  <c r="U570" i="35" s="1"/>
  <c r="Q51" i="34"/>
  <c r="AJ54" i="34"/>
  <c r="T54" i="34" s="1"/>
  <c r="AK54" i="34"/>
  <c r="AL54" i="34" s="1"/>
  <c r="Q39" i="34"/>
  <c r="AJ49" i="34"/>
  <c r="T49" i="34" s="1"/>
  <c r="AK50" i="34"/>
  <c r="AL50" i="34" s="1"/>
  <c r="AI47" i="34"/>
  <c r="AI376" i="34"/>
  <c r="U24" i="37" l="1"/>
  <c r="U159" i="36"/>
  <c r="U14" i="36"/>
  <c r="AK249" i="37"/>
  <c r="AL249" i="37" s="1"/>
  <c r="R139" i="36"/>
  <c r="U139" i="36" s="1"/>
  <c r="U115" i="36"/>
  <c r="U375" i="36"/>
  <c r="AK39" i="36"/>
  <c r="U594" i="37"/>
  <c r="U287" i="37"/>
  <c r="AK387" i="35"/>
  <c r="AL387" i="35" s="1"/>
  <c r="U68" i="37"/>
  <c r="U120" i="37"/>
  <c r="U55" i="37"/>
  <c r="U97" i="37"/>
  <c r="U55" i="36"/>
  <c r="U376" i="35"/>
  <c r="AK14" i="37"/>
  <c r="AL14" i="37" s="1"/>
  <c r="AJ680" i="37"/>
  <c r="T680" i="37" s="1"/>
  <c r="V680" i="37" s="1"/>
  <c r="AK680" i="37"/>
  <c r="AL680" i="37" s="1"/>
  <c r="U622" i="37"/>
  <c r="U618" i="37"/>
  <c r="U553" i="37"/>
  <c r="U554" i="37"/>
  <c r="AK504" i="37"/>
  <c r="AL504" i="37" s="1"/>
  <c r="U504" i="37"/>
  <c r="U457" i="37"/>
  <c r="AK457" i="37"/>
  <c r="AL457" i="37" s="1"/>
  <c r="U458" i="37"/>
  <c r="AJ436" i="37"/>
  <c r="T436" i="37" s="1"/>
  <c r="V436" i="37" s="1"/>
  <c r="AK364" i="37"/>
  <c r="AL364" i="37" s="1"/>
  <c r="U347" i="37"/>
  <c r="AJ339" i="37"/>
  <c r="T339" i="37" s="1"/>
  <c r="V339" i="37" s="1"/>
  <c r="U216" i="37"/>
  <c r="AK216" i="37"/>
  <c r="AL216" i="37" s="1"/>
  <c r="U192" i="37"/>
  <c r="U154" i="37"/>
  <c r="AK148" i="37"/>
  <c r="AL148" i="37" s="1"/>
  <c r="U144" i="37"/>
  <c r="AJ89" i="37"/>
  <c r="T89" i="37" s="1"/>
  <c r="V89" i="37" s="1"/>
  <c r="U74" i="37"/>
  <c r="U538" i="35"/>
  <c r="U141" i="35"/>
  <c r="R27" i="35"/>
  <c r="U27" i="35" s="1"/>
  <c r="R18" i="35"/>
  <c r="U18" i="35" s="1"/>
  <c r="R21" i="35"/>
  <c r="U21" i="35" s="1"/>
  <c r="R15" i="35"/>
  <c r="U15" i="35" s="1"/>
  <c r="R30" i="35"/>
  <c r="U30" i="35" s="1"/>
  <c r="R32" i="35"/>
  <c r="U32" i="35" s="1"/>
  <c r="R16" i="35"/>
  <c r="U16" i="35" s="1"/>
  <c r="R627" i="36"/>
  <c r="U627" i="36" s="1"/>
  <c r="R608" i="36"/>
  <c r="R594" i="36"/>
  <c r="U594" i="36" s="1"/>
  <c r="R325" i="36"/>
  <c r="R387" i="36"/>
  <c r="R572" i="36"/>
  <c r="U572" i="36" s="1"/>
  <c r="R483" i="36"/>
  <c r="U483" i="36" s="1"/>
  <c r="R364" i="36"/>
  <c r="R275" i="36"/>
  <c r="AK408" i="36"/>
  <c r="AL408" i="36" s="1"/>
  <c r="R476" i="36"/>
  <c r="R51" i="36"/>
  <c r="U51" i="36" s="1"/>
  <c r="AK75" i="36"/>
  <c r="AL75" i="36" s="1"/>
  <c r="AK562" i="36"/>
  <c r="AL562" i="36" s="1"/>
  <c r="P58" i="36"/>
  <c r="P35" i="36" s="1"/>
  <c r="U615" i="37"/>
  <c r="U568" i="37"/>
  <c r="AK562" i="37"/>
  <c r="AL562" i="37" s="1"/>
  <c r="U359" i="37"/>
  <c r="U447" i="37"/>
  <c r="P58" i="37"/>
  <c r="P35" i="37" s="1"/>
  <c r="AK144" i="37"/>
  <c r="AL144" i="37" s="1"/>
  <c r="AI38" i="37"/>
  <c r="AJ38" i="37" s="1"/>
  <c r="T38" i="37" s="1"/>
  <c r="V38" i="37" s="1"/>
  <c r="U485" i="37"/>
  <c r="AK24" i="37"/>
  <c r="AL24" i="37" s="1"/>
  <c r="AK422" i="35"/>
  <c r="AL422" i="35" s="1"/>
  <c r="U676" i="35"/>
  <c r="U397" i="35"/>
  <c r="U110" i="35"/>
  <c r="R25" i="35"/>
  <c r="U25" i="35" s="1"/>
  <c r="R22" i="35"/>
  <c r="U22" i="35" s="1"/>
  <c r="R10" i="35"/>
  <c r="R20" i="35"/>
  <c r="U20" i="35" s="1"/>
  <c r="R542" i="36"/>
  <c r="U542" i="36" s="1"/>
  <c r="R377" i="36"/>
  <c r="U377" i="36" s="1"/>
  <c r="R297" i="36"/>
  <c r="U297" i="36" s="1"/>
  <c r="R447" i="36"/>
  <c r="R530" i="36"/>
  <c r="R287" i="36"/>
  <c r="U287" i="36" s="1"/>
  <c r="U422" i="37"/>
  <c r="U562" i="37"/>
  <c r="U644" i="37"/>
  <c r="U39" i="37"/>
  <c r="U93" i="37"/>
  <c r="U65" i="37"/>
  <c r="U422" i="36"/>
  <c r="AK608" i="35"/>
  <c r="AL608" i="35" s="1"/>
  <c r="U594" i="35"/>
  <c r="U608" i="35"/>
  <c r="U317" i="35"/>
  <c r="U230" i="35"/>
  <c r="U241" i="35"/>
  <c r="R19" i="35"/>
  <c r="U19" i="35" s="1"/>
  <c r="R28" i="35"/>
  <c r="U28" i="35" s="1"/>
  <c r="R29" i="35"/>
  <c r="U29" i="35" s="1"/>
  <c r="R644" i="36"/>
  <c r="U644" i="36" s="1"/>
  <c r="R511" i="36"/>
  <c r="R317" i="36"/>
  <c r="U317" i="36" s="1"/>
  <c r="R264" i="36"/>
  <c r="U264" i="36" s="1"/>
  <c r="R356" i="36"/>
  <c r="U356" i="36" s="1"/>
  <c r="R523" i="36"/>
  <c r="R495" i="36"/>
  <c r="U495" i="36" s="1"/>
  <c r="R562" i="36"/>
  <c r="U562" i="36" s="1"/>
  <c r="R339" i="36"/>
  <c r="U339" i="36" s="1"/>
  <c r="R309" i="36"/>
  <c r="U309" i="36" s="1"/>
  <c r="R400" i="36"/>
  <c r="U155" i="36"/>
  <c r="AJ38" i="36"/>
  <c r="T38" i="36" s="1"/>
  <c r="V38" i="36" s="1"/>
  <c r="AH58" i="35"/>
  <c r="AH35" i="35" s="1"/>
  <c r="U570" i="37"/>
  <c r="U566" i="37"/>
  <c r="U256" i="37"/>
  <c r="AK387" i="37"/>
  <c r="AL387" i="37" s="1"/>
  <c r="U358" i="35"/>
  <c r="U363" i="35"/>
  <c r="U370" i="36"/>
  <c r="U275" i="36"/>
  <c r="U157" i="36"/>
  <c r="AI37" i="36"/>
  <c r="U571" i="37"/>
  <c r="U567" i="37"/>
  <c r="AK637" i="37"/>
  <c r="AL637" i="37" s="1"/>
  <c r="U487" i="37"/>
  <c r="U365" i="37"/>
  <c r="AK68" i="37"/>
  <c r="AL68" i="37" s="1"/>
  <c r="U523" i="37"/>
  <c r="U157" i="37"/>
  <c r="U14" i="37"/>
  <c r="U159" i="37"/>
  <c r="AK39" i="37"/>
  <c r="AL39" i="37" s="1"/>
  <c r="AK168" i="37"/>
  <c r="AL168" i="37" s="1"/>
  <c r="U387" i="35"/>
  <c r="U569" i="37"/>
  <c r="U565" i="37"/>
  <c r="U640" i="37"/>
  <c r="U251" i="37"/>
  <c r="U377" i="37"/>
  <c r="AI59" i="37"/>
  <c r="AJ59" i="37" s="1"/>
  <c r="T59" i="37" s="1"/>
  <c r="V59" i="37" s="1"/>
  <c r="U51" i="37"/>
  <c r="AJ679" i="37"/>
  <c r="T679" i="37" s="1"/>
  <c r="V679" i="37" s="1"/>
  <c r="AK679" i="37"/>
  <c r="AL679" i="37" s="1"/>
  <c r="AJ608" i="37"/>
  <c r="T608" i="37" s="1"/>
  <c r="V608" i="37" s="1"/>
  <c r="AK608" i="37"/>
  <c r="AL608" i="37" s="1"/>
  <c r="R141" i="37"/>
  <c r="U141" i="37" s="1"/>
  <c r="R96" i="37"/>
  <c r="R94" i="37"/>
  <c r="U94" i="37" s="1"/>
  <c r="R83" i="37"/>
  <c r="U83" i="37" s="1"/>
  <c r="R60" i="37"/>
  <c r="U60" i="37" s="1"/>
  <c r="R89" i="37"/>
  <c r="R86" i="37"/>
  <c r="U86" i="37" s="1"/>
  <c r="R62" i="37"/>
  <c r="R148" i="37"/>
  <c r="U148" i="37" s="1"/>
  <c r="R125" i="37"/>
  <c r="R66" i="37"/>
  <c r="R81" i="37"/>
  <c r="U81" i="37" s="1"/>
  <c r="AI12" i="37"/>
  <c r="AJ12" i="37" s="1"/>
  <c r="AJ26" i="37"/>
  <c r="AJ66" i="37"/>
  <c r="T66" i="37" s="1"/>
  <c r="V66" i="37" s="1"/>
  <c r="AK66" i="37"/>
  <c r="AL66" i="37" s="1"/>
  <c r="U639" i="37"/>
  <c r="U542" i="37"/>
  <c r="U465" i="37"/>
  <c r="U530" i="37"/>
  <c r="U364" i="37"/>
  <c r="U146" i="37"/>
  <c r="U75" i="37"/>
  <c r="U152" i="37"/>
  <c r="U126" i="37"/>
  <c r="AJ483" i="37"/>
  <c r="T483" i="37" s="1"/>
  <c r="V483" i="37" s="1"/>
  <c r="AK483" i="37"/>
  <c r="AL483" i="37" s="1"/>
  <c r="R209" i="37"/>
  <c r="U209" i="37" s="1"/>
  <c r="R193" i="37"/>
  <c r="U193" i="37" s="1"/>
  <c r="R201" i="37"/>
  <c r="R222" i="37"/>
  <c r="U222" i="37" s="1"/>
  <c r="R181" i="37"/>
  <c r="AJ181" i="37"/>
  <c r="T181" i="37" s="1"/>
  <c r="V181" i="37" s="1"/>
  <c r="AI180" i="37"/>
  <c r="AJ180" i="37" s="1"/>
  <c r="T180" i="37" s="1"/>
  <c r="V180" i="37" s="1"/>
  <c r="AK181" i="37"/>
  <c r="AL181" i="37" s="1"/>
  <c r="AJ62" i="37"/>
  <c r="T62" i="37" s="1"/>
  <c r="V62" i="37" s="1"/>
  <c r="AK62" i="37"/>
  <c r="AL62" i="37" s="1"/>
  <c r="AL26" i="37"/>
  <c r="V67" i="37"/>
  <c r="U67" i="37"/>
  <c r="AJ201" i="37"/>
  <c r="T201" i="37" s="1"/>
  <c r="V201" i="37" s="1"/>
  <c r="AK201" i="37"/>
  <c r="AL201" i="37" s="1"/>
  <c r="AK161" i="37"/>
  <c r="AL161" i="37" s="1"/>
  <c r="AJ511" i="37"/>
  <c r="T511" i="37" s="1"/>
  <c r="V511" i="37" s="1"/>
  <c r="AK511" i="37"/>
  <c r="AL511" i="37" s="1"/>
  <c r="AK96" i="37"/>
  <c r="AL96" i="37" s="1"/>
  <c r="AJ96" i="37"/>
  <c r="T96" i="37" s="1"/>
  <c r="V96" i="37" s="1"/>
  <c r="AJ125" i="37"/>
  <c r="T125" i="37" s="1"/>
  <c r="V125" i="37" s="1"/>
  <c r="AI124" i="37"/>
  <c r="AK125" i="37"/>
  <c r="AL125" i="37" s="1"/>
  <c r="V63" i="37"/>
  <c r="U63" i="37"/>
  <c r="V144" i="37"/>
  <c r="R27" i="37"/>
  <c r="U27" i="37" s="1"/>
  <c r="R15" i="37"/>
  <c r="U15" i="37" s="1"/>
  <c r="R10" i="37"/>
  <c r="R34" i="37"/>
  <c r="U34" i="37" s="1"/>
  <c r="R31" i="37"/>
  <c r="U31" i="37" s="1"/>
  <c r="R29" i="37"/>
  <c r="U29" i="37" s="1"/>
  <c r="R25" i="37"/>
  <c r="U25" i="37" s="1"/>
  <c r="R23" i="37"/>
  <c r="U23" i="37" s="1"/>
  <c r="R22" i="37"/>
  <c r="U22" i="37" s="1"/>
  <c r="R21" i="37"/>
  <c r="U21" i="37" s="1"/>
  <c r="R20" i="37"/>
  <c r="U20" i="37" s="1"/>
  <c r="R19" i="37"/>
  <c r="U19" i="37" s="1"/>
  <c r="R18" i="37"/>
  <c r="U18" i="37" s="1"/>
  <c r="R17" i="37"/>
  <c r="U17" i="37" s="1"/>
  <c r="R16" i="37"/>
  <c r="U16" i="37" s="1"/>
  <c r="R32" i="37"/>
  <c r="U32" i="37" s="1"/>
  <c r="R33" i="37"/>
  <c r="U33" i="37" s="1"/>
  <c r="R30" i="37"/>
  <c r="U30" i="37" s="1"/>
  <c r="R28" i="37"/>
  <c r="U28" i="37" s="1"/>
  <c r="U423" i="37"/>
  <c r="AI248" i="37"/>
  <c r="U127" i="37"/>
  <c r="U400" i="37"/>
  <c r="U459" i="37"/>
  <c r="AJ161" i="37"/>
  <c r="T161" i="37" s="1"/>
  <c r="V161" i="37" s="1"/>
  <c r="U275" i="37"/>
  <c r="U155" i="37"/>
  <c r="U325" i="37"/>
  <c r="U121" i="37"/>
  <c r="AJ673" i="37"/>
  <c r="T673" i="37" s="1"/>
  <c r="V673" i="37" s="1"/>
  <c r="AK673" i="37"/>
  <c r="AL673" i="37" s="1"/>
  <c r="V71" i="37"/>
  <c r="U71" i="37"/>
  <c r="U637" i="37"/>
  <c r="U641" i="37"/>
  <c r="U495" i="37"/>
  <c r="U110" i="37"/>
  <c r="R241" i="37"/>
  <c r="U241" i="37" s="1"/>
  <c r="AK110" i="37"/>
  <c r="AL110" i="37" s="1"/>
  <c r="Q58" i="37"/>
  <c r="R679" i="37" s="1"/>
  <c r="U679" i="37" s="1"/>
  <c r="U309" i="37"/>
  <c r="U356" i="37"/>
  <c r="R92" i="37"/>
  <c r="U92" i="37" s="1"/>
  <c r="AI10" i="37"/>
  <c r="AJ10" i="37" s="1"/>
  <c r="AK10" i="37"/>
  <c r="AL10" i="37" s="1"/>
  <c r="U201" i="35"/>
  <c r="U68" i="35"/>
  <c r="AJ161" i="36"/>
  <c r="T161" i="36" s="1"/>
  <c r="V161" i="36" s="1"/>
  <c r="R169" i="36"/>
  <c r="AK86" i="35"/>
  <c r="AL86" i="35" s="1"/>
  <c r="AJ168" i="35"/>
  <c r="T168" i="35" s="1"/>
  <c r="V168" i="35" s="1"/>
  <c r="U422" i="35"/>
  <c r="AK618" i="35"/>
  <c r="AL618" i="35" s="1"/>
  <c r="U68" i="36"/>
  <c r="U347" i="36"/>
  <c r="U350" i="35"/>
  <c r="U92" i="35"/>
  <c r="U60" i="35"/>
  <c r="U447" i="36"/>
  <c r="U372" i="36"/>
  <c r="AK110" i="36"/>
  <c r="AL110" i="36" s="1"/>
  <c r="U39" i="36"/>
  <c r="AL39" i="36"/>
  <c r="AK38" i="36"/>
  <c r="AJ608" i="36"/>
  <c r="T608" i="36" s="1"/>
  <c r="V608" i="36" s="1"/>
  <c r="AK608" i="36"/>
  <c r="AL608" i="36" s="1"/>
  <c r="T192" i="36"/>
  <c r="T193" i="36"/>
  <c r="V193" i="36" s="1"/>
  <c r="AJ364" i="36"/>
  <c r="T364" i="36" s="1"/>
  <c r="V364" i="36" s="1"/>
  <c r="AI248" i="36"/>
  <c r="AI180" i="36"/>
  <c r="AJ180" i="36" s="1"/>
  <c r="T180" i="36" s="1"/>
  <c r="V180" i="36" s="1"/>
  <c r="AJ181" i="36"/>
  <c r="T181" i="36" s="1"/>
  <c r="V181" i="36" s="1"/>
  <c r="AK181" i="36"/>
  <c r="AL181" i="36" s="1"/>
  <c r="U553" i="36"/>
  <c r="U511" i="36"/>
  <c r="U369" i="36"/>
  <c r="U169" i="36"/>
  <c r="U400" i="36"/>
  <c r="R60" i="36"/>
  <c r="U60" i="36" s="1"/>
  <c r="AK96" i="36"/>
  <c r="AL96" i="36" s="1"/>
  <c r="U397" i="36"/>
  <c r="V397" i="36"/>
  <c r="AJ26" i="36"/>
  <c r="AK26" i="36"/>
  <c r="AI12" i="36"/>
  <c r="AJ12" i="36" s="1"/>
  <c r="AI10" i="36"/>
  <c r="AJ10" i="36" s="1"/>
  <c r="U530" i="36"/>
  <c r="AK364" i="36"/>
  <c r="AL364" i="36" s="1"/>
  <c r="U376" i="36"/>
  <c r="U247" i="36"/>
  <c r="AJ387" i="36"/>
  <c r="T387" i="36" s="1"/>
  <c r="V387" i="36" s="1"/>
  <c r="AK387" i="36"/>
  <c r="AL387" i="36" s="1"/>
  <c r="R148" i="36"/>
  <c r="U148" i="36" s="1"/>
  <c r="R141" i="36"/>
  <c r="U141" i="36" s="1"/>
  <c r="R66" i="36"/>
  <c r="U66" i="36" s="1"/>
  <c r="R96" i="36"/>
  <c r="U96" i="36" s="1"/>
  <c r="R92" i="36"/>
  <c r="U92" i="36" s="1"/>
  <c r="R86" i="36"/>
  <c r="R81" i="36"/>
  <c r="U81" i="36" s="1"/>
  <c r="R62" i="36"/>
  <c r="R94" i="36"/>
  <c r="U94" i="36" s="1"/>
  <c r="R125" i="36"/>
  <c r="R83" i="36"/>
  <c r="U83" i="36" s="1"/>
  <c r="R89" i="36"/>
  <c r="U89" i="36" s="1"/>
  <c r="AK618" i="36"/>
  <c r="AL618" i="36" s="1"/>
  <c r="U325" i="36"/>
  <c r="U476" i="36"/>
  <c r="R75" i="36"/>
  <c r="U75" i="36" s="1"/>
  <c r="AJ37" i="36"/>
  <c r="T37" i="36" s="1"/>
  <c r="V37" i="36" s="1"/>
  <c r="AJ637" i="36"/>
  <c r="T637" i="36" s="1"/>
  <c r="V637" i="36" s="1"/>
  <c r="AK637" i="36"/>
  <c r="AL637" i="36" s="1"/>
  <c r="AK679" i="36"/>
  <c r="AL679" i="36" s="1"/>
  <c r="Q58" i="36"/>
  <c r="R180" i="36" s="1"/>
  <c r="R230" i="36"/>
  <c r="U230" i="36" s="1"/>
  <c r="R216" i="36"/>
  <c r="U216" i="36" s="1"/>
  <c r="R222" i="36"/>
  <c r="U222" i="36" s="1"/>
  <c r="R201" i="36"/>
  <c r="U201" i="36" s="1"/>
  <c r="R181" i="36"/>
  <c r="AJ62" i="36"/>
  <c r="T62" i="36" s="1"/>
  <c r="V62" i="36" s="1"/>
  <c r="AK62" i="36"/>
  <c r="AL62" i="36" s="1"/>
  <c r="U618" i="36"/>
  <c r="U678" i="36"/>
  <c r="U374" i="36"/>
  <c r="U146" i="36"/>
  <c r="U521" i="36"/>
  <c r="AK72" i="36"/>
  <c r="AL72" i="36" s="1"/>
  <c r="U70" i="36"/>
  <c r="U608" i="36"/>
  <c r="R144" i="36"/>
  <c r="U144" i="36" s="1"/>
  <c r="U158" i="36"/>
  <c r="U373" i="36"/>
  <c r="R127" i="36"/>
  <c r="U127" i="36" s="1"/>
  <c r="AI59" i="36"/>
  <c r="AK59" i="36" s="1"/>
  <c r="AL59" i="36" s="1"/>
  <c r="R72" i="36"/>
  <c r="U72" i="36" s="1"/>
  <c r="U74" i="36"/>
  <c r="AJ673" i="36"/>
  <c r="T673" i="36" s="1"/>
  <c r="V673" i="36" s="1"/>
  <c r="AK673" i="36"/>
  <c r="AL673" i="36" s="1"/>
  <c r="AK161" i="36"/>
  <c r="AL161" i="36" s="1"/>
  <c r="AI124" i="36"/>
  <c r="AJ125" i="36"/>
  <c r="T125" i="36" s="1"/>
  <c r="V125" i="36" s="1"/>
  <c r="AK125" i="36"/>
  <c r="AL125" i="36" s="1"/>
  <c r="AJ86" i="36"/>
  <c r="T86" i="36" s="1"/>
  <c r="V86" i="36" s="1"/>
  <c r="AK86" i="36"/>
  <c r="AL86" i="36" s="1"/>
  <c r="U611" i="36"/>
  <c r="U523" i="36"/>
  <c r="U371" i="36"/>
  <c r="R110" i="36"/>
  <c r="U110" i="36" s="1"/>
  <c r="AK168" i="36"/>
  <c r="AL168" i="36" s="1"/>
  <c r="AK511" i="36"/>
  <c r="AL511" i="36" s="1"/>
  <c r="U171" i="36"/>
  <c r="U643" i="36"/>
  <c r="U249" i="36"/>
  <c r="R209" i="36"/>
  <c r="U209" i="36" s="1"/>
  <c r="AK68" i="36"/>
  <c r="AL68" i="36" s="1"/>
  <c r="AK637" i="35"/>
  <c r="AL637" i="35" s="1"/>
  <c r="U637" i="35"/>
  <c r="U364" i="35"/>
  <c r="AK364" i="35"/>
  <c r="AL364" i="35" s="1"/>
  <c r="U356" i="35"/>
  <c r="U39" i="35"/>
  <c r="AI12" i="35"/>
  <c r="AJ12" i="35" s="1"/>
  <c r="T12" i="35" s="1"/>
  <c r="V12" i="35" s="1"/>
  <c r="AK26" i="35"/>
  <c r="AL26" i="35" s="1"/>
  <c r="AL39" i="35"/>
  <c r="AJ679" i="35"/>
  <c r="T679" i="35" s="1"/>
  <c r="V679" i="35" s="1"/>
  <c r="AK483" i="35"/>
  <c r="AL483" i="35" s="1"/>
  <c r="U618" i="35"/>
  <c r="U275" i="35"/>
  <c r="U94" i="35"/>
  <c r="U171" i="35"/>
  <c r="U249" i="35"/>
  <c r="AK144" i="35"/>
  <c r="AL144" i="35" s="1"/>
  <c r="U75" i="35"/>
  <c r="AI10" i="35"/>
  <c r="AJ10" i="35" s="1"/>
  <c r="R55" i="35"/>
  <c r="U55" i="35" s="1"/>
  <c r="R51" i="35"/>
  <c r="Q37" i="35"/>
  <c r="U158" i="35"/>
  <c r="U209" i="35"/>
  <c r="AK24" i="35"/>
  <c r="AL24" i="35" s="1"/>
  <c r="AJ216" i="35"/>
  <c r="T216" i="35" s="1"/>
  <c r="V216" i="35" s="1"/>
  <c r="AK216" i="35"/>
  <c r="AL216" i="35" s="1"/>
  <c r="T192" i="35"/>
  <c r="V192" i="35" s="1"/>
  <c r="T193" i="35"/>
  <c r="V193" i="35" s="1"/>
  <c r="U511" i="35"/>
  <c r="U67" i="35"/>
  <c r="U219" i="35"/>
  <c r="AJ59" i="35"/>
  <c r="T59" i="35" s="1"/>
  <c r="V59" i="35" s="1"/>
  <c r="T26" i="35"/>
  <c r="V26" i="35" s="1"/>
  <c r="U26" i="35"/>
  <c r="U495" i="35"/>
  <c r="AK356" i="35"/>
  <c r="AL356" i="35" s="1"/>
  <c r="U264" i="35"/>
  <c r="U126" i="35"/>
  <c r="U530" i="35"/>
  <c r="U66" i="35"/>
  <c r="U89" i="35"/>
  <c r="U341" i="35"/>
  <c r="AJ339" i="35"/>
  <c r="T339" i="35" s="1"/>
  <c r="V339" i="35" s="1"/>
  <c r="AI248" i="35"/>
  <c r="V144" i="35"/>
  <c r="AJ51" i="35"/>
  <c r="T51" i="35" s="1"/>
  <c r="V51" i="35" s="1"/>
  <c r="AI38" i="35"/>
  <c r="AK51" i="35"/>
  <c r="AL51" i="35" s="1"/>
  <c r="U216" i="35"/>
  <c r="AK408" i="35"/>
  <c r="AL408" i="35" s="1"/>
  <c r="U62" i="35"/>
  <c r="AI124" i="35"/>
  <c r="AK679" i="35"/>
  <c r="AL679" i="35" s="1"/>
  <c r="Q58" i="35"/>
  <c r="R679" i="35" s="1"/>
  <c r="AJ181" i="35"/>
  <c r="T181" i="35" s="1"/>
  <c r="V181" i="35" s="1"/>
  <c r="AI180" i="35"/>
  <c r="AK148" i="35"/>
  <c r="AL148" i="35" s="1"/>
  <c r="AJ148" i="35"/>
  <c r="T148" i="35" s="1"/>
  <c r="V148" i="35" s="1"/>
  <c r="U90" i="35"/>
  <c r="V90" i="35"/>
  <c r="AJ504" i="35"/>
  <c r="T504" i="35" s="1"/>
  <c r="V504" i="35" s="1"/>
  <c r="AK504" i="35"/>
  <c r="AL504" i="35" s="1"/>
  <c r="U91" i="35"/>
  <c r="V91" i="35"/>
  <c r="AL14" i="35"/>
  <c r="U523" i="35"/>
  <c r="U297" i="35"/>
  <c r="U63" i="35"/>
  <c r="AK161" i="35"/>
  <c r="AL161" i="35" s="1"/>
  <c r="T24" i="35"/>
  <c r="V24" i="35" s="1"/>
  <c r="U24" i="35"/>
  <c r="U483" i="35"/>
  <c r="U476" i="35"/>
  <c r="U144" i="35"/>
  <c r="V54" i="34"/>
  <c r="V49" i="34"/>
  <c r="AJ50" i="34"/>
  <c r="T50" i="34" s="1"/>
  <c r="AK49" i="34"/>
  <c r="AL49" i="34" s="1"/>
  <c r="AI53" i="34"/>
  <c r="AI52" i="34"/>
  <c r="AI48" i="34"/>
  <c r="AI46" i="34"/>
  <c r="AI45" i="34"/>
  <c r="AI44" i="34"/>
  <c r="AI43" i="34"/>
  <c r="AI42" i="34"/>
  <c r="AI41" i="34"/>
  <c r="AI40" i="34"/>
  <c r="AI37" i="37" l="1"/>
  <c r="AJ37" i="37" s="1"/>
  <c r="T37" i="37" s="1"/>
  <c r="V37" i="37" s="1"/>
  <c r="AK12" i="37"/>
  <c r="AL12" i="37" s="1"/>
  <c r="U483" i="37"/>
  <c r="U339" i="37"/>
  <c r="U89" i="37"/>
  <c r="AK38" i="37"/>
  <c r="AK37" i="37" s="1"/>
  <c r="AL37" i="37" s="1"/>
  <c r="U679" i="35"/>
  <c r="U193" i="36"/>
  <c r="U511" i="37"/>
  <c r="U608" i="37"/>
  <c r="AK59" i="37"/>
  <c r="AL59" i="37" s="1"/>
  <c r="AI58" i="37"/>
  <c r="AJ58" i="37" s="1"/>
  <c r="T58" i="37" s="1"/>
  <c r="V58" i="37" s="1"/>
  <c r="U201" i="37"/>
  <c r="U10" i="37"/>
  <c r="T10" i="37"/>
  <c r="V10" i="37" s="1"/>
  <c r="AJ248" i="37"/>
  <c r="T248" i="37" s="1"/>
  <c r="V248" i="37" s="1"/>
  <c r="AK248" i="37"/>
  <c r="AL248" i="37" s="1"/>
  <c r="T12" i="37"/>
  <c r="V12" i="37" s="1"/>
  <c r="U12" i="37"/>
  <c r="R180" i="37"/>
  <c r="U180" i="37" s="1"/>
  <c r="U125" i="37"/>
  <c r="AJ124" i="37"/>
  <c r="T124" i="37" s="1"/>
  <c r="V124" i="37" s="1"/>
  <c r="AK124" i="37"/>
  <c r="AL124" i="37" s="1"/>
  <c r="U26" i="37"/>
  <c r="T26" i="37"/>
  <c r="V26" i="37" s="1"/>
  <c r="U96" i="37"/>
  <c r="Q35" i="37"/>
  <c r="A724" i="37"/>
  <c r="U66" i="37"/>
  <c r="R168" i="37"/>
  <c r="U168" i="37" s="1"/>
  <c r="R58" i="37"/>
  <c r="R124" i="37"/>
  <c r="A714" i="37"/>
  <c r="U181" i="37"/>
  <c r="AK180" i="37"/>
  <c r="AL180" i="37" s="1"/>
  <c r="R59" i="37"/>
  <c r="U59" i="37" s="1"/>
  <c r="U62" i="37"/>
  <c r="AI39" i="34"/>
  <c r="AI51" i="34"/>
  <c r="U637" i="36"/>
  <c r="AK180" i="36"/>
  <c r="AL180" i="36" s="1"/>
  <c r="U181" i="36"/>
  <c r="U180" i="36"/>
  <c r="AK37" i="36"/>
  <c r="AL37" i="36" s="1"/>
  <c r="AL38" i="36"/>
  <c r="AL26" i="36"/>
  <c r="AK10" i="36"/>
  <c r="AL10" i="36" s="1"/>
  <c r="AK12" i="36"/>
  <c r="AL12" i="36" s="1"/>
  <c r="T12" i="36"/>
  <c r="V12" i="36" s="1"/>
  <c r="U12" i="36"/>
  <c r="AJ248" i="36"/>
  <c r="T248" i="36" s="1"/>
  <c r="AK248" i="36"/>
  <c r="AL248" i="36" s="1"/>
  <c r="T10" i="36"/>
  <c r="V10" i="36" s="1"/>
  <c r="U10" i="36"/>
  <c r="AJ124" i="36"/>
  <c r="T124" i="36" s="1"/>
  <c r="V124" i="36" s="1"/>
  <c r="AK124" i="36"/>
  <c r="AL124" i="36" s="1"/>
  <c r="Q35" i="36"/>
  <c r="R58" i="36" s="1"/>
  <c r="U62" i="36"/>
  <c r="R679" i="36"/>
  <c r="U679" i="36" s="1"/>
  <c r="U125" i="36"/>
  <c r="U364" i="36"/>
  <c r="AI58" i="36"/>
  <c r="AK58" i="36" s="1"/>
  <c r="AJ59" i="36"/>
  <c r="T59" i="36" s="1"/>
  <c r="V59" i="36" s="1"/>
  <c r="R124" i="36"/>
  <c r="R59" i="36"/>
  <c r="V192" i="36"/>
  <c r="U192" i="36"/>
  <c r="T26" i="36"/>
  <c r="V26" i="36" s="1"/>
  <c r="U26" i="36"/>
  <c r="R168" i="36"/>
  <c r="U168" i="36" s="1"/>
  <c r="U86" i="36"/>
  <c r="U387" i="36"/>
  <c r="AI58" i="35"/>
  <c r="AJ58" i="35" s="1"/>
  <c r="T58" i="35" s="1"/>
  <c r="V58" i="35" s="1"/>
  <c r="U148" i="35"/>
  <c r="AK38" i="35"/>
  <c r="U12" i="35"/>
  <c r="AI37" i="35"/>
  <c r="AJ37" i="35" s="1"/>
  <c r="T37" i="35" s="1"/>
  <c r="V37" i="35" s="1"/>
  <c r="AJ38" i="35"/>
  <c r="T38" i="35" s="1"/>
  <c r="V38" i="35" s="1"/>
  <c r="R59" i="35"/>
  <c r="U59" i="35" s="1"/>
  <c r="R180" i="35"/>
  <c r="R124" i="35"/>
  <c r="R168" i="35"/>
  <c r="U168" i="35" s="1"/>
  <c r="Q35" i="35"/>
  <c r="R37" i="35" s="1"/>
  <c r="AK10" i="35"/>
  <c r="AL10" i="35" s="1"/>
  <c r="U192" i="35"/>
  <c r="U51" i="35"/>
  <c r="AK12" i="35"/>
  <c r="AL12" i="35" s="1"/>
  <c r="U193" i="35"/>
  <c r="AJ248" i="35"/>
  <c r="T248" i="35" s="1"/>
  <c r="V248" i="35" s="1"/>
  <c r="AK248" i="35"/>
  <c r="AL248" i="35" s="1"/>
  <c r="AJ180" i="35"/>
  <c r="T180" i="35" s="1"/>
  <c r="AK180" i="35"/>
  <c r="AL180" i="35" s="1"/>
  <c r="U10" i="35"/>
  <c r="T10" i="35"/>
  <c r="V10" i="35" s="1"/>
  <c r="U181" i="35"/>
  <c r="U504" i="35"/>
  <c r="U339" i="35"/>
  <c r="AJ124" i="35"/>
  <c r="T124" i="35" s="1"/>
  <c r="V124" i="35" s="1"/>
  <c r="AK124" i="35"/>
  <c r="AL124" i="35" s="1"/>
  <c r="V50" i="34"/>
  <c r="AI221" i="34"/>
  <c r="AI29" i="34"/>
  <c r="AI31" i="34"/>
  <c r="AK58" i="37" l="1"/>
  <c r="AL58" i="37" s="1"/>
  <c r="AL38" i="37"/>
  <c r="U124" i="37"/>
  <c r="AI35" i="37"/>
  <c r="AJ35" i="37" s="1"/>
  <c r="T35" i="37" s="1"/>
  <c r="V35" i="37" s="1"/>
  <c r="U58" i="37"/>
  <c r="A715" i="37"/>
  <c r="A725" i="37"/>
  <c r="R673" i="37"/>
  <c r="U673" i="37" s="1"/>
  <c r="R659" i="37"/>
  <c r="U659" i="37" s="1"/>
  <c r="R680" i="37"/>
  <c r="U680" i="37" s="1"/>
  <c r="R436" i="37"/>
  <c r="U436" i="37" s="1"/>
  <c r="R49" i="37"/>
  <c r="U49" i="37" s="1"/>
  <c r="R48" i="37"/>
  <c r="U48" i="37" s="1"/>
  <c r="R47" i="37"/>
  <c r="U47" i="37" s="1"/>
  <c r="R46" i="37"/>
  <c r="U46" i="37" s="1"/>
  <c r="R45" i="37"/>
  <c r="U45" i="37" s="1"/>
  <c r="R44" i="37"/>
  <c r="U44" i="37" s="1"/>
  <c r="R43" i="37"/>
  <c r="U43" i="37" s="1"/>
  <c r="R42" i="37"/>
  <c r="U42" i="37" s="1"/>
  <c r="R41" i="37"/>
  <c r="U41" i="37" s="1"/>
  <c r="R40" i="37"/>
  <c r="U40" i="37" s="1"/>
  <c r="R35" i="37"/>
  <c r="R56" i="37"/>
  <c r="U56" i="37" s="1"/>
  <c r="R54" i="37"/>
  <c r="U54" i="37" s="1"/>
  <c r="R53" i="37"/>
  <c r="U53" i="37" s="1"/>
  <c r="R52" i="37"/>
  <c r="U52" i="37" s="1"/>
  <c r="R50" i="37"/>
  <c r="U50" i="37" s="1"/>
  <c r="R142" i="37"/>
  <c r="U142" i="37" s="1"/>
  <c r="R38" i="37"/>
  <c r="U38" i="37" s="1"/>
  <c r="R248" i="37"/>
  <c r="U248" i="37" s="1"/>
  <c r="R165" i="37"/>
  <c r="U165" i="37" s="1"/>
  <c r="R408" i="37"/>
  <c r="U408" i="37" s="1"/>
  <c r="R162" i="37"/>
  <c r="U162" i="37" s="1"/>
  <c r="R466" i="37"/>
  <c r="U466" i="37" s="1"/>
  <c r="R37" i="37"/>
  <c r="U37" i="37" s="1"/>
  <c r="R161" i="37"/>
  <c r="U161" i="37" s="1"/>
  <c r="U124" i="36"/>
  <c r="AJ58" i="36"/>
  <c r="T58" i="36" s="1"/>
  <c r="V58" i="36" s="1"/>
  <c r="AI35" i="36"/>
  <c r="AJ35" i="36" s="1"/>
  <c r="T35" i="36" s="1"/>
  <c r="V35" i="36" s="1"/>
  <c r="AL58" i="36"/>
  <c r="AK35" i="36"/>
  <c r="AL35" i="36" s="1"/>
  <c r="R673" i="36"/>
  <c r="U673" i="36" s="1"/>
  <c r="R659" i="36"/>
  <c r="U659" i="36" s="1"/>
  <c r="R436" i="36"/>
  <c r="U436" i="36" s="1"/>
  <c r="R162" i="36"/>
  <c r="U162" i="36" s="1"/>
  <c r="R466" i="36"/>
  <c r="U466" i="36" s="1"/>
  <c r="R142" i="36"/>
  <c r="U142" i="36" s="1"/>
  <c r="R35" i="36"/>
  <c r="R56" i="36"/>
  <c r="U56" i="36" s="1"/>
  <c r="R54" i="36"/>
  <c r="U54" i="36" s="1"/>
  <c r="R53" i="36"/>
  <c r="U53" i="36" s="1"/>
  <c r="R52" i="36"/>
  <c r="U52" i="36" s="1"/>
  <c r="R50" i="36"/>
  <c r="U50" i="36" s="1"/>
  <c r="R49" i="36"/>
  <c r="U49" i="36" s="1"/>
  <c r="R48" i="36"/>
  <c r="U48" i="36" s="1"/>
  <c r="R47" i="36"/>
  <c r="U47" i="36" s="1"/>
  <c r="R46" i="36"/>
  <c r="U46" i="36" s="1"/>
  <c r="R45" i="36"/>
  <c r="U45" i="36" s="1"/>
  <c r="R44" i="36"/>
  <c r="U44" i="36" s="1"/>
  <c r="R43" i="36"/>
  <c r="U43" i="36" s="1"/>
  <c r="R42" i="36"/>
  <c r="U42" i="36" s="1"/>
  <c r="R41" i="36"/>
  <c r="U41" i="36" s="1"/>
  <c r="R40" i="36"/>
  <c r="U40" i="36" s="1"/>
  <c r="R408" i="36"/>
  <c r="U408" i="36" s="1"/>
  <c r="R248" i="36"/>
  <c r="U248" i="36" s="1"/>
  <c r="R165" i="36"/>
  <c r="U165" i="36" s="1"/>
  <c r="R680" i="36"/>
  <c r="U680" i="36" s="1"/>
  <c r="R38" i="36"/>
  <c r="U38" i="36" s="1"/>
  <c r="R37" i="36"/>
  <c r="U37" i="36" s="1"/>
  <c r="R161" i="36"/>
  <c r="U161" i="36" s="1"/>
  <c r="V248" i="36"/>
  <c r="A714" i="36"/>
  <c r="A724" i="36"/>
  <c r="U59" i="36"/>
  <c r="AI35" i="35"/>
  <c r="AJ35" i="35" s="1"/>
  <c r="T35" i="35" s="1"/>
  <c r="V35" i="35" s="1"/>
  <c r="AK58" i="35"/>
  <c r="AL58" i="35" s="1"/>
  <c r="AK37" i="35"/>
  <c r="AL37" i="35" s="1"/>
  <c r="AL38" i="35"/>
  <c r="U37" i="35"/>
  <c r="V180" i="35"/>
  <c r="A714" i="35"/>
  <c r="U180" i="35"/>
  <c r="U124" i="35"/>
  <c r="R659" i="35"/>
  <c r="U659" i="35" s="1"/>
  <c r="R53" i="35"/>
  <c r="U53" i="35" s="1"/>
  <c r="R162" i="35"/>
  <c r="U162" i="35" s="1"/>
  <c r="R142" i="35"/>
  <c r="U142" i="35" s="1"/>
  <c r="R56" i="35"/>
  <c r="U56" i="35" s="1"/>
  <c r="R54" i="35"/>
  <c r="U54" i="35" s="1"/>
  <c r="R44" i="35"/>
  <c r="U44" i="35" s="1"/>
  <c r="R49" i="35"/>
  <c r="U49" i="35" s="1"/>
  <c r="R41" i="35"/>
  <c r="U41" i="35" s="1"/>
  <c r="R46" i="35"/>
  <c r="U46" i="35" s="1"/>
  <c r="R43" i="35"/>
  <c r="U43" i="35" s="1"/>
  <c r="R35" i="35"/>
  <c r="R48" i="35"/>
  <c r="U48" i="35" s="1"/>
  <c r="R40" i="35"/>
  <c r="U40" i="35" s="1"/>
  <c r="R50" i="35"/>
  <c r="U50" i="35" s="1"/>
  <c r="R45" i="35"/>
  <c r="U45" i="35" s="1"/>
  <c r="R42" i="35"/>
  <c r="U42" i="35" s="1"/>
  <c r="R52" i="35"/>
  <c r="U52" i="35" s="1"/>
  <c r="R47" i="35"/>
  <c r="U47" i="35" s="1"/>
  <c r="R248" i="35"/>
  <c r="U248" i="35" s="1"/>
  <c r="R436" i="35"/>
  <c r="U436" i="35" s="1"/>
  <c r="R408" i="35"/>
  <c r="U408" i="35" s="1"/>
  <c r="R680" i="35"/>
  <c r="U680" i="35" s="1"/>
  <c r="R673" i="35"/>
  <c r="U673" i="35" s="1"/>
  <c r="R165" i="35"/>
  <c r="U165" i="35" s="1"/>
  <c r="R466" i="35"/>
  <c r="U466" i="35" s="1"/>
  <c r="R161" i="35"/>
  <c r="U161" i="35" s="1"/>
  <c r="R38" i="35"/>
  <c r="U38" i="35" s="1"/>
  <c r="R58" i="35"/>
  <c r="U58" i="35" s="1"/>
  <c r="A724" i="35"/>
  <c r="AI643" i="34"/>
  <c r="AI641" i="34"/>
  <c r="AI640" i="34"/>
  <c r="AI639" i="34"/>
  <c r="AI623" i="34"/>
  <c r="AI622" i="34"/>
  <c r="AI620" i="34"/>
  <c r="AI615" i="34"/>
  <c r="AI611" i="34"/>
  <c r="AI591" i="34"/>
  <c r="AI585" i="34" s="1"/>
  <c r="AI538" i="34"/>
  <c r="AI537" i="34"/>
  <c r="AI510" i="34"/>
  <c r="AI487" i="34"/>
  <c r="AI485" i="34"/>
  <c r="AI465" i="34"/>
  <c r="AI421" i="34"/>
  <c r="AI418" i="34"/>
  <c r="AI417" i="34"/>
  <c r="AI414" i="34"/>
  <c r="AI413" i="34"/>
  <c r="AI412" i="34"/>
  <c r="AI397" i="34"/>
  <c r="AI363" i="34"/>
  <c r="AI358" i="34"/>
  <c r="AI347" i="34"/>
  <c r="AI346" i="34"/>
  <c r="AI341" i="34"/>
  <c r="AI247" i="34"/>
  <c r="AI220" i="34"/>
  <c r="AI219" i="34"/>
  <c r="AI203" i="34"/>
  <c r="AI192" i="34"/>
  <c r="AI158" i="34"/>
  <c r="AI154" i="34"/>
  <c r="AI153" i="34"/>
  <c r="AI146" i="34"/>
  <c r="AI126" i="34"/>
  <c r="AI121" i="34"/>
  <c r="AI115" i="34"/>
  <c r="AI106" i="34"/>
  <c r="AI102" i="34"/>
  <c r="AI101" i="34"/>
  <c r="AI100" i="34"/>
  <c r="AI97" i="34"/>
  <c r="AI93" i="34"/>
  <c r="AI91" i="34"/>
  <c r="AI90" i="34"/>
  <c r="AI87" i="34"/>
  <c r="AI78" i="34"/>
  <c r="AI74" i="34"/>
  <c r="AI67" i="34"/>
  <c r="AI65" i="34"/>
  <c r="AI63" i="34"/>
  <c r="AK35" i="37" l="1"/>
  <c r="AL35" i="37" s="1"/>
  <c r="U35" i="37"/>
  <c r="U58" i="36"/>
  <c r="U35" i="36"/>
  <c r="A715" i="36"/>
  <c r="A725" i="36"/>
  <c r="AK35" i="35"/>
  <c r="AL35" i="35" s="1"/>
  <c r="U35" i="35"/>
  <c r="A725" i="35"/>
  <c r="A715" i="35"/>
  <c r="AI30" i="34"/>
  <c r="AI28" i="34"/>
  <c r="AJ18" i="34"/>
  <c r="T18" i="34" s="1"/>
  <c r="V18" i="34" s="1"/>
  <c r="A722" i="34"/>
  <c r="A718" i="34"/>
  <c r="A712" i="34"/>
  <c r="A709" i="34"/>
  <c r="P688" i="34"/>
  <c r="P679" i="34" s="1"/>
  <c r="O688" i="34"/>
  <c r="O679" i="34" s="1"/>
  <c r="O248" i="34" s="1"/>
  <c r="AK687" i="34"/>
  <c r="AL687" i="34" s="1"/>
  <c r="AJ687" i="34"/>
  <c r="T687" i="34" s="1"/>
  <c r="V687" i="34" s="1"/>
  <c r="AK686" i="34"/>
  <c r="AL686" i="34" s="1"/>
  <c r="AJ686" i="34"/>
  <c r="T686" i="34" s="1"/>
  <c r="V686" i="34" s="1"/>
  <c r="AK685" i="34"/>
  <c r="AL685" i="34" s="1"/>
  <c r="AJ685" i="34"/>
  <c r="T685" i="34" s="1"/>
  <c r="V685" i="34" s="1"/>
  <c r="AK684" i="34"/>
  <c r="AL684" i="34" s="1"/>
  <c r="AJ684" i="34"/>
  <c r="T684" i="34" s="1"/>
  <c r="V684" i="34" s="1"/>
  <c r="AK683" i="34"/>
  <c r="AL683" i="34" s="1"/>
  <c r="AJ683" i="34"/>
  <c r="T683" i="34" s="1"/>
  <c r="V683" i="34" s="1"/>
  <c r="AK682" i="34"/>
  <c r="AL682" i="34" s="1"/>
  <c r="AJ682" i="34"/>
  <c r="T682" i="34" s="1"/>
  <c r="V682" i="34" s="1"/>
  <c r="AK681" i="34"/>
  <c r="AL681" i="34" s="1"/>
  <c r="AJ681" i="34"/>
  <c r="T681" i="34" s="1"/>
  <c r="V681" i="34" s="1"/>
  <c r="AI680" i="34"/>
  <c r="AH680" i="34"/>
  <c r="AH679" i="34" s="1"/>
  <c r="AG680" i="34"/>
  <c r="AG679" i="34" s="1"/>
  <c r="Q680" i="34"/>
  <c r="R684" i="34" s="1"/>
  <c r="AI679" i="34"/>
  <c r="AF679" i="34"/>
  <c r="AE679" i="34"/>
  <c r="AD679" i="34"/>
  <c r="AC679" i="34"/>
  <c r="AB679" i="34"/>
  <c r="AA679" i="34"/>
  <c r="Z679" i="34"/>
  <c r="Y679" i="34"/>
  <c r="X679" i="34"/>
  <c r="W679" i="34"/>
  <c r="AI678" i="34"/>
  <c r="AK677" i="34"/>
  <c r="AL677" i="34" s="1"/>
  <c r="AJ677" i="34"/>
  <c r="T677" i="34" s="1"/>
  <c r="V677" i="34" s="1"/>
  <c r="AI676" i="34"/>
  <c r="AJ676" i="34" s="1"/>
  <c r="T676" i="34" s="1"/>
  <c r="V676" i="34" s="1"/>
  <c r="AK675" i="34"/>
  <c r="AL675" i="34" s="1"/>
  <c r="AJ675" i="34"/>
  <c r="T675" i="34" s="1"/>
  <c r="V675" i="34" s="1"/>
  <c r="AI674" i="34"/>
  <c r="AJ674" i="34" s="1"/>
  <c r="T674" i="34" s="1"/>
  <c r="V674" i="34" s="1"/>
  <c r="AH673" i="34"/>
  <c r="AG673" i="34"/>
  <c r="Q673" i="34"/>
  <c r="R677" i="34" s="1"/>
  <c r="A673" i="34"/>
  <c r="A680" i="34" s="1"/>
  <c r="AK672" i="34"/>
  <c r="AL672" i="34" s="1"/>
  <c r="AJ672" i="34"/>
  <c r="T672" i="34" s="1"/>
  <c r="AK671" i="34"/>
  <c r="AL671" i="34" s="1"/>
  <c r="AJ671" i="34"/>
  <c r="T671" i="34" s="1"/>
  <c r="V671" i="34" s="1"/>
  <c r="AK670" i="34"/>
  <c r="AL670" i="34" s="1"/>
  <c r="AJ670" i="34"/>
  <c r="T670" i="34" s="1"/>
  <c r="V670" i="34" s="1"/>
  <c r="AK669" i="34"/>
  <c r="AL669" i="34" s="1"/>
  <c r="AJ669" i="34"/>
  <c r="T669" i="34" s="1"/>
  <c r="V669" i="34" s="1"/>
  <c r="AK668" i="34"/>
  <c r="AL668" i="34" s="1"/>
  <c r="AJ668" i="34"/>
  <c r="T668" i="34" s="1"/>
  <c r="V668" i="34" s="1"/>
  <c r="AK667" i="34"/>
  <c r="AL667" i="34" s="1"/>
  <c r="AJ667" i="34"/>
  <c r="T667" i="34" s="1"/>
  <c r="V667" i="34" s="1"/>
  <c r="AK666" i="34"/>
  <c r="AL666" i="34" s="1"/>
  <c r="AJ666" i="34"/>
  <c r="T666" i="34" s="1"/>
  <c r="V666" i="34" s="1"/>
  <c r="AK665" i="34"/>
  <c r="AL665" i="34" s="1"/>
  <c r="AJ665" i="34"/>
  <c r="T665" i="34" s="1"/>
  <c r="V665" i="34" s="1"/>
  <c r="AK664" i="34"/>
  <c r="AL664" i="34" s="1"/>
  <c r="AJ664" i="34"/>
  <c r="T664" i="34" s="1"/>
  <c r="V664" i="34" s="1"/>
  <c r="AK663" i="34"/>
  <c r="AL663" i="34" s="1"/>
  <c r="AJ663" i="34"/>
  <c r="T663" i="34" s="1"/>
  <c r="V663" i="34" s="1"/>
  <c r="AK662" i="34"/>
  <c r="AL662" i="34" s="1"/>
  <c r="AJ662" i="34"/>
  <c r="T662" i="34" s="1"/>
  <c r="AK661" i="34"/>
  <c r="AL661" i="34" s="1"/>
  <c r="AJ661" i="34"/>
  <c r="T661" i="34" s="1"/>
  <c r="V661" i="34" s="1"/>
  <c r="AK660" i="34"/>
  <c r="AL660" i="34" s="1"/>
  <c r="AJ660" i="34"/>
  <c r="T660" i="34" s="1"/>
  <c r="V660" i="34" s="1"/>
  <c r="AI659" i="34"/>
  <c r="Q659" i="34"/>
  <c r="R665" i="34" s="1"/>
  <c r="AK658" i="34"/>
  <c r="AL658" i="34" s="1"/>
  <c r="AJ658" i="34"/>
  <c r="T658" i="34" s="1"/>
  <c r="V658" i="34" s="1"/>
  <c r="AK657" i="34"/>
  <c r="AL657" i="34" s="1"/>
  <c r="AJ657" i="34"/>
  <c r="T657" i="34" s="1"/>
  <c r="V657" i="34" s="1"/>
  <c r="AK656" i="34"/>
  <c r="AL656" i="34" s="1"/>
  <c r="AJ656" i="34"/>
  <c r="T656" i="34" s="1"/>
  <c r="V656" i="34" s="1"/>
  <c r="AK655" i="34"/>
  <c r="AL655" i="34" s="1"/>
  <c r="AJ655" i="34"/>
  <c r="T655" i="34" s="1"/>
  <c r="V655" i="34" s="1"/>
  <c r="AK654" i="34"/>
  <c r="AL654" i="34" s="1"/>
  <c r="AJ654" i="34"/>
  <c r="T654" i="34" s="1"/>
  <c r="V654" i="34" s="1"/>
  <c r="AK653" i="34"/>
  <c r="AL653" i="34" s="1"/>
  <c r="AJ653" i="34"/>
  <c r="T653" i="34" s="1"/>
  <c r="V653" i="34" s="1"/>
  <c r="AK652" i="34"/>
  <c r="AL652" i="34" s="1"/>
  <c r="AJ652" i="34"/>
  <c r="T652" i="34" s="1"/>
  <c r="V652" i="34" s="1"/>
  <c r="AK651" i="34"/>
  <c r="AL651" i="34" s="1"/>
  <c r="AJ651" i="34"/>
  <c r="T651" i="34" s="1"/>
  <c r="V651" i="34" s="1"/>
  <c r="AK650" i="34"/>
  <c r="AL650" i="34" s="1"/>
  <c r="AJ650" i="34"/>
  <c r="T650" i="34" s="1"/>
  <c r="V650" i="34" s="1"/>
  <c r="AK649" i="34"/>
  <c r="AL649" i="34" s="1"/>
  <c r="AJ649" i="34"/>
  <c r="T649" i="34" s="1"/>
  <c r="V649" i="34" s="1"/>
  <c r="AK648" i="34"/>
  <c r="AL648" i="34" s="1"/>
  <c r="AJ648" i="34"/>
  <c r="T648" i="34" s="1"/>
  <c r="V648" i="34" s="1"/>
  <c r="AK647" i="34"/>
  <c r="AL647" i="34" s="1"/>
  <c r="AJ647" i="34"/>
  <c r="T647" i="34" s="1"/>
  <c r="V647" i="34" s="1"/>
  <c r="AK646" i="34"/>
  <c r="AL646" i="34" s="1"/>
  <c r="AJ646" i="34"/>
  <c r="T646" i="34" s="1"/>
  <c r="V646" i="34" s="1"/>
  <c r="AK645" i="34"/>
  <c r="AL645" i="34" s="1"/>
  <c r="AJ645" i="34"/>
  <c r="T645" i="34" s="1"/>
  <c r="V645" i="34" s="1"/>
  <c r="AI644" i="34"/>
  <c r="Q644" i="34"/>
  <c r="R658" i="34" s="1"/>
  <c r="AK642" i="34"/>
  <c r="AL642" i="34" s="1"/>
  <c r="AJ642" i="34"/>
  <c r="T642" i="34" s="1"/>
  <c r="V642" i="34" s="1"/>
  <c r="AJ641" i="34"/>
  <c r="T641" i="34" s="1"/>
  <c r="V641" i="34" s="1"/>
  <c r="AJ640" i="34"/>
  <c r="T640" i="34" s="1"/>
  <c r="V640" i="34" s="1"/>
  <c r="AJ639" i="34"/>
  <c r="T639" i="34" s="1"/>
  <c r="V639" i="34" s="1"/>
  <c r="AK638" i="34"/>
  <c r="AL638" i="34" s="1"/>
  <c r="AJ638" i="34"/>
  <c r="T638" i="34" s="1"/>
  <c r="V638" i="34" s="1"/>
  <c r="Q637" i="34"/>
  <c r="R642" i="34" s="1"/>
  <c r="AK636" i="34"/>
  <c r="AL636" i="34" s="1"/>
  <c r="AJ636" i="34"/>
  <c r="T636" i="34" s="1"/>
  <c r="AK635" i="34"/>
  <c r="AL635" i="34" s="1"/>
  <c r="AJ635" i="34"/>
  <c r="T635" i="34" s="1"/>
  <c r="AK634" i="34"/>
  <c r="AL634" i="34" s="1"/>
  <c r="AJ634" i="34"/>
  <c r="T634" i="34" s="1"/>
  <c r="V634" i="34" s="1"/>
  <c r="AK633" i="34"/>
  <c r="AL633" i="34" s="1"/>
  <c r="AJ633" i="34"/>
  <c r="T633" i="34" s="1"/>
  <c r="V633" i="34" s="1"/>
  <c r="AK632" i="34"/>
  <c r="AL632" i="34" s="1"/>
  <c r="AJ632" i="34"/>
  <c r="T632" i="34" s="1"/>
  <c r="V632" i="34" s="1"/>
  <c r="AK631" i="34"/>
  <c r="AL631" i="34" s="1"/>
  <c r="AJ631" i="34"/>
  <c r="T631" i="34" s="1"/>
  <c r="V631" i="34" s="1"/>
  <c r="AK630" i="34"/>
  <c r="AL630" i="34" s="1"/>
  <c r="AJ630" i="34"/>
  <c r="T630" i="34" s="1"/>
  <c r="V630" i="34" s="1"/>
  <c r="AK629" i="34"/>
  <c r="AL629" i="34" s="1"/>
  <c r="AJ629" i="34"/>
  <c r="T629" i="34" s="1"/>
  <c r="V629" i="34" s="1"/>
  <c r="AK628" i="34"/>
  <c r="AL628" i="34" s="1"/>
  <c r="AJ628" i="34"/>
  <c r="T628" i="34" s="1"/>
  <c r="V628" i="34" s="1"/>
  <c r="AI627" i="34"/>
  <c r="Q627" i="34"/>
  <c r="AK626" i="34"/>
  <c r="AL626" i="34" s="1"/>
  <c r="AJ626" i="34"/>
  <c r="T626" i="34" s="1"/>
  <c r="V626" i="34" s="1"/>
  <c r="AK625" i="34"/>
  <c r="AL625" i="34" s="1"/>
  <c r="AJ625" i="34"/>
  <c r="T625" i="34" s="1"/>
  <c r="V625" i="34" s="1"/>
  <c r="AK624" i="34"/>
  <c r="AL624" i="34" s="1"/>
  <c r="AJ624" i="34"/>
  <c r="T624" i="34" s="1"/>
  <c r="AK623" i="34"/>
  <c r="AL623" i="34" s="1"/>
  <c r="AJ623" i="34"/>
  <c r="T623" i="34" s="1"/>
  <c r="V623" i="34" s="1"/>
  <c r="AK622" i="34"/>
  <c r="AL622" i="34" s="1"/>
  <c r="AJ622" i="34"/>
  <c r="T622" i="34" s="1"/>
  <c r="V622" i="34" s="1"/>
  <c r="AK621" i="34"/>
  <c r="AL621" i="34" s="1"/>
  <c r="AJ621" i="34"/>
  <c r="T621" i="34" s="1"/>
  <c r="AK620" i="34"/>
  <c r="AL620" i="34" s="1"/>
  <c r="AJ620" i="34"/>
  <c r="T620" i="34" s="1"/>
  <c r="V620" i="34" s="1"/>
  <c r="AK619" i="34"/>
  <c r="AL619" i="34" s="1"/>
  <c r="AJ619" i="34"/>
  <c r="T619" i="34" s="1"/>
  <c r="V619" i="34" s="1"/>
  <c r="AI618" i="34"/>
  <c r="Q618" i="34"/>
  <c r="R620" i="34" s="1"/>
  <c r="AK617" i="34"/>
  <c r="AL617" i="34" s="1"/>
  <c r="AJ617" i="34"/>
  <c r="T617" i="34" s="1"/>
  <c r="V617" i="34" s="1"/>
  <c r="AK616" i="34"/>
  <c r="AL616" i="34" s="1"/>
  <c r="AJ616" i="34"/>
  <c r="T616" i="34" s="1"/>
  <c r="V616" i="34" s="1"/>
  <c r="AK615" i="34"/>
  <c r="AL615" i="34" s="1"/>
  <c r="AJ615" i="34"/>
  <c r="T615" i="34" s="1"/>
  <c r="V615" i="34" s="1"/>
  <c r="AK614" i="34"/>
  <c r="AL614" i="34" s="1"/>
  <c r="AJ614" i="34"/>
  <c r="T614" i="34" s="1"/>
  <c r="V614" i="34" s="1"/>
  <c r="AK613" i="34"/>
  <c r="AL613" i="34" s="1"/>
  <c r="AJ613" i="34"/>
  <c r="T613" i="34" s="1"/>
  <c r="V613" i="34" s="1"/>
  <c r="AK612" i="34"/>
  <c r="AL612" i="34" s="1"/>
  <c r="AJ612" i="34"/>
  <c r="T612" i="34" s="1"/>
  <c r="V612" i="34" s="1"/>
  <c r="AK611" i="34"/>
  <c r="AL611" i="34" s="1"/>
  <c r="AJ611" i="34"/>
  <c r="T611" i="34" s="1"/>
  <c r="V611" i="34" s="1"/>
  <c r="AK610" i="34"/>
  <c r="AL610" i="34" s="1"/>
  <c r="AJ610" i="34"/>
  <c r="T610" i="34" s="1"/>
  <c r="AK609" i="34"/>
  <c r="AL609" i="34" s="1"/>
  <c r="AJ609" i="34"/>
  <c r="T609" i="34" s="1"/>
  <c r="V609" i="34" s="1"/>
  <c r="AI608" i="34"/>
  <c r="Q608" i="34"/>
  <c r="R610" i="34" s="1"/>
  <c r="AK607" i="34"/>
  <c r="AL607" i="34" s="1"/>
  <c r="AJ607" i="34"/>
  <c r="T607" i="34" s="1"/>
  <c r="V607" i="34" s="1"/>
  <c r="AK606" i="34"/>
  <c r="AL606" i="34" s="1"/>
  <c r="AJ606" i="34"/>
  <c r="T606" i="34" s="1"/>
  <c r="V606" i="34" s="1"/>
  <c r="AK605" i="34"/>
  <c r="AL605" i="34" s="1"/>
  <c r="AJ605" i="34"/>
  <c r="T605" i="34" s="1"/>
  <c r="V605" i="34" s="1"/>
  <c r="AK604" i="34"/>
  <c r="AL604" i="34" s="1"/>
  <c r="AJ604" i="34"/>
  <c r="T604" i="34" s="1"/>
  <c r="V604" i="34" s="1"/>
  <c r="AK603" i="34"/>
  <c r="AL603" i="34" s="1"/>
  <c r="AJ603" i="34"/>
  <c r="T603" i="34" s="1"/>
  <c r="V603" i="34" s="1"/>
  <c r="AK602" i="34"/>
  <c r="AL602" i="34" s="1"/>
  <c r="AJ602" i="34"/>
  <c r="T602" i="34" s="1"/>
  <c r="AK601" i="34"/>
  <c r="AL601" i="34" s="1"/>
  <c r="AJ601" i="34"/>
  <c r="T601" i="34" s="1"/>
  <c r="V601" i="34" s="1"/>
  <c r="AK600" i="34"/>
  <c r="AL600" i="34" s="1"/>
  <c r="AJ600" i="34"/>
  <c r="T600" i="34" s="1"/>
  <c r="V600" i="34" s="1"/>
  <c r="AK599" i="34"/>
  <c r="AL599" i="34" s="1"/>
  <c r="AJ599" i="34"/>
  <c r="T599" i="34" s="1"/>
  <c r="V599" i="34" s="1"/>
  <c r="AK598" i="34"/>
  <c r="AL598" i="34" s="1"/>
  <c r="AJ598" i="34"/>
  <c r="T598" i="34" s="1"/>
  <c r="V598" i="34" s="1"/>
  <c r="AK597" i="34"/>
  <c r="AL597" i="34" s="1"/>
  <c r="AJ597" i="34"/>
  <c r="T597" i="34" s="1"/>
  <c r="V597" i="34" s="1"/>
  <c r="AK596" i="34"/>
  <c r="AL596" i="34" s="1"/>
  <c r="AJ596" i="34"/>
  <c r="T596" i="34" s="1"/>
  <c r="V596" i="34" s="1"/>
  <c r="AK595" i="34"/>
  <c r="AL595" i="34" s="1"/>
  <c r="AJ595" i="34"/>
  <c r="T595" i="34" s="1"/>
  <c r="V595" i="34" s="1"/>
  <c r="AI594" i="34"/>
  <c r="Q594" i="34"/>
  <c r="AK593" i="34"/>
  <c r="AL593" i="34" s="1"/>
  <c r="AJ593" i="34"/>
  <c r="T593" i="34" s="1"/>
  <c r="AK592" i="34"/>
  <c r="AL592" i="34" s="1"/>
  <c r="AJ592" i="34"/>
  <c r="T592" i="34" s="1"/>
  <c r="AK591" i="34"/>
  <c r="AL591" i="34" s="1"/>
  <c r="AJ591" i="34"/>
  <c r="T591" i="34" s="1"/>
  <c r="V591" i="34" s="1"/>
  <c r="AK590" i="34"/>
  <c r="AL590" i="34" s="1"/>
  <c r="AJ590" i="34"/>
  <c r="T590" i="34" s="1"/>
  <c r="V590" i="34" s="1"/>
  <c r="AK589" i="34"/>
  <c r="AL589" i="34" s="1"/>
  <c r="AJ589" i="34"/>
  <c r="T589" i="34" s="1"/>
  <c r="V589" i="34" s="1"/>
  <c r="AK588" i="34"/>
  <c r="AL588" i="34" s="1"/>
  <c r="AJ588" i="34"/>
  <c r="T588" i="34" s="1"/>
  <c r="V588" i="34" s="1"/>
  <c r="AK587" i="34"/>
  <c r="AL587" i="34" s="1"/>
  <c r="AJ587" i="34"/>
  <c r="T587" i="34" s="1"/>
  <c r="V587" i="34" s="1"/>
  <c r="AK586" i="34"/>
  <c r="AL586" i="34" s="1"/>
  <c r="AJ586" i="34"/>
  <c r="T586" i="34" s="1"/>
  <c r="V586" i="34" s="1"/>
  <c r="Q585" i="34"/>
  <c r="R591" i="34" s="1"/>
  <c r="AK584" i="34"/>
  <c r="AL584" i="34" s="1"/>
  <c r="AJ584" i="34"/>
  <c r="T584" i="34" s="1"/>
  <c r="AK583" i="34"/>
  <c r="AL583" i="34" s="1"/>
  <c r="AJ583" i="34"/>
  <c r="T583" i="34" s="1"/>
  <c r="V583" i="34" s="1"/>
  <c r="AK582" i="34"/>
  <c r="AL582" i="34" s="1"/>
  <c r="AJ582" i="34"/>
  <c r="T582" i="34" s="1"/>
  <c r="V582" i="34" s="1"/>
  <c r="AK581" i="34"/>
  <c r="AL581" i="34" s="1"/>
  <c r="AJ581" i="34"/>
  <c r="T581" i="34" s="1"/>
  <c r="V581" i="34" s="1"/>
  <c r="AK580" i="34"/>
  <c r="AL580" i="34" s="1"/>
  <c r="AJ580" i="34"/>
  <c r="T580" i="34" s="1"/>
  <c r="V580" i="34" s="1"/>
  <c r="AK579" i="34"/>
  <c r="AL579" i="34" s="1"/>
  <c r="AJ579" i="34"/>
  <c r="T579" i="34" s="1"/>
  <c r="AK578" i="34"/>
  <c r="AL578" i="34" s="1"/>
  <c r="AJ578" i="34"/>
  <c r="T578" i="34" s="1"/>
  <c r="V578" i="34" s="1"/>
  <c r="AK577" i="34"/>
  <c r="AL577" i="34" s="1"/>
  <c r="AJ577" i="34"/>
  <c r="T577" i="34" s="1"/>
  <c r="V577" i="34" s="1"/>
  <c r="AK576" i="34"/>
  <c r="AL576" i="34" s="1"/>
  <c r="AJ576" i="34"/>
  <c r="T576" i="34" s="1"/>
  <c r="V576" i="34" s="1"/>
  <c r="AK575" i="34"/>
  <c r="AL575" i="34" s="1"/>
  <c r="AJ575" i="34"/>
  <c r="T575" i="34" s="1"/>
  <c r="V575" i="34" s="1"/>
  <c r="AK574" i="34"/>
  <c r="AL574" i="34" s="1"/>
  <c r="AJ574" i="34"/>
  <c r="T574" i="34" s="1"/>
  <c r="V574" i="34" s="1"/>
  <c r="AK573" i="34"/>
  <c r="AL573" i="34" s="1"/>
  <c r="AJ573" i="34"/>
  <c r="T573" i="34" s="1"/>
  <c r="V573" i="34" s="1"/>
  <c r="AI572" i="34"/>
  <c r="Q572" i="34"/>
  <c r="R579" i="34" s="1"/>
  <c r="AI571" i="34"/>
  <c r="AI570" i="34"/>
  <c r="AI569" i="34"/>
  <c r="AI568" i="34"/>
  <c r="AI567" i="34"/>
  <c r="AI566" i="34"/>
  <c r="AI565" i="34"/>
  <c r="AI564" i="34"/>
  <c r="AI563" i="34"/>
  <c r="AK563" i="34" s="1"/>
  <c r="AL563" i="34" s="1"/>
  <c r="Q562" i="34"/>
  <c r="R566" i="34" s="1"/>
  <c r="AK561" i="34"/>
  <c r="AL561" i="34" s="1"/>
  <c r="AJ561" i="34"/>
  <c r="T561" i="34" s="1"/>
  <c r="V561" i="34" s="1"/>
  <c r="AK560" i="34"/>
  <c r="AL560" i="34" s="1"/>
  <c r="AJ560" i="34"/>
  <c r="T560" i="34" s="1"/>
  <c r="V560" i="34" s="1"/>
  <c r="AK559" i="34"/>
  <c r="AL559" i="34" s="1"/>
  <c r="AJ559" i="34"/>
  <c r="T559" i="34" s="1"/>
  <c r="V559" i="34" s="1"/>
  <c r="AK558" i="34"/>
  <c r="AL558" i="34" s="1"/>
  <c r="AJ558" i="34"/>
  <c r="T558" i="34" s="1"/>
  <c r="AK557" i="34"/>
  <c r="AL557" i="34" s="1"/>
  <c r="AJ557" i="34"/>
  <c r="T557" i="34" s="1"/>
  <c r="V557" i="34" s="1"/>
  <c r="AK556" i="34"/>
  <c r="AL556" i="34" s="1"/>
  <c r="AJ556" i="34"/>
  <c r="T556" i="34" s="1"/>
  <c r="V556" i="34" s="1"/>
  <c r="AK555" i="34"/>
  <c r="AL555" i="34" s="1"/>
  <c r="AJ555" i="34"/>
  <c r="T555" i="34" s="1"/>
  <c r="V555" i="34" s="1"/>
  <c r="AK554" i="34"/>
  <c r="AL554" i="34" s="1"/>
  <c r="AJ554" i="34"/>
  <c r="T554" i="34" s="1"/>
  <c r="V554" i="34" s="1"/>
  <c r="AI553" i="34"/>
  <c r="Q553" i="34"/>
  <c r="R557" i="34" s="1"/>
  <c r="AK552" i="34"/>
  <c r="AL552" i="34" s="1"/>
  <c r="AJ552" i="34"/>
  <c r="T552" i="34" s="1"/>
  <c r="V552" i="34" s="1"/>
  <c r="AK551" i="34"/>
  <c r="AJ551" i="34"/>
  <c r="T551" i="34" s="1"/>
  <c r="AK550" i="34"/>
  <c r="AL550" i="34" s="1"/>
  <c r="AJ550" i="34"/>
  <c r="T550" i="34" s="1"/>
  <c r="V550" i="34" s="1"/>
  <c r="AK549" i="34"/>
  <c r="AL549" i="34" s="1"/>
  <c r="AJ549" i="34"/>
  <c r="T549" i="34" s="1"/>
  <c r="V549" i="34" s="1"/>
  <c r="AK548" i="34"/>
  <c r="AL548" i="34" s="1"/>
  <c r="AJ548" i="34"/>
  <c r="T548" i="34" s="1"/>
  <c r="V548" i="34" s="1"/>
  <c r="AL547" i="34"/>
  <c r="AK547" i="34"/>
  <c r="AJ547" i="34"/>
  <c r="T547" i="34" s="1"/>
  <c r="V547" i="34" s="1"/>
  <c r="AK546" i="34"/>
  <c r="AL546" i="34" s="1"/>
  <c r="AJ546" i="34"/>
  <c r="T546" i="34" s="1"/>
  <c r="V546" i="34" s="1"/>
  <c r="AK545" i="34"/>
  <c r="AL545" i="34" s="1"/>
  <c r="AJ545" i="34"/>
  <c r="T545" i="34" s="1"/>
  <c r="V545" i="34" s="1"/>
  <c r="AK544" i="34"/>
  <c r="AL544" i="34" s="1"/>
  <c r="AJ544" i="34"/>
  <c r="T544" i="34" s="1"/>
  <c r="V544" i="34" s="1"/>
  <c r="AK543" i="34"/>
  <c r="AL543" i="34" s="1"/>
  <c r="AJ543" i="34"/>
  <c r="T543" i="34" s="1"/>
  <c r="V543" i="34" s="1"/>
  <c r="AI542" i="34"/>
  <c r="AH542" i="34"/>
  <c r="AG542" i="34"/>
  <c r="Q542" i="34"/>
  <c r="R550" i="34" s="1"/>
  <c r="AK541" i="34"/>
  <c r="AL541" i="34" s="1"/>
  <c r="AJ541" i="34"/>
  <c r="T541" i="34" s="1"/>
  <c r="V541" i="34" s="1"/>
  <c r="AK540" i="34"/>
  <c r="AL540" i="34" s="1"/>
  <c r="AJ540" i="34"/>
  <c r="T540" i="34" s="1"/>
  <c r="V540" i="34" s="1"/>
  <c r="AK539" i="34"/>
  <c r="AL539" i="34" s="1"/>
  <c r="AJ539" i="34"/>
  <c r="T539" i="34" s="1"/>
  <c r="V539" i="34" s="1"/>
  <c r="AK538" i="34"/>
  <c r="AL538" i="34" s="1"/>
  <c r="AJ538" i="34"/>
  <c r="T538" i="34" s="1"/>
  <c r="V538" i="34" s="1"/>
  <c r="AK537" i="34"/>
  <c r="AL537" i="34" s="1"/>
  <c r="AJ537" i="34"/>
  <c r="T537" i="34" s="1"/>
  <c r="V537" i="34" s="1"/>
  <c r="AK536" i="34"/>
  <c r="AL536" i="34" s="1"/>
  <c r="AJ536" i="34"/>
  <c r="T536" i="34" s="1"/>
  <c r="V536" i="34" s="1"/>
  <c r="AK535" i="34"/>
  <c r="AL535" i="34" s="1"/>
  <c r="AJ535" i="34"/>
  <c r="T535" i="34" s="1"/>
  <c r="V535" i="34" s="1"/>
  <c r="AK534" i="34"/>
  <c r="AL534" i="34" s="1"/>
  <c r="AJ534" i="34"/>
  <c r="T534" i="34" s="1"/>
  <c r="V534" i="34" s="1"/>
  <c r="AK533" i="34"/>
  <c r="AL533" i="34" s="1"/>
  <c r="AJ533" i="34"/>
  <c r="T533" i="34" s="1"/>
  <c r="V533" i="34" s="1"/>
  <c r="AK532" i="34"/>
  <c r="AL532" i="34" s="1"/>
  <c r="AJ532" i="34"/>
  <c r="T532" i="34" s="1"/>
  <c r="V532" i="34" s="1"/>
  <c r="AK531" i="34"/>
  <c r="AL531" i="34" s="1"/>
  <c r="AJ531" i="34"/>
  <c r="T531" i="34" s="1"/>
  <c r="V531" i="34" s="1"/>
  <c r="AI530" i="34"/>
  <c r="AH530" i="34"/>
  <c r="AG530" i="34"/>
  <c r="Q530" i="34"/>
  <c r="R536" i="34" s="1"/>
  <c r="AK529" i="34"/>
  <c r="AL529" i="34" s="1"/>
  <c r="AJ529" i="34"/>
  <c r="T529" i="34" s="1"/>
  <c r="V529" i="34" s="1"/>
  <c r="AK528" i="34"/>
  <c r="AL528" i="34" s="1"/>
  <c r="AJ528" i="34"/>
  <c r="T528" i="34" s="1"/>
  <c r="V528" i="34" s="1"/>
  <c r="AK527" i="34"/>
  <c r="AL527" i="34" s="1"/>
  <c r="AJ527" i="34"/>
  <c r="T527" i="34" s="1"/>
  <c r="V527" i="34" s="1"/>
  <c r="AK526" i="34"/>
  <c r="AL526" i="34" s="1"/>
  <c r="AJ526" i="34"/>
  <c r="T526" i="34" s="1"/>
  <c r="V526" i="34" s="1"/>
  <c r="AK525" i="34"/>
  <c r="AL525" i="34" s="1"/>
  <c r="AJ525" i="34"/>
  <c r="T525" i="34" s="1"/>
  <c r="V525" i="34" s="1"/>
  <c r="AK524" i="34"/>
  <c r="AL524" i="34" s="1"/>
  <c r="AJ524" i="34"/>
  <c r="T524" i="34" s="1"/>
  <c r="V524" i="34" s="1"/>
  <c r="AI523" i="34"/>
  <c r="AH523" i="34"/>
  <c r="AG523" i="34"/>
  <c r="Q523" i="34"/>
  <c r="R527" i="34" s="1"/>
  <c r="AK522" i="34"/>
  <c r="AL522" i="34" s="1"/>
  <c r="AJ522" i="34"/>
  <c r="T522" i="34" s="1"/>
  <c r="V522" i="34" s="1"/>
  <c r="AK521" i="34"/>
  <c r="AL521" i="34" s="1"/>
  <c r="AJ521" i="34"/>
  <c r="T521" i="34" s="1"/>
  <c r="V521" i="34" s="1"/>
  <c r="AK520" i="34"/>
  <c r="AL520" i="34" s="1"/>
  <c r="AJ520" i="34"/>
  <c r="T520" i="34" s="1"/>
  <c r="V520" i="34" s="1"/>
  <c r="AK519" i="34"/>
  <c r="AL519" i="34" s="1"/>
  <c r="AJ519" i="34"/>
  <c r="T519" i="34" s="1"/>
  <c r="V519" i="34" s="1"/>
  <c r="AK518" i="34"/>
  <c r="AL518" i="34" s="1"/>
  <c r="AJ518" i="34"/>
  <c r="T518" i="34" s="1"/>
  <c r="V518" i="34" s="1"/>
  <c r="AK517" i="34"/>
  <c r="AL517" i="34" s="1"/>
  <c r="AJ517" i="34"/>
  <c r="T517" i="34" s="1"/>
  <c r="V517" i="34" s="1"/>
  <c r="AK516" i="34"/>
  <c r="AL516" i="34" s="1"/>
  <c r="AJ516" i="34"/>
  <c r="T516" i="34" s="1"/>
  <c r="V516" i="34" s="1"/>
  <c r="AK515" i="34"/>
  <c r="AL515" i="34" s="1"/>
  <c r="AJ515" i="34"/>
  <c r="T515" i="34" s="1"/>
  <c r="V515" i="34" s="1"/>
  <c r="AK514" i="34"/>
  <c r="AL514" i="34" s="1"/>
  <c r="AJ514" i="34"/>
  <c r="T514" i="34" s="1"/>
  <c r="V514" i="34" s="1"/>
  <c r="AK513" i="34"/>
  <c r="AL513" i="34" s="1"/>
  <c r="AJ513" i="34"/>
  <c r="T513" i="34" s="1"/>
  <c r="V513" i="34" s="1"/>
  <c r="AK512" i="34"/>
  <c r="AJ512" i="34"/>
  <c r="T512" i="34" s="1"/>
  <c r="V512" i="34" s="1"/>
  <c r="AI511" i="34"/>
  <c r="AH511" i="34"/>
  <c r="AG511" i="34"/>
  <c r="Q511" i="34"/>
  <c r="AJ510" i="34"/>
  <c r="T510" i="34" s="1"/>
  <c r="V510" i="34" s="1"/>
  <c r="AK510" i="34"/>
  <c r="AL510" i="34" s="1"/>
  <c r="AI509" i="34"/>
  <c r="AK509" i="34" s="1"/>
  <c r="AL509" i="34" s="1"/>
  <c r="AI508" i="34"/>
  <c r="AK508" i="34" s="1"/>
  <c r="AL508" i="34" s="1"/>
  <c r="AI507" i="34"/>
  <c r="AK507" i="34" s="1"/>
  <c r="AL507" i="34" s="1"/>
  <c r="AK506" i="34"/>
  <c r="AL506" i="34" s="1"/>
  <c r="AJ506" i="34"/>
  <c r="T506" i="34" s="1"/>
  <c r="V506" i="34" s="1"/>
  <c r="AK505" i="34"/>
  <c r="AL505" i="34" s="1"/>
  <c r="AJ505" i="34"/>
  <c r="T505" i="34" s="1"/>
  <c r="V505" i="34" s="1"/>
  <c r="AH504" i="34"/>
  <c r="AG504" i="34"/>
  <c r="Q504" i="34"/>
  <c r="R510" i="34" s="1"/>
  <c r="AK503" i="34"/>
  <c r="AL503" i="34" s="1"/>
  <c r="AJ503" i="34"/>
  <c r="T503" i="34" s="1"/>
  <c r="V503" i="34" s="1"/>
  <c r="AK502" i="34"/>
  <c r="AL502" i="34" s="1"/>
  <c r="AJ502" i="34"/>
  <c r="T502" i="34" s="1"/>
  <c r="V502" i="34" s="1"/>
  <c r="AK501" i="34"/>
  <c r="AL501" i="34" s="1"/>
  <c r="AJ501" i="34"/>
  <c r="T501" i="34" s="1"/>
  <c r="V501" i="34" s="1"/>
  <c r="AK500" i="34"/>
  <c r="AL500" i="34" s="1"/>
  <c r="AJ500" i="34"/>
  <c r="T500" i="34" s="1"/>
  <c r="V500" i="34" s="1"/>
  <c r="AK499" i="34"/>
  <c r="AL499" i="34" s="1"/>
  <c r="AJ499" i="34"/>
  <c r="T499" i="34" s="1"/>
  <c r="V499" i="34" s="1"/>
  <c r="AK498" i="34"/>
  <c r="AL498" i="34" s="1"/>
  <c r="AJ498" i="34"/>
  <c r="T498" i="34" s="1"/>
  <c r="V498" i="34" s="1"/>
  <c r="AK497" i="34"/>
  <c r="AL497" i="34" s="1"/>
  <c r="AJ497" i="34"/>
  <c r="T497" i="34" s="1"/>
  <c r="V497" i="34" s="1"/>
  <c r="AK496" i="34"/>
  <c r="AL496" i="34" s="1"/>
  <c r="AJ496" i="34"/>
  <c r="T496" i="34" s="1"/>
  <c r="V496" i="34" s="1"/>
  <c r="AI495" i="34"/>
  <c r="AH495" i="34"/>
  <c r="AG495" i="34"/>
  <c r="Q495" i="34"/>
  <c r="R499" i="34" s="1"/>
  <c r="A495" i="34"/>
  <c r="A504" i="34" s="1"/>
  <c r="A511" i="34" s="1"/>
  <c r="A523" i="34" s="1"/>
  <c r="A530" i="34" s="1"/>
  <c r="A542" i="34" s="1"/>
  <c r="A553" i="34" s="1"/>
  <c r="A562" i="34" s="1"/>
  <c r="A572" i="34" s="1"/>
  <c r="A585" i="34" s="1"/>
  <c r="A594" i="34" s="1"/>
  <c r="A608" i="34" s="1"/>
  <c r="A618" i="34" s="1"/>
  <c r="A627" i="34" s="1"/>
  <c r="A637" i="34" s="1"/>
  <c r="AK494" i="34"/>
  <c r="AL494" i="34" s="1"/>
  <c r="AJ494" i="34"/>
  <c r="T494" i="34" s="1"/>
  <c r="V494" i="34" s="1"/>
  <c r="AK493" i="34"/>
  <c r="AL493" i="34" s="1"/>
  <c r="AJ493" i="34"/>
  <c r="T493" i="34" s="1"/>
  <c r="V493" i="34" s="1"/>
  <c r="AK492" i="34"/>
  <c r="AL492" i="34" s="1"/>
  <c r="AJ492" i="34"/>
  <c r="T492" i="34" s="1"/>
  <c r="V492" i="34" s="1"/>
  <c r="AK491" i="34"/>
  <c r="AL491" i="34" s="1"/>
  <c r="AJ491" i="34"/>
  <c r="T491" i="34" s="1"/>
  <c r="V491" i="34" s="1"/>
  <c r="AI490" i="34"/>
  <c r="Q490" i="34"/>
  <c r="AK489" i="34"/>
  <c r="AL489" i="34" s="1"/>
  <c r="AJ489" i="34"/>
  <c r="T489" i="34" s="1"/>
  <c r="V489" i="34" s="1"/>
  <c r="AK488" i="34"/>
  <c r="AL488" i="34" s="1"/>
  <c r="AJ488" i="34"/>
  <c r="T488" i="34" s="1"/>
  <c r="V488" i="34" s="1"/>
  <c r="AK487" i="34"/>
  <c r="AL487" i="34" s="1"/>
  <c r="AJ487" i="34"/>
  <c r="T487" i="34" s="1"/>
  <c r="V487" i="34" s="1"/>
  <c r="AK486" i="34"/>
  <c r="AL486" i="34" s="1"/>
  <c r="AJ486" i="34"/>
  <c r="T486" i="34" s="1"/>
  <c r="V486" i="34" s="1"/>
  <c r="AK485" i="34"/>
  <c r="AL485" i="34" s="1"/>
  <c r="AJ485" i="34"/>
  <c r="T485" i="34" s="1"/>
  <c r="V485" i="34" s="1"/>
  <c r="AK484" i="34"/>
  <c r="AL484" i="34" s="1"/>
  <c r="AJ484" i="34"/>
  <c r="T484" i="34" s="1"/>
  <c r="V484" i="34" s="1"/>
  <c r="AI483" i="34"/>
  <c r="AH483" i="34"/>
  <c r="AG483" i="34"/>
  <c r="AF483" i="34"/>
  <c r="AE483" i="34"/>
  <c r="AD483" i="34"/>
  <c r="AC483" i="34"/>
  <c r="AA483" i="34"/>
  <c r="Z483" i="34"/>
  <c r="Y483" i="34"/>
  <c r="X483" i="34"/>
  <c r="Q483" i="34"/>
  <c r="P483" i="34"/>
  <c r="AK482" i="34"/>
  <c r="AL482" i="34" s="1"/>
  <c r="AJ482" i="34"/>
  <c r="T482" i="34" s="1"/>
  <c r="V482" i="34" s="1"/>
  <c r="AK481" i="34"/>
  <c r="AL481" i="34" s="1"/>
  <c r="AJ481" i="34"/>
  <c r="T481" i="34" s="1"/>
  <c r="V481" i="34" s="1"/>
  <c r="AK480" i="34"/>
  <c r="AL480" i="34" s="1"/>
  <c r="AJ480" i="34"/>
  <c r="T480" i="34" s="1"/>
  <c r="V480" i="34" s="1"/>
  <c r="AK479" i="34"/>
  <c r="AL479" i="34" s="1"/>
  <c r="AJ479" i="34"/>
  <c r="T479" i="34" s="1"/>
  <c r="V479" i="34" s="1"/>
  <c r="AK478" i="34"/>
  <c r="AL478" i="34" s="1"/>
  <c r="AJ478" i="34"/>
  <c r="T478" i="34" s="1"/>
  <c r="V478" i="34" s="1"/>
  <c r="AK477" i="34"/>
  <c r="AL477" i="34" s="1"/>
  <c r="AJ477" i="34"/>
  <c r="T477" i="34" s="1"/>
  <c r="V477" i="34" s="1"/>
  <c r="AI476" i="34"/>
  <c r="AH476" i="34"/>
  <c r="AG476" i="34"/>
  <c r="AF476" i="34"/>
  <c r="AE476" i="34"/>
  <c r="AD476" i="34"/>
  <c r="AC476" i="34"/>
  <c r="AA476" i="34"/>
  <c r="Z476" i="34"/>
  <c r="Y476" i="34"/>
  <c r="X476" i="34"/>
  <c r="Q476" i="34"/>
  <c r="R479" i="34" s="1"/>
  <c r="P476" i="34"/>
  <c r="AK475" i="34"/>
  <c r="AL475" i="34" s="1"/>
  <c r="AJ475" i="34"/>
  <c r="T475" i="34" s="1"/>
  <c r="V475" i="34" s="1"/>
  <c r="AK474" i="34"/>
  <c r="AL474" i="34" s="1"/>
  <c r="AJ474" i="34"/>
  <c r="T474" i="34" s="1"/>
  <c r="V474" i="34" s="1"/>
  <c r="AK473" i="34"/>
  <c r="AL473" i="34" s="1"/>
  <c r="AJ473" i="34"/>
  <c r="T473" i="34" s="1"/>
  <c r="V473" i="34" s="1"/>
  <c r="AK472" i="34"/>
  <c r="AL472" i="34" s="1"/>
  <c r="AJ472" i="34"/>
  <c r="T472" i="34" s="1"/>
  <c r="V472" i="34" s="1"/>
  <c r="AK471" i="34"/>
  <c r="AL471" i="34" s="1"/>
  <c r="AJ471" i="34"/>
  <c r="T471" i="34" s="1"/>
  <c r="V471" i="34" s="1"/>
  <c r="AK470" i="34"/>
  <c r="AL470" i="34" s="1"/>
  <c r="AJ470" i="34"/>
  <c r="T470" i="34" s="1"/>
  <c r="V470" i="34" s="1"/>
  <c r="AK469" i="34"/>
  <c r="AL469" i="34" s="1"/>
  <c r="AJ469" i="34"/>
  <c r="T469" i="34" s="1"/>
  <c r="V469" i="34" s="1"/>
  <c r="AK468" i="34"/>
  <c r="AL468" i="34" s="1"/>
  <c r="AJ468" i="34"/>
  <c r="T468" i="34" s="1"/>
  <c r="V468" i="34" s="1"/>
  <c r="AK467" i="34"/>
  <c r="AL467" i="34" s="1"/>
  <c r="AJ467" i="34"/>
  <c r="T467" i="34" s="1"/>
  <c r="V467" i="34" s="1"/>
  <c r="AI466" i="34"/>
  <c r="AH466" i="34"/>
  <c r="AG466" i="34"/>
  <c r="AF466" i="34"/>
  <c r="AE466" i="34"/>
  <c r="AD466" i="34"/>
  <c r="AC466" i="34"/>
  <c r="AA466" i="34"/>
  <c r="Z466" i="34"/>
  <c r="Y466" i="34"/>
  <c r="X466" i="34"/>
  <c r="Q466" i="34"/>
  <c r="R474" i="34" s="1"/>
  <c r="P466" i="34"/>
  <c r="AK464" i="34"/>
  <c r="AL464" i="34" s="1"/>
  <c r="AJ464" i="34"/>
  <c r="T464" i="34" s="1"/>
  <c r="V464" i="34" s="1"/>
  <c r="AK463" i="34"/>
  <c r="AL463" i="34" s="1"/>
  <c r="AJ463" i="34"/>
  <c r="T463" i="34" s="1"/>
  <c r="V463" i="34" s="1"/>
  <c r="AK462" i="34"/>
  <c r="AL462" i="34" s="1"/>
  <c r="AJ462" i="34"/>
  <c r="T462" i="34" s="1"/>
  <c r="V462" i="34" s="1"/>
  <c r="AK461" i="34"/>
  <c r="AL461" i="34" s="1"/>
  <c r="AJ461" i="34"/>
  <c r="T461" i="34" s="1"/>
  <c r="V461" i="34" s="1"/>
  <c r="AK460" i="34"/>
  <c r="AL460" i="34" s="1"/>
  <c r="AJ460" i="34"/>
  <c r="T460" i="34" s="1"/>
  <c r="V460" i="34" s="1"/>
  <c r="AK459" i="34"/>
  <c r="AL459" i="34" s="1"/>
  <c r="AJ459" i="34"/>
  <c r="T459" i="34" s="1"/>
  <c r="V459" i="34" s="1"/>
  <c r="AK458" i="34"/>
  <c r="AL458" i="34" s="1"/>
  <c r="AJ458" i="34"/>
  <c r="T458" i="34" s="1"/>
  <c r="V458" i="34" s="1"/>
  <c r="AH457" i="34"/>
  <c r="AG457" i="34"/>
  <c r="AF457" i="34"/>
  <c r="AE457" i="34"/>
  <c r="AD457" i="34"/>
  <c r="AC457" i="34"/>
  <c r="AA457" i="34"/>
  <c r="Z457" i="34"/>
  <c r="Y457" i="34"/>
  <c r="X457" i="34"/>
  <c r="Q457" i="34"/>
  <c r="P457" i="34"/>
  <c r="AK456" i="34"/>
  <c r="AL456" i="34" s="1"/>
  <c r="AJ456" i="34"/>
  <c r="T456" i="34" s="1"/>
  <c r="AK455" i="34"/>
  <c r="AL455" i="34" s="1"/>
  <c r="AJ455" i="34"/>
  <c r="T455" i="34" s="1"/>
  <c r="V455" i="34" s="1"/>
  <c r="AK454" i="34"/>
  <c r="AL454" i="34" s="1"/>
  <c r="AJ454" i="34"/>
  <c r="T454" i="34" s="1"/>
  <c r="V454" i="34" s="1"/>
  <c r="AK453" i="34"/>
  <c r="AL453" i="34" s="1"/>
  <c r="AJ453" i="34"/>
  <c r="T453" i="34" s="1"/>
  <c r="V453" i="34" s="1"/>
  <c r="AK452" i="34"/>
  <c r="AL452" i="34" s="1"/>
  <c r="AJ452" i="34"/>
  <c r="T452" i="34" s="1"/>
  <c r="V452" i="34" s="1"/>
  <c r="AK451" i="34"/>
  <c r="AL451" i="34" s="1"/>
  <c r="AJ451" i="34"/>
  <c r="T451" i="34" s="1"/>
  <c r="V451" i="34" s="1"/>
  <c r="AK450" i="34"/>
  <c r="AL450" i="34" s="1"/>
  <c r="AJ450" i="34"/>
  <c r="T450" i="34" s="1"/>
  <c r="V450" i="34" s="1"/>
  <c r="AK449" i="34"/>
  <c r="AL449" i="34" s="1"/>
  <c r="AJ449" i="34"/>
  <c r="T449" i="34" s="1"/>
  <c r="V449" i="34" s="1"/>
  <c r="AK448" i="34"/>
  <c r="AL448" i="34" s="1"/>
  <c r="AJ448" i="34"/>
  <c r="T448" i="34" s="1"/>
  <c r="V448" i="34" s="1"/>
  <c r="AI447" i="34"/>
  <c r="AH447" i="34"/>
  <c r="AG447" i="34"/>
  <c r="AF447" i="34"/>
  <c r="AE447" i="34"/>
  <c r="AD447" i="34"/>
  <c r="AC447" i="34"/>
  <c r="AA447" i="34"/>
  <c r="Z447" i="34"/>
  <c r="Y447" i="34"/>
  <c r="X447" i="34"/>
  <c r="Q447" i="34"/>
  <c r="R453" i="34" s="1"/>
  <c r="P447" i="34"/>
  <c r="AK446" i="34"/>
  <c r="AL446" i="34" s="1"/>
  <c r="AJ446" i="34"/>
  <c r="T446" i="34" s="1"/>
  <c r="V446" i="34" s="1"/>
  <c r="AK445" i="34"/>
  <c r="AL445" i="34" s="1"/>
  <c r="AJ445" i="34"/>
  <c r="T445" i="34" s="1"/>
  <c r="V445" i="34" s="1"/>
  <c r="AK444" i="34"/>
  <c r="AL444" i="34" s="1"/>
  <c r="AJ444" i="34"/>
  <c r="T444" i="34" s="1"/>
  <c r="V444" i="34" s="1"/>
  <c r="AK443" i="34"/>
  <c r="AL443" i="34" s="1"/>
  <c r="AJ443" i="34"/>
  <c r="T443" i="34" s="1"/>
  <c r="V443" i="34" s="1"/>
  <c r="AK442" i="34"/>
  <c r="AL442" i="34" s="1"/>
  <c r="AJ442" i="34"/>
  <c r="T442" i="34" s="1"/>
  <c r="V442" i="34" s="1"/>
  <c r="AK441" i="34"/>
  <c r="AL441" i="34" s="1"/>
  <c r="AJ441" i="34"/>
  <c r="T441" i="34" s="1"/>
  <c r="V441" i="34" s="1"/>
  <c r="AK440" i="34"/>
  <c r="AL440" i="34" s="1"/>
  <c r="AJ440" i="34"/>
  <c r="T440" i="34" s="1"/>
  <c r="V440" i="34" s="1"/>
  <c r="AK439" i="34"/>
  <c r="AL439" i="34" s="1"/>
  <c r="AJ439" i="34"/>
  <c r="T439" i="34" s="1"/>
  <c r="V439" i="34" s="1"/>
  <c r="AK438" i="34"/>
  <c r="AL438" i="34" s="1"/>
  <c r="AJ438" i="34"/>
  <c r="T438" i="34" s="1"/>
  <c r="V438" i="34" s="1"/>
  <c r="AK437" i="34"/>
  <c r="AL437" i="34" s="1"/>
  <c r="AJ437" i="34"/>
  <c r="T437" i="34" s="1"/>
  <c r="V437" i="34" s="1"/>
  <c r="AI436" i="34"/>
  <c r="AH436" i="34"/>
  <c r="AG436" i="34"/>
  <c r="AF436" i="34"/>
  <c r="AE436" i="34"/>
  <c r="AD436" i="34"/>
  <c r="AC436" i="34"/>
  <c r="AA436" i="34"/>
  <c r="Z436" i="34"/>
  <c r="Y436" i="34"/>
  <c r="X436" i="34"/>
  <c r="Q436" i="34"/>
  <c r="P436" i="34"/>
  <c r="AK435" i="34"/>
  <c r="AL435" i="34" s="1"/>
  <c r="AJ435" i="34"/>
  <c r="T435" i="34" s="1"/>
  <c r="AK434" i="34"/>
  <c r="AL434" i="34" s="1"/>
  <c r="AJ434" i="34"/>
  <c r="T434" i="34" s="1"/>
  <c r="V434" i="34" s="1"/>
  <c r="AK433" i="34"/>
  <c r="AL433" i="34" s="1"/>
  <c r="AJ433" i="34"/>
  <c r="T433" i="34" s="1"/>
  <c r="V433" i="34" s="1"/>
  <c r="AK432" i="34"/>
  <c r="AL432" i="34" s="1"/>
  <c r="AJ432" i="34"/>
  <c r="T432" i="34" s="1"/>
  <c r="V432" i="34" s="1"/>
  <c r="AK431" i="34"/>
  <c r="AL431" i="34" s="1"/>
  <c r="AJ431" i="34"/>
  <c r="T431" i="34" s="1"/>
  <c r="V431" i="34" s="1"/>
  <c r="AK430" i="34"/>
  <c r="AL430" i="34" s="1"/>
  <c r="AJ430" i="34"/>
  <c r="T430" i="34" s="1"/>
  <c r="V430" i="34" s="1"/>
  <c r="AK429" i="34"/>
  <c r="AL429" i="34" s="1"/>
  <c r="AJ429" i="34"/>
  <c r="T429" i="34" s="1"/>
  <c r="V429" i="34" s="1"/>
  <c r="AK428" i="34"/>
  <c r="AL428" i="34" s="1"/>
  <c r="AJ428" i="34"/>
  <c r="T428" i="34" s="1"/>
  <c r="V428" i="34" s="1"/>
  <c r="AK427" i="34"/>
  <c r="AL427" i="34" s="1"/>
  <c r="AJ427" i="34"/>
  <c r="T427" i="34" s="1"/>
  <c r="V427" i="34" s="1"/>
  <c r="AK426" i="34"/>
  <c r="AL426" i="34" s="1"/>
  <c r="AJ426" i="34"/>
  <c r="T426" i="34" s="1"/>
  <c r="V426" i="34" s="1"/>
  <c r="AI425" i="34"/>
  <c r="AH425" i="34"/>
  <c r="AG425" i="34"/>
  <c r="AF425" i="34"/>
  <c r="AE425" i="34"/>
  <c r="AD425" i="34"/>
  <c r="AC425" i="34"/>
  <c r="AA425" i="34"/>
  <c r="Z425" i="34"/>
  <c r="Y425" i="34"/>
  <c r="X425" i="34"/>
  <c r="Q425" i="34"/>
  <c r="R429" i="34" s="1"/>
  <c r="P425" i="34"/>
  <c r="A425" i="34"/>
  <c r="A436" i="34" s="1"/>
  <c r="A447" i="34" s="1"/>
  <c r="A457" i="34" s="1"/>
  <c r="A466" i="34" s="1"/>
  <c r="AK424" i="34"/>
  <c r="AL424" i="34" s="1"/>
  <c r="AJ424" i="34"/>
  <c r="T424" i="34" s="1"/>
  <c r="V424" i="34" s="1"/>
  <c r="AI423" i="34"/>
  <c r="AK423" i="34" s="1"/>
  <c r="AL423" i="34" s="1"/>
  <c r="AH422" i="34"/>
  <c r="AG422" i="34"/>
  <c r="AF422" i="34"/>
  <c r="AE422" i="34"/>
  <c r="AD422" i="34"/>
  <c r="AC422" i="34"/>
  <c r="AA422" i="34"/>
  <c r="Z422" i="34"/>
  <c r="Y422" i="34"/>
  <c r="X422" i="34"/>
  <c r="Q422" i="34"/>
  <c r="P422" i="34"/>
  <c r="AK421" i="34"/>
  <c r="AL421" i="34" s="1"/>
  <c r="AJ421" i="34"/>
  <c r="T421" i="34" s="1"/>
  <c r="AK420" i="34"/>
  <c r="AL420" i="34" s="1"/>
  <c r="AJ420" i="34"/>
  <c r="T420" i="34" s="1"/>
  <c r="V420" i="34" s="1"/>
  <c r="AK419" i="34"/>
  <c r="AL419" i="34" s="1"/>
  <c r="AJ419" i="34"/>
  <c r="T419" i="34" s="1"/>
  <c r="V419" i="34" s="1"/>
  <c r="AK418" i="34"/>
  <c r="AL418" i="34" s="1"/>
  <c r="AJ418" i="34"/>
  <c r="T418" i="34" s="1"/>
  <c r="V418" i="34" s="1"/>
  <c r="AK417" i="34"/>
  <c r="AL417" i="34" s="1"/>
  <c r="AJ417" i="34"/>
  <c r="T417" i="34" s="1"/>
  <c r="V417" i="34" s="1"/>
  <c r="AK416" i="34"/>
  <c r="AL416" i="34" s="1"/>
  <c r="AJ416" i="34"/>
  <c r="T416" i="34" s="1"/>
  <c r="V416" i="34" s="1"/>
  <c r="AK415" i="34"/>
  <c r="AL415" i="34" s="1"/>
  <c r="AJ415" i="34"/>
  <c r="T415" i="34" s="1"/>
  <c r="V415" i="34" s="1"/>
  <c r="AK414" i="34"/>
  <c r="AL414" i="34" s="1"/>
  <c r="AJ414" i="34"/>
  <c r="T414" i="34" s="1"/>
  <c r="V414" i="34" s="1"/>
  <c r="AK413" i="34"/>
  <c r="AL413" i="34" s="1"/>
  <c r="AJ413" i="34"/>
  <c r="T413" i="34" s="1"/>
  <c r="V413" i="34" s="1"/>
  <c r="AK412" i="34"/>
  <c r="AL412" i="34" s="1"/>
  <c r="AJ412" i="34"/>
  <c r="T412" i="34" s="1"/>
  <c r="V412" i="34" s="1"/>
  <c r="AK411" i="34"/>
  <c r="AL411" i="34" s="1"/>
  <c r="AJ411" i="34"/>
  <c r="T411" i="34" s="1"/>
  <c r="V411" i="34" s="1"/>
  <c r="AK410" i="34"/>
  <c r="AL410" i="34" s="1"/>
  <c r="AJ410" i="34"/>
  <c r="T410" i="34" s="1"/>
  <c r="V410" i="34" s="1"/>
  <c r="AK409" i="34"/>
  <c r="AL409" i="34" s="1"/>
  <c r="AJ409" i="34"/>
  <c r="T409" i="34" s="1"/>
  <c r="V409" i="34" s="1"/>
  <c r="AI408" i="34"/>
  <c r="AH408" i="34"/>
  <c r="AG408" i="34"/>
  <c r="AF408" i="34"/>
  <c r="AE408" i="34"/>
  <c r="AD408" i="34"/>
  <c r="AC408" i="34"/>
  <c r="AA408" i="34"/>
  <c r="Z408" i="34"/>
  <c r="Y408" i="34"/>
  <c r="X408" i="34"/>
  <c r="Q408" i="34"/>
  <c r="R414" i="34" s="1"/>
  <c r="P408" i="34"/>
  <c r="AK407" i="34"/>
  <c r="AL407" i="34" s="1"/>
  <c r="AJ407" i="34"/>
  <c r="T407" i="34" s="1"/>
  <c r="V407" i="34" s="1"/>
  <c r="AK406" i="34"/>
  <c r="AL406" i="34" s="1"/>
  <c r="AJ406" i="34"/>
  <c r="T406" i="34" s="1"/>
  <c r="V406" i="34" s="1"/>
  <c r="AK405" i="34"/>
  <c r="AL405" i="34" s="1"/>
  <c r="AJ405" i="34"/>
  <c r="T405" i="34" s="1"/>
  <c r="V405" i="34" s="1"/>
  <c r="AK404" i="34"/>
  <c r="AL404" i="34" s="1"/>
  <c r="AJ404" i="34"/>
  <c r="T404" i="34" s="1"/>
  <c r="V404" i="34" s="1"/>
  <c r="AK403" i="34"/>
  <c r="AL403" i="34" s="1"/>
  <c r="AJ403" i="34"/>
  <c r="T403" i="34" s="1"/>
  <c r="V403" i="34" s="1"/>
  <c r="AK402" i="34"/>
  <c r="AL402" i="34" s="1"/>
  <c r="AJ402" i="34"/>
  <c r="T402" i="34" s="1"/>
  <c r="AK401" i="34"/>
  <c r="AL401" i="34" s="1"/>
  <c r="AJ401" i="34"/>
  <c r="T401" i="34" s="1"/>
  <c r="V401" i="34" s="1"/>
  <c r="AI400" i="34"/>
  <c r="AH400" i="34"/>
  <c r="AG400" i="34"/>
  <c r="AF400" i="34"/>
  <c r="AE400" i="34"/>
  <c r="AD400" i="34"/>
  <c r="AC400" i="34"/>
  <c r="AA400" i="34"/>
  <c r="Z400" i="34"/>
  <c r="Y400" i="34"/>
  <c r="X400" i="34"/>
  <c r="Q400" i="34"/>
  <c r="R407" i="34" s="1"/>
  <c r="P400" i="34"/>
  <c r="AK399" i="34"/>
  <c r="AL399" i="34" s="1"/>
  <c r="AJ399" i="34"/>
  <c r="T399" i="34" s="1"/>
  <c r="AK398" i="34"/>
  <c r="AL398" i="34" s="1"/>
  <c r="AJ398" i="34"/>
  <c r="T398" i="34" s="1"/>
  <c r="V398" i="34" s="1"/>
  <c r="AK397" i="34"/>
  <c r="AL397" i="34" s="1"/>
  <c r="AJ397" i="34"/>
  <c r="T397" i="34" s="1"/>
  <c r="V397" i="34" s="1"/>
  <c r="AK396" i="34"/>
  <c r="AL396" i="34" s="1"/>
  <c r="AJ396" i="34"/>
  <c r="T396" i="34" s="1"/>
  <c r="V396" i="34" s="1"/>
  <c r="AK395" i="34"/>
  <c r="AL395" i="34" s="1"/>
  <c r="AJ395" i="34"/>
  <c r="T395" i="34" s="1"/>
  <c r="V395" i="34" s="1"/>
  <c r="AK394" i="34"/>
  <c r="AL394" i="34" s="1"/>
  <c r="AJ394" i="34"/>
  <c r="T394" i="34" s="1"/>
  <c r="V394" i="34" s="1"/>
  <c r="AK393" i="34"/>
  <c r="AL393" i="34" s="1"/>
  <c r="AJ393" i="34"/>
  <c r="T393" i="34" s="1"/>
  <c r="V393" i="34" s="1"/>
  <c r="AK392" i="34"/>
  <c r="AL392" i="34" s="1"/>
  <c r="AJ392" i="34"/>
  <c r="T392" i="34" s="1"/>
  <c r="V392" i="34" s="1"/>
  <c r="AK391" i="34"/>
  <c r="AL391" i="34" s="1"/>
  <c r="AJ391" i="34"/>
  <c r="T391" i="34" s="1"/>
  <c r="V391" i="34" s="1"/>
  <c r="AK390" i="34"/>
  <c r="AL390" i="34" s="1"/>
  <c r="AJ390" i="34"/>
  <c r="T390" i="34" s="1"/>
  <c r="V390" i="34" s="1"/>
  <c r="AK389" i="34"/>
  <c r="AL389" i="34" s="1"/>
  <c r="AJ389" i="34"/>
  <c r="T389" i="34" s="1"/>
  <c r="V389" i="34" s="1"/>
  <c r="AK388" i="34"/>
  <c r="AL388" i="34" s="1"/>
  <c r="AJ388" i="34"/>
  <c r="T388" i="34" s="1"/>
  <c r="V388" i="34" s="1"/>
  <c r="AI387" i="34"/>
  <c r="AH387" i="34"/>
  <c r="AG387" i="34"/>
  <c r="AF387" i="34"/>
  <c r="AE387" i="34"/>
  <c r="AD387" i="34"/>
  <c r="AC387" i="34"/>
  <c r="AA387" i="34"/>
  <c r="Z387" i="34"/>
  <c r="Y387" i="34"/>
  <c r="X387" i="34"/>
  <c r="Q387" i="34"/>
  <c r="R391" i="34" s="1"/>
  <c r="P387" i="34"/>
  <c r="AK386" i="34"/>
  <c r="AL386" i="34" s="1"/>
  <c r="AJ386" i="34"/>
  <c r="T386" i="34" s="1"/>
  <c r="V386" i="34" s="1"/>
  <c r="AK385" i="34"/>
  <c r="AL385" i="34" s="1"/>
  <c r="AJ385" i="34"/>
  <c r="T385" i="34" s="1"/>
  <c r="V385" i="34" s="1"/>
  <c r="AK384" i="34"/>
  <c r="AL384" i="34" s="1"/>
  <c r="AJ384" i="34"/>
  <c r="T384" i="34" s="1"/>
  <c r="V384" i="34" s="1"/>
  <c r="AK383" i="34"/>
  <c r="AL383" i="34" s="1"/>
  <c r="AJ383" i="34"/>
  <c r="T383" i="34" s="1"/>
  <c r="V383" i="34" s="1"/>
  <c r="AK382" i="34"/>
  <c r="AL382" i="34" s="1"/>
  <c r="AJ382" i="34"/>
  <c r="T382" i="34" s="1"/>
  <c r="V382" i="34" s="1"/>
  <c r="AK381" i="34"/>
  <c r="AL381" i="34" s="1"/>
  <c r="AJ381" i="34"/>
  <c r="T381" i="34" s="1"/>
  <c r="V381" i="34" s="1"/>
  <c r="AK380" i="34"/>
  <c r="AL380" i="34" s="1"/>
  <c r="AJ380" i="34"/>
  <c r="T380" i="34" s="1"/>
  <c r="V380" i="34" s="1"/>
  <c r="AK379" i="34"/>
  <c r="AL379" i="34" s="1"/>
  <c r="AJ379" i="34"/>
  <c r="T379" i="34" s="1"/>
  <c r="V379" i="34" s="1"/>
  <c r="AK378" i="34"/>
  <c r="AL378" i="34" s="1"/>
  <c r="AJ378" i="34"/>
  <c r="T378" i="34" s="1"/>
  <c r="V378" i="34" s="1"/>
  <c r="AI377" i="34"/>
  <c r="AH377" i="34"/>
  <c r="AG377" i="34"/>
  <c r="AF377" i="34"/>
  <c r="AE377" i="34"/>
  <c r="AD377" i="34"/>
  <c r="AC377" i="34"/>
  <c r="AA377" i="34"/>
  <c r="Z377" i="34"/>
  <c r="Y377" i="34"/>
  <c r="X377" i="34"/>
  <c r="Q377" i="34"/>
  <c r="R381" i="34" s="1"/>
  <c r="P377" i="34"/>
  <c r="AJ376" i="34"/>
  <c r="T376" i="34" s="1"/>
  <c r="V376" i="34" s="1"/>
  <c r="AK375" i="34"/>
  <c r="AL375" i="34" s="1"/>
  <c r="AJ375" i="34"/>
  <c r="T375" i="34" s="1"/>
  <c r="V375" i="34" s="1"/>
  <c r="AK374" i="34"/>
  <c r="AL374" i="34" s="1"/>
  <c r="AJ374" i="34"/>
  <c r="T374" i="34" s="1"/>
  <c r="V374" i="34" s="1"/>
  <c r="AK373" i="34"/>
  <c r="AL373" i="34" s="1"/>
  <c r="AJ373" i="34"/>
  <c r="T373" i="34" s="1"/>
  <c r="V373" i="34" s="1"/>
  <c r="AI372" i="34"/>
  <c r="AK372" i="34" s="1"/>
  <c r="AL372" i="34" s="1"/>
  <c r="AK371" i="34"/>
  <c r="AL371" i="34" s="1"/>
  <c r="AJ371" i="34"/>
  <c r="T371" i="34" s="1"/>
  <c r="V371" i="34" s="1"/>
  <c r="AK370" i="34"/>
  <c r="AL370" i="34" s="1"/>
  <c r="AJ370" i="34"/>
  <c r="T370" i="34" s="1"/>
  <c r="V370" i="34" s="1"/>
  <c r="AK369" i="34"/>
  <c r="AL369" i="34" s="1"/>
  <c r="AJ369" i="34"/>
  <c r="T369" i="34" s="1"/>
  <c r="V369" i="34" s="1"/>
  <c r="AK368" i="34"/>
  <c r="AL368" i="34" s="1"/>
  <c r="AJ368" i="34"/>
  <c r="T368" i="34" s="1"/>
  <c r="V368" i="34" s="1"/>
  <c r="AI367" i="34"/>
  <c r="AJ367" i="34" s="1"/>
  <c r="T367" i="34" s="1"/>
  <c r="V367" i="34" s="1"/>
  <c r="AK366" i="34"/>
  <c r="AL366" i="34" s="1"/>
  <c r="AJ366" i="34"/>
  <c r="T366" i="34" s="1"/>
  <c r="V366" i="34" s="1"/>
  <c r="AK365" i="34"/>
  <c r="AL365" i="34" s="1"/>
  <c r="AJ365" i="34"/>
  <c r="T365" i="34" s="1"/>
  <c r="V365" i="34" s="1"/>
  <c r="AH364" i="34"/>
  <c r="AG364" i="34"/>
  <c r="AF364" i="34"/>
  <c r="AE364" i="34"/>
  <c r="AD364" i="34"/>
  <c r="AC364" i="34"/>
  <c r="AA364" i="34"/>
  <c r="Z364" i="34"/>
  <c r="Y364" i="34"/>
  <c r="X364" i="34"/>
  <c r="Q364" i="34"/>
  <c r="R376" i="34" s="1"/>
  <c r="P364" i="34"/>
  <c r="A364" i="34"/>
  <c r="A377" i="34" s="1"/>
  <c r="A387" i="34" s="1"/>
  <c r="A400" i="34" s="1"/>
  <c r="A408" i="34" s="1"/>
  <c r="AJ363" i="34"/>
  <c r="T363" i="34" s="1"/>
  <c r="V363" i="34" s="1"/>
  <c r="AK362" i="34"/>
  <c r="AL362" i="34" s="1"/>
  <c r="AJ362" i="34"/>
  <c r="T362" i="34" s="1"/>
  <c r="V362" i="34" s="1"/>
  <c r="AK361" i="34"/>
  <c r="AL361" i="34" s="1"/>
  <c r="AJ361" i="34"/>
  <c r="T361" i="34" s="1"/>
  <c r="V361" i="34" s="1"/>
  <c r="AK360" i="34"/>
  <c r="AL360" i="34" s="1"/>
  <c r="AJ360" i="34"/>
  <c r="T360" i="34" s="1"/>
  <c r="V360" i="34" s="1"/>
  <c r="AK359" i="34"/>
  <c r="AL359" i="34" s="1"/>
  <c r="AJ359" i="34"/>
  <c r="T359" i="34" s="1"/>
  <c r="V359" i="34" s="1"/>
  <c r="AK358" i="34"/>
  <c r="AL358" i="34" s="1"/>
  <c r="AJ358" i="34"/>
  <c r="T358" i="34" s="1"/>
  <c r="V358" i="34" s="1"/>
  <c r="AK357" i="34"/>
  <c r="AL357" i="34" s="1"/>
  <c r="AJ357" i="34"/>
  <c r="T357" i="34" s="1"/>
  <c r="V357" i="34" s="1"/>
  <c r="AH356" i="34"/>
  <c r="AG356" i="34"/>
  <c r="AF356" i="34"/>
  <c r="AE356" i="34"/>
  <c r="AD356" i="34"/>
  <c r="AC356" i="34"/>
  <c r="AA356" i="34"/>
  <c r="Z356" i="34"/>
  <c r="Y356" i="34"/>
  <c r="X356" i="34"/>
  <c r="Q356" i="34"/>
  <c r="R361" i="34" s="1"/>
  <c r="P356" i="34"/>
  <c r="AK355" i="34"/>
  <c r="AL355" i="34" s="1"/>
  <c r="AJ355" i="34"/>
  <c r="T355" i="34" s="1"/>
  <c r="V355" i="34" s="1"/>
  <c r="AK354" i="34"/>
  <c r="AL354" i="34" s="1"/>
  <c r="AJ354" i="34"/>
  <c r="T354" i="34" s="1"/>
  <c r="V354" i="34" s="1"/>
  <c r="AK353" i="34"/>
  <c r="AL353" i="34" s="1"/>
  <c r="AJ353" i="34"/>
  <c r="T353" i="34" s="1"/>
  <c r="V353" i="34" s="1"/>
  <c r="AK352" i="34"/>
  <c r="AL352" i="34" s="1"/>
  <c r="AJ352" i="34"/>
  <c r="T352" i="34" s="1"/>
  <c r="V352" i="34" s="1"/>
  <c r="AK351" i="34"/>
  <c r="AL351" i="34" s="1"/>
  <c r="AJ351" i="34"/>
  <c r="T351" i="34" s="1"/>
  <c r="V351" i="34" s="1"/>
  <c r="AI350" i="34"/>
  <c r="AH350" i="34"/>
  <c r="AG350" i="34"/>
  <c r="AF350" i="34"/>
  <c r="AE350" i="34"/>
  <c r="AD350" i="34"/>
  <c r="AC350" i="34"/>
  <c r="AA350" i="34"/>
  <c r="Z350" i="34"/>
  <c r="Y350" i="34"/>
  <c r="X350" i="34"/>
  <c r="Q350" i="34"/>
  <c r="R352" i="34" s="1"/>
  <c r="P350" i="34"/>
  <c r="AK349" i="34"/>
  <c r="AL349" i="34" s="1"/>
  <c r="AJ349" i="34"/>
  <c r="T349" i="34" s="1"/>
  <c r="AK348" i="34"/>
  <c r="AL348" i="34" s="1"/>
  <c r="AJ348" i="34"/>
  <c r="T348" i="34" s="1"/>
  <c r="AK347" i="34"/>
  <c r="AL347" i="34" s="1"/>
  <c r="AJ347" i="34"/>
  <c r="T347" i="34" s="1"/>
  <c r="V347" i="34" s="1"/>
  <c r="AK346" i="34"/>
  <c r="AL346" i="34" s="1"/>
  <c r="AJ346" i="34"/>
  <c r="T346" i="34" s="1"/>
  <c r="V346" i="34" s="1"/>
  <c r="AK345" i="34"/>
  <c r="AL345" i="34" s="1"/>
  <c r="AJ345" i="34"/>
  <c r="T345" i="34" s="1"/>
  <c r="V345" i="34" s="1"/>
  <c r="AK344" i="34"/>
  <c r="AL344" i="34" s="1"/>
  <c r="AJ344" i="34"/>
  <c r="T344" i="34" s="1"/>
  <c r="V344" i="34" s="1"/>
  <c r="AK343" i="34"/>
  <c r="AL343" i="34" s="1"/>
  <c r="AJ343" i="34"/>
  <c r="T343" i="34" s="1"/>
  <c r="V343" i="34" s="1"/>
  <c r="AK342" i="34"/>
  <c r="AL342" i="34" s="1"/>
  <c r="AJ342" i="34"/>
  <c r="T342" i="34" s="1"/>
  <c r="V342" i="34" s="1"/>
  <c r="AK341" i="34"/>
  <c r="AL341" i="34" s="1"/>
  <c r="AK340" i="34"/>
  <c r="AL340" i="34" s="1"/>
  <c r="AJ340" i="34"/>
  <c r="T340" i="34" s="1"/>
  <c r="V340" i="34" s="1"/>
  <c r="AH339" i="34"/>
  <c r="AG339" i="34"/>
  <c r="AF339" i="34"/>
  <c r="AE339" i="34"/>
  <c r="AD339" i="34"/>
  <c r="AC339" i="34"/>
  <c r="AA339" i="34"/>
  <c r="Z339" i="34"/>
  <c r="Y339" i="34"/>
  <c r="X339" i="34"/>
  <c r="Q339" i="34"/>
  <c r="R344" i="34" s="1"/>
  <c r="P339" i="34"/>
  <c r="AK338" i="34"/>
  <c r="AL338" i="34" s="1"/>
  <c r="AJ338" i="34"/>
  <c r="T338" i="34" s="1"/>
  <c r="V338" i="34" s="1"/>
  <c r="AK337" i="34"/>
  <c r="AL337" i="34" s="1"/>
  <c r="AJ337" i="34"/>
  <c r="T337" i="34" s="1"/>
  <c r="V337" i="34" s="1"/>
  <c r="AK336" i="34"/>
  <c r="AL336" i="34" s="1"/>
  <c r="AJ336" i="34"/>
  <c r="T336" i="34" s="1"/>
  <c r="V336" i="34" s="1"/>
  <c r="AK335" i="34"/>
  <c r="AL335" i="34" s="1"/>
  <c r="AJ335" i="34"/>
  <c r="T335" i="34" s="1"/>
  <c r="V335" i="34" s="1"/>
  <c r="AK334" i="34"/>
  <c r="AL334" i="34" s="1"/>
  <c r="AJ334" i="34"/>
  <c r="T334" i="34" s="1"/>
  <c r="V334" i="34" s="1"/>
  <c r="AK333" i="34"/>
  <c r="AL333" i="34" s="1"/>
  <c r="AJ333" i="34"/>
  <c r="T333" i="34" s="1"/>
  <c r="V333" i="34" s="1"/>
  <c r="AI332" i="34"/>
  <c r="AH332" i="34"/>
  <c r="AG332" i="34"/>
  <c r="AF332" i="34"/>
  <c r="AE332" i="34"/>
  <c r="AD332" i="34"/>
  <c r="AC332" i="34"/>
  <c r="AA332" i="34"/>
  <c r="Z332" i="34"/>
  <c r="Y332" i="34"/>
  <c r="X332" i="34"/>
  <c r="Q332" i="34"/>
  <c r="R336" i="34" s="1"/>
  <c r="AK331" i="34"/>
  <c r="AL331" i="34" s="1"/>
  <c r="AJ331" i="34"/>
  <c r="T331" i="34" s="1"/>
  <c r="V331" i="34" s="1"/>
  <c r="AK330" i="34"/>
  <c r="AL330" i="34" s="1"/>
  <c r="AJ330" i="34"/>
  <c r="T330" i="34" s="1"/>
  <c r="V330" i="34" s="1"/>
  <c r="AK329" i="34"/>
  <c r="AL329" i="34" s="1"/>
  <c r="AJ329" i="34"/>
  <c r="T329" i="34" s="1"/>
  <c r="V329" i="34" s="1"/>
  <c r="AK328" i="34"/>
  <c r="AL328" i="34" s="1"/>
  <c r="AJ328" i="34"/>
  <c r="T328" i="34" s="1"/>
  <c r="V328" i="34" s="1"/>
  <c r="AK327" i="34"/>
  <c r="AL327" i="34" s="1"/>
  <c r="AJ327" i="34"/>
  <c r="T327" i="34" s="1"/>
  <c r="V327" i="34" s="1"/>
  <c r="AK326" i="34"/>
  <c r="AL326" i="34" s="1"/>
  <c r="AJ326" i="34"/>
  <c r="T326" i="34" s="1"/>
  <c r="V326" i="34" s="1"/>
  <c r="AI325" i="34"/>
  <c r="AH325" i="34"/>
  <c r="AG325" i="34"/>
  <c r="AF325" i="34"/>
  <c r="AE325" i="34"/>
  <c r="AD325" i="34"/>
  <c r="AC325" i="34"/>
  <c r="AA325" i="34"/>
  <c r="Z325" i="34"/>
  <c r="Y325" i="34"/>
  <c r="X325" i="34"/>
  <c r="Q325" i="34"/>
  <c r="R331" i="34" s="1"/>
  <c r="P325" i="34"/>
  <c r="AK324" i="34"/>
  <c r="AL324" i="34" s="1"/>
  <c r="AJ324" i="34"/>
  <c r="T324" i="34" s="1"/>
  <c r="V324" i="34" s="1"/>
  <c r="AK323" i="34"/>
  <c r="AL323" i="34" s="1"/>
  <c r="AJ323" i="34"/>
  <c r="T323" i="34" s="1"/>
  <c r="V323" i="34" s="1"/>
  <c r="AK322" i="34"/>
  <c r="AL322" i="34" s="1"/>
  <c r="AJ322" i="34"/>
  <c r="T322" i="34" s="1"/>
  <c r="V322" i="34" s="1"/>
  <c r="AK321" i="34"/>
  <c r="AL321" i="34" s="1"/>
  <c r="AJ321" i="34"/>
  <c r="T321" i="34" s="1"/>
  <c r="V321" i="34" s="1"/>
  <c r="AK320" i="34"/>
  <c r="AL320" i="34" s="1"/>
  <c r="AJ320" i="34"/>
  <c r="T320" i="34" s="1"/>
  <c r="V320" i="34" s="1"/>
  <c r="AK319" i="34"/>
  <c r="AL319" i="34" s="1"/>
  <c r="AJ319" i="34"/>
  <c r="T319" i="34" s="1"/>
  <c r="V319" i="34" s="1"/>
  <c r="AK318" i="34"/>
  <c r="AL318" i="34" s="1"/>
  <c r="AJ318" i="34"/>
  <c r="T318" i="34" s="1"/>
  <c r="V318" i="34" s="1"/>
  <c r="AI317" i="34"/>
  <c r="AH317" i="34"/>
  <c r="AG317" i="34"/>
  <c r="AF317" i="34"/>
  <c r="AE317" i="34"/>
  <c r="AD317" i="34"/>
  <c r="AC317" i="34"/>
  <c r="AA317" i="34"/>
  <c r="Z317" i="34"/>
  <c r="Y317" i="34"/>
  <c r="X317" i="34"/>
  <c r="Q317" i="34"/>
  <c r="R319" i="34" s="1"/>
  <c r="P317" i="34"/>
  <c r="AK316" i="34"/>
  <c r="AL316" i="34" s="1"/>
  <c r="AJ316" i="34"/>
  <c r="T316" i="34" s="1"/>
  <c r="V316" i="34" s="1"/>
  <c r="AK315" i="34"/>
  <c r="AL315" i="34" s="1"/>
  <c r="AJ315" i="34"/>
  <c r="T315" i="34" s="1"/>
  <c r="V315" i="34" s="1"/>
  <c r="AK314" i="34"/>
  <c r="AL314" i="34" s="1"/>
  <c r="AJ314" i="34"/>
  <c r="T314" i="34" s="1"/>
  <c r="V314" i="34" s="1"/>
  <c r="AK313" i="34"/>
  <c r="AL313" i="34" s="1"/>
  <c r="AJ313" i="34"/>
  <c r="T313" i="34" s="1"/>
  <c r="V313" i="34" s="1"/>
  <c r="AK312" i="34"/>
  <c r="AL312" i="34" s="1"/>
  <c r="AJ312" i="34"/>
  <c r="T312" i="34" s="1"/>
  <c r="V312" i="34" s="1"/>
  <c r="AK311" i="34"/>
  <c r="AL311" i="34" s="1"/>
  <c r="AJ311" i="34"/>
  <c r="T311" i="34" s="1"/>
  <c r="AK310" i="34"/>
  <c r="AL310" i="34" s="1"/>
  <c r="AJ310" i="34"/>
  <c r="T310" i="34" s="1"/>
  <c r="V310" i="34" s="1"/>
  <c r="AI309" i="34"/>
  <c r="AH309" i="34"/>
  <c r="AG309" i="34"/>
  <c r="AF309" i="34"/>
  <c r="AE309" i="34"/>
  <c r="AD309" i="34"/>
  <c r="AC309" i="34"/>
  <c r="AA309" i="34"/>
  <c r="Z309" i="34"/>
  <c r="Y309" i="34"/>
  <c r="X309" i="34"/>
  <c r="Q309" i="34"/>
  <c r="R311" i="34" s="1"/>
  <c r="P309" i="34"/>
  <c r="AK308" i="34"/>
  <c r="AL308" i="34" s="1"/>
  <c r="AJ308" i="34"/>
  <c r="T308" i="34" s="1"/>
  <c r="V308" i="34" s="1"/>
  <c r="AK307" i="34"/>
  <c r="AL307" i="34" s="1"/>
  <c r="AJ307" i="34"/>
  <c r="T307" i="34" s="1"/>
  <c r="V307" i="34" s="1"/>
  <c r="AK306" i="34"/>
  <c r="AL306" i="34" s="1"/>
  <c r="AJ306" i="34"/>
  <c r="T306" i="34" s="1"/>
  <c r="V306" i="34" s="1"/>
  <c r="AK305" i="34"/>
  <c r="AL305" i="34" s="1"/>
  <c r="AJ305" i="34"/>
  <c r="T305" i="34" s="1"/>
  <c r="AK304" i="34"/>
  <c r="AL304" i="34" s="1"/>
  <c r="AJ304" i="34"/>
  <c r="T304" i="34" s="1"/>
  <c r="V304" i="34" s="1"/>
  <c r="AK303" i="34"/>
  <c r="AL303" i="34" s="1"/>
  <c r="AJ303" i="34"/>
  <c r="T303" i="34" s="1"/>
  <c r="V303" i="34" s="1"/>
  <c r="AK302" i="34"/>
  <c r="AL302" i="34" s="1"/>
  <c r="AJ302" i="34"/>
  <c r="T302" i="34" s="1"/>
  <c r="V302" i="34" s="1"/>
  <c r="AK301" i="34"/>
  <c r="AL301" i="34" s="1"/>
  <c r="AJ301" i="34"/>
  <c r="T301" i="34" s="1"/>
  <c r="V301" i="34" s="1"/>
  <c r="AK300" i="34"/>
  <c r="AL300" i="34" s="1"/>
  <c r="AJ300" i="34"/>
  <c r="T300" i="34" s="1"/>
  <c r="V300" i="34" s="1"/>
  <c r="AK299" i="34"/>
  <c r="AL299" i="34" s="1"/>
  <c r="AJ299" i="34"/>
  <c r="T299" i="34" s="1"/>
  <c r="V299" i="34" s="1"/>
  <c r="AK298" i="34"/>
  <c r="AL298" i="34" s="1"/>
  <c r="AJ298" i="34"/>
  <c r="T298" i="34" s="1"/>
  <c r="V298" i="34" s="1"/>
  <c r="AI297" i="34"/>
  <c r="AH297" i="34"/>
  <c r="AG297" i="34"/>
  <c r="AF297" i="34"/>
  <c r="AE297" i="34"/>
  <c r="AD297" i="34"/>
  <c r="AC297" i="34"/>
  <c r="AA297" i="34"/>
  <c r="Z297" i="34"/>
  <c r="Y297" i="34"/>
  <c r="X297" i="34"/>
  <c r="Q297" i="34"/>
  <c r="R305" i="34" s="1"/>
  <c r="P297" i="34"/>
  <c r="AK296" i="34"/>
  <c r="AL296" i="34" s="1"/>
  <c r="AJ296" i="34"/>
  <c r="T296" i="34" s="1"/>
  <c r="V296" i="34" s="1"/>
  <c r="AK295" i="34"/>
  <c r="AL295" i="34" s="1"/>
  <c r="AJ295" i="34"/>
  <c r="T295" i="34" s="1"/>
  <c r="V295" i="34" s="1"/>
  <c r="AK294" i="34"/>
  <c r="AL294" i="34" s="1"/>
  <c r="AJ294" i="34"/>
  <c r="T294" i="34" s="1"/>
  <c r="V294" i="34" s="1"/>
  <c r="AK293" i="34"/>
  <c r="AL293" i="34" s="1"/>
  <c r="AJ293" i="34"/>
  <c r="T293" i="34" s="1"/>
  <c r="V293" i="34" s="1"/>
  <c r="AK292" i="34"/>
  <c r="AL292" i="34" s="1"/>
  <c r="AJ292" i="34"/>
  <c r="T292" i="34" s="1"/>
  <c r="V292" i="34" s="1"/>
  <c r="AK291" i="34"/>
  <c r="AL291" i="34" s="1"/>
  <c r="AJ291" i="34"/>
  <c r="T291" i="34" s="1"/>
  <c r="V291" i="34" s="1"/>
  <c r="AK290" i="34"/>
  <c r="AL290" i="34" s="1"/>
  <c r="AJ290" i="34"/>
  <c r="T290" i="34" s="1"/>
  <c r="V290" i="34" s="1"/>
  <c r="AK289" i="34"/>
  <c r="AL289" i="34" s="1"/>
  <c r="AJ289" i="34"/>
  <c r="T289" i="34" s="1"/>
  <c r="V289" i="34" s="1"/>
  <c r="AK288" i="34"/>
  <c r="AL288" i="34" s="1"/>
  <c r="AJ288" i="34"/>
  <c r="T288" i="34" s="1"/>
  <c r="V288" i="34" s="1"/>
  <c r="AI287" i="34"/>
  <c r="AH287" i="34"/>
  <c r="AF287" i="34"/>
  <c r="AE287" i="34"/>
  <c r="AD287" i="34"/>
  <c r="AC287" i="34"/>
  <c r="AA287" i="34"/>
  <c r="Z287" i="34"/>
  <c r="Y287" i="34"/>
  <c r="X287" i="34"/>
  <c r="Q287" i="34"/>
  <c r="P287" i="34"/>
  <c r="AK286" i="34"/>
  <c r="AL286" i="34" s="1"/>
  <c r="AJ286" i="34"/>
  <c r="T286" i="34" s="1"/>
  <c r="V286" i="34" s="1"/>
  <c r="AK285" i="34"/>
  <c r="AL285" i="34" s="1"/>
  <c r="AJ285" i="34"/>
  <c r="T285" i="34" s="1"/>
  <c r="AK284" i="34"/>
  <c r="AL284" i="34" s="1"/>
  <c r="AJ284" i="34"/>
  <c r="T284" i="34" s="1"/>
  <c r="V284" i="34" s="1"/>
  <c r="AK283" i="34"/>
  <c r="AL283" i="34" s="1"/>
  <c r="AJ283" i="34"/>
  <c r="T283" i="34" s="1"/>
  <c r="V283" i="34" s="1"/>
  <c r="AK282" i="34"/>
  <c r="AL282" i="34" s="1"/>
  <c r="AJ282" i="34"/>
  <c r="T282" i="34" s="1"/>
  <c r="V282" i="34" s="1"/>
  <c r="AK281" i="34"/>
  <c r="AL281" i="34" s="1"/>
  <c r="AJ281" i="34"/>
  <c r="T281" i="34" s="1"/>
  <c r="V281" i="34" s="1"/>
  <c r="AK280" i="34"/>
  <c r="AL280" i="34" s="1"/>
  <c r="AJ280" i="34"/>
  <c r="T280" i="34" s="1"/>
  <c r="AK279" i="34"/>
  <c r="AL279" i="34" s="1"/>
  <c r="AJ279" i="34"/>
  <c r="T279" i="34" s="1"/>
  <c r="V279" i="34" s="1"/>
  <c r="AK278" i="34"/>
  <c r="AL278" i="34" s="1"/>
  <c r="AJ278" i="34"/>
  <c r="T278" i="34" s="1"/>
  <c r="V278" i="34" s="1"/>
  <c r="AK277" i="34"/>
  <c r="AL277" i="34" s="1"/>
  <c r="AJ277" i="34"/>
  <c r="T277" i="34" s="1"/>
  <c r="AK276" i="34"/>
  <c r="AL276" i="34" s="1"/>
  <c r="AJ276" i="34"/>
  <c r="T276" i="34" s="1"/>
  <c r="V276" i="34" s="1"/>
  <c r="AI275" i="34"/>
  <c r="AH275" i="34"/>
  <c r="AG275" i="34"/>
  <c r="AF275" i="34"/>
  <c r="AE275" i="34"/>
  <c r="AD275" i="34"/>
  <c r="AC275" i="34"/>
  <c r="AA275" i="34"/>
  <c r="Z275" i="34"/>
  <c r="Y275" i="34"/>
  <c r="X275" i="34"/>
  <c r="Q275" i="34"/>
  <c r="R282" i="34" s="1"/>
  <c r="P275" i="34"/>
  <c r="AK274" i="34"/>
  <c r="AL274" i="34" s="1"/>
  <c r="AJ274" i="34"/>
  <c r="T274" i="34" s="1"/>
  <c r="V274" i="34" s="1"/>
  <c r="AK273" i="34"/>
  <c r="AL273" i="34" s="1"/>
  <c r="AJ273" i="34"/>
  <c r="T273" i="34" s="1"/>
  <c r="V273" i="34" s="1"/>
  <c r="AK272" i="34"/>
  <c r="AL272" i="34" s="1"/>
  <c r="AJ272" i="34"/>
  <c r="T272" i="34" s="1"/>
  <c r="V272" i="34" s="1"/>
  <c r="AK271" i="34"/>
  <c r="AL271" i="34" s="1"/>
  <c r="AJ271" i="34"/>
  <c r="T271" i="34" s="1"/>
  <c r="AK270" i="34"/>
  <c r="AL270" i="34" s="1"/>
  <c r="AJ270" i="34"/>
  <c r="T270" i="34" s="1"/>
  <c r="V270" i="34" s="1"/>
  <c r="AK269" i="34"/>
  <c r="AL269" i="34" s="1"/>
  <c r="AJ269" i="34"/>
  <c r="T269" i="34" s="1"/>
  <c r="V269" i="34" s="1"/>
  <c r="AK268" i="34"/>
  <c r="AL268" i="34" s="1"/>
  <c r="AJ268" i="34"/>
  <c r="T268" i="34" s="1"/>
  <c r="V268" i="34" s="1"/>
  <c r="AK267" i="34"/>
  <c r="AL267" i="34" s="1"/>
  <c r="AJ267" i="34"/>
  <c r="T267" i="34" s="1"/>
  <c r="V267" i="34" s="1"/>
  <c r="AK266" i="34"/>
  <c r="AL266" i="34" s="1"/>
  <c r="AJ266" i="34"/>
  <c r="T266" i="34" s="1"/>
  <c r="V266" i="34" s="1"/>
  <c r="AL265" i="34"/>
  <c r="AK265" i="34"/>
  <c r="AJ265" i="34"/>
  <c r="T265" i="34" s="1"/>
  <c r="V265" i="34" s="1"/>
  <c r="AI264" i="34"/>
  <c r="AH264" i="34"/>
  <c r="AG264" i="34"/>
  <c r="AF264" i="34"/>
  <c r="AE264" i="34"/>
  <c r="AD264" i="34"/>
  <c r="AC264" i="34"/>
  <c r="AA264" i="34"/>
  <c r="Z264" i="34"/>
  <c r="Y264" i="34"/>
  <c r="X264" i="34"/>
  <c r="Q264" i="34"/>
  <c r="R268" i="34" s="1"/>
  <c r="AK263" i="34"/>
  <c r="AL263" i="34" s="1"/>
  <c r="AJ263" i="34"/>
  <c r="T263" i="34" s="1"/>
  <c r="V263" i="34" s="1"/>
  <c r="AK262" i="34"/>
  <c r="AL262" i="34" s="1"/>
  <c r="AJ262" i="34"/>
  <c r="T262" i="34" s="1"/>
  <c r="V262" i="34" s="1"/>
  <c r="AK261" i="34"/>
  <c r="AL261" i="34" s="1"/>
  <c r="AJ261" i="34"/>
  <c r="T261" i="34" s="1"/>
  <c r="V261" i="34" s="1"/>
  <c r="AK260" i="34"/>
  <c r="AL260" i="34" s="1"/>
  <c r="AJ260" i="34"/>
  <c r="T260" i="34" s="1"/>
  <c r="V260" i="34" s="1"/>
  <c r="AK259" i="34"/>
  <c r="AL259" i="34" s="1"/>
  <c r="AJ259" i="34"/>
  <c r="T259" i="34" s="1"/>
  <c r="V259" i="34" s="1"/>
  <c r="AK258" i="34"/>
  <c r="AL258" i="34" s="1"/>
  <c r="AJ258" i="34"/>
  <c r="T258" i="34" s="1"/>
  <c r="V258" i="34" s="1"/>
  <c r="AK257" i="34"/>
  <c r="AL257" i="34" s="1"/>
  <c r="AJ257" i="34"/>
  <c r="T257" i="34" s="1"/>
  <c r="V257" i="34" s="1"/>
  <c r="AK256" i="34"/>
  <c r="AL256" i="34" s="1"/>
  <c r="AJ256" i="34"/>
  <c r="T256" i="34" s="1"/>
  <c r="V256" i="34" s="1"/>
  <c r="AK255" i="34"/>
  <c r="AL255" i="34" s="1"/>
  <c r="AJ255" i="34"/>
  <c r="T255" i="34" s="1"/>
  <c r="V255" i="34" s="1"/>
  <c r="AK254" i="34"/>
  <c r="AL254" i="34" s="1"/>
  <c r="AJ254" i="34"/>
  <c r="T254" i="34" s="1"/>
  <c r="V254" i="34" s="1"/>
  <c r="AK253" i="34"/>
  <c r="AL253" i="34" s="1"/>
  <c r="AJ253" i="34"/>
  <c r="T253" i="34" s="1"/>
  <c r="V253" i="34" s="1"/>
  <c r="AK252" i="34"/>
  <c r="AL252" i="34" s="1"/>
  <c r="AJ252" i="34"/>
  <c r="T252" i="34" s="1"/>
  <c r="V252" i="34" s="1"/>
  <c r="AK251" i="34"/>
  <c r="AL251" i="34" s="1"/>
  <c r="AJ251" i="34"/>
  <c r="T251" i="34" s="1"/>
  <c r="V251" i="34" s="1"/>
  <c r="AK250" i="34"/>
  <c r="AL250" i="34" s="1"/>
  <c r="AJ250" i="34"/>
  <c r="T250" i="34" s="1"/>
  <c r="V250" i="34" s="1"/>
  <c r="AI249" i="34"/>
  <c r="AH249" i="34"/>
  <c r="AG249" i="34"/>
  <c r="AG248" i="34" s="1"/>
  <c r="AF249" i="34"/>
  <c r="AF248" i="34" s="1"/>
  <c r="AE249" i="34"/>
  <c r="AE248" i="34" s="1"/>
  <c r="AD249" i="34"/>
  <c r="AC249" i="34"/>
  <c r="AA249" i="34"/>
  <c r="AA248" i="34" s="1"/>
  <c r="Z249" i="34"/>
  <c r="Z248" i="34" s="1"/>
  <c r="Y249" i="34"/>
  <c r="Y248" i="34" s="1"/>
  <c r="X249" i="34"/>
  <c r="X248" i="34" s="1"/>
  <c r="Q249" i="34"/>
  <c r="R259" i="34" s="1"/>
  <c r="P249" i="34"/>
  <c r="AD248" i="34"/>
  <c r="AC248" i="34"/>
  <c r="AB248" i="34"/>
  <c r="W248" i="34"/>
  <c r="S248" i="34"/>
  <c r="AK247" i="34"/>
  <c r="AL247" i="34" s="1"/>
  <c r="AJ247" i="34"/>
  <c r="T247" i="34" s="1"/>
  <c r="V247" i="34" s="1"/>
  <c r="AK246" i="34"/>
  <c r="AL246" i="34" s="1"/>
  <c r="AJ246" i="34"/>
  <c r="T246" i="34" s="1"/>
  <c r="V246" i="34" s="1"/>
  <c r="AK245" i="34"/>
  <c r="AL245" i="34" s="1"/>
  <c r="AJ245" i="34"/>
  <c r="T245" i="34" s="1"/>
  <c r="V245" i="34" s="1"/>
  <c r="AK244" i="34"/>
  <c r="AL244" i="34" s="1"/>
  <c r="AJ244" i="34"/>
  <c r="T244" i="34" s="1"/>
  <c r="V244" i="34" s="1"/>
  <c r="AK243" i="34"/>
  <c r="AL243" i="34" s="1"/>
  <c r="AJ243" i="34"/>
  <c r="T243" i="34" s="1"/>
  <c r="V243" i="34" s="1"/>
  <c r="AK242" i="34"/>
  <c r="AL242" i="34" s="1"/>
  <c r="AJ242" i="34"/>
  <c r="T242" i="34" s="1"/>
  <c r="V242" i="34" s="1"/>
  <c r="AH241" i="34"/>
  <c r="AG241" i="34"/>
  <c r="AF241" i="34"/>
  <c r="AE241" i="34"/>
  <c r="AD241" i="34"/>
  <c r="AC241" i="34"/>
  <c r="AA241" i="34"/>
  <c r="Z241" i="34"/>
  <c r="Y241" i="34"/>
  <c r="X241" i="34"/>
  <c r="Q241" i="34"/>
  <c r="P241" i="34"/>
  <c r="AK240" i="34"/>
  <c r="AL240" i="34" s="1"/>
  <c r="AJ240" i="34"/>
  <c r="T240" i="34" s="1"/>
  <c r="V240" i="34" s="1"/>
  <c r="AK239" i="34"/>
  <c r="AL239" i="34" s="1"/>
  <c r="AJ239" i="34"/>
  <c r="T239" i="34" s="1"/>
  <c r="V239" i="34" s="1"/>
  <c r="AK238" i="34"/>
  <c r="AL238" i="34" s="1"/>
  <c r="AJ238" i="34"/>
  <c r="T238" i="34" s="1"/>
  <c r="V238" i="34" s="1"/>
  <c r="AK237" i="34"/>
  <c r="AL237" i="34" s="1"/>
  <c r="AJ237" i="34"/>
  <c r="T237" i="34" s="1"/>
  <c r="V237" i="34" s="1"/>
  <c r="AK236" i="34"/>
  <c r="AL236" i="34" s="1"/>
  <c r="AJ236" i="34"/>
  <c r="T236" i="34" s="1"/>
  <c r="V236" i="34" s="1"/>
  <c r="AK235" i="34"/>
  <c r="AL235" i="34" s="1"/>
  <c r="AJ235" i="34"/>
  <c r="T235" i="34" s="1"/>
  <c r="V235" i="34" s="1"/>
  <c r="AK234" i="34"/>
  <c r="AL234" i="34" s="1"/>
  <c r="AJ234" i="34"/>
  <c r="T234" i="34" s="1"/>
  <c r="V234" i="34" s="1"/>
  <c r="AK233" i="34"/>
  <c r="AL233" i="34" s="1"/>
  <c r="AJ233" i="34"/>
  <c r="T233" i="34" s="1"/>
  <c r="V233" i="34" s="1"/>
  <c r="AK232" i="34"/>
  <c r="AL232" i="34" s="1"/>
  <c r="AJ232" i="34"/>
  <c r="T232" i="34" s="1"/>
  <c r="V232" i="34" s="1"/>
  <c r="AK231" i="34"/>
  <c r="AL231" i="34" s="1"/>
  <c r="AJ231" i="34"/>
  <c r="T231" i="34" s="1"/>
  <c r="V231" i="34" s="1"/>
  <c r="AI230" i="34"/>
  <c r="AH230" i="34"/>
  <c r="AG230" i="34"/>
  <c r="AF230" i="34"/>
  <c r="AE230" i="34"/>
  <c r="AD230" i="34"/>
  <c r="AC230" i="34"/>
  <c r="AA230" i="34"/>
  <c r="Z230" i="34"/>
  <c r="Y230" i="34"/>
  <c r="X230" i="34"/>
  <c r="Q230" i="34"/>
  <c r="R243" i="34" s="1"/>
  <c r="P230" i="34"/>
  <c r="A230" i="34"/>
  <c r="A241" i="34" s="1"/>
  <c r="A249" i="34" s="1"/>
  <c r="A264" i="34" s="1"/>
  <c r="A275" i="34" s="1"/>
  <c r="A287" i="34" s="1"/>
  <c r="A297" i="34" s="1"/>
  <c r="A309" i="34" s="1"/>
  <c r="A317" i="34" s="1"/>
  <c r="A325" i="34" s="1"/>
  <c r="A332" i="34" s="1"/>
  <c r="A339" i="34" s="1"/>
  <c r="A350" i="34" s="1"/>
  <c r="AK229" i="34"/>
  <c r="AL229" i="34" s="1"/>
  <c r="AJ229" i="34"/>
  <c r="T229" i="34" s="1"/>
  <c r="V229" i="34" s="1"/>
  <c r="AK228" i="34"/>
  <c r="AL228" i="34" s="1"/>
  <c r="AJ228" i="34"/>
  <c r="T228" i="34" s="1"/>
  <c r="V228" i="34" s="1"/>
  <c r="AK227" i="34"/>
  <c r="AL227" i="34" s="1"/>
  <c r="AJ227" i="34"/>
  <c r="T227" i="34" s="1"/>
  <c r="V227" i="34" s="1"/>
  <c r="AK226" i="34"/>
  <c r="AL226" i="34" s="1"/>
  <c r="AJ226" i="34"/>
  <c r="T226" i="34" s="1"/>
  <c r="V226" i="34" s="1"/>
  <c r="AK225" i="34"/>
  <c r="AL225" i="34" s="1"/>
  <c r="AJ225" i="34"/>
  <c r="T225" i="34" s="1"/>
  <c r="V225" i="34" s="1"/>
  <c r="AK224" i="34"/>
  <c r="AL224" i="34" s="1"/>
  <c r="AJ224" i="34"/>
  <c r="T224" i="34" s="1"/>
  <c r="V224" i="34" s="1"/>
  <c r="AK223" i="34"/>
  <c r="AL223" i="34" s="1"/>
  <c r="AJ223" i="34"/>
  <c r="T223" i="34" s="1"/>
  <c r="V223" i="34" s="1"/>
  <c r="AI222" i="34"/>
  <c r="AH222" i="34"/>
  <c r="AG222" i="34"/>
  <c r="AF222" i="34"/>
  <c r="AE222" i="34"/>
  <c r="AD222" i="34"/>
  <c r="AC222" i="34"/>
  <c r="AA222" i="34"/>
  <c r="Z222" i="34"/>
  <c r="Y222" i="34"/>
  <c r="X222" i="34"/>
  <c r="Q222" i="34"/>
  <c r="R227" i="34" s="1"/>
  <c r="P222" i="34"/>
  <c r="AJ221" i="34"/>
  <c r="T221" i="34" s="1"/>
  <c r="V221" i="34" s="1"/>
  <c r="AK220" i="34"/>
  <c r="AL220" i="34" s="1"/>
  <c r="AJ220" i="34"/>
  <c r="T220" i="34" s="1"/>
  <c r="V220" i="34" s="1"/>
  <c r="AH220" i="34"/>
  <c r="AG220" i="34"/>
  <c r="AF220" i="34"/>
  <c r="AE220" i="34"/>
  <c r="AD220" i="34"/>
  <c r="AC220" i="34"/>
  <c r="AA220" i="34"/>
  <c r="Z220" i="34"/>
  <c r="Y220" i="34"/>
  <c r="X220" i="34"/>
  <c r="AK219" i="34"/>
  <c r="AL219" i="34" s="1"/>
  <c r="AJ219" i="34"/>
  <c r="T219" i="34" s="1"/>
  <c r="V219" i="34" s="1"/>
  <c r="AH219" i="34"/>
  <c r="AG219" i="34"/>
  <c r="AF219" i="34"/>
  <c r="AE219" i="34"/>
  <c r="AD219" i="34"/>
  <c r="AC219" i="34"/>
  <c r="AA219" i="34"/>
  <c r="Z219" i="34"/>
  <c r="Y219" i="34"/>
  <c r="X219" i="34"/>
  <c r="AK218" i="34"/>
  <c r="AL218" i="34" s="1"/>
  <c r="AJ218" i="34"/>
  <c r="T218" i="34" s="1"/>
  <c r="V218" i="34" s="1"/>
  <c r="AH218" i="34"/>
  <c r="AG218" i="34"/>
  <c r="AF218" i="34"/>
  <c r="AE218" i="34"/>
  <c r="AD218" i="34"/>
  <c r="AC218" i="34"/>
  <c r="AA218" i="34"/>
  <c r="Z218" i="34"/>
  <c r="Y218" i="34"/>
  <c r="X218" i="34"/>
  <c r="AK217" i="34"/>
  <c r="AL217" i="34" s="1"/>
  <c r="AJ217" i="34"/>
  <c r="T217" i="34" s="1"/>
  <c r="AH217" i="34"/>
  <c r="AG217" i="34"/>
  <c r="AF217" i="34"/>
  <c r="AE217" i="34"/>
  <c r="AD217" i="34"/>
  <c r="AC217" i="34"/>
  <c r="AA217" i="34"/>
  <c r="Z217" i="34"/>
  <c r="Y217" i="34"/>
  <c r="X217" i="34"/>
  <c r="AH216" i="34"/>
  <c r="AG216" i="34"/>
  <c r="AF216" i="34"/>
  <c r="AE216" i="34"/>
  <c r="AD216" i="34"/>
  <c r="AC216" i="34"/>
  <c r="AA216" i="34"/>
  <c r="Z216" i="34"/>
  <c r="Y216" i="34"/>
  <c r="X216" i="34"/>
  <c r="Q216" i="34"/>
  <c r="P216" i="34"/>
  <c r="AK215" i="34"/>
  <c r="AL215" i="34" s="1"/>
  <c r="AJ215" i="34"/>
  <c r="T215" i="34" s="1"/>
  <c r="V215" i="34" s="1"/>
  <c r="AH215" i="34"/>
  <c r="AG215" i="34"/>
  <c r="AF215" i="34"/>
  <c r="AE215" i="34"/>
  <c r="AD215" i="34"/>
  <c r="AC215" i="34"/>
  <c r="AA215" i="34"/>
  <c r="Z215" i="34"/>
  <c r="Y215" i="34"/>
  <c r="X215" i="34"/>
  <c r="AK214" i="34"/>
  <c r="AL214" i="34" s="1"/>
  <c r="AJ214" i="34"/>
  <c r="T214" i="34" s="1"/>
  <c r="V214" i="34" s="1"/>
  <c r="AH214" i="34"/>
  <c r="AG214" i="34"/>
  <c r="AF214" i="34"/>
  <c r="AE214" i="34"/>
  <c r="AD214" i="34"/>
  <c r="AC214" i="34"/>
  <c r="AA214" i="34"/>
  <c r="Z214" i="34"/>
  <c r="Y214" i="34"/>
  <c r="X214" i="34"/>
  <c r="AK213" i="34"/>
  <c r="AL213" i="34" s="1"/>
  <c r="AJ213" i="34"/>
  <c r="T213" i="34" s="1"/>
  <c r="V213" i="34" s="1"/>
  <c r="AH213" i="34"/>
  <c r="AG213" i="34"/>
  <c r="AF213" i="34"/>
  <c r="AE213" i="34"/>
  <c r="AD213" i="34"/>
  <c r="AC213" i="34"/>
  <c r="AA213" i="34"/>
  <c r="Z213" i="34"/>
  <c r="Y213" i="34"/>
  <c r="X213" i="34"/>
  <c r="AK212" i="34"/>
  <c r="AL212" i="34" s="1"/>
  <c r="AJ212" i="34"/>
  <c r="T212" i="34" s="1"/>
  <c r="V212" i="34" s="1"/>
  <c r="AH212" i="34"/>
  <c r="AG212" i="34"/>
  <c r="AF212" i="34"/>
  <c r="AE212" i="34"/>
  <c r="AD212" i="34"/>
  <c r="AC212" i="34"/>
  <c r="AA212" i="34"/>
  <c r="Z212" i="34"/>
  <c r="Y212" i="34"/>
  <c r="X212" i="34"/>
  <c r="AK211" i="34"/>
  <c r="AL211" i="34" s="1"/>
  <c r="AJ211" i="34"/>
  <c r="T211" i="34" s="1"/>
  <c r="V211" i="34" s="1"/>
  <c r="AH211" i="34"/>
  <c r="AG211" i="34"/>
  <c r="AF211" i="34"/>
  <c r="AE211" i="34"/>
  <c r="AD211" i="34"/>
  <c r="AC211" i="34"/>
  <c r="AA211" i="34"/>
  <c r="Z211" i="34"/>
  <c r="Y211" i="34"/>
  <c r="X211" i="34"/>
  <c r="AK210" i="34"/>
  <c r="AL210" i="34" s="1"/>
  <c r="AJ210" i="34"/>
  <c r="T210" i="34" s="1"/>
  <c r="V210" i="34" s="1"/>
  <c r="AH210" i="34"/>
  <c r="AG210" i="34"/>
  <c r="AF210" i="34"/>
  <c r="AE210" i="34"/>
  <c r="AD210" i="34"/>
  <c r="AC210" i="34"/>
  <c r="AA210" i="34"/>
  <c r="Z210" i="34"/>
  <c r="Y210" i="34"/>
  <c r="X210" i="34"/>
  <c r="AI209" i="34"/>
  <c r="AH209" i="34"/>
  <c r="AG209" i="34"/>
  <c r="AF209" i="34"/>
  <c r="AE209" i="34"/>
  <c r="AD209" i="34"/>
  <c r="AC209" i="34"/>
  <c r="AA209" i="34"/>
  <c r="Z209" i="34"/>
  <c r="Y209" i="34"/>
  <c r="X209" i="34"/>
  <c r="Q209" i="34"/>
  <c r="R213" i="34" s="1"/>
  <c r="P209" i="34"/>
  <c r="A209" i="34"/>
  <c r="A216" i="34" s="1"/>
  <c r="AK208" i="34"/>
  <c r="AL208" i="34" s="1"/>
  <c r="AJ208" i="34"/>
  <c r="T208" i="34" s="1"/>
  <c r="AK207" i="34"/>
  <c r="AL207" i="34" s="1"/>
  <c r="AJ207" i="34"/>
  <c r="T207" i="34" s="1"/>
  <c r="V207" i="34" s="1"/>
  <c r="AK206" i="34"/>
  <c r="AL206" i="34" s="1"/>
  <c r="AJ206" i="34"/>
  <c r="T206" i="34" s="1"/>
  <c r="V206" i="34" s="1"/>
  <c r="AK205" i="34"/>
  <c r="AL205" i="34" s="1"/>
  <c r="AJ205" i="34"/>
  <c r="T205" i="34" s="1"/>
  <c r="V205" i="34" s="1"/>
  <c r="AK204" i="34"/>
  <c r="AL204" i="34" s="1"/>
  <c r="AJ204" i="34"/>
  <c r="T204" i="34" s="1"/>
  <c r="V204" i="34" s="1"/>
  <c r="AK203" i="34"/>
  <c r="AL203" i="34" s="1"/>
  <c r="AJ203" i="34"/>
  <c r="T203" i="34" s="1"/>
  <c r="V203" i="34" s="1"/>
  <c r="AK202" i="34"/>
  <c r="AL202" i="34" s="1"/>
  <c r="AJ202" i="34"/>
  <c r="T202" i="34" s="1"/>
  <c r="V202" i="34" s="1"/>
  <c r="AI201" i="34"/>
  <c r="AH201" i="34"/>
  <c r="AG201" i="34"/>
  <c r="AF201" i="34"/>
  <c r="AE201" i="34"/>
  <c r="AD201" i="34"/>
  <c r="AC201" i="34"/>
  <c r="AA201" i="34"/>
  <c r="Z201" i="34"/>
  <c r="Y201" i="34"/>
  <c r="X201" i="34"/>
  <c r="Q201" i="34"/>
  <c r="P201" i="34"/>
  <c r="AK200" i="34"/>
  <c r="AL200" i="34" s="1"/>
  <c r="AJ200" i="34"/>
  <c r="T200" i="34" s="1"/>
  <c r="AK199" i="34"/>
  <c r="AL199" i="34" s="1"/>
  <c r="AJ199" i="34"/>
  <c r="T199" i="34" s="1"/>
  <c r="V199" i="34" s="1"/>
  <c r="AK198" i="34"/>
  <c r="AL198" i="34" s="1"/>
  <c r="AJ198" i="34"/>
  <c r="T198" i="34" s="1"/>
  <c r="V198" i="34" s="1"/>
  <c r="AK197" i="34"/>
  <c r="AL197" i="34" s="1"/>
  <c r="AJ197" i="34"/>
  <c r="T197" i="34" s="1"/>
  <c r="V197" i="34" s="1"/>
  <c r="AL196" i="34"/>
  <c r="AK196" i="34"/>
  <c r="AJ196" i="34"/>
  <c r="T196" i="34" s="1"/>
  <c r="V196" i="34" s="1"/>
  <c r="AK195" i="34"/>
  <c r="AL195" i="34" s="1"/>
  <c r="AJ195" i="34"/>
  <c r="T195" i="34" s="1"/>
  <c r="AK194" i="34"/>
  <c r="AL194" i="34" s="1"/>
  <c r="AJ194" i="34"/>
  <c r="T194" i="34" s="1"/>
  <c r="V194" i="34" s="1"/>
  <c r="AI193" i="34"/>
  <c r="AH193" i="34"/>
  <c r="AG193" i="34"/>
  <c r="AF193" i="34"/>
  <c r="AE193" i="34"/>
  <c r="AD193" i="34"/>
  <c r="AC193" i="34"/>
  <c r="AA193" i="34"/>
  <c r="Z193" i="34"/>
  <c r="Y193" i="34"/>
  <c r="X193" i="34"/>
  <c r="Q193" i="34"/>
  <c r="R198" i="34" s="1"/>
  <c r="U198" i="34" s="1"/>
  <c r="P193" i="34"/>
  <c r="AK192" i="34"/>
  <c r="AL192" i="34" s="1"/>
  <c r="AJ192" i="34"/>
  <c r="T191" i="34" s="1"/>
  <c r="V191" i="34" s="1"/>
  <c r="AK191" i="34"/>
  <c r="AL191" i="34" s="1"/>
  <c r="AJ191" i="34"/>
  <c r="AK190" i="34"/>
  <c r="AL190" i="34" s="1"/>
  <c r="AJ190" i="34"/>
  <c r="T190" i="34" s="1"/>
  <c r="V190" i="34" s="1"/>
  <c r="AK189" i="34"/>
  <c r="AL189" i="34" s="1"/>
  <c r="AJ189" i="34"/>
  <c r="T189" i="34" s="1"/>
  <c r="V189" i="34" s="1"/>
  <c r="AK188" i="34"/>
  <c r="AL188" i="34" s="1"/>
  <c r="AJ188" i="34"/>
  <c r="T188" i="34" s="1"/>
  <c r="AK187" i="34"/>
  <c r="AL187" i="34" s="1"/>
  <c r="AJ187" i="34"/>
  <c r="T187" i="34" s="1"/>
  <c r="V187" i="34" s="1"/>
  <c r="AK186" i="34"/>
  <c r="AL186" i="34" s="1"/>
  <c r="AJ186" i="34"/>
  <c r="T186" i="34" s="1"/>
  <c r="V186" i="34" s="1"/>
  <c r="AK185" i="34"/>
  <c r="AL185" i="34" s="1"/>
  <c r="AJ185" i="34"/>
  <c r="T185" i="34" s="1"/>
  <c r="V185" i="34" s="1"/>
  <c r="AK184" i="34"/>
  <c r="AJ184" i="34"/>
  <c r="T184" i="34" s="1"/>
  <c r="V184" i="34" s="1"/>
  <c r="AK183" i="34"/>
  <c r="AL183" i="34" s="1"/>
  <c r="AJ183" i="34"/>
  <c r="T183" i="34" s="1"/>
  <c r="V183" i="34" s="1"/>
  <c r="AR182" i="34"/>
  <c r="AK182" i="34"/>
  <c r="AL182" i="34" s="1"/>
  <c r="AJ182" i="34"/>
  <c r="T182" i="34" s="1"/>
  <c r="V182" i="34" s="1"/>
  <c r="AI181" i="34"/>
  <c r="AH181" i="34"/>
  <c r="AG181" i="34"/>
  <c r="AG180" i="34" s="1"/>
  <c r="AF181" i="34"/>
  <c r="AF180" i="34" s="1"/>
  <c r="AE181" i="34"/>
  <c r="AE180" i="34" s="1"/>
  <c r="AD181" i="34"/>
  <c r="AD180" i="34" s="1"/>
  <c r="AC181" i="34"/>
  <c r="AC180" i="34" s="1"/>
  <c r="AA181" i="34"/>
  <c r="AA180" i="34" s="1"/>
  <c r="Z181" i="34"/>
  <c r="Z180" i="34" s="1"/>
  <c r="Y181" i="34"/>
  <c r="Y180" i="34" s="1"/>
  <c r="X181" i="34"/>
  <c r="X180" i="34" s="1"/>
  <c r="Q181" i="34"/>
  <c r="R189" i="34" s="1"/>
  <c r="P181" i="34"/>
  <c r="P180" i="34" s="1"/>
  <c r="AB180" i="34"/>
  <c r="W180" i="34"/>
  <c r="S180" i="34"/>
  <c r="O180" i="34"/>
  <c r="AK179" i="34"/>
  <c r="AL179" i="34" s="1"/>
  <c r="AJ179" i="34"/>
  <c r="T179" i="34" s="1"/>
  <c r="V179" i="34" s="1"/>
  <c r="AK178" i="34"/>
  <c r="AL178" i="34" s="1"/>
  <c r="AJ178" i="34"/>
  <c r="T178" i="34" s="1"/>
  <c r="V178" i="34" s="1"/>
  <c r="AK177" i="34"/>
  <c r="AL177" i="34" s="1"/>
  <c r="AJ177" i="34"/>
  <c r="T177" i="34" s="1"/>
  <c r="V177" i="34" s="1"/>
  <c r="AK176" i="34"/>
  <c r="AL176" i="34" s="1"/>
  <c r="AJ176" i="34"/>
  <c r="T176" i="34" s="1"/>
  <c r="V176" i="34" s="1"/>
  <c r="AK175" i="34"/>
  <c r="AL175" i="34" s="1"/>
  <c r="AJ175" i="34"/>
  <c r="T175" i="34" s="1"/>
  <c r="V175" i="34" s="1"/>
  <c r="AK174" i="34"/>
  <c r="AL174" i="34" s="1"/>
  <c r="AJ174" i="34"/>
  <c r="T174" i="34" s="1"/>
  <c r="V174" i="34" s="1"/>
  <c r="AK173" i="34"/>
  <c r="AL173" i="34" s="1"/>
  <c r="AJ173" i="34"/>
  <c r="T173" i="34" s="1"/>
  <c r="AK172" i="34"/>
  <c r="AL172" i="34" s="1"/>
  <c r="AJ172" i="34"/>
  <c r="T172" i="34" s="1"/>
  <c r="V172" i="34" s="1"/>
  <c r="AI171" i="34"/>
  <c r="AH171" i="34"/>
  <c r="AG171" i="34"/>
  <c r="AF171" i="34"/>
  <c r="AE171" i="34"/>
  <c r="AD171" i="34"/>
  <c r="AC171" i="34"/>
  <c r="AA171" i="34"/>
  <c r="Z171" i="34"/>
  <c r="Y171" i="34"/>
  <c r="X171" i="34"/>
  <c r="Q171" i="34"/>
  <c r="P171" i="34"/>
  <c r="AK170" i="34"/>
  <c r="AL170" i="34" s="1"/>
  <c r="AJ170" i="34"/>
  <c r="T170" i="34" s="1"/>
  <c r="V170" i="34" s="1"/>
  <c r="AI169" i="34"/>
  <c r="AH169" i="34"/>
  <c r="AG169" i="34"/>
  <c r="AG168" i="34" s="1"/>
  <c r="AF169" i="34"/>
  <c r="AF168" i="34" s="1"/>
  <c r="AE169" i="34"/>
  <c r="AE168" i="34" s="1"/>
  <c r="AD169" i="34"/>
  <c r="AD168" i="34" s="1"/>
  <c r="AC169" i="34"/>
  <c r="AC168" i="34" s="1"/>
  <c r="AA169" i="34"/>
  <c r="AA168" i="34" s="1"/>
  <c r="Z169" i="34"/>
  <c r="Z168" i="34" s="1"/>
  <c r="Y169" i="34"/>
  <c r="Y168" i="34" s="1"/>
  <c r="X169" i="34"/>
  <c r="X168" i="34" s="1"/>
  <c r="Q169" i="34"/>
  <c r="P169" i="34"/>
  <c r="AB168" i="34"/>
  <c r="W168" i="34"/>
  <c r="O168" i="34"/>
  <c r="AK167" i="34"/>
  <c r="AL167" i="34" s="1"/>
  <c r="AJ167" i="34"/>
  <c r="T167" i="34" s="1"/>
  <c r="V167" i="34" s="1"/>
  <c r="AK166" i="34"/>
  <c r="AL166" i="34" s="1"/>
  <c r="AJ166" i="34"/>
  <c r="T166" i="34" s="1"/>
  <c r="V166" i="34" s="1"/>
  <c r="AI165" i="34"/>
  <c r="AH165" i="34"/>
  <c r="AH161" i="34" s="1"/>
  <c r="AG165" i="34"/>
  <c r="AG161" i="34" s="1"/>
  <c r="AF165" i="34"/>
  <c r="AF161" i="34" s="1"/>
  <c r="AE165" i="34"/>
  <c r="AE161" i="34" s="1"/>
  <c r="AD165" i="34"/>
  <c r="AD161" i="34" s="1"/>
  <c r="AC165" i="34"/>
  <c r="AC161" i="34" s="1"/>
  <c r="AA165" i="34"/>
  <c r="AA161" i="34" s="1"/>
  <c r="Z165" i="34"/>
  <c r="Z161" i="34" s="1"/>
  <c r="Y165" i="34"/>
  <c r="Y161" i="34" s="1"/>
  <c r="X165" i="34"/>
  <c r="X161" i="34" s="1"/>
  <c r="Q165" i="34"/>
  <c r="R166" i="34" s="1"/>
  <c r="U166" i="34" s="1"/>
  <c r="P165" i="34"/>
  <c r="P161" i="34" s="1"/>
  <c r="AK164" i="34"/>
  <c r="AL164" i="34" s="1"/>
  <c r="AJ164" i="34"/>
  <c r="T164" i="34" s="1"/>
  <c r="V164" i="34" s="1"/>
  <c r="AK163" i="34"/>
  <c r="AL163" i="34" s="1"/>
  <c r="AJ163" i="34"/>
  <c r="T163" i="34" s="1"/>
  <c r="V163" i="34" s="1"/>
  <c r="AI162" i="34"/>
  <c r="AH162" i="34"/>
  <c r="AG162" i="34"/>
  <c r="AF162" i="34"/>
  <c r="AE162" i="34"/>
  <c r="AD162" i="34"/>
  <c r="AC162" i="34"/>
  <c r="AA162" i="34"/>
  <c r="Z162" i="34"/>
  <c r="Y162" i="34"/>
  <c r="X162" i="34"/>
  <c r="Q162" i="34"/>
  <c r="R164" i="34" s="1"/>
  <c r="AB161" i="34"/>
  <c r="W161" i="34"/>
  <c r="O161" i="34"/>
  <c r="AL160" i="34"/>
  <c r="AK160" i="34"/>
  <c r="AJ160" i="34"/>
  <c r="T160" i="34" s="1"/>
  <c r="V160" i="34" s="1"/>
  <c r="AH160" i="34"/>
  <c r="AF160" i="34"/>
  <c r="AE160" i="34"/>
  <c r="AD160" i="34"/>
  <c r="AC160" i="34"/>
  <c r="AA160" i="34"/>
  <c r="Z160" i="34"/>
  <c r="Y160" i="34"/>
  <c r="X160" i="34"/>
  <c r="AI159" i="34"/>
  <c r="AH159" i="34"/>
  <c r="AF159" i="34"/>
  <c r="AE159" i="34"/>
  <c r="AD159" i="34"/>
  <c r="AC159" i="34"/>
  <c r="AA159" i="34"/>
  <c r="Z159" i="34"/>
  <c r="Y159" i="34"/>
  <c r="X159" i="34"/>
  <c r="Q159" i="34"/>
  <c r="AJ158" i="34"/>
  <c r="T158" i="34" s="1"/>
  <c r="V158" i="34" s="1"/>
  <c r="AK158" i="34"/>
  <c r="AL158" i="34" s="1"/>
  <c r="AH158" i="34"/>
  <c r="AF158" i="34"/>
  <c r="AE158" i="34"/>
  <c r="AD158" i="34"/>
  <c r="AC158" i="34"/>
  <c r="AA158" i="34"/>
  <c r="Z158" i="34"/>
  <c r="Y158" i="34"/>
  <c r="X158" i="34"/>
  <c r="AI157" i="34"/>
  <c r="AH157" i="34"/>
  <c r="AF157" i="34"/>
  <c r="AE157" i="34"/>
  <c r="AD157" i="34"/>
  <c r="AC157" i="34"/>
  <c r="AA157" i="34"/>
  <c r="Z157" i="34"/>
  <c r="Y157" i="34"/>
  <c r="X157" i="34"/>
  <c r="Q157" i="34"/>
  <c r="R158" i="34" s="1"/>
  <c r="AK156" i="34"/>
  <c r="AL156" i="34" s="1"/>
  <c r="AJ156" i="34"/>
  <c r="T156" i="34" s="1"/>
  <c r="V156" i="34" s="1"/>
  <c r="AH156" i="34"/>
  <c r="AF156" i="34"/>
  <c r="AE156" i="34"/>
  <c r="AD156" i="34"/>
  <c r="AC156" i="34"/>
  <c r="AA156" i="34"/>
  <c r="Z156" i="34"/>
  <c r="Y156" i="34"/>
  <c r="X156" i="34"/>
  <c r="AI155" i="34"/>
  <c r="AH155" i="34"/>
  <c r="AF155" i="34"/>
  <c r="AE155" i="34"/>
  <c r="AD155" i="34"/>
  <c r="AC155" i="34"/>
  <c r="AA155" i="34"/>
  <c r="Z155" i="34"/>
  <c r="Y155" i="34"/>
  <c r="X155" i="34"/>
  <c r="Q155" i="34"/>
  <c r="P155" i="34"/>
  <c r="AK154" i="34"/>
  <c r="AL154" i="34" s="1"/>
  <c r="AJ153" i="34"/>
  <c r="T153" i="34" s="1"/>
  <c r="V153" i="34" s="1"/>
  <c r="AK153" i="34"/>
  <c r="AL153" i="34" s="1"/>
  <c r="AH153" i="34"/>
  <c r="AG153" i="34"/>
  <c r="AF153" i="34"/>
  <c r="AE153" i="34"/>
  <c r="AD153" i="34"/>
  <c r="AC153" i="34"/>
  <c r="AA153" i="34"/>
  <c r="Z153" i="34"/>
  <c r="Y153" i="34"/>
  <c r="X153" i="34"/>
  <c r="AK152" i="34"/>
  <c r="AL152" i="34" s="1"/>
  <c r="AJ152" i="34"/>
  <c r="T152" i="34" s="1"/>
  <c r="V152" i="34" s="1"/>
  <c r="AH152" i="34"/>
  <c r="AG152" i="34"/>
  <c r="AF152" i="34"/>
  <c r="AE152" i="34"/>
  <c r="AD152" i="34"/>
  <c r="AC152" i="34"/>
  <c r="AA152" i="34"/>
  <c r="Z152" i="34"/>
  <c r="Y152" i="34"/>
  <c r="X152" i="34"/>
  <c r="AK151" i="34"/>
  <c r="AL151" i="34" s="1"/>
  <c r="AJ151" i="34"/>
  <c r="T151" i="34" s="1"/>
  <c r="V151" i="34" s="1"/>
  <c r="AH151" i="34"/>
  <c r="AG151" i="34"/>
  <c r="AF151" i="34"/>
  <c r="AE151" i="34"/>
  <c r="AD151" i="34"/>
  <c r="AC151" i="34"/>
  <c r="AA151" i="34"/>
  <c r="Z151" i="34"/>
  <c r="Y151" i="34"/>
  <c r="X151" i="34"/>
  <c r="AK150" i="34"/>
  <c r="AL150" i="34" s="1"/>
  <c r="AJ150" i="34"/>
  <c r="T150" i="34" s="1"/>
  <c r="V150" i="34" s="1"/>
  <c r="AH150" i="34"/>
  <c r="AG150" i="34"/>
  <c r="AF150" i="34"/>
  <c r="AE150" i="34"/>
  <c r="AD150" i="34"/>
  <c r="AC150" i="34"/>
  <c r="AA150" i="34"/>
  <c r="Z150" i="34"/>
  <c r="Y150" i="34"/>
  <c r="X150" i="34"/>
  <c r="AK149" i="34"/>
  <c r="AL149" i="34" s="1"/>
  <c r="AJ149" i="34"/>
  <c r="T149" i="34" s="1"/>
  <c r="V149" i="34" s="1"/>
  <c r="AH149" i="34"/>
  <c r="AG149" i="34"/>
  <c r="AF149" i="34"/>
  <c r="AE149" i="34"/>
  <c r="AD149" i="34"/>
  <c r="AC149" i="34"/>
  <c r="AA149" i="34"/>
  <c r="Z149" i="34"/>
  <c r="Y149" i="34"/>
  <c r="X149" i="34"/>
  <c r="AH148" i="34"/>
  <c r="AG148" i="34"/>
  <c r="AF148" i="34"/>
  <c r="AE148" i="34"/>
  <c r="AD148" i="34"/>
  <c r="AC148" i="34"/>
  <c r="AA148" i="34"/>
  <c r="Z148" i="34"/>
  <c r="Y148" i="34"/>
  <c r="X148" i="34"/>
  <c r="Q148" i="34"/>
  <c r="R152" i="34" s="1"/>
  <c r="P148" i="34"/>
  <c r="AK147" i="34"/>
  <c r="AL147" i="34" s="1"/>
  <c r="AJ147" i="34"/>
  <c r="T147" i="34" s="1"/>
  <c r="V147" i="34" s="1"/>
  <c r="AH147" i="34"/>
  <c r="AG147" i="34"/>
  <c r="AF147" i="34"/>
  <c r="AE147" i="34"/>
  <c r="AD147" i="34"/>
  <c r="AC147" i="34"/>
  <c r="AA147" i="34"/>
  <c r="Z147" i="34"/>
  <c r="Y147" i="34"/>
  <c r="X147" i="34"/>
  <c r="AI144" i="34"/>
  <c r="AH146" i="34"/>
  <c r="AG146" i="34"/>
  <c r="AF146" i="34"/>
  <c r="AE146" i="34"/>
  <c r="AD146" i="34"/>
  <c r="AC146" i="34"/>
  <c r="AA146" i="34"/>
  <c r="Z146" i="34"/>
  <c r="Y146" i="34"/>
  <c r="X146" i="34"/>
  <c r="AK145" i="34"/>
  <c r="AL145" i="34" s="1"/>
  <c r="AJ145" i="34"/>
  <c r="T145" i="34" s="1"/>
  <c r="V145" i="34" s="1"/>
  <c r="AH145" i="34"/>
  <c r="AG145" i="34"/>
  <c r="AF145" i="34"/>
  <c r="AE145" i="34"/>
  <c r="AD145" i="34"/>
  <c r="AC145" i="34"/>
  <c r="AA145" i="34"/>
  <c r="Z145" i="34"/>
  <c r="Y145" i="34"/>
  <c r="X145" i="34"/>
  <c r="AH144" i="34"/>
  <c r="AG144" i="34"/>
  <c r="AF144" i="34"/>
  <c r="AE144" i="34"/>
  <c r="AD144" i="34"/>
  <c r="AC144" i="34"/>
  <c r="AA144" i="34"/>
  <c r="Z144" i="34"/>
  <c r="Y144" i="34"/>
  <c r="X144" i="34"/>
  <c r="Q144" i="34"/>
  <c r="R145" i="34" s="1"/>
  <c r="P144" i="34"/>
  <c r="AK143" i="34"/>
  <c r="AL143" i="34" s="1"/>
  <c r="AJ143" i="34"/>
  <c r="T143" i="34" s="1"/>
  <c r="V143" i="34" s="1"/>
  <c r="AH143" i="34"/>
  <c r="AG143" i="34"/>
  <c r="AK142" i="34"/>
  <c r="AL142" i="34" s="1"/>
  <c r="AJ142" i="34"/>
  <c r="T142" i="34" s="1"/>
  <c r="V142" i="34" s="1"/>
  <c r="AI141" i="34"/>
  <c r="AH141" i="34"/>
  <c r="AG141" i="34"/>
  <c r="Q141" i="34"/>
  <c r="R143" i="34" s="1"/>
  <c r="AK140" i="34"/>
  <c r="AL140" i="34" s="1"/>
  <c r="AJ140" i="34"/>
  <c r="T140" i="34" s="1"/>
  <c r="V140" i="34" s="1"/>
  <c r="AI139" i="34"/>
  <c r="AH139" i="34"/>
  <c r="AG139" i="34"/>
  <c r="AF139" i="34"/>
  <c r="AE139" i="34"/>
  <c r="AD139" i="34"/>
  <c r="AC139" i="34"/>
  <c r="AA139" i="34"/>
  <c r="Z139" i="34"/>
  <c r="Y139" i="34"/>
  <c r="X139" i="34"/>
  <c r="Q139" i="34"/>
  <c r="P139" i="34"/>
  <c r="AK138" i="34"/>
  <c r="AL138" i="34" s="1"/>
  <c r="AJ138" i="34"/>
  <c r="T138" i="34" s="1"/>
  <c r="V138" i="34" s="1"/>
  <c r="AK137" i="34"/>
  <c r="AL137" i="34" s="1"/>
  <c r="AJ137" i="34"/>
  <c r="T137" i="34" s="1"/>
  <c r="V137" i="34" s="1"/>
  <c r="AK136" i="34"/>
  <c r="AL136" i="34" s="1"/>
  <c r="AJ136" i="34"/>
  <c r="T136" i="34" s="1"/>
  <c r="V136" i="34" s="1"/>
  <c r="AK135" i="34"/>
  <c r="AL135" i="34" s="1"/>
  <c r="AJ135" i="34"/>
  <c r="T135" i="34" s="1"/>
  <c r="V135" i="34" s="1"/>
  <c r="AK134" i="34"/>
  <c r="AL134" i="34" s="1"/>
  <c r="AJ134" i="34"/>
  <c r="T134" i="34" s="1"/>
  <c r="V134" i="34" s="1"/>
  <c r="AK133" i="34"/>
  <c r="AL133" i="34" s="1"/>
  <c r="AJ133" i="34"/>
  <c r="T133" i="34" s="1"/>
  <c r="V133" i="34" s="1"/>
  <c r="AK132" i="34"/>
  <c r="AL132" i="34" s="1"/>
  <c r="AJ132" i="34"/>
  <c r="T132" i="34" s="1"/>
  <c r="V132" i="34" s="1"/>
  <c r="AH132" i="34"/>
  <c r="AG132" i="34"/>
  <c r="AF132" i="34"/>
  <c r="AE132" i="34"/>
  <c r="AD132" i="34"/>
  <c r="AC132" i="34"/>
  <c r="AA132" i="34"/>
  <c r="Z132" i="34"/>
  <c r="Y132" i="34"/>
  <c r="X132" i="34"/>
  <c r="AK131" i="34"/>
  <c r="AL131" i="34" s="1"/>
  <c r="AJ131" i="34"/>
  <c r="T131" i="34" s="1"/>
  <c r="V131" i="34" s="1"/>
  <c r="AH131" i="34"/>
  <c r="AG131" i="34"/>
  <c r="AF131" i="34"/>
  <c r="AE131" i="34"/>
  <c r="AD131" i="34"/>
  <c r="AC131" i="34"/>
  <c r="AA131" i="34"/>
  <c r="Z131" i="34"/>
  <c r="Y131" i="34"/>
  <c r="X131" i="34"/>
  <c r="AK130" i="34"/>
  <c r="AL130" i="34" s="1"/>
  <c r="AJ130" i="34"/>
  <c r="T130" i="34" s="1"/>
  <c r="V130" i="34" s="1"/>
  <c r="AH130" i="34"/>
  <c r="AG130" i="34"/>
  <c r="AF130" i="34"/>
  <c r="AE130" i="34"/>
  <c r="AD130" i="34"/>
  <c r="AC130" i="34"/>
  <c r="AA130" i="34"/>
  <c r="Z130" i="34"/>
  <c r="Y130" i="34"/>
  <c r="X130" i="34"/>
  <c r="AK129" i="34"/>
  <c r="AL129" i="34" s="1"/>
  <c r="AJ129" i="34"/>
  <c r="T129" i="34" s="1"/>
  <c r="V129" i="34" s="1"/>
  <c r="AH129" i="34"/>
  <c r="AG129" i="34"/>
  <c r="AF129" i="34"/>
  <c r="AE129" i="34"/>
  <c r="AD129" i="34"/>
  <c r="AC129" i="34"/>
  <c r="AA129" i="34"/>
  <c r="Z129" i="34"/>
  <c r="Y129" i="34"/>
  <c r="X129" i="34"/>
  <c r="AK128" i="34"/>
  <c r="AL128" i="34" s="1"/>
  <c r="AJ128" i="34"/>
  <c r="T128" i="34" s="1"/>
  <c r="V128" i="34" s="1"/>
  <c r="AH128" i="34"/>
  <c r="AG128" i="34"/>
  <c r="AF128" i="34"/>
  <c r="AE128" i="34"/>
  <c r="AD128" i="34"/>
  <c r="AC128" i="34"/>
  <c r="AA128" i="34"/>
  <c r="Z128" i="34"/>
  <c r="Y128" i="34"/>
  <c r="X128" i="34"/>
  <c r="AI127" i="34"/>
  <c r="AH127" i="34"/>
  <c r="AG127" i="34"/>
  <c r="AG124" i="34" s="1"/>
  <c r="AF127" i="34"/>
  <c r="AF124" i="34" s="1"/>
  <c r="AE127" i="34"/>
  <c r="AE124" i="34" s="1"/>
  <c r="AD127" i="34"/>
  <c r="AD124" i="34" s="1"/>
  <c r="AC127" i="34"/>
  <c r="AA127" i="34"/>
  <c r="AA124" i="34" s="1"/>
  <c r="Z127" i="34"/>
  <c r="Z124" i="34" s="1"/>
  <c r="Y127" i="34"/>
  <c r="Y124" i="34" s="1"/>
  <c r="X127" i="34"/>
  <c r="X124" i="34" s="1"/>
  <c r="Q127" i="34"/>
  <c r="R138" i="34" s="1"/>
  <c r="P127" i="34"/>
  <c r="AK126" i="34"/>
  <c r="AL126" i="34" s="1"/>
  <c r="AJ126" i="34"/>
  <c r="T126" i="34" s="1"/>
  <c r="V126" i="34" s="1"/>
  <c r="AH126" i="34"/>
  <c r="AG126" i="34"/>
  <c r="AF126" i="34"/>
  <c r="AE126" i="34"/>
  <c r="AD126" i="34"/>
  <c r="AC126" i="34"/>
  <c r="AA126" i="34"/>
  <c r="Z126" i="34"/>
  <c r="Y126" i="34"/>
  <c r="X126" i="34"/>
  <c r="AI125" i="34"/>
  <c r="AH125" i="34"/>
  <c r="AG125" i="34"/>
  <c r="AF125" i="34"/>
  <c r="AE125" i="34"/>
  <c r="AD125" i="34"/>
  <c r="AC125" i="34"/>
  <c r="AA125" i="34"/>
  <c r="Z125" i="34"/>
  <c r="Y125" i="34"/>
  <c r="X125" i="34"/>
  <c r="Q125" i="34"/>
  <c r="P125" i="34"/>
  <c r="AC124" i="34"/>
  <c r="AB124" i="34"/>
  <c r="W124" i="34"/>
  <c r="O124" i="34"/>
  <c r="AK123" i="34"/>
  <c r="AL123" i="34" s="1"/>
  <c r="AJ123" i="34"/>
  <c r="T123" i="34" s="1"/>
  <c r="V123" i="34" s="1"/>
  <c r="AK122" i="34"/>
  <c r="AL122" i="34" s="1"/>
  <c r="AJ122" i="34"/>
  <c r="T122" i="34" s="1"/>
  <c r="V122" i="34" s="1"/>
  <c r="AJ121" i="34"/>
  <c r="T121" i="34" s="1"/>
  <c r="V121" i="34" s="1"/>
  <c r="AK121" i="34"/>
  <c r="AL121" i="34" s="1"/>
  <c r="AK120" i="34"/>
  <c r="AL120" i="34" s="1"/>
  <c r="AJ120" i="34"/>
  <c r="T120" i="34" s="1"/>
  <c r="V120" i="34" s="1"/>
  <c r="AK119" i="34"/>
  <c r="AL119" i="34" s="1"/>
  <c r="AJ119" i="34"/>
  <c r="T119" i="34" s="1"/>
  <c r="V119" i="34" s="1"/>
  <c r="AK118" i="34"/>
  <c r="AL118" i="34" s="1"/>
  <c r="AJ118" i="34"/>
  <c r="T118" i="34" s="1"/>
  <c r="V118" i="34" s="1"/>
  <c r="AK117" i="34"/>
  <c r="AL117" i="34" s="1"/>
  <c r="AJ117" i="34"/>
  <c r="T117" i="34" s="1"/>
  <c r="V117" i="34" s="1"/>
  <c r="AK116" i="34"/>
  <c r="AL116" i="34" s="1"/>
  <c r="AJ116" i="34"/>
  <c r="T116" i="34" s="1"/>
  <c r="V116" i="34" s="1"/>
  <c r="AK115" i="34"/>
  <c r="AL115" i="34" s="1"/>
  <c r="AJ115" i="34"/>
  <c r="T115" i="34" s="1"/>
  <c r="V115" i="34" s="1"/>
  <c r="AK114" i="34"/>
  <c r="AL114" i="34" s="1"/>
  <c r="AJ114" i="34"/>
  <c r="T114" i="34" s="1"/>
  <c r="V114" i="34" s="1"/>
  <c r="AK113" i="34"/>
  <c r="AL113" i="34" s="1"/>
  <c r="AJ113" i="34"/>
  <c r="T113" i="34" s="1"/>
  <c r="V113" i="34" s="1"/>
  <c r="AK112" i="34"/>
  <c r="AL112" i="34" s="1"/>
  <c r="AJ112" i="34"/>
  <c r="T112" i="34" s="1"/>
  <c r="V112" i="34" s="1"/>
  <c r="AK111" i="34"/>
  <c r="AL111" i="34" s="1"/>
  <c r="AJ111" i="34"/>
  <c r="T111" i="34" s="1"/>
  <c r="V111" i="34" s="1"/>
  <c r="AI110" i="34"/>
  <c r="AH110" i="34"/>
  <c r="AG110" i="34"/>
  <c r="AF110" i="34"/>
  <c r="AE110" i="34"/>
  <c r="AD110" i="34"/>
  <c r="AC110" i="34"/>
  <c r="AA110" i="34"/>
  <c r="Z110" i="34"/>
  <c r="Y110" i="34"/>
  <c r="X110" i="34"/>
  <c r="Q110" i="34"/>
  <c r="P110" i="34"/>
  <c r="AK109" i="34"/>
  <c r="AL109" i="34" s="1"/>
  <c r="AJ109" i="34"/>
  <c r="T109" i="34" s="1"/>
  <c r="V109" i="34" s="1"/>
  <c r="AK108" i="34"/>
  <c r="AL108" i="34" s="1"/>
  <c r="AJ108" i="34"/>
  <c r="T108" i="34" s="1"/>
  <c r="V108" i="34" s="1"/>
  <c r="AK107" i="34"/>
  <c r="AL107" i="34" s="1"/>
  <c r="AJ107" i="34"/>
  <c r="T107" i="34" s="1"/>
  <c r="V107" i="34" s="1"/>
  <c r="AK106" i="34"/>
  <c r="AL106" i="34" s="1"/>
  <c r="AK105" i="34"/>
  <c r="AL105" i="34" s="1"/>
  <c r="AJ105" i="34"/>
  <c r="T105" i="34" s="1"/>
  <c r="V105" i="34" s="1"/>
  <c r="AK104" i="34"/>
  <c r="AL104" i="34" s="1"/>
  <c r="AJ104" i="34"/>
  <c r="T104" i="34" s="1"/>
  <c r="V104" i="34" s="1"/>
  <c r="AK103" i="34"/>
  <c r="AL103" i="34" s="1"/>
  <c r="AJ103" i="34"/>
  <c r="T103" i="34" s="1"/>
  <c r="V103" i="34" s="1"/>
  <c r="AK102" i="34"/>
  <c r="AL102" i="34" s="1"/>
  <c r="AJ102" i="34"/>
  <c r="T102" i="34" s="1"/>
  <c r="V102" i="34" s="1"/>
  <c r="AK101" i="34"/>
  <c r="AL101" i="34" s="1"/>
  <c r="AJ101" i="34"/>
  <c r="T101" i="34" s="1"/>
  <c r="V101" i="34" s="1"/>
  <c r="AK100" i="34"/>
  <c r="AL100" i="34" s="1"/>
  <c r="AJ100" i="34"/>
  <c r="T100" i="34" s="1"/>
  <c r="V100" i="34" s="1"/>
  <c r="AK99" i="34"/>
  <c r="AL99" i="34" s="1"/>
  <c r="AJ99" i="34"/>
  <c r="T99" i="34" s="1"/>
  <c r="V99" i="34" s="1"/>
  <c r="AK98" i="34"/>
  <c r="AL98" i="34" s="1"/>
  <c r="AJ98" i="34"/>
  <c r="T98" i="34" s="1"/>
  <c r="V98" i="34" s="1"/>
  <c r="AK97" i="34"/>
  <c r="AL97" i="34" s="1"/>
  <c r="AJ97" i="34"/>
  <c r="T97" i="34" s="1"/>
  <c r="V97" i="34" s="1"/>
  <c r="AH96" i="34"/>
  <c r="AG96" i="34"/>
  <c r="AF96" i="34"/>
  <c r="AE96" i="34"/>
  <c r="AD96" i="34"/>
  <c r="AC96" i="34"/>
  <c r="AA96" i="34"/>
  <c r="Z96" i="34"/>
  <c r="Y96" i="34"/>
  <c r="X96" i="34"/>
  <c r="Q96" i="34"/>
  <c r="P96" i="34"/>
  <c r="AK95" i="34"/>
  <c r="AL95" i="34" s="1"/>
  <c r="AJ95" i="34"/>
  <c r="T95" i="34" s="1"/>
  <c r="V95" i="34" s="1"/>
  <c r="AI94" i="34"/>
  <c r="AH94" i="34"/>
  <c r="AG94" i="34"/>
  <c r="AF94" i="34"/>
  <c r="AE94" i="34"/>
  <c r="AD94" i="34"/>
  <c r="AC94" i="34"/>
  <c r="AA94" i="34"/>
  <c r="Z94" i="34"/>
  <c r="Y94" i="34"/>
  <c r="X94" i="34"/>
  <c r="Q94" i="34"/>
  <c r="R119" i="34" s="1"/>
  <c r="P94" i="34"/>
  <c r="AK93" i="34"/>
  <c r="AL93" i="34" s="1"/>
  <c r="AJ93" i="34"/>
  <c r="T93" i="34" s="1"/>
  <c r="V93" i="34" s="1"/>
  <c r="AI92" i="34"/>
  <c r="AH92" i="34"/>
  <c r="AG92" i="34"/>
  <c r="AF92" i="34"/>
  <c r="AE92" i="34"/>
  <c r="AD92" i="34"/>
  <c r="AC92" i="34"/>
  <c r="AA92" i="34"/>
  <c r="Z92" i="34"/>
  <c r="Y92" i="34"/>
  <c r="X92" i="34"/>
  <c r="Q92" i="34"/>
  <c r="R93" i="34" s="1"/>
  <c r="P92" i="34"/>
  <c r="AK91" i="34"/>
  <c r="AL91" i="34" s="1"/>
  <c r="AJ91" i="34"/>
  <c r="T91" i="34" s="1"/>
  <c r="V91" i="34" s="1"/>
  <c r="AK90" i="34"/>
  <c r="AL90" i="34" s="1"/>
  <c r="AJ90" i="34"/>
  <c r="T90" i="34" s="1"/>
  <c r="V90" i="34" s="1"/>
  <c r="AI89" i="34"/>
  <c r="AH89" i="34"/>
  <c r="AG89" i="34"/>
  <c r="AF89" i="34"/>
  <c r="AE89" i="34"/>
  <c r="AD89" i="34"/>
  <c r="AC89" i="34"/>
  <c r="AA89" i="34"/>
  <c r="Z89" i="34"/>
  <c r="Y89" i="34"/>
  <c r="X89" i="34"/>
  <c r="Q89" i="34"/>
  <c r="P89" i="34"/>
  <c r="AK88" i="34"/>
  <c r="AL88" i="34" s="1"/>
  <c r="AJ88" i="34"/>
  <c r="T88" i="34" s="1"/>
  <c r="V88" i="34" s="1"/>
  <c r="AK87" i="34"/>
  <c r="AL87" i="34" s="1"/>
  <c r="AJ87" i="34"/>
  <c r="T87" i="34" s="1"/>
  <c r="V87" i="34" s="1"/>
  <c r="AI86" i="34"/>
  <c r="AH86" i="34"/>
  <c r="AG86" i="34"/>
  <c r="AF86" i="34"/>
  <c r="AE86" i="34"/>
  <c r="AD86" i="34"/>
  <c r="AC86" i="34"/>
  <c r="AA86" i="34"/>
  <c r="Z86" i="34"/>
  <c r="Y86" i="34"/>
  <c r="X86" i="34"/>
  <c r="Q86" i="34"/>
  <c r="R88" i="34" s="1"/>
  <c r="P86" i="34"/>
  <c r="AK85" i="34"/>
  <c r="AL85" i="34" s="1"/>
  <c r="AJ85" i="34"/>
  <c r="T85" i="34" s="1"/>
  <c r="V85" i="34" s="1"/>
  <c r="AK84" i="34"/>
  <c r="AL84" i="34" s="1"/>
  <c r="AJ84" i="34"/>
  <c r="T84" i="34" s="1"/>
  <c r="V84" i="34" s="1"/>
  <c r="AI83" i="34"/>
  <c r="AH83" i="34"/>
  <c r="AF83" i="34"/>
  <c r="AE83" i="34"/>
  <c r="AD83" i="34"/>
  <c r="AC83" i="34"/>
  <c r="AA83" i="34"/>
  <c r="Z83" i="34"/>
  <c r="Y83" i="34"/>
  <c r="X83" i="34"/>
  <c r="Q83" i="34"/>
  <c r="AK82" i="34"/>
  <c r="AL82" i="34" s="1"/>
  <c r="AJ82" i="34"/>
  <c r="T82" i="34" s="1"/>
  <c r="V82" i="34" s="1"/>
  <c r="AI81" i="34"/>
  <c r="AH81" i="34"/>
  <c r="AF81" i="34"/>
  <c r="AE81" i="34"/>
  <c r="AD81" i="34"/>
  <c r="AC81" i="34"/>
  <c r="AA81" i="34"/>
  <c r="Z81" i="34"/>
  <c r="Y81" i="34"/>
  <c r="X81" i="34"/>
  <c r="Q81" i="34"/>
  <c r="P81" i="34"/>
  <c r="AK80" i="34"/>
  <c r="AL80" i="34" s="1"/>
  <c r="AJ80" i="34"/>
  <c r="T80" i="34" s="1"/>
  <c r="V80" i="34" s="1"/>
  <c r="AK79" i="34"/>
  <c r="AL79" i="34" s="1"/>
  <c r="AJ79" i="34"/>
  <c r="T79" i="34" s="1"/>
  <c r="V79" i="34" s="1"/>
  <c r="AK78" i="34"/>
  <c r="AL78" i="34" s="1"/>
  <c r="AJ78" i="34"/>
  <c r="T78" i="34" s="1"/>
  <c r="V78" i="34" s="1"/>
  <c r="AK77" i="34"/>
  <c r="AL77" i="34" s="1"/>
  <c r="AJ77" i="34"/>
  <c r="T77" i="34" s="1"/>
  <c r="V77" i="34" s="1"/>
  <c r="AK76" i="34"/>
  <c r="AL76" i="34" s="1"/>
  <c r="AJ76" i="34"/>
  <c r="T76" i="34" s="1"/>
  <c r="V76" i="34" s="1"/>
  <c r="AI75" i="34"/>
  <c r="AH75" i="34"/>
  <c r="AG75" i="34"/>
  <c r="AF75" i="34"/>
  <c r="AE75" i="34"/>
  <c r="AD75" i="34"/>
  <c r="AC75" i="34"/>
  <c r="AA75" i="34"/>
  <c r="Z75" i="34"/>
  <c r="Y75" i="34"/>
  <c r="X75" i="34"/>
  <c r="Q75" i="34"/>
  <c r="R79" i="34" s="1"/>
  <c r="P75" i="34"/>
  <c r="AK74" i="34"/>
  <c r="AL74" i="34" s="1"/>
  <c r="AJ74" i="34"/>
  <c r="T74" i="34" s="1"/>
  <c r="V74" i="34" s="1"/>
  <c r="AK73" i="34"/>
  <c r="AL73" i="34" s="1"/>
  <c r="AJ73" i="34"/>
  <c r="T73" i="34" s="1"/>
  <c r="V73" i="34" s="1"/>
  <c r="AI72" i="34"/>
  <c r="AH72" i="34"/>
  <c r="AG72" i="34"/>
  <c r="AF72" i="34"/>
  <c r="AE72" i="34"/>
  <c r="AD72" i="34"/>
  <c r="AC72" i="34"/>
  <c r="AA72" i="34"/>
  <c r="Z72" i="34"/>
  <c r="Y72" i="34"/>
  <c r="X72" i="34"/>
  <c r="Q72" i="34"/>
  <c r="R73" i="34" s="1"/>
  <c r="P72" i="34"/>
  <c r="AK71" i="34"/>
  <c r="AL71" i="34" s="1"/>
  <c r="AJ71" i="34"/>
  <c r="T71" i="34" s="1"/>
  <c r="V71" i="34" s="1"/>
  <c r="AH71" i="34"/>
  <c r="AG71" i="34"/>
  <c r="AF71" i="34"/>
  <c r="AE71" i="34"/>
  <c r="AD71" i="34"/>
  <c r="AC71" i="34"/>
  <c r="AA71" i="34"/>
  <c r="Z71" i="34"/>
  <c r="Y71" i="34"/>
  <c r="X71" i="34"/>
  <c r="AK70" i="34"/>
  <c r="AL70" i="34" s="1"/>
  <c r="AJ70" i="34"/>
  <c r="T70" i="34" s="1"/>
  <c r="V70" i="34" s="1"/>
  <c r="AK69" i="34"/>
  <c r="AL69" i="34" s="1"/>
  <c r="AJ69" i="34"/>
  <c r="T69" i="34" s="1"/>
  <c r="V69" i="34" s="1"/>
  <c r="AH69" i="34"/>
  <c r="AG69" i="34"/>
  <c r="AF69" i="34"/>
  <c r="AE69" i="34"/>
  <c r="AD69" i="34"/>
  <c r="AC69" i="34"/>
  <c r="AA69" i="34"/>
  <c r="Z69" i="34"/>
  <c r="Y69" i="34"/>
  <c r="X69" i="34"/>
  <c r="AI68" i="34"/>
  <c r="AH68" i="34"/>
  <c r="AG68" i="34"/>
  <c r="AF68" i="34"/>
  <c r="AE68" i="34"/>
  <c r="AD68" i="34"/>
  <c r="AC68" i="34"/>
  <c r="AA68" i="34"/>
  <c r="Z68" i="34"/>
  <c r="Y68" i="34"/>
  <c r="X68" i="34"/>
  <c r="Q68" i="34"/>
  <c r="P68" i="34"/>
  <c r="AK67" i="34"/>
  <c r="AL67" i="34" s="1"/>
  <c r="AJ67" i="34"/>
  <c r="T67" i="34" s="1"/>
  <c r="V67" i="34" s="1"/>
  <c r="AH67" i="34"/>
  <c r="AG67" i="34"/>
  <c r="AF67" i="34"/>
  <c r="AE67" i="34"/>
  <c r="AD67" i="34"/>
  <c r="AC67" i="34"/>
  <c r="AA67" i="34"/>
  <c r="Z67" i="34"/>
  <c r="Y67" i="34"/>
  <c r="X67" i="34"/>
  <c r="AI66" i="34"/>
  <c r="AH66" i="34"/>
  <c r="AG66" i="34"/>
  <c r="AF66" i="34"/>
  <c r="AE66" i="34"/>
  <c r="AD66" i="34"/>
  <c r="AC66" i="34"/>
  <c r="AA66" i="34"/>
  <c r="Z66" i="34"/>
  <c r="Y66" i="34"/>
  <c r="X66" i="34"/>
  <c r="Q66" i="34"/>
  <c r="P66" i="34"/>
  <c r="AK65" i="34"/>
  <c r="AL65" i="34" s="1"/>
  <c r="AJ65" i="34"/>
  <c r="T65" i="34" s="1"/>
  <c r="V65" i="34" s="1"/>
  <c r="AH65" i="34"/>
  <c r="AG65" i="34"/>
  <c r="AF65" i="34"/>
  <c r="AE65" i="34"/>
  <c r="AD65" i="34"/>
  <c r="AC65" i="34"/>
  <c r="AA65" i="34"/>
  <c r="Z65" i="34"/>
  <c r="Y65" i="34"/>
  <c r="X65" i="34"/>
  <c r="AK64" i="34"/>
  <c r="AL64" i="34" s="1"/>
  <c r="AJ64" i="34"/>
  <c r="T64" i="34" s="1"/>
  <c r="V64" i="34" s="1"/>
  <c r="AK63" i="34"/>
  <c r="AL63" i="34" s="1"/>
  <c r="AJ63" i="34"/>
  <c r="T63" i="34" s="1"/>
  <c r="V63" i="34" s="1"/>
  <c r="AH63" i="34"/>
  <c r="AG63" i="34"/>
  <c r="AF63" i="34"/>
  <c r="AE63" i="34"/>
  <c r="AD63" i="34"/>
  <c r="AC63" i="34"/>
  <c r="AA63" i="34"/>
  <c r="Z63" i="34"/>
  <c r="Y63" i="34"/>
  <c r="X63" i="34"/>
  <c r="AI62" i="34"/>
  <c r="AH62" i="34"/>
  <c r="AG62" i="34"/>
  <c r="AF62" i="34"/>
  <c r="AE62" i="34"/>
  <c r="AD62" i="34"/>
  <c r="AC62" i="34"/>
  <c r="AA62" i="34"/>
  <c r="Z62" i="34"/>
  <c r="Y62" i="34"/>
  <c r="X62" i="34"/>
  <c r="Q62" i="34"/>
  <c r="R65" i="34" s="1"/>
  <c r="P62" i="34"/>
  <c r="A62" i="34"/>
  <c r="A66" i="34" s="1"/>
  <c r="A68" i="34" s="1"/>
  <c r="A72" i="34" s="1"/>
  <c r="A75" i="34" s="1"/>
  <c r="A81" i="34" s="1"/>
  <c r="A83" i="34" s="1"/>
  <c r="A86" i="34" s="1"/>
  <c r="A89" i="34" s="1"/>
  <c r="A92" i="34" s="1"/>
  <c r="A94" i="34" s="1"/>
  <c r="A96" i="34" s="1"/>
  <c r="A110" i="34" s="1"/>
  <c r="A125" i="34" s="1"/>
  <c r="A127" i="34" s="1"/>
  <c r="A139" i="34" s="1"/>
  <c r="A141" i="34" s="1"/>
  <c r="A144" i="34" s="1"/>
  <c r="A148" i="34" s="1"/>
  <c r="A155" i="34" s="1"/>
  <c r="A157" i="34" s="1"/>
  <c r="A159" i="34" s="1"/>
  <c r="A162" i="34" s="1"/>
  <c r="A165" i="34" s="1"/>
  <c r="A169" i="34" s="1"/>
  <c r="A171" i="34" s="1"/>
  <c r="A181" i="34" s="1"/>
  <c r="A193" i="34" s="1"/>
  <c r="AK61" i="34"/>
  <c r="AL61" i="34" s="1"/>
  <c r="AJ61" i="34"/>
  <c r="T61" i="34" s="1"/>
  <c r="V61" i="34" s="1"/>
  <c r="AH61" i="34"/>
  <c r="AG61" i="34"/>
  <c r="AF61" i="34"/>
  <c r="AE61" i="34"/>
  <c r="AD61" i="34"/>
  <c r="AC61" i="34"/>
  <c r="AA61" i="34"/>
  <c r="Z61" i="34"/>
  <c r="Y61" i="34"/>
  <c r="X61" i="34"/>
  <c r="AI60" i="34"/>
  <c r="AH60" i="34"/>
  <c r="AG60" i="34"/>
  <c r="AG59" i="34" s="1"/>
  <c r="AG58" i="34" s="1"/>
  <c r="AF60" i="34"/>
  <c r="AF59" i="34" s="1"/>
  <c r="AF58" i="34" s="1"/>
  <c r="AE60" i="34"/>
  <c r="AE59" i="34" s="1"/>
  <c r="AE58" i="34" s="1"/>
  <c r="AD60" i="34"/>
  <c r="AD59" i="34" s="1"/>
  <c r="AD58" i="34" s="1"/>
  <c r="AC60" i="34"/>
  <c r="AC59" i="34" s="1"/>
  <c r="AC58" i="34" s="1"/>
  <c r="AA60" i="34"/>
  <c r="AA59" i="34" s="1"/>
  <c r="AA58" i="34" s="1"/>
  <c r="Z60" i="34"/>
  <c r="Z59" i="34" s="1"/>
  <c r="Z58" i="34" s="1"/>
  <c r="Y60" i="34"/>
  <c r="X60" i="34"/>
  <c r="X59" i="34" s="1"/>
  <c r="X58" i="34" s="1"/>
  <c r="Q60" i="34"/>
  <c r="R61" i="34" s="1"/>
  <c r="AB59" i="34"/>
  <c r="AB58" i="34" s="1"/>
  <c r="AB35" i="34" s="1"/>
  <c r="Y59" i="34"/>
  <c r="Y58" i="34" s="1"/>
  <c r="W59" i="34"/>
  <c r="W58" i="34" s="1"/>
  <c r="W35" i="34" s="1"/>
  <c r="S59" i="34"/>
  <c r="S58" i="34" s="1"/>
  <c r="O59" i="34"/>
  <c r="AK56" i="34"/>
  <c r="AL56" i="34" s="1"/>
  <c r="AJ56" i="34"/>
  <c r="T56" i="34" s="1"/>
  <c r="V56" i="34" s="1"/>
  <c r="AI55" i="34"/>
  <c r="Q55" i="34"/>
  <c r="AK53" i="34"/>
  <c r="AL53" i="34" s="1"/>
  <c r="AJ53" i="34"/>
  <c r="T53" i="34" s="1"/>
  <c r="V53" i="34" s="1"/>
  <c r="AK52" i="34"/>
  <c r="AL52" i="34" s="1"/>
  <c r="AJ52" i="34"/>
  <c r="T52" i="34" s="1"/>
  <c r="V52" i="34" s="1"/>
  <c r="AK51" i="34"/>
  <c r="AL51" i="34" s="1"/>
  <c r="AK48" i="34"/>
  <c r="AL48" i="34" s="1"/>
  <c r="AJ48" i="34"/>
  <c r="T48" i="34" s="1"/>
  <c r="V48" i="34" s="1"/>
  <c r="AK47" i="34"/>
  <c r="AL47" i="34" s="1"/>
  <c r="AJ47" i="34"/>
  <c r="T47" i="34" s="1"/>
  <c r="V47" i="34" s="1"/>
  <c r="AK46" i="34"/>
  <c r="AL46" i="34" s="1"/>
  <c r="AJ46" i="34"/>
  <c r="T46" i="34" s="1"/>
  <c r="V46" i="34" s="1"/>
  <c r="AK45" i="34"/>
  <c r="AL45" i="34" s="1"/>
  <c r="AJ45" i="34"/>
  <c r="T45" i="34" s="1"/>
  <c r="V45" i="34" s="1"/>
  <c r="AK44" i="34"/>
  <c r="AL44" i="34" s="1"/>
  <c r="AJ44" i="34"/>
  <c r="T44" i="34" s="1"/>
  <c r="V44" i="34" s="1"/>
  <c r="AK43" i="34"/>
  <c r="AL43" i="34" s="1"/>
  <c r="AJ43" i="34"/>
  <c r="T43" i="34" s="1"/>
  <c r="V43" i="34" s="1"/>
  <c r="AK42" i="34"/>
  <c r="AL42" i="34" s="1"/>
  <c r="AJ42" i="34"/>
  <c r="T42" i="34" s="1"/>
  <c r="V42" i="34" s="1"/>
  <c r="AK41" i="34"/>
  <c r="AL41" i="34" s="1"/>
  <c r="AJ41" i="34"/>
  <c r="T41" i="34" s="1"/>
  <c r="V41" i="34" s="1"/>
  <c r="AK40" i="34"/>
  <c r="AL40" i="34" s="1"/>
  <c r="AJ40" i="34"/>
  <c r="T40" i="34" s="1"/>
  <c r="V40" i="34" s="1"/>
  <c r="AK39" i="34"/>
  <c r="AH37" i="34"/>
  <c r="AG37" i="34"/>
  <c r="AG35" i="34" s="1"/>
  <c r="AF37" i="34"/>
  <c r="AF35" i="34" s="1"/>
  <c r="AE37" i="34"/>
  <c r="AE35" i="34" s="1"/>
  <c r="AD37" i="34"/>
  <c r="AD35" i="34" s="1"/>
  <c r="AC37" i="34"/>
  <c r="AC35" i="34" s="1"/>
  <c r="AA37" i="34"/>
  <c r="AA35" i="34" s="1"/>
  <c r="Z37" i="34"/>
  <c r="Z35" i="34" s="1"/>
  <c r="Y37" i="34"/>
  <c r="Y35" i="34" s="1"/>
  <c r="X37" i="34"/>
  <c r="X35" i="34" s="1"/>
  <c r="P37" i="34"/>
  <c r="S35" i="34"/>
  <c r="AK34" i="34"/>
  <c r="AB34" i="34"/>
  <c r="AA34" i="34"/>
  <c r="Z34" i="34"/>
  <c r="Y34" i="34"/>
  <c r="T34" i="34"/>
  <c r="V34" i="34" s="1"/>
  <c r="AK33" i="34"/>
  <c r="AB33" i="34"/>
  <c r="AB12" i="34" s="1"/>
  <c r="AA33" i="34"/>
  <c r="Z33" i="34"/>
  <c r="Y33" i="34"/>
  <c r="T33" i="34"/>
  <c r="V33" i="34" s="1"/>
  <c r="AK32" i="34"/>
  <c r="AB32" i="34"/>
  <c r="AA32" i="34"/>
  <c r="Z32" i="34"/>
  <c r="Y32" i="34"/>
  <c r="T32" i="34"/>
  <c r="V32" i="34" s="1"/>
  <c r="AK31" i="34"/>
  <c r="AB31" i="34"/>
  <c r="AA31" i="34"/>
  <c r="Z31" i="34"/>
  <c r="Y31" i="34"/>
  <c r="T31" i="34"/>
  <c r="V31" i="34" s="1"/>
  <c r="AK30" i="34"/>
  <c r="AB30" i="34"/>
  <c r="AA30" i="34"/>
  <c r="Z30" i="34"/>
  <c r="Y30" i="34"/>
  <c r="T30" i="34"/>
  <c r="V30" i="34" s="1"/>
  <c r="AK29" i="34"/>
  <c r="AL29" i="34" s="1"/>
  <c r="AB29" i="34"/>
  <c r="AA29" i="34"/>
  <c r="Z29" i="34"/>
  <c r="Y29" i="34"/>
  <c r="AK28" i="34"/>
  <c r="AB28" i="34"/>
  <c r="AA28" i="34"/>
  <c r="Z28" i="34"/>
  <c r="Y28" i="34"/>
  <c r="T28" i="34"/>
  <c r="V28" i="34" s="1"/>
  <c r="AJ27" i="34"/>
  <c r="T27" i="34" s="1"/>
  <c r="V27" i="34" s="1"/>
  <c r="AK27" i="34"/>
  <c r="AL27" i="34" s="1"/>
  <c r="AB27" i="34"/>
  <c r="AA27" i="34"/>
  <c r="Y27" i="34"/>
  <c r="AH26" i="34"/>
  <c r="AG26" i="34"/>
  <c r="AG12" i="34" s="1"/>
  <c r="AF26" i="34"/>
  <c r="AF12" i="34" s="1"/>
  <c r="AE26" i="34"/>
  <c r="AE12" i="34" s="1"/>
  <c r="AD26" i="34"/>
  <c r="AD12" i="34" s="1"/>
  <c r="AC26" i="34"/>
  <c r="AC12" i="34" s="1"/>
  <c r="AA26" i="34"/>
  <c r="AA12" i="34" s="1"/>
  <c r="Z26" i="34"/>
  <c r="Z12" i="34" s="1"/>
  <c r="Y26" i="34"/>
  <c r="Y12" i="34" s="1"/>
  <c r="X26" i="34"/>
  <c r="X12" i="34" s="1"/>
  <c r="Q26" i="34"/>
  <c r="P26" i="34"/>
  <c r="AI24" i="34"/>
  <c r="AC25" i="34"/>
  <c r="AH24" i="34"/>
  <c r="AG24" i="34"/>
  <c r="AF24" i="34"/>
  <c r="AE24" i="34"/>
  <c r="AD24" i="34"/>
  <c r="AC24" i="34"/>
  <c r="AA24" i="34"/>
  <c r="Z24" i="34"/>
  <c r="Y24" i="34"/>
  <c r="X24" i="34"/>
  <c r="Q24" i="34"/>
  <c r="R24" i="34" s="1"/>
  <c r="P24" i="34"/>
  <c r="AJ23" i="34"/>
  <c r="T23" i="34" s="1"/>
  <c r="V23" i="34" s="1"/>
  <c r="AK23" i="34"/>
  <c r="AL23" i="34" s="1"/>
  <c r="AK22" i="34"/>
  <c r="AL22" i="34" s="1"/>
  <c r="AJ22" i="34"/>
  <c r="T22" i="34" s="1"/>
  <c r="V22" i="34" s="1"/>
  <c r="AK21" i="34"/>
  <c r="AL21" i="34" s="1"/>
  <c r="AJ21" i="34"/>
  <c r="T21" i="34" s="1"/>
  <c r="V21" i="34" s="1"/>
  <c r="AK20" i="34"/>
  <c r="AL20" i="34" s="1"/>
  <c r="AJ19" i="34"/>
  <c r="T19" i="34" s="1"/>
  <c r="V19" i="34" s="1"/>
  <c r="AK19" i="34"/>
  <c r="AL19" i="34" s="1"/>
  <c r="AK18" i="34"/>
  <c r="AL18" i="34" s="1"/>
  <c r="AK17" i="34"/>
  <c r="AL17" i="34" s="1"/>
  <c r="AJ17" i="34"/>
  <c r="T17" i="34" s="1"/>
  <c r="V17" i="34" s="1"/>
  <c r="AK16" i="34"/>
  <c r="AL16" i="34" s="1"/>
  <c r="AJ15" i="34"/>
  <c r="T15" i="34" s="1"/>
  <c r="V15" i="34" s="1"/>
  <c r="AI14" i="34"/>
  <c r="AH14" i="34"/>
  <c r="AG14" i="34"/>
  <c r="AG10" i="34" s="1"/>
  <c r="AF14" i="34"/>
  <c r="AF10" i="34" s="1"/>
  <c r="AE14" i="34"/>
  <c r="AE10" i="34" s="1"/>
  <c r="AD14" i="34"/>
  <c r="AD10" i="34" s="1"/>
  <c r="AC14" i="34"/>
  <c r="AC10" i="34" s="1"/>
  <c r="AA14" i="34"/>
  <c r="AA10" i="34" s="1"/>
  <c r="Z14" i="34"/>
  <c r="Z10" i="34" s="1"/>
  <c r="Y14" i="34"/>
  <c r="Y10" i="34" s="1"/>
  <c r="X14" i="34"/>
  <c r="X10" i="34" s="1"/>
  <c r="Q14" i="34"/>
  <c r="AS15" i="34" s="1"/>
  <c r="P14" i="34"/>
  <c r="AH12" i="34"/>
  <c r="W12" i="34"/>
  <c r="P12" i="34"/>
  <c r="O12" i="34"/>
  <c r="AB10" i="34"/>
  <c r="W10" i="34"/>
  <c r="S10" i="34"/>
  <c r="O10" i="34"/>
  <c r="AI29" i="32"/>
  <c r="AI29" i="31"/>
  <c r="AI29" i="30"/>
  <c r="AI29" i="28"/>
  <c r="AI28" i="32"/>
  <c r="AI27" i="32"/>
  <c r="AI31" i="32"/>
  <c r="P168" i="34" l="1"/>
  <c r="R314" i="34"/>
  <c r="U591" i="34"/>
  <c r="AK155" i="34"/>
  <c r="AL155" i="34" s="1"/>
  <c r="AJ157" i="34"/>
  <c r="T157" i="34" s="1"/>
  <c r="V157" i="34" s="1"/>
  <c r="AK159" i="34"/>
  <c r="AL159" i="34" s="1"/>
  <c r="R612" i="34"/>
  <c r="AJ110" i="34"/>
  <c r="T110" i="34" s="1"/>
  <c r="V110" i="34" s="1"/>
  <c r="R313" i="34"/>
  <c r="R547" i="34"/>
  <c r="U684" i="34"/>
  <c r="R456" i="34"/>
  <c r="AJ169" i="34"/>
  <c r="T169" i="34" s="1"/>
  <c r="V169" i="34" s="1"/>
  <c r="U391" i="34"/>
  <c r="R416" i="34"/>
  <c r="U474" i="34"/>
  <c r="U658" i="34"/>
  <c r="AJ60" i="34"/>
  <c r="T60" i="34" s="1"/>
  <c r="V60" i="34" s="1"/>
  <c r="R160" i="34"/>
  <c r="AH10" i="34"/>
  <c r="U88" i="34"/>
  <c r="AJ94" i="34"/>
  <c r="T94" i="34" s="1"/>
  <c r="V94" i="34" s="1"/>
  <c r="R107" i="34"/>
  <c r="R267" i="34"/>
  <c r="R278" i="34"/>
  <c r="R283" i="34"/>
  <c r="AJ309" i="34"/>
  <c r="T309" i="34" s="1"/>
  <c r="V309" i="34" s="1"/>
  <c r="U344" i="34"/>
  <c r="U361" i="34"/>
  <c r="U499" i="34"/>
  <c r="R539" i="34"/>
  <c r="R540" i="34"/>
  <c r="U540" i="34" s="1"/>
  <c r="U579" i="34"/>
  <c r="R660" i="34"/>
  <c r="R77" i="34"/>
  <c r="U77" i="34" s="1"/>
  <c r="R95" i="34"/>
  <c r="R118" i="34"/>
  <c r="U160" i="34"/>
  <c r="R277" i="34"/>
  <c r="R286" i="34"/>
  <c r="AK287" i="34"/>
  <c r="AL287" i="34" s="1"/>
  <c r="R538" i="34"/>
  <c r="R549" i="34"/>
  <c r="R570" i="34"/>
  <c r="R619" i="34"/>
  <c r="R624" i="34"/>
  <c r="R666" i="34"/>
  <c r="AJ68" i="34"/>
  <c r="T68" i="34" s="1"/>
  <c r="V68" i="34" s="1"/>
  <c r="AH180" i="34"/>
  <c r="U213" i="34"/>
  <c r="R229" i="34"/>
  <c r="U277" i="34"/>
  <c r="R285" i="34"/>
  <c r="R335" i="34"/>
  <c r="R454" i="34"/>
  <c r="U454" i="34" s="1"/>
  <c r="U547" i="34"/>
  <c r="R623" i="34"/>
  <c r="O58" i="34"/>
  <c r="O35" i="34" s="1"/>
  <c r="R334" i="34"/>
  <c r="U479" i="34"/>
  <c r="Q38" i="34"/>
  <c r="R51" i="34" s="1"/>
  <c r="AI38" i="34"/>
  <c r="AI37" i="34" s="1"/>
  <c r="P10" i="34"/>
  <c r="AJ14" i="34"/>
  <c r="T14" i="34" s="1"/>
  <c r="V14" i="34" s="1"/>
  <c r="Q59" i="34"/>
  <c r="R78" i="34"/>
  <c r="AJ139" i="34"/>
  <c r="T139" i="34" s="1"/>
  <c r="V139" i="34" s="1"/>
  <c r="AH168" i="34"/>
  <c r="AJ181" i="34"/>
  <c r="T181" i="34" s="1"/>
  <c r="V181" i="34" s="1"/>
  <c r="R186" i="34"/>
  <c r="U107" i="34"/>
  <c r="U138" i="34"/>
  <c r="R178" i="34"/>
  <c r="R177" i="34"/>
  <c r="U177" i="34" s="1"/>
  <c r="R176" i="34"/>
  <c r="R185" i="34"/>
  <c r="R188" i="34"/>
  <c r="Q12" i="34"/>
  <c r="R12" i="34" s="1"/>
  <c r="P59" i="34"/>
  <c r="Q124" i="34"/>
  <c r="AJ141" i="34"/>
  <c r="T141" i="34" s="1"/>
  <c r="V141" i="34" s="1"/>
  <c r="AK193" i="34"/>
  <c r="AL193" i="34" s="1"/>
  <c r="R218" i="34"/>
  <c r="R219" i="34"/>
  <c r="R217" i="34"/>
  <c r="R220" i="34"/>
  <c r="R64" i="34"/>
  <c r="AJ83" i="34"/>
  <c r="T83" i="34" s="1"/>
  <c r="V83" i="34" s="1"/>
  <c r="U119" i="34"/>
  <c r="R115" i="34"/>
  <c r="R167" i="34"/>
  <c r="R184" i="34"/>
  <c r="U184" i="34" s="1"/>
  <c r="R187" i="34"/>
  <c r="U187" i="34" s="1"/>
  <c r="R192" i="34"/>
  <c r="R197" i="34"/>
  <c r="R200" i="34"/>
  <c r="R199" i="34"/>
  <c r="R235" i="34"/>
  <c r="R280" i="34"/>
  <c r="R284" i="34"/>
  <c r="R288" i="34"/>
  <c r="U288" i="34" s="1"/>
  <c r="U319" i="34"/>
  <c r="R355" i="34"/>
  <c r="U381" i="34"/>
  <c r="AI422" i="34"/>
  <c r="AJ507" i="34"/>
  <c r="T507" i="34" s="1"/>
  <c r="V507" i="34" s="1"/>
  <c r="AJ509" i="34"/>
  <c r="T509" i="34" s="1"/>
  <c r="V509" i="34" s="1"/>
  <c r="AJ563" i="34"/>
  <c r="T563" i="34" s="1"/>
  <c r="V563" i="34" s="1"/>
  <c r="AH248" i="34"/>
  <c r="U278" i="34"/>
  <c r="U334" i="34"/>
  <c r="U456" i="34"/>
  <c r="R497" i="34"/>
  <c r="U497" i="34" s="1"/>
  <c r="U527" i="34"/>
  <c r="R543" i="34"/>
  <c r="R544" i="34"/>
  <c r="U544" i="34" s="1"/>
  <c r="R545" i="34"/>
  <c r="U545" i="34" s="1"/>
  <c r="R554" i="34"/>
  <c r="R616" i="34"/>
  <c r="R621" i="34"/>
  <c r="R622" i="34"/>
  <c r="R662" i="34"/>
  <c r="AK171" i="34"/>
  <c r="AL171" i="34" s="1"/>
  <c r="R223" i="34"/>
  <c r="U223" i="34" s="1"/>
  <c r="AJ230" i="34"/>
  <c r="T230" i="34" s="1"/>
  <c r="V230" i="34" s="1"/>
  <c r="P248" i="34"/>
  <c r="AJ264" i="34"/>
  <c r="T264" i="34" s="1"/>
  <c r="V264" i="34" s="1"/>
  <c r="R266" i="34"/>
  <c r="U266" i="34" s="1"/>
  <c r="R270" i="34"/>
  <c r="AK275" i="34"/>
  <c r="AL275" i="34" s="1"/>
  <c r="R312" i="34"/>
  <c r="U312" i="34" s="1"/>
  <c r="AJ400" i="34"/>
  <c r="T400" i="34" s="1"/>
  <c r="V400" i="34" s="1"/>
  <c r="AJ423" i="34"/>
  <c r="T423" i="34" s="1"/>
  <c r="V423" i="34" s="1"/>
  <c r="AJ425" i="34"/>
  <c r="T425" i="34" s="1"/>
  <c r="V425" i="34" s="1"/>
  <c r="AJ508" i="34"/>
  <c r="T508" i="34" s="1"/>
  <c r="V508" i="34" s="1"/>
  <c r="AJ511" i="34"/>
  <c r="T511" i="34" s="1"/>
  <c r="V511" i="34" s="1"/>
  <c r="R556" i="34"/>
  <c r="R561" i="34"/>
  <c r="AJ608" i="34"/>
  <c r="T608" i="34" s="1"/>
  <c r="V608" i="34" s="1"/>
  <c r="R625" i="34"/>
  <c r="U625" i="34" s="1"/>
  <c r="R638" i="34"/>
  <c r="U638" i="34" s="1"/>
  <c r="R664" i="34"/>
  <c r="R667" i="34"/>
  <c r="R670" i="34"/>
  <c r="R269" i="34"/>
  <c r="U269" i="34" s="1"/>
  <c r="R271" i="34"/>
  <c r="R272" i="34"/>
  <c r="U272" i="34" s="1"/>
  <c r="R281" i="34"/>
  <c r="R289" i="34"/>
  <c r="U289" i="34" s="1"/>
  <c r="R291" i="34"/>
  <c r="U291" i="34" s="1"/>
  <c r="AK332" i="34"/>
  <c r="AL332" i="34" s="1"/>
  <c r="U407" i="34"/>
  <c r="U429" i="34"/>
  <c r="R501" i="34"/>
  <c r="U501" i="34" s="1"/>
  <c r="U667" i="34"/>
  <c r="U416" i="34"/>
  <c r="U220" i="34"/>
  <c r="U189" i="34"/>
  <c r="U176" i="34"/>
  <c r="U167" i="34"/>
  <c r="U158" i="34"/>
  <c r="AK139" i="34"/>
  <c r="AL139" i="34" s="1"/>
  <c r="U118" i="34"/>
  <c r="U115" i="34"/>
  <c r="U93" i="34"/>
  <c r="AJ92" i="34"/>
  <c r="T92" i="34" s="1"/>
  <c r="V92" i="34" s="1"/>
  <c r="AK83" i="34"/>
  <c r="AL83" i="34" s="1"/>
  <c r="AK81" i="34"/>
  <c r="AL81" i="34" s="1"/>
  <c r="U78" i="34"/>
  <c r="AJ66" i="34"/>
  <c r="T66" i="34" s="1"/>
  <c r="V66" i="34" s="1"/>
  <c r="AK60" i="34"/>
  <c r="AL60" i="34" s="1"/>
  <c r="AK127" i="34"/>
  <c r="AL127" i="34" s="1"/>
  <c r="R131" i="34"/>
  <c r="U131" i="34" s="1"/>
  <c r="R135" i="34"/>
  <c r="U135" i="34" s="1"/>
  <c r="R136" i="34"/>
  <c r="U136" i="34" s="1"/>
  <c r="R14" i="34"/>
  <c r="AJ16" i="34"/>
  <c r="T16" i="34" s="1"/>
  <c r="V16" i="34" s="1"/>
  <c r="AJ20" i="34"/>
  <c r="T20" i="34" s="1"/>
  <c r="V20" i="34" s="1"/>
  <c r="AJ25" i="34"/>
  <c r="T25" i="34" s="1"/>
  <c r="V25" i="34" s="1"/>
  <c r="AJ39" i="34"/>
  <c r="T39" i="34" s="1"/>
  <c r="V39" i="34" s="1"/>
  <c r="AJ55" i="34"/>
  <c r="T55" i="34" s="1"/>
  <c r="V55" i="34" s="1"/>
  <c r="U61" i="34"/>
  <c r="R63" i="34"/>
  <c r="U63" i="34" s="1"/>
  <c r="R128" i="34"/>
  <c r="U128" i="34" s="1"/>
  <c r="R130" i="34"/>
  <c r="U130" i="34" s="1"/>
  <c r="P124" i="34"/>
  <c r="AJ154" i="34"/>
  <c r="T154" i="34" s="1"/>
  <c r="V154" i="34" s="1"/>
  <c r="AK165" i="34"/>
  <c r="AL165" i="34" s="1"/>
  <c r="Q10" i="34"/>
  <c r="R22" i="34" s="1"/>
  <c r="U22" i="34" s="1"/>
  <c r="AK25" i="34"/>
  <c r="AL25" i="34" s="1"/>
  <c r="AJ75" i="34"/>
  <c r="T75" i="34" s="1"/>
  <c r="V75" i="34" s="1"/>
  <c r="R80" i="34"/>
  <c r="U80" i="34" s="1"/>
  <c r="AJ81" i="34"/>
  <c r="T81" i="34" s="1"/>
  <c r="V81" i="34" s="1"/>
  <c r="AI96" i="34"/>
  <c r="AJ96" i="34" s="1"/>
  <c r="T96" i="34" s="1"/>
  <c r="V96" i="34" s="1"/>
  <c r="AJ106" i="34"/>
  <c r="T106" i="34" s="1"/>
  <c r="V106" i="34" s="1"/>
  <c r="U145" i="34"/>
  <c r="AI148" i="34"/>
  <c r="AJ155" i="34"/>
  <c r="T155" i="34" s="1"/>
  <c r="V155" i="34" s="1"/>
  <c r="U286" i="34"/>
  <c r="U335" i="34"/>
  <c r="AH59" i="34"/>
  <c r="AK75" i="34"/>
  <c r="AL75" i="34" s="1"/>
  <c r="R82" i="34"/>
  <c r="U82" i="34" s="1"/>
  <c r="AJ86" i="34"/>
  <c r="T86" i="34" s="1"/>
  <c r="V86" i="34" s="1"/>
  <c r="R100" i="34"/>
  <c r="R106" i="34"/>
  <c r="R113" i="34"/>
  <c r="U113" i="34" s="1"/>
  <c r="R205" i="34"/>
  <c r="R208" i="34"/>
  <c r="U208" i="34" s="1"/>
  <c r="R207" i="34"/>
  <c r="U207" i="34" s="1"/>
  <c r="R204" i="34"/>
  <c r="U204" i="34" s="1"/>
  <c r="R206" i="34"/>
  <c r="U206" i="34" s="1"/>
  <c r="R203" i="34"/>
  <c r="U203" i="34" s="1"/>
  <c r="U186" i="34"/>
  <c r="U199" i="34"/>
  <c r="AJ201" i="34"/>
  <c r="T201" i="34" s="1"/>
  <c r="V201" i="34" s="1"/>
  <c r="U227" i="34"/>
  <c r="AK222" i="34"/>
  <c r="AL222" i="34" s="1"/>
  <c r="R228" i="34"/>
  <c r="U228" i="34" s="1"/>
  <c r="U235" i="34"/>
  <c r="Q248" i="34"/>
  <c r="R542" i="34" s="1"/>
  <c r="U270" i="34"/>
  <c r="U284" i="34"/>
  <c r="R298" i="34"/>
  <c r="U314" i="34"/>
  <c r="R318" i="34"/>
  <c r="U318" i="34" s="1"/>
  <c r="R320" i="34"/>
  <c r="U320" i="34" s="1"/>
  <c r="R321" i="34"/>
  <c r="U321" i="34" s="1"/>
  <c r="R323" i="34"/>
  <c r="U323" i="34" s="1"/>
  <c r="R324" i="34"/>
  <c r="U331" i="34"/>
  <c r="U336" i="34"/>
  <c r="AJ332" i="34"/>
  <c r="T332" i="34" s="1"/>
  <c r="V332" i="34" s="1"/>
  <c r="R340" i="34"/>
  <c r="U340" i="34" s="1"/>
  <c r="U376" i="34"/>
  <c r="R397" i="34"/>
  <c r="U397" i="34" s="1"/>
  <c r="U414" i="34"/>
  <c r="R409" i="34"/>
  <c r="U409" i="34" s="1"/>
  <c r="R413" i="34"/>
  <c r="U413" i="34" s="1"/>
  <c r="R470" i="34"/>
  <c r="U470" i="34" s="1"/>
  <c r="R471" i="34"/>
  <c r="R475" i="34"/>
  <c r="U475" i="34" s="1"/>
  <c r="R467" i="34"/>
  <c r="U467" i="34" s="1"/>
  <c r="R468" i="34"/>
  <c r="U468" i="34" s="1"/>
  <c r="R505" i="34"/>
  <c r="U505" i="34" s="1"/>
  <c r="R506" i="34"/>
  <c r="U506" i="34" s="1"/>
  <c r="R604" i="34"/>
  <c r="U604" i="34" s="1"/>
  <c r="R607" i="34"/>
  <c r="R606" i="34"/>
  <c r="U606" i="34" s="1"/>
  <c r="R605" i="34"/>
  <c r="U605" i="34" s="1"/>
  <c r="R600" i="34"/>
  <c r="U600" i="34" s="1"/>
  <c r="R599" i="34"/>
  <c r="R598" i="34"/>
  <c r="U598" i="34" s="1"/>
  <c r="R597" i="34"/>
  <c r="R595" i="34"/>
  <c r="R603" i="34"/>
  <c r="R602" i="34"/>
  <c r="R601" i="34"/>
  <c r="U601" i="34" s="1"/>
  <c r="AK594" i="34"/>
  <c r="AL594" i="34" s="1"/>
  <c r="U219" i="34"/>
  <c r="U259" i="34"/>
  <c r="R256" i="34"/>
  <c r="U256" i="34" s="1"/>
  <c r="U267" i="34"/>
  <c r="U281" i="34"/>
  <c r="AJ287" i="34"/>
  <c r="T287" i="34" s="1"/>
  <c r="V287" i="34" s="1"/>
  <c r="R341" i="34"/>
  <c r="U355" i="34"/>
  <c r="AJ387" i="34"/>
  <c r="T387" i="34" s="1"/>
  <c r="V387" i="34" s="1"/>
  <c r="R389" i="34"/>
  <c r="U389" i="34" s="1"/>
  <c r="R399" i="34"/>
  <c r="U399" i="34" s="1"/>
  <c r="R433" i="34"/>
  <c r="U433" i="34" s="1"/>
  <c r="AJ483" i="34"/>
  <c r="T483" i="34" s="1"/>
  <c r="V483" i="34" s="1"/>
  <c r="U539" i="34"/>
  <c r="U188" i="34"/>
  <c r="AK221" i="34"/>
  <c r="AL221" i="34" s="1"/>
  <c r="R257" i="34"/>
  <c r="U257" i="34" s="1"/>
  <c r="U271" i="34"/>
  <c r="U285" i="34"/>
  <c r="U305" i="34"/>
  <c r="R322" i="34"/>
  <c r="U322" i="34" s="1"/>
  <c r="R337" i="34"/>
  <c r="U337" i="34" s="1"/>
  <c r="R346" i="34"/>
  <c r="U346" i="34" s="1"/>
  <c r="R347" i="34"/>
  <c r="R348" i="34"/>
  <c r="R354" i="34"/>
  <c r="U354" i="34" s="1"/>
  <c r="AI356" i="34"/>
  <c r="AJ356" i="34" s="1"/>
  <c r="T356" i="34" s="1"/>
  <c r="V356" i="34" s="1"/>
  <c r="AJ372" i="34"/>
  <c r="T372" i="34" s="1"/>
  <c r="V372" i="34" s="1"/>
  <c r="AK376" i="34"/>
  <c r="AL376" i="34" s="1"/>
  <c r="R402" i="34"/>
  <c r="U402" i="34" s="1"/>
  <c r="R417" i="34"/>
  <c r="U417" i="34" s="1"/>
  <c r="R421" i="34"/>
  <c r="U421" i="34" s="1"/>
  <c r="R465" i="34"/>
  <c r="R461" i="34"/>
  <c r="U461" i="34" s="1"/>
  <c r="R478" i="34"/>
  <c r="U478" i="34" s="1"/>
  <c r="R481" i="34"/>
  <c r="U481" i="34" s="1"/>
  <c r="R477" i="34"/>
  <c r="R487" i="34"/>
  <c r="U487" i="34" s="1"/>
  <c r="R484" i="34"/>
  <c r="U484" i="34" s="1"/>
  <c r="R489" i="34"/>
  <c r="R488" i="34"/>
  <c r="AK483" i="34"/>
  <c r="AL483" i="34" s="1"/>
  <c r="R580" i="34"/>
  <c r="U580" i="34" s="1"/>
  <c r="R582" i="34"/>
  <c r="U582" i="34" s="1"/>
  <c r="R575" i="34"/>
  <c r="R573" i="34"/>
  <c r="AK572" i="34"/>
  <c r="AL572" i="34" s="1"/>
  <c r="R587" i="34"/>
  <c r="R593" i="34"/>
  <c r="R592" i="34"/>
  <c r="U592" i="34" s="1"/>
  <c r="R590" i="34"/>
  <c r="U590" i="34" s="1"/>
  <c r="R589" i="34"/>
  <c r="R588" i="34"/>
  <c r="R586" i="34"/>
  <c r="U586" i="34" s="1"/>
  <c r="AK585" i="34"/>
  <c r="AL585" i="34" s="1"/>
  <c r="V621" i="34"/>
  <c r="U621" i="34"/>
  <c r="R629" i="34"/>
  <c r="U629" i="34" s="1"/>
  <c r="R632" i="34"/>
  <c r="U632" i="34" s="1"/>
  <c r="R631" i="34"/>
  <c r="R636" i="34"/>
  <c r="U636" i="34" s="1"/>
  <c r="R635" i="34"/>
  <c r="R634" i="34"/>
  <c r="R628" i="34"/>
  <c r="R633" i="34"/>
  <c r="U633" i="34" s="1"/>
  <c r="R630" i="34"/>
  <c r="U630" i="34" s="1"/>
  <c r="AK627" i="34"/>
  <c r="AL627" i="34" s="1"/>
  <c r="AK157" i="34"/>
  <c r="AL157" i="34" s="1"/>
  <c r="AJ159" i="34"/>
  <c r="T159" i="34" s="1"/>
  <c r="V159" i="34" s="1"/>
  <c r="U164" i="34"/>
  <c r="AJ165" i="34"/>
  <c r="T165" i="34" s="1"/>
  <c r="V165" i="34" s="1"/>
  <c r="AK169" i="34"/>
  <c r="AL169" i="34" s="1"/>
  <c r="R170" i="34"/>
  <c r="U178" i="34"/>
  <c r="R172" i="34"/>
  <c r="R173" i="34"/>
  <c r="U173" i="34" s="1"/>
  <c r="R174" i="34"/>
  <c r="U174" i="34" s="1"/>
  <c r="R179" i="34"/>
  <c r="U179" i="34" s="1"/>
  <c r="U185" i="34"/>
  <c r="R191" i="34"/>
  <c r="U191" i="34" s="1"/>
  <c r="U197" i="34"/>
  <c r="R194" i="34"/>
  <c r="U194" i="34" s="1"/>
  <c r="R195" i="34"/>
  <c r="U195" i="34" s="1"/>
  <c r="R196" i="34"/>
  <c r="U196" i="34" s="1"/>
  <c r="U218" i="34"/>
  <c r="R225" i="34"/>
  <c r="U243" i="34"/>
  <c r="R231" i="34"/>
  <c r="R274" i="34"/>
  <c r="U282" i="34"/>
  <c r="R276" i="34"/>
  <c r="U276" i="34" s="1"/>
  <c r="R294" i="34"/>
  <c r="U294" i="34" s="1"/>
  <c r="R299" i="34"/>
  <c r="U299" i="34" s="1"/>
  <c r="R304" i="34"/>
  <c r="U304" i="34" s="1"/>
  <c r="R310" i="34"/>
  <c r="U310" i="34" s="1"/>
  <c r="R316" i="34"/>
  <c r="U316" i="34" s="1"/>
  <c r="AJ317" i="34"/>
  <c r="T317" i="34" s="1"/>
  <c r="V317" i="34" s="1"/>
  <c r="R333" i="34"/>
  <c r="U333" i="34" s="1"/>
  <c r="R338" i="34"/>
  <c r="U338" i="34" s="1"/>
  <c r="R342" i="34"/>
  <c r="U342" i="34" s="1"/>
  <c r="R345" i="34"/>
  <c r="R349" i="34"/>
  <c r="U349" i="34" s="1"/>
  <c r="AJ350" i="34"/>
  <c r="T350" i="34" s="1"/>
  <c r="V350" i="34" s="1"/>
  <c r="R356" i="34"/>
  <c r="AJ408" i="34"/>
  <c r="T408" i="34" s="1"/>
  <c r="V408" i="34" s="1"/>
  <c r="R415" i="34"/>
  <c r="U415" i="34" s="1"/>
  <c r="R440" i="34"/>
  <c r="U440" i="34" s="1"/>
  <c r="R446" i="34"/>
  <c r="U446" i="34" s="1"/>
  <c r="R442" i="34"/>
  <c r="U442" i="34" s="1"/>
  <c r="R438" i="34"/>
  <c r="U438" i="34" s="1"/>
  <c r="R472" i="34"/>
  <c r="R473" i="34"/>
  <c r="U473" i="34" s="1"/>
  <c r="R485" i="34"/>
  <c r="U485" i="34" s="1"/>
  <c r="R486" i="34"/>
  <c r="U486" i="34" s="1"/>
  <c r="R522" i="34"/>
  <c r="U522" i="34" s="1"/>
  <c r="R514" i="34"/>
  <c r="U514" i="34" s="1"/>
  <c r="R537" i="34"/>
  <c r="U537" i="34" s="1"/>
  <c r="R535" i="34"/>
  <c r="U535" i="34" s="1"/>
  <c r="R531" i="34"/>
  <c r="U531" i="34" s="1"/>
  <c r="R532" i="34"/>
  <c r="V610" i="34"/>
  <c r="U610" i="34"/>
  <c r="V662" i="34"/>
  <c r="U662" i="34"/>
  <c r="R448" i="34"/>
  <c r="R455" i="34"/>
  <c r="U455" i="34" s="1"/>
  <c r="AJ466" i="34"/>
  <c r="T466" i="34" s="1"/>
  <c r="V466" i="34" s="1"/>
  <c r="AJ530" i="34"/>
  <c r="T530" i="34" s="1"/>
  <c r="V530" i="34" s="1"/>
  <c r="U550" i="34"/>
  <c r="AK542" i="34"/>
  <c r="AL542" i="34" s="1"/>
  <c r="R551" i="34"/>
  <c r="U551" i="34" s="1"/>
  <c r="U557" i="34"/>
  <c r="R558" i="34"/>
  <c r="U558" i="34" s="1"/>
  <c r="R560" i="34"/>
  <c r="U560" i="34" s="1"/>
  <c r="R569" i="34"/>
  <c r="R571" i="34"/>
  <c r="U593" i="34"/>
  <c r="R618" i="34"/>
  <c r="R672" i="34"/>
  <c r="U672" i="34" s="1"/>
  <c r="R678" i="34"/>
  <c r="U561" i="34"/>
  <c r="R565" i="34"/>
  <c r="R567" i="34"/>
  <c r="U612" i="34"/>
  <c r="U616" i="34"/>
  <c r="U622" i="34"/>
  <c r="R643" i="34"/>
  <c r="U660" i="34"/>
  <c r="AK674" i="34"/>
  <c r="AL674" i="34" s="1"/>
  <c r="AJ447" i="34"/>
  <c r="T447" i="34" s="1"/>
  <c r="V447" i="34" s="1"/>
  <c r="R452" i="34"/>
  <c r="U452" i="34" s="1"/>
  <c r="AJ542" i="34"/>
  <c r="T542" i="34" s="1"/>
  <c r="V542" i="34" s="1"/>
  <c r="R559" i="34"/>
  <c r="U559" i="34" s="1"/>
  <c r="AJ572" i="34"/>
  <c r="T572" i="34" s="1"/>
  <c r="V572" i="34" s="1"/>
  <c r="AJ585" i="34"/>
  <c r="T585" i="34" s="1"/>
  <c r="V585" i="34" s="1"/>
  <c r="AJ594" i="34"/>
  <c r="T594" i="34" s="1"/>
  <c r="V594" i="34" s="1"/>
  <c r="U620" i="34"/>
  <c r="AJ627" i="34"/>
  <c r="T627" i="34" s="1"/>
  <c r="V627" i="34" s="1"/>
  <c r="R668" i="34"/>
  <c r="R674" i="34"/>
  <c r="U674" i="34" s="1"/>
  <c r="R675" i="34"/>
  <c r="U675" i="34" s="1"/>
  <c r="U65" i="34"/>
  <c r="U79" i="34"/>
  <c r="AK24" i="34"/>
  <c r="AL24" i="34" s="1"/>
  <c r="AJ24" i="34"/>
  <c r="U73" i="34"/>
  <c r="AK92" i="34"/>
  <c r="AL92" i="34" s="1"/>
  <c r="R92" i="34"/>
  <c r="U92" i="34" s="1"/>
  <c r="R122" i="34"/>
  <c r="U122" i="34" s="1"/>
  <c r="R121" i="34"/>
  <c r="U121" i="34" s="1"/>
  <c r="R120" i="34"/>
  <c r="U120" i="34" s="1"/>
  <c r="R112" i="34"/>
  <c r="U112" i="34" s="1"/>
  <c r="R105" i="34"/>
  <c r="U105" i="34" s="1"/>
  <c r="R97" i="34"/>
  <c r="U97" i="34" s="1"/>
  <c r="R117" i="34"/>
  <c r="U117" i="34" s="1"/>
  <c r="R102" i="34"/>
  <c r="U102" i="34" s="1"/>
  <c r="R116" i="34"/>
  <c r="U116" i="34" s="1"/>
  <c r="R123" i="34"/>
  <c r="U123" i="34" s="1"/>
  <c r="R114" i="34"/>
  <c r="U114" i="34" s="1"/>
  <c r="R108" i="34"/>
  <c r="U108" i="34" s="1"/>
  <c r="R99" i="34"/>
  <c r="U99" i="34" s="1"/>
  <c r="R96" i="34"/>
  <c r="U96" i="34" s="1"/>
  <c r="AJ144" i="34"/>
  <c r="T144" i="34" s="1"/>
  <c r="AK144" i="34"/>
  <c r="AL144" i="34" s="1"/>
  <c r="R16" i="34"/>
  <c r="R17" i="34"/>
  <c r="U17" i="34" s="1"/>
  <c r="R19" i="34"/>
  <c r="U19" i="34" s="1"/>
  <c r="R20" i="34"/>
  <c r="U20" i="34" s="1"/>
  <c r="R21" i="34"/>
  <c r="U21" i="34" s="1"/>
  <c r="R23" i="34"/>
  <c r="U23" i="34" s="1"/>
  <c r="R39" i="34"/>
  <c r="R10" i="34"/>
  <c r="R15" i="34"/>
  <c r="U15" i="34" s="1"/>
  <c r="R26" i="34"/>
  <c r="AJ29" i="34"/>
  <c r="T29" i="34" s="1"/>
  <c r="V29" i="34" s="1"/>
  <c r="R33" i="34"/>
  <c r="U33" i="34" s="1"/>
  <c r="AL39" i="34"/>
  <c r="AJ62" i="34"/>
  <c r="T62" i="34" s="1"/>
  <c r="V62" i="34" s="1"/>
  <c r="R72" i="34"/>
  <c r="R75" i="34"/>
  <c r="U75" i="34" s="1"/>
  <c r="R81" i="34"/>
  <c r="AK94" i="34"/>
  <c r="AL94" i="34" s="1"/>
  <c r="R103" i="34"/>
  <c r="U103" i="34" s="1"/>
  <c r="R109" i="34"/>
  <c r="U109" i="34" s="1"/>
  <c r="R126" i="34"/>
  <c r="U126" i="34" s="1"/>
  <c r="U143" i="34"/>
  <c r="U152" i="34"/>
  <c r="AK68" i="34"/>
  <c r="AL68" i="34" s="1"/>
  <c r="R68" i="34"/>
  <c r="U68" i="34" s="1"/>
  <c r="R70" i="34"/>
  <c r="U70" i="34" s="1"/>
  <c r="AK125" i="34"/>
  <c r="AL125" i="34" s="1"/>
  <c r="AI124" i="34"/>
  <c r="AJ125" i="34"/>
  <c r="T125" i="34" s="1"/>
  <c r="V125" i="34" s="1"/>
  <c r="U200" i="34"/>
  <c r="V200" i="34"/>
  <c r="U217" i="34"/>
  <c r="V217" i="34"/>
  <c r="R69" i="34"/>
  <c r="U69" i="34" s="1"/>
  <c r="AK72" i="34"/>
  <c r="AL72" i="34" s="1"/>
  <c r="AK15" i="34"/>
  <c r="AL15" i="34" s="1"/>
  <c r="AI26" i="34"/>
  <c r="AJ26" i="34" s="1"/>
  <c r="R74" i="34"/>
  <c r="U74" i="34" s="1"/>
  <c r="R87" i="34"/>
  <c r="U87" i="34" s="1"/>
  <c r="R110" i="34"/>
  <c r="U110" i="34" s="1"/>
  <c r="R139" i="34"/>
  <c r="U139" i="34" s="1"/>
  <c r="U324" i="34"/>
  <c r="R85" i="34"/>
  <c r="U85" i="34" s="1"/>
  <c r="R83" i="34"/>
  <c r="U83" i="34" s="1"/>
  <c r="R29" i="34"/>
  <c r="AK14" i="34"/>
  <c r="R32" i="34"/>
  <c r="U32" i="34" s="1"/>
  <c r="R60" i="34"/>
  <c r="U60" i="34" s="1"/>
  <c r="AJ72" i="34"/>
  <c r="T72" i="34" s="1"/>
  <c r="V72" i="34" s="1"/>
  <c r="R25" i="34"/>
  <c r="R28" i="34"/>
  <c r="U28" i="34" s="1"/>
  <c r="AJ51" i="34"/>
  <c r="T51" i="34" s="1"/>
  <c r="V51" i="34" s="1"/>
  <c r="R71" i="34"/>
  <c r="U71" i="34" s="1"/>
  <c r="R84" i="34"/>
  <c r="U84" i="34" s="1"/>
  <c r="R86" i="34"/>
  <c r="U86" i="34" s="1"/>
  <c r="R98" i="34"/>
  <c r="U98" i="34" s="1"/>
  <c r="R101" i="34"/>
  <c r="U101" i="34" s="1"/>
  <c r="R104" i="34"/>
  <c r="U104" i="34" s="1"/>
  <c r="R111" i="34"/>
  <c r="U111" i="34" s="1"/>
  <c r="U170" i="34"/>
  <c r="U172" i="34"/>
  <c r="U225" i="34"/>
  <c r="U231" i="34"/>
  <c r="U268" i="34"/>
  <c r="U274" i="34"/>
  <c r="R125" i="34"/>
  <c r="R144" i="34"/>
  <c r="R141" i="34"/>
  <c r="U141" i="34" s="1"/>
  <c r="AK89" i="34"/>
  <c r="AL89" i="34" s="1"/>
  <c r="R89" i="34"/>
  <c r="R31" i="34"/>
  <c r="U31" i="34" s="1"/>
  <c r="Q37" i="34"/>
  <c r="AJ37" i="34" s="1"/>
  <c r="T37" i="34" s="1"/>
  <c r="V37" i="34" s="1"/>
  <c r="R66" i="34"/>
  <c r="U66" i="34" s="1"/>
  <c r="R67" i="34"/>
  <c r="U67" i="34" s="1"/>
  <c r="AK86" i="34"/>
  <c r="AL86" i="34" s="1"/>
  <c r="R90" i="34"/>
  <c r="U90" i="34" s="1"/>
  <c r="AK110" i="34"/>
  <c r="AL110" i="34" s="1"/>
  <c r="R30" i="34"/>
  <c r="U30" i="34" s="1"/>
  <c r="AK55" i="34"/>
  <c r="AL55" i="34" s="1"/>
  <c r="AK66" i="34"/>
  <c r="AL66" i="34" s="1"/>
  <c r="AH124" i="34"/>
  <c r="U205" i="34"/>
  <c r="U229" i="34"/>
  <c r="U283" i="34"/>
  <c r="R27" i="34"/>
  <c r="U27" i="34" s="1"/>
  <c r="R34" i="34"/>
  <c r="U34" i="34" s="1"/>
  <c r="U64" i="34"/>
  <c r="AJ89" i="34"/>
  <c r="T89" i="34" s="1"/>
  <c r="V89" i="34" s="1"/>
  <c r="U100" i="34"/>
  <c r="U298" i="34"/>
  <c r="AK62" i="34"/>
  <c r="AL62" i="34" s="1"/>
  <c r="R62" i="34"/>
  <c r="U280" i="34"/>
  <c r="V280" i="34"/>
  <c r="U311" i="34"/>
  <c r="V311" i="34"/>
  <c r="R18" i="34"/>
  <c r="U18" i="34" s="1"/>
  <c r="R91" i="34"/>
  <c r="U91" i="34" s="1"/>
  <c r="R94" i="34"/>
  <c r="U94" i="34" s="1"/>
  <c r="U95" i="34"/>
  <c r="R127" i="34"/>
  <c r="R353" i="34"/>
  <c r="U353" i="34" s="1"/>
  <c r="AK350" i="34"/>
  <c r="AL350" i="34" s="1"/>
  <c r="R350" i="34"/>
  <c r="U350" i="34" s="1"/>
  <c r="R351" i="34"/>
  <c r="U351" i="34" s="1"/>
  <c r="R564" i="34"/>
  <c r="R563" i="34"/>
  <c r="U563" i="34" s="1"/>
  <c r="R562" i="34"/>
  <c r="R76" i="34"/>
  <c r="U76" i="34" s="1"/>
  <c r="R147" i="34"/>
  <c r="U147" i="34" s="1"/>
  <c r="R151" i="34"/>
  <c r="U151" i="34" s="1"/>
  <c r="R156" i="34"/>
  <c r="U156" i="34" s="1"/>
  <c r="AK162" i="34"/>
  <c r="AL162" i="34" s="1"/>
  <c r="AJ171" i="34"/>
  <c r="T171" i="34" s="1"/>
  <c r="V171" i="34" s="1"/>
  <c r="R175" i="34"/>
  <c r="U175" i="34" s="1"/>
  <c r="R182" i="34"/>
  <c r="U182" i="34" s="1"/>
  <c r="R183" i="34"/>
  <c r="U183" i="34" s="1"/>
  <c r="R190" i="34"/>
  <c r="U190" i="34" s="1"/>
  <c r="AJ193" i="34"/>
  <c r="R202" i="34"/>
  <c r="U202" i="34" s="1"/>
  <c r="R212" i="34"/>
  <c r="U212" i="34" s="1"/>
  <c r="R224" i="34"/>
  <c r="U224" i="34" s="1"/>
  <c r="R238" i="34"/>
  <c r="U238" i="34" s="1"/>
  <c r="R244" i="34"/>
  <c r="U244" i="34" s="1"/>
  <c r="R249" i="34"/>
  <c r="AK249" i="34"/>
  <c r="AL249" i="34" s="1"/>
  <c r="R252" i="34"/>
  <c r="U252" i="34" s="1"/>
  <c r="R260" i="34"/>
  <c r="U260" i="34" s="1"/>
  <c r="R265" i="34"/>
  <c r="U265" i="34" s="1"/>
  <c r="R273" i="34"/>
  <c r="U273" i="34" s="1"/>
  <c r="AJ275" i="34"/>
  <c r="T275" i="34" s="1"/>
  <c r="V275" i="34" s="1"/>
  <c r="R279" i="34"/>
  <c r="U279" i="34" s="1"/>
  <c r="R296" i="34"/>
  <c r="U296" i="34" s="1"/>
  <c r="R301" i="34"/>
  <c r="U301" i="34" s="1"/>
  <c r="R329" i="34"/>
  <c r="U329" i="34" s="1"/>
  <c r="AI339" i="34"/>
  <c r="AK363" i="34"/>
  <c r="AL363" i="34" s="1"/>
  <c r="AJ377" i="34"/>
  <c r="T377" i="34" s="1"/>
  <c r="V377" i="34" s="1"/>
  <c r="R403" i="34"/>
  <c r="U403" i="34" s="1"/>
  <c r="R518" i="34"/>
  <c r="U518" i="34" s="1"/>
  <c r="AJ523" i="34"/>
  <c r="T523" i="34" s="1"/>
  <c r="V523" i="34" s="1"/>
  <c r="U536" i="34"/>
  <c r="U538" i="34"/>
  <c r="U554" i="34"/>
  <c r="U556" i="34"/>
  <c r="R568" i="34"/>
  <c r="U603" i="34"/>
  <c r="U607" i="34"/>
  <c r="U628" i="34"/>
  <c r="U634" i="34"/>
  <c r="R650" i="34"/>
  <c r="U650" i="34" s="1"/>
  <c r="U665" i="34"/>
  <c r="R572" i="34"/>
  <c r="U572" i="34" s="1"/>
  <c r="R476" i="34"/>
  <c r="R637" i="34"/>
  <c r="R627" i="34"/>
  <c r="R594" i="34"/>
  <c r="R585" i="34"/>
  <c r="U585" i="34" s="1"/>
  <c r="R358" i="34"/>
  <c r="U358" i="34" s="1"/>
  <c r="R363" i="34"/>
  <c r="U363" i="34" s="1"/>
  <c r="R362" i="34"/>
  <c r="U362" i="34" s="1"/>
  <c r="AJ553" i="34"/>
  <c r="T553" i="34" s="1"/>
  <c r="V553" i="34" s="1"/>
  <c r="AK553" i="34"/>
  <c r="AL553" i="34" s="1"/>
  <c r="AJ567" i="34"/>
  <c r="T567" i="34" s="1"/>
  <c r="V567" i="34" s="1"/>
  <c r="AK567" i="34"/>
  <c r="AL567" i="34" s="1"/>
  <c r="AJ571" i="34"/>
  <c r="T571" i="34" s="1"/>
  <c r="V571" i="34" s="1"/>
  <c r="AK571" i="34"/>
  <c r="AL571" i="34" s="1"/>
  <c r="V624" i="34"/>
  <c r="U624" i="34"/>
  <c r="R150" i="34"/>
  <c r="U150" i="34" s="1"/>
  <c r="R155" i="34"/>
  <c r="AJ162" i="34"/>
  <c r="T162" i="34" s="1"/>
  <c r="V162" i="34" s="1"/>
  <c r="R211" i="34"/>
  <c r="U211" i="34" s="1"/>
  <c r="R239" i="34"/>
  <c r="U239" i="34" s="1"/>
  <c r="R245" i="34"/>
  <c r="U245" i="34" s="1"/>
  <c r="AJ249" i="34"/>
  <c r="T249" i="34" s="1"/>
  <c r="V249" i="34" s="1"/>
  <c r="R253" i="34"/>
  <c r="U253" i="34" s="1"/>
  <c r="R261" i="34"/>
  <c r="U261" i="34" s="1"/>
  <c r="R302" i="34"/>
  <c r="U302" i="34" s="1"/>
  <c r="R307" i="34"/>
  <c r="U307" i="34" s="1"/>
  <c r="U345" i="34"/>
  <c r="U347" i="34"/>
  <c r="R357" i="34"/>
  <c r="U357" i="34" s="1"/>
  <c r="R359" i="34"/>
  <c r="U359" i="34" s="1"/>
  <c r="R483" i="34"/>
  <c r="AJ680" i="34"/>
  <c r="T680" i="34" s="1"/>
  <c r="V680" i="34" s="1"/>
  <c r="U348" i="34"/>
  <c r="V348" i="34"/>
  <c r="R396" i="34"/>
  <c r="U396" i="34" s="1"/>
  <c r="R388" i="34"/>
  <c r="U388" i="34" s="1"/>
  <c r="R394" i="34"/>
  <c r="U394" i="34" s="1"/>
  <c r="R393" i="34"/>
  <c r="U393" i="34" s="1"/>
  <c r="R392" i="34"/>
  <c r="U392" i="34" s="1"/>
  <c r="R398" i="34"/>
  <c r="U398" i="34" s="1"/>
  <c r="R390" i="34"/>
  <c r="U390" i="34" s="1"/>
  <c r="AK387" i="34"/>
  <c r="AL387" i="34" s="1"/>
  <c r="R387" i="34"/>
  <c r="U387" i="34" s="1"/>
  <c r="R494" i="34"/>
  <c r="U494" i="34" s="1"/>
  <c r="AJ490" i="34"/>
  <c r="T490" i="34" s="1"/>
  <c r="V490" i="34" s="1"/>
  <c r="R493" i="34"/>
  <c r="U493" i="34" s="1"/>
  <c r="AK490" i="34"/>
  <c r="AL490" i="34" s="1"/>
  <c r="R491" i="34"/>
  <c r="U491" i="34" s="1"/>
  <c r="R490" i="34"/>
  <c r="U490" i="34" s="1"/>
  <c r="R520" i="34"/>
  <c r="U520" i="34" s="1"/>
  <c r="R519" i="34"/>
  <c r="U519" i="34" s="1"/>
  <c r="R512" i="34"/>
  <c r="U512" i="34" s="1"/>
  <c r="R517" i="34"/>
  <c r="U517" i="34" s="1"/>
  <c r="R516" i="34"/>
  <c r="U516" i="34" s="1"/>
  <c r="R515" i="34"/>
  <c r="U515" i="34" s="1"/>
  <c r="R521" i="34"/>
  <c r="U521" i="34" s="1"/>
  <c r="R513" i="34"/>
  <c r="U513" i="34" s="1"/>
  <c r="AK511" i="34"/>
  <c r="AL511" i="34" s="1"/>
  <c r="R511" i="34"/>
  <c r="U511" i="34" s="1"/>
  <c r="AJ127" i="34"/>
  <c r="T127" i="34" s="1"/>
  <c r="V127" i="34" s="1"/>
  <c r="R133" i="34"/>
  <c r="U133" i="34" s="1"/>
  <c r="AK141" i="34"/>
  <c r="AL141" i="34" s="1"/>
  <c r="R146" i="34"/>
  <c r="AK146" i="34"/>
  <c r="AL146" i="34" s="1"/>
  <c r="R149" i="34"/>
  <c r="U149" i="34" s="1"/>
  <c r="R159" i="34"/>
  <c r="U159" i="34" s="1"/>
  <c r="AI168" i="34"/>
  <c r="AK181" i="34"/>
  <c r="AL181" i="34" s="1"/>
  <c r="AK201" i="34"/>
  <c r="AL201" i="34" s="1"/>
  <c r="R210" i="34"/>
  <c r="U210" i="34" s="1"/>
  <c r="AJ222" i="34"/>
  <c r="T222" i="34" s="1"/>
  <c r="V222" i="34" s="1"/>
  <c r="R226" i="34"/>
  <c r="U226" i="34" s="1"/>
  <c r="R232" i="34"/>
  <c r="U232" i="34" s="1"/>
  <c r="R240" i="34"/>
  <c r="U240" i="34" s="1"/>
  <c r="AI241" i="34"/>
  <c r="AJ241" i="34" s="1"/>
  <c r="T241" i="34" s="1"/>
  <c r="V241" i="34" s="1"/>
  <c r="R246" i="34"/>
  <c r="U246" i="34" s="1"/>
  <c r="R254" i="34"/>
  <c r="U254" i="34" s="1"/>
  <c r="R262" i="34"/>
  <c r="U262" i="34" s="1"/>
  <c r="R264" i="34"/>
  <c r="U264" i="34" s="1"/>
  <c r="AK264" i="34"/>
  <c r="AL264" i="34" s="1"/>
  <c r="R292" i="34"/>
  <c r="U292" i="34" s="1"/>
  <c r="R303" i="34"/>
  <c r="U303" i="34" s="1"/>
  <c r="R309" i="34"/>
  <c r="U309" i="34" s="1"/>
  <c r="R317" i="34"/>
  <c r="U317" i="34" s="1"/>
  <c r="R326" i="34"/>
  <c r="U326" i="34" s="1"/>
  <c r="R330" i="34"/>
  <c r="U330" i="34" s="1"/>
  <c r="AK356" i="34"/>
  <c r="AL356" i="34" s="1"/>
  <c r="R360" i="34"/>
  <c r="U360" i="34" s="1"/>
  <c r="R374" i="34"/>
  <c r="U374" i="34" s="1"/>
  <c r="U448" i="34"/>
  <c r="U477" i="34"/>
  <c r="U488" i="34"/>
  <c r="U543" i="34"/>
  <c r="U549" i="34"/>
  <c r="R553" i="34"/>
  <c r="U567" i="34"/>
  <c r="U571" i="34"/>
  <c r="U573" i="34"/>
  <c r="U575" i="34"/>
  <c r="U588" i="34"/>
  <c r="U595" i="34"/>
  <c r="U599" i="34"/>
  <c r="R654" i="34"/>
  <c r="U654" i="34" s="1"/>
  <c r="AK476" i="34"/>
  <c r="AL476" i="34" s="1"/>
  <c r="AJ476" i="34"/>
  <c r="T476" i="34" s="1"/>
  <c r="V476" i="34" s="1"/>
  <c r="AJ566" i="34"/>
  <c r="T566" i="34" s="1"/>
  <c r="V566" i="34" s="1"/>
  <c r="AK566" i="34"/>
  <c r="AL566" i="34" s="1"/>
  <c r="AJ570" i="34"/>
  <c r="T570" i="34" s="1"/>
  <c r="V570" i="34" s="1"/>
  <c r="AK570" i="34"/>
  <c r="AL570" i="34" s="1"/>
  <c r="V635" i="34"/>
  <c r="U635" i="34"/>
  <c r="R132" i="34"/>
  <c r="U132" i="34" s="1"/>
  <c r="R134" i="34"/>
  <c r="U134" i="34" s="1"/>
  <c r="R140" i="34"/>
  <c r="U140" i="34" s="1"/>
  <c r="AJ146" i="34"/>
  <c r="T146" i="34" s="1"/>
  <c r="V146" i="34" s="1"/>
  <c r="Q168" i="34"/>
  <c r="R169" i="34" s="1"/>
  <c r="U169" i="34" s="1"/>
  <c r="V173" i="34"/>
  <c r="Q180" i="34"/>
  <c r="R241" i="34" s="1"/>
  <c r="V188" i="34"/>
  <c r="V195" i="34"/>
  <c r="V208" i="34"/>
  <c r="AI216" i="34"/>
  <c r="R221" i="34"/>
  <c r="U221" i="34" s="1"/>
  <c r="AK230" i="34"/>
  <c r="AL230" i="34" s="1"/>
  <c r="R233" i="34"/>
  <c r="U233" i="34" s="1"/>
  <c r="R247" i="34"/>
  <c r="U247" i="34" s="1"/>
  <c r="R255" i="34"/>
  <c r="U255" i="34" s="1"/>
  <c r="R263" i="34"/>
  <c r="U263" i="34" s="1"/>
  <c r="V271" i="34"/>
  <c r="V277" i="34"/>
  <c r="V285" i="34"/>
  <c r="R293" i="34"/>
  <c r="V305" i="34"/>
  <c r="R308" i="34"/>
  <c r="U308" i="34" s="1"/>
  <c r="AK309" i="34"/>
  <c r="AL309" i="34" s="1"/>
  <c r="R315" i="34"/>
  <c r="U315" i="34" s="1"/>
  <c r="AK317" i="34"/>
  <c r="AL317" i="34" s="1"/>
  <c r="AJ341" i="34"/>
  <c r="T341" i="34" s="1"/>
  <c r="R366" i="34"/>
  <c r="U366" i="34" s="1"/>
  <c r="R385" i="34"/>
  <c r="U385" i="34" s="1"/>
  <c r="U472" i="34"/>
  <c r="R492" i="34"/>
  <c r="U492" i="34" s="1"/>
  <c r="U510" i="34"/>
  <c r="U597" i="34"/>
  <c r="U642" i="34"/>
  <c r="AJ644" i="34"/>
  <c r="T644" i="34" s="1"/>
  <c r="V644" i="34" s="1"/>
  <c r="U677" i="34"/>
  <c r="AK422" i="34"/>
  <c r="AL422" i="34" s="1"/>
  <c r="R422" i="34"/>
  <c r="R424" i="34"/>
  <c r="U424" i="34" s="1"/>
  <c r="R423" i="34"/>
  <c r="U423" i="34" s="1"/>
  <c r="V602" i="34"/>
  <c r="U602" i="34"/>
  <c r="R148" i="34"/>
  <c r="AK148" i="34"/>
  <c r="AL148" i="34" s="1"/>
  <c r="R154" i="34"/>
  <c r="U154" i="34" s="1"/>
  <c r="AK209" i="34"/>
  <c r="AL209" i="34" s="1"/>
  <c r="R234" i="34"/>
  <c r="U234" i="34" s="1"/>
  <c r="R325" i="34"/>
  <c r="AK325" i="34"/>
  <c r="AL325" i="34" s="1"/>
  <c r="R375" i="34"/>
  <c r="U375" i="34" s="1"/>
  <c r="R365" i="34"/>
  <c r="U365" i="34" s="1"/>
  <c r="R373" i="34"/>
  <c r="U373" i="34" s="1"/>
  <c r="R372" i="34"/>
  <c r="U372" i="34" s="1"/>
  <c r="R371" i="34"/>
  <c r="U371" i="34" s="1"/>
  <c r="R370" i="34"/>
  <c r="U370" i="34" s="1"/>
  <c r="R368" i="34"/>
  <c r="U368" i="34" s="1"/>
  <c r="R367" i="34"/>
  <c r="U367" i="34" s="1"/>
  <c r="R364" i="34"/>
  <c r="R382" i="34"/>
  <c r="U382" i="34" s="1"/>
  <c r="R380" i="34"/>
  <c r="U380" i="34" s="1"/>
  <c r="AK377" i="34"/>
  <c r="AL377" i="34" s="1"/>
  <c r="R377" i="34"/>
  <c r="U377" i="34" s="1"/>
  <c r="R379" i="34"/>
  <c r="U379" i="34" s="1"/>
  <c r="R386" i="34"/>
  <c r="U386" i="34" s="1"/>
  <c r="R378" i="34"/>
  <c r="U378" i="34" s="1"/>
  <c r="R384" i="34"/>
  <c r="U384" i="34" s="1"/>
  <c r="R525" i="34"/>
  <c r="U525" i="34" s="1"/>
  <c r="R524" i="34"/>
  <c r="U524" i="34" s="1"/>
  <c r="R529" i="34"/>
  <c r="U529" i="34" s="1"/>
  <c r="R528" i="34"/>
  <c r="U528" i="34" s="1"/>
  <c r="R526" i="34"/>
  <c r="U526" i="34" s="1"/>
  <c r="AK523" i="34"/>
  <c r="AL523" i="34" s="1"/>
  <c r="R523" i="34"/>
  <c r="U523" i="34" s="1"/>
  <c r="AJ565" i="34"/>
  <c r="T565" i="34" s="1"/>
  <c r="V565" i="34" s="1"/>
  <c r="AK565" i="34"/>
  <c r="AL565" i="34" s="1"/>
  <c r="AJ569" i="34"/>
  <c r="T569" i="34" s="1"/>
  <c r="V569" i="34" s="1"/>
  <c r="AK569" i="34"/>
  <c r="AL569" i="34" s="1"/>
  <c r="R656" i="34"/>
  <c r="U656" i="34" s="1"/>
  <c r="R648" i="34"/>
  <c r="U648" i="34" s="1"/>
  <c r="R655" i="34"/>
  <c r="U655" i="34" s="1"/>
  <c r="R647" i="34"/>
  <c r="U647" i="34" s="1"/>
  <c r="AK644" i="34"/>
  <c r="AL644" i="34" s="1"/>
  <c r="R653" i="34"/>
  <c r="U653" i="34" s="1"/>
  <c r="R645" i="34"/>
  <c r="U645" i="34" s="1"/>
  <c r="R644" i="34"/>
  <c r="U644" i="34" s="1"/>
  <c r="R652" i="34"/>
  <c r="U652" i="34" s="1"/>
  <c r="R651" i="34"/>
  <c r="U651" i="34" s="1"/>
  <c r="R657" i="34"/>
  <c r="U657" i="34" s="1"/>
  <c r="R649" i="34"/>
  <c r="U649" i="34" s="1"/>
  <c r="AJ148" i="34"/>
  <c r="T148" i="34" s="1"/>
  <c r="V148" i="34" s="1"/>
  <c r="AJ209" i="34"/>
  <c r="T209" i="34" s="1"/>
  <c r="V209" i="34" s="1"/>
  <c r="R215" i="34"/>
  <c r="U215" i="34" s="1"/>
  <c r="R287" i="34"/>
  <c r="U287" i="34" s="1"/>
  <c r="AJ325" i="34"/>
  <c r="T325" i="34" s="1"/>
  <c r="V325" i="34" s="1"/>
  <c r="R327" i="34"/>
  <c r="U327" i="34" s="1"/>
  <c r="R332" i="34"/>
  <c r="U332" i="34" s="1"/>
  <c r="R369" i="34"/>
  <c r="U369" i="34" s="1"/>
  <c r="R383" i="34"/>
  <c r="U383" i="34" s="1"/>
  <c r="R435" i="34"/>
  <c r="U435" i="34" s="1"/>
  <c r="R427" i="34"/>
  <c r="U427" i="34" s="1"/>
  <c r="R434" i="34"/>
  <c r="U434" i="34" s="1"/>
  <c r="R426" i="34"/>
  <c r="U426" i="34" s="1"/>
  <c r="R432" i="34"/>
  <c r="U432" i="34" s="1"/>
  <c r="R431" i="34"/>
  <c r="U431" i="34" s="1"/>
  <c r="R430" i="34"/>
  <c r="U430" i="34" s="1"/>
  <c r="R428" i="34"/>
  <c r="U428" i="34" s="1"/>
  <c r="AK425" i="34"/>
  <c r="AL425" i="34" s="1"/>
  <c r="R425" i="34"/>
  <c r="U425" i="34" s="1"/>
  <c r="R459" i="34"/>
  <c r="U459" i="34" s="1"/>
  <c r="R458" i="34"/>
  <c r="U458" i="34" s="1"/>
  <c r="R464" i="34"/>
  <c r="U464" i="34" s="1"/>
  <c r="R463" i="34"/>
  <c r="U463" i="34" s="1"/>
  <c r="R462" i="34"/>
  <c r="U462" i="34" s="1"/>
  <c r="R460" i="34"/>
  <c r="U460" i="34" s="1"/>
  <c r="R457" i="34"/>
  <c r="AK643" i="34"/>
  <c r="AL643" i="34" s="1"/>
  <c r="AJ643" i="34"/>
  <c r="T643" i="34" s="1"/>
  <c r="V643" i="34" s="1"/>
  <c r="AJ659" i="34"/>
  <c r="T659" i="34" s="1"/>
  <c r="V659" i="34" s="1"/>
  <c r="AK659" i="34"/>
  <c r="AL659" i="34" s="1"/>
  <c r="AK678" i="34"/>
  <c r="AL678" i="34" s="1"/>
  <c r="AJ678" i="34"/>
  <c r="T678" i="34" s="1"/>
  <c r="V678" i="34" s="1"/>
  <c r="R686" i="34"/>
  <c r="U686" i="34" s="1"/>
  <c r="R685" i="34"/>
  <c r="U685" i="34" s="1"/>
  <c r="R683" i="34"/>
  <c r="U683" i="34" s="1"/>
  <c r="AK680" i="34"/>
  <c r="AL680" i="34" s="1"/>
  <c r="R682" i="34"/>
  <c r="U682" i="34" s="1"/>
  <c r="Q679" i="34"/>
  <c r="R681" i="34"/>
  <c r="U681" i="34" s="1"/>
  <c r="R687" i="34"/>
  <c r="U687" i="34" s="1"/>
  <c r="R129" i="34"/>
  <c r="U129" i="34" s="1"/>
  <c r="R137" i="34"/>
  <c r="U137" i="34" s="1"/>
  <c r="R153" i="34"/>
  <c r="U153" i="34" s="1"/>
  <c r="R157" i="34"/>
  <c r="U157" i="34" s="1"/>
  <c r="AI161" i="34"/>
  <c r="R163" i="34"/>
  <c r="U163" i="34" s="1"/>
  <c r="R214" i="34"/>
  <c r="U214" i="34" s="1"/>
  <c r="R236" i="34"/>
  <c r="U236" i="34" s="1"/>
  <c r="R242" i="34"/>
  <c r="U242" i="34" s="1"/>
  <c r="R250" i="34"/>
  <c r="U250" i="34" s="1"/>
  <c r="R258" i="34"/>
  <c r="U258" i="34" s="1"/>
  <c r="R295" i="34"/>
  <c r="R297" i="34"/>
  <c r="U297" i="34" s="1"/>
  <c r="AK297" i="34"/>
  <c r="AL297" i="34" s="1"/>
  <c r="R300" i="34"/>
  <c r="U300" i="34" s="1"/>
  <c r="U352" i="34"/>
  <c r="R395" i="34"/>
  <c r="U395" i="34" s="1"/>
  <c r="U489" i="34"/>
  <c r="U532" i="34"/>
  <c r="U569" i="34"/>
  <c r="U587" i="34"/>
  <c r="U589" i="34"/>
  <c r="U619" i="34"/>
  <c r="U623" i="34"/>
  <c r="U631" i="34"/>
  <c r="R646" i="34"/>
  <c r="U646" i="34" s="1"/>
  <c r="U664" i="34"/>
  <c r="U668" i="34"/>
  <c r="U670" i="34"/>
  <c r="R401" i="34"/>
  <c r="U401" i="34" s="1"/>
  <c r="R406" i="34"/>
  <c r="U406" i="34" s="1"/>
  <c r="R405" i="34"/>
  <c r="U405" i="34" s="1"/>
  <c r="R404" i="34"/>
  <c r="U404" i="34" s="1"/>
  <c r="AK400" i="34"/>
  <c r="AL400" i="34" s="1"/>
  <c r="R400" i="34"/>
  <c r="U400" i="34" s="1"/>
  <c r="AK465" i="34"/>
  <c r="AL465" i="34" s="1"/>
  <c r="AI457" i="34"/>
  <c r="AJ457" i="34" s="1"/>
  <c r="T457" i="34" s="1"/>
  <c r="V457" i="34" s="1"/>
  <c r="AJ465" i="34"/>
  <c r="T465" i="34" s="1"/>
  <c r="V465" i="34" s="1"/>
  <c r="AJ564" i="34"/>
  <c r="T564" i="34" s="1"/>
  <c r="V564" i="34" s="1"/>
  <c r="AI562" i="34"/>
  <c r="AJ562" i="34" s="1"/>
  <c r="T562" i="34" s="1"/>
  <c r="V562" i="34" s="1"/>
  <c r="AK564" i="34"/>
  <c r="AL564" i="34" s="1"/>
  <c r="AJ568" i="34"/>
  <c r="T568" i="34" s="1"/>
  <c r="V568" i="34" s="1"/>
  <c r="AK568" i="34"/>
  <c r="AL568" i="34" s="1"/>
  <c r="AK618" i="34"/>
  <c r="AL618" i="34" s="1"/>
  <c r="AJ618" i="34"/>
  <c r="T618" i="34" s="1"/>
  <c r="V618" i="34" s="1"/>
  <c r="Q161" i="34"/>
  <c r="R237" i="34"/>
  <c r="U237" i="34" s="1"/>
  <c r="R251" i="34"/>
  <c r="U251" i="34" s="1"/>
  <c r="R275" i="34"/>
  <c r="U275" i="34" s="1"/>
  <c r="AJ297" i="34"/>
  <c r="T297" i="34" s="1"/>
  <c r="V297" i="34" s="1"/>
  <c r="R306" i="34"/>
  <c r="U306" i="34" s="1"/>
  <c r="U313" i="34"/>
  <c r="R328" i="34"/>
  <c r="U328" i="34" s="1"/>
  <c r="AJ422" i="34"/>
  <c r="T422" i="34" s="1"/>
  <c r="V422" i="34" s="1"/>
  <c r="U453" i="34"/>
  <c r="U471" i="34"/>
  <c r="U666" i="34"/>
  <c r="R441" i="34"/>
  <c r="U441" i="34" s="1"/>
  <c r="R480" i="34"/>
  <c r="U480" i="34" s="1"/>
  <c r="R500" i="34"/>
  <c r="U500" i="34" s="1"/>
  <c r="R574" i="34"/>
  <c r="U574" i="34" s="1"/>
  <c r="R581" i="34"/>
  <c r="U581" i="34" s="1"/>
  <c r="AK608" i="34"/>
  <c r="AL608" i="34" s="1"/>
  <c r="R611" i="34"/>
  <c r="U611" i="34" s="1"/>
  <c r="R339" i="34"/>
  <c r="AK339" i="34"/>
  <c r="AL339" i="34" s="1"/>
  <c r="R343" i="34"/>
  <c r="U343" i="34" s="1"/>
  <c r="AI364" i="34"/>
  <c r="AJ364" i="34" s="1"/>
  <c r="T364" i="34" s="1"/>
  <c r="V364" i="34" s="1"/>
  <c r="AK367" i="34"/>
  <c r="AL367" i="34" s="1"/>
  <c r="R410" i="34"/>
  <c r="U410" i="34" s="1"/>
  <c r="R418" i="34"/>
  <c r="U418" i="34" s="1"/>
  <c r="R443" i="34"/>
  <c r="U443" i="34" s="1"/>
  <c r="R449" i="34"/>
  <c r="U449" i="34" s="1"/>
  <c r="AK466" i="34"/>
  <c r="AL466" i="34" s="1"/>
  <c r="R469" i="34"/>
  <c r="U469" i="34" s="1"/>
  <c r="R482" i="34"/>
  <c r="U482" i="34" s="1"/>
  <c r="R502" i="34"/>
  <c r="U502" i="34" s="1"/>
  <c r="R504" i="34"/>
  <c r="R507" i="34"/>
  <c r="U507" i="34" s="1"/>
  <c r="R508" i="34"/>
  <c r="U508" i="34" s="1"/>
  <c r="R509" i="34"/>
  <c r="U509" i="34" s="1"/>
  <c r="R530" i="34"/>
  <c r="U530" i="34" s="1"/>
  <c r="AK530" i="34"/>
  <c r="AL530" i="34" s="1"/>
  <c r="R533" i="34"/>
  <c r="U533" i="34" s="1"/>
  <c r="R541" i="34"/>
  <c r="U541" i="34" s="1"/>
  <c r="R546" i="34"/>
  <c r="U546" i="34" s="1"/>
  <c r="R552" i="34"/>
  <c r="U552" i="34" s="1"/>
  <c r="R555" i="34"/>
  <c r="U555" i="34" s="1"/>
  <c r="R576" i="34"/>
  <c r="U576" i="34" s="1"/>
  <c r="R583" i="34"/>
  <c r="U583" i="34" s="1"/>
  <c r="R613" i="34"/>
  <c r="U613" i="34" s="1"/>
  <c r="R661" i="34"/>
  <c r="U661" i="34" s="1"/>
  <c r="R669" i="34"/>
  <c r="U669" i="34" s="1"/>
  <c r="AK408" i="34"/>
  <c r="AL408" i="34" s="1"/>
  <c r="R411" i="34"/>
  <c r="U411" i="34" s="1"/>
  <c r="R419" i="34"/>
  <c r="U419" i="34" s="1"/>
  <c r="R444" i="34"/>
  <c r="U444" i="34" s="1"/>
  <c r="R447" i="34"/>
  <c r="U447" i="34" s="1"/>
  <c r="AK447" i="34"/>
  <c r="AL447" i="34" s="1"/>
  <c r="R450" i="34"/>
  <c r="U450" i="34" s="1"/>
  <c r="R503" i="34"/>
  <c r="U503" i="34" s="1"/>
  <c r="R534" i="34"/>
  <c r="U534" i="34" s="1"/>
  <c r="R577" i="34"/>
  <c r="U577" i="34" s="1"/>
  <c r="R584" i="34"/>
  <c r="U584" i="34" s="1"/>
  <c r="R614" i="34"/>
  <c r="U614" i="34" s="1"/>
  <c r="R412" i="34"/>
  <c r="U412" i="34" s="1"/>
  <c r="R420" i="34"/>
  <c r="U420" i="34" s="1"/>
  <c r="R437" i="34"/>
  <c r="U437" i="34" s="1"/>
  <c r="R445" i="34"/>
  <c r="U445" i="34" s="1"/>
  <c r="R451" i="34"/>
  <c r="U451" i="34" s="1"/>
  <c r="R496" i="34"/>
  <c r="U496" i="34" s="1"/>
  <c r="AI504" i="34"/>
  <c r="AJ504" i="34" s="1"/>
  <c r="T504" i="34" s="1"/>
  <c r="V504" i="34" s="1"/>
  <c r="R548" i="34"/>
  <c r="U548" i="34" s="1"/>
  <c r="R578" i="34"/>
  <c r="U578" i="34" s="1"/>
  <c r="R596" i="34"/>
  <c r="U596" i="34" s="1"/>
  <c r="R615" i="34"/>
  <c r="U615" i="34" s="1"/>
  <c r="R626" i="34"/>
  <c r="U626" i="34" s="1"/>
  <c r="R639" i="34"/>
  <c r="U639" i="34" s="1"/>
  <c r="R640" i="34"/>
  <c r="U640" i="34" s="1"/>
  <c r="R641" i="34"/>
  <c r="U641" i="34" s="1"/>
  <c r="R663" i="34"/>
  <c r="U663" i="34" s="1"/>
  <c r="R671" i="34"/>
  <c r="U671" i="34" s="1"/>
  <c r="R676" i="34"/>
  <c r="U676" i="34" s="1"/>
  <c r="AK436" i="34"/>
  <c r="AL436" i="34" s="1"/>
  <c r="R439" i="34"/>
  <c r="U439" i="34" s="1"/>
  <c r="R495" i="34"/>
  <c r="AK495" i="34"/>
  <c r="AL495" i="34" s="1"/>
  <c r="R498" i="34"/>
  <c r="U498" i="34" s="1"/>
  <c r="R608" i="34"/>
  <c r="U608" i="34" s="1"/>
  <c r="R609" i="34"/>
  <c r="U609" i="34" s="1"/>
  <c r="R617" i="34"/>
  <c r="U617" i="34" s="1"/>
  <c r="AK639" i="34"/>
  <c r="AL639" i="34" s="1"/>
  <c r="AK640" i="34"/>
  <c r="AL640" i="34" s="1"/>
  <c r="AK641" i="34"/>
  <c r="AL641" i="34" s="1"/>
  <c r="AK676" i="34"/>
  <c r="AL676" i="34" s="1"/>
  <c r="AJ436" i="34"/>
  <c r="T436" i="34" s="1"/>
  <c r="V436" i="34" s="1"/>
  <c r="AJ495" i="34"/>
  <c r="T495" i="34" s="1"/>
  <c r="V495" i="34" s="1"/>
  <c r="AI637" i="34"/>
  <c r="AI673" i="34"/>
  <c r="AI62" i="32"/>
  <c r="AI565" i="32"/>
  <c r="AI360" i="32"/>
  <c r="AI38" i="30"/>
  <c r="AI39" i="30"/>
  <c r="AJ161" i="34" l="1"/>
  <c r="T161" i="34" s="1"/>
  <c r="V161" i="34" s="1"/>
  <c r="U25" i="34"/>
  <c r="AH58" i="34"/>
  <c r="AH35" i="34" s="1"/>
  <c r="U16" i="34"/>
  <c r="U14" i="34"/>
  <c r="AJ38" i="34"/>
  <c r="T38" i="34" s="1"/>
  <c r="V38" i="34" s="1"/>
  <c r="R55" i="34"/>
  <c r="U55" i="34" s="1"/>
  <c r="U39" i="34"/>
  <c r="U565" i="34"/>
  <c r="U678" i="34"/>
  <c r="U627" i="34"/>
  <c r="U62" i="34"/>
  <c r="U106" i="34"/>
  <c r="P58" i="34"/>
  <c r="P35" i="34" s="1"/>
  <c r="U594" i="34"/>
  <c r="U553" i="34"/>
  <c r="U483" i="34"/>
  <c r="U356" i="34"/>
  <c r="U241" i="34"/>
  <c r="U155" i="34"/>
  <c r="U125" i="34"/>
  <c r="AK96" i="34"/>
  <c r="AL96" i="34" s="1"/>
  <c r="U81" i="34"/>
  <c r="U364" i="34"/>
  <c r="U325" i="34"/>
  <c r="U51" i="34"/>
  <c r="AK364" i="34"/>
  <c r="AL364" i="34" s="1"/>
  <c r="U476" i="34"/>
  <c r="U568" i="34"/>
  <c r="U542" i="34"/>
  <c r="AI59" i="34"/>
  <c r="U570" i="34"/>
  <c r="AJ168" i="34"/>
  <c r="T168" i="34" s="1"/>
  <c r="V168" i="34" s="1"/>
  <c r="AK504" i="34"/>
  <c r="AL504" i="34" s="1"/>
  <c r="U643" i="34"/>
  <c r="R209" i="34"/>
  <c r="U209" i="34" s="1"/>
  <c r="U29" i="34"/>
  <c r="AK679" i="34"/>
  <c r="AL679" i="34" s="1"/>
  <c r="AJ679" i="34"/>
  <c r="T679" i="34" s="1"/>
  <c r="V679" i="34" s="1"/>
  <c r="Q58" i="34"/>
  <c r="R679" i="34" s="1"/>
  <c r="AK161" i="34"/>
  <c r="AL161" i="34" s="1"/>
  <c r="T193" i="34"/>
  <c r="V193" i="34" s="1"/>
  <c r="T192" i="34"/>
  <c r="AK457" i="34"/>
  <c r="AL457" i="34" s="1"/>
  <c r="U618" i="34"/>
  <c r="U249" i="34"/>
  <c r="AK241" i="34"/>
  <c r="AL241" i="34" s="1"/>
  <c r="AI10" i="34"/>
  <c r="AJ10" i="34" s="1"/>
  <c r="AK38" i="34"/>
  <c r="U457" i="34"/>
  <c r="AK562" i="34"/>
  <c r="AL562" i="34" s="1"/>
  <c r="U72" i="34"/>
  <c r="AI12" i="34"/>
  <c r="AJ12" i="34" s="1"/>
  <c r="AJ637" i="34"/>
  <c r="T637" i="34" s="1"/>
  <c r="V637" i="34" s="1"/>
  <c r="AK637" i="34"/>
  <c r="AL637" i="34" s="1"/>
  <c r="U26" i="34"/>
  <c r="T26" i="34"/>
  <c r="V26" i="34" s="1"/>
  <c r="AJ216" i="34"/>
  <c r="T216" i="34" s="1"/>
  <c r="V216" i="34" s="1"/>
  <c r="AK216" i="34"/>
  <c r="AL216" i="34" s="1"/>
  <c r="AI180" i="34"/>
  <c r="AJ180" i="34" s="1"/>
  <c r="T180" i="34" s="1"/>
  <c r="V180" i="34" s="1"/>
  <c r="AJ673" i="34"/>
  <c r="T673" i="34" s="1"/>
  <c r="V673" i="34" s="1"/>
  <c r="AK673" i="34"/>
  <c r="AL673" i="34" s="1"/>
  <c r="U341" i="34"/>
  <c r="V341" i="34"/>
  <c r="R171" i="34"/>
  <c r="U171" i="34" s="1"/>
  <c r="R168" i="34"/>
  <c r="AK168" i="34"/>
  <c r="AL168" i="34" s="1"/>
  <c r="AJ339" i="34"/>
  <c r="T339" i="34" s="1"/>
  <c r="V339" i="34" s="1"/>
  <c r="AI248" i="34"/>
  <c r="AL14" i="34"/>
  <c r="T24" i="34"/>
  <c r="V24" i="34" s="1"/>
  <c r="U24" i="34"/>
  <c r="U504" i="34"/>
  <c r="U566" i="34"/>
  <c r="U148" i="34"/>
  <c r="U465" i="34"/>
  <c r="U144" i="34"/>
  <c r="AK26" i="34"/>
  <c r="AL26" i="34" s="1"/>
  <c r="R230" i="34"/>
  <c r="U230" i="34" s="1"/>
  <c r="U562" i="34"/>
  <c r="U127" i="34"/>
  <c r="U146" i="34"/>
  <c r="R193" i="34"/>
  <c r="R201" i="34"/>
  <c r="U201" i="34" s="1"/>
  <c r="R181" i="34"/>
  <c r="U181" i="34" s="1"/>
  <c r="R180" i="34"/>
  <c r="R222" i="34"/>
  <c r="U222" i="34" s="1"/>
  <c r="R216" i="34"/>
  <c r="V144" i="34"/>
  <c r="U422" i="34"/>
  <c r="U89" i="34"/>
  <c r="AJ124" i="34"/>
  <c r="T124" i="34" s="1"/>
  <c r="V124" i="34" s="1"/>
  <c r="AK124" i="34"/>
  <c r="AL124" i="34" s="1"/>
  <c r="U495" i="34"/>
  <c r="AI675" i="32"/>
  <c r="AJ675" i="32" s="1"/>
  <c r="T675" i="32" s="1"/>
  <c r="V675" i="32" s="1"/>
  <c r="AI673" i="32"/>
  <c r="AI671" i="32"/>
  <c r="AI640" i="32"/>
  <c r="AI637" i="32"/>
  <c r="AI636" i="32"/>
  <c r="AK636" i="32" s="1"/>
  <c r="AL636" i="32" s="1"/>
  <c r="AI638" i="32"/>
  <c r="AI568" i="32"/>
  <c r="AI567" i="32"/>
  <c r="AI566" i="32"/>
  <c r="AI564" i="32"/>
  <c r="AI563" i="32"/>
  <c r="AI562" i="32"/>
  <c r="AI561" i="32"/>
  <c r="AI560" i="32"/>
  <c r="AI505" i="32"/>
  <c r="AI504" i="32"/>
  <c r="AI506" i="32"/>
  <c r="AI507" i="32"/>
  <c r="AI462" i="32"/>
  <c r="AI454" i="32" s="1"/>
  <c r="AI420" i="32"/>
  <c r="AI418" i="32"/>
  <c r="AI373" i="32"/>
  <c r="AI369" i="32"/>
  <c r="AI364" i="32"/>
  <c r="AI344" i="32"/>
  <c r="AI338" i="32"/>
  <c r="AI244" i="32"/>
  <c r="AI218" i="32"/>
  <c r="AI189" i="32"/>
  <c r="AI156" i="32"/>
  <c r="AI155" i="32"/>
  <c r="AI151" i="32"/>
  <c r="AI150" i="32"/>
  <c r="AI143" i="32"/>
  <c r="AI118" i="32"/>
  <c r="AI103" i="32"/>
  <c r="T34" i="32"/>
  <c r="V34" i="32" s="1"/>
  <c r="Y34" i="32"/>
  <c r="Z34" i="32"/>
  <c r="AA34" i="32"/>
  <c r="AB34" i="32"/>
  <c r="AK34" i="32"/>
  <c r="Q26" i="32"/>
  <c r="AI33" i="32"/>
  <c r="T30" i="32"/>
  <c r="V30" i="32" s="1"/>
  <c r="AB30" i="32"/>
  <c r="AA30" i="32"/>
  <c r="Z30" i="32"/>
  <c r="Y30" i="32"/>
  <c r="AK31" i="32"/>
  <c r="AI26" i="32"/>
  <c r="AI22" i="32"/>
  <c r="AI23" i="32"/>
  <c r="AI17" i="32"/>
  <c r="AI15" i="32"/>
  <c r="A719" i="32"/>
  <c r="A715" i="32"/>
  <c r="A709" i="32"/>
  <c r="A706" i="32"/>
  <c r="P685" i="32"/>
  <c r="P676" i="32" s="1"/>
  <c r="O685" i="32"/>
  <c r="O676" i="32" s="1"/>
  <c r="O245" i="32" s="1"/>
  <c r="AK684" i="32"/>
  <c r="AL684" i="32" s="1"/>
  <c r="AJ684" i="32"/>
  <c r="T684" i="32" s="1"/>
  <c r="V684" i="32" s="1"/>
  <c r="AK683" i="32"/>
  <c r="AL683" i="32" s="1"/>
  <c r="AJ683" i="32"/>
  <c r="T683" i="32" s="1"/>
  <c r="V683" i="32" s="1"/>
  <c r="AK682" i="32"/>
  <c r="AL682" i="32" s="1"/>
  <c r="AJ682" i="32"/>
  <c r="T682" i="32"/>
  <c r="V682" i="32" s="1"/>
  <c r="AL681" i="32"/>
  <c r="AK681" i="32"/>
  <c r="AJ681" i="32"/>
  <c r="T681" i="32" s="1"/>
  <c r="V681" i="32" s="1"/>
  <c r="AK680" i="32"/>
  <c r="AL680" i="32" s="1"/>
  <c r="AJ680" i="32"/>
  <c r="T680" i="32" s="1"/>
  <c r="V680" i="32" s="1"/>
  <c r="AK679" i="32"/>
  <c r="AL679" i="32" s="1"/>
  <c r="AJ679" i="32"/>
  <c r="T679" i="32" s="1"/>
  <c r="V679" i="32" s="1"/>
  <c r="AK678" i="32"/>
  <c r="AL678" i="32" s="1"/>
  <c r="AJ678" i="32"/>
  <c r="T678" i="32" s="1"/>
  <c r="V678" i="32" s="1"/>
  <c r="AI677" i="32"/>
  <c r="AI676" i="32" s="1"/>
  <c r="AH677" i="32"/>
  <c r="AH676" i="32" s="1"/>
  <c r="AG677" i="32"/>
  <c r="AG676" i="32" s="1"/>
  <c r="Q677" i="32"/>
  <c r="R683" i="32" s="1"/>
  <c r="AF676" i="32"/>
  <c r="AE676" i="32"/>
  <c r="AD676" i="32"/>
  <c r="AC676" i="32"/>
  <c r="AB676" i="32"/>
  <c r="AA676" i="32"/>
  <c r="Z676" i="32"/>
  <c r="Y676" i="32"/>
  <c r="X676" i="32"/>
  <c r="W676" i="32"/>
  <c r="AK675" i="32"/>
  <c r="AL675" i="32" s="1"/>
  <c r="AK674" i="32"/>
  <c r="AL674" i="32" s="1"/>
  <c r="AJ674" i="32"/>
  <c r="T674" i="32" s="1"/>
  <c r="V674" i="32" s="1"/>
  <c r="AK673" i="32"/>
  <c r="AL673" i="32" s="1"/>
  <c r="AJ673" i="32"/>
  <c r="T673" i="32" s="1"/>
  <c r="V673" i="32" s="1"/>
  <c r="AK672" i="32"/>
  <c r="AL672" i="32" s="1"/>
  <c r="AJ672" i="32"/>
  <c r="T672" i="32" s="1"/>
  <c r="V672" i="32" s="1"/>
  <c r="AK671" i="32"/>
  <c r="AL671" i="32" s="1"/>
  <c r="AJ671" i="32"/>
  <c r="T671" i="32" s="1"/>
  <c r="V671" i="32" s="1"/>
  <c r="AI670" i="32"/>
  <c r="AH670" i="32"/>
  <c r="AG670" i="32"/>
  <c r="Q670" i="32"/>
  <c r="R675" i="32" s="1"/>
  <c r="A670" i="32"/>
  <c r="A677" i="32" s="1"/>
  <c r="AK669" i="32"/>
  <c r="AL669" i="32" s="1"/>
  <c r="AJ669" i="32"/>
  <c r="T669" i="32" s="1"/>
  <c r="AK668" i="32"/>
  <c r="AL668" i="32" s="1"/>
  <c r="AJ668" i="32"/>
  <c r="T668" i="32" s="1"/>
  <c r="V668" i="32" s="1"/>
  <c r="AK667" i="32"/>
  <c r="AL667" i="32" s="1"/>
  <c r="AJ667" i="32"/>
  <c r="T667" i="32" s="1"/>
  <c r="V667" i="32" s="1"/>
  <c r="AK666" i="32"/>
  <c r="AL666" i="32" s="1"/>
  <c r="AJ666" i="32"/>
  <c r="T666" i="32" s="1"/>
  <c r="V666" i="32" s="1"/>
  <c r="AK665" i="32"/>
  <c r="AL665" i="32" s="1"/>
  <c r="AJ665" i="32"/>
  <c r="T665" i="32" s="1"/>
  <c r="V665" i="32" s="1"/>
  <c r="AK664" i="32"/>
  <c r="AL664" i="32" s="1"/>
  <c r="AJ664" i="32"/>
  <c r="T664" i="32" s="1"/>
  <c r="V664" i="32" s="1"/>
  <c r="AK663" i="32"/>
  <c r="AL663" i="32" s="1"/>
  <c r="AJ663" i="32"/>
  <c r="T663" i="32" s="1"/>
  <c r="V663" i="32" s="1"/>
  <c r="AK662" i="32"/>
  <c r="AL662" i="32" s="1"/>
  <c r="AJ662" i="32"/>
  <c r="T662" i="32" s="1"/>
  <c r="V662" i="32" s="1"/>
  <c r="AK661" i="32"/>
  <c r="AL661" i="32" s="1"/>
  <c r="AJ661" i="32"/>
  <c r="T661" i="32" s="1"/>
  <c r="V661" i="32" s="1"/>
  <c r="AK660" i="32"/>
  <c r="AL660" i="32" s="1"/>
  <c r="AJ660" i="32"/>
  <c r="T660" i="32" s="1"/>
  <c r="V660" i="32" s="1"/>
  <c r="AK659" i="32"/>
  <c r="AL659" i="32" s="1"/>
  <c r="AJ659" i="32"/>
  <c r="T659" i="32" s="1"/>
  <c r="V659" i="32" s="1"/>
  <c r="AK658" i="32"/>
  <c r="AL658" i="32" s="1"/>
  <c r="AJ658" i="32"/>
  <c r="T658" i="32" s="1"/>
  <c r="V658" i="32" s="1"/>
  <c r="AK657" i="32"/>
  <c r="AL657" i="32" s="1"/>
  <c r="AJ657" i="32"/>
  <c r="T657" i="32" s="1"/>
  <c r="V657" i="32" s="1"/>
  <c r="AI656" i="32"/>
  <c r="Q656" i="32"/>
  <c r="R666" i="32" s="1"/>
  <c r="AK655" i="32"/>
  <c r="AL655" i="32" s="1"/>
  <c r="AJ655" i="32"/>
  <c r="T655" i="32" s="1"/>
  <c r="V655" i="32" s="1"/>
  <c r="AK654" i="32"/>
  <c r="AL654" i="32" s="1"/>
  <c r="AJ654" i="32"/>
  <c r="T654" i="32" s="1"/>
  <c r="V654" i="32" s="1"/>
  <c r="AK653" i="32"/>
  <c r="AL653" i="32" s="1"/>
  <c r="AJ653" i="32"/>
  <c r="T653" i="32" s="1"/>
  <c r="V653" i="32" s="1"/>
  <c r="AK652" i="32"/>
  <c r="AL652" i="32" s="1"/>
  <c r="AJ652" i="32"/>
  <c r="T652" i="32" s="1"/>
  <c r="AK651" i="32"/>
  <c r="AL651" i="32" s="1"/>
  <c r="AJ651" i="32"/>
  <c r="T651" i="32" s="1"/>
  <c r="V651" i="32" s="1"/>
  <c r="AK650" i="32"/>
  <c r="AL650" i="32" s="1"/>
  <c r="AJ650" i="32"/>
  <c r="T650" i="32" s="1"/>
  <c r="AK649" i="32"/>
  <c r="AL649" i="32" s="1"/>
  <c r="AJ649" i="32"/>
  <c r="T649" i="32" s="1"/>
  <c r="V649" i="32" s="1"/>
  <c r="AK648" i="32"/>
  <c r="AL648" i="32" s="1"/>
  <c r="AJ648" i="32"/>
  <c r="T648" i="32" s="1"/>
  <c r="V648" i="32" s="1"/>
  <c r="AK647" i="32"/>
  <c r="AL647" i="32" s="1"/>
  <c r="AJ647" i="32"/>
  <c r="T647" i="32" s="1"/>
  <c r="V647" i="32" s="1"/>
  <c r="AK646" i="32"/>
  <c r="AL646" i="32" s="1"/>
  <c r="AJ646" i="32"/>
  <c r="T646" i="32" s="1"/>
  <c r="V646" i="32" s="1"/>
  <c r="AK645" i="32"/>
  <c r="AL645" i="32" s="1"/>
  <c r="AJ645" i="32"/>
  <c r="T645" i="32" s="1"/>
  <c r="V645" i="32" s="1"/>
  <c r="AK644" i="32"/>
  <c r="AL644" i="32" s="1"/>
  <c r="AJ644" i="32"/>
  <c r="T644" i="32" s="1"/>
  <c r="AK643" i="32"/>
  <c r="AL643" i="32" s="1"/>
  <c r="AJ643" i="32"/>
  <c r="T643" i="32" s="1"/>
  <c r="V643" i="32" s="1"/>
  <c r="AK642" i="32"/>
  <c r="AL642" i="32" s="1"/>
  <c r="AJ642" i="32"/>
  <c r="T642" i="32" s="1"/>
  <c r="AI641" i="32"/>
  <c r="Q641" i="32"/>
  <c r="R653" i="32" s="1"/>
  <c r="AK640" i="32"/>
  <c r="AL640" i="32" s="1"/>
  <c r="AJ640" i="32"/>
  <c r="T640" i="32" s="1"/>
  <c r="V640" i="32" s="1"/>
  <c r="AK639" i="32"/>
  <c r="AL639" i="32" s="1"/>
  <c r="AJ639" i="32"/>
  <c r="T639" i="32" s="1"/>
  <c r="V639" i="32" s="1"/>
  <c r="AK638" i="32"/>
  <c r="AL638" i="32" s="1"/>
  <c r="AJ638" i="32"/>
  <c r="T638" i="32" s="1"/>
  <c r="V638" i="32" s="1"/>
  <c r="AK637" i="32"/>
  <c r="AL637" i="32" s="1"/>
  <c r="AJ637" i="32"/>
  <c r="T637" i="32" s="1"/>
  <c r="V637" i="32" s="1"/>
  <c r="AJ636" i="32"/>
  <c r="T636" i="32" s="1"/>
  <c r="V636" i="32" s="1"/>
  <c r="AK635" i="32"/>
  <c r="AL635" i="32" s="1"/>
  <c r="AJ635" i="32"/>
  <c r="T635" i="32" s="1"/>
  <c r="V635" i="32" s="1"/>
  <c r="Q634" i="32"/>
  <c r="R638" i="32" s="1"/>
  <c r="AK633" i="32"/>
  <c r="AL633" i="32" s="1"/>
  <c r="AJ633" i="32"/>
  <c r="T633" i="32" s="1"/>
  <c r="AK632" i="32"/>
  <c r="AL632" i="32" s="1"/>
  <c r="AJ632" i="32"/>
  <c r="T632" i="32" s="1"/>
  <c r="V632" i="32" s="1"/>
  <c r="AK631" i="32"/>
  <c r="AL631" i="32" s="1"/>
  <c r="AJ631" i="32"/>
  <c r="T631" i="32" s="1"/>
  <c r="V631" i="32" s="1"/>
  <c r="AK630" i="32"/>
  <c r="AL630" i="32" s="1"/>
  <c r="AJ630" i="32"/>
  <c r="T630" i="32" s="1"/>
  <c r="V630" i="32" s="1"/>
  <c r="AK629" i="32"/>
  <c r="AL629" i="32" s="1"/>
  <c r="AJ629" i="32"/>
  <c r="T629" i="32" s="1"/>
  <c r="V629" i="32" s="1"/>
  <c r="AK628" i="32"/>
  <c r="AL628" i="32" s="1"/>
  <c r="AJ628" i="32"/>
  <c r="T628" i="32" s="1"/>
  <c r="V628" i="32" s="1"/>
  <c r="AK627" i="32"/>
  <c r="AL627" i="32" s="1"/>
  <c r="AJ627" i="32"/>
  <c r="T627" i="32" s="1"/>
  <c r="V627" i="32" s="1"/>
  <c r="AK626" i="32"/>
  <c r="AL626" i="32" s="1"/>
  <c r="AJ626" i="32"/>
  <c r="T626" i="32" s="1"/>
  <c r="V626" i="32" s="1"/>
  <c r="AK625" i="32"/>
  <c r="AL625" i="32" s="1"/>
  <c r="AJ625" i="32"/>
  <c r="T625" i="32" s="1"/>
  <c r="V625" i="32" s="1"/>
  <c r="AI624" i="32"/>
  <c r="Q624" i="32"/>
  <c r="R628" i="32" s="1"/>
  <c r="AK623" i="32"/>
  <c r="AL623" i="32" s="1"/>
  <c r="AJ623" i="32"/>
  <c r="T623" i="32" s="1"/>
  <c r="V623" i="32" s="1"/>
  <c r="AK622" i="32"/>
  <c r="AL622" i="32" s="1"/>
  <c r="AJ622" i="32"/>
  <c r="T622" i="32" s="1"/>
  <c r="V622" i="32" s="1"/>
  <c r="AK621" i="32"/>
  <c r="AL621" i="32" s="1"/>
  <c r="AJ621" i="32"/>
  <c r="T621" i="32" s="1"/>
  <c r="V621" i="32" s="1"/>
  <c r="AK620" i="32"/>
  <c r="AL620" i="32" s="1"/>
  <c r="AJ620" i="32"/>
  <c r="T620" i="32" s="1"/>
  <c r="V620" i="32" s="1"/>
  <c r="AK619" i="32"/>
  <c r="AL619" i="32" s="1"/>
  <c r="AJ619" i="32"/>
  <c r="T619" i="32" s="1"/>
  <c r="V619" i="32" s="1"/>
  <c r="AK618" i="32"/>
  <c r="AL618" i="32" s="1"/>
  <c r="AJ618" i="32"/>
  <c r="T618" i="32" s="1"/>
  <c r="V618" i="32" s="1"/>
  <c r="AK617" i="32"/>
  <c r="AL617" i="32" s="1"/>
  <c r="AJ617" i="32"/>
  <c r="T617" i="32" s="1"/>
  <c r="V617" i="32" s="1"/>
  <c r="AK616" i="32"/>
  <c r="AL616" i="32" s="1"/>
  <c r="AJ616" i="32"/>
  <c r="T616" i="32" s="1"/>
  <c r="V616" i="32" s="1"/>
  <c r="AI615" i="32"/>
  <c r="Q615" i="32"/>
  <c r="R617" i="32" s="1"/>
  <c r="AK614" i="32"/>
  <c r="AL614" i="32" s="1"/>
  <c r="AJ614" i="32"/>
  <c r="T614" i="32" s="1"/>
  <c r="V614" i="32" s="1"/>
  <c r="AK613" i="32"/>
  <c r="AL613" i="32" s="1"/>
  <c r="AJ613" i="32"/>
  <c r="T613" i="32" s="1"/>
  <c r="V613" i="32" s="1"/>
  <c r="AK612" i="32"/>
  <c r="AL612" i="32" s="1"/>
  <c r="AJ612" i="32"/>
  <c r="T612" i="32" s="1"/>
  <c r="V612" i="32" s="1"/>
  <c r="AK611" i="32"/>
  <c r="AL611" i="32" s="1"/>
  <c r="AJ611" i="32"/>
  <c r="T611" i="32" s="1"/>
  <c r="V611" i="32" s="1"/>
  <c r="AK610" i="32"/>
  <c r="AL610" i="32" s="1"/>
  <c r="AJ610" i="32"/>
  <c r="T610" i="32" s="1"/>
  <c r="V610" i="32" s="1"/>
  <c r="AK609" i="32"/>
  <c r="AL609" i="32" s="1"/>
  <c r="AJ609" i="32"/>
  <c r="T609" i="32" s="1"/>
  <c r="V609" i="32" s="1"/>
  <c r="AK608" i="32"/>
  <c r="AL608" i="32" s="1"/>
  <c r="AJ608" i="32"/>
  <c r="T608" i="32" s="1"/>
  <c r="V608" i="32" s="1"/>
  <c r="AK607" i="32"/>
  <c r="AL607" i="32" s="1"/>
  <c r="AJ607" i="32"/>
  <c r="T607" i="32" s="1"/>
  <c r="V607" i="32" s="1"/>
  <c r="AK606" i="32"/>
  <c r="AL606" i="32" s="1"/>
  <c r="AJ606" i="32"/>
  <c r="T606" i="32" s="1"/>
  <c r="V606" i="32" s="1"/>
  <c r="AI605" i="32"/>
  <c r="Q605" i="32"/>
  <c r="R614" i="32" s="1"/>
  <c r="AK604" i="32"/>
  <c r="AL604" i="32" s="1"/>
  <c r="AJ604" i="32"/>
  <c r="T604" i="32" s="1"/>
  <c r="V604" i="32" s="1"/>
  <c r="AK603" i="32"/>
  <c r="AL603" i="32" s="1"/>
  <c r="AJ603" i="32"/>
  <c r="T603" i="32" s="1"/>
  <c r="V603" i="32" s="1"/>
  <c r="AK602" i="32"/>
  <c r="AL602" i="32" s="1"/>
  <c r="AJ602" i="32"/>
  <c r="T602" i="32" s="1"/>
  <c r="V602" i="32" s="1"/>
  <c r="AK601" i="32"/>
  <c r="AL601" i="32" s="1"/>
  <c r="AJ601" i="32"/>
  <c r="T601" i="32" s="1"/>
  <c r="V601" i="32" s="1"/>
  <c r="AK600" i="32"/>
  <c r="AL600" i="32" s="1"/>
  <c r="AJ600" i="32"/>
  <c r="T600" i="32" s="1"/>
  <c r="V600" i="32" s="1"/>
  <c r="AK599" i="32"/>
  <c r="AL599" i="32" s="1"/>
  <c r="AJ599" i="32"/>
  <c r="T599" i="32" s="1"/>
  <c r="V599" i="32" s="1"/>
  <c r="AK598" i="32"/>
  <c r="AL598" i="32" s="1"/>
  <c r="AJ598" i="32"/>
  <c r="T598" i="32" s="1"/>
  <c r="V598" i="32" s="1"/>
  <c r="AK597" i="32"/>
  <c r="AL597" i="32" s="1"/>
  <c r="AJ597" i="32"/>
  <c r="T597" i="32" s="1"/>
  <c r="V597" i="32" s="1"/>
  <c r="AK596" i="32"/>
  <c r="AL596" i="32" s="1"/>
  <c r="AJ596" i="32"/>
  <c r="T596" i="32" s="1"/>
  <c r="V596" i="32" s="1"/>
  <c r="AK595" i="32"/>
  <c r="AL595" i="32" s="1"/>
  <c r="AJ595" i="32"/>
  <c r="T595" i="32" s="1"/>
  <c r="V595" i="32" s="1"/>
  <c r="AK594" i="32"/>
  <c r="AL594" i="32" s="1"/>
  <c r="AJ594" i="32"/>
  <c r="T594" i="32" s="1"/>
  <c r="V594" i="32" s="1"/>
  <c r="AK593" i="32"/>
  <c r="AL593" i="32" s="1"/>
  <c r="AJ593" i="32"/>
  <c r="T593" i="32" s="1"/>
  <c r="V593" i="32" s="1"/>
  <c r="AK592" i="32"/>
  <c r="AL592" i="32" s="1"/>
  <c r="AJ592" i="32"/>
  <c r="T592" i="32" s="1"/>
  <c r="V592" i="32" s="1"/>
  <c r="AI591" i="32"/>
  <c r="Q591" i="32"/>
  <c r="R603" i="32" s="1"/>
  <c r="AK590" i="32"/>
  <c r="AL590" i="32" s="1"/>
  <c r="AJ590" i="32"/>
  <c r="T590" i="32" s="1"/>
  <c r="AK589" i="32"/>
  <c r="AL589" i="32" s="1"/>
  <c r="AJ589" i="32"/>
  <c r="T589" i="32" s="1"/>
  <c r="AK588" i="32"/>
  <c r="AL588" i="32" s="1"/>
  <c r="AJ588" i="32"/>
  <c r="T588" i="32" s="1"/>
  <c r="V588" i="32" s="1"/>
  <c r="AK587" i="32"/>
  <c r="AL587" i="32" s="1"/>
  <c r="AJ587" i="32"/>
  <c r="T587" i="32" s="1"/>
  <c r="V587" i="32" s="1"/>
  <c r="AK586" i="32"/>
  <c r="AL586" i="32" s="1"/>
  <c r="AJ586" i="32"/>
  <c r="T586" i="32" s="1"/>
  <c r="V586" i="32" s="1"/>
  <c r="AK585" i="32"/>
  <c r="AL585" i="32" s="1"/>
  <c r="AJ585" i="32"/>
  <c r="T585" i="32" s="1"/>
  <c r="V585" i="32" s="1"/>
  <c r="AK584" i="32"/>
  <c r="AL584" i="32" s="1"/>
  <c r="AJ584" i="32"/>
  <c r="T584" i="32" s="1"/>
  <c r="V584" i="32" s="1"/>
  <c r="AK583" i="32"/>
  <c r="AL583" i="32" s="1"/>
  <c r="AJ583" i="32"/>
  <c r="T583" i="32" s="1"/>
  <c r="V583" i="32" s="1"/>
  <c r="AI582" i="32"/>
  <c r="Q582" i="32"/>
  <c r="R586" i="32" s="1"/>
  <c r="AK581" i="32"/>
  <c r="AL581" i="32" s="1"/>
  <c r="AJ581" i="32"/>
  <c r="T581" i="32" s="1"/>
  <c r="AK580" i="32"/>
  <c r="AL580" i="32" s="1"/>
  <c r="AJ580" i="32"/>
  <c r="T580" i="32" s="1"/>
  <c r="V580" i="32" s="1"/>
  <c r="AK579" i="32"/>
  <c r="AL579" i="32" s="1"/>
  <c r="AJ579" i="32"/>
  <c r="T579" i="32" s="1"/>
  <c r="V579" i="32" s="1"/>
  <c r="AK578" i="32"/>
  <c r="AL578" i="32" s="1"/>
  <c r="AJ578" i="32"/>
  <c r="T578" i="32" s="1"/>
  <c r="V578" i="32" s="1"/>
  <c r="AK577" i="32"/>
  <c r="AL577" i="32" s="1"/>
  <c r="AJ577" i="32"/>
  <c r="T577" i="32" s="1"/>
  <c r="V577" i="32" s="1"/>
  <c r="AK576" i="32"/>
  <c r="AL576" i="32" s="1"/>
  <c r="AJ576" i="32"/>
  <c r="T576" i="32" s="1"/>
  <c r="AK575" i="32"/>
  <c r="AL575" i="32" s="1"/>
  <c r="AJ575" i="32"/>
  <c r="T575" i="32" s="1"/>
  <c r="V575" i="32" s="1"/>
  <c r="AK574" i="32"/>
  <c r="AL574" i="32" s="1"/>
  <c r="AJ574" i="32"/>
  <c r="T574" i="32" s="1"/>
  <c r="V574" i="32" s="1"/>
  <c r="AK573" i="32"/>
  <c r="AL573" i="32" s="1"/>
  <c r="AJ573" i="32"/>
  <c r="T573" i="32" s="1"/>
  <c r="V573" i="32" s="1"/>
  <c r="AK572" i="32"/>
  <c r="AL572" i="32" s="1"/>
  <c r="AJ572" i="32"/>
  <c r="T572" i="32" s="1"/>
  <c r="V572" i="32" s="1"/>
  <c r="AK571" i="32"/>
  <c r="AL571" i="32" s="1"/>
  <c r="AJ571" i="32"/>
  <c r="T571" i="32" s="1"/>
  <c r="V571" i="32" s="1"/>
  <c r="AK570" i="32"/>
  <c r="AL570" i="32" s="1"/>
  <c r="AJ570" i="32"/>
  <c r="T570" i="32" s="1"/>
  <c r="V570" i="32" s="1"/>
  <c r="AI569" i="32"/>
  <c r="Q569" i="32"/>
  <c r="R581" i="32" s="1"/>
  <c r="AK568" i="32"/>
  <c r="AL568" i="32" s="1"/>
  <c r="AJ568" i="32"/>
  <c r="T568" i="32" s="1"/>
  <c r="V568" i="32" s="1"/>
  <c r="AK567" i="32"/>
  <c r="AL567" i="32" s="1"/>
  <c r="AJ567" i="32"/>
  <c r="T567" i="32" s="1"/>
  <c r="AK566" i="32"/>
  <c r="AL566" i="32" s="1"/>
  <c r="AJ566" i="32"/>
  <c r="T566" i="32" s="1"/>
  <c r="AK565" i="32"/>
  <c r="AL565" i="32" s="1"/>
  <c r="AJ565" i="32"/>
  <c r="T565" i="32" s="1"/>
  <c r="V565" i="32" s="1"/>
  <c r="AK564" i="32"/>
  <c r="AL564" i="32" s="1"/>
  <c r="AJ564" i="32"/>
  <c r="T564" i="32" s="1"/>
  <c r="V564" i="32" s="1"/>
  <c r="AK563" i="32"/>
  <c r="AL563" i="32" s="1"/>
  <c r="AJ563" i="32"/>
  <c r="T563" i="32" s="1"/>
  <c r="V563" i="32" s="1"/>
  <c r="AK562" i="32"/>
  <c r="AL562" i="32" s="1"/>
  <c r="AJ562" i="32"/>
  <c r="T562" i="32" s="1"/>
  <c r="V562" i="32" s="1"/>
  <c r="AK561" i="32"/>
  <c r="AL561" i="32" s="1"/>
  <c r="AJ561" i="32"/>
  <c r="T561" i="32" s="1"/>
  <c r="V561" i="32" s="1"/>
  <c r="AK560" i="32"/>
  <c r="AL560" i="32" s="1"/>
  <c r="AJ560" i="32"/>
  <c r="T560" i="32" s="1"/>
  <c r="AI559" i="32"/>
  <c r="Q559" i="32"/>
  <c r="R564" i="32" s="1"/>
  <c r="AK558" i="32"/>
  <c r="AL558" i="32" s="1"/>
  <c r="AJ558" i="32"/>
  <c r="T558" i="32" s="1"/>
  <c r="AK557" i="32"/>
  <c r="AL557" i="32" s="1"/>
  <c r="AJ557" i="32"/>
  <c r="T557" i="32" s="1"/>
  <c r="V557" i="32" s="1"/>
  <c r="AK556" i="32"/>
  <c r="AL556" i="32" s="1"/>
  <c r="AJ556" i="32"/>
  <c r="T556" i="32" s="1"/>
  <c r="V556" i="32" s="1"/>
  <c r="AK555" i="32"/>
  <c r="AL555" i="32" s="1"/>
  <c r="AJ555" i="32"/>
  <c r="T555" i="32" s="1"/>
  <c r="AK554" i="32"/>
  <c r="AL554" i="32" s="1"/>
  <c r="AJ554" i="32"/>
  <c r="T554" i="32" s="1"/>
  <c r="V554" i="32" s="1"/>
  <c r="AK553" i="32"/>
  <c r="AL553" i="32" s="1"/>
  <c r="AJ553" i="32"/>
  <c r="T553" i="32" s="1"/>
  <c r="AK552" i="32"/>
  <c r="AL552" i="32" s="1"/>
  <c r="AJ552" i="32"/>
  <c r="T552" i="32" s="1"/>
  <c r="V552" i="32" s="1"/>
  <c r="AK551" i="32"/>
  <c r="AL551" i="32" s="1"/>
  <c r="AJ551" i="32"/>
  <c r="T551" i="32" s="1"/>
  <c r="AI550" i="32"/>
  <c r="Q550" i="32"/>
  <c r="R554" i="32" s="1"/>
  <c r="AK549" i="32"/>
  <c r="AL549" i="32" s="1"/>
  <c r="AJ549" i="32"/>
  <c r="T549" i="32" s="1"/>
  <c r="V549" i="32" s="1"/>
  <c r="AK548" i="32"/>
  <c r="AJ548" i="32"/>
  <c r="T548" i="32" s="1"/>
  <c r="AK547" i="32"/>
  <c r="AL547" i="32" s="1"/>
  <c r="AJ547" i="32"/>
  <c r="T547" i="32" s="1"/>
  <c r="V547" i="32" s="1"/>
  <c r="AK546" i="32"/>
  <c r="AL546" i="32" s="1"/>
  <c r="AJ546" i="32"/>
  <c r="T546" i="32" s="1"/>
  <c r="V546" i="32" s="1"/>
  <c r="AK545" i="32"/>
  <c r="AL545" i="32" s="1"/>
  <c r="AJ545" i="32"/>
  <c r="T545" i="32" s="1"/>
  <c r="V545" i="32" s="1"/>
  <c r="AK544" i="32"/>
  <c r="AL544" i="32" s="1"/>
  <c r="AJ544" i="32"/>
  <c r="T544" i="32" s="1"/>
  <c r="AK543" i="32"/>
  <c r="AL543" i="32" s="1"/>
  <c r="AJ543" i="32"/>
  <c r="T543" i="32" s="1"/>
  <c r="V543" i="32" s="1"/>
  <c r="AK542" i="32"/>
  <c r="AL542" i="32" s="1"/>
  <c r="AJ542" i="32"/>
  <c r="T542" i="32" s="1"/>
  <c r="AK541" i="32"/>
  <c r="AL541" i="32" s="1"/>
  <c r="AJ541" i="32"/>
  <c r="T541" i="32" s="1"/>
  <c r="AK540" i="32"/>
  <c r="AL540" i="32" s="1"/>
  <c r="AJ540" i="32"/>
  <c r="T540" i="32" s="1"/>
  <c r="AI539" i="32"/>
  <c r="AH539" i="32"/>
  <c r="AG539" i="32"/>
  <c r="Q539" i="32"/>
  <c r="R545" i="32" s="1"/>
  <c r="AK538" i="32"/>
  <c r="AL538" i="32" s="1"/>
  <c r="AJ538" i="32"/>
  <c r="T538" i="32" s="1"/>
  <c r="V538" i="32" s="1"/>
  <c r="AK537" i="32"/>
  <c r="AL537" i="32" s="1"/>
  <c r="AJ537" i="32"/>
  <c r="T537" i="32" s="1"/>
  <c r="AK536" i="32"/>
  <c r="AL536" i="32" s="1"/>
  <c r="AJ536" i="32"/>
  <c r="T536" i="32" s="1"/>
  <c r="V536" i="32" s="1"/>
  <c r="AK535" i="32"/>
  <c r="AL535" i="32" s="1"/>
  <c r="AJ535" i="32"/>
  <c r="T535" i="32" s="1"/>
  <c r="V535" i="32" s="1"/>
  <c r="AK534" i="32"/>
  <c r="AL534" i="32" s="1"/>
  <c r="AJ534" i="32"/>
  <c r="T534" i="32" s="1"/>
  <c r="V534" i="32" s="1"/>
  <c r="AK533" i="32"/>
  <c r="AL533" i="32" s="1"/>
  <c r="AJ533" i="32"/>
  <c r="T533" i="32" s="1"/>
  <c r="V533" i="32" s="1"/>
  <c r="AK532" i="32"/>
  <c r="AL532" i="32" s="1"/>
  <c r="AJ532" i="32"/>
  <c r="T532" i="32" s="1"/>
  <c r="V532" i="32" s="1"/>
  <c r="AK531" i="32"/>
  <c r="AL531" i="32" s="1"/>
  <c r="AJ531" i="32"/>
  <c r="T531" i="32" s="1"/>
  <c r="V531" i="32" s="1"/>
  <c r="AK530" i="32"/>
  <c r="AL530" i="32" s="1"/>
  <c r="AJ530" i="32"/>
  <c r="T530" i="32" s="1"/>
  <c r="V530" i="32" s="1"/>
  <c r="AK529" i="32"/>
  <c r="AL529" i="32" s="1"/>
  <c r="AJ529" i="32"/>
  <c r="T529" i="32" s="1"/>
  <c r="AK528" i="32"/>
  <c r="AL528" i="32" s="1"/>
  <c r="AJ528" i="32"/>
  <c r="T528" i="32" s="1"/>
  <c r="V528" i="32" s="1"/>
  <c r="AI527" i="32"/>
  <c r="AH527" i="32"/>
  <c r="AG527" i="32"/>
  <c r="Q527" i="32"/>
  <c r="R531" i="32" s="1"/>
  <c r="AK526" i="32"/>
  <c r="AL526" i="32" s="1"/>
  <c r="AJ526" i="32"/>
  <c r="T526" i="32" s="1"/>
  <c r="V526" i="32" s="1"/>
  <c r="AK525" i="32"/>
  <c r="AL525" i="32" s="1"/>
  <c r="AJ525" i="32"/>
  <c r="T525" i="32" s="1"/>
  <c r="V525" i="32" s="1"/>
  <c r="AK524" i="32"/>
  <c r="AL524" i="32" s="1"/>
  <c r="AJ524" i="32"/>
  <c r="T524" i="32" s="1"/>
  <c r="V524" i="32" s="1"/>
  <c r="AK523" i="32"/>
  <c r="AL523" i="32" s="1"/>
  <c r="AJ523" i="32"/>
  <c r="T523" i="32" s="1"/>
  <c r="V523" i="32" s="1"/>
  <c r="AK522" i="32"/>
  <c r="AL522" i="32" s="1"/>
  <c r="AJ522" i="32"/>
  <c r="T522" i="32" s="1"/>
  <c r="V522" i="32" s="1"/>
  <c r="AK521" i="32"/>
  <c r="AL521" i="32" s="1"/>
  <c r="AJ521" i="32"/>
  <c r="T521" i="32" s="1"/>
  <c r="V521" i="32" s="1"/>
  <c r="AI520" i="32"/>
  <c r="AH520" i="32"/>
  <c r="AG520" i="32"/>
  <c r="Q520" i="32"/>
  <c r="AK519" i="32"/>
  <c r="AL519" i="32" s="1"/>
  <c r="AJ519" i="32"/>
  <c r="T519" i="32" s="1"/>
  <c r="V519" i="32" s="1"/>
  <c r="AK518" i="32"/>
  <c r="AL518" i="32" s="1"/>
  <c r="AJ518" i="32"/>
  <c r="T518" i="32" s="1"/>
  <c r="V518" i="32" s="1"/>
  <c r="AK517" i="32"/>
  <c r="AL517" i="32" s="1"/>
  <c r="AJ517" i="32"/>
  <c r="T517" i="32" s="1"/>
  <c r="V517" i="32" s="1"/>
  <c r="AK516" i="32"/>
  <c r="AL516" i="32" s="1"/>
  <c r="AJ516" i="32"/>
  <c r="T516" i="32" s="1"/>
  <c r="V516" i="32" s="1"/>
  <c r="AK515" i="32"/>
  <c r="AL515" i="32" s="1"/>
  <c r="AJ515" i="32"/>
  <c r="T515" i="32" s="1"/>
  <c r="V515" i="32" s="1"/>
  <c r="AK514" i="32"/>
  <c r="AL514" i="32" s="1"/>
  <c r="AJ514" i="32"/>
  <c r="T514" i="32" s="1"/>
  <c r="V514" i="32" s="1"/>
  <c r="AK513" i="32"/>
  <c r="AL513" i="32" s="1"/>
  <c r="AJ513" i="32"/>
  <c r="T513" i="32" s="1"/>
  <c r="V513" i="32" s="1"/>
  <c r="AK512" i="32"/>
  <c r="AL512" i="32" s="1"/>
  <c r="AJ512" i="32"/>
  <c r="T512" i="32" s="1"/>
  <c r="V512" i="32" s="1"/>
  <c r="AK511" i="32"/>
  <c r="AL511" i="32" s="1"/>
  <c r="AJ511" i="32"/>
  <c r="T511" i="32" s="1"/>
  <c r="V511" i="32" s="1"/>
  <c r="AK510" i="32"/>
  <c r="AL510" i="32" s="1"/>
  <c r="AJ510" i="32"/>
  <c r="T510" i="32" s="1"/>
  <c r="V510" i="32" s="1"/>
  <c r="AK509" i="32"/>
  <c r="AJ509" i="32"/>
  <c r="T509" i="32" s="1"/>
  <c r="V509" i="32" s="1"/>
  <c r="AI508" i="32"/>
  <c r="AH508" i="32"/>
  <c r="AG508" i="32"/>
  <c r="Q508" i="32"/>
  <c r="R512" i="32" s="1"/>
  <c r="AK507" i="32"/>
  <c r="AL507" i="32" s="1"/>
  <c r="AJ507" i="32"/>
  <c r="T507" i="32" s="1"/>
  <c r="V507" i="32" s="1"/>
  <c r="AK506" i="32"/>
  <c r="AL506" i="32" s="1"/>
  <c r="AJ506" i="32"/>
  <c r="T506" i="32" s="1"/>
  <c r="V506" i="32" s="1"/>
  <c r="AK505" i="32"/>
  <c r="AL505" i="32" s="1"/>
  <c r="AJ505" i="32"/>
  <c r="T505" i="32" s="1"/>
  <c r="V505" i="32" s="1"/>
  <c r="AK504" i="32"/>
  <c r="AL504" i="32" s="1"/>
  <c r="AJ504" i="32"/>
  <c r="T504" i="32" s="1"/>
  <c r="V504" i="32" s="1"/>
  <c r="AK503" i="32"/>
  <c r="AL503" i="32" s="1"/>
  <c r="AJ503" i="32"/>
  <c r="T503" i="32" s="1"/>
  <c r="V503" i="32" s="1"/>
  <c r="AK502" i="32"/>
  <c r="AL502" i="32" s="1"/>
  <c r="AJ502" i="32"/>
  <c r="T502" i="32" s="1"/>
  <c r="V502" i="32" s="1"/>
  <c r="AH501" i="32"/>
  <c r="AG501" i="32"/>
  <c r="Q501" i="32"/>
  <c r="R505" i="32" s="1"/>
  <c r="AK500" i="32"/>
  <c r="AL500" i="32" s="1"/>
  <c r="AJ500" i="32"/>
  <c r="T500" i="32" s="1"/>
  <c r="V500" i="32" s="1"/>
  <c r="AK499" i="32"/>
  <c r="AL499" i="32" s="1"/>
  <c r="AJ499" i="32"/>
  <c r="T499" i="32" s="1"/>
  <c r="V499" i="32" s="1"/>
  <c r="AK498" i="32"/>
  <c r="AL498" i="32" s="1"/>
  <c r="AJ498" i="32"/>
  <c r="T498" i="32" s="1"/>
  <c r="V498" i="32" s="1"/>
  <c r="AK497" i="32"/>
  <c r="AL497" i="32" s="1"/>
  <c r="AJ497" i="32"/>
  <c r="T497" i="32" s="1"/>
  <c r="V497" i="32" s="1"/>
  <c r="AK496" i="32"/>
  <c r="AL496" i="32" s="1"/>
  <c r="AJ496" i="32"/>
  <c r="T496" i="32" s="1"/>
  <c r="V496" i="32" s="1"/>
  <c r="AK495" i="32"/>
  <c r="AL495" i="32" s="1"/>
  <c r="AJ495" i="32"/>
  <c r="T495" i="32" s="1"/>
  <c r="V495" i="32" s="1"/>
  <c r="AK494" i="32"/>
  <c r="AL494" i="32" s="1"/>
  <c r="AJ494" i="32"/>
  <c r="T494" i="32" s="1"/>
  <c r="V494" i="32" s="1"/>
  <c r="AK493" i="32"/>
  <c r="AL493" i="32" s="1"/>
  <c r="AJ493" i="32"/>
  <c r="T493" i="32" s="1"/>
  <c r="V493" i="32" s="1"/>
  <c r="AI492" i="32"/>
  <c r="AH492" i="32"/>
  <c r="AG492" i="32"/>
  <c r="Q492" i="32"/>
  <c r="A492" i="32"/>
  <c r="A501" i="32" s="1"/>
  <c r="A508" i="32" s="1"/>
  <c r="A520" i="32" s="1"/>
  <c r="A527" i="32" s="1"/>
  <c r="A539" i="32" s="1"/>
  <c r="A550" i="32" s="1"/>
  <c r="A559" i="32" s="1"/>
  <c r="A569" i="32" s="1"/>
  <c r="A582" i="32" s="1"/>
  <c r="A591" i="32" s="1"/>
  <c r="A605" i="32" s="1"/>
  <c r="A615" i="32" s="1"/>
  <c r="A624" i="32" s="1"/>
  <c r="A634" i="32" s="1"/>
  <c r="AK491" i="32"/>
  <c r="AL491" i="32" s="1"/>
  <c r="AJ491" i="32"/>
  <c r="T491" i="32" s="1"/>
  <c r="V491" i="32" s="1"/>
  <c r="AK490" i="32"/>
  <c r="AL490" i="32" s="1"/>
  <c r="AJ490" i="32"/>
  <c r="T490" i="32" s="1"/>
  <c r="V490" i="32" s="1"/>
  <c r="AK489" i="32"/>
  <c r="AL489" i="32" s="1"/>
  <c r="AJ489" i="32"/>
  <c r="T489" i="32" s="1"/>
  <c r="V489" i="32" s="1"/>
  <c r="AK488" i="32"/>
  <c r="AL488" i="32" s="1"/>
  <c r="AJ488" i="32"/>
  <c r="T488" i="32" s="1"/>
  <c r="V488" i="32" s="1"/>
  <c r="AI487" i="32"/>
  <c r="Q487" i="32"/>
  <c r="R490" i="32" s="1"/>
  <c r="AK486" i="32"/>
  <c r="AL486" i="32" s="1"/>
  <c r="AJ486" i="32"/>
  <c r="T486" i="32" s="1"/>
  <c r="V486" i="32" s="1"/>
  <c r="AK485" i="32"/>
  <c r="AL485" i="32" s="1"/>
  <c r="AJ485" i="32"/>
  <c r="T485" i="32" s="1"/>
  <c r="V485" i="32" s="1"/>
  <c r="AK484" i="32"/>
  <c r="AL484" i="32" s="1"/>
  <c r="AJ484" i="32"/>
  <c r="T484" i="32" s="1"/>
  <c r="V484" i="32" s="1"/>
  <c r="AK483" i="32"/>
  <c r="AL483" i="32" s="1"/>
  <c r="AJ483" i="32"/>
  <c r="T483" i="32" s="1"/>
  <c r="V483" i="32" s="1"/>
  <c r="AK482" i="32"/>
  <c r="AL482" i="32" s="1"/>
  <c r="AJ482" i="32"/>
  <c r="T482" i="32" s="1"/>
  <c r="V482" i="32" s="1"/>
  <c r="AK481" i="32"/>
  <c r="AL481" i="32" s="1"/>
  <c r="AJ481" i="32"/>
  <c r="T481" i="32" s="1"/>
  <c r="V481" i="32" s="1"/>
  <c r="AI480" i="32"/>
  <c r="AH480" i="32"/>
  <c r="AG480" i="32"/>
  <c r="AF480" i="32"/>
  <c r="AE480" i="32"/>
  <c r="AD480" i="32"/>
  <c r="AC480" i="32"/>
  <c r="AA480" i="32"/>
  <c r="Z480" i="32"/>
  <c r="Y480" i="32"/>
  <c r="X480" i="32"/>
  <c r="Q480" i="32"/>
  <c r="P480" i="32"/>
  <c r="AK479" i="32"/>
  <c r="AL479" i="32" s="1"/>
  <c r="AJ479" i="32"/>
  <c r="T479" i="32" s="1"/>
  <c r="V479" i="32" s="1"/>
  <c r="AK478" i="32"/>
  <c r="AL478" i="32" s="1"/>
  <c r="AJ478" i="32"/>
  <c r="T478" i="32" s="1"/>
  <c r="V478" i="32" s="1"/>
  <c r="AK477" i="32"/>
  <c r="AL477" i="32" s="1"/>
  <c r="AJ477" i="32"/>
  <c r="T477" i="32" s="1"/>
  <c r="V477" i="32" s="1"/>
  <c r="AK476" i="32"/>
  <c r="AL476" i="32" s="1"/>
  <c r="AJ476" i="32"/>
  <c r="T476" i="32" s="1"/>
  <c r="V476" i="32" s="1"/>
  <c r="AK475" i="32"/>
  <c r="AL475" i="32" s="1"/>
  <c r="AJ475" i="32"/>
  <c r="T475" i="32" s="1"/>
  <c r="V475" i="32" s="1"/>
  <c r="AK474" i="32"/>
  <c r="AL474" i="32" s="1"/>
  <c r="AJ474" i="32"/>
  <c r="T474" i="32" s="1"/>
  <c r="V474" i="32" s="1"/>
  <c r="AI473" i="32"/>
  <c r="AH473" i="32"/>
  <c r="AG473" i="32"/>
  <c r="AF473" i="32"/>
  <c r="AE473" i="32"/>
  <c r="AD473" i="32"/>
  <c r="AC473" i="32"/>
  <c r="AA473" i="32"/>
  <c r="Z473" i="32"/>
  <c r="Y473" i="32"/>
  <c r="X473" i="32"/>
  <c r="Q473" i="32"/>
  <c r="P473" i="32"/>
  <c r="AK472" i="32"/>
  <c r="AL472" i="32" s="1"/>
  <c r="AJ472" i="32"/>
  <c r="T472" i="32" s="1"/>
  <c r="V472" i="32" s="1"/>
  <c r="AK471" i="32"/>
  <c r="AL471" i="32" s="1"/>
  <c r="AJ471" i="32"/>
  <c r="T471" i="32" s="1"/>
  <c r="V471" i="32" s="1"/>
  <c r="AK470" i="32"/>
  <c r="AL470" i="32" s="1"/>
  <c r="AJ470" i="32"/>
  <c r="T470" i="32" s="1"/>
  <c r="V470" i="32" s="1"/>
  <c r="AK469" i="32"/>
  <c r="AL469" i="32" s="1"/>
  <c r="AJ469" i="32"/>
  <c r="T469" i="32" s="1"/>
  <c r="V469" i="32" s="1"/>
  <c r="AK468" i="32"/>
  <c r="AL468" i="32" s="1"/>
  <c r="AJ468" i="32"/>
  <c r="T468" i="32" s="1"/>
  <c r="V468" i="32" s="1"/>
  <c r="AK467" i="32"/>
  <c r="AL467" i="32" s="1"/>
  <c r="AJ467" i="32"/>
  <c r="T467" i="32" s="1"/>
  <c r="V467" i="32" s="1"/>
  <c r="AK466" i="32"/>
  <c r="AL466" i="32" s="1"/>
  <c r="AJ466" i="32"/>
  <c r="T466" i="32" s="1"/>
  <c r="V466" i="32" s="1"/>
  <c r="AK465" i="32"/>
  <c r="AL465" i="32" s="1"/>
  <c r="AJ465" i="32"/>
  <c r="T465" i="32" s="1"/>
  <c r="V465" i="32" s="1"/>
  <c r="AK464" i="32"/>
  <c r="AL464" i="32" s="1"/>
  <c r="AJ464" i="32"/>
  <c r="T464" i="32" s="1"/>
  <c r="V464" i="32" s="1"/>
  <c r="AI463" i="32"/>
  <c r="AH463" i="32"/>
  <c r="AG463" i="32"/>
  <c r="AF463" i="32"/>
  <c r="AE463" i="32"/>
  <c r="AD463" i="32"/>
  <c r="AC463" i="32"/>
  <c r="AA463" i="32"/>
  <c r="Z463" i="32"/>
  <c r="Y463" i="32"/>
  <c r="X463" i="32"/>
  <c r="Q463" i="32"/>
  <c r="P463" i="32"/>
  <c r="AK462" i="32"/>
  <c r="AL462" i="32" s="1"/>
  <c r="AJ462" i="32"/>
  <c r="T462" i="32" s="1"/>
  <c r="AK461" i="32"/>
  <c r="AL461" i="32" s="1"/>
  <c r="AJ461" i="32"/>
  <c r="T461" i="32" s="1"/>
  <c r="V461" i="32" s="1"/>
  <c r="AK460" i="32"/>
  <c r="AL460" i="32" s="1"/>
  <c r="AJ460" i="32"/>
  <c r="T460" i="32" s="1"/>
  <c r="V460" i="32" s="1"/>
  <c r="AK459" i="32"/>
  <c r="AL459" i="32" s="1"/>
  <c r="AJ459" i="32"/>
  <c r="T459" i="32" s="1"/>
  <c r="V459" i="32" s="1"/>
  <c r="AK458" i="32"/>
  <c r="AL458" i="32" s="1"/>
  <c r="AJ458" i="32"/>
  <c r="T458" i="32" s="1"/>
  <c r="V458" i="32" s="1"/>
  <c r="AK457" i="32"/>
  <c r="AL457" i="32" s="1"/>
  <c r="AJ457" i="32"/>
  <c r="T457" i="32" s="1"/>
  <c r="V457" i="32" s="1"/>
  <c r="AK456" i="32"/>
  <c r="AL456" i="32" s="1"/>
  <c r="AJ456" i="32"/>
  <c r="T456" i="32" s="1"/>
  <c r="V456" i="32" s="1"/>
  <c r="AK455" i="32"/>
  <c r="AL455" i="32" s="1"/>
  <c r="AJ455" i="32"/>
  <c r="T455" i="32" s="1"/>
  <c r="V455" i="32" s="1"/>
  <c r="AH454" i="32"/>
  <c r="AG454" i="32"/>
  <c r="AF454" i="32"/>
  <c r="AE454" i="32"/>
  <c r="AD454" i="32"/>
  <c r="AC454" i="32"/>
  <c r="AA454" i="32"/>
  <c r="Z454" i="32"/>
  <c r="Y454" i="32"/>
  <c r="X454" i="32"/>
  <c r="Q454" i="32"/>
  <c r="R460" i="32" s="1"/>
  <c r="P454" i="32"/>
  <c r="AK453" i="32"/>
  <c r="AL453" i="32" s="1"/>
  <c r="AJ453" i="32"/>
  <c r="T453" i="32" s="1"/>
  <c r="AK452" i="32"/>
  <c r="AL452" i="32" s="1"/>
  <c r="AJ452" i="32"/>
  <c r="T452" i="32" s="1"/>
  <c r="V452" i="32" s="1"/>
  <c r="AK451" i="32"/>
  <c r="AL451" i="32" s="1"/>
  <c r="AJ451" i="32"/>
  <c r="T451" i="32" s="1"/>
  <c r="V451" i="32" s="1"/>
  <c r="AK450" i="32"/>
  <c r="AL450" i="32" s="1"/>
  <c r="AJ450" i="32"/>
  <c r="T450" i="32" s="1"/>
  <c r="V450" i="32" s="1"/>
  <c r="AK449" i="32"/>
  <c r="AL449" i="32" s="1"/>
  <c r="AJ449" i="32"/>
  <c r="T449" i="32" s="1"/>
  <c r="V449" i="32" s="1"/>
  <c r="AK448" i="32"/>
  <c r="AL448" i="32" s="1"/>
  <c r="AJ448" i="32"/>
  <c r="T448" i="32" s="1"/>
  <c r="V448" i="32" s="1"/>
  <c r="AK447" i="32"/>
  <c r="AL447" i="32" s="1"/>
  <c r="AJ447" i="32"/>
  <c r="T447" i="32" s="1"/>
  <c r="V447" i="32" s="1"/>
  <c r="AK446" i="32"/>
  <c r="AL446" i="32" s="1"/>
  <c r="AJ446" i="32"/>
  <c r="T446" i="32" s="1"/>
  <c r="V446" i="32" s="1"/>
  <c r="AK445" i="32"/>
  <c r="AL445" i="32" s="1"/>
  <c r="AJ445" i="32"/>
  <c r="T445" i="32" s="1"/>
  <c r="V445" i="32" s="1"/>
  <c r="AI444" i="32"/>
  <c r="AH444" i="32"/>
  <c r="AG444" i="32"/>
  <c r="AF444" i="32"/>
  <c r="AE444" i="32"/>
  <c r="AD444" i="32"/>
  <c r="AC444" i="32"/>
  <c r="AA444" i="32"/>
  <c r="Z444" i="32"/>
  <c r="Y444" i="32"/>
  <c r="X444" i="32"/>
  <c r="Q444" i="32"/>
  <c r="P444" i="32"/>
  <c r="AK443" i="32"/>
  <c r="AL443" i="32" s="1"/>
  <c r="AJ443" i="32"/>
  <c r="T443" i="32" s="1"/>
  <c r="V443" i="32" s="1"/>
  <c r="AK442" i="32"/>
  <c r="AL442" i="32" s="1"/>
  <c r="AJ442" i="32"/>
  <c r="T442" i="32" s="1"/>
  <c r="V442" i="32" s="1"/>
  <c r="AK441" i="32"/>
  <c r="AL441" i="32" s="1"/>
  <c r="AJ441" i="32"/>
  <c r="T441" i="32" s="1"/>
  <c r="V441" i="32" s="1"/>
  <c r="AK440" i="32"/>
  <c r="AL440" i="32" s="1"/>
  <c r="AJ440" i="32"/>
  <c r="T440" i="32" s="1"/>
  <c r="V440" i="32" s="1"/>
  <c r="AK439" i="32"/>
  <c r="AL439" i="32" s="1"/>
  <c r="AJ439" i="32"/>
  <c r="T439" i="32" s="1"/>
  <c r="V439" i="32" s="1"/>
  <c r="AK438" i="32"/>
  <c r="AL438" i="32" s="1"/>
  <c r="AJ438" i="32"/>
  <c r="T438" i="32" s="1"/>
  <c r="V438" i="32" s="1"/>
  <c r="AK437" i="32"/>
  <c r="AL437" i="32" s="1"/>
  <c r="AJ437" i="32"/>
  <c r="T437" i="32" s="1"/>
  <c r="V437" i="32" s="1"/>
  <c r="AK436" i="32"/>
  <c r="AL436" i="32" s="1"/>
  <c r="AJ436" i="32"/>
  <c r="T436" i="32" s="1"/>
  <c r="V436" i="32" s="1"/>
  <c r="AK435" i="32"/>
  <c r="AL435" i="32" s="1"/>
  <c r="AJ435" i="32"/>
  <c r="T435" i="32" s="1"/>
  <c r="V435" i="32" s="1"/>
  <c r="AK434" i="32"/>
  <c r="AL434" i="32" s="1"/>
  <c r="AJ434" i="32"/>
  <c r="T434" i="32" s="1"/>
  <c r="AI433" i="32"/>
  <c r="AH433" i="32"/>
  <c r="AG433" i="32"/>
  <c r="AF433" i="32"/>
  <c r="AE433" i="32"/>
  <c r="AD433" i="32"/>
  <c r="AC433" i="32"/>
  <c r="AA433" i="32"/>
  <c r="Z433" i="32"/>
  <c r="Y433" i="32"/>
  <c r="X433" i="32"/>
  <c r="Q433" i="32"/>
  <c r="R438" i="32" s="1"/>
  <c r="P433" i="32"/>
  <c r="AK432" i="32"/>
  <c r="AL432" i="32" s="1"/>
  <c r="AJ432" i="32"/>
  <c r="T432" i="32" s="1"/>
  <c r="AK431" i="32"/>
  <c r="AL431" i="32" s="1"/>
  <c r="AJ431" i="32"/>
  <c r="T431" i="32" s="1"/>
  <c r="V431" i="32" s="1"/>
  <c r="AK430" i="32"/>
  <c r="AL430" i="32" s="1"/>
  <c r="AJ430" i="32"/>
  <c r="T430" i="32" s="1"/>
  <c r="V430" i="32" s="1"/>
  <c r="AK429" i="32"/>
  <c r="AL429" i="32" s="1"/>
  <c r="AJ429" i="32"/>
  <c r="T429" i="32" s="1"/>
  <c r="V429" i="32" s="1"/>
  <c r="AK428" i="32"/>
  <c r="AL428" i="32" s="1"/>
  <c r="AJ428" i="32"/>
  <c r="T428" i="32" s="1"/>
  <c r="V428" i="32" s="1"/>
  <c r="AK427" i="32"/>
  <c r="AL427" i="32" s="1"/>
  <c r="AJ427" i="32"/>
  <c r="T427" i="32" s="1"/>
  <c r="V427" i="32" s="1"/>
  <c r="AK426" i="32"/>
  <c r="AL426" i="32" s="1"/>
  <c r="AJ426" i="32"/>
  <c r="T426" i="32" s="1"/>
  <c r="V426" i="32" s="1"/>
  <c r="AK425" i="32"/>
  <c r="AL425" i="32" s="1"/>
  <c r="AJ425" i="32"/>
  <c r="T425" i="32" s="1"/>
  <c r="V425" i="32" s="1"/>
  <c r="AK424" i="32"/>
  <c r="AL424" i="32" s="1"/>
  <c r="AJ424" i="32"/>
  <c r="T424" i="32" s="1"/>
  <c r="V424" i="32" s="1"/>
  <c r="AK423" i="32"/>
  <c r="AL423" i="32" s="1"/>
  <c r="AJ423" i="32"/>
  <c r="T423" i="32" s="1"/>
  <c r="V423" i="32" s="1"/>
  <c r="AI422" i="32"/>
  <c r="AH422" i="32"/>
  <c r="AG422" i="32"/>
  <c r="AF422" i="32"/>
  <c r="AE422" i="32"/>
  <c r="AD422" i="32"/>
  <c r="AC422" i="32"/>
  <c r="AA422" i="32"/>
  <c r="Z422" i="32"/>
  <c r="Y422" i="32"/>
  <c r="X422" i="32"/>
  <c r="Q422" i="32"/>
  <c r="R430" i="32" s="1"/>
  <c r="P422" i="32"/>
  <c r="A422" i="32"/>
  <c r="A433" i="32" s="1"/>
  <c r="A444" i="32" s="1"/>
  <c r="A454" i="32" s="1"/>
  <c r="A463" i="32" s="1"/>
  <c r="AK421" i="32"/>
  <c r="AL421" i="32" s="1"/>
  <c r="AJ421" i="32"/>
  <c r="T421" i="32" s="1"/>
  <c r="V421" i="32" s="1"/>
  <c r="AK420" i="32"/>
  <c r="AL420" i="32" s="1"/>
  <c r="AJ420" i="32"/>
  <c r="T420" i="32" s="1"/>
  <c r="V420" i="32" s="1"/>
  <c r="AI419" i="32"/>
  <c r="AH419" i="32"/>
  <c r="AG419" i="32"/>
  <c r="AF419" i="32"/>
  <c r="AE419" i="32"/>
  <c r="AD419" i="32"/>
  <c r="AC419" i="32"/>
  <c r="AA419" i="32"/>
  <c r="Z419" i="32"/>
  <c r="Y419" i="32"/>
  <c r="X419" i="32"/>
  <c r="Q419" i="32"/>
  <c r="R420" i="32" s="1"/>
  <c r="P419" i="32"/>
  <c r="AK418" i="32"/>
  <c r="AL418" i="32" s="1"/>
  <c r="AJ418" i="32"/>
  <c r="T418" i="32" s="1"/>
  <c r="AK417" i="32"/>
  <c r="AL417" i="32" s="1"/>
  <c r="AJ417" i="32"/>
  <c r="T417" i="32" s="1"/>
  <c r="V417" i="32" s="1"/>
  <c r="AK416" i="32"/>
  <c r="AL416" i="32" s="1"/>
  <c r="AJ416" i="32"/>
  <c r="T416" i="32" s="1"/>
  <c r="V416" i="32" s="1"/>
  <c r="AK415" i="32"/>
  <c r="AL415" i="32" s="1"/>
  <c r="AJ415" i="32"/>
  <c r="T415" i="32" s="1"/>
  <c r="V415" i="32" s="1"/>
  <c r="AK414" i="32"/>
  <c r="AL414" i="32" s="1"/>
  <c r="AJ414" i="32"/>
  <c r="T414" i="32" s="1"/>
  <c r="V414" i="32" s="1"/>
  <c r="AK413" i="32"/>
  <c r="AL413" i="32" s="1"/>
  <c r="AJ413" i="32"/>
  <c r="T413" i="32" s="1"/>
  <c r="V413" i="32" s="1"/>
  <c r="AK412" i="32"/>
  <c r="AL412" i="32" s="1"/>
  <c r="AJ412" i="32"/>
  <c r="T412" i="32" s="1"/>
  <c r="V412" i="32" s="1"/>
  <c r="AK411" i="32"/>
  <c r="AL411" i="32" s="1"/>
  <c r="AJ411" i="32"/>
  <c r="T411" i="32" s="1"/>
  <c r="V411" i="32" s="1"/>
  <c r="AK410" i="32"/>
  <c r="AL410" i="32" s="1"/>
  <c r="AJ410" i="32"/>
  <c r="T410" i="32" s="1"/>
  <c r="V410" i="32" s="1"/>
  <c r="AK409" i="32"/>
  <c r="AL409" i="32" s="1"/>
  <c r="AJ409" i="32"/>
  <c r="T409" i="32" s="1"/>
  <c r="V409" i="32" s="1"/>
  <c r="AK408" i="32"/>
  <c r="AL408" i="32" s="1"/>
  <c r="AJ408" i="32"/>
  <c r="T408" i="32" s="1"/>
  <c r="V408" i="32" s="1"/>
  <c r="AK407" i="32"/>
  <c r="AL407" i="32" s="1"/>
  <c r="AJ407" i="32"/>
  <c r="T407" i="32" s="1"/>
  <c r="V407" i="32" s="1"/>
  <c r="AK406" i="32"/>
  <c r="AL406" i="32" s="1"/>
  <c r="AJ406" i="32"/>
  <c r="T406" i="32" s="1"/>
  <c r="V406" i="32" s="1"/>
  <c r="AI405" i="32"/>
  <c r="AH405" i="32"/>
  <c r="AG405" i="32"/>
  <c r="AF405" i="32"/>
  <c r="AE405" i="32"/>
  <c r="AD405" i="32"/>
  <c r="AC405" i="32"/>
  <c r="AA405" i="32"/>
  <c r="Z405" i="32"/>
  <c r="Y405" i="32"/>
  <c r="X405" i="32"/>
  <c r="Q405" i="32"/>
  <c r="P405" i="32"/>
  <c r="AK404" i="32"/>
  <c r="AL404" i="32" s="1"/>
  <c r="AJ404" i="32"/>
  <c r="T404" i="32" s="1"/>
  <c r="V404" i="32" s="1"/>
  <c r="AK403" i="32"/>
  <c r="AL403" i="32" s="1"/>
  <c r="AJ403" i="32"/>
  <c r="T403" i="32" s="1"/>
  <c r="V403" i="32" s="1"/>
  <c r="AK402" i="32"/>
  <c r="AL402" i="32" s="1"/>
  <c r="AJ402" i="32"/>
  <c r="T402" i="32" s="1"/>
  <c r="V402" i="32" s="1"/>
  <c r="AK401" i="32"/>
  <c r="AL401" i="32" s="1"/>
  <c r="AJ401" i="32"/>
  <c r="T401" i="32" s="1"/>
  <c r="V401" i="32" s="1"/>
  <c r="AK400" i="32"/>
  <c r="AL400" i="32" s="1"/>
  <c r="AJ400" i="32"/>
  <c r="T400" i="32" s="1"/>
  <c r="V400" i="32" s="1"/>
  <c r="AK399" i="32"/>
  <c r="AL399" i="32" s="1"/>
  <c r="AJ399" i="32"/>
  <c r="T399" i="32" s="1"/>
  <c r="AK398" i="32"/>
  <c r="AL398" i="32" s="1"/>
  <c r="AJ398" i="32"/>
  <c r="T398" i="32" s="1"/>
  <c r="V398" i="32" s="1"/>
  <c r="AI397" i="32"/>
  <c r="AH397" i="32"/>
  <c r="AG397" i="32"/>
  <c r="AF397" i="32"/>
  <c r="AE397" i="32"/>
  <c r="AD397" i="32"/>
  <c r="AC397" i="32"/>
  <c r="AA397" i="32"/>
  <c r="Z397" i="32"/>
  <c r="Y397" i="32"/>
  <c r="X397" i="32"/>
  <c r="Q397" i="32"/>
  <c r="R401" i="32" s="1"/>
  <c r="P397" i="32"/>
  <c r="AK396" i="32"/>
  <c r="AL396" i="32" s="1"/>
  <c r="AJ396" i="32"/>
  <c r="T396" i="32" s="1"/>
  <c r="AK395" i="32"/>
  <c r="AL395" i="32" s="1"/>
  <c r="AJ395" i="32"/>
  <c r="T395" i="32" s="1"/>
  <c r="V395" i="32" s="1"/>
  <c r="AK394" i="32"/>
  <c r="AL394" i="32" s="1"/>
  <c r="AJ394" i="32"/>
  <c r="T394" i="32" s="1"/>
  <c r="V394" i="32" s="1"/>
  <c r="AK393" i="32"/>
  <c r="AL393" i="32" s="1"/>
  <c r="AJ393" i="32"/>
  <c r="T393" i="32" s="1"/>
  <c r="V393" i="32" s="1"/>
  <c r="AK392" i="32"/>
  <c r="AL392" i="32" s="1"/>
  <c r="AJ392" i="32"/>
  <c r="T392" i="32" s="1"/>
  <c r="V392" i="32" s="1"/>
  <c r="AK391" i="32"/>
  <c r="AL391" i="32" s="1"/>
  <c r="AJ391" i="32"/>
  <c r="T391" i="32" s="1"/>
  <c r="V391" i="32" s="1"/>
  <c r="AK390" i="32"/>
  <c r="AL390" i="32" s="1"/>
  <c r="AJ390" i="32"/>
  <c r="T390" i="32" s="1"/>
  <c r="V390" i="32" s="1"/>
  <c r="AK389" i="32"/>
  <c r="AL389" i="32" s="1"/>
  <c r="AJ389" i="32"/>
  <c r="T389" i="32" s="1"/>
  <c r="V389" i="32" s="1"/>
  <c r="AK388" i="32"/>
  <c r="AL388" i="32" s="1"/>
  <c r="AJ388" i="32"/>
  <c r="T388" i="32" s="1"/>
  <c r="V388" i="32" s="1"/>
  <c r="AK387" i="32"/>
  <c r="AL387" i="32" s="1"/>
  <c r="AJ387" i="32"/>
  <c r="T387" i="32" s="1"/>
  <c r="V387" i="32" s="1"/>
  <c r="AK386" i="32"/>
  <c r="AL386" i="32" s="1"/>
  <c r="AJ386" i="32"/>
  <c r="T386" i="32" s="1"/>
  <c r="V386" i="32" s="1"/>
  <c r="AK385" i="32"/>
  <c r="AL385" i="32" s="1"/>
  <c r="AJ385" i="32"/>
  <c r="T385" i="32" s="1"/>
  <c r="V385" i="32" s="1"/>
  <c r="AI384" i="32"/>
  <c r="AH384" i="32"/>
  <c r="AG384" i="32"/>
  <c r="AF384" i="32"/>
  <c r="AE384" i="32"/>
  <c r="AD384" i="32"/>
  <c r="AC384" i="32"/>
  <c r="AA384" i="32"/>
  <c r="Z384" i="32"/>
  <c r="Y384" i="32"/>
  <c r="X384" i="32"/>
  <c r="Q384" i="32"/>
  <c r="P384" i="32"/>
  <c r="AK383" i="32"/>
  <c r="AL383" i="32" s="1"/>
  <c r="AJ383" i="32"/>
  <c r="T383" i="32" s="1"/>
  <c r="V383" i="32" s="1"/>
  <c r="AK382" i="32"/>
  <c r="AL382" i="32" s="1"/>
  <c r="AJ382" i="32"/>
  <c r="T382" i="32" s="1"/>
  <c r="V382" i="32" s="1"/>
  <c r="AK381" i="32"/>
  <c r="AL381" i="32" s="1"/>
  <c r="AJ381" i="32"/>
  <c r="T381" i="32" s="1"/>
  <c r="V381" i="32" s="1"/>
  <c r="AK380" i="32"/>
  <c r="AL380" i="32" s="1"/>
  <c r="AJ380" i="32"/>
  <c r="T380" i="32" s="1"/>
  <c r="V380" i="32" s="1"/>
  <c r="AK379" i="32"/>
  <c r="AL379" i="32" s="1"/>
  <c r="AJ379" i="32"/>
  <c r="T379" i="32" s="1"/>
  <c r="V379" i="32" s="1"/>
  <c r="AK378" i="32"/>
  <c r="AL378" i="32" s="1"/>
  <c r="AJ378" i="32"/>
  <c r="T378" i="32" s="1"/>
  <c r="V378" i="32" s="1"/>
  <c r="AK377" i="32"/>
  <c r="AL377" i="32" s="1"/>
  <c r="AJ377" i="32"/>
  <c r="T377" i="32" s="1"/>
  <c r="V377" i="32" s="1"/>
  <c r="AK376" i="32"/>
  <c r="AL376" i="32" s="1"/>
  <c r="AJ376" i="32"/>
  <c r="T376" i="32" s="1"/>
  <c r="V376" i="32" s="1"/>
  <c r="AK375" i="32"/>
  <c r="AL375" i="32" s="1"/>
  <c r="AJ375" i="32"/>
  <c r="T375" i="32" s="1"/>
  <c r="V375" i="32" s="1"/>
  <c r="AI374" i="32"/>
  <c r="AH374" i="32"/>
  <c r="AG374" i="32"/>
  <c r="AF374" i="32"/>
  <c r="AE374" i="32"/>
  <c r="AD374" i="32"/>
  <c r="AC374" i="32"/>
  <c r="AA374" i="32"/>
  <c r="Z374" i="32"/>
  <c r="Y374" i="32"/>
  <c r="X374" i="32"/>
  <c r="Q374" i="32"/>
  <c r="P374" i="32"/>
  <c r="AK373" i="32"/>
  <c r="AL373" i="32" s="1"/>
  <c r="AJ373" i="32"/>
  <c r="T373" i="32" s="1"/>
  <c r="V373" i="32" s="1"/>
  <c r="AK372" i="32"/>
  <c r="AL372" i="32" s="1"/>
  <c r="AJ372" i="32"/>
  <c r="T372" i="32" s="1"/>
  <c r="V372" i="32" s="1"/>
  <c r="AK371" i="32"/>
  <c r="AL371" i="32" s="1"/>
  <c r="AJ371" i="32"/>
  <c r="T371" i="32" s="1"/>
  <c r="V371" i="32" s="1"/>
  <c r="AK370" i="32"/>
  <c r="AL370" i="32" s="1"/>
  <c r="AJ370" i="32"/>
  <c r="T370" i="32" s="1"/>
  <c r="V370" i="32" s="1"/>
  <c r="AK369" i="32"/>
  <c r="AL369" i="32" s="1"/>
  <c r="AJ369" i="32"/>
  <c r="T369" i="32" s="1"/>
  <c r="V369" i="32" s="1"/>
  <c r="AK368" i="32"/>
  <c r="AL368" i="32" s="1"/>
  <c r="AJ368" i="32"/>
  <c r="T368" i="32" s="1"/>
  <c r="V368" i="32" s="1"/>
  <c r="AK367" i="32"/>
  <c r="AL367" i="32" s="1"/>
  <c r="AJ367" i="32"/>
  <c r="T367" i="32" s="1"/>
  <c r="V367" i="32" s="1"/>
  <c r="AK366" i="32"/>
  <c r="AL366" i="32" s="1"/>
  <c r="AJ366" i="32"/>
  <c r="T366" i="32" s="1"/>
  <c r="V366" i="32" s="1"/>
  <c r="AK365" i="32"/>
  <c r="AL365" i="32" s="1"/>
  <c r="AJ365" i="32"/>
  <c r="T365" i="32" s="1"/>
  <c r="V365" i="32" s="1"/>
  <c r="AK364" i="32"/>
  <c r="AL364" i="32" s="1"/>
  <c r="AJ364" i="32"/>
  <c r="T364" i="32" s="1"/>
  <c r="V364" i="32" s="1"/>
  <c r="AK363" i="32"/>
  <c r="AL363" i="32" s="1"/>
  <c r="AJ363" i="32"/>
  <c r="T363" i="32" s="1"/>
  <c r="V363" i="32" s="1"/>
  <c r="AK362" i="32"/>
  <c r="AL362" i="32" s="1"/>
  <c r="AJ362" i="32"/>
  <c r="T362" i="32" s="1"/>
  <c r="V362" i="32" s="1"/>
  <c r="AI361" i="32"/>
  <c r="AH361" i="32"/>
  <c r="AG361" i="32"/>
  <c r="AF361" i="32"/>
  <c r="AE361" i="32"/>
  <c r="AD361" i="32"/>
  <c r="AC361" i="32"/>
  <c r="AA361" i="32"/>
  <c r="Z361" i="32"/>
  <c r="Y361" i="32"/>
  <c r="X361" i="32"/>
  <c r="Q361" i="32"/>
  <c r="R366" i="32" s="1"/>
  <c r="P361" i="32"/>
  <c r="A361" i="32"/>
  <c r="A374" i="32" s="1"/>
  <c r="A384" i="32" s="1"/>
  <c r="A397" i="32" s="1"/>
  <c r="A405" i="32" s="1"/>
  <c r="AK360" i="32"/>
  <c r="AL360" i="32" s="1"/>
  <c r="AJ360" i="32"/>
  <c r="T360" i="32" s="1"/>
  <c r="V360" i="32" s="1"/>
  <c r="AK359" i="32"/>
  <c r="AL359" i="32" s="1"/>
  <c r="AJ359" i="32"/>
  <c r="T359" i="32" s="1"/>
  <c r="V359" i="32" s="1"/>
  <c r="AK358" i="32"/>
  <c r="AL358" i="32" s="1"/>
  <c r="AJ358" i="32"/>
  <c r="T358" i="32" s="1"/>
  <c r="V358" i="32" s="1"/>
  <c r="AK357" i="32"/>
  <c r="AL357" i="32" s="1"/>
  <c r="AJ357" i="32"/>
  <c r="T357" i="32" s="1"/>
  <c r="V357" i="32" s="1"/>
  <c r="AK356" i="32"/>
  <c r="AL356" i="32" s="1"/>
  <c r="AJ356" i="32"/>
  <c r="T356" i="32" s="1"/>
  <c r="V356" i="32" s="1"/>
  <c r="AK355" i="32"/>
  <c r="AL355" i="32" s="1"/>
  <c r="AJ355" i="32"/>
  <c r="T355" i="32" s="1"/>
  <c r="V355" i="32" s="1"/>
  <c r="AK354" i="32"/>
  <c r="AL354" i="32" s="1"/>
  <c r="AJ354" i="32"/>
  <c r="T354" i="32" s="1"/>
  <c r="V354" i="32" s="1"/>
  <c r="AI353" i="32"/>
  <c r="AH353" i="32"/>
  <c r="AG353" i="32"/>
  <c r="AF353" i="32"/>
  <c r="AE353" i="32"/>
  <c r="AD353" i="32"/>
  <c r="AC353" i="32"/>
  <c r="AA353" i="32"/>
  <c r="Z353" i="32"/>
  <c r="Y353" i="32"/>
  <c r="X353" i="32"/>
  <c r="Q353" i="32"/>
  <c r="R359" i="32" s="1"/>
  <c r="P353" i="32"/>
  <c r="AK352" i="32"/>
  <c r="AL352" i="32" s="1"/>
  <c r="AJ352" i="32"/>
  <c r="T352" i="32" s="1"/>
  <c r="V352" i="32" s="1"/>
  <c r="AK351" i="32"/>
  <c r="AL351" i="32" s="1"/>
  <c r="AJ351" i="32"/>
  <c r="T351" i="32" s="1"/>
  <c r="V351" i="32" s="1"/>
  <c r="AK350" i="32"/>
  <c r="AL350" i="32" s="1"/>
  <c r="AJ350" i="32"/>
  <c r="T350" i="32" s="1"/>
  <c r="V350" i="32" s="1"/>
  <c r="AK349" i="32"/>
  <c r="AL349" i="32" s="1"/>
  <c r="AJ349" i="32"/>
  <c r="T349" i="32" s="1"/>
  <c r="V349" i="32" s="1"/>
  <c r="AK348" i="32"/>
  <c r="AL348" i="32" s="1"/>
  <c r="AJ348" i="32"/>
  <c r="T348" i="32" s="1"/>
  <c r="V348" i="32" s="1"/>
  <c r="AI347" i="32"/>
  <c r="AH347" i="32"/>
  <c r="AG347" i="32"/>
  <c r="AF347" i="32"/>
  <c r="AE347" i="32"/>
  <c r="AD347" i="32"/>
  <c r="AC347" i="32"/>
  <c r="AA347" i="32"/>
  <c r="Z347" i="32"/>
  <c r="Y347" i="32"/>
  <c r="X347" i="32"/>
  <c r="Q347" i="32"/>
  <c r="P347" i="32"/>
  <c r="AK346" i="32"/>
  <c r="AL346" i="32" s="1"/>
  <c r="AJ346" i="32"/>
  <c r="T346" i="32" s="1"/>
  <c r="AK345" i="32"/>
  <c r="AL345" i="32" s="1"/>
  <c r="AJ345" i="32"/>
  <c r="T345" i="32" s="1"/>
  <c r="V345" i="32" s="1"/>
  <c r="AK344" i="32"/>
  <c r="AL344" i="32" s="1"/>
  <c r="AJ344" i="32"/>
  <c r="T344" i="32" s="1"/>
  <c r="V344" i="32" s="1"/>
  <c r="AK343" i="32"/>
  <c r="AL343" i="32" s="1"/>
  <c r="AJ343" i="32"/>
  <c r="T343" i="32" s="1"/>
  <c r="V343" i="32" s="1"/>
  <c r="AK342" i="32"/>
  <c r="AL342" i="32" s="1"/>
  <c r="AJ342" i="32"/>
  <c r="T342" i="32" s="1"/>
  <c r="V342" i="32" s="1"/>
  <c r="AK341" i="32"/>
  <c r="AL341" i="32" s="1"/>
  <c r="AJ341" i="32"/>
  <c r="T341" i="32" s="1"/>
  <c r="V341" i="32" s="1"/>
  <c r="AK340" i="32"/>
  <c r="AL340" i="32" s="1"/>
  <c r="AJ340" i="32"/>
  <c r="T340" i="32" s="1"/>
  <c r="V340" i="32" s="1"/>
  <c r="AK339" i="32"/>
  <c r="AL339" i="32" s="1"/>
  <c r="AJ339" i="32"/>
  <c r="T339" i="32" s="1"/>
  <c r="V339" i="32" s="1"/>
  <c r="AK338" i="32"/>
  <c r="AL338" i="32" s="1"/>
  <c r="AJ338" i="32"/>
  <c r="T338" i="32" s="1"/>
  <c r="V338" i="32" s="1"/>
  <c r="AK337" i="32"/>
  <c r="AL337" i="32" s="1"/>
  <c r="AJ337" i="32"/>
  <c r="T337" i="32" s="1"/>
  <c r="V337" i="32" s="1"/>
  <c r="AI336" i="32"/>
  <c r="AH336" i="32"/>
  <c r="AG336" i="32"/>
  <c r="AF336" i="32"/>
  <c r="AE336" i="32"/>
  <c r="AD336" i="32"/>
  <c r="AC336" i="32"/>
  <c r="AA336" i="32"/>
  <c r="Z336" i="32"/>
  <c r="Y336" i="32"/>
  <c r="X336" i="32"/>
  <c r="Q336" i="32"/>
  <c r="R339" i="32" s="1"/>
  <c r="P336" i="32"/>
  <c r="AK335" i="32"/>
  <c r="AL335" i="32" s="1"/>
  <c r="AJ335" i="32"/>
  <c r="T335" i="32" s="1"/>
  <c r="V335" i="32" s="1"/>
  <c r="AK334" i="32"/>
  <c r="AL334" i="32" s="1"/>
  <c r="AJ334" i="32"/>
  <c r="T334" i="32" s="1"/>
  <c r="V334" i="32" s="1"/>
  <c r="AK333" i="32"/>
  <c r="AL333" i="32" s="1"/>
  <c r="AJ333" i="32"/>
  <c r="T333" i="32" s="1"/>
  <c r="V333" i="32" s="1"/>
  <c r="AK332" i="32"/>
  <c r="AL332" i="32" s="1"/>
  <c r="AJ332" i="32"/>
  <c r="T332" i="32" s="1"/>
  <c r="V332" i="32" s="1"/>
  <c r="AK331" i="32"/>
  <c r="AL331" i="32" s="1"/>
  <c r="AJ331" i="32"/>
  <c r="T331" i="32" s="1"/>
  <c r="V331" i="32" s="1"/>
  <c r="AK330" i="32"/>
  <c r="AL330" i="32" s="1"/>
  <c r="AJ330" i="32"/>
  <c r="T330" i="32" s="1"/>
  <c r="V330" i="32" s="1"/>
  <c r="AI329" i="32"/>
  <c r="AH329" i="32"/>
  <c r="AG329" i="32"/>
  <c r="AF329" i="32"/>
  <c r="AE329" i="32"/>
  <c r="AD329" i="32"/>
  <c r="AC329" i="32"/>
  <c r="AA329" i="32"/>
  <c r="Z329" i="32"/>
  <c r="Y329" i="32"/>
  <c r="X329" i="32"/>
  <c r="Q329" i="32"/>
  <c r="AK328" i="32"/>
  <c r="AL328" i="32" s="1"/>
  <c r="AJ328" i="32"/>
  <c r="T328" i="32" s="1"/>
  <c r="V328" i="32" s="1"/>
  <c r="AK327" i="32"/>
  <c r="AL327" i="32" s="1"/>
  <c r="AJ327" i="32"/>
  <c r="T327" i="32" s="1"/>
  <c r="V327" i="32" s="1"/>
  <c r="AK326" i="32"/>
  <c r="AL326" i="32" s="1"/>
  <c r="AJ326" i="32"/>
  <c r="T326" i="32" s="1"/>
  <c r="V326" i="32" s="1"/>
  <c r="AK325" i="32"/>
  <c r="AL325" i="32" s="1"/>
  <c r="AJ325" i="32"/>
  <c r="T325" i="32" s="1"/>
  <c r="V325" i="32" s="1"/>
  <c r="AK324" i="32"/>
  <c r="AL324" i="32" s="1"/>
  <c r="AJ324" i="32"/>
  <c r="T324" i="32" s="1"/>
  <c r="AK323" i="32"/>
  <c r="AL323" i="32" s="1"/>
  <c r="AJ323" i="32"/>
  <c r="T323" i="32" s="1"/>
  <c r="AI322" i="32"/>
  <c r="AH322" i="32"/>
  <c r="AG322" i="32"/>
  <c r="AF322" i="32"/>
  <c r="AE322" i="32"/>
  <c r="AD322" i="32"/>
  <c r="AC322" i="32"/>
  <c r="AA322" i="32"/>
  <c r="Z322" i="32"/>
  <c r="Y322" i="32"/>
  <c r="X322" i="32"/>
  <c r="Q322" i="32"/>
  <c r="R326" i="32" s="1"/>
  <c r="U326" i="32" s="1"/>
  <c r="P322" i="32"/>
  <c r="AK321" i="32"/>
  <c r="AL321" i="32" s="1"/>
  <c r="AJ321" i="32"/>
  <c r="T321" i="32" s="1"/>
  <c r="V321" i="32" s="1"/>
  <c r="AK320" i="32"/>
  <c r="AL320" i="32" s="1"/>
  <c r="AJ320" i="32"/>
  <c r="T320" i="32" s="1"/>
  <c r="V320" i="32" s="1"/>
  <c r="AK319" i="32"/>
  <c r="AL319" i="32" s="1"/>
  <c r="AJ319" i="32"/>
  <c r="T319" i="32" s="1"/>
  <c r="V319" i="32" s="1"/>
  <c r="AK318" i="32"/>
  <c r="AL318" i="32" s="1"/>
  <c r="AJ318" i="32"/>
  <c r="T318" i="32" s="1"/>
  <c r="V318" i="32" s="1"/>
  <c r="AK317" i="32"/>
  <c r="AL317" i="32" s="1"/>
  <c r="AJ317" i="32"/>
  <c r="T317" i="32" s="1"/>
  <c r="V317" i="32" s="1"/>
  <c r="AK316" i="32"/>
  <c r="AL316" i="32" s="1"/>
  <c r="AJ316" i="32"/>
  <c r="T316" i="32" s="1"/>
  <c r="V316" i="32" s="1"/>
  <c r="AK315" i="32"/>
  <c r="AL315" i="32" s="1"/>
  <c r="AJ315" i="32"/>
  <c r="T315" i="32" s="1"/>
  <c r="V315" i="32" s="1"/>
  <c r="AI314" i="32"/>
  <c r="AH314" i="32"/>
  <c r="AG314" i="32"/>
  <c r="AF314" i="32"/>
  <c r="AE314" i="32"/>
  <c r="AD314" i="32"/>
  <c r="AC314" i="32"/>
  <c r="AA314" i="32"/>
  <c r="Z314" i="32"/>
  <c r="Y314" i="32"/>
  <c r="X314" i="32"/>
  <c r="Q314" i="32"/>
  <c r="R315" i="32" s="1"/>
  <c r="U315" i="32" s="1"/>
  <c r="P314" i="32"/>
  <c r="AK313" i="32"/>
  <c r="AL313" i="32" s="1"/>
  <c r="AJ313" i="32"/>
  <c r="T313" i="32" s="1"/>
  <c r="V313" i="32" s="1"/>
  <c r="AK312" i="32"/>
  <c r="AL312" i="32" s="1"/>
  <c r="AJ312" i="32"/>
  <c r="T312" i="32" s="1"/>
  <c r="V312" i="32" s="1"/>
  <c r="AK311" i="32"/>
  <c r="AL311" i="32" s="1"/>
  <c r="AJ311" i="32"/>
  <c r="T311" i="32" s="1"/>
  <c r="V311" i="32" s="1"/>
  <c r="AK310" i="32"/>
  <c r="AL310" i="32" s="1"/>
  <c r="AJ310" i="32"/>
  <c r="T310" i="32" s="1"/>
  <c r="V310" i="32" s="1"/>
  <c r="AK309" i="32"/>
  <c r="AL309" i="32" s="1"/>
  <c r="AJ309" i="32"/>
  <c r="T309" i="32" s="1"/>
  <c r="V309" i="32" s="1"/>
  <c r="AK308" i="32"/>
  <c r="AL308" i="32" s="1"/>
  <c r="AJ308" i="32"/>
  <c r="T308" i="32" s="1"/>
  <c r="V308" i="32" s="1"/>
  <c r="AK307" i="32"/>
  <c r="AL307" i="32" s="1"/>
  <c r="AJ307" i="32"/>
  <c r="T307" i="32" s="1"/>
  <c r="V307" i="32" s="1"/>
  <c r="AI306" i="32"/>
  <c r="AH306" i="32"/>
  <c r="AG306" i="32"/>
  <c r="AF306" i="32"/>
  <c r="AE306" i="32"/>
  <c r="AD306" i="32"/>
  <c r="AC306" i="32"/>
  <c r="AA306" i="32"/>
  <c r="Z306" i="32"/>
  <c r="Y306" i="32"/>
  <c r="X306" i="32"/>
  <c r="Q306" i="32"/>
  <c r="R313" i="32" s="1"/>
  <c r="P306" i="32"/>
  <c r="AK305" i="32"/>
  <c r="AL305" i="32" s="1"/>
  <c r="AJ305" i="32"/>
  <c r="T305" i="32" s="1"/>
  <c r="V305" i="32" s="1"/>
  <c r="AK304" i="32"/>
  <c r="AL304" i="32" s="1"/>
  <c r="AJ304" i="32"/>
  <c r="T304" i="32" s="1"/>
  <c r="V304" i="32" s="1"/>
  <c r="AK303" i="32"/>
  <c r="AL303" i="32" s="1"/>
  <c r="AJ303" i="32"/>
  <c r="T303" i="32" s="1"/>
  <c r="V303" i="32" s="1"/>
  <c r="AK302" i="32"/>
  <c r="AL302" i="32" s="1"/>
  <c r="AJ302" i="32"/>
  <c r="T302" i="32" s="1"/>
  <c r="V302" i="32" s="1"/>
  <c r="AK301" i="32"/>
  <c r="AL301" i="32" s="1"/>
  <c r="AJ301" i="32"/>
  <c r="T301" i="32" s="1"/>
  <c r="V301" i="32" s="1"/>
  <c r="AK300" i="32"/>
  <c r="AL300" i="32" s="1"/>
  <c r="AJ300" i="32"/>
  <c r="T300" i="32" s="1"/>
  <c r="V300" i="32" s="1"/>
  <c r="AK299" i="32"/>
  <c r="AL299" i="32" s="1"/>
  <c r="AJ299" i="32"/>
  <c r="T299" i="32" s="1"/>
  <c r="AK298" i="32"/>
  <c r="AL298" i="32" s="1"/>
  <c r="AJ298" i="32"/>
  <c r="T298" i="32" s="1"/>
  <c r="V298" i="32" s="1"/>
  <c r="AK297" i="32"/>
  <c r="AL297" i="32" s="1"/>
  <c r="AJ297" i="32"/>
  <c r="T297" i="32" s="1"/>
  <c r="V297" i="32" s="1"/>
  <c r="AK296" i="32"/>
  <c r="AL296" i="32" s="1"/>
  <c r="AJ296" i="32"/>
  <c r="T296" i="32" s="1"/>
  <c r="V296" i="32" s="1"/>
  <c r="AK295" i="32"/>
  <c r="AL295" i="32" s="1"/>
  <c r="AJ295" i="32"/>
  <c r="T295" i="32" s="1"/>
  <c r="V295" i="32" s="1"/>
  <c r="AI294" i="32"/>
  <c r="AH294" i="32"/>
  <c r="AG294" i="32"/>
  <c r="AF294" i="32"/>
  <c r="AE294" i="32"/>
  <c r="AD294" i="32"/>
  <c r="AC294" i="32"/>
  <c r="AA294" i="32"/>
  <c r="Z294" i="32"/>
  <c r="Y294" i="32"/>
  <c r="X294" i="32"/>
  <c r="Q294" i="32"/>
  <c r="R300" i="32" s="1"/>
  <c r="P294" i="32"/>
  <c r="AK293" i="32"/>
  <c r="AL293" i="32" s="1"/>
  <c r="AJ293" i="32"/>
  <c r="T293" i="32" s="1"/>
  <c r="AK292" i="32"/>
  <c r="AL292" i="32" s="1"/>
  <c r="AJ292" i="32"/>
  <c r="T292" i="32" s="1"/>
  <c r="V292" i="32" s="1"/>
  <c r="AK291" i="32"/>
  <c r="AL291" i="32" s="1"/>
  <c r="AJ291" i="32"/>
  <c r="T291" i="32" s="1"/>
  <c r="V291" i="32" s="1"/>
  <c r="R291" i="32"/>
  <c r="AK290" i="32"/>
  <c r="AL290" i="32" s="1"/>
  <c r="AJ290" i="32"/>
  <c r="T290" i="32" s="1"/>
  <c r="V290" i="32" s="1"/>
  <c r="AK289" i="32"/>
  <c r="AL289" i="32" s="1"/>
  <c r="AJ289" i="32"/>
  <c r="T289" i="32" s="1"/>
  <c r="V289" i="32" s="1"/>
  <c r="AK288" i="32"/>
  <c r="AL288" i="32" s="1"/>
  <c r="AJ288" i="32"/>
  <c r="T288" i="32" s="1"/>
  <c r="AK287" i="32"/>
  <c r="AL287" i="32" s="1"/>
  <c r="AJ287" i="32"/>
  <c r="T287" i="32" s="1"/>
  <c r="V287" i="32" s="1"/>
  <c r="AK286" i="32"/>
  <c r="AL286" i="32" s="1"/>
  <c r="AJ286" i="32"/>
  <c r="T286" i="32" s="1"/>
  <c r="V286" i="32" s="1"/>
  <c r="AK285" i="32"/>
  <c r="AL285" i="32" s="1"/>
  <c r="AJ285" i="32"/>
  <c r="T285" i="32" s="1"/>
  <c r="V285" i="32" s="1"/>
  <c r="AI284" i="32"/>
  <c r="AH284" i="32"/>
  <c r="AF284" i="32"/>
  <c r="AE284" i="32"/>
  <c r="AD284" i="32"/>
  <c r="AC284" i="32"/>
  <c r="AA284" i="32"/>
  <c r="Z284" i="32"/>
  <c r="Y284" i="32"/>
  <c r="X284" i="32"/>
  <c r="Q284" i="32"/>
  <c r="P284" i="32"/>
  <c r="AK283" i="32"/>
  <c r="AL283" i="32" s="1"/>
  <c r="AJ283" i="32"/>
  <c r="T283" i="32" s="1"/>
  <c r="V283" i="32" s="1"/>
  <c r="AK282" i="32"/>
  <c r="AL282" i="32" s="1"/>
  <c r="AJ282" i="32"/>
  <c r="T282" i="32" s="1"/>
  <c r="V282" i="32" s="1"/>
  <c r="AK281" i="32"/>
  <c r="AL281" i="32" s="1"/>
  <c r="AJ281" i="32"/>
  <c r="T281" i="32" s="1"/>
  <c r="V281" i="32" s="1"/>
  <c r="AK280" i="32"/>
  <c r="AL280" i="32" s="1"/>
  <c r="AJ280" i="32"/>
  <c r="T280" i="32" s="1"/>
  <c r="V280" i="32" s="1"/>
  <c r="AK279" i="32"/>
  <c r="AL279" i="32" s="1"/>
  <c r="AJ279" i="32"/>
  <c r="T279" i="32" s="1"/>
  <c r="V279" i="32" s="1"/>
  <c r="AK278" i="32"/>
  <c r="AL278" i="32" s="1"/>
  <c r="AJ278" i="32"/>
  <c r="T278" i="32" s="1"/>
  <c r="V278" i="32" s="1"/>
  <c r="AK277" i="32"/>
  <c r="AL277" i="32" s="1"/>
  <c r="AJ277" i="32"/>
  <c r="T277" i="32" s="1"/>
  <c r="V277" i="32" s="1"/>
  <c r="AK276" i="32"/>
  <c r="AL276" i="32" s="1"/>
  <c r="AJ276" i="32"/>
  <c r="T276" i="32" s="1"/>
  <c r="V276" i="32" s="1"/>
  <c r="AK275" i="32"/>
  <c r="AL275" i="32" s="1"/>
  <c r="AJ275" i="32"/>
  <c r="T275" i="32" s="1"/>
  <c r="V275" i="32" s="1"/>
  <c r="AK274" i="32"/>
  <c r="AL274" i="32" s="1"/>
  <c r="AJ274" i="32"/>
  <c r="T274" i="32" s="1"/>
  <c r="V274" i="32" s="1"/>
  <c r="AK273" i="32"/>
  <c r="AL273" i="32" s="1"/>
  <c r="AJ273" i="32"/>
  <c r="T273" i="32" s="1"/>
  <c r="V273" i="32" s="1"/>
  <c r="AI272" i="32"/>
  <c r="AH272" i="32"/>
  <c r="AG272" i="32"/>
  <c r="AF272" i="32"/>
  <c r="AE272" i="32"/>
  <c r="AD272" i="32"/>
  <c r="AC272" i="32"/>
  <c r="AA272" i="32"/>
  <c r="Z272" i="32"/>
  <c r="Y272" i="32"/>
  <c r="X272" i="32"/>
  <c r="Q272" i="32"/>
  <c r="R282" i="32" s="1"/>
  <c r="P272" i="32"/>
  <c r="AK271" i="32"/>
  <c r="AL271" i="32" s="1"/>
  <c r="AJ271" i="32"/>
  <c r="T271" i="32" s="1"/>
  <c r="V271" i="32" s="1"/>
  <c r="AK270" i="32"/>
  <c r="AL270" i="32" s="1"/>
  <c r="AJ270" i="32"/>
  <c r="T270" i="32" s="1"/>
  <c r="V270" i="32" s="1"/>
  <c r="AK269" i="32"/>
  <c r="AL269" i="32" s="1"/>
  <c r="AJ269" i="32"/>
  <c r="T269" i="32" s="1"/>
  <c r="V269" i="32" s="1"/>
  <c r="AK268" i="32"/>
  <c r="AL268" i="32" s="1"/>
  <c r="AJ268" i="32"/>
  <c r="T268" i="32" s="1"/>
  <c r="V268" i="32" s="1"/>
  <c r="AK267" i="32"/>
  <c r="AL267" i="32" s="1"/>
  <c r="AJ267" i="32"/>
  <c r="T267" i="32" s="1"/>
  <c r="V267" i="32" s="1"/>
  <c r="AK266" i="32"/>
  <c r="AL266" i="32" s="1"/>
  <c r="AJ266" i="32"/>
  <c r="T266" i="32" s="1"/>
  <c r="V266" i="32" s="1"/>
  <c r="AK265" i="32"/>
  <c r="AL265" i="32" s="1"/>
  <c r="AJ265" i="32"/>
  <c r="T265" i="32" s="1"/>
  <c r="V265" i="32" s="1"/>
  <c r="AK264" i="32"/>
  <c r="AL264" i="32" s="1"/>
  <c r="AJ264" i="32"/>
  <c r="T264" i="32" s="1"/>
  <c r="V264" i="32" s="1"/>
  <c r="AK263" i="32"/>
  <c r="AL263" i="32" s="1"/>
  <c r="AJ263" i="32"/>
  <c r="T263" i="32" s="1"/>
  <c r="V263" i="32" s="1"/>
  <c r="AK262" i="32"/>
  <c r="AL262" i="32" s="1"/>
  <c r="AJ262" i="32"/>
  <c r="T262" i="32" s="1"/>
  <c r="V262" i="32" s="1"/>
  <c r="AI261" i="32"/>
  <c r="AH261" i="32"/>
  <c r="AG261" i="32"/>
  <c r="AF261" i="32"/>
  <c r="AE261" i="32"/>
  <c r="AD261" i="32"/>
  <c r="AC261" i="32"/>
  <c r="AA261" i="32"/>
  <c r="Z261" i="32"/>
  <c r="Y261" i="32"/>
  <c r="X261" i="32"/>
  <c r="Q261" i="32"/>
  <c r="AK260" i="32"/>
  <c r="AL260" i="32" s="1"/>
  <c r="AJ260" i="32"/>
  <c r="T260" i="32" s="1"/>
  <c r="V260" i="32" s="1"/>
  <c r="AK259" i="32"/>
  <c r="AL259" i="32" s="1"/>
  <c r="AJ259" i="32"/>
  <c r="T259" i="32" s="1"/>
  <c r="V259" i="32" s="1"/>
  <c r="AK258" i="32"/>
  <c r="AL258" i="32" s="1"/>
  <c r="AJ258" i="32"/>
  <c r="T258" i="32" s="1"/>
  <c r="V258" i="32" s="1"/>
  <c r="AK257" i="32"/>
  <c r="AL257" i="32" s="1"/>
  <c r="AJ257" i="32"/>
  <c r="T257" i="32" s="1"/>
  <c r="V257" i="32" s="1"/>
  <c r="AK256" i="32"/>
  <c r="AL256" i="32" s="1"/>
  <c r="AJ256" i="32"/>
  <c r="T256" i="32" s="1"/>
  <c r="V256" i="32" s="1"/>
  <c r="AK255" i="32"/>
  <c r="AL255" i="32" s="1"/>
  <c r="AJ255" i="32"/>
  <c r="T255" i="32" s="1"/>
  <c r="V255" i="32" s="1"/>
  <c r="AK254" i="32"/>
  <c r="AL254" i="32" s="1"/>
  <c r="AJ254" i="32"/>
  <c r="T254" i="32" s="1"/>
  <c r="V254" i="32" s="1"/>
  <c r="AK253" i="32"/>
  <c r="AL253" i="32" s="1"/>
  <c r="AJ253" i="32"/>
  <c r="T253" i="32" s="1"/>
  <c r="V253" i="32" s="1"/>
  <c r="AK252" i="32"/>
  <c r="AL252" i="32" s="1"/>
  <c r="AJ252" i="32"/>
  <c r="T252" i="32" s="1"/>
  <c r="V252" i="32" s="1"/>
  <c r="AK251" i="32"/>
  <c r="AL251" i="32" s="1"/>
  <c r="AJ251" i="32"/>
  <c r="T251" i="32" s="1"/>
  <c r="V251" i="32" s="1"/>
  <c r="AK250" i="32"/>
  <c r="AL250" i="32" s="1"/>
  <c r="AJ250" i="32"/>
  <c r="T250" i="32" s="1"/>
  <c r="V250" i="32" s="1"/>
  <c r="AK249" i="32"/>
  <c r="AL249" i="32" s="1"/>
  <c r="AJ249" i="32"/>
  <c r="T249" i="32" s="1"/>
  <c r="V249" i="32" s="1"/>
  <c r="AK248" i="32"/>
  <c r="AL248" i="32" s="1"/>
  <c r="AJ248" i="32"/>
  <c r="T248" i="32" s="1"/>
  <c r="V248" i="32" s="1"/>
  <c r="AK247" i="32"/>
  <c r="AL247" i="32" s="1"/>
  <c r="AJ247" i="32"/>
  <c r="T247" i="32" s="1"/>
  <c r="AI246" i="32"/>
  <c r="AH246" i="32"/>
  <c r="AH245" i="32" s="1"/>
  <c r="AG246" i="32"/>
  <c r="AG245" i="32" s="1"/>
  <c r="AF246" i="32"/>
  <c r="AF245" i="32" s="1"/>
  <c r="AE246" i="32"/>
  <c r="AE245" i="32" s="1"/>
  <c r="AD246" i="32"/>
  <c r="AD245" i="32" s="1"/>
  <c r="AC246" i="32"/>
  <c r="AC245" i="32" s="1"/>
  <c r="AA246" i="32"/>
  <c r="AA245" i="32" s="1"/>
  <c r="Z246" i="32"/>
  <c r="Z245" i="32" s="1"/>
  <c r="Y246" i="32"/>
  <c r="Y245" i="32" s="1"/>
  <c r="X246" i="32"/>
  <c r="X245" i="32" s="1"/>
  <c r="Q246" i="32"/>
  <c r="R255" i="32" s="1"/>
  <c r="P246" i="32"/>
  <c r="AB245" i="32"/>
  <c r="W245" i="32"/>
  <c r="S245" i="32"/>
  <c r="AK244" i="32"/>
  <c r="AL244" i="32" s="1"/>
  <c r="AJ244" i="32"/>
  <c r="T244" i="32" s="1"/>
  <c r="V244" i="32" s="1"/>
  <c r="AK243" i="32"/>
  <c r="AL243" i="32" s="1"/>
  <c r="AJ243" i="32"/>
  <c r="T243" i="32" s="1"/>
  <c r="V243" i="32" s="1"/>
  <c r="AK242" i="32"/>
  <c r="AL242" i="32" s="1"/>
  <c r="AJ242" i="32"/>
  <c r="T242" i="32" s="1"/>
  <c r="V242" i="32" s="1"/>
  <c r="AK241" i="32"/>
  <c r="AL241" i="32" s="1"/>
  <c r="AJ241" i="32"/>
  <c r="T241" i="32" s="1"/>
  <c r="V241" i="32" s="1"/>
  <c r="AK240" i="32"/>
  <c r="AL240" i="32" s="1"/>
  <c r="AJ240" i="32"/>
  <c r="T240" i="32" s="1"/>
  <c r="V240" i="32" s="1"/>
  <c r="AK239" i="32"/>
  <c r="AL239" i="32" s="1"/>
  <c r="AJ239" i="32"/>
  <c r="T239" i="32" s="1"/>
  <c r="V239" i="32" s="1"/>
  <c r="AI238" i="32"/>
  <c r="AH238" i="32"/>
  <c r="AG238" i="32"/>
  <c r="AF238" i="32"/>
  <c r="AE238" i="32"/>
  <c r="AD238" i="32"/>
  <c r="AC238" i="32"/>
  <c r="AA238" i="32"/>
  <c r="Z238" i="32"/>
  <c r="Y238" i="32"/>
  <c r="X238" i="32"/>
  <c r="Q238" i="32"/>
  <c r="P238" i="32"/>
  <c r="AK237" i="32"/>
  <c r="AL237" i="32" s="1"/>
  <c r="AJ237" i="32"/>
  <c r="T237" i="32" s="1"/>
  <c r="V237" i="32" s="1"/>
  <c r="AK236" i="32"/>
  <c r="AL236" i="32" s="1"/>
  <c r="AJ236" i="32"/>
  <c r="T236" i="32" s="1"/>
  <c r="V236" i="32" s="1"/>
  <c r="AK235" i="32"/>
  <c r="AL235" i="32" s="1"/>
  <c r="AJ235" i="32"/>
  <c r="T235" i="32" s="1"/>
  <c r="V235" i="32" s="1"/>
  <c r="AK234" i="32"/>
  <c r="AL234" i="32" s="1"/>
  <c r="AJ234" i="32"/>
  <c r="T234" i="32" s="1"/>
  <c r="V234" i="32" s="1"/>
  <c r="AK233" i="32"/>
  <c r="AL233" i="32" s="1"/>
  <c r="AJ233" i="32"/>
  <c r="T233" i="32" s="1"/>
  <c r="V233" i="32" s="1"/>
  <c r="AK232" i="32"/>
  <c r="AL232" i="32" s="1"/>
  <c r="AJ232" i="32"/>
  <c r="T232" i="32" s="1"/>
  <c r="V232" i="32" s="1"/>
  <c r="AK231" i="32"/>
  <c r="AL231" i="32" s="1"/>
  <c r="AJ231" i="32"/>
  <c r="T231" i="32" s="1"/>
  <c r="V231" i="32" s="1"/>
  <c r="AK230" i="32"/>
  <c r="AL230" i="32" s="1"/>
  <c r="AJ230" i="32"/>
  <c r="T230" i="32" s="1"/>
  <c r="V230" i="32" s="1"/>
  <c r="AK229" i="32"/>
  <c r="AL229" i="32" s="1"/>
  <c r="AJ229" i="32"/>
  <c r="T229" i="32" s="1"/>
  <c r="V229" i="32" s="1"/>
  <c r="AK228" i="32"/>
  <c r="AL228" i="32" s="1"/>
  <c r="AJ228" i="32"/>
  <c r="T228" i="32" s="1"/>
  <c r="V228" i="32" s="1"/>
  <c r="AI227" i="32"/>
  <c r="AH227" i="32"/>
  <c r="AG227" i="32"/>
  <c r="AF227" i="32"/>
  <c r="AE227" i="32"/>
  <c r="AD227" i="32"/>
  <c r="AC227" i="32"/>
  <c r="AA227" i="32"/>
  <c r="Z227" i="32"/>
  <c r="Y227" i="32"/>
  <c r="X227" i="32"/>
  <c r="Q227" i="32"/>
  <c r="R240" i="32" s="1"/>
  <c r="P227" i="32"/>
  <c r="A227" i="32"/>
  <c r="A238" i="32" s="1"/>
  <c r="A246" i="32" s="1"/>
  <c r="A261" i="32" s="1"/>
  <c r="A272" i="32" s="1"/>
  <c r="A284" i="32" s="1"/>
  <c r="A294" i="32" s="1"/>
  <c r="A306" i="32" s="1"/>
  <c r="A314" i="32" s="1"/>
  <c r="A322" i="32" s="1"/>
  <c r="A329" i="32" s="1"/>
  <c r="A336" i="32" s="1"/>
  <c r="A347" i="32" s="1"/>
  <c r="AK226" i="32"/>
  <c r="AL226" i="32" s="1"/>
  <c r="AJ226" i="32"/>
  <c r="T226" i="32" s="1"/>
  <c r="V226" i="32" s="1"/>
  <c r="AK225" i="32"/>
  <c r="AL225" i="32" s="1"/>
  <c r="AJ225" i="32"/>
  <c r="T225" i="32" s="1"/>
  <c r="V225" i="32" s="1"/>
  <c r="AK224" i="32"/>
  <c r="AL224" i="32" s="1"/>
  <c r="AJ224" i="32"/>
  <c r="T224" i="32" s="1"/>
  <c r="V224" i="32" s="1"/>
  <c r="AK223" i="32"/>
  <c r="AL223" i="32" s="1"/>
  <c r="AJ223" i="32"/>
  <c r="T223" i="32" s="1"/>
  <c r="V223" i="32" s="1"/>
  <c r="AK222" i="32"/>
  <c r="AL222" i="32" s="1"/>
  <c r="AJ222" i="32"/>
  <c r="T222" i="32" s="1"/>
  <c r="AK221" i="32"/>
  <c r="AL221" i="32" s="1"/>
  <c r="AJ221" i="32"/>
  <c r="T221" i="32" s="1"/>
  <c r="V221" i="32" s="1"/>
  <c r="AK220" i="32"/>
  <c r="AL220" i="32" s="1"/>
  <c r="AJ220" i="32"/>
  <c r="T220" i="32" s="1"/>
  <c r="V220" i="32" s="1"/>
  <c r="AI219" i="32"/>
  <c r="AH219" i="32"/>
  <c r="AG219" i="32"/>
  <c r="AF219" i="32"/>
  <c r="AE219" i="32"/>
  <c r="AD219" i="32"/>
  <c r="AC219" i="32"/>
  <c r="AA219" i="32"/>
  <c r="Z219" i="32"/>
  <c r="Y219" i="32"/>
  <c r="X219" i="32"/>
  <c r="Q219" i="32"/>
  <c r="R222" i="32" s="1"/>
  <c r="P219" i="32"/>
  <c r="AK218" i="32"/>
  <c r="AL218" i="32" s="1"/>
  <c r="AJ218" i="32"/>
  <c r="T218" i="32" s="1"/>
  <c r="V218" i="32" s="1"/>
  <c r="AK217" i="32"/>
  <c r="AL217" i="32" s="1"/>
  <c r="AJ217" i="32"/>
  <c r="T217" i="32" s="1"/>
  <c r="V217" i="32" s="1"/>
  <c r="AH217" i="32"/>
  <c r="AG217" i="32"/>
  <c r="AF217" i="32"/>
  <c r="AE217" i="32"/>
  <c r="AD217" i="32"/>
  <c r="AC217" i="32"/>
  <c r="AA217" i="32"/>
  <c r="Z217" i="32"/>
  <c r="Y217" i="32"/>
  <c r="X217" i="32"/>
  <c r="AK216" i="32"/>
  <c r="AL216" i="32" s="1"/>
  <c r="AJ216" i="32"/>
  <c r="T216" i="32" s="1"/>
  <c r="V216" i="32" s="1"/>
  <c r="AH216" i="32"/>
  <c r="AG216" i="32"/>
  <c r="AF216" i="32"/>
  <c r="AE216" i="32"/>
  <c r="AD216" i="32"/>
  <c r="AC216" i="32"/>
  <c r="AA216" i="32"/>
  <c r="Z216" i="32"/>
  <c r="Y216" i="32"/>
  <c r="X216" i="32"/>
  <c r="AK215" i="32"/>
  <c r="AL215" i="32" s="1"/>
  <c r="AJ215" i="32"/>
  <c r="T215" i="32" s="1"/>
  <c r="V215" i="32" s="1"/>
  <c r="AH215" i="32"/>
  <c r="AG215" i="32"/>
  <c r="AF215" i="32"/>
  <c r="AE215" i="32"/>
  <c r="AD215" i="32"/>
  <c r="AC215" i="32"/>
  <c r="AA215" i="32"/>
  <c r="Z215" i="32"/>
  <c r="Y215" i="32"/>
  <c r="X215" i="32"/>
  <c r="AK214" i="32"/>
  <c r="AL214" i="32" s="1"/>
  <c r="AJ214" i="32"/>
  <c r="T214" i="32" s="1"/>
  <c r="AH214" i="32"/>
  <c r="AG214" i="32"/>
  <c r="AF214" i="32"/>
  <c r="AE214" i="32"/>
  <c r="AD214" i="32"/>
  <c r="AC214" i="32"/>
  <c r="AA214" i="32"/>
  <c r="Z214" i="32"/>
  <c r="Y214" i="32"/>
  <c r="X214" i="32"/>
  <c r="AI213" i="32"/>
  <c r="AH213" i="32"/>
  <c r="AG213" i="32"/>
  <c r="AF213" i="32"/>
  <c r="AE213" i="32"/>
  <c r="AD213" i="32"/>
  <c r="AC213" i="32"/>
  <c r="AA213" i="32"/>
  <c r="Z213" i="32"/>
  <c r="Y213" i="32"/>
  <c r="X213" i="32"/>
  <c r="Q213" i="32"/>
  <c r="R218" i="32" s="1"/>
  <c r="P213" i="32"/>
  <c r="AK212" i="32"/>
  <c r="AL212" i="32" s="1"/>
  <c r="AJ212" i="32"/>
  <c r="T212" i="32" s="1"/>
  <c r="V212" i="32" s="1"/>
  <c r="AH212" i="32"/>
  <c r="AG212" i="32"/>
  <c r="AF212" i="32"/>
  <c r="AE212" i="32"/>
  <c r="AD212" i="32"/>
  <c r="AC212" i="32"/>
  <c r="AA212" i="32"/>
  <c r="Z212" i="32"/>
  <c r="Y212" i="32"/>
  <c r="X212" i="32"/>
  <c r="AK211" i="32"/>
  <c r="AL211" i="32" s="1"/>
  <c r="AJ211" i="32"/>
  <c r="T211" i="32" s="1"/>
  <c r="V211" i="32" s="1"/>
  <c r="AH211" i="32"/>
  <c r="AG211" i="32"/>
  <c r="AF211" i="32"/>
  <c r="AE211" i="32"/>
  <c r="AD211" i="32"/>
  <c r="AC211" i="32"/>
  <c r="AA211" i="32"/>
  <c r="Z211" i="32"/>
  <c r="Y211" i="32"/>
  <c r="X211" i="32"/>
  <c r="AK210" i="32"/>
  <c r="AL210" i="32" s="1"/>
  <c r="AJ210" i="32"/>
  <c r="T210" i="32" s="1"/>
  <c r="V210" i="32" s="1"/>
  <c r="AH210" i="32"/>
  <c r="AG210" i="32"/>
  <c r="AF210" i="32"/>
  <c r="AE210" i="32"/>
  <c r="AD210" i="32"/>
  <c r="AC210" i="32"/>
  <c r="AA210" i="32"/>
  <c r="Z210" i="32"/>
  <c r="Y210" i="32"/>
  <c r="X210" i="32"/>
  <c r="AK209" i="32"/>
  <c r="AL209" i="32" s="1"/>
  <c r="AJ209" i="32"/>
  <c r="T209" i="32" s="1"/>
  <c r="V209" i="32" s="1"/>
  <c r="AH209" i="32"/>
  <c r="AG209" i="32"/>
  <c r="AF209" i="32"/>
  <c r="AE209" i="32"/>
  <c r="AD209" i="32"/>
  <c r="AC209" i="32"/>
  <c r="AA209" i="32"/>
  <c r="Z209" i="32"/>
  <c r="Y209" i="32"/>
  <c r="X209" i="32"/>
  <c r="AK208" i="32"/>
  <c r="AL208" i="32" s="1"/>
  <c r="AJ208" i="32"/>
  <c r="T208" i="32" s="1"/>
  <c r="V208" i="32" s="1"/>
  <c r="AH208" i="32"/>
  <c r="AG208" i="32"/>
  <c r="AF208" i="32"/>
  <c r="AE208" i="32"/>
  <c r="AD208" i="32"/>
  <c r="AC208" i="32"/>
  <c r="AA208" i="32"/>
  <c r="Z208" i="32"/>
  <c r="Y208" i="32"/>
  <c r="X208" i="32"/>
  <c r="AK207" i="32"/>
  <c r="AL207" i="32" s="1"/>
  <c r="AJ207" i="32"/>
  <c r="T207" i="32" s="1"/>
  <c r="V207" i="32" s="1"/>
  <c r="AH207" i="32"/>
  <c r="AG207" i="32"/>
  <c r="AF207" i="32"/>
  <c r="AE207" i="32"/>
  <c r="AD207" i="32"/>
  <c r="AC207" i="32"/>
  <c r="AA207" i="32"/>
  <c r="Z207" i="32"/>
  <c r="Y207" i="32"/>
  <c r="X207" i="32"/>
  <c r="AI206" i="32"/>
  <c r="AH206" i="32"/>
  <c r="AG206" i="32"/>
  <c r="AF206" i="32"/>
  <c r="AE206" i="32"/>
  <c r="AD206" i="32"/>
  <c r="AC206" i="32"/>
  <c r="AA206" i="32"/>
  <c r="Z206" i="32"/>
  <c r="Y206" i="32"/>
  <c r="X206" i="32"/>
  <c r="Q206" i="32"/>
  <c r="R209" i="32" s="1"/>
  <c r="P206" i="32"/>
  <c r="A206" i="32"/>
  <c r="A213" i="32" s="1"/>
  <c r="AK205" i="32"/>
  <c r="AL205" i="32" s="1"/>
  <c r="AJ205" i="32"/>
  <c r="T205" i="32" s="1"/>
  <c r="V205" i="32" s="1"/>
  <c r="AK204" i="32"/>
  <c r="AL204" i="32" s="1"/>
  <c r="AJ204" i="32"/>
  <c r="T204" i="32" s="1"/>
  <c r="V204" i="32" s="1"/>
  <c r="AK203" i="32"/>
  <c r="AL203" i="32" s="1"/>
  <c r="AJ203" i="32"/>
  <c r="T203" i="32" s="1"/>
  <c r="V203" i="32" s="1"/>
  <c r="AK202" i="32"/>
  <c r="AL202" i="32" s="1"/>
  <c r="AJ202" i="32"/>
  <c r="T202" i="32" s="1"/>
  <c r="V202" i="32" s="1"/>
  <c r="AK201" i="32"/>
  <c r="AL201" i="32" s="1"/>
  <c r="AJ201" i="32"/>
  <c r="T201" i="32" s="1"/>
  <c r="AK200" i="32"/>
  <c r="AL200" i="32" s="1"/>
  <c r="AJ200" i="32"/>
  <c r="T200" i="32" s="1"/>
  <c r="V200" i="32" s="1"/>
  <c r="AK199" i="32"/>
  <c r="AL199" i="32" s="1"/>
  <c r="AJ199" i="32"/>
  <c r="T199" i="32" s="1"/>
  <c r="V199" i="32" s="1"/>
  <c r="AI198" i="32"/>
  <c r="AH198" i="32"/>
  <c r="AG198" i="32"/>
  <c r="AF198" i="32"/>
  <c r="AE198" i="32"/>
  <c r="AD198" i="32"/>
  <c r="AC198" i="32"/>
  <c r="AA198" i="32"/>
  <c r="Z198" i="32"/>
  <c r="Y198" i="32"/>
  <c r="X198" i="32"/>
  <c r="Q198" i="32"/>
  <c r="R202" i="32" s="1"/>
  <c r="P198" i="32"/>
  <c r="AK197" i="32"/>
  <c r="AL197" i="32" s="1"/>
  <c r="AJ197" i="32"/>
  <c r="T197" i="32" s="1"/>
  <c r="V197" i="32" s="1"/>
  <c r="AK196" i="32"/>
  <c r="AL196" i="32" s="1"/>
  <c r="AJ196" i="32"/>
  <c r="T196" i="32" s="1"/>
  <c r="V196" i="32" s="1"/>
  <c r="AK195" i="32"/>
  <c r="AL195" i="32" s="1"/>
  <c r="AJ195" i="32"/>
  <c r="T195" i="32" s="1"/>
  <c r="V195" i="32" s="1"/>
  <c r="AK194" i="32"/>
  <c r="AL194" i="32" s="1"/>
  <c r="AJ194" i="32"/>
  <c r="T194" i="32" s="1"/>
  <c r="V194" i="32" s="1"/>
  <c r="AK193" i="32"/>
  <c r="AL193" i="32" s="1"/>
  <c r="AJ193" i="32"/>
  <c r="T193" i="32" s="1"/>
  <c r="AK192" i="32"/>
  <c r="AL192" i="32" s="1"/>
  <c r="AJ192" i="32"/>
  <c r="T192" i="32" s="1"/>
  <c r="V192" i="32" s="1"/>
  <c r="AK191" i="32"/>
  <c r="AL191" i="32" s="1"/>
  <c r="AJ191" i="32"/>
  <c r="T191" i="32" s="1"/>
  <c r="V191" i="32" s="1"/>
  <c r="AI190" i="32"/>
  <c r="AH190" i="32"/>
  <c r="AG190" i="32"/>
  <c r="AF190" i="32"/>
  <c r="AE190" i="32"/>
  <c r="AD190" i="32"/>
  <c r="AC190" i="32"/>
  <c r="AA190" i="32"/>
  <c r="Z190" i="32"/>
  <c r="Y190" i="32"/>
  <c r="X190" i="32"/>
  <c r="Q190" i="32"/>
  <c r="R194" i="32" s="1"/>
  <c r="P190" i="32"/>
  <c r="AK189" i="32"/>
  <c r="AL189" i="32" s="1"/>
  <c r="AJ189" i="32"/>
  <c r="T188" i="32" s="1"/>
  <c r="V188" i="32" s="1"/>
  <c r="AK188" i="32"/>
  <c r="AL188" i="32" s="1"/>
  <c r="AJ188" i="32"/>
  <c r="AK187" i="32"/>
  <c r="AL187" i="32" s="1"/>
  <c r="AJ187" i="32"/>
  <c r="T187" i="32" s="1"/>
  <c r="AK186" i="32"/>
  <c r="AL186" i="32" s="1"/>
  <c r="AJ186" i="32"/>
  <c r="T186" i="32" s="1"/>
  <c r="V186" i="32" s="1"/>
  <c r="AK185" i="32"/>
  <c r="AL185" i="32" s="1"/>
  <c r="AJ185" i="32"/>
  <c r="T185" i="32" s="1"/>
  <c r="V185" i="32" s="1"/>
  <c r="AK184" i="32"/>
  <c r="AL184" i="32" s="1"/>
  <c r="AJ184" i="32"/>
  <c r="T184" i="32" s="1"/>
  <c r="V184" i="32" s="1"/>
  <c r="AK183" i="32"/>
  <c r="AL183" i="32" s="1"/>
  <c r="AJ183" i="32"/>
  <c r="T183" i="32" s="1"/>
  <c r="V183" i="32" s="1"/>
  <c r="AK182" i="32"/>
  <c r="AL182" i="32" s="1"/>
  <c r="AJ182" i="32"/>
  <c r="T182" i="32" s="1"/>
  <c r="V182" i="32" s="1"/>
  <c r="AK181" i="32"/>
  <c r="AJ181" i="32"/>
  <c r="T181" i="32" s="1"/>
  <c r="V181" i="32" s="1"/>
  <c r="AK180" i="32"/>
  <c r="AL180" i="32" s="1"/>
  <c r="AJ180" i="32"/>
  <c r="T180" i="32" s="1"/>
  <c r="AR179" i="32"/>
  <c r="AK179" i="32"/>
  <c r="AL179" i="32" s="1"/>
  <c r="AJ179" i="32"/>
  <c r="T179" i="32" s="1"/>
  <c r="AI178" i="32"/>
  <c r="AH178" i="32"/>
  <c r="AG178" i="32"/>
  <c r="AG177" i="32" s="1"/>
  <c r="AF178" i="32"/>
  <c r="AF177" i="32" s="1"/>
  <c r="AE178" i="32"/>
  <c r="AE177" i="32" s="1"/>
  <c r="AD178" i="32"/>
  <c r="AC178" i="32"/>
  <c r="AA178" i="32"/>
  <c r="AA177" i="32" s="1"/>
  <c r="Z178" i="32"/>
  <c r="Z177" i="32" s="1"/>
  <c r="Y178" i="32"/>
  <c r="Y177" i="32" s="1"/>
  <c r="X178" i="32"/>
  <c r="X177" i="32" s="1"/>
  <c r="Q178" i="32"/>
  <c r="P178" i="32"/>
  <c r="AD177" i="32"/>
  <c r="AC177" i="32"/>
  <c r="AB177" i="32"/>
  <c r="W177" i="32"/>
  <c r="S177" i="32"/>
  <c r="O177" i="32"/>
  <c r="AK176" i="32"/>
  <c r="AL176" i="32" s="1"/>
  <c r="AJ176" i="32"/>
  <c r="T176" i="32" s="1"/>
  <c r="V176" i="32" s="1"/>
  <c r="AK175" i="32"/>
  <c r="AL175" i="32" s="1"/>
  <c r="AJ175" i="32"/>
  <c r="T175" i="32" s="1"/>
  <c r="V175" i="32" s="1"/>
  <c r="AK174" i="32"/>
  <c r="AL174" i="32" s="1"/>
  <c r="AJ174" i="32"/>
  <c r="T174" i="32" s="1"/>
  <c r="V174" i="32" s="1"/>
  <c r="AK173" i="32"/>
  <c r="AL173" i="32" s="1"/>
  <c r="AJ173" i="32"/>
  <c r="T173" i="32" s="1"/>
  <c r="V173" i="32" s="1"/>
  <c r="AK172" i="32"/>
  <c r="AL172" i="32" s="1"/>
  <c r="AJ172" i="32"/>
  <c r="T172" i="32" s="1"/>
  <c r="V172" i="32" s="1"/>
  <c r="AK171" i="32"/>
  <c r="AL171" i="32" s="1"/>
  <c r="AJ171" i="32"/>
  <c r="T171" i="32" s="1"/>
  <c r="V171" i="32" s="1"/>
  <c r="AK170" i="32"/>
  <c r="AL170" i="32" s="1"/>
  <c r="AJ170" i="32"/>
  <c r="T170" i="32" s="1"/>
  <c r="V170" i="32" s="1"/>
  <c r="AK169" i="32"/>
  <c r="AL169" i="32" s="1"/>
  <c r="AJ169" i="32"/>
  <c r="T169" i="32" s="1"/>
  <c r="V169" i="32" s="1"/>
  <c r="AI168" i="32"/>
  <c r="AH168" i="32"/>
  <c r="AG168" i="32"/>
  <c r="AF168" i="32"/>
  <c r="AE168" i="32"/>
  <c r="AD168" i="32"/>
  <c r="AC168" i="32"/>
  <c r="AA168" i="32"/>
  <c r="Z168" i="32"/>
  <c r="Y168" i="32"/>
  <c r="X168" i="32"/>
  <c r="Q168" i="32"/>
  <c r="R173" i="32" s="1"/>
  <c r="P168" i="32"/>
  <c r="AK167" i="32"/>
  <c r="AL167" i="32" s="1"/>
  <c r="AJ167" i="32"/>
  <c r="T167" i="32" s="1"/>
  <c r="AI166" i="32"/>
  <c r="AH166" i="32"/>
  <c r="AG166" i="32"/>
  <c r="AG165" i="32" s="1"/>
  <c r="AF166" i="32"/>
  <c r="AF165" i="32" s="1"/>
  <c r="AE166" i="32"/>
  <c r="AE165" i="32" s="1"/>
  <c r="AD166" i="32"/>
  <c r="AC166" i="32"/>
  <c r="AC165" i="32" s="1"/>
  <c r="AA166" i="32"/>
  <c r="AA165" i="32" s="1"/>
  <c r="Z166" i="32"/>
  <c r="Z165" i="32" s="1"/>
  <c r="Y166" i="32"/>
  <c r="Y165" i="32" s="1"/>
  <c r="X166" i="32"/>
  <c r="X165" i="32" s="1"/>
  <c r="Q166" i="32"/>
  <c r="R167" i="32" s="1"/>
  <c r="P166" i="32"/>
  <c r="AD165" i="32"/>
  <c r="AB165" i="32"/>
  <c r="W165" i="32"/>
  <c r="O165" i="32"/>
  <c r="AK164" i="32"/>
  <c r="AL164" i="32" s="1"/>
  <c r="AJ164" i="32"/>
  <c r="T164" i="32" s="1"/>
  <c r="V164" i="32" s="1"/>
  <c r="AK163" i="32"/>
  <c r="AL163" i="32" s="1"/>
  <c r="AJ163" i="32"/>
  <c r="T163" i="32" s="1"/>
  <c r="V163" i="32" s="1"/>
  <c r="AI162" i="32"/>
  <c r="AH162" i="32"/>
  <c r="AH158" i="32" s="1"/>
  <c r="AG162" i="32"/>
  <c r="AG158" i="32" s="1"/>
  <c r="AF162" i="32"/>
  <c r="AF158" i="32" s="1"/>
  <c r="AE162" i="32"/>
  <c r="AE158" i="32" s="1"/>
  <c r="AD162" i="32"/>
  <c r="AC162" i="32"/>
  <c r="AC158" i="32" s="1"/>
  <c r="AA162" i="32"/>
  <c r="AA158" i="32" s="1"/>
  <c r="Z162" i="32"/>
  <c r="Z158" i="32" s="1"/>
  <c r="Y162" i="32"/>
  <c r="Y158" i="32" s="1"/>
  <c r="X162" i="32"/>
  <c r="X158" i="32" s="1"/>
  <c r="Q162" i="32"/>
  <c r="P162" i="32"/>
  <c r="P158" i="32" s="1"/>
  <c r="AK161" i="32"/>
  <c r="AL161" i="32" s="1"/>
  <c r="AJ161" i="32"/>
  <c r="T161" i="32" s="1"/>
  <c r="V161" i="32" s="1"/>
  <c r="AK160" i="32"/>
  <c r="AL160" i="32" s="1"/>
  <c r="AJ160" i="32"/>
  <c r="T160" i="32" s="1"/>
  <c r="V160" i="32" s="1"/>
  <c r="AI159" i="32"/>
  <c r="AH159" i="32"/>
  <c r="AG159" i="32"/>
  <c r="AF159" i="32"/>
  <c r="AE159" i="32"/>
  <c r="AD159" i="32"/>
  <c r="AC159" i="32"/>
  <c r="AA159" i="32"/>
  <c r="Z159" i="32"/>
  <c r="Y159" i="32"/>
  <c r="X159" i="32"/>
  <c r="Q159" i="32"/>
  <c r="AD158" i="32"/>
  <c r="AB158" i="32"/>
  <c r="W158" i="32"/>
  <c r="O158" i="32"/>
  <c r="AK157" i="32"/>
  <c r="AL157" i="32" s="1"/>
  <c r="AJ157" i="32"/>
  <c r="AH157" i="32"/>
  <c r="AF157" i="32"/>
  <c r="AE157" i="32"/>
  <c r="AD157" i="32"/>
  <c r="AC157" i="32"/>
  <c r="AA157" i="32"/>
  <c r="Z157" i="32"/>
  <c r="Y157" i="32"/>
  <c r="X157" i="32"/>
  <c r="T157" i="32"/>
  <c r="V157" i="32" s="1"/>
  <c r="AH156" i="32"/>
  <c r="AF156" i="32"/>
  <c r="AE156" i="32"/>
  <c r="AD156" i="32"/>
  <c r="AC156" i="32"/>
  <c r="AA156" i="32"/>
  <c r="Z156" i="32"/>
  <c r="Y156" i="32"/>
  <c r="X156" i="32"/>
  <c r="Q156" i="32"/>
  <c r="AK156" i="32" s="1"/>
  <c r="AL156" i="32" s="1"/>
  <c r="AK155" i="32"/>
  <c r="AL155" i="32" s="1"/>
  <c r="AJ155" i="32"/>
  <c r="T155" i="32" s="1"/>
  <c r="V155" i="32" s="1"/>
  <c r="AH155" i="32"/>
  <c r="AF155" i="32"/>
  <c r="AE155" i="32"/>
  <c r="AD155" i="32"/>
  <c r="AC155" i="32"/>
  <c r="AA155" i="32"/>
  <c r="Z155" i="32"/>
  <c r="Y155" i="32"/>
  <c r="X155" i="32"/>
  <c r="AI154" i="32"/>
  <c r="AH154" i="32"/>
  <c r="AF154" i="32"/>
  <c r="AE154" i="32"/>
  <c r="AD154" i="32"/>
  <c r="AC154" i="32"/>
  <c r="AA154" i="32"/>
  <c r="Z154" i="32"/>
  <c r="Y154" i="32"/>
  <c r="X154" i="32"/>
  <c r="Q154" i="32"/>
  <c r="R157" i="32" s="1"/>
  <c r="AK153" i="32"/>
  <c r="AL153" i="32" s="1"/>
  <c r="AJ153" i="32"/>
  <c r="T153" i="32" s="1"/>
  <c r="V153" i="32" s="1"/>
  <c r="AH153" i="32"/>
  <c r="AF153" i="32"/>
  <c r="AE153" i="32"/>
  <c r="AD153" i="32"/>
  <c r="AC153" i="32"/>
  <c r="AA153" i="32"/>
  <c r="Z153" i="32"/>
  <c r="Y153" i="32"/>
  <c r="X153" i="32"/>
  <c r="AI152" i="32"/>
  <c r="AH152" i="32"/>
  <c r="AF152" i="32"/>
  <c r="AE152" i="32"/>
  <c r="AD152" i="32"/>
  <c r="AC152" i="32"/>
  <c r="AA152" i="32"/>
  <c r="Z152" i="32"/>
  <c r="Y152" i="32"/>
  <c r="X152" i="32"/>
  <c r="Q152" i="32"/>
  <c r="P152" i="32"/>
  <c r="AK151" i="32"/>
  <c r="AL151" i="32" s="1"/>
  <c r="AJ151" i="32"/>
  <c r="T151" i="32" s="1"/>
  <c r="V151" i="32" s="1"/>
  <c r="AK150" i="32"/>
  <c r="AL150" i="32" s="1"/>
  <c r="AJ150" i="32"/>
  <c r="T150" i="32" s="1"/>
  <c r="V150" i="32" s="1"/>
  <c r="AH150" i="32"/>
  <c r="AG150" i="32"/>
  <c r="AF150" i="32"/>
  <c r="AE150" i="32"/>
  <c r="AD150" i="32"/>
  <c r="AC150" i="32"/>
  <c r="AA150" i="32"/>
  <c r="Z150" i="32"/>
  <c r="Y150" i="32"/>
  <c r="X150" i="32"/>
  <c r="AK149" i="32"/>
  <c r="AL149" i="32" s="1"/>
  <c r="AJ149" i="32"/>
  <c r="T149" i="32" s="1"/>
  <c r="V149" i="32" s="1"/>
  <c r="AH149" i="32"/>
  <c r="AG149" i="32"/>
  <c r="AF149" i="32"/>
  <c r="AE149" i="32"/>
  <c r="AD149" i="32"/>
  <c r="AC149" i="32"/>
  <c r="AA149" i="32"/>
  <c r="Z149" i="32"/>
  <c r="Y149" i="32"/>
  <c r="X149" i="32"/>
  <c r="AK148" i="32"/>
  <c r="AL148" i="32" s="1"/>
  <c r="AJ148" i="32"/>
  <c r="T148" i="32" s="1"/>
  <c r="V148" i="32" s="1"/>
  <c r="AH148" i="32"/>
  <c r="AG148" i="32"/>
  <c r="AF148" i="32"/>
  <c r="AE148" i="32"/>
  <c r="AD148" i="32"/>
  <c r="AC148" i="32"/>
  <c r="AA148" i="32"/>
  <c r="Z148" i="32"/>
  <c r="Y148" i="32"/>
  <c r="X148" i="32"/>
  <c r="AK147" i="32"/>
  <c r="AL147" i="32" s="1"/>
  <c r="AJ147" i="32"/>
  <c r="T147" i="32" s="1"/>
  <c r="V147" i="32" s="1"/>
  <c r="AH147" i="32"/>
  <c r="AG147" i="32"/>
  <c r="AF147" i="32"/>
  <c r="AE147" i="32"/>
  <c r="AD147" i="32"/>
  <c r="AC147" i="32"/>
  <c r="AA147" i="32"/>
  <c r="Z147" i="32"/>
  <c r="Y147" i="32"/>
  <c r="X147" i="32"/>
  <c r="AK146" i="32"/>
  <c r="AL146" i="32" s="1"/>
  <c r="AJ146" i="32"/>
  <c r="T146" i="32" s="1"/>
  <c r="V146" i="32" s="1"/>
  <c r="AH146" i="32"/>
  <c r="AG146" i="32"/>
  <c r="AF146" i="32"/>
  <c r="AE146" i="32"/>
  <c r="AD146" i="32"/>
  <c r="AC146" i="32"/>
  <c r="AA146" i="32"/>
  <c r="Z146" i="32"/>
  <c r="Y146" i="32"/>
  <c r="X146" i="32"/>
  <c r="AI145" i="32"/>
  <c r="AH145" i="32"/>
  <c r="AG145" i="32"/>
  <c r="AF145" i="32"/>
  <c r="AE145" i="32"/>
  <c r="AD145" i="32"/>
  <c r="AC145" i="32"/>
  <c r="AA145" i="32"/>
  <c r="Z145" i="32"/>
  <c r="Y145" i="32"/>
  <c r="X145" i="32"/>
  <c r="Q145" i="32"/>
  <c r="R149" i="32" s="1"/>
  <c r="P145" i="32"/>
  <c r="AK144" i="32"/>
  <c r="AL144" i="32" s="1"/>
  <c r="AJ144" i="32"/>
  <c r="T144" i="32" s="1"/>
  <c r="AH144" i="32"/>
  <c r="AG144" i="32"/>
  <c r="AF144" i="32"/>
  <c r="AE144" i="32"/>
  <c r="AD144" i="32"/>
  <c r="AC144" i="32"/>
  <c r="AA144" i="32"/>
  <c r="Z144" i="32"/>
  <c r="Y144" i="32"/>
  <c r="X144" i="32"/>
  <c r="AK143" i="32"/>
  <c r="AL143" i="32" s="1"/>
  <c r="AJ143" i="32"/>
  <c r="T143" i="32" s="1"/>
  <c r="V143" i="32" s="1"/>
  <c r="AH143" i="32"/>
  <c r="AG143" i="32"/>
  <c r="AF143" i="32"/>
  <c r="AE143" i="32"/>
  <c r="AD143" i="32"/>
  <c r="AC143" i="32"/>
  <c r="AA143" i="32"/>
  <c r="Z143" i="32"/>
  <c r="Y143" i="32"/>
  <c r="X143" i="32"/>
  <c r="AL142" i="32"/>
  <c r="AK142" i="32"/>
  <c r="AJ142" i="32"/>
  <c r="T142" i="32" s="1"/>
  <c r="V142" i="32" s="1"/>
  <c r="AH142" i="32"/>
  <c r="AG142" i="32"/>
  <c r="AF142" i="32"/>
  <c r="AE142" i="32"/>
  <c r="AD142" i="32"/>
  <c r="AC142" i="32"/>
  <c r="AA142" i="32"/>
  <c r="Z142" i="32"/>
  <c r="Y142" i="32"/>
  <c r="X142" i="32"/>
  <c r="AI141" i="32"/>
  <c r="AH141" i="32"/>
  <c r="AG141" i="32"/>
  <c r="AF141" i="32"/>
  <c r="AE141" i="32"/>
  <c r="AD141" i="32"/>
  <c r="AC141" i="32"/>
  <c r="AA141" i="32"/>
  <c r="Z141" i="32"/>
  <c r="Y141" i="32"/>
  <c r="X141" i="32"/>
  <c r="Q141" i="32"/>
  <c r="R144" i="32" s="1"/>
  <c r="P141" i="32"/>
  <c r="AK140" i="32"/>
  <c r="AL140" i="32" s="1"/>
  <c r="AJ140" i="32"/>
  <c r="T140" i="32" s="1"/>
  <c r="V140" i="32" s="1"/>
  <c r="AH140" i="32"/>
  <c r="AG140" i="32"/>
  <c r="AK139" i="32"/>
  <c r="AL139" i="32" s="1"/>
  <c r="AJ139" i="32"/>
  <c r="T139" i="32" s="1"/>
  <c r="V139" i="32" s="1"/>
  <c r="AI138" i="32"/>
  <c r="AH138" i="32"/>
  <c r="AG138" i="32"/>
  <c r="Q138" i="32"/>
  <c r="AK137" i="32"/>
  <c r="AL137" i="32" s="1"/>
  <c r="AJ137" i="32"/>
  <c r="T137" i="32" s="1"/>
  <c r="V137" i="32" s="1"/>
  <c r="AI136" i="32"/>
  <c r="AH136" i="32"/>
  <c r="AG136" i="32"/>
  <c r="AF136" i="32"/>
  <c r="AE136" i="32"/>
  <c r="AD136" i="32"/>
  <c r="AC136" i="32"/>
  <c r="AA136" i="32"/>
  <c r="Z136" i="32"/>
  <c r="Y136" i="32"/>
  <c r="X136" i="32"/>
  <c r="Q136" i="32"/>
  <c r="P136" i="32"/>
  <c r="AK135" i="32"/>
  <c r="AL135" i="32" s="1"/>
  <c r="AJ135" i="32"/>
  <c r="T135" i="32" s="1"/>
  <c r="V135" i="32" s="1"/>
  <c r="AK134" i="32"/>
  <c r="AL134" i="32" s="1"/>
  <c r="AJ134" i="32"/>
  <c r="T134" i="32" s="1"/>
  <c r="V134" i="32" s="1"/>
  <c r="AK133" i="32"/>
  <c r="AL133" i="32" s="1"/>
  <c r="AJ133" i="32"/>
  <c r="T133" i="32" s="1"/>
  <c r="V133" i="32" s="1"/>
  <c r="AK132" i="32"/>
  <c r="AL132" i="32" s="1"/>
  <c r="AJ132" i="32"/>
  <c r="T132" i="32" s="1"/>
  <c r="V132" i="32" s="1"/>
  <c r="AK131" i="32"/>
  <c r="AL131" i="32" s="1"/>
  <c r="AJ131" i="32"/>
  <c r="T131" i="32" s="1"/>
  <c r="V131" i="32" s="1"/>
  <c r="AK130" i="32"/>
  <c r="AL130" i="32" s="1"/>
  <c r="AJ130" i="32"/>
  <c r="T130" i="32" s="1"/>
  <c r="V130" i="32" s="1"/>
  <c r="AK129" i="32"/>
  <c r="AL129" i="32" s="1"/>
  <c r="AJ129" i="32"/>
  <c r="T129" i="32" s="1"/>
  <c r="V129" i="32" s="1"/>
  <c r="AH129" i="32"/>
  <c r="AG129" i="32"/>
  <c r="AF129" i="32"/>
  <c r="AE129" i="32"/>
  <c r="AD129" i="32"/>
  <c r="AC129" i="32"/>
  <c r="AA129" i="32"/>
  <c r="Z129" i="32"/>
  <c r="Y129" i="32"/>
  <c r="X129" i="32"/>
  <c r="AK128" i="32"/>
  <c r="AL128" i="32" s="1"/>
  <c r="AJ128" i="32"/>
  <c r="T128" i="32" s="1"/>
  <c r="V128" i="32" s="1"/>
  <c r="AH128" i="32"/>
  <c r="AG128" i="32"/>
  <c r="AF128" i="32"/>
  <c r="AE128" i="32"/>
  <c r="AD128" i="32"/>
  <c r="AC128" i="32"/>
  <c r="AA128" i="32"/>
  <c r="Z128" i="32"/>
  <c r="Y128" i="32"/>
  <c r="X128" i="32"/>
  <c r="AK127" i="32"/>
  <c r="AL127" i="32" s="1"/>
  <c r="AJ127" i="32"/>
  <c r="T127" i="32" s="1"/>
  <c r="V127" i="32" s="1"/>
  <c r="AH127" i="32"/>
  <c r="AG127" i="32"/>
  <c r="AF127" i="32"/>
  <c r="AE127" i="32"/>
  <c r="AD127" i="32"/>
  <c r="AC127" i="32"/>
  <c r="AA127" i="32"/>
  <c r="Z127" i="32"/>
  <c r="Y127" i="32"/>
  <c r="X127" i="32"/>
  <c r="AK126" i="32"/>
  <c r="AL126" i="32" s="1"/>
  <c r="AJ126" i="32"/>
  <c r="T126" i="32" s="1"/>
  <c r="V126" i="32" s="1"/>
  <c r="AH126" i="32"/>
  <c r="AG126" i="32"/>
  <c r="AF126" i="32"/>
  <c r="AE126" i="32"/>
  <c r="AD126" i="32"/>
  <c r="AC126" i="32"/>
  <c r="AA126" i="32"/>
  <c r="Z126" i="32"/>
  <c r="Y126" i="32"/>
  <c r="X126" i="32"/>
  <c r="AK125" i="32"/>
  <c r="AL125" i="32" s="1"/>
  <c r="AJ125" i="32"/>
  <c r="T125" i="32" s="1"/>
  <c r="V125" i="32" s="1"/>
  <c r="AH125" i="32"/>
  <c r="AG125" i="32"/>
  <c r="AF125" i="32"/>
  <c r="AE125" i="32"/>
  <c r="AD125" i="32"/>
  <c r="AC125" i="32"/>
  <c r="AA125" i="32"/>
  <c r="Z125" i="32"/>
  <c r="Y125" i="32"/>
  <c r="X125" i="32"/>
  <c r="AI124" i="32"/>
  <c r="AH124" i="32"/>
  <c r="AG124" i="32"/>
  <c r="AG121" i="32" s="1"/>
  <c r="AF124" i="32"/>
  <c r="AF121" i="32" s="1"/>
  <c r="AE124" i="32"/>
  <c r="AE121" i="32" s="1"/>
  <c r="AD124" i="32"/>
  <c r="AD121" i="32" s="1"/>
  <c r="AC124" i="32"/>
  <c r="AC121" i="32" s="1"/>
  <c r="AA124" i="32"/>
  <c r="AA121" i="32" s="1"/>
  <c r="Z124" i="32"/>
  <c r="Z121" i="32" s="1"/>
  <c r="Y124" i="32"/>
  <c r="Y121" i="32" s="1"/>
  <c r="X124" i="32"/>
  <c r="X121" i="32" s="1"/>
  <c r="Q124" i="32"/>
  <c r="R131" i="32" s="1"/>
  <c r="P124" i="32"/>
  <c r="AK123" i="32"/>
  <c r="AL123" i="32" s="1"/>
  <c r="AJ123" i="32"/>
  <c r="T123" i="32" s="1"/>
  <c r="V123" i="32" s="1"/>
  <c r="AH123" i="32"/>
  <c r="AG123" i="32"/>
  <c r="AF123" i="32"/>
  <c r="AE123" i="32"/>
  <c r="AD123" i="32"/>
  <c r="AC123" i="32"/>
  <c r="AA123" i="32"/>
  <c r="Z123" i="32"/>
  <c r="Y123" i="32"/>
  <c r="X123" i="32"/>
  <c r="AI122" i="32"/>
  <c r="AH122" i="32"/>
  <c r="AG122" i="32"/>
  <c r="AF122" i="32"/>
  <c r="AE122" i="32"/>
  <c r="AD122" i="32"/>
  <c r="AC122" i="32"/>
  <c r="AA122" i="32"/>
  <c r="Z122" i="32"/>
  <c r="Y122" i="32"/>
  <c r="X122" i="32"/>
  <c r="Q122" i="32"/>
  <c r="P122" i="32"/>
  <c r="AB121" i="32"/>
  <c r="W121" i="32"/>
  <c r="O121" i="32"/>
  <c r="AK120" i="32"/>
  <c r="AL120" i="32" s="1"/>
  <c r="AJ120" i="32"/>
  <c r="T120" i="32" s="1"/>
  <c r="V120" i="32" s="1"/>
  <c r="AK119" i="32"/>
  <c r="AL119" i="32" s="1"/>
  <c r="AJ119" i="32"/>
  <c r="T119" i="32" s="1"/>
  <c r="V119" i="32" s="1"/>
  <c r="AK118" i="32"/>
  <c r="AL118" i="32" s="1"/>
  <c r="AJ118" i="32"/>
  <c r="T118" i="32" s="1"/>
  <c r="V118" i="32" s="1"/>
  <c r="AK117" i="32"/>
  <c r="AL117" i="32" s="1"/>
  <c r="AJ117" i="32"/>
  <c r="T117" i="32" s="1"/>
  <c r="V117" i="32" s="1"/>
  <c r="AK116" i="32"/>
  <c r="AL116" i="32" s="1"/>
  <c r="AJ116" i="32"/>
  <c r="T116" i="32" s="1"/>
  <c r="V116" i="32" s="1"/>
  <c r="AK115" i="32"/>
  <c r="AL115" i="32" s="1"/>
  <c r="AJ115" i="32"/>
  <c r="T115" i="32" s="1"/>
  <c r="V115" i="32" s="1"/>
  <c r="AK114" i="32"/>
  <c r="AL114" i="32" s="1"/>
  <c r="AJ114" i="32"/>
  <c r="T114" i="32" s="1"/>
  <c r="V114" i="32" s="1"/>
  <c r="AK113" i="32"/>
  <c r="AL113" i="32" s="1"/>
  <c r="AJ113" i="32"/>
  <c r="T113" i="32" s="1"/>
  <c r="V113" i="32" s="1"/>
  <c r="AK112" i="32"/>
  <c r="AL112" i="32" s="1"/>
  <c r="AJ112" i="32"/>
  <c r="T112" i="32" s="1"/>
  <c r="V112" i="32" s="1"/>
  <c r="AK111" i="32"/>
  <c r="AL111" i="32" s="1"/>
  <c r="AJ111" i="32"/>
  <c r="T111" i="32" s="1"/>
  <c r="V111" i="32" s="1"/>
  <c r="AK110" i="32"/>
  <c r="AL110" i="32" s="1"/>
  <c r="AJ110" i="32"/>
  <c r="T110" i="32" s="1"/>
  <c r="V110" i="32" s="1"/>
  <c r="AK109" i="32"/>
  <c r="AL109" i="32" s="1"/>
  <c r="AJ109" i="32"/>
  <c r="T109" i="32" s="1"/>
  <c r="V109" i="32" s="1"/>
  <c r="AK108" i="32"/>
  <c r="AL108" i="32" s="1"/>
  <c r="AJ108" i="32"/>
  <c r="T108" i="32" s="1"/>
  <c r="V108" i="32" s="1"/>
  <c r="AI107" i="32"/>
  <c r="AH107" i="32"/>
  <c r="AG107" i="32"/>
  <c r="AF107" i="32"/>
  <c r="AE107" i="32"/>
  <c r="AD107" i="32"/>
  <c r="AC107" i="32"/>
  <c r="AA107" i="32"/>
  <c r="Z107" i="32"/>
  <c r="Y107" i="32"/>
  <c r="X107" i="32"/>
  <c r="Q107" i="32"/>
  <c r="P107" i="32"/>
  <c r="AK106" i="32"/>
  <c r="AL106" i="32" s="1"/>
  <c r="AJ106" i="32"/>
  <c r="T106" i="32" s="1"/>
  <c r="V106" i="32" s="1"/>
  <c r="AK105" i="32"/>
  <c r="AL105" i="32" s="1"/>
  <c r="AJ105" i="32"/>
  <c r="T105" i="32" s="1"/>
  <c r="V105" i="32" s="1"/>
  <c r="AK104" i="32"/>
  <c r="AL104" i="32" s="1"/>
  <c r="AJ104" i="32"/>
  <c r="T104" i="32" s="1"/>
  <c r="V104" i="32" s="1"/>
  <c r="AK103" i="32"/>
  <c r="AL103" i="32" s="1"/>
  <c r="AJ103" i="32"/>
  <c r="T103" i="32" s="1"/>
  <c r="V103" i="32" s="1"/>
  <c r="AK102" i="32"/>
  <c r="AL102" i="32" s="1"/>
  <c r="AJ102" i="32"/>
  <c r="T102" i="32" s="1"/>
  <c r="V102" i="32" s="1"/>
  <c r="AK101" i="32"/>
  <c r="AL101" i="32" s="1"/>
  <c r="AJ101" i="32"/>
  <c r="T101" i="32" s="1"/>
  <c r="V101" i="32" s="1"/>
  <c r="AK100" i="32"/>
  <c r="AL100" i="32" s="1"/>
  <c r="AJ100" i="32"/>
  <c r="T100" i="32" s="1"/>
  <c r="V100" i="32" s="1"/>
  <c r="AK99" i="32"/>
  <c r="AL99" i="32" s="1"/>
  <c r="AJ99" i="32"/>
  <c r="T99" i="32" s="1"/>
  <c r="V99" i="32" s="1"/>
  <c r="AK98" i="32"/>
  <c r="AL98" i="32" s="1"/>
  <c r="AJ98" i="32"/>
  <c r="T98" i="32" s="1"/>
  <c r="V98" i="32" s="1"/>
  <c r="AK97" i="32"/>
  <c r="AL97" i="32" s="1"/>
  <c r="AJ97" i="32"/>
  <c r="T97" i="32" s="1"/>
  <c r="V97" i="32" s="1"/>
  <c r="AK96" i="32"/>
  <c r="AL96" i="32" s="1"/>
  <c r="AJ96" i="32"/>
  <c r="T96" i="32" s="1"/>
  <c r="V96" i="32" s="1"/>
  <c r="AK95" i="32"/>
  <c r="AL95" i="32" s="1"/>
  <c r="AJ95" i="32"/>
  <c r="T95" i="32" s="1"/>
  <c r="V95" i="32" s="1"/>
  <c r="AK94" i="32"/>
  <c r="AL94" i="32" s="1"/>
  <c r="AJ94" i="32"/>
  <c r="T94" i="32" s="1"/>
  <c r="V94" i="32" s="1"/>
  <c r="AI93" i="32"/>
  <c r="AH93" i="32"/>
  <c r="AG93" i="32"/>
  <c r="AF93" i="32"/>
  <c r="AE93" i="32"/>
  <c r="AD93" i="32"/>
  <c r="AC93" i="32"/>
  <c r="AA93" i="32"/>
  <c r="Z93" i="32"/>
  <c r="Y93" i="32"/>
  <c r="X93" i="32"/>
  <c r="Q93" i="32"/>
  <c r="P93" i="32"/>
  <c r="AK92" i="32"/>
  <c r="AL92" i="32" s="1"/>
  <c r="AJ92" i="32"/>
  <c r="T92" i="32" s="1"/>
  <c r="V92" i="32" s="1"/>
  <c r="AI91" i="32"/>
  <c r="AH91" i="32"/>
  <c r="AG91" i="32"/>
  <c r="AF91" i="32"/>
  <c r="AE91" i="32"/>
  <c r="AD91" i="32"/>
  <c r="AC91" i="32"/>
  <c r="AA91" i="32"/>
  <c r="Z91" i="32"/>
  <c r="Y91" i="32"/>
  <c r="X91" i="32"/>
  <c r="Q91" i="32"/>
  <c r="R117" i="32" s="1"/>
  <c r="P91" i="32"/>
  <c r="AK90" i="32"/>
  <c r="AL90" i="32" s="1"/>
  <c r="AJ90" i="32"/>
  <c r="T90" i="32" s="1"/>
  <c r="V90" i="32" s="1"/>
  <c r="AI89" i="32"/>
  <c r="AH89" i="32"/>
  <c r="AG89" i="32"/>
  <c r="AF89" i="32"/>
  <c r="AE89" i="32"/>
  <c r="AD89" i="32"/>
  <c r="AC89" i="32"/>
  <c r="AA89" i="32"/>
  <c r="Z89" i="32"/>
  <c r="Y89" i="32"/>
  <c r="X89" i="32"/>
  <c r="Q89" i="32"/>
  <c r="R90" i="32" s="1"/>
  <c r="U90" i="32" s="1"/>
  <c r="P89" i="32"/>
  <c r="AK88" i="32"/>
  <c r="AL88" i="32" s="1"/>
  <c r="AJ88" i="32"/>
  <c r="T88" i="32" s="1"/>
  <c r="V88" i="32" s="1"/>
  <c r="AK87" i="32"/>
  <c r="AL87" i="32" s="1"/>
  <c r="AJ87" i="32"/>
  <c r="T87" i="32" s="1"/>
  <c r="V87" i="32" s="1"/>
  <c r="AI86" i="32"/>
  <c r="AH86" i="32"/>
  <c r="AG86" i="32"/>
  <c r="AF86" i="32"/>
  <c r="AE86" i="32"/>
  <c r="AD86" i="32"/>
  <c r="AC86" i="32"/>
  <c r="AA86" i="32"/>
  <c r="Z86" i="32"/>
  <c r="Y86" i="32"/>
  <c r="X86" i="32"/>
  <c r="Q86" i="32"/>
  <c r="R88" i="32" s="1"/>
  <c r="P86" i="32"/>
  <c r="AK85" i="32"/>
  <c r="AL85" i="32" s="1"/>
  <c r="AJ85" i="32"/>
  <c r="T85" i="32" s="1"/>
  <c r="V85" i="32" s="1"/>
  <c r="AK84" i="32"/>
  <c r="AL84" i="32" s="1"/>
  <c r="AJ84" i="32"/>
  <c r="T84" i="32" s="1"/>
  <c r="V84" i="32" s="1"/>
  <c r="AI83" i="32"/>
  <c r="AH83" i="32"/>
  <c r="AG83" i="32"/>
  <c r="AF83" i="32"/>
  <c r="AE83" i="32"/>
  <c r="AD83" i="32"/>
  <c r="AC83" i="32"/>
  <c r="AA83" i="32"/>
  <c r="Z83" i="32"/>
  <c r="Y83" i="32"/>
  <c r="X83" i="32"/>
  <c r="Q83" i="32"/>
  <c r="P83" i="32"/>
  <c r="AK82" i="32"/>
  <c r="AL82" i="32" s="1"/>
  <c r="AJ82" i="32"/>
  <c r="T82" i="32" s="1"/>
  <c r="V82" i="32" s="1"/>
  <c r="AK81" i="32"/>
  <c r="AL81" i="32" s="1"/>
  <c r="AJ81" i="32"/>
  <c r="T81" i="32" s="1"/>
  <c r="V81" i="32" s="1"/>
  <c r="AI80" i="32"/>
  <c r="AH80" i="32"/>
  <c r="AF80" i="32"/>
  <c r="AE80" i="32"/>
  <c r="AD80" i="32"/>
  <c r="AC80" i="32"/>
  <c r="AA80" i="32"/>
  <c r="Z80" i="32"/>
  <c r="Y80" i="32"/>
  <c r="X80" i="32"/>
  <c r="Q80" i="32"/>
  <c r="R81" i="32" s="1"/>
  <c r="AK79" i="32"/>
  <c r="AL79" i="32" s="1"/>
  <c r="AJ79" i="32"/>
  <c r="T79" i="32" s="1"/>
  <c r="V79" i="32" s="1"/>
  <c r="AI78" i="32"/>
  <c r="AH78" i="32"/>
  <c r="AF78" i="32"/>
  <c r="AE78" i="32"/>
  <c r="AD78" i="32"/>
  <c r="AC78" i="32"/>
  <c r="AA78" i="32"/>
  <c r="Z78" i="32"/>
  <c r="Y78" i="32"/>
  <c r="X78" i="32"/>
  <c r="Q78" i="32"/>
  <c r="P78" i="32"/>
  <c r="AK77" i="32"/>
  <c r="AL77" i="32" s="1"/>
  <c r="AJ77" i="32"/>
  <c r="T77" i="32" s="1"/>
  <c r="V77" i="32" s="1"/>
  <c r="AK76" i="32"/>
  <c r="AL76" i="32" s="1"/>
  <c r="AJ76" i="32"/>
  <c r="T76" i="32" s="1"/>
  <c r="V76" i="32" s="1"/>
  <c r="AK75" i="32"/>
  <c r="AL75" i="32" s="1"/>
  <c r="AJ75" i="32"/>
  <c r="T75" i="32" s="1"/>
  <c r="V75" i="32" s="1"/>
  <c r="AK74" i="32"/>
  <c r="AL74" i="32" s="1"/>
  <c r="AJ74" i="32"/>
  <c r="T74" i="32" s="1"/>
  <c r="V74" i="32" s="1"/>
  <c r="AK73" i="32"/>
  <c r="AL73" i="32" s="1"/>
  <c r="AJ73" i="32"/>
  <c r="T73" i="32" s="1"/>
  <c r="V73" i="32" s="1"/>
  <c r="AI72" i="32"/>
  <c r="AH72" i="32"/>
  <c r="AG72" i="32"/>
  <c r="AF72" i="32"/>
  <c r="AE72" i="32"/>
  <c r="AD72" i="32"/>
  <c r="AC72" i="32"/>
  <c r="AA72" i="32"/>
  <c r="Z72" i="32"/>
  <c r="Y72" i="32"/>
  <c r="X72" i="32"/>
  <c r="Q72" i="32"/>
  <c r="R77" i="32" s="1"/>
  <c r="P72" i="32"/>
  <c r="AK71" i="32"/>
  <c r="AL71" i="32" s="1"/>
  <c r="AJ71" i="32"/>
  <c r="T71" i="32" s="1"/>
  <c r="V71" i="32" s="1"/>
  <c r="AK70" i="32"/>
  <c r="AL70" i="32" s="1"/>
  <c r="AJ70" i="32"/>
  <c r="T70" i="32" s="1"/>
  <c r="V70" i="32" s="1"/>
  <c r="AI69" i="32"/>
  <c r="AH69" i="32"/>
  <c r="AG69" i="32"/>
  <c r="AF69" i="32"/>
  <c r="AE69" i="32"/>
  <c r="AD69" i="32"/>
  <c r="AC69" i="32"/>
  <c r="AA69" i="32"/>
  <c r="Z69" i="32"/>
  <c r="Y69" i="32"/>
  <c r="X69" i="32"/>
  <c r="Q69" i="32"/>
  <c r="R71" i="32" s="1"/>
  <c r="P69" i="32"/>
  <c r="AK68" i="32"/>
  <c r="AL68" i="32" s="1"/>
  <c r="AJ68" i="32"/>
  <c r="T68" i="32" s="1"/>
  <c r="V68" i="32" s="1"/>
  <c r="AH68" i="32"/>
  <c r="AG68" i="32"/>
  <c r="AF68" i="32"/>
  <c r="AE68" i="32"/>
  <c r="AD68" i="32"/>
  <c r="AC68" i="32"/>
  <c r="AA68" i="32"/>
  <c r="Z68" i="32"/>
  <c r="Y68" i="32"/>
  <c r="X68" i="32"/>
  <c r="AK67" i="32"/>
  <c r="AL67" i="32" s="1"/>
  <c r="AJ67" i="32"/>
  <c r="T67" i="32" s="1"/>
  <c r="V67" i="32" s="1"/>
  <c r="AK66" i="32"/>
  <c r="AL66" i="32" s="1"/>
  <c r="AJ66" i="32"/>
  <c r="T66" i="32" s="1"/>
  <c r="V66" i="32" s="1"/>
  <c r="AH66" i="32"/>
  <c r="AG66" i="32"/>
  <c r="AF66" i="32"/>
  <c r="AE66" i="32"/>
  <c r="AD66" i="32"/>
  <c r="AC66" i="32"/>
  <c r="AA66" i="32"/>
  <c r="Z66" i="32"/>
  <c r="Y66" i="32"/>
  <c r="X66" i="32"/>
  <c r="AI65" i="32"/>
  <c r="AH65" i="32"/>
  <c r="AG65" i="32"/>
  <c r="AF65" i="32"/>
  <c r="AE65" i="32"/>
  <c r="AD65" i="32"/>
  <c r="AC65" i="32"/>
  <c r="AA65" i="32"/>
  <c r="Z65" i="32"/>
  <c r="Y65" i="32"/>
  <c r="X65" i="32"/>
  <c r="Q65" i="32"/>
  <c r="R67" i="32" s="1"/>
  <c r="P65" i="32"/>
  <c r="AK64" i="32"/>
  <c r="AL64" i="32" s="1"/>
  <c r="AJ64" i="32"/>
  <c r="T64" i="32" s="1"/>
  <c r="AH64" i="32"/>
  <c r="AG64" i="32"/>
  <c r="AF64" i="32"/>
  <c r="AE64" i="32"/>
  <c r="AD64" i="32"/>
  <c r="AC64" i="32"/>
  <c r="AA64" i="32"/>
  <c r="Z64" i="32"/>
  <c r="Y64" i="32"/>
  <c r="X64" i="32"/>
  <c r="AI63" i="32"/>
  <c r="AH63" i="32"/>
  <c r="AG63" i="32"/>
  <c r="AF63" i="32"/>
  <c r="AE63" i="32"/>
  <c r="AD63" i="32"/>
  <c r="AC63" i="32"/>
  <c r="AA63" i="32"/>
  <c r="Z63" i="32"/>
  <c r="Y63" i="32"/>
  <c r="X63" i="32"/>
  <c r="Q63" i="32"/>
  <c r="R64" i="32" s="1"/>
  <c r="P63" i="32"/>
  <c r="AK62" i="32"/>
  <c r="AL62" i="32" s="1"/>
  <c r="AJ62" i="32"/>
  <c r="T62" i="32" s="1"/>
  <c r="V62" i="32" s="1"/>
  <c r="AH62" i="32"/>
  <c r="AG62" i="32"/>
  <c r="AF62" i="32"/>
  <c r="AE62" i="32"/>
  <c r="AD62" i="32"/>
  <c r="AC62" i="32"/>
  <c r="AA62" i="32"/>
  <c r="Z62" i="32"/>
  <c r="Y62" i="32"/>
  <c r="X62" i="32"/>
  <c r="AK61" i="32"/>
  <c r="AL61" i="32" s="1"/>
  <c r="AJ61" i="32"/>
  <c r="T61" i="32" s="1"/>
  <c r="V61" i="32" s="1"/>
  <c r="AK60" i="32"/>
  <c r="AL60" i="32" s="1"/>
  <c r="AJ60" i="32"/>
  <c r="T60" i="32" s="1"/>
  <c r="V60" i="32" s="1"/>
  <c r="AH60" i="32"/>
  <c r="AG60" i="32"/>
  <c r="AF60" i="32"/>
  <c r="AE60" i="32"/>
  <c r="AD60" i="32"/>
  <c r="AC60" i="32"/>
  <c r="AA60" i="32"/>
  <c r="Z60" i="32"/>
  <c r="Y60" i="32"/>
  <c r="X60" i="32"/>
  <c r="AI59" i="32"/>
  <c r="AH59" i="32"/>
  <c r="AG59" i="32"/>
  <c r="AF59" i="32"/>
  <c r="AE59" i="32"/>
  <c r="AD59" i="32"/>
  <c r="AC59" i="32"/>
  <c r="AA59" i="32"/>
  <c r="Z59" i="32"/>
  <c r="Y59" i="32"/>
  <c r="X59" i="32"/>
  <c r="Q59" i="32"/>
  <c r="R61" i="32" s="1"/>
  <c r="P59" i="32"/>
  <c r="A59" i="32"/>
  <c r="A63" i="32" s="1"/>
  <c r="A65" i="32" s="1"/>
  <c r="A69" i="32" s="1"/>
  <c r="A72" i="32" s="1"/>
  <c r="A78" i="32" s="1"/>
  <c r="A80" i="32" s="1"/>
  <c r="A83" i="32" s="1"/>
  <c r="A86" i="32" s="1"/>
  <c r="A89" i="32" s="1"/>
  <c r="A91" i="32" s="1"/>
  <c r="A93" i="32" s="1"/>
  <c r="A107" i="32" s="1"/>
  <c r="A122" i="32" s="1"/>
  <c r="A124" i="32" s="1"/>
  <c r="A136" i="32" s="1"/>
  <c r="A138" i="32" s="1"/>
  <c r="A141" i="32" s="1"/>
  <c r="A145" i="32" s="1"/>
  <c r="A152" i="32" s="1"/>
  <c r="A154" i="32" s="1"/>
  <c r="A156" i="32" s="1"/>
  <c r="A159" i="32" s="1"/>
  <c r="A162" i="32" s="1"/>
  <c r="A166" i="32" s="1"/>
  <c r="A168" i="32" s="1"/>
  <c r="A178" i="32" s="1"/>
  <c r="A190" i="32" s="1"/>
  <c r="AK58" i="32"/>
  <c r="AL58" i="32" s="1"/>
  <c r="AJ58" i="32"/>
  <c r="T58" i="32" s="1"/>
  <c r="V58" i="32" s="1"/>
  <c r="AH58" i="32"/>
  <c r="AG58" i="32"/>
  <c r="AF58" i="32"/>
  <c r="AE58" i="32"/>
  <c r="AD58" i="32"/>
  <c r="AC58" i="32"/>
  <c r="AA58" i="32"/>
  <c r="Z58" i="32"/>
  <c r="Y58" i="32"/>
  <c r="X58" i="32"/>
  <c r="AI57" i="32"/>
  <c r="AH57" i="32"/>
  <c r="AG57" i="32"/>
  <c r="AG56" i="32" s="1"/>
  <c r="AG55" i="32" s="1"/>
  <c r="AF57" i="32"/>
  <c r="AF56" i="32" s="1"/>
  <c r="AF55" i="32" s="1"/>
  <c r="AE57" i="32"/>
  <c r="AD57" i="32"/>
  <c r="AC57" i="32"/>
  <c r="AC56" i="32" s="1"/>
  <c r="AC55" i="32" s="1"/>
  <c r="AA57" i="32"/>
  <c r="AA56" i="32" s="1"/>
  <c r="AA55" i="32" s="1"/>
  <c r="Z57" i="32"/>
  <c r="Z56" i="32" s="1"/>
  <c r="Z55" i="32" s="1"/>
  <c r="Y57" i="32"/>
  <c r="Y56" i="32" s="1"/>
  <c r="Y55" i="32" s="1"/>
  <c r="X57" i="32"/>
  <c r="X56" i="32" s="1"/>
  <c r="X55" i="32" s="1"/>
  <c r="Q57" i="32"/>
  <c r="AE56" i="32"/>
  <c r="AE55" i="32" s="1"/>
  <c r="AD56" i="32"/>
  <c r="AD55" i="32" s="1"/>
  <c r="AB56" i="32"/>
  <c r="AB55" i="32" s="1"/>
  <c r="AB35" i="32" s="1"/>
  <c r="W56" i="32"/>
  <c r="W55" i="32" s="1"/>
  <c r="W35" i="32" s="1"/>
  <c r="S56" i="32"/>
  <c r="S55" i="32" s="1"/>
  <c r="O56" i="32"/>
  <c r="AK53" i="32"/>
  <c r="AL53" i="32" s="1"/>
  <c r="AJ53" i="32"/>
  <c r="T53" i="32" s="1"/>
  <c r="V53" i="32" s="1"/>
  <c r="AI52" i="32"/>
  <c r="Q52" i="32"/>
  <c r="AK51" i="32"/>
  <c r="AL51" i="32" s="1"/>
  <c r="AJ51" i="32"/>
  <c r="T51" i="32" s="1"/>
  <c r="V51" i="32" s="1"/>
  <c r="AK50" i="32"/>
  <c r="AL50" i="32" s="1"/>
  <c r="AJ50" i="32"/>
  <c r="T50" i="32" s="1"/>
  <c r="V50" i="32" s="1"/>
  <c r="AI49" i="32"/>
  <c r="Q49" i="32"/>
  <c r="AK49" i="32" s="1"/>
  <c r="AL49" i="32" s="1"/>
  <c r="AJ48" i="32"/>
  <c r="T48" i="32" s="1"/>
  <c r="V48" i="32" s="1"/>
  <c r="AJ47" i="32"/>
  <c r="T47" i="32" s="1"/>
  <c r="V47" i="32" s="1"/>
  <c r="AK46" i="32"/>
  <c r="AL46" i="32" s="1"/>
  <c r="AJ46" i="32"/>
  <c r="T46" i="32" s="1"/>
  <c r="V46" i="32" s="1"/>
  <c r="AJ45" i="32"/>
  <c r="T45" i="32" s="1"/>
  <c r="V45" i="32" s="1"/>
  <c r="AJ44" i="32"/>
  <c r="T44" i="32" s="1"/>
  <c r="V44" i="32" s="1"/>
  <c r="AJ43" i="32"/>
  <c r="T43" i="32" s="1"/>
  <c r="V43" i="32" s="1"/>
  <c r="AK42" i="32"/>
  <c r="AL42" i="32" s="1"/>
  <c r="AJ42" i="32"/>
  <c r="T42" i="32" s="1"/>
  <c r="V42" i="32" s="1"/>
  <c r="AJ41" i="32"/>
  <c r="T41" i="32" s="1"/>
  <c r="V41" i="32" s="1"/>
  <c r="AJ40" i="32"/>
  <c r="T40" i="32" s="1"/>
  <c r="V40" i="32" s="1"/>
  <c r="Q39" i="32"/>
  <c r="AH37" i="32"/>
  <c r="AG37" i="32"/>
  <c r="AG35" i="32" s="1"/>
  <c r="AF37" i="32"/>
  <c r="AF35" i="32" s="1"/>
  <c r="AE37" i="32"/>
  <c r="AD37" i="32"/>
  <c r="AC37" i="32"/>
  <c r="AA37" i="32"/>
  <c r="AA35" i="32" s="1"/>
  <c r="Z37" i="32"/>
  <c r="Z35" i="32" s="1"/>
  <c r="Y37" i="32"/>
  <c r="Y35" i="32" s="1"/>
  <c r="X37" i="32"/>
  <c r="X35" i="32" s="1"/>
  <c r="P37" i="32"/>
  <c r="AE35" i="32"/>
  <c r="AD35" i="32"/>
  <c r="AC35" i="32"/>
  <c r="S35" i="32"/>
  <c r="AK33" i="32"/>
  <c r="AB33" i="32"/>
  <c r="AB12" i="32" s="1"/>
  <c r="AA33" i="32"/>
  <c r="Z33" i="32"/>
  <c r="Y33" i="32"/>
  <c r="T33" i="32"/>
  <c r="V33" i="32" s="1"/>
  <c r="AK32" i="32"/>
  <c r="AB32" i="32"/>
  <c r="AA32" i="32"/>
  <c r="Z32" i="32"/>
  <c r="Y32" i="32"/>
  <c r="T32" i="32"/>
  <c r="V32" i="32" s="1"/>
  <c r="AB31" i="32"/>
  <c r="AA31" i="32"/>
  <c r="Z31" i="32"/>
  <c r="Y31" i="32"/>
  <c r="T31" i="32"/>
  <c r="V31" i="32" s="1"/>
  <c r="AK29" i="32"/>
  <c r="AL29" i="32" s="1"/>
  <c r="AJ29" i="32"/>
  <c r="T29" i="32" s="1"/>
  <c r="V29" i="32" s="1"/>
  <c r="AB29" i="32"/>
  <c r="AA29" i="32"/>
  <c r="Z29" i="32"/>
  <c r="Y29" i="32"/>
  <c r="AK28" i="32"/>
  <c r="AB28" i="32"/>
  <c r="AA28" i="32"/>
  <c r="Z28" i="32"/>
  <c r="Y28" i="32"/>
  <c r="T28" i="32"/>
  <c r="V28" i="32" s="1"/>
  <c r="AK27" i="32"/>
  <c r="AL27" i="32" s="1"/>
  <c r="AJ27" i="32"/>
  <c r="T27" i="32" s="1"/>
  <c r="V27" i="32" s="1"/>
  <c r="AB27" i="32"/>
  <c r="AA27" i="32"/>
  <c r="Y27" i="32"/>
  <c r="AH26" i="32"/>
  <c r="AH12" i="32" s="1"/>
  <c r="AG26" i="32"/>
  <c r="AF26" i="32"/>
  <c r="AF12" i="32" s="1"/>
  <c r="AE26" i="32"/>
  <c r="AE12" i="32" s="1"/>
  <c r="AD26" i="32"/>
  <c r="AC26" i="32"/>
  <c r="AC12" i="32" s="1"/>
  <c r="AA26" i="32"/>
  <c r="AA12" i="32" s="1"/>
  <c r="Z26" i="32"/>
  <c r="Z12" i="32" s="1"/>
  <c r="Y26" i="32"/>
  <c r="Y12" i="32" s="1"/>
  <c r="X26" i="32"/>
  <c r="X12" i="32" s="1"/>
  <c r="R26" i="32"/>
  <c r="P26" i="32"/>
  <c r="AJ25" i="32"/>
  <c r="T25" i="32" s="1"/>
  <c r="V25" i="32" s="1"/>
  <c r="AK25" i="32"/>
  <c r="AL25" i="32" s="1"/>
  <c r="AC25" i="32"/>
  <c r="AI24" i="32"/>
  <c r="AH24" i="32"/>
  <c r="AG24" i="32"/>
  <c r="AF24" i="32"/>
  <c r="AE24" i="32"/>
  <c r="AD24" i="32"/>
  <c r="AC24" i="32"/>
  <c r="AA24" i="32"/>
  <c r="Z24" i="32"/>
  <c r="Y24" i="32"/>
  <c r="X24" i="32"/>
  <c r="Q24" i="32"/>
  <c r="R24" i="32" s="1"/>
  <c r="P24" i="32"/>
  <c r="AK23" i="32"/>
  <c r="AL23" i="32" s="1"/>
  <c r="AJ23" i="32"/>
  <c r="T23" i="32" s="1"/>
  <c r="V23" i="32" s="1"/>
  <c r="AJ22" i="32"/>
  <c r="T22" i="32" s="1"/>
  <c r="V22" i="32" s="1"/>
  <c r="AJ21" i="32"/>
  <c r="T21" i="32" s="1"/>
  <c r="V21" i="32" s="1"/>
  <c r="AK20" i="32"/>
  <c r="AL20" i="32" s="1"/>
  <c r="AJ20" i="32"/>
  <c r="T20" i="32" s="1"/>
  <c r="V20" i="32" s="1"/>
  <c r="AK19" i="32"/>
  <c r="AL19" i="32" s="1"/>
  <c r="AJ19" i="32"/>
  <c r="T19" i="32" s="1"/>
  <c r="V19" i="32" s="1"/>
  <c r="AJ18" i="32"/>
  <c r="T18" i="32" s="1"/>
  <c r="V18" i="32" s="1"/>
  <c r="AJ17" i="32"/>
  <c r="T17" i="32" s="1"/>
  <c r="V17" i="32" s="1"/>
  <c r="AK16" i="32"/>
  <c r="AL16" i="32" s="1"/>
  <c r="AJ16" i="32"/>
  <c r="T16" i="32" s="1"/>
  <c r="V16" i="32" s="1"/>
  <c r="AK15" i="32"/>
  <c r="AL15" i="32" s="1"/>
  <c r="AJ15" i="32"/>
  <c r="T15" i="32" s="1"/>
  <c r="V15" i="32" s="1"/>
  <c r="AH14" i="32"/>
  <c r="AG14" i="32"/>
  <c r="AG10" i="32" s="1"/>
  <c r="AF14" i="32"/>
  <c r="AF10" i="32" s="1"/>
  <c r="AE14" i="32"/>
  <c r="AE10" i="32" s="1"/>
  <c r="AD14" i="32"/>
  <c r="AD10" i="32" s="1"/>
  <c r="AC14" i="32"/>
  <c r="AC10" i="32" s="1"/>
  <c r="AA14" i="32"/>
  <c r="AA10" i="32" s="1"/>
  <c r="Z14" i="32"/>
  <c r="Z10" i="32" s="1"/>
  <c r="Y14" i="32"/>
  <c r="Y10" i="32" s="1"/>
  <c r="X14" i="32"/>
  <c r="Q14" i="32"/>
  <c r="AS15" i="32" s="1"/>
  <c r="P14" i="32"/>
  <c r="AG12" i="32"/>
  <c r="AD12" i="32"/>
  <c r="W12" i="32"/>
  <c r="P12" i="32"/>
  <c r="O12" i="32"/>
  <c r="AB10" i="32"/>
  <c r="X10" i="32"/>
  <c r="W10" i="32"/>
  <c r="S10" i="32"/>
  <c r="O10" i="32"/>
  <c r="U430" i="32" l="1"/>
  <c r="U240" i="32"/>
  <c r="AJ152" i="32"/>
  <c r="T152" i="32" s="1"/>
  <c r="V152" i="32" s="1"/>
  <c r="O55" i="32"/>
  <c r="O35" i="32" s="1"/>
  <c r="AI158" i="32"/>
  <c r="U209" i="32"/>
  <c r="U291" i="32"/>
  <c r="U401" i="32"/>
  <c r="AJ527" i="32"/>
  <c r="T527" i="32" s="1"/>
  <c r="V527" i="32" s="1"/>
  <c r="U193" i="34"/>
  <c r="AJ138" i="32"/>
  <c r="T138" i="32" s="1"/>
  <c r="V138" i="32" s="1"/>
  <c r="R143" i="32"/>
  <c r="AJ72" i="32"/>
  <c r="T72" i="32" s="1"/>
  <c r="V72" i="32" s="1"/>
  <c r="U117" i="32"/>
  <c r="R327" i="32"/>
  <c r="U327" i="32" s="1"/>
  <c r="AJ641" i="32"/>
  <c r="T641" i="32" s="1"/>
  <c r="V641" i="32" s="1"/>
  <c r="AJ384" i="32"/>
  <c r="T384" i="32" s="1"/>
  <c r="V384" i="32" s="1"/>
  <c r="R462" i="32"/>
  <c r="AJ159" i="32"/>
  <c r="T159" i="32" s="1"/>
  <c r="V159" i="32" s="1"/>
  <c r="U300" i="32"/>
  <c r="U359" i="32"/>
  <c r="U512" i="32"/>
  <c r="R642" i="32"/>
  <c r="P10" i="32"/>
  <c r="AJ49" i="32"/>
  <c r="T49" i="32" s="1"/>
  <c r="V49" i="32" s="1"/>
  <c r="AK57" i="32"/>
  <c r="AL57" i="32" s="1"/>
  <c r="AJ83" i="32"/>
  <c r="T83" i="32" s="1"/>
  <c r="V83" i="32" s="1"/>
  <c r="U149" i="32"/>
  <c r="R171" i="32"/>
  <c r="U171" i="32" s="1"/>
  <c r="R203" i="32"/>
  <c r="U203" i="32" s="1"/>
  <c r="AJ361" i="32"/>
  <c r="T361" i="32" s="1"/>
  <c r="V361" i="32" s="1"/>
  <c r="R399" i="32"/>
  <c r="U545" i="32"/>
  <c r="R575" i="32"/>
  <c r="U575" i="32" s="1"/>
  <c r="AJ591" i="32"/>
  <c r="T591" i="32" s="1"/>
  <c r="V591" i="32" s="1"/>
  <c r="U637" i="34"/>
  <c r="U339" i="34"/>
  <c r="AK180" i="34"/>
  <c r="AL180" i="34" s="1"/>
  <c r="U168" i="34"/>
  <c r="AI58" i="34"/>
  <c r="AK58" i="34" s="1"/>
  <c r="U67" i="32"/>
  <c r="U255" i="32"/>
  <c r="V167" i="32"/>
  <c r="U167" i="32"/>
  <c r="AK86" i="32"/>
  <c r="AL86" i="32" s="1"/>
  <c r="P56" i="32"/>
  <c r="AJ93" i="32"/>
  <c r="T93" i="32" s="1"/>
  <c r="V93" i="32" s="1"/>
  <c r="AK141" i="32"/>
  <c r="AL141" i="32" s="1"/>
  <c r="R192" i="32"/>
  <c r="AJ198" i="32"/>
  <c r="T198" i="32" s="1"/>
  <c r="V198" i="32" s="1"/>
  <c r="R281" i="32"/>
  <c r="U281" i="32" s="1"/>
  <c r="AJ284" i="32"/>
  <c r="T284" i="32" s="1"/>
  <c r="V284" i="32" s="1"/>
  <c r="R297" i="32"/>
  <c r="U297" i="32" s="1"/>
  <c r="R321" i="32"/>
  <c r="R323" i="32"/>
  <c r="R340" i="32"/>
  <c r="R371" i="32"/>
  <c r="R403" i="32"/>
  <c r="R421" i="32"/>
  <c r="U421" i="32" s="1"/>
  <c r="R439" i="32"/>
  <c r="R488" i="32"/>
  <c r="U488" i="32" s="1"/>
  <c r="R518" i="32"/>
  <c r="R541" i="32"/>
  <c r="R557" i="32"/>
  <c r="U557" i="32" s="1"/>
  <c r="R558" i="32"/>
  <c r="U653" i="32"/>
  <c r="R649" i="32"/>
  <c r="U649" i="32" s="1"/>
  <c r="AK59" i="34"/>
  <c r="AL59" i="34" s="1"/>
  <c r="AJ59" i="34"/>
  <c r="T59" i="34" s="1"/>
  <c r="V59" i="34" s="1"/>
  <c r="R62" i="32"/>
  <c r="R146" i="32"/>
  <c r="AJ154" i="32"/>
  <c r="T154" i="32" s="1"/>
  <c r="V154" i="32" s="1"/>
  <c r="R160" i="32"/>
  <c r="R204" i="32"/>
  <c r="U204" i="32" s="1"/>
  <c r="R216" i="32"/>
  <c r="R280" i="32"/>
  <c r="R288" i="32"/>
  <c r="R292" i="32"/>
  <c r="R296" i="32"/>
  <c r="R302" i="32"/>
  <c r="R402" i="32"/>
  <c r="AJ419" i="32"/>
  <c r="T419" i="32" s="1"/>
  <c r="V419" i="32" s="1"/>
  <c r="R537" i="32"/>
  <c r="AJ539" i="32"/>
  <c r="T539" i="32" s="1"/>
  <c r="V539" i="32" s="1"/>
  <c r="R556" i="32"/>
  <c r="U556" i="32" s="1"/>
  <c r="R577" i="32"/>
  <c r="R616" i="32"/>
  <c r="R654" i="32"/>
  <c r="U666" i="32"/>
  <c r="U216" i="34"/>
  <c r="Q35" i="34"/>
  <c r="R54" i="34" s="1"/>
  <c r="U54" i="34" s="1"/>
  <c r="R217" i="32"/>
  <c r="U217" i="32" s="1"/>
  <c r="P245" i="32"/>
  <c r="R295" i="32"/>
  <c r="R301" i="32"/>
  <c r="R536" i="32"/>
  <c r="R547" i="32"/>
  <c r="R555" i="32"/>
  <c r="U555" i="32" s="1"/>
  <c r="U81" i="32"/>
  <c r="AK159" i="32"/>
  <c r="AL159" i="32" s="1"/>
  <c r="Q158" i="32"/>
  <c r="R215" i="32"/>
  <c r="U215" i="32" s="1"/>
  <c r="R278" i="32"/>
  <c r="R398" i="32"/>
  <c r="R404" i="32"/>
  <c r="AJ487" i="32"/>
  <c r="T487" i="32" s="1"/>
  <c r="V487" i="32" s="1"/>
  <c r="R535" i="32"/>
  <c r="U535" i="32" s="1"/>
  <c r="R544" i="32"/>
  <c r="AJ550" i="32"/>
  <c r="T550" i="32" s="1"/>
  <c r="V550" i="32" s="1"/>
  <c r="R615" i="32"/>
  <c r="U679" i="34"/>
  <c r="U180" i="34"/>
  <c r="AJ248" i="34"/>
  <c r="T248" i="34" s="1"/>
  <c r="AK248" i="34"/>
  <c r="AL248" i="34" s="1"/>
  <c r="U12" i="34"/>
  <c r="T12" i="34"/>
  <c r="V12" i="34" s="1"/>
  <c r="R59" i="34"/>
  <c r="R124" i="34"/>
  <c r="U124" i="34" s="1"/>
  <c r="AK12" i="34"/>
  <c r="AL12" i="34" s="1"/>
  <c r="U10" i="34"/>
  <c r="T10" i="34"/>
  <c r="V10" i="34" s="1"/>
  <c r="AK10" i="34"/>
  <c r="AL10" i="34" s="1"/>
  <c r="AK37" i="34"/>
  <c r="AL37" i="34" s="1"/>
  <c r="AL38" i="34"/>
  <c r="V192" i="34"/>
  <c r="U192" i="34"/>
  <c r="AJ122" i="32"/>
  <c r="T122" i="32" s="1"/>
  <c r="V122" i="32" s="1"/>
  <c r="AI121" i="32"/>
  <c r="U146" i="32"/>
  <c r="R148" i="32"/>
  <c r="U148" i="32" s="1"/>
  <c r="R377" i="32"/>
  <c r="U377" i="32" s="1"/>
  <c r="R378" i="32"/>
  <c r="U378" i="32" s="1"/>
  <c r="R417" i="32"/>
  <c r="U417" i="32" s="1"/>
  <c r="R410" i="32"/>
  <c r="U410" i="32" s="1"/>
  <c r="U71" i="32"/>
  <c r="R60" i="32"/>
  <c r="P121" i="32"/>
  <c r="R150" i="32"/>
  <c r="AK152" i="32"/>
  <c r="AL152" i="32" s="1"/>
  <c r="R153" i="32"/>
  <c r="U153" i="32" s="1"/>
  <c r="U160" i="32"/>
  <c r="AH165" i="32"/>
  <c r="U173" i="32"/>
  <c r="Q177" i="32"/>
  <c r="R190" i="32" s="1"/>
  <c r="AI177" i="32"/>
  <c r="R232" i="32"/>
  <c r="U232" i="32" s="1"/>
  <c r="R258" i="32"/>
  <c r="U258" i="32" s="1"/>
  <c r="R251" i="32"/>
  <c r="R259" i="32"/>
  <c r="R252" i="32"/>
  <c r="R260" i="32"/>
  <c r="R253" i="32"/>
  <c r="R249" i="32"/>
  <c r="U249" i="32" s="1"/>
  <c r="R247" i="32"/>
  <c r="R254" i="32"/>
  <c r="U254" i="32" s="1"/>
  <c r="R334" i="32"/>
  <c r="U334" i="32" s="1"/>
  <c r="AK329" i="32"/>
  <c r="AL329" i="32" s="1"/>
  <c r="AJ329" i="32"/>
  <c r="T329" i="32" s="1"/>
  <c r="V329" i="32" s="1"/>
  <c r="R389" i="32"/>
  <c r="U389" i="32" s="1"/>
  <c r="R392" i="32"/>
  <c r="R391" i="32"/>
  <c r="U391" i="32" s="1"/>
  <c r="R390" i="32"/>
  <c r="R386" i="32"/>
  <c r="U386" i="32" s="1"/>
  <c r="R394" i="32"/>
  <c r="U394" i="32" s="1"/>
  <c r="R385" i="32"/>
  <c r="U385" i="32" s="1"/>
  <c r="U64" i="32"/>
  <c r="Q10" i="32"/>
  <c r="AJ63" i="32"/>
  <c r="T63" i="32" s="1"/>
  <c r="V63" i="32" s="1"/>
  <c r="AJ80" i="32"/>
  <c r="T80" i="32" s="1"/>
  <c r="V80" i="32" s="1"/>
  <c r="U131" i="32"/>
  <c r="AK136" i="32"/>
  <c r="AL136" i="32" s="1"/>
  <c r="R142" i="32"/>
  <c r="U142" i="32" s="1"/>
  <c r="R161" i="32"/>
  <c r="U161" i="32" s="1"/>
  <c r="P165" i="32"/>
  <c r="AJ166" i="32"/>
  <c r="T166" i="32" s="1"/>
  <c r="V166" i="32" s="1"/>
  <c r="R188" i="32"/>
  <c r="U188" i="32" s="1"/>
  <c r="R187" i="32"/>
  <c r="R181" i="32"/>
  <c r="U181" i="32" s="1"/>
  <c r="R180" i="32"/>
  <c r="R179" i="32"/>
  <c r="R184" i="32"/>
  <c r="U184" i="32" s="1"/>
  <c r="R185" i="32"/>
  <c r="U185" i="32" s="1"/>
  <c r="R186" i="32"/>
  <c r="U186" i="32" s="1"/>
  <c r="U194" i="32"/>
  <c r="U192" i="32"/>
  <c r="R223" i="32"/>
  <c r="R226" i="32"/>
  <c r="U226" i="32" s="1"/>
  <c r="R225" i="32"/>
  <c r="U225" i="32" s="1"/>
  <c r="R224" i="32"/>
  <c r="U224" i="32" s="1"/>
  <c r="R220" i="32"/>
  <c r="U220" i="32" s="1"/>
  <c r="R257" i="32"/>
  <c r="U371" i="32"/>
  <c r="R393" i="32"/>
  <c r="U393" i="32" s="1"/>
  <c r="AJ24" i="32"/>
  <c r="T24" i="32" s="1"/>
  <c r="V24" i="32" s="1"/>
  <c r="Q56" i="32"/>
  <c r="AJ65" i="32"/>
  <c r="T65" i="32" s="1"/>
  <c r="V65" i="32" s="1"/>
  <c r="AJ69" i="32"/>
  <c r="T69" i="32" s="1"/>
  <c r="V69" i="32" s="1"/>
  <c r="U77" i="32"/>
  <c r="AJ78" i="32"/>
  <c r="T78" i="32" s="1"/>
  <c r="V78" i="32" s="1"/>
  <c r="AJ86" i="32"/>
  <c r="T86" i="32" s="1"/>
  <c r="V86" i="32" s="1"/>
  <c r="AJ107" i="32"/>
  <c r="T107" i="32" s="1"/>
  <c r="V107" i="32" s="1"/>
  <c r="AK145" i="32"/>
  <c r="AL145" i="32" s="1"/>
  <c r="R147" i="32"/>
  <c r="U157" i="32"/>
  <c r="AJ156" i="32"/>
  <c r="T156" i="32" s="1"/>
  <c r="V156" i="32" s="1"/>
  <c r="R211" i="32"/>
  <c r="U211" i="32" s="1"/>
  <c r="R268" i="32"/>
  <c r="U268" i="32" s="1"/>
  <c r="R267" i="32"/>
  <c r="R266" i="32"/>
  <c r="U266" i="32" s="1"/>
  <c r="R264" i="32"/>
  <c r="U264" i="32" s="1"/>
  <c r="U302" i="32"/>
  <c r="R351" i="32"/>
  <c r="R352" i="32"/>
  <c r="U352" i="32" s="1"/>
  <c r="R485" i="32"/>
  <c r="U485" i="32" s="1"/>
  <c r="R483" i="32"/>
  <c r="U483" i="32" s="1"/>
  <c r="AK480" i="32"/>
  <c r="AL480" i="32" s="1"/>
  <c r="R526" i="32"/>
  <c r="U526" i="32" s="1"/>
  <c r="R522" i="32"/>
  <c r="U522" i="32" s="1"/>
  <c r="R521" i="32"/>
  <c r="U521" i="32" s="1"/>
  <c r="AK520" i="32"/>
  <c r="AL520" i="32" s="1"/>
  <c r="AK454" i="32"/>
  <c r="AJ454" i="32"/>
  <c r="T454" i="32" s="1"/>
  <c r="V454" i="32" s="1"/>
  <c r="AK190" i="32"/>
  <c r="AL190" i="32" s="1"/>
  <c r="R193" i="32"/>
  <c r="U202" i="32"/>
  <c r="R199" i="32"/>
  <c r="U199" i="32" s="1"/>
  <c r="R201" i="32"/>
  <c r="AJ219" i="32"/>
  <c r="T219" i="32" s="1"/>
  <c r="V219" i="32" s="1"/>
  <c r="AJ227" i="32"/>
  <c r="T227" i="32" s="1"/>
  <c r="V227" i="32" s="1"/>
  <c r="AK284" i="32"/>
  <c r="AL284" i="32" s="1"/>
  <c r="R285" i="32"/>
  <c r="R286" i="32"/>
  <c r="R293" i="32"/>
  <c r="AJ294" i="32"/>
  <c r="T294" i="32" s="1"/>
  <c r="V294" i="32" s="1"/>
  <c r="R303" i="32"/>
  <c r="U303" i="32" s="1"/>
  <c r="U313" i="32"/>
  <c r="AK306" i="32"/>
  <c r="AL306" i="32" s="1"/>
  <c r="AJ322" i="32"/>
  <c r="T322" i="32" s="1"/>
  <c r="V322" i="32" s="1"/>
  <c r="R324" i="32"/>
  <c r="U324" i="32" s="1"/>
  <c r="AJ336" i="32"/>
  <c r="T336" i="32" s="1"/>
  <c r="V336" i="32" s="1"/>
  <c r="R364" i="32"/>
  <c r="AJ397" i="32"/>
  <c r="T397" i="32" s="1"/>
  <c r="V397" i="32" s="1"/>
  <c r="R458" i="32"/>
  <c r="U458" i="32" s="1"/>
  <c r="R461" i="32"/>
  <c r="R459" i="32"/>
  <c r="U459" i="32" s="1"/>
  <c r="R477" i="32"/>
  <c r="R479" i="32"/>
  <c r="U479" i="32" s="1"/>
  <c r="R478" i="32"/>
  <c r="U478" i="32" s="1"/>
  <c r="R496" i="32"/>
  <c r="U496" i="32" s="1"/>
  <c r="R500" i="32"/>
  <c r="U500" i="32" s="1"/>
  <c r="R499" i="32"/>
  <c r="U499" i="32" s="1"/>
  <c r="R498" i="32"/>
  <c r="U498" i="32" s="1"/>
  <c r="R497" i="32"/>
  <c r="U497" i="32" s="1"/>
  <c r="R493" i="32"/>
  <c r="U493" i="32" s="1"/>
  <c r="U536" i="32"/>
  <c r="U577" i="32"/>
  <c r="AK294" i="32"/>
  <c r="AL294" i="32" s="1"/>
  <c r="R299" i="32"/>
  <c r="R304" i="32"/>
  <c r="R305" i="32"/>
  <c r="U305" i="32" s="1"/>
  <c r="U403" i="32"/>
  <c r="R437" i="32"/>
  <c r="U437" i="32" s="1"/>
  <c r="R442" i="32"/>
  <c r="U442" i="32" s="1"/>
  <c r="R443" i="32"/>
  <c r="U443" i="32" s="1"/>
  <c r="R435" i="32"/>
  <c r="U435" i="32" s="1"/>
  <c r="R434" i="32"/>
  <c r="R441" i="32"/>
  <c r="R448" i="32"/>
  <c r="U448" i="32" s="1"/>
  <c r="R447" i="32"/>
  <c r="U447" i="32" s="1"/>
  <c r="R446" i="32"/>
  <c r="U446" i="32" s="1"/>
  <c r="AK444" i="32"/>
  <c r="AL444" i="32" s="1"/>
  <c r="R563" i="32"/>
  <c r="U563" i="32" s="1"/>
  <c r="R565" i="32"/>
  <c r="R567" i="32"/>
  <c r="R566" i="32"/>
  <c r="U566" i="32" s="1"/>
  <c r="R560" i="32"/>
  <c r="U560" i="32" s="1"/>
  <c r="AK168" i="32"/>
  <c r="AL168" i="32" s="1"/>
  <c r="R170" i="32"/>
  <c r="U170" i="32" s="1"/>
  <c r="R191" i="32"/>
  <c r="U191" i="32" s="1"/>
  <c r="R205" i="32"/>
  <c r="U205" i="32" s="1"/>
  <c r="R214" i="32"/>
  <c r="AJ246" i="32"/>
  <c r="T246" i="32" s="1"/>
  <c r="V246" i="32" s="1"/>
  <c r="U282" i="32"/>
  <c r="R273" i="32"/>
  <c r="R289" i="32"/>
  <c r="U289" i="32" s="1"/>
  <c r="R290" i="32"/>
  <c r="R328" i="32"/>
  <c r="U328" i="32" s="1"/>
  <c r="AJ347" i="32"/>
  <c r="T347" i="32" s="1"/>
  <c r="V347" i="32" s="1"/>
  <c r="AJ353" i="32"/>
  <c r="T353" i="32" s="1"/>
  <c r="V353" i="32" s="1"/>
  <c r="U366" i="32"/>
  <c r="U399" i="32"/>
  <c r="AJ405" i="32"/>
  <c r="T405" i="32" s="1"/>
  <c r="V405" i="32" s="1"/>
  <c r="AK419" i="32"/>
  <c r="AL419" i="32" s="1"/>
  <c r="R426" i="32"/>
  <c r="R428" i="32"/>
  <c r="R427" i="32"/>
  <c r="U427" i="32" s="1"/>
  <c r="R429" i="32"/>
  <c r="U429" i="32" s="1"/>
  <c r="R440" i="32"/>
  <c r="U440" i="32" s="1"/>
  <c r="R467" i="32"/>
  <c r="U467" i="32" s="1"/>
  <c r="R466" i="32"/>
  <c r="R465" i="32"/>
  <c r="U465" i="32" s="1"/>
  <c r="U518" i="32"/>
  <c r="R523" i="32"/>
  <c r="U523" i="32" s="1"/>
  <c r="R646" i="32"/>
  <c r="R647" i="32"/>
  <c r="U647" i="32" s="1"/>
  <c r="R672" i="32"/>
  <c r="U672" i="32" s="1"/>
  <c r="AI501" i="32"/>
  <c r="AK501" i="32" s="1"/>
  <c r="AJ433" i="32"/>
  <c r="T433" i="32" s="1"/>
  <c r="V433" i="32" s="1"/>
  <c r="AJ463" i="32"/>
  <c r="T463" i="32" s="1"/>
  <c r="V463" i="32" s="1"/>
  <c r="R513" i="32"/>
  <c r="R514" i="32"/>
  <c r="R515" i="32"/>
  <c r="U515" i="32" s="1"/>
  <c r="R516" i="32"/>
  <c r="U516" i="32" s="1"/>
  <c r="U531" i="32"/>
  <c r="R528" i="32"/>
  <c r="U528" i="32" s="1"/>
  <c r="R540" i="32"/>
  <c r="R546" i="32"/>
  <c r="U546" i="32" s="1"/>
  <c r="R553" i="32"/>
  <c r="R570" i="32"/>
  <c r="U570" i="32" s="1"/>
  <c r="R576" i="32"/>
  <c r="U576" i="32" s="1"/>
  <c r="U603" i="32"/>
  <c r="R644" i="32"/>
  <c r="R648" i="32"/>
  <c r="U648" i="32" s="1"/>
  <c r="R650" i="32"/>
  <c r="R657" i="32"/>
  <c r="U657" i="32" s="1"/>
  <c r="R664" i="32"/>
  <c r="R665" i="32"/>
  <c r="U665" i="32" s="1"/>
  <c r="R671" i="32"/>
  <c r="U671" i="32" s="1"/>
  <c r="U683" i="32"/>
  <c r="AK508" i="32"/>
  <c r="AL508" i="32" s="1"/>
  <c r="R517" i="32"/>
  <c r="U517" i="32" s="1"/>
  <c r="U586" i="32"/>
  <c r="U614" i="32"/>
  <c r="R613" i="32"/>
  <c r="U613" i="32" s="1"/>
  <c r="U616" i="32"/>
  <c r="U628" i="32"/>
  <c r="R655" i="32"/>
  <c r="U655" i="32" s="1"/>
  <c r="AJ422" i="32"/>
  <c r="T422" i="32" s="1"/>
  <c r="V422" i="32" s="1"/>
  <c r="AJ444" i="32"/>
  <c r="T444" i="32" s="1"/>
  <c r="V444" i="32" s="1"/>
  <c r="AJ473" i="32"/>
  <c r="T473" i="32" s="1"/>
  <c r="V473" i="32" s="1"/>
  <c r="R491" i="32"/>
  <c r="U491" i="32" s="1"/>
  <c r="AJ492" i="32"/>
  <c r="T492" i="32" s="1"/>
  <c r="V492" i="32" s="1"/>
  <c r="R503" i="32"/>
  <c r="U503" i="32" s="1"/>
  <c r="R504" i="32"/>
  <c r="R509" i="32"/>
  <c r="U509" i="32" s="1"/>
  <c r="R510" i="32"/>
  <c r="U510" i="32" s="1"/>
  <c r="R529" i="32"/>
  <c r="R532" i="32"/>
  <c r="R533" i="32"/>
  <c r="U533" i="32" s="1"/>
  <c r="R534" i="32"/>
  <c r="U534" i="32" s="1"/>
  <c r="R542" i="32"/>
  <c r="R548" i="32"/>
  <c r="U548" i="32" s="1"/>
  <c r="R551" i="32"/>
  <c r="U551" i="32" s="1"/>
  <c r="U581" i="32"/>
  <c r="AJ582" i="32"/>
  <c r="T582" i="32" s="1"/>
  <c r="V582" i="32" s="1"/>
  <c r="AJ605" i="32"/>
  <c r="T605" i="32" s="1"/>
  <c r="V605" i="32" s="1"/>
  <c r="R612" i="32"/>
  <c r="U612" i="32" s="1"/>
  <c r="R623" i="32"/>
  <c r="AJ624" i="32"/>
  <c r="T624" i="32" s="1"/>
  <c r="V624" i="32" s="1"/>
  <c r="R652" i="32"/>
  <c r="AJ59" i="32"/>
  <c r="T59" i="32" s="1"/>
  <c r="V59" i="32" s="1"/>
  <c r="AI56" i="32"/>
  <c r="AK59" i="32"/>
  <c r="AL59" i="32" s="1"/>
  <c r="AK52" i="32"/>
  <c r="AL52" i="32" s="1"/>
  <c r="U675" i="32"/>
  <c r="AI634" i="32"/>
  <c r="AJ634" i="32" s="1"/>
  <c r="T634" i="32" s="1"/>
  <c r="V634" i="32" s="1"/>
  <c r="U638" i="32"/>
  <c r="U617" i="32"/>
  <c r="U567" i="32"/>
  <c r="V567" i="32"/>
  <c r="V566" i="32"/>
  <c r="U565" i="32"/>
  <c r="U564" i="32"/>
  <c r="V560" i="32"/>
  <c r="U547" i="32"/>
  <c r="U541" i="32"/>
  <c r="V541" i="32"/>
  <c r="V540" i="32"/>
  <c r="U540" i="32"/>
  <c r="AK539" i="32"/>
  <c r="AL539" i="32" s="1"/>
  <c r="U505" i="32"/>
  <c r="U504" i="32"/>
  <c r="AL501" i="32"/>
  <c r="U466" i="32"/>
  <c r="AK463" i="32"/>
  <c r="AL463" i="32" s="1"/>
  <c r="U462" i="32"/>
  <c r="V462" i="32"/>
  <c r="V434" i="32"/>
  <c r="U434" i="32"/>
  <c r="U420" i="32"/>
  <c r="U364" i="32"/>
  <c r="U340" i="32"/>
  <c r="U339" i="32"/>
  <c r="U260" i="32"/>
  <c r="U252" i="32"/>
  <c r="V247" i="32"/>
  <c r="U247" i="32"/>
  <c r="AJ238" i="32"/>
  <c r="T238" i="32" s="1"/>
  <c r="V238" i="32" s="1"/>
  <c r="U216" i="32"/>
  <c r="U218" i="32"/>
  <c r="AK122" i="32"/>
  <c r="AL122" i="32" s="1"/>
  <c r="AK65" i="32"/>
  <c r="AL65" i="32" s="1"/>
  <c r="U62" i="32"/>
  <c r="AH10" i="32"/>
  <c r="R28" i="32"/>
  <c r="U28" i="32" s="1"/>
  <c r="R30" i="32"/>
  <c r="U30" i="32" s="1"/>
  <c r="AK30" i="32"/>
  <c r="AH177" i="32"/>
  <c r="AH56" i="32"/>
  <c r="AH121" i="32"/>
  <c r="AK89" i="32"/>
  <c r="AL89" i="32" s="1"/>
  <c r="R89" i="32"/>
  <c r="U293" i="32"/>
  <c r="V293" i="32"/>
  <c r="V323" i="32"/>
  <c r="U323" i="32"/>
  <c r="R21" i="32"/>
  <c r="U21" i="32" s="1"/>
  <c r="Q12" i="32"/>
  <c r="R12" i="32" s="1"/>
  <c r="AI14" i="32"/>
  <c r="AK14" i="32" s="1"/>
  <c r="R19" i="32"/>
  <c r="U19" i="32" s="1"/>
  <c r="AK21" i="32"/>
  <c r="AL21" i="32" s="1"/>
  <c r="R23" i="32"/>
  <c r="U23" i="32" s="1"/>
  <c r="R33" i="32"/>
  <c r="U33" i="32" s="1"/>
  <c r="R58" i="32"/>
  <c r="U58" i="32" s="1"/>
  <c r="R74" i="32"/>
  <c r="U74" i="32" s="1"/>
  <c r="R78" i="32"/>
  <c r="U78" i="32" s="1"/>
  <c r="AJ91" i="32"/>
  <c r="T91" i="32" s="1"/>
  <c r="V91" i="32" s="1"/>
  <c r="R109" i="32"/>
  <c r="U109" i="32" s="1"/>
  <c r="R115" i="32"/>
  <c r="U115" i="32" s="1"/>
  <c r="U147" i="32"/>
  <c r="P177" i="32"/>
  <c r="P55" i="32" s="1"/>
  <c r="P35" i="32" s="1"/>
  <c r="U251" i="32"/>
  <c r="U267" i="32"/>
  <c r="U24" i="32"/>
  <c r="AK17" i="32"/>
  <c r="AL17" i="32" s="1"/>
  <c r="R25" i="32"/>
  <c r="U25" i="32" s="1"/>
  <c r="AK43" i="32"/>
  <c r="AL43" i="32" s="1"/>
  <c r="AK47" i="32"/>
  <c r="AL47" i="32" s="1"/>
  <c r="AJ52" i="32"/>
  <c r="T52" i="32" s="1"/>
  <c r="V52" i="32" s="1"/>
  <c r="R57" i="32"/>
  <c r="R65" i="32"/>
  <c r="U65" i="32" s="1"/>
  <c r="R79" i="32"/>
  <c r="U79" i="32" s="1"/>
  <c r="AJ89" i="32"/>
  <c r="T89" i="32" s="1"/>
  <c r="V89" i="32" s="1"/>
  <c r="R105" i="32"/>
  <c r="U105" i="32" s="1"/>
  <c r="R129" i="32"/>
  <c r="U129" i="32" s="1"/>
  <c r="U273" i="32"/>
  <c r="U285" i="32"/>
  <c r="U296" i="32"/>
  <c r="U201" i="32"/>
  <c r="V201" i="32"/>
  <c r="AJ261" i="32"/>
  <c r="T261" i="32" s="1"/>
  <c r="V261" i="32" s="1"/>
  <c r="AK261" i="32"/>
  <c r="AL261" i="32" s="1"/>
  <c r="U299" i="32"/>
  <c r="V299" i="32"/>
  <c r="R10" i="32"/>
  <c r="R15" i="32"/>
  <c r="U15" i="32" s="1"/>
  <c r="R16" i="32"/>
  <c r="U16" i="32" s="1"/>
  <c r="AK18" i="32"/>
  <c r="AL18" i="32" s="1"/>
  <c r="R20" i="32"/>
  <c r="U20" i="32" s="1"/>
  <c r="AK22" i="32"/>
  <c r="AL22" i="32" s="1"/>
  <c r="AK24" i="32"/>
  <c r="AL24" i="32" s="1"/>
  <c r="AJ26" i="32"/>
  <c r="R32" i="32"/>
  <c r="U32" i="32" s="1"/>
  <c r="AI39" i="32"/>
  <c r="AK39" i="32" s="1"/>
  <c r="V64" i="32"/>
  <c r="R66" i="32"/>
  <c r="U66" i="32" s="1"/>
  <c r="R70" i="32"/>
  <c r="U70" i="32" s="1"/>
  <c r="AK78" i="32"/>
  <c r="AL78" i="32" s="1"/>
  <c r="R102" i="32"/>
  <c r="U102" i="32" s="1"/>
  <c r="U150" i="32"/>
  <c r="R145" i="32"/>
  <c r="R141" i="32"/>
  <c r="R136" i="32"/>
  <c r="R122" i="32"/>
  <c r="U122" i="32" s="1"/>
  <c r="R82" i="32"/>
  <c r="U82" i="32" s="1"/>
  <c r="R80" i="32"/>
  <c r="U80" i="32" s="1"/>
  <c r="AJ162" i="32"/>
  <c r="T162" i="32" s="1"/>
  <c r="V162" i="32" s="1"/>
  <c r="AJ158" i="32"/>
  <c r="T158" i="32" s="1"/>
  <c r="V158" i="32" s="1"/>
  <c r="U187" i="32"/>
  <c r="V187" i="32"/>
  <c r="AJ206" i="32"/>
  <c r="T206" i="32" s="1"/>
  <c r="V206" i="32" s="1"/>
  <c r="R14" i="32"/>
  <c r="R31" i="32"/>
  <c r="U31" i="32" s="1"/>
  <c r="AK40" i="32"/>
  <c r="AL40" i="32" s="1"/>
  <c r="AK44" i="32"/>
  <c r="AL44" i="32" s="1"/>
  <c r="AK48" i="32"/>
  <c r="AL48" i="32" s="1"/>
  <c r="AJ57" i="32"/>
  <c r="T57" i="32" s="1"/>
  <c r="V57" i="32" s="1"/>
  <c r="U60" i="32"/>
  <c r="R69" i="32"/>
  <c r="U69" i="32" s="1"/>
  <c r="R84" i="32"/>
  <c r="U84" i="32" s="1"/>
  <c r="R97" i="32"/>
  <c r="U97" i="32" s="1"/>
  <c r="R116" i="32"/>
  <c r="U116" i="32" s="1"/>
  <c r="AJ124" i="32"/>
  <c r="T124" i="32" s="1"/>
  <c r="V124" i="32" s="1"/>
  <c r="U223" i="32"/>
  <c r="U179" i="32"/>
  <c r="V179" i="32"/>
  <c r="R63" i="32"/>
  <c r="U63" i="32" s="1"/>
  <c r="AK69" i="32"/>
  <c r="AL69" i="32" s="1"/>
  <c r="R86" i="32"/>
  <c r="U86" i="32" s="1"/>
  <c r="R111" i="32"/>
  <c r="U111" i="32" s="1"/>
  <c r="R137" i="32"/>
  <c r="U137" i="32" s="1"/>
  <c r="R75" i="32"/>
  <c r="U75" i="32" s="1"/>
  <c r="AK72" i="32"/>
  <c r="AL72" i="32" s="1"/>
  <c r="R72" i="32"/>
  <c r="U72" i="32" s="1"/>
  <c r="R73" i="32"/>
  <c r="U73" i="32" s="1"/>
  <c r="V288" i="32"/>
  <c r="U288" i="32"/>
  <c r="R17" i="32"/>
  <c r="U17" i="32" s="1"/>
  <c r="R29" i="32"/>
  <c r="U29" i="32" s="1"/>
  <c r="Q38" i="32"/>
  <c r="AK41" i="32"/>
  <c r="AL41" i="32" s="1"/>
  <c r="AK45" i="32"/>
  <c r="AL45" i="32" s="1"/>
  <c r="U61" i="32"/>
  <c r="R68" i="32"/>
  <c r="U68" i="32" s="1"/>
  <c r="R76" i="32"/>
  <c r="U76" i="32" s="1"/>
  <c r="AK80" i="32"/>
  <c r="AL80" i="32" s="1"/>
  <c r="R83" i="32"/>
  <c r="U83" i="32" s="1"/>
  <c r="AK83" i="32"/>
  <c r="AL83" i="32" s="1"/>
  <c r="R85" i="32"/>
  <c r="U85" i="32" s="1"/>
  <c r="U88" i="32"/>
  <c r="R87" i="32"/>
  <c r="U87" i="32" s="1"/>
  <c r="R94" i="32"/>
  <c r="U94" i="32" s="1"/>
  <c r="R100" i="32"/>
  <c r="U100" i="32" s="1"/>
  <c r="R103" i="32"/>
  <c r="U103" i="32" s="1"/>
  <c r="R108" i="32"/>
  <c r="U108" i="32" s="1"/>
  <c r="U257" i="32"/>
  <c r="U286" i="32"/>
  <c r="U295" i="32"/>
  <c r="U301" i="32"/>
  <c r="AK93" i="32"/>
  <c r="AL93" i="32" s="1"/>
  <c r="R93" i="32"/>
  <c r="U93" i="32" s="1"/>
  <c r="AK107" i="32"/>
  <c r="AL107" i="32" s="1"/>
  <c r="R107" i="32"/>
  <c r="U107" i="32" s="1"/>
  <c r="U193" i="32"/>
  <c r="V193" i="32"/>
  <c r="U214" i="32"/>
  <c r="V214" i="32"/>
  <c r="U222" i="32"/>
  <c r="V222" i="32"/>
  <c r="R18" i="32"/>
  <c r="U18" i="32" s="1"/>
  <c r="R59" i="32"/>
  <c r="AK63" i="32"/>
  <c r="AL63" i="32" s="1"/>
  <c r="R91" i="32"/>
  <c r="U91" i="32" s="1"/>
  <c r="R114" i="32"/>
  <c r="U114" i="32" s="1"/>
  <c r="AK162" i="32"/>
  <c r="AL162" i="32" s="1"/>
  <c r="R123" i="32"/>
  <c r="U123" i="32" s="1"/>
  <c r="R113" i="32"/>
  <c r="U113" i="32" s="1"/>
  <c r="R99" i="32"/>
  <c r="U99" i="32" s="1"/>
  <c r="R120" i="32"/>
  <c r="U120" i="32" s="1"/>
  <c r="R112" i="32"/>
  <c r="U112" i="32" s="1"/>
  <c r="R106" i="32"/>
  <c r="U106" i="32" s="1"/>
  <c r="R98" i="32"/>
  <c r="U98" i="32" s="1"/>
  <c r="R92" i="32"/>
  <c r="U92" i="32" s="1"/>
  <c r="R119" i="32"/>
  <c r="U119" i="32" s="1"/>
  <c r="R118" i="32"/>
  <c r="U118" i="32" s="1"/>
  <c r="R110" i="32"/>
  <c r="U110" i="32" s="1"/>
  <c r="R104" i="32"/>
  <c r="U104" i="32" s="1"/>
  <c r="R96" i="32"/>
  <c r="U96" i="32" s="1"/>
  <c r="R133" i="32"/>
  <c r="U133" i="32" s="1"/>
  <c r="R127" i="32"/>
  <c r="U127" i="32" s="1"/>
  <c r="R132" i="32"/>
  <c r="U132" i="32" s="1"/>
  <c r="R128" i="32"/>
  <c r="U128" i="32" s="1"/>
  <c r="R130" i="32"/>
  <c r="U130" i="32" s="1"/>
  <c r="AK124" i="32"/>
  <c r="AL124" i="32" s="1"/>
  <c r="R124" i="32"/>
  <c r="R135" i="32"/>
  <c r="U135" i="32" s="1"/>
  <c r="R125" i="32"/>
  <c r="U125" i="32" s="1"/>
  <c r="Q121" i="32"/>
  <c r="R154" i="32" s="1"/>
  <c r="U154" i="32" s="1"/>
  <c r="R134" i="32"/>
  <c r="U134" i="32" s="1"/>
  <c r="R126" i="32"/>
  <c r="U126" i="32" s="1"/>
  <c r="AK138" i="32"/>
  <c r="AL138" i="32" s="1"/>
  <c r="R138" i="32"/>
  <c r="U138" i="32" s="1"/>
  <c r="R140" i="32"/>
  <c r="U140" i="32" s="1"/>
  <c r="U144" i="32"/>
  <c r="V144" i="32"/>
  <c r="U180" i="32"/>
  <c r="V180" i="32"/>
  <c r="R22" i="32"/>
  <c r="U22" i="32" s="1"/>
  <c r="AK91" i="32"/>
  <c r="AL91" i="32" s="1"/>
  <c r="R95" i="32"/>
  <c r="U95" i="32" s="1"/>
  <c r="R101" i="32"/>
  <c r="U101" i="32" s="1"/>
  <c r="U143" i="32"/>
  <c r="U253" i="32"/>
  <c r="U259" i="32"/>
  <c r="U278" i="32"/>
  <c r="U280" i="32"/>
  <c r="U304" i="32"/>
  <c r="U558" i="32"/>
  <c r="V558" i="32"/>
  <c r="U644" i="32"/>
  <c r="V644" i="32"/>
  <c r="AJ136" i="32"/>
  <c r="T136" i="32" s="1"/>
  <c r="V136" i="32" s="1"/>
  <c r="AJ141" i="32"/>
  <c r="T141" i="32" s="1"/>
  <c r="AJ145" i="32"/>
  <c r="T145" i="32" s="1"/>
  <c r="V145" i="32" s="1"/>
  <c r="R151" i="32"/>
  <c r="U151" i="32" s="1"/>
  <c r="AI165" i="32"/>
  <c r="R174" i="32"/>
  <c r="U174" i="32" s="1"/>
  <c r="R178" i="32"/>
  <c r="AK178" i="32"/>
  <c r="AL178" i="32" s="1"/>
  <c r="R189" i="32"/>
  <c r="R195" i="32"/>
  <c r="U195" i="32" s="1"/>
  <c r="R200" i="32"/>
  <c r="U200" i="32" s="1"/>
  <c r="R208" i="32"/>
  <c r="U208" i="32" s="1"/>
  <c r="R213" i="32"/>
  <c r="AK213" i="32"/>
  <c r="AL213" i="32" s="1"/>
  <c r="R221" i="32"/>
  <c r="U221" i="32" s="1"/>
  <c r="R235" i="32"/>
  <c r="U235" i="32" s="1"/>
  <c r="R238" i="32"/>
  <c r="U238" i="32" s="1"/>
  <c r="AK238" i="32"/>
  <c r="AL238" i="32" s="1"/>
  <c r="R241" i="32"/>
  <c r="U241" i="32" s="1"/>
  <c r="R248" i="32"/>
  <c r="U248" i="32" s="1"/>
  <c r="R256" i="32"/>
  <c r="U256" i="32" s="1"/>
  <c r="R269" i="32"/>
  <c r="U269" i="32" s="1"/>
  <c r="AK272" i="32"/>
  <c r="AL272" i="32" s="1"/>
  <c r="R275" i="32"/>
  <c r="U275" i="32" s="1"/>
  <c r="R283" i="32"/>
  <c r="U283" i="32" s="1"/>
  <c r="R298" i="32"/>
  <c r="U298" i="32" s="1"/>
  <c r="R365" i="32"/>
  <c r="U365" i="32" s="1"/>
  <c r="AK374" i="32"/>
  <c r="AL374" i="32" s="1"/>
  <c r="U398" i="32"/>
  <c r="R418" i="32"/>
  <c r="U418" i="32" s="1"/>
  <c r="U438" i="32"/>
  <c r="U554" i="32"/>
  <c r="U623" i="32"/>
  <c r="U654" i="32"/>
  <c r="R320" i="32"/>
  <c r="U320" i="32" s="1"/>
  <c r="R319" i="32"/>
  <c r="U319" i="32" s="1"/>
  <c r="R318" i="32"/>
  <c r="U318" i="32" s="1"/>
  <c r="AJ314" i="32"/>
  <c r="T314" i="32" s="1"/>
  <c r="V314" i="32" s="1"/>
  <c r="R163" i="32"/>
  <c r="U163" i="32" s="1"/>
  <c r="Q165" i="32"/>
  <c r="AK166" i="32"/>
  <c r="AL166" i="32" s="1"/>
  <c r="R175" i="32"/>
  <c r="U175" i="32" s="1"/>
  <c r="AJ178" i="32"/>
  <c r="T178" i="32" s="1"/>
  <c r="V178" i="32" s="1"/>
  <c r="R182" i="32"/>
  <c r="U182" i="32" s="1"/>
  <c r="R196" i="32"/>
  <c r="U196" i="32" s="1"/>
  <c r="R198" i="32"/>
  <c r="U198" i="32" s="1"/>
  <c r="AK198" i="32"/>
  <c r="AL198" i="32" s="1"/>
  <c r="R207" i="32"/>
  <c r="U207" i="32" s="1"/>
  <c r="AJ213" i="32"/>
  <c r="T213" i="32" s="1"/>
  <c r="V213" i="32" s="1"/>
  <c r="R219" i="32"/>
  <c r="U219" i="32" s="1"/>
  <c r="AK219" i="32"/>
  <c r="AL219" i="32" s="1"/>
  <c r="R228" i="32"/>
  <c r="U228" i="32" s="1"/>
  <c r="R236" i="32"/>
  <c r="U236" i="32" s="1"/>
  <c r="R242" i="32"/>
  <c r="U242" i="32" s="1"/>
  <c r="AK246" i="32"/>
  <c r="AL246" i="32" s="1"/>
  <c r="R262" i="32"/>
  <c r="U262" i="32" s="1"/>
  <c r="R270" i="32"/>
  <c r="U270" i="32" s="1"/>
  <c r="AJ272" i="32"/>
  <c r="T272" i="32" s="1"/>
  <c r="V272" i="32" s="1"/>
  <c r="R276" i="32"/>
  <c r="U276" i="32" s="1"/>
  <c r="R309" i="32"/>
  <c r="U309" i="32" s="1"/>
  <c r="AK314" i="32"/>
  <c r="AL314" i="32" s="1"/>
  <c r="R316" i="32"/>
  <c r="U316" i="32" s="1"/>
  <c r="V324" i="32"/>
  <c r="R342" i="32"/>
  <c r="U342" i="32" s="1"/>
  <c r="U351" i="32"/>
  <c r="R358" i="32"/>
  <c r="U358" i="32" s="1"/>
  <c r="R372" i="32"/>
  <c r="U372" i="32" s="1"/>
  <c r="AJ374" i="32"/>
  <c r="T374" i="32" s="1"/>
  <c r="V374" i="32" s="1"/>
  <c r="R409" i="32"/>
  <c r="U409" i="32" s="1"/>
  <c r="U426" i="32"/>
  <c r="U537" i="32"/>
  <c r="V537" i="32"/>
  <c r="R155" i="32"/>
  <c r="U155" i="32" s="1"/>
  <c r="R164" i="32"/>
  <c r="U164" i="32" s="1"/>
  <c r="R176" i="32"/>
  <c r="U176" i="32" s="1"/>
  <c r="R183" i="32"/>
  <c r="U183" i="32" s="1"/>
  <c r="R197" i="32"/>
  <c r="U197" i="32" s="1"/>
  <c r="R229" i="32"/>
  <c r="U229" i="32" s="1"/>
  <c r="R237" i="32"/>
  <c r="U237" i="32" s="1"/>
  <c r="R243" i="32"/>
  <c r="U243" i="32" s="1"/>
  <c r="Q245" i="32"/>
  <c r="R336" i="32" s="1"/>
  <c r="U336" i="32" s="1"/>
  <c r="R250" i="32"/>
  <c r="U250" i="32" s="1"/>
  <c r="R263" i="32"/>
  <c r="U263" i="32" s="1"/>
  <c r="R271" i="32"/>
  <c r="U271" i="32" s="1"/>
  <c r="R277" i="32"/>
  <c r="U277" i="32" s="1"/>
  <c r="R317" i="32"/>
  <c r="U317" i="32" s="1"/>
  <c r="R363" i="32"/>
  <c r="U363" i="32" s="1"/>
  <c r="U477" i="32"/>
  <c r="U513" i="32"/>
  <c r="U646" i="32"/>
  <c r="R331" i="32"/>
  <c r="U331" i="32" s="1"/>
  <c r="R330" i="32"/>
  <c r="U330" i="32" s="1"/>
  <c r="R346" i="32"/>
  <c r="U346" i="32" s="1"/>
  <c r="R345" i="32"/>
  <c r="U345" i="32" s="1"/>
  <c r="R337" i="32"/>
  <c r="U337" i="32" s="1"/>
  <c r="R344" i="32"/>
  <c r="U344" i="32" s="1"/>
  <c r="R343" i="32"/>
  <c r="U343" i="32" s="1"/>
  <c r="U529" i="32"/>
  <c r="V529" i="32"/>
  <c r="U542" i="32"/>
  <c r="V542" i="32"/>
  <c r="R169" i="32"/>
  <c r="U169" i="32" s="1"/>
  <c r="R206" i="32"/>
  <c r="AK206" i="32"/>
  <c r="AL206" i="32" s="1"/>
  <c r="R227" i="32"/>
  <c r="U227" i="32" s="1"/>
  <c r="AK227" i="32"/>
  <c r="AL227" i="32" s="1"/>
  <c r="R230" i="32"/>
  <c r="U230" i="32" s="1"/>
  <c r="R244" i="32"/>
  <c r="U244" i="32" s="1"/>
  <c r="R307" i="32"/>
  <c r="U307" i="32" s="1"/>
  <c r="R310" i="32"/>
  <c r="U310" i="32" s="1"/>
  <c r="R332" i="32"/>
  <c r="U332" i="32" s="1"/>
  <c r="U650" i="32"/>
  <c r="V650" i="32"/>
  <c r="AK154" i="32"/>
  <c r="AL154" i="32" s="1"/>
  <c r="R212" i="32"/>
  <c r="U212" i="32" s="1"/>
  <c r="R231" i="32"/>
  <c r="U231" i="32" s="1"/>
  <c r="R265" i="32"/>
  <c r="U265" i="32" s="1"/>
  <c r="R279" i="32"/>
  <c r="U279" i="32" s="1"/>
  <c r="R311" i="32"/>
  <c r="U311" i="32" s="1"/>
  <c r="R335" i="32"/>
  <c r="U335" i="32" s="1"/>
  <c r="AK336" i="32"/>
  <c r="AL336" i="32" s="1"/>
  <c r="U402" i="32"/>
  <c r="U404" i="32"/>
  <c r="U439" i="32"/>
  <c r="U441" i="32"/>
  <c r="U460" i="32"/>
  <c r="U532" i="32"/>
  <c r="U544" i="32"/>
  <c r="V544" i="32"/>
  <c r="V551" i="32"/>
  <c r="U461" i="32"/>
  <c r="U664" i="32"/>
  <c r="R356" i="32"/>
  <c r="U356" i="32" s="1"/>
  <c r="AK353" i="32"/>
  <c r="AL353" i="32" s="1"/>
  <c r="R355" i="32"/>
  <c r="U355" i="32" s="1"/>
  <c r="R354" i="32"/>
  <c r="U354" i="32" s="1"/>
  <c r="R373" i="32"/>
  <c r="U373" i="32" s="1"/>
  <c r="R370" i="32"/>
  <c r="U370" i="32" s="1"/>
  <c r="R362" i="32"/>
  <c r="U362" i="32" s="1"/>
  <c r="R369" i="32"/>
  <c r="U369" i="32" s="1"/>
  <c r="R368" i="32"/>
  <c r="U368" i="32" s="1"/>
  <c r="R367" i="32"/>
  <c r="U367" i="32" s="1"/>
  <c r="R379" i="32"/>
  <c r="U379" i="32" s="1"/>
  <c r="R376" i="32"/>
  <c r="U376" i="32" s="1"/>
  <c r="R383" i="32"/>
  <c r="U383" i="32" s="1"/>
  <c r="R375" i="32"/>
  <c r="U375" i="32" s="1"/>
  <c r="R382" i="32"/>
  <c r="U382" i="32" s="1"/>
  <c r="R381" i="32"/>
  <c r="U381" i="32" s="1"/>
  <c r="R380" i="32"/>
  <c r="U380" i="32" s="1"/>
  <c r="R411" i="32"/>
  <c r="U411" i="32" s="1"/>
  <c r="R416" i="32"/>
  <c r="U416" i="32" s="1"/>
  <c r="R408" i="32"/>
  <c r="U408" i="32" s="1"/>
  <c r="AK405" i="32"/>
  <c r="AL405" i="32" s="1"/>
  <c r="R415" i="32"/>
  <c r="U415" i="32" s="1"/>
  <c r="R407" i="32"/>
  <c r="U407" i="32" s="1"/>
  <c r="R414" i="32"/>
  <c r="U414" i="32" s="1"/>
  <c r="R406" i="32"/>
  <c r="U406" i="32" s="1"/>
  <c r="R413" i="32"/>
  <c r="U413" i="32" s="1"/>
  <c r="R412" i="32"/>
  <c r="U412" i="32" s="1"/>
  <c r="U642" i="32"/>
  <c r="V642" i="32"/>
  <c r="U652" i="32"/>
  <c r="V652" i="32"/>
  <c r="AJ168" i="32"/>
  <c r="T168" i="32" s="1"/>
  <c r="V168" i="32" s="1"/>
  <c r="R172" i="32"/>
  <c r="U172" i="32" s="1"/>
  <c r="R210" i="32"/>
  <c r="U210" i="32" s="1"/>
  <c r="R233" i="32"/>
  <c r="U233" i="32" s="1"/>
  <c r="R239" i="32"/>
  <c r="U239" i="32" s="1"/>
  <c r="AJ306" i="32"/>
  <c r="T306" i="32" s="1"/>
  <c r="V306" i="32" s="1"/>
  <c r="R308" i="32"/>
  <c r="U308" i="32" s="1"/>
  <c r="R312" i="32"/>
  <c r="U312" i="32" s="1"/>
  <c r="U321" i="32"/>
  <c r="R338" i="32"/>
  <c r="U338" i="32" s="1"/>
  <c r="R357" i="32"/>
  <c r="U357" i="32" s="1"/>
  <c r="R360" i="32"/>
  <c r="U360" i="32" s="1"/>
  <c r="U390" i="32"/>
  <c r="U392" i="32"/>
  <c r="U428" i="32"/>
  <c r="U514" i="32"/>
  <c r="U553" i="32"/>
  <c r="V553" i="32"/>
  <c r="AJ190" i="32"/>
  <c r="R234" i="32"/>
  <c r="U234" i="32" s="1"/>
  <c r="R274" i="32"/>
  <c r="U274" i="32" s="1"/>
  <c r="R333" i="32"/>
  <c r="U333" i="32" s="1"/>
  <c r="R341" i="32"/>
  <c r="U341" i="32" s="1"/>
  <c r="AK361" i="32"/>
  <c r="AL361" i="32" s="1"/>
  <c r="U490" i="32"/>
  <c r="R449" i="32"/>
  <c r="U449" i="32" s="1"/>
  <c r="R468" i="32"/>
  <c r="U468" i="32" s="1"/>
  <c r="R486" i="32"/>
  <c r="U486" i="32" s="1"/>
  <c r="R506" i="32"/>
  <c r="U506" i="32" s="1"/>
  <c r="R587" i="32"/>
  <c r="U587" i="32" s="1"/>
  <c r="R596" i="32"/>
  <c r="U596" i="32" s="1"/>
  <c r="R604" i="32"/>
  <c r="U604" i="32" s="1"/>
  <c r="R607" i="32"/>
  <c r="U607" i="32" s="1"/>
  <c r="AK615" i="32"/>
  <c r="AL615" i="32" s="1"/>
  <c r="R618" i="32"/>
  <c r="U618" i="32" s="1"/>
  <c r="R629" i="32"/>
  <c r="U629" i="32" s="1"/>
  <c r="R639" i="32"/>
  <c r="U639" i="32" s="1"/>
  <c r="AK656" i="32"/>
  <c r="AL656" i="32" s="1"/>
  <c r="R659" i="32"/>
  <c r="U659" i="32" s="1"/>
  <c r="R667" i="32"/>
  <c r="U667" i="32" s="1"/>
  <c r="R684" i="32"/>
  <c r="U684" i="32" s="1"/>
  <c r="R348" i="32"/>
  <c r="U348" i="32" s="1"/>
  <c r="AK384" i="32"/>
  <c r="AL384" i="32" s="1"/>
  <c r="R387" i="32"/>
  <c r="U387" i="32" s="1"/>
  <c r="R395" i="32"/>
  <c r="U395" i="32" s="1"/>
  <c r="AK397" i="32"/>
  <c r="AL397" i="32" s="1"/>
  <c r="R423" i="32"/>
  <c r="U423" i="32" s="1"/>
  <c r="R431" i="32"/>
  <c r="U431" i="32" s="1"/>
  <c r="AK433" i="32"/>
  <c r="AL433" i="32" s="1"/>
  <c r="R436" i="32"/>
  <c r="U436" i="32" s="1"/>
  <c r="R450" i="32"/>
  <c r="U450" i="32" s="1"/>
  <c r="R455" i="32"/>
  <c r="U455" i="32" s="1"/>
  <c r="R469" i="32"/>
  <c r="U469" i="32" s="1"/>
  <c r="R474" i="32"/>
  <c r="U474" i="32" s="1"/>
  <c r="R489" i="32"/>
  <c r="U489" i="32" s="1"/>
  <c r="R494" i="32"/>
  <c r="U494" i="32" s="1"/>
  <c r="R507" i="32"/>
  <c r="U507" i="32" s="1"/>
  <c r="AJ508" i="32"/>
  <c r="T508" i="32" s="1"/>
  <c r="V508" i="32" s="1"/>
  <c r="R511" i="32"/>
  <c r="U511" i="32" s="1"/>
  <c r="R519" i="32"/>
  <c r="U519" i="32" s="1"/>
  <c r="AJ520" i="32"/>
  <c r="T520" i="32" s="1"/>
  <c r="V520" i="32" s="1"/>
  <c r="R524" i="32"/>
  <c r="U524" i="32" s="1"/>
  <c r="R561" i="32"/>
  <c r="R568" i="32"/>
  <c r="U568" i="32" s="1"/>
  <c r="R571" i="32"/>
  <c r="U571" i="32" s="1"/>
  <c r="R578" i="32"/>
  <c r="U578" i="32" s="1"/>
  <c r="R588" i="32"/>
  <c r="U588" i="32" s="1"/>
  <c r="R597" i="32"/>
  <c r="U597" i="32" s="1"/>
  <c r="AK605" i="32"/>
  <c r="AL605" i="32" s="1"/>
  <c r="R608" i="32"/>
  <c r="U608" i="32" s="1"/>
  <c r="AJ615" i="32"/>
  <c r="T615" i="32" s="1"/>
  <c r="V615" i="32" s="1"/>
  <c r="R619" i="32"/>
  <c r="U619" i="32" s="1"/>
  <c r="R630" i="32"/>
  <c r="U630" i="32" s="1"/>
  <c r="R640" i="32"/>
  <c r="U640" i="32" s="1"/>
  <c r="AJ656" i="32"/>
  <c r="T656" i="32" s="1"/>
  <c r="V656" i="32" s="1"/>
  <c r="R660" i="32"/>
  <c r="U660" i="32" s="1"/>
  <c r="R668" i="32"/>
  <c r="U668" i="32" s="1"/>
  <c r="AK322" i="32"/>
  <c r="AL322" i="32" s="1"/>
  <c r="R325" i="32"/>
  <c r="U325" i="32" s="1"/>
  <c r="R349" i="32"/>
  <c r="U349" i="32" s="1"/>
  <c r="R388" i="32"/>
  <c r="U388" i="32" s="1"/>
  <c r="R396" i="32"/>
  <c r="U396" i="32" s="1"/>
  <c r="R400" i="32"/>
  <c r="U400" i="32" s="1"/>
  <c r="R424" i="32"/>
  <c r="U424" i="32" s="1"/>
  <c r="R432" i="32"/>
  <c r="U432" i="32" s="1"/>
  <c r="R451" i="32"/>
  <c r="U451" i="32" s="1"/>
  <c r="R456" i="32"/>
  <c r="U456" i="32" s="1"/>
  <c r="R470" i="32"/>
  <c r="U470" i="32" s="1"/>
  <c r="R475" i="32"/>
  <c r="U475" i="32" s="1"/>
  <c r="AK487" i="32"/>
  <c r="AL487" i="32" s="1"/>
  <c r="R492" i="32"/>
  <c r="U492" i="32" s="1"/>
  <c r="AK492" i="32"/>
  <c r="AL492" i="32" s="1"/>
  <c r="R495" i="32"/>
  <c r="U495" i="32" s="1"/>
  <c r="R525" i="32"/>
  <c r="U525" i="32" s="1"/>
  <c r="R527" i="32"/>
  <c r="U527" i="32" s="1"/>
  <c r="AK527" i="32"/>
  <c r="AL527" i="32" s="1"/>
  <c r="R530" i="32"/>
  <c r="U530" i="32" s="1"/>
  <c r="R538" i="32"/>
  <c r="U538" i="32" s="1"/>
  <c r="R543" i="32"/>
  <c r="U543" i="32" s="1"/>
  <c r="R549" i="32"/>
  <c r="U549" i="32" s="1"/>
  <c r="R552" i="32"/>
  <c r="U552" i="32" s="1"/>
  <c r="AK559" i="32"/>
  <c r="AL559" i="32" s="1"/>
  <c r="AK569" i="32"/>
  <c r="AL569" i="32" s="1"/>
  <c r="R572" i="32"/>
  <c r="U572" i="32" s="1"/>
  <c r="R579" i="32"/>
  <c r="U579" i="32" s="1"/>
  <c r="R589" i="32"/>
  <c r="U589" i="32" s="1"/>
  <c r="R598" i="32"/>
  <c r="U598" i="32" s="1"/>
  <c r="R609" i="32"/>
  <c r="U609" i="32" s="1"/>
  <c r="R620" i="32"/>
  <c r="U620" i="32" s="1"/>
  <c r="R631" i="32"/>
  <c r="U631" i="32" s="1"/>
  <c r="R643" i="32"/>
  <c r="U643" i="32" s="1"/>
  <c r="R651" i="32"/>
  <c r="U651" i="32" s="1"/>
  <c r="R661" i="32"/>
  <c r="U661" i="32" s="1"/>
  <c r="R669" i="32"/>
  <c r="U669" i="32" s="1"/>
  <c r="AK670" i="32"/>
  <c r="AL670" i="32" s="1"/>
  <c r="R673" i="32"/>
  <c r="U673" i="32" s="1"/>
  <c r="R678" i="32"/>
  <c r="U678" i="32" s="1"/>
  <c r="R347" i="32"/>
  <c r="U347" i="32" s="1"/>
  <c r="AK347" i="32"/>
  <c r="AL347" i="32" s="1"/>
  <c r="R350" i="32"/>
  <c r="U350" i="32" s="1"/>
  <c r="AK422" i="32"/>
  <c r="AL422" i="32" s="1"/>
  <c r="R425" i="32"/>
  <c r="U425" i="32" s="1"/>
  <c r="R452" i="32"/>
  <c r="U452" i="32" s="1"/>
  <c r="AL454" i="32"/>
  <c r="R457" i="32"/>
  <c r="U457" i="32" s="1"/>
  <c r="R471" i="32"/>
  <c r="U471" i="32" s="1"/>
  <c r="AK473" i="32"/>
  <c r="AL473" i="32" s="1"/>
  <c r="R476" i="32"/>
  <c r="U476" i="32" s="1"/>
  <c r="R481" i="32"/>
  <c r="U481" i="32" s="1"/>
  <c r="AK550" i="32"/>
  <c r="AL550" i="32" s="1"/>
  <c r="AJ559" i="32"/>
  <c r="T559" i="32" s="1"/>
  <c r="V559" i="32" s="1"/>
  <c r="R562" i="32"/>
  <c r="U562" i="32" s="1"/>
  <c r="AJ569" i="32"/>
  <c r="T569" i="32" s="1"/>
  <c r="V569" i="32" s="1"/>
  <c r="R573" i="32"/>
  <c r="U573" i="32" s="1"/>
  <c r="R580" i="32"/>
  <c r="U580" i="32" s="1"/>
  <c r="R599" i="32"/>
  <c r="U599" i="32" s="1"/>
  <c r="R610" i="32"/>
  <c r="U610" i="32" s="1"/>
  <c r="R621" i="32"/>
  <c r="U621" i="32" s="1"/>
  <c r="R632" i="32"/>
  <c r="U632" i="32" s="1"/>
  <c r="AK641" i="32"/>
  <c r="AL641" i="32" s="1"/>
  <c r="R662" i="32"/>
  <c r="U662" i="32" s="1"/>
  <c r="AJ670" i="32"/>
  <c r="T670" i="32" s="1"/>
  <c r="V670" i="32" s="1"/>
  <c r="R674" i="32"/>
  <c r="U674" i="32" s="1"/>
  <c r="Q676" i="32"/>
  <c r="R679" i="32"/>
  <c r="U679" i="32" s="1"/>
  <c r="R445" i="32"/>
  <c r="U445" i="32" s="1"/>
  <c r="R453" i="32"/>
  <c r="U453" i="32" s="1"/>
  <c r="R464" i="32"/>
  <c r="U464" i="32" s="1"/>
  <c r="R472" i="32"/>
  <c r="U472" i="32" s="1"/>
  <c r="R482" i="32"/>
  <c r="U482" i="32" s="1"/>
  <c r="R502" i="32"/>
  <c r="U502" i="32" s="1"/>
  <c r="R574" i="32"/>
  <c r="U574" i="32" s="1"/>
  <c r="R582" i="32"/>
  <c r="U582" i="32" s="1"/>
  <c r="R583" i="32"/>
  <c r="U583" i="32" s="1"/>
  <c r="R590" i="32"/>
  <c r="U590" i="32" s="1"/>
  <c r="R591" i="32"/>
  <c r="U591" i="32" s="1"/>
  <c r="R592" i="32"/>
  <c r="U592" i="32" s="1"/>
  <c r="R600" i="32"/>
  <c r="U600" i="32" s="1"/>
  <c r="R611" i="32"/>
  <c r="U611" i="32" s="1"/>
  <c r="R622" i="32"/>
  <c r="U622" i="32" s="1"/>
  <c r="R624" i="32"/>
  <c r="U624" i="32" s="1"/>
  <c r="R625" i="32"/>
  <c r="U625" i="32" s="1"/>
  <c r="R633" i="32"/>
  <c r="U633" i="32" s="1"/>
  <c r="R634" i="32"/>
  <c r="U634" i="32" s="1"/>
  <c r="R635" i="32"/>
  <c r="U635" i="32" s="1"/>
  <c r="R645" i="32"/>
  <c r="U645" i="32" s="1"/>
  <c r="R663" i="32"/>
  <c r="U663" i="32" s="1"/>
  <c r="AK677" i="32"/>
  <c r="AL677" i="32" s="1"/>
  <c r="R680" i="32"/>
  <c r="U680" i="32" s="1"/>
  <c r="R584" i="32"/>
  <c r="U584" i="32" s="1"/>
  <c r="R593" i="32"/>
  <c r="U593" i="32" s="1"/>
  <c r="R601" i="32"/>
  <c r="U601" i="32" s="1"/>
  <c r="R626" i="32"/>
  <c r="U626" i="32" s="1"/>
  <c r="R636" i="32"/>
  <c r="U636" i="32" s="1"/>
  <c r="AJ677" i="32"/>
  <c r="T677" i="32" s="1"/>
  <c r="V677" i="32" s="1"/>
  <c r="R681" i="32"/>
  <c r="U681" i="32" s="1"/>
  <c r="AJ480" i="32"/>
  <c r="T480" i="32" s="1"/>
  <c r="V480" i="32" s="1"/>
  <c r="R484" i="32"/>
  <c r="U484" i="32" s="1"/>
  <c r="AK582" i="32"/>
  <c r="AL582" i="32" s="1"/>
  <c r="R585" i="32"/>
  <c r="U585" i="32" s="1"/>
  <c r="AK591" i="32"/>
  <c r="AL591" i="32" s="1"/>
  <c r="R594" i="32"/>
  <c r="U594" i="32" s="1"/>
  <c r="R602" i="32"/>
  <c r="U602" i="32" s="1"/>
  <c r="AK624" i="32"/>
  <c r="AL624" i="32" s="1"/>
  <c r="R627" i="32"/>
  <c r="U627" i="32" s="1"/>
  <c r="AK634" i="32"/>
  <c r="AL634" i="32" s="1"/>
  <c r="R637" i="32"/>
  <c r="U637" i="32" s="1"/>
  <c r="R682" i="32"/>
  <c r="U682" i="32" s="1"/>
  <c r="R595" i="32"/>
  <c r="U595" i="32" s="1"/>
  <c r="R605" i="32"/>
  <c r="U605" i="32" s="1"/>
  <c r="R606" i="32"/>
  <c r="U606" i="32" s="1"/>
  <c r="R658" i="32"/>
  <c r="U658" i="32" s="1"/>
  <c r="AI46" i="31"/>
  <c r="AI45" i="31"/>
  <c r="AI44" i="31"/>
  <c r="AI43" i="31"/>
  <c r="AI42" i="31"/>
  <c r="AI41" i="31"/>
  <c r="AI40" i="31"/>
  <c r="AI39" i="31"/>
  <c r="AI38" i="31"/>
  <c r="AI24" i="31"/>
  <c r="U206" i="32" l="1"/>
  <c r="AJ501" i="32"/>
  <c r="T501" i="32" s="1"/>
  <c r="V501" i="32" s="1"/>
  <c r="R659" i="34"/>
  <c r="U659" i="34" s="1"/>
  <c r="R49" i="34"/>
  <c r="U49" i="34" s="1"/>
  <c r="R50" i="34"/>
  <c r="U50" i="34" s="1"/>
  <c r="R436" i="34"/>
  <c r="U436" i="34" s="1"/>
  <c r="R58" i="34"/>
  <c r="R248" i="34"/>
  <c r="U248" i="34" s="1"/>
  <c r="R408" i="34"/>
  <c r="U408" i="34" s="1"/>
  <c r="R41" i="34"/>
  <c r="U41" i="34" s="1"/>
  <c r="R43" i="34"/>
  <c r="U43" i="34" s="1"/>
  <c r="R48" i="34"/>
  <c r="U48" i="34" s="1"/>
  <c r="R673" i="34"/>
  <c r="U673" i="34" s="1"/>
  <c r="R35" i="34"/>
  <c r="R47" i="34"/>
  <c r="U47" i="34" s="1"/>
  <c r="R40" i="34"/>
  <c r="U40" i="34" s="1"/>
  <c r="R466" i="34"/>
  <c r="U466" i="34" s="1"/>
  <c r="R680" i="34"/>
  <c r="U680" i="34" s="1"/>
  <c r="R52" i="34"/>
  <c r="U52" i="34" s="1"/>
  <c r="R53" i="34"/>
  <c r="U53" i="34" s="1"/>
  <c r="R45" i="34"/>
  <c r="U45" i="34" s="1"/>
  <c r="R46" i="34"/>
  <c r="U46" i="34" s="1"/>
  <c r="R162" i="34"/>
  <c r="U162" i="34" s="1"/>
  <c r="R38" i="34"/>
  <c r="U38" i="34" s="1"/>
  <c r="R42" i="34"/>
  <c r="U42" i="34" s="1"/>
  <c r="R44" i="34"/>
  <c r="U44" i="34" s="1"/>
  <c r="R56" i="34"/>
  <c r="U56" i="34" s="1"/>
  <c r="R165" i="34"/>
  <c r="U165" i="34" s="1"/>
  <c r="R397" i="32"/>
  <c r="U397" i="32" s="1"/>
  <c r="R473" i="32"/>
  <c r="U473" i="32" s="1"/>
  <c r="R454" i="32"/>
  <c r="U454" i="32" s="1"/>
  <c r="R422" i="32"/>
  <c r="U422" i="32" s="1"/>
  <c r="R322" i="32"/>
  <c r="U322" i="32" s="1"/>
  <c r="R353" i="32"/>
  <c r="U353" i="32" s="1"/>
  <c r="R142" i="34"/>
  <c r="U142" i="34" s="1"/>
  <c r="AL58" i="34"/>
  <c r="AK35" i="34"/>
  <c r="AL35" i="34" s="1"/>
  <c r="AI35" i="34"/>
  <c r="AJ35" i="34" s="1"/>
  <c r="T35" i="34" s="1"/>
  <c r="V35" i="34" s="1"/>
  <c r="AJ58" i="34"/>
  <c r="T58" i="34" s="1"/>
  <c r="V58" i="34" s="1"/>
  <c r="U59" i="34"/>
  <c r="R272" i="32"/>
  <c r="R37" i="34"/>
  <c r="U37" i="34" s="1"/>
  <c r="R161" i="34"/>
  <c r="U161" i="34" s="1"/>
  <c r="V248" i="34"/>
  <c r="A724" i="34"/>
  <c r="A714" i="34"/>
  <c r="R314" i="32"/>
  <c r="U57" i="32"/>
  <c r="AI245" i="32"/>
  <c r="AI55" i="32" s="1"/>
  <c r="U272" i="32"/>
  <c r="U89" i="32"/>
  <c r="AH55" i="32"/>
  <c r="AH35" i="32" s="1"/>
  <c r="R27" i="32"/>
  <c r="U27" i="32" s="1"/>
  <c r="R34" i="32"/>
  <c r="U34" i="32" s="1"/>
  <c r="AK56" i="32"/>
  <c r="AL56" i="32" s="1"/>
  <c r="U59" i="32"/>
  <c r="AJ56" i="32"/>
  <c r="T56" i="32" s="1"/>
  <c r="V56" i="32" s="1"/>
  <c r="U615" i="32"/>
  <c r="U213" i="32"/>
  <c r="U145" i="32"/>
  <c r="AK26" i="32"/>
  <c r="AL26" i="32" s="1"/>
  <c r="AK38" i="32"/>
  <c r="AL39" i="32"/>
  <c r="AK165" i="32"/>
  <c r="AL165" i="32" s="1"/>
  <c r="R166" i="32"/>
  <c r="U166" i="32" s="1"/>
  <c r="R168" i="32"/>
  <c r="U168" i="32" s="1"/>
  <c r="AJ177" i="32"/>
  <c r="T177" i="32" s="1"/>
  <c r="V177" i="32" s="1"/>
  <c r="AK177" i="32"/>
  <c r="AL177" i="32" s="1"/>
  <c r="R501" i="32"/>
  <c r="U501" i="32" s="1"/>
  <c r="R480" i="32"/>
  <c r="U480" i="32" s="1"/>
  <c r="R641" i="32"/>
  <c r="U641" i="32" s="1"/>
  <c r="R550" i="32"/>
  <c r="U550" i="32" s="1"/>
  <c r="R539" i="32"/>
  <c r="U539" i="32" s="1"/>
  <c r="R569" i="32"/>
  <c r="U569" i="32" s="1"/>
  <c r="R559" i="32"/>
  <c r="U559" i="32" s="1"/>
  <c r="R520" i="32"/>
  <c r="U520" i="32" s="1"/>
  <c r="R508" i="32"/>
  <c r="U508" i="32" s="1"/>
  <c r="R487" i="32"/>
  <c r="U487" i="32" s="1"/>
  <c r="R294" i="32"/>
  <c r="U294" i="32" s="1"/>
  <c r="R284" i="32"/>
  <c r="U284" i="32" s="1"/>
  <c r="R261" i="32"/>
  <c r="U261" i="32" s="1"/>
  <c r="R444" i="32"/>
  <c r="U444" i="32" s="1"/>
  <c r="R419" i="32"/>
  <c r="U419" i="32" s="1"/>
  <c r="R246" i="32"/>
  <c r="U246" i="32" s="1"/>
  <c r="R374" i="32"/>
  <c r="U374" i="32" s="1"/>
  <c r="R361" i="32"/>
  <c r="U361" i="32" s="1"/>
  <c r="Q55" i="32"/>
  <c r="R676" i="32" s="1"/>
  <c r="R306" i="32"/>
  <c r="U306" i="32" s="1"/>
  <c r="Q37" i="32"/>
  <c r="R52" i="32"/>
  <c r="U52" i="32" s="1"/>
  <c r="R49" i="32"/>
  <c r="U49" i="32" s="1"/>
  <c r="R156" i="32"/>
  <c r="U156" i="32" s="1"/>
  <c r="AK676" i="32"/>
  <c r="AL676" i="32" s="1"/>
  <c r="U26" i="32"/>
  <c r="T26" i="32"/>
  <c r="V26" i="32" s="1"/>
  <c r="R384" i="32"/>
  <c r="U384" i="32" s="1"/>
  <c r="AJ165" i="32"/>
  <c r="T165" i="32" s="1"/>
  <c r="V165" i="32" s="1"/>
  <c r="U124" i="32"/>
  <c r="R39" i="32"/>
  <c r="AK158" i="32"/>
  <c r="AL158" i="32" s="1"/>
  <c r="AI38" i="32"/>
  <c r="AJ39" i="32"/>
  <c r="T39" i="32" s="1"/>
  <c r="V39" i="32" s="1"/>
  <c r="AL14" i="32"/>
  <c r="AJ14" i="32"/>
  <c r="T14" i="32" s="1"/>
  <c r="V14" i="32" s="1"/>
  <c r="AI10" i="32"/>
  <c r="AJ10" i="32" s="1"/>
  <c r="AI12" i="32"/>
  <c r="AJ12" i="32" s="1"/>
  <c r="U141" i="32"/>
  <c r="R152" i="32"/>
  <c r="U152" i="32" s="1"/>
  <c r="R121" i="32"/>
  <c r="AK121" i="32"/>
  <c r="AL121" i="32" s="1"/>
  <c r="U178" i="32"/>
  <c r="U136" i="32"/>
  <c r="V141" i="32"/>
  <c r="U314" i="32"/>
  <c r="AJ121" i="32"/>
  <c r="T121" i="32" s="1"/>
  <c r="V121" i="32" s="1"/>
  <c r="T189" i="32"/>
  <c r="V189" i="32" s="1"/>
  <c r="T190" i="32"/>
  <c r="AJ676" i="32"/>
  <c r="T676" i="32" s="1"/>
  <c r="V676" i="32" s="1"/>
  <c r="R329" i="32"/>
  <c r="U329" i="32" s="1"/>
  <c r="U189" i="32"/>
  <c r="AI28" i="31"/>
  <c r="AI32" i="31"/>
  <c r="AK32" i="31" s="1"/>
  <c r="AI30" i="31"/>
  <c r="AI27" i="31"/>
  <c r="AI23" i="31"/>
  <c r="AJ23" i="31" s="1"/>
  <c r="T23" i="31" s="1"/>
  <c r="V23" i="31" s="1"/>
  <c r="AI22" i="31"/>
  <c r="AJ19" i="31"/>
  <c r="T19" i="31" s="1"/>
  <c r="V19" i="31" s="1"/>
  <c r="AI17" i="31"/>
  <c r="AI15" i="31"/>
  <c r="AK15" i="31" s="1"/>
  <c r="AL15" i="31" s="1"/>
  <c r="A717" i="31"/>
  <c r="A713" i="31"/>
  <c r="A707" i="31"/>
  <c r="A704" i="31"/>
  <c r="P683" i="31"/>
  <c r="P674" i="31" s="1"/>
  <c r="O683" i="31"/>
  <c r="O674" i="31" s="1"/>
  <c r="O243" i="31" s="1"/>
  <c r="AK682" i="31"/>
  <c r="AL682" i="31" s="1"/>
  <c r="AJ682" i="31"/>
  <c r="T682" i="31" s="1"/>
  <c r="V682" i="31" s="1"/>
  <c r="AK681" i="31"/>
  <c r="AL681" i="31" s="1"/>
  <c r="AJ681" i="31"/>
  <c r="T681" i="31" s="1"/>
  <c r="V681" i="31" s="1"/>
  <c r="AK680" i="31"/>
  <c r="AL680" i="31" s="1"/>
  <c r="AJ680" i="31"/>
  <c r="T680" i="31" s="1"/>
  <c r="V680" i="31" s="1"/>
  <c r="AK679" i="31"/>
  <c r="AL679" i="31" s="1"/>
  <c r="AJ679" i="31"/>
  <c r="T679" i="31" s="1"/>
  <c r="V679" i="31" s="1"/>
  <c r="AK678" i="31"/>
  <c r="AL678" i="31" s="1"/>
  <c r="AJ678" i="31"/>
  <c r="T678" i="31" s="1"/>
  <c r="V678" i="31" s="1"/>
  <c r="AK677" i="31"/>
  <c r="AL677" i="31" s="1"/>
  <c r="AJ677" i="31"/>
  <c r="T677" i="31" s="1"/>
  <c r="V677" i="31" s="1"/>
  <c r="AK676" i="31"/>
  <c r="AL676" i="31" s="1"/>
  <c r="AJ676" i="31"/>
  <c r="T676" i="31" s="1"/>
  <c r="V676" i="31" s="1"/>
  <c r="AI675" i="31"/>
  <c r="AI674" i="31" s="1"/>
  <c r="AH675" i="31"/>
  <c r="AH674" i="31" s="1"/>
  <c r="AG675" i="31"/>
  <c r="AG674" i="31" s="1"/>
  <c r="Q675" i="31"/>
  <c r="R679" i="31" s="1"/>
  <c r="AF674" i="31"/>
  <c r="AE674" i="31"/>
  <c r="AD674" i="31"/>
  <c r="AC674" i="31"/>
  <c r="AB674" i="31"/>
  <c r="AA674" i="31"/>
  <c r="Z674" i="31"/>
  <c r="Y674" i="31"/>
  <c r="X674" i="31"/>
  <c r="W674" i="31"/>
  <c r="W243" i="31" s="1"/>
  <c r="AK673" i="31"/>
  <c r="AL673" i="31" s="1"/>
  <c r="AJ673" i="31"/>
  <c r="T673" i="31" s="1"/>
  <c r="V673" i="31" s="1"/>
  <c r="AK672" i="31"/>
  <c r="AL672" i="31" s="1"/>
  <c r="AJ672" i="31"/>
  <c r="T672" i="31" s="1"/>
  <c r="V672" i="31" s="1"/>
  <c r="AK671" i="31"/>
  <c r="AL671" i="31" s="1"/>
  <c r="AJ671" i="31"/>
  <c r="T671" i="31" s="1"/>
  <c r="V671" i="31" s="1"/>
  <c r="AK670" i="31"/>
  <c r="AL670" i="31" s="1"/>
  <c r="AJ670" i="31"/>
  <c r="T670" i="31" s="1"/>
  <c r="V670" i="31" s="1"/>
  <c r="AK669" i="31"/>
  <c r="AL669" i="31" s="1"/>
  <c r="AJ669" i="31"/>
  <c r="T669" i="31" s="1"/>
  <c r="V669" i="31" s="1"/>
  <c r="AI668" i="31"/>
  <c r="AH668" i="31"/>
  <c r="AG668" i="31"/>
  <c r="Q668" i="31"/>
  <c r="R673" i="31" s="1"/>
  <c r="U673" i="31" s="1"/>
  <c r="A668" i="31"/>
  <c r="A675" i="31" s="1"/>
  <c r="AK667" i="31"/>
  <c r="AL667" i="31" s="1"/>
  <c r="AJ667" i="31"/>
  <c r="T667" i="31" s="1"/>
  <c r="AK666" i="31"/>
  <c r="AL666" i="31" s="1"/>
  <c r="AJ666" i="31"/>
  <c r="T666" i="31" s="1"/>
  <c r="V666" i="31" s="1"/>
  <c r="AK665" i="31"/>
  <c r="AL665" i="31" s="1"/>
  <c r="AJ665" i="31"/>
  <c r="T665" i="31" s="1"/>
  <c r="V665" i="31" s="1"/>
  <c r="AK664" i="31"/>
  <c r="AL664" i="31" s="1"/>
  <c r="AJ664" i="31"/>
  <c r="T664" i="31" s="1"/>
  <c r="V664" i="31" s="1"/>
  <c r="AK663" i="31"/>
  <c r="AL663" i="31" s="1"/>
  <c r="AJ663" i="31"/>
  <c r="T663" i="31" s="1"/>
  <c r="V663" i="31" s="1"/>
  <c r="AK662" i="31"/>
  <c r="AL662" i="31" s="1"/>
  <c r="AJ662" i="31"/>
  <c r="T662" i="31" s="1"/>
  <c r="V662" i="31" s="1"/>
  <c r="AL661" i="31"/>
  <c r="AK661" i="31"/>
  <c r="AJ661" i="31"/>
  <c r="T661" i="31" s="1"/>
  <c r="V661" i="31" s="1"/>
  <c r="AK660" i="31"/>
  <c r="AL660" i="31" s="1"/>
  <c r="AJ660" i="31"/>
  <c r="T660" i="31" s="1"/>
  <c r="V660" i="31" s="1"/>
  <c r="AK659" i="31"/>
  <c r="AL659" i="31" s="1"/>
  <c r="AJ659" i="31"/>
  <c r="T659" i="31" s="1"/>
  <c r="V659" i="31" s="1"/>
  <c r="AK658" i="31"/>
  <c r="AL658" i="31" s="1"/>
  <c r="AJ658" i="31"/>
  <c r="T658" i="31" s="1"/>
  <c r="V658" i="31" s="1"/>
  <c r="AK657" i="31"/>
  <c r="AL657" i="31" s="1"/>
  <c r="AJ657" i="31"/>
  <c r="T657" i="31" s="1"/>
  <c r="V657" i="31" s="1"/>
  <c r="AL656" i="31"/>
  <c r="AK656" i="31"/>
  <c r="AJ656" i="31"/>
  <c r="T656" i="31" s="1"/>
  <c r="V656" i="31" s="1"/>
  <c r="AK655" i="31"/>
  <c r="AL655" i="31" s="1"/>
  <c r="AJ655" i="31"/>
  <c r="T655" i="31" s="1"/>
  <c r="V655" i="31" s="1"/>
  <c r="AI654" i="31"/>
  <c r="Q654" i="31"/>
  <c r="R664" i="31" s="1"/>
  <c r="AK653" i="31"/>
  <c r="AL653" i="31" s="1"/>
  <c r="AJ653" i="31"/>
  <c r="T653" i="31" s="1"/>
  <c r="V653" i="31" s="1"/>
  <c r="AK652" i="31"/>
  <c r="AL652" i="31" s="1"/>
  <c r="AJ652" i="31"/>
  <c r="T652" i="31" s="1"/>
  <c r="V652" i="31" s="1"/>
  <c r="AK651" i="31"/>
  <c r="AL651" i="31" s="1"/>
  <c r="AJ651" i="31"/>
  <c r="T651" i="31" s="1"/>
  <c r="V651" i="31" s="1"/>
  <c r="AK650" i="31"/>
  <c r="AL650" i="31" s="1"/>
  <c r="AJ650" i="31"/>
  <c r="T650" i="31" s="1"/>
  <c r="V650" i="31" s="1"/>
  <c r="AK649" i="31"/>
  <c r="AL649" i="31" s="1"/>
  <c r="AJ649" i="31"/>
  <c r="T649" i="31" s="1"/>
  <c r="V649" i="31" s="1"/>
  <c r="AK648" i="31"/>
  <c r="AL648" i="31" s="1"/>
  <c r="AJ648" i="31"/>
  <c r="T648" i="31" s="1"/>
  <c r="V648" i="31" s="1"/>
  <c r="AK647" i="31"/>
  <c r="AL647" i="31" s="1"/>
  <c r="AJ647" i="31"/>
  <c r="T647" i="31" s="1"/>
  <c r="V647" i="31" s="1"/>
  <c r="AK646" i="31"/>
  <c r="AL646" i="31" s="1"/>
  <c r="AJ646" i="31"/>
  <c r="T646" i="31" s="1"/>
  <c r="V646" i="31" s="1"/>
  <c r="AK645" i="31"/>
  <c r="AL645" i="31" s="1"/>
  <c r="AJ645" i="31"/>
  <c r="T645" i="31" s="1"/>
  <c r="V645" i="31" s="1"/>
  <c r="AK644" i="31"/>
  <c r="AL644" i="31" s="1"/>
  <c r="AJ644" i="31"/>
  <c r="T644" i="31" s="1"/>
  <c r="V644" i="31" s="1"/>
  <c r="AK643" i="31"/>
  <c r="AL643" i="31" s="1"/>
  <c r="AJ643" i="31"/>
  <c r="T643" i="31" s="1"/>
  <c r="V643" i="31" s="1"/>
  <c r="AK642" i="31"/>
  <c r="AL642" i="31" s="1"/>
  <c r="AJ642" i="31"/>
  <c r="T642" i="31" s="1"/>
  <c r="V642" i="31" s="1"/>
  <c r="AK641" i="31"/>
  <c r="AL641" i="31" s="1"/>
  <c r="AJ641" i="31"/>
  <c r="T641" i="31" s="1"/>
  <c r="V641" i="31" s="1"/>
  <c r="AK640" i="31"/>
  <c r="AL640" i="31" s="1"/>
  <c r="AJ640" i="31"/>
  <c r="T640" i="31" s="1"/>
  <c r="V640" i="31" s="1"/>
  <c r="R640" i="31"/>
  <c r="AI639" i="31"/>
  <c r="Q639" i="31"/>
  <c r="R651" i="31" s="1"/>
  <c r="AK638" i="31"/>
  <c r="AL638" i="31" s="1"/>
  <c r="AJ638" i="31"/>
  <c r="T638" i="31" s="1"/>
  <c r="V638" i="31" s="1"/>
  <c r="AK637" i="31"/>
  <c r="AL637" i="31" s="1"/>
  <c r="AJ637" i="31"/>
  <c r="T637" i="31" s="1"/>
  <c r="V637" i="31" s="1"/>
  <c r="AK636" i="31"/>
  <c r="AL636" i="31" s="1"/>
  <c r="AJ636" i="31"/>
  <c r="T636" i="31" s="1"/>
  <c r="V636" i="31" s="1"/>
  <c r="AK635" i="31"/>
  <c r="AL635" i="31" s="1"/>
  <c r="AJ635" i="31"/>
  <c r="T635" i="31" s="1"/>
  <c r="V635" i="31" s="1"/>
  <c r="AK634" i="31"/>
  <c r="AL634" i="31" s="1"/>
  <c r="AJ634" i="31"/>
  <c r="T634" i="31" s="1"/>
  <c r="V634" i="31" s="1"/>
  <c r="AK633" i="31"/>
  <c r="AL633" i="31" s="1"/>
  <c r="AJ633" i="31"/>
  <c r="T633" i="31" s="1"/>
  <c r="V633" i="31" s="1"/>
  <c r="AI632" i="31"/>
  <c r="Q632" i="31"/>
  <c r="AK631" i="31"/>
  <c r="AL631" i="31" s="1"/>
  <c r="AJ631" i="31"/>
  <c r="T631" i="31" s="1"/>
  <c r="AK630" i="31"/>
  <c r="AL630" i="31" s="1"/>
  <c r="AJ630" i="31"/>
  <c r="T630" i="31" s="1"/>
  <c r="V630" i="31" s="1"/>
  <c r="AK629" i="31"/>
  <c r="AL629" i="31" s="1"/>
  <c r="AJ629" i="31"/>
  <c r="T629" i="31" s="1"/>
  <c r="V629" i="31" s="1"/>
  <c r="AK628" i="31"/>
  <c r="AL628" i="31" s="1"/>
  <c r="AJ628" i="31"/>
  <c r="T628" i="31" s="1"/>
  <c r="V628" i="31" s="1"/>
  <c r="AK627" i="31"/>
  <c r="AL627" i="31" s="1"/>
  <c r="AJ627" i="31"/>
  <c r="T627" i="31" s="1"/>
  <c r="V627" i="31" s="1"/>
  <c r="AK626" i="31"/>
  <c r="AL626" i="31" s="1"/>
  <c r="AJ626" i="31"/>
  <c r="T626" i="31" s="1"/>
  <c r="V626" i="31" s="1"/>
  <c r="AK625" i="31"/>
  <c r="AL625" i="31" s="1"/>
  <c r="AJ625" i="31"/>
  <c r="T625" i="31" s="1"/>
  <c r="V625" i="31" s="1"/>
  <c r="AK624" i="31"/>
  <c r="AL624" i="31" s="1"/>
  <c r="AJ624" i="31"/>
  <c r="T624" i="31" s="1"/>
  <c r="V624" i="31" s="1"/>
  <c r="AK623" i="31"/>
  <c r="AL623" i="31" s="1"/>
  <c r="AJ623" i="31"/>
  <c r="T623" i="31" s="1"/>
  <c r="V623" i="31" s="1"/>
  <c r="AI622" i="31"/>
  <c r="Q622" i="31"/>
  <c r="R630" i="31" s="1"/>
  <c r="U630" i="31" s="1"/>
  <c r="AK621" i="31"/>
  <c r="AL621" i="31" s="1"/>
  <c r="AJ621" i="31"/>
  <c r="T621" i="31" s="1"/>
  <c r="V621" i="31" s="1"/>
  <c r="AK620" i="31"/>
  <c r="AL620" i="31" s="1"/>
  <c r="AJ620" i="31"/>
  <c r="T620" i="31" s="1"/>
  <c r="V620" i="31" s="1"/>
  <c r="AK619" i="31"/>
  <c r="AL619" i="31" s="1"/>
  <c r="AJ619" i="31"/>
  <c r="T619" i="31" s="1"/>
  <c r="V619" i="31" s="1"/>
  <c r="AK618" i="31"/>
  <c r="AL618" i="31" s="1"/>
  <c r="AJ618" i="31"/>
  <c r="T618" i="31" s="1"/>
  <c r="V618" i="31" s="1"/>
  <c r="AK617" i="31"/>
  <c r="AL617" i="31" s="1"/>
  <c r="AJ617" i="31"/>
  <c r="T617" i="31" s="1"/>
  <c r="V617" i="31" s="1"/>
  <c r="AK616" i="31"/>
  <c r="AL616" i="31" s="1"/>
  <c r="AJ616" i="31"/>
  <c r="T616" i="31" s="1"/>
  <c r="V616" i="31" s="1"/>
  <c r="AK615" i="31"/>
  <c r="AL615" i="31" s="1"/>
  <c r="AJ615" i="31"/>
  <c r="T615" i="31" s="1"/>
  <c r="V615" i="31" s="1"/>
  <c r="AK614" i="31"/>
  <c r="AL614" i="31" s="1"/>
  <c r="AJ614" i="31"/>
  <c r="T614" i="31" s="1"/>
  <c r="V614" i="31" s="1"/>
  <c r="AI613" i="31"/>
  <c r="Q613" i="31"/>
  <c r="R615" i="31" s="1"/>
  <c r="AK612" i="31"/>
  <c r="AL612" i="31" s="1"/>
  <c r="AJ612" i="31"/>
  <c r="T612" i="31" s="1"/>
  <c r="V612" i="31" s="1"/>
  <c r="AK611" i="31"/>
  <c r="AL611" i="31" s="1"/>
  <c r="AJ611" i="31"/>
  <c r="T611" i="31" s="1"/>
  <c r="V611" i="31" s="1"/>
  <c r="AK610" i="31"/>
  <c r="AL610" i="31" s="1"/>
  <c r="AJ610" i="31"/>
  <c r="T610" i="31" s="1"/>
  <c r="V610" i="31" s="1"/>
  <c r="AK609" i="31"/>
  <c r="AL609" i="31" s="1"/>
  <c r="AJ609" i="31"/>
  <c r="T609" i="31" s="1"/>
  <c r="V609" i="31" s="1"/>
  <c r="AK608" i="31"/>
  <c r="AL608" i="31" s="1"/>
  <c r="AJ608" i="31"/>
  <c r="T608" i="31" s="1"/>
  <c r="V608" i="31" s="1"/>
  <c r="AK607" i="31"/>
  <c r="AL607" i="31" s="1"/>
  <c r="AJ607" i="31"/>
  <c r="T607" i="31" s="1"/>
  <c r="V607" i="31" s="1"/>
  <c r="AK606" i="31"/>
  <c r="AL606" i="31" s="1"/>
  <c r="AJ606" i="31"/>
  <c r="T606" i="31" s="1"/>
  <c r="V606" i="31" s="1"/>
  <c r="AK605" i="31"/>
  <c r="AL605" i="31" s="1"/>
  <c r="AJ605" i="31"/>
  <c r="T605" i="31" s="1"/>
  <c r="V605" i="31" s="1"/>
  <c r="AK604" i="31"/>
  <c r="AL604" i="31" s="1"/>
  <c r="AJ604" i="31"/>
  <c r="T604" i="31" s="1"/>
  <c r="V604" i="31" s="1"/>
  <c r="AI603" i="31"/>
  <c r="Q603" i="31"/>
  <c r="R611" i="31" s="1"/>
  <c r="AK602" i="31"/>
  <c r="AL602" i="31" s="1"/>
  <c r="AJ602" i="31"/>
  <c r="T602" i="31" s="1"/>
  <c r="V602" i="31" s="1"/>
  <c r="AK601" i="31"/>
  <c r="AL601" i="31" s="1"/>
  <c r="AJ601" i="31"/>
  <c r="T601" i="31" s="1"/>
  <c r="V601" i="31" s="1"/>
  <c r="AK600" i="31"/>
  <c r="AL600" i="31" s="1"/>
  <c r="AJ600" i="31"/>
  <c r="T600" i="31" s="1"/>
  <c r="V600" i="31" s="1"/>
  <c r="AK599" i="31"/>
  <c r="AL599" i="31" s="1"/>
  <c r="AJ599" i="31"/>
  <c r="T599" i="31" s="1"/>
  <c r="V599" i="31" s="1"/>
  <c r="AK598" i="31"/>
  <c r="AL598" i="31" s="1"/>
  <c r="AJ598" i="31"/>
  <c r="T598" i="31" s="1"/>
  <c r="V598" i="31" s="1"/>
  <c r="AK597" i="31"/>
  <c r="AL597" i="31" s="1"/>
  <c r="AJ597" i="31"/>
  <c r="T597" i="31" s="1"/>
  <c r="V597" i="31" s="1"/>
  <c r="AK596" i="31"/>
  <c r="AL596" i="31" s="1"/>
  <c r="AJ596" i="31"/>
  <c r="T596" i="31" s="1"/>
  <c r="V596" i="31" s="1"/>
  <c r="AK595" i="31"/>
  <c r="AL595" i="31" s="1"/>
  <c r="AJ595" i="31"/>
  <c r="T595" i="31" s="1"/>
  <c r="V595" i="31" s="1"/>
  <c r="AK594" i="31"/>
  <c r="AL594" i="31" s="1"/>
  <c r="AJ594" i="31"/>
  <c r="T594" i="31" s="1"/>
  <c r="V594" i="31" s="1"/>
  <c r="AK593" i="31"/>
  <c r="AL593" i="31" s="1"/>
  <c r="AJ593" i="31"/>
  <c r="T593" i="31" s="1"/>
  <c r="V593" i="31" s="1"/>
  <c r="AK592" i="31"/>
  <c r="AL592" i="31" s="1"/>
  <c r="AJ592" i="31"/>
  <c r="T592" i="31" s="1"/>
  <c r="V592" i="31" s="1"/>
  <c r="AK591" i="31"/>
  <c r="AL591" i="31" s="1"/>
  <c r="AJ591" i="31"/>
  <c r="T591" i="31" s="1"/>
  <c r="V591" i="31" s="1"/>
  <c r="AK590" i="31"/>
  <c r="AL590" i="31" s="1"/>
  <c r="AJ590" i="31"/>
  <c r="T590" i="31" s="1"/>
  <c r="V590" i="31" s="1"/>
  <c r="AI589" i="31"/>
  <c r="Q589" i="31"/>
  <c r="R595" i="31" s="1"/>
  <c r="AK588" i="31"/>
  <c r="AL588" i="31" s="1"/>
  <c r="AJ588" i="31"/>
  <c r="T588" i="31" s="1"/>
  <c r="AK587" i="31"/>
  <c r="AL587" i="31" s="1"/>
  <c r="AJ587" i="31"/>
  <c r="T587" i="31" s="1"/>
  <c r="AK586" i="31"/>
  <c r="AL586" i="31" s="1"/>
  <c r="AJ586" i="31"/>
  <c r="T586" i="31" s="1"/>
  <c r="V586" i="31" s="1"/>
  <c r="AK585" i="31"/>
  <c r="AL585" i="31" s="1"/>
  <c r="AJ585" i="31"/>
  <c r="T585" i="31" s="1"/>
  <c r="V585" i="31" s="1"/>
  <c r="AK584" i="31"/>
  <c r="AL584" i="31" s="1"/>
  <c r="AJ584" i="31"/>
  <c r="T584" i="31" s="1"/>
  <c r="V584" i="31" s="1"/>
  <c r="AK583" i="31"/>
  <c r="AL583" i="31" s="1"/>
  <c r="AJ583" i="31"/>
  <c r="T583" i="31" s="1"/>
  <c r="V583" i="31" s="1"/>
  <c r="AK582" i="31"/>
  <c r="AL582" i="31" s="1"/>
  <c r="AJ582" i="31"/>
  <c r="T582" i="31" s="1"/>
  <c r="V582" i="31" s="1"/>
  <c r="AK581" i="31"/>
  <c r="AL581" i="31" s="1"/>
  <c r="AJ581" i="31"/>
  <c r="T581" i="31" s="1"/>
  <c r="V581" i="31" s="1"/>
  <c r="AI580" i="31"/>
  <c r="Q580" i="31"/>
  <c r="R585" i="31" s="1"/>
  <c r="AK579" i="31"/>
  <c r="AL579" i="31" s="1"/>
  <c r="AJ579" i="31"/>
  <c r="T579" i="31" s="1"/>
  <c r="AK578" i="31"/>
  <c r="AL578" i="31" s="1"/>
  <c r="AJ578" i="31"/>
  <c r="T578" i="31" s="1"/>
  <c r="V578" i="31" s="1"/>
  <c r="AK577" i="31"/>
  <c r="AL577" i="31" s="1"/>
  <c r="AJ577" i="31"/>
  <c r="T577" i="31" s="1"/>
  <c r="V577" i="31" s="1"/>
  <c r="AK576" i="31"/>
  <c r="AL576" i="31" s="1"/>
  <c r="AJ576" i="31"/>
  <c r="T576" i="31" s="1"/>
  <c r="V576" i="31" s="1"/>
  <c r="AK575" i="31"/>
  <c r="AL575" i="31" s="1"/>
  <c r="AJ575" i="31"/>
  <c r="T575" i="31" s="1"/>
  <c r="V575" i="31" s="1"/>
  <c r="AK574" i="31"/>
  <c r="AL574" i="31" s="1"/>
  <c r="AJ574" i="31"/>
  <c r="T574" i="31" s="1"/>
  <c r="AK573" i="31"/>
  <c r="AL573" i="31" s="1"/>
  <c r="AJ573" i="31"/>
  <c r="T573" i="31" s="1"/>
  <c r="V573" i="31" s="1"/>
  <c r="AK572" i="31"/>
  <c r="AL572" i="31" s="1"/>
  <c r="AJ572" i="31"/>
  <c r="T572" i="31" s="1"/>
  <c r="V572" i="31" s="1"/>
  <c r="AK571" i="31"/>
  <c r="AL571" i="31" s="1"/>
  <c r="AJ571" i="31"/>
  <c r="T571" i="31" s="1"/>
  <c r="V571" i="31" s="1"/>
  <c r="AK570" i="31"/>
  <c r="AL570" i="31" s="1"/>
  <c r="AJ570" i="31"/>
  <c r="T570" i="31" s="1"/>
  <c r="V570" i="31" s="1"/>
  <c r="AK569" i="31"/>
  <c r="AL569" i="31" s="1"/>
  <c r="AJ569" i="31"/>
  <c r="T569" i="31" s="1"/>
  <c r="V569" i="31" s="1"/>
  <c r="AK568" i="31"/>
  <c r="AL568" i="31" s="1"/>
  <c r="AJ568" i="31"/>
  <c r="T568" i="31" s="1"/>
  <c r="V568" i="31" s="1"/>
  <c r="AI567" i="31"/>
  <c r="Q567" i="31"/>
  <c r="R576" i="31" s="1"/>
  <c r="AK566" i="31"/>
  <c r="AL566" i="31" s="1"/>
  <c r="AJ566" i="31"/>
  <c r="T566" i="31" s="1"/>
  <c r="V566" i="31" s="1"/>
  <c r="AK565" i="31"/>
  <c r="AL565" i="31" s="1"/>
  <c r="AJ565" i="31"/>
  <c r="T565" i="31" s="1"/>
  <c r="V565" i="31" s="1"/>
  <c r="AK564" i="31"/>
  <c r="AL564" i="31" s="1"/>
  <c r="AJ564" i="31"/>
  <c r="T564" i="31" s="1"/>
  <c r="V564" i="31" s="1"/>
  <c r="AK563" i="31"/>
  <c r="AL563" i="31" s="1"/>
  <c r="AJ563" i="31"/>
  <c r="T563" i="31" s="1"/>
  <c r="V563" i="31" s="1"/>
  <c r="AK562" i="31"/>
  <c r="AL562" i="31" s="1"/>
  <c r="AJ562" i="31"/>
  <c r="T562" i="31" s="1"/>
  <c r="V562" i="31" s="1"/>
  <c r="AK561" i="31"/>
  <c r="AL561" i="31" s="1"/>
  <c r="AJ561" i="31"/>
  <c r="T561" i="31" s="1"/>
  <c r="V561" i="31" s="1"/>
  <c r="AK560" i="31"/>
  <c r="AL560" i="31" s="1"/>
  <c r="AJ560" i="31"/>
  <c r="T560" i="31" s="1"/>
  <c r="V560" i="31" s="1"/>
  <c r="AK559" i="31"/>
  <c r="AL559" i="31" s="1"/>
  <c r="AJ559" i="31"/>
  <c r="T559" i="31" s="1"/>
  <c r="V559" i="31" s="1"/>
  <c r="AK558" i="31"/>
  <c r="AL558" i="31" s="1"/>
  <c r="AJ558" i="31"/>
  <c r="T558" i="31" s="1"/>
  <c r="V558" i="31" s="1"/>
  <c r="AI557" i="31"/>
  <c r="Q557" i="31"/>
  <c r="R562" i="31" s="1"/>
  <c r="AK556" i="31"/>
  <c r="AL556" i="31" s="1"/>
  <c r="AJ556" i="31"/>
  <c r="T556" i="31" s="1"/>
  <c r="V556" i="31" s="1"/>
  <c r="AK555" i="31"/>
  <c r="AL555" i="31" s="1"/>
  <c r="AJ555" i="31"/>
  <c r="T555" i="31" s="1"/>
  <c r="V555" i="31" s="1"/>
  <c r="AK554" i="31"/>
  <c r="AL554" i="31" s="1"/>
  <c r="AJ554" i="31"/>
  <c r="T554" i="31" s="1"/>
  <c r="V554" i="31" s="1"/>
  <c r="AK553" i="31"/>
  <c r="AL553" i="31" s="1"/>
  <c r="AJ553" i="31"/>
  <c r="T553" i="31" s="1"/>
  <c r="AK552" i="31"/>
  <c r="AL552" i="31" s="1"/>
  <c r="AJ552" i="31"/>
  <c r="T552" i="31" s="1"/>
  <c r="V552" i="31" s="1"/>
  <c r="AK551" i="31"/>
  <c r="AL551" i="31" s="1"/>
  <c r="AJ551" i="31"/>
  <c r="T551" i="31" s="1"/>
  <c r="V551" i="31" s="1"/>
  <c r="AK550" i="31"/>
  <c r="AL550" i="31" s="1"/>
  <c r="AJ550" i="31"/>
  <c r="T550" i="31" s="1"/>
  <c r="V550" i="31" s="1"/>
  <c r="AK549" i="31"/>
  <c r="AL549" i="31" s="1"/>
  <c r="AJ549" i="31"/>
  <c r="T549" i="31" s="1"/>
  <c r="V549" i="31" s="1"/>
  <c r="AI548" i="31"/>
  <c r="Q548" i="31"/>
  <c r="R556" i="31" s="1"/>
  <c r="AK547" i="31"/>
  <c r="AL547" i="31" s="1"/>
  <c r="AJ547" i="31"/>
  <c r="T547" i="31" s="1"/>
  <c r="V547" i="31" s="1"/>
  <c r="AK546" i="31"/>
  <c r="AJ546" i="31"/>
  <c r="T546" i="31" s="1"/>
  <c r="AK545" i="31"/>
  <c r="AL545" i="31" s="1"/>
  <c r="AJ545" i="31"/>
  <c r="T545" i="31" s="1"/>
  <c r="V545" i="31" s="1"/>
  <c r="AK544" i="31"/>
  <c r="AL544" i="31" s="1"/>
  <c r="AJ544" i="31"/>
  <c r="T544" i="31" s="1"/>
  <c r="V544" i="31" s="1"/>
  <c r="AK543" i="31"/>
  <c r="AL543" i="31" s="1"/>
  <c r="AJ543" i="31"/>
  <c r="T543" i="31" s="1"/>
  <c r="V543" i="31" s="1"/>
  <c r="AK542" i="31"/>
  <c r="AL542" i="31" s="1"/>
  <c r="AJ542" i="31"/>
  <c r="T542" i="31" s="1"/>
  <c r="V542" i="31" s="1"/>
  <c r="AK541" i="31"/>
  <c r="AL541" i="31" s="1"/>
  <c r="AJ541" i="31"/>
  <c r="T541" i="31" s="1"/>
  <c r="V541" i="31" s="1"/>
  <c r="AK540" i="31"/>
  <c r="AL540" i="31" s="1"/>
  <c r="AJ540" i="31"/>
  <c r="T540" i="31" s="1"/>
  <c r="V540" i="31" s="1"/>
  <c r="AK539" i="31"/>
  <c r="AL539" i="31" s="1"/>
  <c r="AJ539" i="31"/>
  <c r="T539" i="31" s="1"/>
  <c r="V539" i="31" s="1"/>
  <c r="AK538" i="31"/>
  <c r="AL538" i="31" s="1"/>
  <c r="AJ538" i="31"/>
  <c r="T538" i="31" s="1"/>
  <c r="V538" i="31" s="1"/>
  <c r="AI537" i="31"/>
  <c r="AH537" i="31"/>
  <c r="AG537" i="31"/>
  <c r="Q537" i="31"/>
  <c r="R546" i="31" s="1"/>
  <c r="AK536" i="31"/>
  <c r="AL536" i="31" s="1"/>
  <c r="AJ536" i="31"/>
  <c r="T536" i="31" s="1"/>
  <c r="V536" i="31" s="1"/>
  <c r="AK535" i="31"/>
  <c r="AL535" i="31" s="1"/>
  <c r="AJ535" i="31"/>
  <c r="T535" i="31" s="1"/>
  <c r="V535" i="31" s="1"/>
  <c r="AK534" i="31"/>
  <c r="AL534" i="31" s="1"/>
  <c r="AJ534" i="31"/>
  <c r="T534" i="31" s="1"/>
  <c r="V534" i="31" s="1"/>
  <c r="AK533" i="31"/>
  <c r="AL533" i="31" s="1"/>
  <c r="AJ533" i="31"/>
  <c r="T533" i="31" s="1"/>
  <c r="V533" i="31" s="1"/>
  <c r="AK532" i="31"/>
  <c r="AL532" i="31" s="1"/>
  <c r="AJ532" i="31"/>
  <c r="T532" i="31" s="1"/>
  <c r="V532" i="31" s="1"/>
  <c r="AK531" i="31"/>
  <c r="AL531" i="31" s="1"/>
  <c r="AJ531" i="31"/>
  <c r="T531" i="31" s="1"/>
  <c r="V531" i="31" s="1"/>
  <c r="AK530" i="31"/>
  <c r="AL530" i="31" s="1"/>
  <c r="AJ530" i="31"/>
  <c r="T530" i="31" s="1"/>
  <c r="V530" i="31" s="1"/>
  <c r="AK529" i="31"/>
  <c r="AL529" i="31" s="1"/>
  <c r="AJ529" i="31"/>
  <c r="T529" i="31" s="1"/>
  <c r="V529" i="31" s="1"/>
  <c r="AK528" i="31"/>
  <c r="AL528" i="31" s="1"/>
  <c r="AJ528" i="31"/>
  <c r="T528" i="31" s="1"/>
  <c r="V528" i="31" s="1"/>
  <c r="AK527" i="31"/>
  <c r="AL527" i="31" s="1"/>
  <c r="AJ527" i="31"/>
  <c r="T527" i="31" s="1"/>
  <c r="V527" i="31" s="1"/>
  <c r="AK526" i="31"/>
  <c r="AL526" i="31" s="1"/>
  <c r="AJ526" i="31"/>
  <c r="T526" i="31" s="1"/>
  <c r="V526" i="31" s="1"/>
  <c r="AI525" i="31"/>
  <c r="AH525" i="31"/>
  <c r="AG525" i="31"/>
  <c r="Q525" i="31"/>
  <c r="R532" i="31" s="1"/>
  <c r="AK524" i="31"/>
  <c r="AL524" i="31" s="1"/>
  <c r="AJ524" i="31"/>
  <c r="T524" i="31" s="1"/>
  <c r="V524" i="31" s="1"/>
  <c r="AK523" i="31"/>
  <c r="AL523" i="31" s="1"/>
  <c r="AJ523" i="31"/>
  <c r="T523" i="31" s="1"/>
  <c r="V523" i="31" s="1"/>
  <c r="AK522" i="31"/>
  <c r="AL522" i="31" s="1"/>
  <c r="AJ522" i="31"/>
  <c r="T522" i="31" s="1"/>
  <c r="V522" i="31" s="1"/>
  <c r="AK521" i="31"/>
  <c r="AL521" i="31" s="1"/>
  <c r="AJ521" i="31"/>
  <c r="T521" i="31" s="1"/>
  <c r="V521" i="31" s="1"/>
  <c r="AK520" i="31"/>
  <c r="AL520" i="31" s="1"/>
  <c r="AJ520" i="31"/>
  <c r="T520" i="31" s="1"/>
  <c r="V520" i="31" s="1"/>
  <c r="AK519" i="31"/>
  <c r="AL519" i="31" s="1"/>
  <c r="AJ519" i="31"/>
  <c r="T519" i="31" s="1"/>
  <c r="V519" i="31" s="1"/>
  <c r="AI518" i="31"/>
  <c r="AH518" i="31"/>
  <c r="AG518" i="31"/>
  <c r="Q518" i="31"/>
  <c r="R524" i="31" s="1"/>
  <c r="AK517" i="31"/>
  <c r="AL517" i="31" s="1"/>
  <c r="AJ517" i="31"/>
  <c r="T517" i="31" s="1"/>
  <c r="V517" i="31" s="1"/>
  <c r="AK516" i="31"/>
  <c r="AL516" i="31" s="1"/>
  <c r="AJ516" i="31"/>
  <c r="T516" i="31" s="1"/>
  <c r="V516" i="31" s="1"/>
  <c r="AK515" i="31"/>
  <c r="AL515" i="31" s="1"/>
  <c r="AJ515" i="31"/>
  <c r="T515" i="31" s="1"/>
  <c r="V515" i="31" s="1"/>
  <c r="AK514" i="31"/>
  <c r="AL514" i="31" s="1"/>
  <c r="AJ514" i="31"/>
  <c r="T514" i="31" s="1"/>
  <c r="V514" i="31" s="1"/>
  <c r="AK513" i="31"/>
  <c r="AL513" i="31" s="1"/>
  <c r="AJ513" i="31"/>
  <c r="T513" i="31" s="1"/>
  <c r="V513" i="31" s="1"/>
  <c r="AL512" i="31"/>
  <c r="AK512" i="31"/>
  <c r="AJ512" i="31"/>
  <c r="T512" i="31" s="1"/>
  <c r="V512" i="31" s="1"/>
  <c r="AK511" i="31"/>
  <c r="AL511" i="31" s="1"/>
  <c r="AJ511" i="31"/>
  <c r="T511" i="31" s="1"/>
  <c r="V511" i="31" s="1"/>
  <c r="AK510" i="31"/>
  <c r="AL510" i="31" s="1"/>
  <c r="AJ510" i="31"/>
  <c r="T510" i="31" s="1"/>
  <c r="V510" i="31" s="1"/>
  <c r="AK509" i="31"/>
  <c r="AL509" i="31" s="1"/>
  <c r="AJ509" i="31"/>
  <c r="T509" i="31" s="1"/>
  <c r="V509" i="31" s="1"/>
  <c r="AK508" i="31"/>
  <c r="AL508" i="31" s="1"/>
  <c r="AJ508" i="31"/>
  <c r="T508" i="31" s="1"/>
  <c r="V508" i="31" s="1"/>
  <c r="AK507" i="31"/>
  <c r="AJ507" i="31"/>
  <c r="T507" i="31" s="1"/>
  <c r="V507" i="31" s="1"/>
  <c r="AI506" i="31"/>
  <c r="AH506" i="31"/>
  <c r="AG506" i="31"/>
  <c r="Q506" i="31"/>
  <c r="R513" i="31" s="1"/>
  <c r="AK505" i="31"/>
  <c r="AL505" i="31" s="1"/>
  <c r="AJ505" i="31"/>
  <c r="T505" i="31" s="1"/>
  <c r="V505" i="31" s="1"/>
  <c r="AK504" i="31"/>
  <c r="AL504" i="31" s="1"/>
  <c r="AJ504" i="31"/>
  <c r="T504" i="31" s="1"/>
  <c r="AK503" i="31"/>
  <c r="AL503" i="31" s="1"/>
  <c r="AJ503" i="31"/>
  <c r="T503" i="31" s="1"/>
  <c r="V503" i="31" s="1"/>
  <c r="AK502" i="31"/>
  <c r="AL502" i="31" s="1"/>
  <c r="AJ502" i="31"/>
  <c r="T502" i="31" s="1"/>
  <c r="V502" i="31" s="1"/>
  <c r="AK501" i="31"/>
  <c r="AL501" i="31" s="1"/>
  <c r="AJ501" i="31"/>
  <c r="T501" i="31" s="1"/>
  <c r="V501" i="31" s="1"/>
  <c r="AK500" i="31"/>
  <c r="AL500" i="31" s="1"/>
  <c r="AJ500" i="31"/>
  <c r="T500" i="31" s="1"/>
  <c r="V500" i="31" s="1"/>
  <c r="AI499" i="31"/>
  <c r="AH499" i="31"/>
  <c r="AG499" i="31"/>
  <c r="Q499" i="31"/>
  <c r="R501" i="31" s="1"/>
  <c r="AK498" i="31"/>
  <c r="AL498" i="31" s="1"/>
  <c r="AJ498" i="31"/>
  <c r="T498" i="31" s="1"/>
  <c r="V498" i="31" s="1"/>
  <c r="AK497" i="31"/>
  <c r="AL497" i="31" s="1"/>
  <c r="AJ497" i="31"/>
  <c r="T497" i="31" s="1"/>
  <c r="V497" i="31" s="1"/>
  <c r="AK496" i="31"/>
  <c r="AL496" i="31" s="1"/>
  <c r="AJ496" i="31"/>
  <c r="T496" i="31" s="1"/>
  <c r="V496" i="31" s="1"/>
  <c r="AK495" i="31"/>
  <c r="AL495" i="31" s="1"/>
  <c r="AJ495" i="31"/>
  <c r="T495" i="31" s="1"/>
  <c r="V495" i="31" s="1"/>
  <c r="AK494" i="31"/>
  <c r="AL494" i="31" s="1"/>
  <c r="AJ494" i="31"/>
  <c r="T494" i="31" s="1"/>
  <c r="V494" i="31" s="1"/>
  <c r="AK493" i="31"/>
  <c r="AL493" i="31" s="1"/>
  <c r="AJ493" i="31"/>
  <c r="T493" i="31" s="1"/>
  <c r="V493" i="31" s="1"/>
  <c r="AK492" i="31"/>
  <c r="AL492" i="31" s="1"/>
  <c r="AJ492" i="31"/>
  <c r="T492" i="31" s="1"/>
  <c r="V492" i="31" s="1"/>
  <c r="AK491" i="31"/>
  <c r="AL491" i="31" s="1"/>
  <c r="AJ491" i="31"/>
  <c r="T491" i="31" s="1"/>
  <c r="V491" i="31" s="1"/>
  <c r="AI490" i="31"/>
  <c r="AH490" i="31"/>
  <c r="AG490" i="31"/>
  <c r="Q490" i="31"/>
  <c r="R497" i="31" s="1"/>
  <c r="A490" i="31"/>
  <c r="A499" i="31" s="1"/>
  <c r="A506" i="31" s="1"/>
  <c r="A518" i="31" s="1"/>
  <c r="A525" i="31" s="1"/>
  <c r="A537" i="31" s="1"/>
  <c r="A548" i="31" s="1"/>
  <c r="A557" i="31" s="1"/>
  <c r="A567" i="31" s="1"/>
  <c r="A580" i="31" s="1"/>
  <c r="A589" i="31" s="1"/>
  <c r="A603" i="31" s="1"/>
  <c r="A613" i="31" s="1"/>
  <c r="A622" i="31" s="1"/>
  <c r="A632" i="31" s="1"/>
  <c r="AK489" i="31"/>
  <c r="AL489" i="31" s="1"/>
  <c r="AJ489" i="31"/>
  <c r="T489" i="31" s="1"/>
  <c r="V489" i="31" s="1"/>
  <c r="AK488" i="31"/>
  <c r="AL488" i="31" s="1"/>
  <c r="AJ488" i="31"/>
  <c r="T488" i="31" s="1"/>
  <c r="V488" i="31" s="1"/>
  <c r="AK487" i="31"/>
  <c r="AL487" i="31" s="1"/>
  <c r="AJ487" i="31"/>
  <c r="T487" i="31" s="1"/>
  <c r="V487" i="31" s="1"/>
  <c r="AK486" i="31"/>
  <c r="AL486" i="31" s="1"/>
  <c r="AJ486" i="31"/>
  <c r="T486" i="31" s="1"/>
  <c r="V486" i="31" s="1"/>
  <c r="AI485" i="31"/>
  <c r="Q485" i="31"/>
  <c r="R487" i="31" s="1"/>
  <c r="AK484" i="31"/>
  <c r="AL484" i="31" s="1"/>
  <c r="AJ484" i="31"/>
  <c r="T484" i="31" s="1"/>
  <c r="V484" i="31" s="1"/>
  <c r="AK483" i="31"/>
  <c r="AL483" i="31" s="1"/>
  <c r="AJ483" i="31"/>
  <c r="T483" i="31" s="1"/>
  <c r="V483" i="31" s="1"/>
  <c r="AK482" i="31"/>
  <c r="AL482" i="31" s="1"/>
  <c r="AJ482" i="31"/>
  <c r="T482" i="31" s="1"/>
  <c r="V482" i="31" s="1"/>
  <c r="AK481" i="31"/>
  <c r="AL481" i="31" s="1"/>
  <c r="AJ481" i="31"/>
  <c r="T481" i="31" s="1"/>
  <c r="V481" i="31" s="1"/>
  <c r="AK480" i="31"/>
  <c r="AL480" i="31" s="1"/>
  <c r="AJ480" i="31"/>
  <c r="T480" i="31" s="1"/>
  <c r="V480" i="31" s="1"/>
  <c r="AK479" i="31"/>
  <c r="AL479" i="31" s="1"/>
  <c r="AJ479" i="31"/>
  <c r="T479" i="31" s="1"/>
  <c r="V479" i="31" s="1"/>
  <c r="AI478" i="31"/>
  <c r="AH478" i="31"/>
  <c r="AG478" i="31"/>
  <c r="AF478" i="31"/>
  <c r="AE478" i="31"/>
  <c r="AD478" i="31"/>
  <c r="AC478" i="31"/>
  <c r="AA478" i="31"/>
  <c r="Z478" i="31"/>
  <c r="Y478" i="31"/>
  <c r="X478" i="31"/>
  <c r="Q478" i="31"/>
  <c r="R484" i="31" s="1"/>
  <c r="P478" i="31"/>
  <c r="AK477" i="31"/>
  <c r="AL477" i="31" s="1"/>
  <c r="AJ477" i="31"/>
  <c r="T477" i="31" s="1"/>
  <c r="V477" i="31" s="1"/>
  <c r="AK476" i="31"/>
  <c r="AL476" i="31" s="1"/>
  <c r="AJ476" i="31"/>
  <c r="T476" i="31" s="1"/>
  <c r="V476" i="31" s="1"/>
  <c r="AK475" i="31"/>
  <c r="AL475" i="31" s="1"/>
  <c r="AJ475" i="31"/>
  <c r="T475" i="31" s="1"/>
  <c r="V475" i="31" s="1"/>
  <c r="AK474" i="31"/>
  <c r="AL474" i="31" s="1"/>
  <c r="AJ474" i="31"/>
  <c r="T474" i="31" s="1"/>
  <c r="V474" i="31" s="1"/>
  <c r="AK473" i="31"/>
  <c r="AL473" i="31" s="1"/>
  <c r="AJ473" i="31"/>
  <c r="T473" i="31" s="1"/>
  <c r="V473" i="31" s="1"/>
  <c r="AK472" i="31"/>
  <c r="AL472" i="31" s="1"/>
  <c r="AJ472" i="31"/>
  <c r="T472" i="31" s="1"/>
  <c r="V472" i="31" s="1"/>
  <c r="AI471" i="31"/>
  <c r="AH471" i="31"/>
  <c r="AG471" i="31"/>
  <c r="AF471" i="31"/>
  <c r="AE471" i="31"/>
  <c r="AD471" i="31"/>
  <c r="AC471" i="31"/>
  <c r="AA471" i="31"/>
  <c r="Z471" i="31"/>
  <c r="Y471" i="31"/>
  <c r="X471" i="31"/>
  <c r="Q471" i="31"/>
  <c r="R475" i="31" s="1"/>
  <c r="P471" i="31"/>
  <c r="AK470" i="31"/>
  <c r="AL470" i="31" s="1"/>
  <c r="AJ470" i="31"/>
  <c r="T470" i="31" s="1"/>
  <c r="V470" i="31" s="1"/>
  <c r="AK469" i="31"/>
  <c r="AL469" i="31" s="1"/>
  <c r="AJ469" i="31"/>
  <c r="T469" i="31" s="1"/>
  <c r="V469" i="31" s="1"/>
  <c r="AK468" i="31"/>
  <c r="AL468" i="31" s="1"/>
  <c r="AJ468" i="31"/>
  <c r="T468" i="31" s="1"/>
  <c r="V468" i="31" s="1"/>
  <c r="AK467" i="31"/>
  <c r="AL467" i="31" s="1"/>
  <c r="AJ467" i="31"/>
  <c r="T467" i="31" s="1"/>
  <c r="V467" i="31" s="1"/>
  <c r="AK466" i="31"/>
  <c r="AL466" i="31" s="1"/>
  <c r="AJ466" i="31"/>
  <c r="T466" i="31" s="1"/>
  <c r="V466" i="31" s="1"/>
  <c r="AK465" i="31"/>
  <c r="AL465" i="31" s="1"/>
  <c r="AJ465" i="31"/>
  <c r="T465" i="31" s="1"/>
  <c r="V465" i="31" s="1"/>
  <c r="AK464" i="31"/>
  <c r="AL464" i="31" s="1"/>
  <c r="AJ464" i="31"/>
  <c r="T464" i="31" s="1"/>
  <c r="V464" i="31" s="1"/>
  <c r="AK463" i="31"/>
  <c r="AL463" i="31" s="1"/>
  <c r="AJ463" i="31"/>
  <c r="T463" i="31" s="1"/>
  <c r="V463" i="31" s="1"/>
  <c r="AK462" i="31"/>
  <c r="AL462" i="31" s="1"/>
  <c r="AJ462" i="31"/>
  <c r="T462" i="31" s="1"/>
  <c r="V462" i="31" s="1"/>
  <c r="AI461" i="31"/>
  <c r="AH461" i="31"/>
  <c r="AG461" i="31"/>
  <c r="AF461" i="31"/>
  <c r="AE461" i="31"/>
  <c r="AD461" i="31"/>
  <c r="AC461" i="31"/>
  <c r="AA461" i="31"/>
  <c r="Z461" i="31"/>
  <c r="Y461" i="31"/>
  <c r="X461" i="31"/>
  <c r="Q461" i="31"/>
  <c r="R465" i="31" s="1"/>
  <c r="P461" i="31"/>
  <c r="AK460" i="31"/>
  <c r="AL460" i="31" s="1"/>
  <c r="AJ460" i="31"/>
  <c r="T460" i="31" s="1"/>
  <c r="V460" i="31" s="1"/>
  <c r="AK459" i="31"/>
  <c r="AL459" i="31" s="1"/>
  <c r="AJ459" i="31"/>
  <c r="T459" i="31" s="1"/>
  <c r="V459" i="31" s="1"/>
  <c r="AK458" i="31"/>
  <c r="AL458" i="31" s="1"/>
  <c r="AJ458" i="31"/>
  <c r="T458" i="31" s="1"/>
  <c r="V458" i="31" s="1"/>
  <c r="AK457" i="31"/>
  <c r="AL457" i="31" s="1"/>
  <c r="AJ457" i="31"/>
  <c r="T457" i="31" s="1"/>
  <c r="V457" i="31" s="1"/>
  <c r="AK456" i="31"/>
  <c r="AL456" i="31" s="1"/>
  <c r="AJ456" i="31"/>
  <c r="T456" i="31" s="1"/>
  <c r="V456" i="31" s="1"/>
  <c r="AK455" i="31"/>
  <c r="AL455" i="31" s="1"/>
  <c r="AJ455" i="31"/>
  <c r="T455" i="31" s="1"/>
  <c r="V455" i="31" s="1"/>
  <c r="AK454" i="31"/>
  <c r="AL454" i="31" s="1"/>
  <c r="AJ454" i="31"/>
  <c r="T454" i="31" s="1"/>
  <c r="V454" i="31" s="1"/>
  <c r="AK453" i="31"/>
  <c r="AL453" i="31" s="1"/>
  <c r="AJ453" i="31"/>
  <c r="T453" i="31" s="1"/>
  <c r="V453" i="31" s="1"/>
  <c r="AI452" i="31"/>
  <c r="AH452" i="31"/>
  <c r="AG452" i="31"/>
  <c r="AF452" i="31"/>
  <c r="AE452" i="31"/>
  <c r="AD452" i="31"/>
  <c r="AC452" i="31"/>
  <c r="AA452" i="31"/>
  <c r="Z452" i="31"/>
  <c r="Y452" i="31"/>
  <c r="X452" i="31"/>
  <c r="Q452" i="31"/>
  <c r="R456" i="31" s="1"/>
  <c r="P452" i="31"/>
  <c r="AK451" i="31"/>
  <c r="AL451" i="31" s="1"/>
  <c r="AJ451" i="31"/>
  <c r="T451" i="31" s="1"/>
  <c r="AK450" i="31"/>
  <c r="AL450" i="31" s="1"/>
  <c r="AJ450" i="31"/>
  <c r="T450" i="31" s="1"/>
  <c r="V450" i="31" s="1"/>
  <c r="AK449" i="31"/>
  <c r="AL449" i="31" s="1"/>
  <c r="AJ449" i="31"/>
  <c r="T449" i="31" s="1"/>
  <c r="V449" i="31" s="1"/>
  <c r="AK448" i="31"/>
  <c r="AL448" i="31" s="1"/>
  <c r="AJ448" i="31"/>
  <c r="T448" i="31" s="1"/>
  <c r="V448" i="31" s="1"/>
  <c r="AK447" i="31"/>
  <c r="AL447" i="31" s="1"/>
  <c r="AJ447" i="31"/>
  <c r="T447" i="31" s="1"/>
  <c r="V447" i="31" s="1"/>
  <c r="AK446" i="31"/>
  <c r="AL446" i="31" s="1"/>
  <c r="AJ446" i="31"/>
  <c r="T446" i="31" s="1"/>
  <c r="V446" i="31" s="1"/>
  <c r="AK445" i="31"/>
  <c r="AL445" i="31" s="1"/>
  <c r="AJ445" i="31"/>
  <c r="T445" i="31" s="1"/>
  <c r="V445" i="31" s="1"/>
  <c r="AK444" i="31"/>
  <c r="AL444" i="31" s="1"/>
  <c r="AJ444" i="31"/>
  <c r="T444" i="31" s="1"/>
  <c r="V444" i="31" s="1"/>
  <c r="AK443" i="31"/>
  <c r="AL443" i="31" s="1"/>
  <c r="AJ443" i="31"/>
  <c r="T443" i="31" s="1"/>
  <c r="V443" i="31" s="1"/>
  <c r="AI442" i="31"/>
  <c r="AH442" i="31"/>
  <c r="AG442" i="31"/>
  <c r="AF442" i="31"/>
  <c r="AE442" i="31"/>
  <c r="AD442" i="31"/>
  <c r="AC442" i="31"/>
  <c r="AA442" i="31"/>
  <c r="Z442" i="31"/>
  <c r="Y442" i="31"/>
  <c r="X442" i="31"/>
  <c r="Q442" i="31"/>
  <c r="R446" i="31" s="1"/>
  <c r="P442" i="31"/>
  <c r="AK441" i="31"/>
  <c r="AL441" i="31" s="1"/>
  <c r="AJ441" i="31"/>
  <c r="T441" i="31" s="1"/>
  <c r="V441" i="31" s="1"/>
  <c r="AK440" i="31"/>
  <c r="AL440" i="31" s="1"/>
  <c r="AJ440" i="31"/>
  <c r="T440" i="31" s="1"/>
  <c r="V440" i="31" s="1"/>
  <c r="AK439" i="31"/>
  <c r="AL439" i="31" s="1"/>
  <c r="AJ439" i="31"/>
  <c r="T439" i="31" s="1"/>
  <c r="V439" i="31" s="1"/>
  <c r="AK438" i="31"/>
  <c r="AL438" i="31" s="1"/>
  <c r="AJ438" i="31"/>
  <c r="T438" i="31" s="1"/>
  <c r="V438" i="31" s="1"/>
  <c r="AK437" i="31"/>
  <c r="AL437" i="31" s="1"/>
  <c r="AJ437" i="31"/>
  <c r="T437" i="31" s="1"/>
  <c r="V437" i="31" s="1"/>
  <c r="AK436" i="31"/>
  <c r="AL436" i="31" s="1"/>
  <c r="AJ436" i="31"/>
  <c r="T436" i="31" s="1"/>
  <c r="V436" i="31" s="1"/>
  <c r="AK435" i="31"/>
  <c r="AL435" i="31" s="1"/>
  <c r="AJ435" i="31"/>
  <c r="T435" i="31" s="1"/>
  <c r="V435" i="31" s="1"/>
  <c r="AK434" i="31"/>
  <c r="AL434" i="31" s="1"/>
  <c r="AJ434" i="31"/>
  <c r="T434" i="31" s="1"/>
  <c r="AK433" i="31"/>
  <c r="AL433" i="31" s="1"/>
  <c r="AJ433" i="31"/>
  <c r="T433" i="31" s="1"/>
  <c r="AK432" i="31"/>
  <c r="AL432" i="31" s="1"/>
  <c r="AJ432" i="31"/>
  <c r="T432" i="31" s="1"/>
  <c r="V432" i="31" s="1"/>
  <c r="AI431" i="31"/>
  <c r="AH431" i="31"/>
  <c r="AG431" i="31"/>
  <c r="AF431" i="31"/>
  <c r="AE431" i="31"/>
  <c r="AD431" i="31"/>
  <c r="AC431" i="31"/>
  <c r="AA431" i="31"/>
  <c r="Z431" i="31"/>
  <c r="Y431" i="31"/>
  <c r="X431" i="31"/>
  <c r="Q431" i="31"/>
  <c r="R435" i="31" s="1"/>
  <c r="P431" i="31"/>
  <c r="AK430" i="31"/>
  <c r="AL430" i="31" s="1"/>
  <c r="AJ430" i="31"/>
  <c r="T430" i="31" s="1"/>
  <c r="AK429" i="31"/>
  <c r="AL429" i="31" s="1"/>
  <c r="AJ429" i="31"/>
  <c r="T429" i="31" s="1"/>
  <c r="AK428" i="31"/>
  <c r="AL428" i="31" s="1"/>
  <c r="AJ428" i="31"/>
  <c r="T428" i="31" s="1"/>
  <c r="V428" i="31" s="1"/>
  <c r="AK427" i="31"/>
  <c r="AL427" i="31" s="1"/>
  <c r="AJ427" i="31"/>
  <c r="T427" i="31" s="1"/>
  <c r="V427" i="31" s="1"/>
  <c r="AK426" i="31"/>
  <c r="AL426" i="31" s="1"/>
  <c r="AJ426" i="31"/>
  <c r="T426" i="31" s="1"/>
  <c r="V426" i="31" s="1"/>
  <c r="AK425" i="31"/>
  <c r="AL425" i="31" s="1"/>
  <c r="AJ425" i="31"/>
  <c r="T425" i="31" s="1"/>
  <c r="V425" i="31" s="1"/>
  <c r="AK424" i="31"/>
  <c r="AL424" i="31" s="1"/>
  <c r="AJ424" i="31"/>
  <c r="T424" i="31" s="1"/>
  <c r="V424" i="31" s="1"/>
  <c r="AK423" i="31"/>
  <c r="AL423" i="31" s="1"/>
  <c r="AJ423" i="31"/>
  <c r="T423" i="31" s="1"/>
  <c r="V423" i="31" s="1"/>
  <c r="AK422" i="31"/>
  <c r="AL422" i="31" s="1"/>
  <c r="AJ422" i="31"/>
  <c r="T422" i="31" s="1"/>
  <c r="V422" i="31" s="1"/>
  <c r="AK421" i="31"/>
  <c r="AL421" i="31" s="1"/>
  <c r="AJ421" i="31"/>
  <c r="T421" i="31" s="1"/>
  <c r="V421" i="31" s="1"/>
  <c r="AI420" i="31"/>
  <c r="AH420" i="31"/>
  <c r="AG420" i="31"/>
  <c r="AF420" i="31"/>
  <c r="AE420" i="31"/>
  <c r="AD420" i="31"/>
  <c r="AC420" i="31"/>
  <c r="AA420" i="31"/>
  <c r="Z420" i="31"/>
  <c r="Y420" i="31"/>
  <c r="X420" i="31"/>
  <c r="Q420" i="31"/>
  <c r="R424" i="31" s="1"/>
  <c r="P420" i="31"/>
  <c r="A420" i="31"/>
  <c r="A431" i="31" s="1"/>
  <c r="A442" i="31" s="1"/>
  <c r="A452" i="31" s="1"/>
  <c r="A461" i="31" s="1"/>
  <c r="AK419" i="31"/>
  <c r="AL419" i="31" s="1"/>
  <c r="AJ419" i="31"/>
  <c r="T419" i="31" s="1"/>
  <c r="V419" i="31" s="1"/>
  <c r="AK418" i="31"/>
  <c r="AL418" i="31" s="1"/>
  <c r="AJ418" i="31"/>
  <c r="T418" i="31" s="1"/>
  <c r="V418" i="31" s="1"/>
  <c r="AI417" i="31"/>
  <c r="AH417" i="31"/>
  <c r="AG417" i="31"/>
  <c r="AF417" i="31"/>
  <c r="AE417" i="31"/>
  <c r="AD417" i="31"/>
  <c r="AC417" i="31"/>
  <c r="AA417" i="31"/>
  <c r="Z417" i="31"/>
  <c r="Y417" i="31"/>
  <c r="X417" i="31"/>
  <c r="Q417" i="31"/>
  <c r="R418" i="31" s="1"/>
  <c r="P417" i="31"/>
  <c r="AK416" i="31"/>
  <c r="AL416" i="31" s="1"/>
  <c r="AJ416" i="31"/>
  <c r="T416" i="31" s="1"/>
  <c r="AK415" i="31"/>
  <c r="AL415" i="31" s="1"/>
  <c r="AJ415" i="31"/>
  <c r="T415" i="31" s="1"/>
  <c r="V415" i="31" s="1"/>
  <c r="AK414" i="31"/>
  <c r="AL414" i="31" s="1"/>
  <c r="AJ414" i="31"/>
  <c r="T414" i="31" s="1"/>
  <c r="V414" i="31" s="1"/>
  <c r="AK413" i="31"/>
  <c r="AL413" i="31" s="1"/>
  <c r="AJ413" i="31"/>
  <c r="T413" i="31" s="1"/>
  <c r="V413" i="31" s="1"/>
  <c r="AK412" i="31"/>
  <c r="AL412" i="31" s="1"/>
  <c r="AJ412" i="31"/>
  <c r="T412" i="31" s="1"/>
  <c r="V412" i="31" s="1"/>
  <c r="AK411" i="31"/>
  <c r="AL411" i="31" s="1"/>
  <c r="AJ411" i="31"/>
  <c r="T411" i="31" s="1"/>
  <c r="V411" i="31" s="1"/>
  <c r="AK410" i="31"/>
  <c r="AL410" i="31" s="1"/>
  <c r="AJ410" i="31"/>
  <c r="T410" i="31" s="1"/>
  <c r="V410" i="31" s="1"/>
  <c r="AK409" i="31"/>
  <c r="AL409" i="31" s="1"/>
  <c r="AJ409" i="31"/>
  <c r="T409" i="31" s="1"/>
  <c r="V409" i="31" s="1"/>
  <c r="AK408" i="31"/>
  <c r="AL408" i="31" s="1"/>
  <c r="AJ408" i="31"/>
  <c r="T408" i="31" s="1"/>
  <c r="V408" i="31" s="1"/>
  <c r="AK407" i="31"/>
  <c r="AL407" i="31" s="1"/>
  <c r="AJ407" i="31"/>
  <c r="T407" i="31" s="1"/>
  <c r="V407" i="31" s="1"/>
  <c r="AK406" i="31"/>
  <c r="AL406" i="31" s="1"/>
  <c r="AJ406" i="31"/>
  <c r="T406" i="31" s="1"/>
  <c r="V406" i="31" s="1"/>
  <c r="AK405" i="31"/>
  <c r="AL405" i="31" s="1"/>
  <c r="AJ405" i="31"/>
  <c r="T405" i="31" s="1"/>
  <c r="V405" i="31" s="1"/>
  <c r="AK404" i="31"/>
  <c r="AL404" i="31" s="1"/>
  <c r="AJ404" i="31"/>
  <c r="T404" i="31" s="1"/>
  <c r="V404" i="31" s="1"/>
  <c r="AI403" i="31"/>
  <c r="AH403" i="31"/>
  <c r="AG403" i="31"/>
  <c r="AF403" i="31"/>
  <c r="AE403" i="31"/>
  <c r="AD403" i="31"/>
  <c r="AC403" i="31"/>
  <c r="AA403" i="31"/>
  <c r="Z403" i="31"/>
  <c r="Y403" i="31"/>
  <c r="X403" i="31"/>
  <c r="Q403" i="31"/>
  <c r="R411" i="31" s="1"/>
  <c r="P403" i="31"/>
  <c r="AK402" i="31"/>
  <c r="AL402" i="31" s="1"/>
  <c r="AJ402" i="31"/>
  <c r="T402" i="31" s="1"/>
  <c r="V402" i="31" s="1"/>
  <c r="AK401" i="31"/>
  <c r="AL401" i="31" s="1"/>
  <c r="AJ401" i="31"/>
  <c r="T401" i="31" s="1"/>
  <c r="V401" i="31" s="1"/>
  <c r="AK400" i="31"/>
  <c r="AL400" i="31" s="1"/>
  <c r="AJ400" i="31"/>
  <c r="T400" i="31" s="1"/>
  <c r="V400" i="31" s="1"/>
  <c r="AK399" i="31"/>
  <c r="AL399" i="31" s="1"/>
  <c r="AJ399" i="31"/>
  <c r="T399" i="31" s="1"/>
  <c r="V399" i="31" s="1"/>
  <c r="AK398" i="31"/>
  <c r="AL398" i="31" s="1"/>
  <c r="AJ398" i="31"/>
  <c r="T398" i="31" s="1"/>
  <c r="V398" i="31" s="1"/>
  <c r="AK397" i="31"/>
  <c r="AL397" i="31" s="1"/>
  <c r="AJ397" i="31"/>
  <c r="T397" i="31" s="1"/>
  <c r="AK396" i="31"/>
  <c r="AL396" i="31" s="1"/>
  <c r="AJ396" i="31"/>
  <c r="T396" i="31" s="1"/>
  <c r="V396" i="31" s="1"/>
  <c r="AI395" i="31"/>
  <c r="AH395" i="31"/>
  <c r="AG395" i="31"/>
  <c r="AF395" i="31"/>
  <c r="AE395" i="31"/>
  <c r="AD395" i="31"/>
  <c r="AC395" i="31"/>
  <c r="AA395" i="31"/>
  <c r="Z395" i="31"/>
  <c r="Y395" i="31"/>
  <c r="X395" i="31"/>
  <c r="Q395" i="31"/>
  <c r="R398" i="31" s="1"/>
  <c r="P395" i="31"/>
  <c r="AK394" i="31"/>
  <c r="AL394" i="31" s="1"/>
  <c r="AJ394" i="31"/>
  <c r="T394" i="31" s="1"/>
  <c r="AK393" i="31"/>
  <c r="AL393" i="31" s="1"/>
  <c r="AJ393" i="31"/>
  <c r="T393" i="31" s="1"/>
  <c r="V393" i="31" s="1"/>
  <c r="AK392" i="31"/>
  <c r="AL392" i="31" s="1"/>
  <c r="AJ392" i="31"/>
  <c r="T392" i="31" s="1"/>
  <c r="V392" i="31" s="1"/>
  <c r="AK391" i="31"/>
  <c r="AL391" i="31" s="1"/>
  <c r="AJ391" i="31"/>
  <c r="T391" i="31" s="1"/>
  <c r="V391" i="31" s="1"/>
  <c r="AK390" i="31"/>
  <c r="AL390" i="31" s="1"/>
  <c r="AJ390" i="31"/>
  <c r="T390" i="31" s="1"/>
  <c r="V390" i="31" s="1"/>
  <c r="AK389" i="31"/>
  <c r="AL389" i="31" s="1"/>
  <c r="AJ389" i="31"/>
  <c r="T389" i="31" s="1"/>
  <c r="V389" i="31" s="1"/>
  <c r="AK388" i="31"/>
  <c r="AL388" i="31" s="1"/>
  <c r="AJ388" i="31"/>
  <c r="T388" i="31" s="1"/>
  <c r="V388" i="31" s="1"/>
  <c r="AK387" i="31"/>
  <c r="AL387" i="31" s="1"/>
  <c r="AJ387" i="31"/>
  <c r="T387" i="31" s="1"/>
  <c r="V387" i="31" s="1"/>
  <c r="AK386" i="31"/>
  <c r="AL386" i="31" s="1"/>
  <c r="AJ386" i="31"/>
  <c r="T386" i="31" s="1"/>
  <c r="V386" i="31" s="1"/>
  <c r="AK385" i="31"/>
  <c r="AL385" i="31" s="1"/>
  <c r="AJ385" i="31"/>
  <c r="T385" i="31" s="1"/>
  <c r="V385" i="31" s="1"/>
  <c r="AK384" i="31"/>
  <c r="AL384" i="31" s="1"/>
  <c r="AJ384" i="31"/>
  <c r="T384" i="31" s="1"/>
  <c r="AK383" i="31"/>
  <c r="AL383" i="31" s="1"/>
  <c r="AJ383" i="31"/>
  <c r="T383" i="31" s="1"/>
  <c r="V383" i="31" s="1"/>
  <c r="AI382" i="31"/>
  <c r="AH382" i="31"/>
  <c r="AG382" i="31"/>
  <c r="AF382" i="31"/>
  <c r="AE382" i="31"/>
  <c r="AD382" i="31"/>
  <c r="AC382" i="31"/>
  <c r="AA382" i="31"/>
  <c r="Z382" i="31"/>
  <c r="Y382" i="31"/>
  <c r="X382" i="31"/>
  <c r="Q382" i="31"/>
  <c r="R389" i="31" s="1"/>
  <c r="P382" i="31"/>
  <c r="AK381" i="31"/>
  <c r="AL381" i="31" s="1"/>
  <c r="AJ381" i="31"/>
  <c r="T381" i="31" s="1"/>
  <c r="V381" i="31" s="1"/>
  <c r="AK380" i="31"/>
  <c r="AL380" i="31" s="1"/>
  <c r="AJ380" i="31"/>
  <c r="T380" i="31" s="1"/>
  <c r="V380" i="31" s="1"/>
  <c r="AK379" i="31"/>
  <c r="AL379" i="31" s="1"/>
  <c r="AJ379" i="31"/>
  <c r="T379" i="31" s="1"/>
  <c r="V379" i="31" s="1"/>
  <c r="AK378" i="31"/>
  <c r="AL378" i="31" s="1"/>
  <c r="AJ378" i="31"/>
  <c r="T378" i="31" s="1"/>
  <c r="V378" i="31" s="1"/>
  <c r="AK377" i="31"/>
  <c r="AL377" i="31" s="1"/>
  <c r="AJ377" i="31"/>
  <c r="T377" i="31" s="1"/>
  <c r="V377" i="31" s="1"/>
  <c r="AK376" i="31"/>
  <c r="AL376" i="31" s="1"/>
  <c r="AJ376" i="31"/>
  <c r="T376" i="31" s="1"/>
  <c r="V376" i="31" s="1"/>
  <c r="AK375" i="31"/>
  <c r="AL375" i="31" s="1"/>
  <c r="AJ375" i="31"/>
  <c r="T375" i="31" s="1"/>
  <c r="V375" i="31" s="1"/>
  <c r="AK374" i="31"/>
  <c r="AL374" i="31" s="1"/>
  <c r="AJ374" i="31"/>
  <c r="T374" i="31" s="1"/>
  <c r="V374" i="31" s="1"/>
  <c r="AK373" i="31"/>
  <c r="AL373" i="31" s="1"/>
  <c r="AJ373" i="31"/>
  <c r="T373" i="31" s="1"/>
  <c r="V373" i="31" s="1"/>
  <c r="AI372" i="31"/>
  <c r="AH372" i="31"/>
  <c r="AG372" i="31"/>
  <c r="AF372" i="31"/>
  <c r="AE372" i="31"/>
  <c r="AD372" i="31"/>
  <c r="AC372" i="31"/>
  <c r="AA372" i="31"/>
  <c r="Z372" i="31"/>
  <c r="Y372" i="31"/>
  <c r="X372" i="31"/>
  <c r="Q372" i="31"/>
  <c r="R379" i="31" s="1"/>
  <c r="P372" i="31"/>
  <c r="AK371" i="31"/>
  <c r="AL371" i="31" s="1"/>
  <c r="AJ371" i="31"/>
  <c r="T371" i="31" s="1"/>
  <c r="V371" i="31" s="1"/>
  <c r="AK370" i="31"/>
  <c r="AL370" i="31" s="1"/>
  <c r="AJ370" i="31"/>
  <c r="T370" i="31" s="1"/>
  <c r="V370" i="31" s="1"/>
  <c r="AK369" i="31"/>
  <c r="AL369" i="31" s="1"/>
  <c r="AJ369" i="31"/>
  <c r="T369" i="31" s="1"/>
  <c r="V369" i="31" s="1"/>
  <c r="AK368" i="31"/>
  <c r="AL368" i="31" s="1"/>
  <c r="AJ368" i="31"/>
  <c r="T368" i="31" s="1"/>
  <c r="V368" i="31" s="1"/>
  <c r="AK367" i="31"/>
  <c r="AL367" i="31" s="1"/>
  <c r="AJ367" i="31"/>
  <c r="T367" i="31" s="1"/>
  <c r="V367" i="31" s="1"/>
  <c r="AK366" i="31"/>
  <c r="AL366" i="31" s="1"/>
  <c r="AJ366" i="31"/>
  <c r="T366" i="31" s="1"/>
  <c r="V366" i="31" s="1"/>
  <c r="AK365" i="31"/>
  <c r="AL365" i="31" s="1"/>
  <c r="AJ365" i="31"/>
  <c r="T365" i="31" s="1"/>
  <c r="V365" i="31" s="1"/>
  <c r="AK364" i="31"/>
  <c r="AL364" i="31" s="1"/>
  <c r="AJ364" i="31"/>
  <c r="T364" i="31" s="1"/>
  <c r="V364" i="31" s="1"/>
  <c r="AK363" i="31"/>
  <c r="AL363" i="31" s="1"/>
  <c r="AJ363" i="31"/>
  <c r="T363" i="31" s="1"/>
  <c r="V363" i="31" s="1"/>
  <c r="AK362" i="31"/>
  <c r="AL362" i="31" s="1"/>
  <c r="AJ362" i="31"/>
  <c r="T362" i="31" s="1"/>
  <c r="V362" i="31" s="1"/>
  <c r="AK361" i="31"/>
  <c r="AL361" i="31" s="1"/>
  <c r="AJ361" i="31"/>
  <c r="T361" i="31" s="1"/>
  <c r="V361" i="31" s="1"/>
  <c r="AK360" i="31"/>
  <c r="AL360" i="31" s="1"/>
  <c r="AJ360" i="31"/>
  <c r="T360" i="31" s="1"/>
  <c r="V360" i="31" s="1"/>
  <c r="AI359" i="31"/>
  <c r="AH359" i="31"/>
  <c r="AG359" i="31"/>
  <c r="AF359" i="31"/>
  <c r="AE359" i="31"/>
  <c r="AD359" i="31"/>
  <c r="AC359" i="31"/>
  <c r="AA359" i="31"/>
  <c r="Z359" i="31"/>
  <c r="Y359" i="31"/>
  <c r="X359" i="31"/>
  <c r="Q359" i="31"/>
  <c r="R363" i="31" s="1"/>
  <c r="P359" i="31"/>
  <c r="A359" i="31"/>
  <c r="A372" i="31" s="1"/>
  <c r="A382" i="31" s="1"/>
  <c r="A395" i="31" s="1"/>
  <c r="A403" i="31" s="1"/>
  <c r="AK358" i="31"/>
  <c r="AL358" i="31" s="1"/>
  <c r="AJ358" i="31"/>
  <c r="T358" i="31" s="1"/>
  <c r="V358" i="31" s="1"/>
  <c r="AK357" i="31"/>
  <c r="AL357" i="31" s="1"/>
  <c r="AJ357" i="31"/>
  <c r="T357" i="31" s="1"/>
  <c r="V357" i="31" s="1"/>
  <c r="AK356" i="31"/>
  <c r="AL356" i="31" s="1"/>
  <c r="AJ356" i="31"/>
  <c r="T356" i="31" s="1"/>
  <c r="V356" i="31" s="1"/>
  <c r="AK355" i="31"/>
  <c r="AL355" i="31" s="1"/>
  <c r="AJ355" i="31"/>
  <c r="T355" i="31" s="1"/>
  <c r="V355" i="31" s="1"/>
  <c r="AK354" i="31"/>
  <c r="AL354" i="31" s="1"/>
  <c r="AJ354" i="31"/>
  <c r="T354" i="31" s="1"/>
  <c r="V354" i="31" s="1"/>
  <c r="AK353" i="31"/>
  <c r="AL353" i="31" s="1"/>
  <c r="AJ353" i="31"/>
  <c r="T353" i="31" s="1"/>
  <c r="V353" i="31" s="1"/>
  <c r="AK352" i="31"/>
  <c r="AL352" i="31" s="1"/>
  <c r="AJ352" i="31"/>
  <c r="T352" i="31" s="1"/>
  <c r="V352" i="31" s="1"/>
  <c r="AI351" i="31"/>
  <c r="AH351" i="31"/>
  <c r="AG351" i="31"/>
  <c r="AF351" i="31"/>
  <c r="AE351" i="31"/>
  <c r="AD351" i="31"/>
  <c r="AC351" i="31"/>
  <c r="AA351" i="31"/>
  <c r="Z351" i="31"/>
  <c r="Y351" i="31"/>
  <c r="X351" i="31"/>
  <c r="Q351" i="31"/>
  <c r="R352" i="31" s="1"/>
  <c r="P351" i="31"/>
  <c r="AK350" i="31"/>
  <c r="AL350" i="31" s="1"/>
  <c r="AJ350" i="31"/>
  <c r="T350" i="31" s="1"/>
  <c r="V350" i="31" s="1"/>
  <c r="AK349" i="31"/>
  <c r="AL349" i="31" s="1"/>
  <c r="AJ349" i="31"/>
  <c r="T349" i="31" s="1"/>
  <c r="V349" i="31" s="1"/>
  <c r="AK348" i="31"/>
  <c r="AL348" i="31" s="1"/>
  <c r="AJ348" i="31"/>
  <c r="T348" i="31" s="1"/>
  <c r="V348" i="31" s="1"/>
  <c r="AK347" i="31"/>
  <c r="AL347" i="31" s="1"/>
  <c r="AJ347" i="31"/>
  <c r="T347" i="31" s="1"/>
  <c r="AK346" i="31"/>
  <c r="AL346" i="31" s="1"/>
  <c r="AJ346" i="31"/>
  <c r="T346" i="31" s="1"/>
  <c r="V346" i="31" s="1"/>
  <c r="AI345" i="31"/>
  <c r="AH345" i="31"/>
  <c r="AG345" i="31"/>
  <c r="AF345" i="31"/>
  <c r="AE345" i="31"/>
  <c r="AD345" i="31"/>
  <c r="AC345" i="31"/>
  <c r="AA345" i="31"/>
  <c r="Z345" i="31"/>
  <c r="Y345" i="31"/>
  <c r="X345" i="31"/>
  <c r="Q345" i="31"/>
  <c r="R347" i="31" s="1"/>
  <c r="P345" i="31"/>
  <c r="AK344" i="31"/>
  <c r="AL344" i="31" s="1"/>
  <c r="AJ344" i="31"/>
  <c r="T344" i="31" s="1"/>
  <c r="AK343" i="31"/>
  <c r="AL343" i="31" s="1"/>
  <c r="AJ343" i="31"/>
  <c r="T343" i="31" s="1"/>
  <c r="V343" i="31" s="1"/>
  <c r="AK342" i="31"/>
  <c r="AL342" i="31" s="1"/>
  <c r="AJ342" i="31"/>
  <c r="T342" i="31" s="1"/>
  <c r="V342" i="31" s="1"/>
  <c r="AK341" i="31"/>
  <c r="AL341" i="31" s="1"/>
  <c r="AJ341" i="31"/>
  <c r="T341" i="31" s="1"/>
  <c r="V341" i="31" s="1"/>
  <c r="AK340" i="31"/>
  <c r="AL340" i="31" s="1"/>
  <c r="AJ340" i="31"/>
  <c r="T340" i="31" s="1"/>
  <c r="V340" i="31" s="1"/>
  <c r="AK339" i="31"/>
  <c r="AL339" i="31" s="1"/>
  <c r="AJ339" i="31"/>
  <c r="T339" i="31" s="1"/>
  <c r="V339" i="31" s="1"/>
  <c r="AK338" i="31"/>
  <c r="AL338" i="31" s="1"/>
  <c r="AJ338" i="31"/>
  <c r="T338" i="31" s="1"/>
  <c r="V338" i="31" s="1"/>
  <c r="AK337" i="31"/>
  <c r="AL337" i="31" s="1"/>
  <c r="AJ337" i="31"/>
  <c r="T337" i="31" s="1"/>
  <c r="V337" i="31" s="1"/>
  <c r="AK336" i="31"/>
  <c r="AL336" i="31" s="1"/>
  <c r="AJ336" i="31"/>
  <c r="T336" i="31" s="1"/>
  <c r="V336" i="31" s="1"/>
  <c r="AK335" i="31"/>
  <c r="AL335" i="31" s="1"/>
  <c r="AJ335" i="31"/>
  <c r="T335" i="31" s="1"/>
  <c r="V335" i="31" s="1"/>
  <c r="AI334" i="31"/>
  <c r="AH334" i="31"/>
  <c r="AG334" i="31"/>
  <c r="AF334" i="31"/>
  <c r="AE334" i="31"/>
  <c r="AD334" i="31"/>
  <c r="AC334" i="31"/>
  <c r="AA334" i="31"/>
  <c r="Z334" i="31"/>
  <c r="Y334" i="31"/>
  <c r="X334" i="31"/>
  <c r="Q334" i="31"/>
  <c r="R342" i="31" s="1"/>
  <c r="P334" i="31"/>
  <c r="AK333" i="31"/>
  <c r="AL333" i="31" s="1"/>
  <c r="AJ333" i="31"/>
  <c r="T333" i="31" s="1"/>
  <c r="V333" i="31" s="1"/>
  <c r="AK332" i="31"/>
  <c r="AL332" i="31" s="1"/>
  <c r="AJ332" i="31"/>
  <c r="T332" i="31" s="1"/>
  <c r="V332" i="31" s="1"/>
  <c r="AK331" i="31"/>
  <c r="AL331" i="31" s="1"/>
  <c r="AJ331" i="31"/>
  <c r="T331" i="31" s="1"/>
  <c r="V331" i="31" s="1"/>
  <c r="AK330" i="31"/>
  <c r="AL330" i="31" s="1"/>
  <c r="AJ330" i="31"/>
  <c r="T330" i="31" s="1"/>
  <c r="V330" i="31" s="1"/>
  <c r="AK329" i="31"/>
  <c r="AL329" i="31" s="1"/>
  <c r="AJ329" i="31"/>
  <c r="T329" i="31" s="1"/>
  <c r="V329" i="31" s="1"/>
  <c r="AK328" i="31"/>
  <c r="AL328" i="31" s="1"/>
  <c r="AJ328" i="31"/>
  <c r="T328" i="31" s="1"/>
  <c r="AI327" i="31"/>
  <c r="AH327" i="31"/>
  <c r="AG327" i="31"/>
  <c r="AF327" i="31"/>
  <c r="AE327" i="31"/>
  <c r="AD327" i="31"/>
  <c r="AC327" i="31"/>
  <c r="AA327" i="31"/>
  <c r="Z327" i="31"/>
  <c r="Y327" i="31"/>
  <c r="X327" i="31"/>
  <c r="Q327" i="31"/>
  <c r="R328" i="31" s="1"/>
  <c r="AK326" i="31"/>
  <c r="AL326" i="31" s="1"/>
  <c r="AJ326" i="31"/>
  <c r="T326" i="31" s="1"/>
  <c r="V326" i="31" s="1"/>
  <c r="AK325" i="31"/>
  <c r="AL325" i="31" s="1"/>
  <c r="AJ325" i="31"/>
  <c r="T325" i="31" s="1"/>
  <c r="V325" i="31" s="1"/>
  <c r="AK324" i="31"/>
  <c r="AL324" i="31" s="1"/>
  <c r="AJ324" i="31"/>
  <c r="T324" i="31" s="1"/>
  <c r="V324" i="31" s="1"/>
  <c r="AK323" i="31"/>
  <c r="AL323" i="31" s="1"/>
  <c r="AJ323" i="31"/>
  <c r="T323" i="31" s="1"/>
  <c r="V323" i="31" s="1"/>
  <c r="AK322" i="31"/>
  <c r="AL322" i="31" s="1"/>
  <c r="AJ322" i="31"/>
  <c r="T322" i="31" s="1"/>
  <c r="V322" i="31" s="1"/>
  <c r="AK321" i="31"/>
  <c r="AL321" i="31" s="1"/>
  <c r="AJ321" i="31"/>
  <c r="T321" i="31" s="1"/>
  <c r="V321" i="31" s="1"/>
  <c r="AI320" i="31"/>
  <c r="AH320" i="31"/>
  <c r="AG320" i="31"/>
  <c r="AF320" i="31"/>
  <c r="AE320" i="31"/>
  <c r="AD320" i="31"/>
  <c r="AC320" i="31"/>
  <c r="AA320" i="31"/>
  <c r="Z320" i="31"/>
  <c r="Y320" i="31"/>
  <c r="X320" i="31"/>
  <c r="Q320" i="31"/>
  <c r="R322" i="31" s="1"/>
  <c r="P320" i="31"/>
  <c r="AK319" i="31"/>
  <c r="AL319" i="31" s="1"/>
  <c r="AJ319" i="31"/>
  <c r="T319" i="31" s="1"/>
  <c r="V319" i="31" s="1"/>
  <c r="AK318" i="31"/>
  <c r="AL318" i="31" s="1"/>
  <c r="AJ318" i="31"/>
  <c r="T318" i="31" s="1"/>
  <c r="V318" i="31" s="1"/>
  <c r="AK317" i="31"/>
  <c r="AL317" i="31" s="1"/>
  <c r="AJ317" i="31"/>
  <c r="T317" i="31" s="1"/>
  <c r="V317" i="31" s="1"/>
  <c r="AK316" i="31"/>
  <c r="AL316" i="31" s="1"/>
  <c r="AJ316" i="31"/>
  <c r="T316" i="31" s="1"/>
  <c r="V316" i="31" s="1"/>
  <c r="AK315" i="31"/>
  <c r="AL315" i="31" s="1"/>
  <c r="AJ315" i="31"/>
  <c r="T315" i="31" s="1"/>
  <c r="V315" i="31" s="1"/>
  <c r="AK314" i="31"/>
  <c r="AL314" i="31" s="1"/>
  <c r="AJ314" i="31"/>
  <c r="T314" i="31" s="1"/>
  <c r="V314" i="31" s="1"/>
  <c r="AK313" i="31"/>
  <c r="AL313" i="31" s="1"/>
  <c r="AJ313" i="31"/>
  <c r="T313" i="31" s="1"/>
  <c r="V313" i="31" s="1"/>
  <c r="AI312" i="31"/>
  <c r="AH312" i="31"/>
  <c r="AG312" i="31"/>
  <c r="AF312" i="31"/>
  <c r="AE312" i="31"/>
  <c r="AD312" i="31"/>
  <c r="AC312" i="31"/>
  <c r="AA312" i="31"/>
  <c r="Z312" i="31"/>
  <c r="Y312" i="31"/>
  <c r="X312" i="31"/>
  <c r="Q312" i="31"/>
  <c r="P312" i="31"/>
  <c r="AK311" i="31"/>
  <c r="AL311" i="31" s="1"/>
  <c r="AJ311" i="31"/>
  <c r="T311" i="31" s="1"/>
  <c r="V311" i="31" s="1"/>
  <c r="AK310" i="31"/>
  <c r="AL310" i="31" s="1"/>
  <c r="AJ310" i="31"/>
  <c r="T310" i="31" s="1"/>
  <c r="V310" i="31" s="1"/>
  <c r="AK309" i="31"/>
  <c r="AL309" i="31" s="1"/>
  <c r="AJ309" i="31"/>
  <c r="T309" i="31" s="1"/>
  <c r="V309" i="31" s="1"/>
  <c r="AK308" i="31"/>
  <c r="AL308" i="31" s="1"/>
  <c r="AJ308" i="31"/>
  <c r="T308" i="31" s="1"/>
  <c r="V308" i="31" s="1"/>
  <c r="AK307" i="31"/>
  <c r="AL307" i="31" s="1"/>
  <c r="AJ307" i="31"/>
  <c r="T307" i="31" s="1"/>
  <c r="V307" i="31" s="1"/>
  <c r="AK306" i="31"/>
  <c r="AL306" i="31" s="1"/>
  <c r="AJ306" i="31"/>
  <c r="T306" i="31" s="1"/>
  <c r="V306" i="31" s="1"/>
  <c r="AK305" i="31"/>
  <c r="AL305" i="31" s="1"/>
  <c r="AJ305" i="31"/>
  <c r="T305" i="31" s="1"/>
  <c r="V305" i="31" s="1"/>
  <c r="AI304" i="31"/>
  <c r="AH304" i="31"/>
  <c r="AG304" i="31"/>
  <c r="AF304" i="31"/>
  <c r="AE304" i="31"/>
  <c r="AD304" i="31"/>
  <c r="AC304" i="31"/>
  <c r="AA304" i="31"/>
  <c r="Z304" i="31"/>
  <c r="Y304" i="31"/>
  <c r="X304" i="31"/>
  <c r="Q304" i="31"/>
  <c r="R311" i="31" s="1"/>
  <c r="U311" i="31" s="1"/>
  <c r="P304" i="31"/>
  <c r="AK303" i="31"/>
  <c r="AL303" i="31" s="1"/>
  <c r="AJ303" i="31"/>
  <c r="T303" i="31" s="1"/>
  <c r="V303" i="31" s="1"/>
  <c r="AK302" i="31"/>
  <c r="AL302" i="31" s="1"/>
  <c r="AJ302" i="31"/>
  <c r="T302" i="31" s="1"/>
  <c r="V302" i="31" s="1"/>
  <c r="AK301" i="31"/>
  <c r="AL301" i="31" s="1"/>
  <c r="AJ301" i="31"/>
  <c r="T301" i="31" s="1"/>
  <c r="V301" i="31" s="1"/>
  <c r="AK300" i="31"/>
  <c r="AL300" i="31" s="1"/>
  <c r="AJ300" i="31"/>
  <c r="T300" i="31" s="1"/>
  <c r="V300" i="31" s="1"/>
  <c r="AK299" i="31"/>
  <c r="AL299" i="31" s="1"/>
  <c r="AJ299" i="31"/>
  <c r="T299" i="31" s="1"/>
  <c r="V299" i="31" s="1"/>
  <c r="AK298" i="31"/>
  <c r="AL298" i="31" s="1"/>
  <c r="AJ298" i="31"/>
  <c r="T298" i="31" s="1"/>
  <c r="V298" i="31" s="1"/>
  <c r="AK297" i="31"/>
  <c r="AL297" i="31" s="1"/>
  <c r="AJ297" i="31"/>
  <c r="T297" i="31" s="1"/>
  <c r="V297" i="31" s="1"/>
  <c r="AK296" i="31"/>
  <c r="AL296" i="31" s="1"/>
  <c r="AJ296" i="31"/>
  <c r="T296" i="31" s="1"/>
  <c r="V296" i="31" s="1"/>
  <c r="AK295" i="31"/>
  <c r="AL295" i="31" s="1"/>
  <c r="AJ295" i="31"/>
  <c r="T295" i="31" s="1"/>
  <c r="V295" i="31" s="1"/>
  <c r="AK294" i="31"/>
  <c r="AL294" i="31" s="1"/>
  <c r="AJ294" i="31"/>
  <c r="T294" i="31" s="1"/>
  <c r="V294" i="31" s="1"/>
  <c r="AK293" i="31"/>
  <c r="AL293" i="31" s="1"/>
  <c r="AJ293" i="31"/>
  <c r="T293" i="31" s="1"/>
  <c r="V293" i="31" s="1"/>
  <c r="AI292" i="31"/>
  <c r="AH292" i="31"/>
  <c r="AG292" i="31"/>
  <c r="AF292" i="31"/>
  <c r="AE292" i="31"/>
  <c r="AD292" i="31"/>
  <c r="AC292" i="31"/>
  <c r="AA292" i="31"/>
  <c r="Z292" i="31"/>
  <c r="Y292" i="31"/>
  <c r="X292" i="31"/>
  <c r="Q292" i="31"/>
  <c r="R293" i="31" s="1"/>
  <c r="U293" i="31" s="1"/>
  <c r="P292" i="31"/>
  <c r="AK291" i="31"/>
  <c r="AL291" i="31" s="1"/>
  <c r="AJ291" i="31"/>
  <c r="T291" i="31" s="1"/>
  <c r="V291" i="31" s="1"/>
  <c r="AK290" i="31"/>
  <c r="AL290" i="31" s="1"/>
  <c r="AJ290" i="31"/>
  <c r="T290" i="31" s="1"/>
  <c r="V290" i="31" s="1"/>
  <c r="AK289" i="31"/>
  <c r="AL289" i="31" s="1"/>
  <c r="AJ289" i="31"/>
  <c r="T289" i="31" s="1"/>
  <c r="V289" i="31" s="1"/>
  <c r="AK288" i="31"/>
  <c r="AL288" i="31" s="1"/>
  <c r="AJ288" i="31"/>
  <c r="T288" i="31" s="1"/>
  <c r="V288" i="31" s="1"/>
  <c r="AK287" i="31"/>
  <c r="AL287" i="31" s="1"/>
  <c r="AJ287" i="31"/>
  <c r="T287" i="31" s="1"/>
  <c r="V287" i="31" s="1"/>
  <c r="AK286" i="31"/>
  <c r="AL286" i="31" s="1"/>
  <c r="AJ286" i="31"/>
  <c r="T286" i="31" s="1"/>
  <c r="AK285" i="31"/>
  <c r="AL285" i="31" s="1"/>
  <c r="AJ285" i="31"/>
  <c r="T285" i="31" s="1"/>
  <c r="V285" i="31" s="1"/>
  <c r="AK284" i="31"/>
  <c r="AL284" i="31" s="1"/>
  <c r="AJ284" i="31"/>
  <c r="T284" i="31" s="1"/>
  <c r="V284" i="31" s="1"/>
  <c r="AK283" i="31"/>
  <c r="AL283" i="31" s="1"/>
  <c r="AJ283" i="31"/>
  <c r="T283" i="31" s="1"/>
  <c r="V283" i="31" s="1"/>
  <c r="AI282" i="31"/>
  <c r="AH282" i="31"/>
  <c r="AF282" i="31"/>
  <c r="AE282" i="31"/>
  <c r="AD282" i="31"/>
  <c r="AC282" i="31"/>
  <c r="AA282" i="31"/>
  <c r="Z282" i="31"/>
  <c r="Y282" i="31"/>
  <c r="X282" i="31"/>
  <c r="Q282" i="31"/>
  <c r="P282" i="31"/>
  <c r="AK281" i="31"/>
  <c r="AL281" i="31" s="1"/>
  <c r="AJ281" i="31"/>
  <c r="T281" i="31" s="1"/>
  <c r="AK280" i="31"/>
  <c r="AL280" i="31" s="1"/>
  <c r="AJ280" i="31"/>
  <c r="T280" i="31" s="1"/>
  <c r="V280" i="31" s="1"/>
  <c r="AK279" i="31"/>
  <c r="AL279" i="31" s="1"/>
  <c r="AJ279" i="31"/>
  <c r="T279" i="31" s="1"/>
  <c r="V279" i="31" s="1"/>
  <c r="AK278" i="31"/>
  <c r="AL278" i="31" s="1"/>
  <c r="AJ278" i="31"/>
  <c r="T278" i="31" s="1"/>
  <c r="V278" i="31" s="1"/>
  <c r="AK277" i="31"/>
  <c r="AL277" i="31" s="1"/>
  <c r="AJ277" i="31"/>
  <c r="T277" i="31" s="1"/>
  <c r="V277" i="31" s="1"/>
  <c r="AK276" i="31"/>
  <c r="AL276" i="31" s="1"/>
  <c r="AJ276" i="31"/>
  <c r="T276" i="31" s="1"/>
  <c r="V276" i="31" s="1"/>
  <c r="AK275" i="31"/>
  <c r="AL275" i="31" s="1"/>
  <c r="AJ275" i="31"/>
  <c r="T275" i="31" s="1"/>
  <c r="AK274" i="31"/>
  <c r="AL274" i="31" s="1"/>
  <c r="AJ274" i="31"/>
  <c r="T274" i="31" s="1"/>
  <c r="V274" i="31" s="1"/>
  <c r="AK273" i="31"/>
  <c r="AL273" i="31" s="1"/>
  <c r="AJ273" i="31"/>
  <c r="T273" i="31" s="1"/>
  <c r="V273" i="31" s="1"/>
  <c r="AK272" i="31"/>
  <c r="AL272" i="31" s="1"/>
  <c r="AJ272" i="31"/>
  <c r="T272" i="31" s="1"/>
  <c r="V272" i="31" s="1"/>
  <c r="AK271" i="31"/>
  <c r="AL271" i="31" s="1"/>
  <c r="AJ271" i="31"/>
  <c r="T271" i="31" s="1"/>
  <c r="V271" i="31" s="1"/>
  <c r="AI270" i="31"/>
  <c r="AH270" i="31"/>
  <c r="AG270" i="31"/>
  <c r="AF270" i="31"/>
  <c r="AE270" i="31"/>
  <c r="AD270" i="31"/>
  <c r="AC270" i="31"/>
  <c r="AA270" i="31"/>
  <c r="Z270" i="31"/>
  <c r="Y270" i="31"/>
  <c r="X270" i="31"/>
  <c r="Q270" i="31"/>
  <c r="R277" i="31" s="1"/>
  <c r="P270" i="31"/>
  <c r="AK269" i="31"/>
  <c r="AL269" i="31" s="1"/>
  <c r="AJ269" i="31"/>
  <c r="T269" i="31" s="1"/>
  <c r="AK268" i="31"/>
  <c r="AL268" i="31" s="1"/>
  <c r="AJ268" i="31"/>
  <c r="T268" i="31" s="1"/>
  <c r="V268" i="31" s="1"/>
  <c r="AK267" i="31"/>
  <c r="AL267" i="31" s="1"/>
  <c r="AJ267" i="31"/>
  <c r="T267" i="31" s="1"/>
  <c r="V267" i="31" s="1"/>
  <c r="AK266" i="31"/>
  <c r="AL266" i="31" s="1"/>
  <c r="AJ266" i="31"/>
  <c r="T266" i="31" s="1"/>
  <c r="AK265" i="31"/>
  <c r="AL265" i="31" s="1"/>
  <c r="AJ265" i="31"/>
  <c r="T265" i="31" s="1"/>
  <c r="V265" i="31" s="1"/>
  <c r="AK264" i="31"/>
  <c r="AL264" i="31" s="1"/>
  <c r="AJ264" i="31"/>
  <c r="T264" i="31" s="1"/>
  <c r="V264" i="31" s="1"/>
  <c r="AK263" i="31"/>
  <c r="AL263" i="31" s="1"/>
  <c r="AJ263" i="31"/>
  <c r="T263" i="31" s="1"/>
  <c r="V263" i="31" s="1"/>
  <c r="AK262" i="31"/>
  <c r="AL262" i="31" s="1"/>
  <c r="AJ262" i="31"/>
  <c r="T262" i="31" s="1"/>
  <c r="V262" i="31" s="1"/>
  <c r="AK261" i="31"/>
  <c r="AL261" i="31" s="1"/>
  <c r="AJ261" i="31"/>
  <c r="T261" i="31" s="1"/>
  <c r="AK260" i="31"/>
  <c r="AL260" i="31" s="1"/>
  <c r="AJ260" i="31"/>
  <c r="T260" i="31" s="1"/>
  <c r="V260" i="31" s="1"/>
  <c r="AI259" i="31"/>
  <c r="AH259" i="31"/>
  <c r="AG259" i="31"/>
  <c r="AF259" i="31"/>
  <c r="AE259" i="31"/>
  <c r="AD259" i="31"/>
  <c r="AC259" i="31"/>
  <c r="AA259" i="31"/>
  <c r="Z259" i="31"/>
  <c r="Y259" i="31"/>
  <c r="X259" i="31"/>
  <c r="Q259" i="31"/>
  <c r="R263" i="31" s="1"/>
  <c r="AK258" i="31"/>
  <c r="AL258" i="31" s="1"/>
  <c r="AJ258" i="31"/>
  <c r="T258" i="31" s="1"/>
  <c r="V258" i="31" s="1"/>
  <c r="AK257" i="31"/>
  <c r="AL257" i="31" s="1"/>
  <c r="AJ257" i="31"/>
  <c r="T257" i="31" s="1"/>
  <c r="V257" i="31" s="1"/>
  <c r="AK256" i="31"/>
  <c r="AL256" i="31" s="1"/>
  <c r="AJ256" i="31"/>
  <c r="T256" i="31" s="1"/>
  <c r="V256" i="31" s="1"/>
  <c r="AK255" i="31"/>
  <c r="AL255" i="31" s="1"/>
  <c r="AJ255" i="31"/>
  <c r="T255" i="31" s="1"/>
  <c r="V255" i="31" s="1"/>
  <c r="AK254" i="31"/>
  <c r="AL254" i="31" s="1"/>
  <c r="AJ254" i="31"/>
  <c r="T254" i="31" s="1"/>
  <c r="V254" i="31" s="1"/>
  <c r="AK253" i="31"/>
  <c r="AL253" i="31" s="1"/>
  <c r="AJ253" i="31"/>
  <c r="T253" i="31" s="1"/>
  <c r="V253" i="31" s="1"/>
  <c r="AK252" i="31"/>
  <c r="AL252" i="31" s="1"/>
  <c r="AJ252" i="31"/>
  <c r="T252" i="31" s="1"/>
  <c r="V252" i="31" s="1"/>
  <c r="AK251" i="31"/>
  <c r="AL251" i="31" s="1"/>
  <c r="AJ251" i="31"/>
  <c r="T251" i="31" s="1"/>
  <c r="V251" i="31" s="1"/>
  <c r="AK250" i="31"/>
  <c r="AL250" i="31" s="1"/>
  <c r="AJ250" i="31"/>
  <c r="T250" i="31" s="1"/>
  <c r="V250" i="31" s="1"/>
  <c r="AK249" i="31"/>
  <c r="AL249" i="31" s="1"/>
  <c r="AJ249" i="31"/>
  <c r="T249" i="31" s="1"/>
  <c r="V249" i="31" s="1"/>
  <c r="AK248" i="31"/>
  <c r="AL248" i="31" s="1"/>
  <c r="AJ248" i="31"/>
  <c r="T248" i="31" s="1"/>
  <c r="V248" i="31" s="1"/>
  <c r="AK247" i="31"/>
  <c r="AL247" i="31" s="1"/>
  <c r="AJ247" i="31"/>
  <c r="T247" i="31" s="1"/>
  <c r="V247" i="31" s="1"/>
  <c r="AK246" i="31"/>
  <c r="AL246" i="31" s="1"/>
  <c r="AJ246" i="31"/>
  <c r="T246" i="31" s="1"/>
  <c r="V246" i="31" s="1"/>
  <c r="AK245" i="31"/>
  <c r="AL245" i="31" s="1"/>
  <c r="AJ245" i="31"/>
  <c r="T245" i="31" s="1"/>
  <c r="V245" i="31" s="1"/>
  <c r="AI244" i="31"/>
  <c r="AH244" i="31"/>
  <c r="AG244" i="31"/>
  <c r="AG243" i="31" s="1"/>
  <c r="AF244" i="31"/>
  <c r="AF243" i="31" s="1"/>
  <c r="AE244" i="31"/>
  <c r="AE243" i="31" s="1"/>
  <c r="AD244" i="31"/>
  <c r="AD243" i="31" s="1"/>
  <c r="AC244" i="31"/>
  <c r="AC243" i="31" s="1"/>
  <c r="AA244" i="31"/>
  <c r="AA243" i="31" s="1"/>
  <c r="Z244" i="31"/>
  <c r="Z243" i="31" s="1"/>
  <c r="Y244" i="31"/>
  <c r="Y243" i="31" s="1"/>
  <c r="X244" i="31"/>
  <c r="X243" i="31" s="1"/>
  <c r="Q244" i="31"/>
  <c r="R251" i="31" s="1"/>
  <c r="P244" i="31"/>
  <c r="AB243" i="31"/>
  <c r="S243" i="31"/>
  <c r="AK242" i="31"/>
  <c r="AL242" i="31" s="1"/>
  <c r="AJ242" i="31"/>
  <c r="T242" i="31" s="1"/>
  <c r="V242" i="31" s="1"/>
  <c r="AK241" i="31"/>
  <c r="AL241" i="31" s="1"/>
  <c r="AJ241" i="31"/>
  <c r="T241" i="31" s="1"/>
  <c r="AK240" i="31"/>
  <c r="AL240" i="31" s="1"/>
  <c r="AJ240" i="31"/>
  <c r="T240" i="31" s="1"/>
  <c r="V240" i="31" s="1"/>
  <c r="AK239" i="31"/>
  <c r="AL239" i="31" s="1"/>
  <c r="AJ239" i="31"/>
  <c r="T239" i="31" s="1"/>
  <c r="V239" i="31" s="1"/>
  <c r="AK238" i="31"/>
  <c r="AL238" i="31" s="1"/>
  <c r="AJ238" i="31"/>
  <c r="T238" i="31" s="1"/>
  <c r="V238" i="31" s="1"/>
  <c r="AK237" i="31"/>
  <c r="AL237" i="31" s="1"/>
  <c r="AJ237" i="31"/>
  <c r="T237" i="31" s="1"/>
  <c r="V237" i="31" s="1"/>
  <c r="AI236" i="31"/>
  <c r="AH236" i="31"/>
  <c r="AG236" i="31"/>
  <c r="AF236" i="31"/>
  <c r="AE236" i="31"/>
  <c r="AD236" i="31"/>
  <c r="AC236" i="31"/>
  <c r="AA236" i="31"/>
  <c r="Z236" i="31"/>
  <c r="Y236" i="31"/>
  <c r="X236" i="31"/>
  <c r="Q236" i="31"/>
  <c r="P236" i="31"/>
  <c r="AK235" i="31"/>
  <c r="AL235" i="31" s="1"/>
  <c r="AJ235" i="31"/>
  <c r="T235" i="31" s="1"/>
  <c r="AK234" i="31"/>
  <c r="AL234" i="31" s="1"/>
  <c r="AJ234" i="31"/>
  <c r="T234" i="31" s="1"/>
  <c r="V234" i="31" s="1"/>
  <c r="AK233" i="31"/>
  <c r="AL233" i="31" s="1"/>
  <c r="AJ233" i="31"/>
  <c r="T233" i="31" s="1"/>
  <c r="V233" i="31" s="1"/>
  <c r="AK232" i="31"/>
  <c r="AL232" i="31" s="1"/>
  <c r="AJ232" i="31"/>
  <c r="T232" i="31" s="1"/>
  <c r="V232" i="31" s="1"/>
  <c r="AK231" i="31"/>
  <c r="AL231" i="31" s="1"/>
  <c r="AJ231" i="31"/>
  <c r="T231" i="31" s="1"/>
  <c r="V231" i="31" s="1"/>
  <c r="AK230" i="31"/>
  <c r="AL230" i="31" s="1"/>
  <c r="AJ230" i="31"/>
  <c r="T230" i="31" s="1"/>
  <c r="V230" i="31" s="1"/>
  <c r="AK229" i="31"/>
  <c r="AL229" i="31" s="1"/>
  <c r="AJ229" i="31"/>
  <c r="T229" i="31" s="1"/>
  <c r="V229" i="31" s="1"/>
  <c r="AK228" i="31"/>
  <c r="AL228" i="31" s="1"/>
  <c r="AJ228" i="31"/>
  <c r="T228" i="31" s="1"/>
  <c r="V228" i="31" s="1"/>
  <c r="AK227" i="31"/>
  <c r="AL227" i="31" s="1"/>
  <c r="AJ227" i="31"/>
  <c r="T227" i="31" s="1"/>
  <c r="AK226" i="31"/>
  <c r="AL226" i="31" s="1"/>
  <c r="AJ226" i="31"/>
  <c r="T226" i="31" s="1"/>
  <c r="V226" i="31" s="1"/>
  <c r="AI225" i="31"/>
  <c r="AH225" i="31"/>
  <c r="AG225" i="31"/>
  <c r="AF225" i="31"/>
  <c r="AE225" i="31"/>
  <c r="AD225" i="31"/>
  <c r="AC225" i="31"/>
  <c r="AA225" i="31"/>
  <c r="Z225" i="31"/>
  <c r="Y225" i="31"/>
  <c r="X225" i="31"/>
  <c r="Q225" i="31"/>
  <c r="R229" i="31" s="1"/>
  <c r="P225" i="31"/>
  <c r="A225" i="31"/>
  <c r="A236" i="31" s="1"/>
  <c r="A244" i="31" s="1"/>
  <c r="A259" i="31" s="1"/>
  <c r="A270" i="31" s="1"/>
  <c r="A282" i="31" s="1"/>
  <c r="A292" i="31" s="1"/>
  <c r="A304" i="31" s="1"/>
  <c r="A312" i="31" s="1"/>
  <c r="A320" i="31" s="1"/>
  <c r="A327" i="31" s="1"/>
  <c r="A334" i="31" s="1"/>
  <c r="A345" i="31" s="1"/>
  <c r="AK224" i="31"/>
  <c r="AL224" i="31" s="1"/>
  <c r="AJ224" i="31"/>
  <c r="T224" i="31" s="1"/>
  <c r="V224" i="31" s="1"/>
  <c r="AK223" i="31"/>
  <c r="AL223" i="31" s="1"/>
  <c r="AJ223" i="31"/>
  <c r="T223" i="31" s="1"/>
  <c r="V223" i="31" s="1"/>
  <c r="AK222" i="31"/>
  <c r="AL222" i="31" s="1"/>
  <c r="AJ222" i="31"/>
  <c r="T222" i="31" s="1"/>
  <c r="V222" i="31" s="1"/>
  <c r="AK221" i="31"/>
  <c r="AL221" i="31" s="1"/>
  <c r="AJ221" i="31"/>
  <c r="T221" i="31" s="1"/>
  <c r="V221" i="31" s="1"/>
  <c r="AK220" i="31"/>
  <c r="AL220" i="31" s="1"/>
  <c r="AJ220" i="31"/>
  <c r="T220" i="31" s="1"/>
  <c r="V220" i="31" s="1"/>
  <c r="AK219" i="31"/>
  <c r="AL219" i="31" s="1"/>
  <c r="AJ219" i="31"/>
  <c r="T219" i="31" s="1"/>
  <c r="V219" i="31" s="1"/>
  <c r="AK218" i="31"/>
  <c r="AL218" i="31" s="1"/>
  <c r="AJ218" i="31"/>
  <c r="T218" i="31" s="1"/>
  <c r="V218" i="31" s="1"/>
  <c r="AI217" i="31"/>
  <c r="AH217" i="31"/>
  <c r="AG217" i="31"/>
  <c r="AF217" i="31"/>
  <c r="AE217" i="31"/>
  <c r="AD217" i="31"/>
  <c r="AC217" i="31"/>
  <c r="AA217" i="31"/>
  <c r="Z217" i="31"/>
  <c r="Y217" i="31"/>
  <c r="X217" i="31"/>
  <c r="Q217" i="31"/>
  <c r="R224" i="31" s="1"/>
  <c r="P217" i="31"/>
  <c r="AK216" i="31"/>
  <c r="AL216" i="31" s="1"/>
  <c r="AJ216" i="31"/>
  <c r="T216" i="31" s="1"/>
  <c r="AK215" i="31"/>
  <c r="AL215" i="31" s="1"/>
  <c r="AJ215" i="31"/>
  <c r="T215" i="31" s="1"/>
  <c r="V215" i="31" s="1"/>
  <c r="AH215" i="31"/>
  <c r="AG215" i="31"/>
  <c r="AF215" i="31"/>
  <c r="AE215" i="31"/>
  <c r="AD215" i="31"/>
  <c r="AC215" i="31"/>
  <c r="AA215" i="31"/>
  <c r="Z215" i="31"/>
  <c r="Y215" i="31"/>
  <c r="X215" i="31"/>
  <c r="AK214" i="31"/>
  <c r="AL214" i="31" s="1"/>
  <c r="AJ214" i="31"/>
  <c r="T214" i="31" s="1"/>
  <c r="AH214" i="31"/>
  <c r="AG214" i="31"/>
  <c r="AF214" i="31"/>
  <c r="AE214" i="31"/>
  <c r="AD214" i="31"/>
  <c r="AC214" i="31"/>
  <c r="AA214" i="31"/>
  <c r="Z214" i="31"/>
  <c r="Y214" i="31"/>
  <c r="X214" i="31"/>
  <c r="AK213" i="31"/>
  <c r="AL213" i="31" s="1"/>
  <c r="AJ213" i="31"/>
  <c r="T213" i="31" s="1"/>
  <c r="V213" i="31" s="1"/>
  <c r="AH213" i="31"/>
  <c r="AG213" i="31"/>
  <c r="AF213" i="31"/>
  <c r="AE213" i="31"/>
  <c r="AD213" i="31"/>
  <c r="AC213" i="31"/>
  <c r="AA213" i="31"/>
  <c r="Z213" i="31"/>
  <c r="Y213" i="31"/>
  <c r="X213" i="31"/>
  <c r="AK212" i="31"/>
  <c r="AL212" i="31" s="1"/>
  <c r="AJ212" i="31"/>
  <c r="T212" i="31" s="1"/>
  <c r="V212" i="31" s="1"/>
  <c r="AH212" i="31"/>
  <c r="AG212" i="31"/>
  <c r="AF212" i="31"/>
  <c r="AE212" i="31"/>
  <c r="AD212" i="31"/>
  <c r="AC212" i="31"/>
  <c r="AA212" i="31"/>
  <c r="Z212" i="31"/>
  <c r="Y212" i="31"/>
  <c r="X212" i="31"/>
  <c r="AI211" i="31"/>
  <c r="AH211" i="31"/>
  <c r="AG211" i="31"/>
  <c r="AF211" i="31"/>
  <c r="AE211" i="31"/>
  <c r="AD211" i="31"/>
  <c r="AC211" i="31"/>
  <c r="AA211" i="31"/>
  <c r="Z211" i="31"/>
  <c r="Y211" i="31"/>
  <c r="X211" i="31"/>
  <c r="Q211" i="31"/>
  <c r="R214" i="31" s="1"/>
  <c r="P211" i="31"/>
  <c r="AK210" i="31"/>
  <c r="AL210" i="31" s="1"/>
  <c r="AJ210" i="31"/>
  <c r="T210" i="31" s="1"/>
  <c r="V210" i="31" s="1"/>
  <c r="AH210" i="31"/>
  <c r="AG210" i="31"/>
  <c r="AF210" i="31"/>
  <c r="AE210" i="31"/>
  <c r="AD210" i="31"/>
  <c r="AC210" i="31"/>
  <c r="AA210" i="31"/>
  <c r="Z210" i="31"/>
  <c r="Y210" i="31"/>
  <c r="X210" i="31"/>
  <c r="AK209" i="31"/>
  <c r="AL209" i="31" s="1"/>
  <c r="AJ209" i="31"/>
  <c r="T209" i="31" s="1"/>
  <c r="V209" i="31" s="1"/>
  <c r="AH209" i="31"/>
  <c r="AG209" i="31"/>
  <c r="AF209" i="31"/>
  <c r="AE209" i="31"/>
  <c r="AD209" i="31"/>
  <c r="AC209" i="31"/>
  <c r="AA209" i="31"/>
  <c r="Z209" i="31"/>
  <c r="Y209" i="31"/>
  <c r="X209" i="31"/>
  <c r="AK208" i="31"/>
  <c r="AL208" i="31" s="1"/>
  <c r="AJ208" i="31"/>
  <c r="T208" i="31" s="1"/>
  <c r="V208" i="31" s="1"/>
  <c r="AH208" i="31"/>
  <c r="AG208" i="31"/>
  <c r="AF208" i="31"/>
  <c r="AE208" i="31"/>
  <c r="AD208" i="31"/>
  <c r="AC208" i="31"/>
  <c r="AA208" i="31"/>
  <c r="Z208" i="31"/>
  <c r="Y208" i="31"/>
  <c r="X208" i="31"/>
  <c r="AK207" i="31"/>
  <c r="AL207" i="31" s="1"/>
  <c r="AJ207" i="31"/>
  <c r="T207" i="31" s="1"/>
  <c r="V207" i="31" s="1"/>
  <c r="AH207" i="31"/>
  <c r="AG207" i="31"/>
  <c r="AF207" i="31"/>
  <c r="AE207" i="31"/>
  <c r="AD207" i="31"/>
  <c r="AC207" i="31"/>
  <c r="AA207" i="31"/>
  <c r="Z207" i="31"/>
  <c r="Y207" i="31"/>
  <c r="X207" i="31"/>
  <c r="AK206" i="31"/>
  <c r="AL206" i="31" s="1"/>
  <c r="AJ206" i="31"/>
  <c r="T206" i="31" s="1"/>
  <c r="V206" i="31" s="1"/>
  <c r="AH206" i="31"/>
  <c r="AG206" i="31"/>
  <c r="AF206" i="31"/>
  <c r="AE206" i="31"/>
  <c r="AD206" i="31"/>
  <c r="AC206" i="31"/>
  <c r="AA206" i="31"/>
  <c r="Z206" i="31"/>
  <c r="Y206" i="31"/>
  <c r="X206" i="31"/>
  <c r="AK205" i="31"/>
  <c r="AL205" i="31" s="1"/>
  <c r="AJ205" i="31"/>
  <c r="T205" i="31" s="1"/>
  <c r="V205" i="31" s="1"/>
  <c r="AH205" i="31"/>
  <c r="AG205" i="31"/>
  <c r="AF205" i="31"/>
  <c r="AE205" i="31"/>
  <c r="AD205" i="31"/>
  <c r="AC205" i="31"/>
  <c r="AA205" i="31"/>
  <c r="Z205" i="31"/>
  <c r="Y205" i="31"/>
  <c r="X205" i="31"/>
  <c r="AI204" i="31"/>
  <c r="AH204" i="31"/>
  <c r="AG204" i="31"/>
  <c r="AF204" i="31"/>
  <c r="AE204" i="31"/>
  <c r="AD204" i="31"/>
  <c r="AC204" i="31"/>
  <c r="AA204" i="31"/>
  <c r="Z204" i="31"/>
  <c r="Y204" i="31"/>
  <c r="X204" i="31"/>
  <c r="Q204" i="31"/>
  <c r="R209" i="31" s="1"/>
  <c r="P204" i="31"/>
  <c r="A204" i="31"/>
  <c r="A211" i="31" s="1"/>
  <c r="AK203" i="31"/>
  <c r="AL203" i="31" s="1"/>
  <c r="AJ203" i="31"/>
  <c r="T203" i="31" s="1"/>
  <c r="V203" i="31" s="1"/>
  <c r="AK202" i="31"/>
  <c r="AL202" i="31" s="1"/>
  <c r="AJ202" i="31"/>
  <c r="T202" i="31" s="1"/>
  <c r="V202" i="31" s="1"/>
  <c r="AK201" i="31"/>
  <c r="AL201" i="31" s="1"/>
  <c r="AJ201" i="31"/>
  <c r="T201" i="31" s="1"/>
  <c r="V201" i="31" s="1"/>
  <c r="AK200" i="31"/>
  <c r="AL200" i="31" s="1"/>
  <c r="AJ200" i="31"/>
  <c r="T200" i="31" s="1"/>
  <c r="V200" i="31" s="1"/>
  <c r="AK199" i="31"/>
  <c r="AL199" i="31" s="1"/>
  <c r="AJ199" i="31"/>
  <c r="T199" i="31" s="1"/>
  <c r="V199" i="31" s="1"/>
  <c r="AK198" i="31"/>
  <c r="AL198" i="31" s="1"/>
  <c r="AJ198" i="31"/>
  <c r="T198" i="31" s="1"/>
  <c r="V198" i="31" s="1"/>
  <c r="AK197" i="31"/>
  <c r="AL197" i="31" s="1"/>
  <c r="AJ197" i="31"/>
  <c r="T197" i="31" s="1"/>
  <c r="V197" i="31" s="1"/>
  <c r="AI196" i="31"/>
  <c r="AH196" i="31"/>
  <c r="AG196" i="31"/>
  <c r="AF196" i="31"/>
  <c r="AE196" i="31"/>
  <c r="AD196" i="31"/>
  <c r="AC196" i="31"/>
  <c r="AA196" i="31"/>
  <c r="Z196" i="31"/>
  <c r="Y196" i="31"/>
  <c r="X196" i="31"/>
  <c r="Q196" i="31"/>
  <c r="P196" i="31"/>
  <c r="AK195" i="31"/>
  <c r="AL195" i="31" s="1"/>
  <c r="AJ195" i="31"/>
  <c r="T195" i="31" s="1"/>
  <c r="AK194" i="31"/>
  <c r="AL194" i="31" s="1"/>
  <c r="AJ194" i="31"/>
  <c r="T194" i="31" s="1"/>
  <c r="V194" i="31" s="1"/>
  <c r="AK193" i="31"/>
  <c r="AL193" i="31" s="1"/>
  <c r="AJ193" i="31"/>
  <c r="T193" i="31" s="1"/>
  <c r="V193" i="31" s="1"/>
  <c r="AK192" i="31"/>
  <c r="AL192" i="31" s="1"/>
  <c r="AJ192" i="31"/>
  <c r="T192" i="31" s="1"/>
  <c r="V192" i="31" s="1"/>
  <c r="AK191" i="31"/>
  <c r="AL191" i="31" s="1"/>
  <c r="AJ191" i="31"/>
  <c r="T191" i="31" s="1"/>
  <c r="V191" i="31" s="1"/>
  <c r="AK190" i="31"/>
  <c r="AL190" i="31" s="1"/>
  <c r="AJ190" i="31"/>
  <c r="T190" i="31" s="1"/>
  <c r="V190" i="31" s="1"/>
  <c r="AK189" i="31"/>
  <c r="AL189" i="31" s="1"/>
  <c r="AJ189" i="31"/>
  <c r="T189" i="31" s="1"/>
  <c r="AI188" i="31"/>
  <c r="AH188" i="31"/>
  <c r="AG188" i="31"/>
  <c r="AF188" i="31"/>
  <c r="AE188" i="31"/>
  <c r="AD188" i="31"/>
  <c r="AC188" i="31"/>
  <c r="AA188" i="31"/>
  <c r="Z188" i="31"/>
  <c r="Y188" i="31"/>
  <c r="X188" i="31"/>
  <c r="Q188" i="31"/>
  <c r="P188" i="31"/>
  <c r="AK187" i="31"/>
  <c r="AL187" i="31" s="1"/>
  <c r="AJ187" i="31"/>
  <c r="T186" i="31" s="1"/>
  <c r="V186" i="31" s="1"/>
  <c r="AK186" i="31"/>
  <c r="AL186" i="31" s="1"/>
  <c r="AJ186" i="31"/>
  <c r="AK185" i="31"/>
  <c r="AL185" i="31" s="1"/>
  <c r="AJ185" i="31"/>
  <c r="T185" i="31" s="1"/>
  <c r="V185" i="31" s="1"/>
  <c r="AK184" i="31"/>
  <c r="AL184" i="31" s="1"/>
  <c r="AJ184" i="31"/>
  <c r="T184" i="31" s="1"/>
  <c r="V184" i="31" s="1"/>
  <c r="AK183" i="31"/>
  <c r="AL183" i="31" s="1"/>
  <c r="AJ183" i="31"/>
  <c r="T183" i="31" s="1"/>
  <c r="AK182" i="31"/>
  <c r="AL182" i="31" s="1"/>
  <c r="AJ182" i="31"/>
  <c r="T182" i="31" s="1"/>
  <c r="V182" i="31" s="1"/>
  <c r="AK181" i="31"/>
  <c r="AL181" i="31" s="1"/>
  <c r="AJ181" i="31"/>
  <c r="T181" i="31" s="1"/>
  <c r="AK180" i="31"/>
  <c r="AL180" i="31" s="1"/>
  <c r="AJ180" i="31"/>
  <c r="T180" i="31" s="1"/>
  <c r="V180" i="31" s="1"/>
  <c r="AK179" i="31"/>
  <c r="AJ179" i="31"/>
  <c r="T179" i="31" s="1"/>
  <c r="AK178" i="31"/>
  <c r="AL178" i="31" s="1"/>
  <c r="AJ178" i="31"/>
  <c r="T178" i="31" s="1"/>
  <c r="V178" i="31" s="1"/>
  <c r="AR177" i="31"/>
  <c r="AK177" i="31"/>
  <c r="AL177" i="31" s="1"/>
  <c r="AJ177" i="31"/>
  <c r="T177" i="31" s="1"/>
  <c r="V177" i="31" s="1"/>
  <c r="AI176" i="31"/>
  <c r="AH176" i="31"/>
  <c r="AG176" i="31"/>
  <c r="AG175" i="31" s="1"/>
  <c r="AF176" i="31"/>
  <c r="AF175" i="31" s="1"/>
  <c r="AE176" i="31"/>
  <c r="AE175" i="31" s="1"/>
  <c r="AD176" i="31"/>
  <c r="AD175" i="31" s="1"/>
  <c r="AC176" i="31"/>
  <c r="AC175" i="31" s="1"/>
  <c r="AA176" i="31"/>
  <c r="AA175" i="31" s="1"/>
  <c r="Z176" i="31"/>
  <c r="Z175" i="31" s="1"/>
  <c r="Y176" i="31"/>
  <c r="Y175" i="31" s="1"/>
  <c r="X176" i="31"/>
  <c r="X175" i="31" s="1"/>
  <c r="Q176" i="31"/>
  <c r="R182" i="31" s="1"/>
  <c r="P176" i="31"/>
  <c r="AB175" i="31"/>
  <c r="W175" i="31"/>
  <c r="S175" i="31"/>
  <c r="O175" i="31"/>
  <c r="AK174" i="31"/>
  <c r="AL174" i="31" s="1"/>
  <c r="AJ174" i="31"/>
  <c r="T174" i="31" s="1"/>
  <c r="V174" i="31" s="1"/>
  <c r="AK173" i="31"/>
  <c r="AL173" i="31" s="1"/>
  <c r="AJ173" i="31"/>
  <c r="T173" i="31" s="1"/>
  <c r="V173" i="31" s="1"/>
  <c r="AK172" i="31"/>
  <c r="AL172" i="31" s="1"/>
  <c r="AJ172" i="31"/>
  <c r="T172" i="31" s="1"/>
  <c r="V172" i="31" s="1"/>
  <c r="AK171" i="31"/>
  <c r="AL171" i="31" s="1"/>
  <c r="AJ171" i="31"/>
  <c r="T171" i="31" s="1"/>
  <c r="V171" i="31" s="1"/>
  <c r="AK170" i="31"/>
  <c r="AL170" i="31" s="1"/>
  <c r="AJ170" i="31"/>
  <c r="T170" i="31" s="1"/>
  <c r="V170" i="31" s="1"/>
  <c r="AK169" i="31"/>
  <c r="AL169" i="31" s="1"/>
  <c r="AJ169" i="31"/>
  <c r="T169" i="31" s="1"/>
  <c r="V169" i="31" s="1"/>
  <c r="AK168" i="31"/>
  <c r="AL168" i="31" s="1"/>
  <c r="AJ168" i="31"/>
  <c r="T168" i="31" s="1"/>
  <c r="V168" i="31" s="1"/>
  <c r="AK167" i="31"/>
  <c r="AL167" i="31" s="1"/>
  <c r="AJ167" i="31"/>
  <c r="T167" i="31" s="1"/>
  <c r="V167" i="31" s="1"/>
  <c r="AI166" i="31"/>
  <c r="AH166" i="31"/>
  <c r="AG166" i="31"/>
  <c r="AF166" i="31"/>
  <c r="AE166" i="31"/>
  <c r="AD166" i="31"/>
  <c r="AC166" i="31"/>
  <c r="AA166" i="31"/>
  <c r="Z166" i="31"/>
  <c r="Y166" i="31"/>
  <c r="X166" i="31"/>
  <c r="Q166" i="31"/>
  <c r="R170" i="31" s="1"/>
  <c r="P166" i="31"/>
  <c r="AK165" i="31"/>
  <c r="AL165" i="31" s="1"/>
  <c r="AJ165" i="31"/>
  <c r="T165" i="31" s="1"/>
  <c r="V165" i="31" s="1"/>
  <c r="AI164" i="31"/>
  <c r="AH164" i="31"/>
  <c r="AG164" i="31"/>
  <c r="AG163" i="31" s="1"/>
  <c r="AF164" i="31"/>
  <c r="AF163" i="31" s="1"/>
  <c r="AE164" i="31"/>
  <c r="AE163" i="31" s="1"/>
  <c r="AD164" i="31"/>
  <c r="AD163" i="31" s="1"/>
  <c r="AC164" i="31"/>
  <c r="AC163" i="31" s="1"/>
  <c r="AA164" i="31"/>
  <c r="AA163" i="31" s="1"/>
  <c r="Z164" i="31"/>
  <c r="Z163" i="31" s="1"/>
  <c r="Y164" i="31"/>
  <c r="Y163" i="31" s="1"/>
  <c r="X164" i="31"/>
  <c r="X163" i="31" s="1"/>
  <c r="Q164" i="31"/>
  <c r="P164" i="31"/>
  <c r="AB163" i="31"/>
  <c r="W163" i="31"/>
  <c r="O163" i="31"/>
  <c r="AK162" i="31"/>
  <c r="AL162" i="31" s="1"/>
  <c r="AJ162" i="31"/>
  <c r="T162" i="31" s="1"/>
  <c r="V162" i="31" s="1"/>
  <c r="AK161" i="31"/>
  <c r="AL161" i="31" s="1"/>
  <c r="AJ161" i="31"/>
  <c r="T161" i="31" s="1"/>
  <c r="V161" i="31" s="1"/>
  <c r="AI160" i="31"/>
  <c r="AH160" i="31"/>
  <c r="AH156" i="31" s="1"/>
  <c r="AG160" i="31"/>
  <c r="AG156" i="31" s="1"/>
  <c r="AF160" i="31"/>
  <c r="AF156" i="31" s="1"/>
  <c r="AE160" i="31"/>
  <c r="AE156" i="31" s="1"/>
  <c r="AD160" i="31"/>
  <c r="AD156" i="31" s="1"/>
  <c r="AC160" i="31"/>
  <c r="AC156" i="31" s="1"/>
  <c r="AA160" i="31"/>
  <c r="AA156" i="31" s="1"/>
  <c r="Z160" i="31"/>
  <c r="Z156" i="31" s="1"/>
  <c r="Y160" i="31"/>
  <c r="Y156" i="31" s="1"/>
  <c r="X160" i="31"/>
  <c r="X156" i="31" s="1"/>
  <c r="Q160" i="31"/>
  <c r="R161" i="31" s="1"/>
  <c r="P160" i="31"/>
  <c r="P156" i="31" s="1"/>
  <c r="AK159" i="31"/>
  <c r="AL159" i="31" s="1"/>
  <c r="AJ159" i="31"/>
  <c r="T159" i="31" s="1"/>
  <c r="V159" i="31" s="1"/>
  <c r="AK158" i="31"/>
  <c r="AL158" i="31" s="1"/>
  <c r="AJ158" i="31"/>
  <c r="T158" i="31" s="1"/>
  <c r="AI157" i="31"/>
  <c r="AH157" i="31"/>
  <c r="AG157" i="31"/>
  <c r="AF157" i="31"/>
  <c r="AE157" i="31"/>
  <c r="AD157" i="31"/>
  <c r="AC157" i="31"/>
  <c r="AA157" i="31"/>
  <c r="Z157" i="31"/>
  <c r="Y157" i="31"/>
  <c r="X157" i="31"/>
  <c r="Q157" i="31"/>
  <c r="AB156" i="31"/>
  <c r="W156" i="31"/>
  <c r="O156" i="31"/>
  <c r="AK155" i="31"/>
  <c r="AL155" i="31" s="1"/>
  <c r="AJ155" i="31"/>
  <c r="T155" i="31" s="1"/>
  <c r="V155" i="31" s="1"/>
  <c r="AH155" i="31"/>
  <c r="AF155" i="31"/>
  <c r="AE155" i="31"/>
  <c r="AD155" i="31"/>
  <c r="AC155" i="31"/>
  <c r="AA155" i="31"/>
  <c r="Z155" i="31"/>
  <c r="Y155" i="31"/>
  <c r="X155" i="31"/>
  <c r="AI154" i="31"/>
  <c r="AH154" i="31"/>
  <c r="AF154" i="31"/>
  <c r="AE154" i="31"/>
  <c r="AD154" i="31"/>
  <c r="AC154" i="31"/>
  <c r="AA154" i="31"/>
  <c r="Z154" i="31"/>
  <c r="Y154" i="31"/>
  <c r="X154" i="31"/>
  <c r="Q154" i="31"/>
  <c r="AK153" i="31"/>
  <c r="AL153" i="31" s="1"/>
  <c r="AJ153" i="31"/>
  <c r="T153" i="31" s="1"/>
  <c r="V153" i="31" s="1"/>
  <c r="AH153" i="31"/>
  <c r="AF153" i="31"/>
  <c r="AE153" i="31"/>
  <c r="AD153" i="31"/>
  <c r="AC153" i="31"/>
  <c r="AA153" i="31"/>
  <c r="Z153" i="31"/>
  <c r="Y153" i="31"/>
  <c r="X153" i="31"/>
  <c r="AI152" i="31"/>
  <c r="AH152" i="31"/>
  <c r="AF152" i="31"/>
  <c r="AE152" i="31"/>
  <c r="AD152" i="31"/>
  <c r="AC152" i="31"/>
  <c r="AA152" i="31"/>
  <c r="Z152" i="31"/>
  <c r="Y152" i="31"/>
  <c r="X152" i="31"/>
  <c r="Q152" i="31"/>
  <c r="AK151" i="31"/>
  <c r="AL151" i="31" s="1"/>
  <c r="AJ151" i="31"/>
  <c r="T151" i="31" s="1"/>
  <c r="V151" i="31" s="1"/>
  <c r="AH151" i="31"/>
  <c r="AF151" i="31"/>
  <c r="AE151" i="31"/>
  <c r="AD151" i="31"/>
  <c r="AC151" i="31"/>
  <c r="AA151" i="31"/>
  <c r="Z151" i="31"/>
  <c r="Y151" i="31"/>
  <c r="X151" i="31"/>
  <c r="AI150" i="31"/>
  <c r="AH150" i="31"/>
  <c r="AF150" i="31"/>
  <c r="AE150" i="31"/>
  <c r="AD150" i="31"/>
  <c r="AC150" i="31"/>
  <c r="AA150" i="31"/>
  <c r="Z150" i="31"/>
  <c r="Y150" i="31"/>
  <c r="X150" i="31"/>
  <c r="Q150" i="31"/>
  <c r="R151" i="31" s="1"/>
  <c r="P150" i="31"/>
  <c r="AK149" i="31"/>
  <c r="AL149" i="31" s="1"/>
  <c r="AJ149" i="31"/>
  <c r="T149" i="31" s="1"/>
  <c r="AK148" i="31"/>
  <c r="AL148" i="31" s="1"/>
  <c r="AJ148" i="31"/>
  <c r="T148" i="31" s="1"/>
  <c r="V148" i="31" s="1"/>
  <c r="AH148" i="31"/>
  <c r="AG148" i="31"/>
  <c r="AF148" i="31"/>
  <c r="AE148" i="31"/>
  <c r="AD148" i="31"/>
  <c r="AC148" i="31"/>
  <c r="AA148" i="31"/>
  <c r="Z148" i="31"/>
  <c r="Y148" i="31"/>
  <c r="X148" i="31"/>
  <c r="AK147" i="31"/>
  <c r="AL147" i="31" s="1"/>
  <c r="AJ147" i="31"/>
  <c r="T147" i="31" s="1"/>
  <c r="V147" i="31" s="1"/>
  <c r="AH147" i="31"/>
  <c r="AG147" i="31"/>
  <c r="AF147" i="31"/>
  <c r="AE147" i="31"/>
  <c r="AD147" i="31"/>
  <c r="AC147" i="31"/>
  <c r="AA147" i="31"/>
  <c r="Z147" i="31"/>
  <c r="Y147" i="31"/>
  <c r="X147" i="31"/>
  <c r="AK146" i="31"/>
  <c r="AL146" i="31" s="1"/>
  <c r="AJ146" i="31"/>
  <c r="T146" i="31" s="1"/>
  <c r="V146" i="31" s="1"/>
  <c r="AH146" i="31"/>
  <c r="AG146" i="31"/>
  <c r="AF146" i="31"/>
  <c r="AE146" i="31"/>
  <c r="AD146" i="31"/>
  <c r="AC146" i="31"/>
  <c r="AA146" i="31"/>
  <c r="Z146" i="31"/>
  <c r="Y146" i="31"/>
  <c r="X146" i="31"/>
  <c r="AK145" i="31"/>
  <c r="AL145" i="31" s="1"/>
  <c r="AJ145" i="31"/>
  <c r="T145" i="31" s="1"/>
  <c r="V145" i="31" s="1"/>
  <c r="AH145" i="31"/>
  <c r="AG145" i="31"/>
  <c r="AF145" i="31"/>
  <c r="AE145" i="31"/>
  <c r="AD145" i="31"/>
  <c r="AC145" i="31"/>
  <c r="AA145" i="31"/>
  <c r="Z145" i="31"/>
  <c r="Y145" i="31"/>
  <c r="X145" i="31"/>
  <c r="AK144" i="31"/>
  <c r="AL144" i="31" s="1"/>
  <c r="AJ144" i="31"/>
  <c r="T144" i="31" s="1"/>
  <c r="V144" i="31" s="1"/>
  <c r="AH144" i="31"/>
  <c r="AG144" i="31"/>
  <c r="AF144" i="31"/>
  <c r="AE144" i="31"/>
  <c r="AD144" i="31"/>
  <c r="AC144" i="31"/>
  <c r="AA144" i="31"/>
  <c r="Z144" i="31"/>
  <c r="Y144" i="31"/>
  <c r="X144" i="31"/>
  <c r="AI143" i="31"/>
  <c r="AH143" i="31"/>
  <c r="AG143" i="31"/>
  <c r="AF143" i="31"/>
  <c r="AE143" i="31"/>
  <c r="AD143" i="31"/>
  <c r="AC143" i="31"/>
  <c r="AA143" i="31"/>
  <c r="Z143" i="31"/>
  <c r="Y143" i="31"/>
  <c r="X143" i="31"/>
  <c r="Q143" i="31"/>
  <c r="P143" i="31"/>
  <c r="AK142" i="31"/>
  <c r="AL142" i="31" s="1"/>
  <c r="AJ142" i="31"/>
  <c r="T142" i="31" s="1"/>
  <c r="V142" i="31" s="1"/>
  <c r="AH142" i="31"/>
  <c r="AG142" i="31"/>
  <c r="AF142" i="31"/>
  <c r="AE142" i="31"/>
  <c r="AD142" i="31"/>
  <c r="AC142" i="31"/>
  <c r="AA142" i="31"/>
  <c r="Z142" i="31"/>
  <c r="Y142" i="31"/>
  <c r="X142" i="31"/>
  <c r="AK141" i="31"/>
  <c r="AL141" i="31" s="1"/>
  <c r="AJ141" i="31"/>
  <c r="T141" i="31" s="1"/>
  <c r="V141" i="31" s="1"/>
  <c r="AH141" i="31"/>
  <c r="AG141" i="31"/>
  <c r="AF141" i="31"/>
  <c r="AE141" i="31"/>
  <c r="AD141" i="31"/>
  <c r="AC141" i="31"/>
  <c r="AA141" i="31"/>
  <c r="Z141" i="31"/>
  <c r="Y141" i="31"/>
  <c r="X141" i="31"/>
  <c r="AK140" i="31"/>
  <c r="AL140" i="31" s="1"/>
  <c r="AJ140" i="31"/>
  <c r="T140" i="31" s="1"/>
  <c r="V140" i="31" s="1"/>
  <c r="AH140" i="31"/>
  <c r="AG140" i="31"/>
  <c r="AF140" i="31"/>
  <c r="AE140" i="31"/>
  <c r="AD140" i="31"/>
  <c r="AC140" i="31"/>
  <c r="AA140" i="31"/>
  <c r="Z140" i="31"/>
  <c r="Y140" i="31"/>
  <c r="X140" i="31"/>
  <c r="AI139" i="31"/>
  <c r="AH139" i="31"/>
  <c r="AG139" i="31"/>
  <c r="AF139" i="31"/>
  <c r="AE139" i="31"/>
  <c r="AD139" i="31"/>
  <c r="AC139" i="31"/>
  <c r="AA139" i="31"/>
  <c r="Z139" i="31"/>
  <c r="Y139" i="31"/>
  <c r="X139" i="31"/>
  <c r="Q139" i="31"/>
  <c r="R144" i="31" s="1"/>
  <c r="P139" i="31"/>
  <c r="AK138" i="31"/>
  <c r="AL138" i="31" s="1"/>
  <c r="AJ138" i="31"/>
  <c r="T138" i="31" s="1"/>
  <c r="V138" i="31" s="1"/>
  <c r="AH138" i="31"/>
  <c r="AG138" i="31"/>
  <c r="AK137" i="31"/>
  <c r="AL137" i="31" s="1"/>
  <c r="AJ137" i="31"/>
  <c r="T137" i="31" s="1"/>
  <c r="V137" i="31" s="1"/>
  <c r="AI136" i="31"/>
  <c r="AH136" i="31"/>
  <c r="AG136" i="31"/>
  <c r="Q136" i="31"/>
  <c r="R138" i="31" s="1"/>
  <c r="AK135" i="31"/>
  <c r="AL135" i="31" s="1"/>
  <c r="AJ135" i="31"/>
  <c r="T135" i="31" s="1"/>
  <c r="V135" i="31" s="1"/>
  <c r="AI134" i="31"/>
  <c r="AH134" i="31"/>
  <c r="AG134" i="31"/>
  <c r="AF134" i="31"/>
  <c r="AE134" i="31"/>
  <c r="AD134" i="31"/>
  <c r="AC134" i="31"/>
  <c r="AA134" i="31"/>
  <c r="Z134" i="31"/>
  <c r="Y134" i="31"/>
  <c r="X134" i="31"/>
  <c r="Q134" i="31"/>
  <c r="P134" i="31"/>
  <c r="AK133" i="31"/>
  <c r="AL133" i="31" s="1"/>
  <c r="AJ133" i="31"/>
  <c r="T133" i="31" s="1"/>
  <c r="V133" i="31" s="1"/>
  <c r="AK132" i="31"/>
  <c r="AL132" i="31" s="1"/>
  <c r="AJ132" i="31"/>
  <c r="T132" i="31" s="1"/>
  <c r="V132" i="31" s="1"/>
  <c r="AK131" i="31"/>
  <c r="AL131" i="31" s="1"/>
  <c r="AJ131" i="31"/>
  <c r="T131" i="31" s="1"/>
  <c r="V131" i="31" s="1"/>
  <c r="AK130" i="31"/>
  <c r="AL130" i="31" s="1"/>
  <c r="AJ130" i="31"/>
  <c r="T130" i="31" s="1"/>
  <c r="V130" i="31" s="1"/>
  <c r="AK129" i="31"/>
  <c r="AL129" i="31" s="1"/>
  <c r="AJ129" i="31"/>
  <c r="T129" i="31" s="1"/>
  <c r="V129" i="31" s="1"/>
  <c r="AK128" i="31"/>
  <c r="AL128" i="31" s="1"/>
  <c r="AJ128" i="31"/>
  <c r="T128" i="31" s="1"/>
  <c r="V128" i="31" s="1"/>
  <c r="AK127" i="31"/>
  <c r="AL127" i="31" s="1"/>
  <c r="AJ127" i="31"/>
  <c r="T127" i="31" s="1"/>
  <c r="V127" i="31" s="1"/>
  <c r="AH127" i="31"/>
  <c r="AG127" i="31"/>
  <c r="AF127" i="31"/>
  <c r="AE127" i="31"/>
  <c r="AD127" i="31"/>
  <c r="AC127" i="31"/>
  <c r="AA127" i="31"/>
  <c r="Z127" i="31"/>
  <c r="Y127" i="31"/>
  <c r="X127" i="31"/>
  <c r="AK126" i="31"/>
  <c r="AL126" i="31" s="1"/>
  <c r="AJ126" i="31"/>
  <c r="T126" i="31" s="1"/>
  <c r="V126" i="31" s="1"/>
  <c r="AH126" i="31"/>
  <c r="AG126" i="31"/>
  <c r="AF126" i="31"/>
  <c r="AE126" i="31"/>
  <c r="AD126" i="31"/>
  <c r="AC126" i="31"/>
  <c r="AA126" i="31"/>
  <c r="Z126" i="31"/>
  <c r="Y126" i="31"/>
  <c r="X126" i="31"/>
  <c r="AK125" i="31"/>
  <c r="AL125" i="31" s="1"/>
  <c r="AJ125" i="31"/>
  <c r="T125" i="31" s="1"/>
  <c r="V125" i="31" s="1"/>
  <c r="AH125" i="31"/>
  <c r="AG125" i="31"/>
  <c r="AF125" i="31"/>
  <c r="AE125" i="31"/>
  <c r="AD125" i="31"/>
  <c r="AC125" i="31"/>
  <c r="AA125" i="31"/>
  <c r="Z125" i="31"/>
  <c r="Y125" i="31"/>
  <c r="X125" i="31"/>
  <c r="AK124" i="31"/>
  <c r="AL124" i="31" s="1"/>
  <c r="AJ124" i="31"/>
  <c r="T124" i="31" s="1"/>
  <c r="V124" i="31" s="1"/>
  <c r="AH124" i="31"/>
  <c r="AG124" i="31"/>
  <c r="AF124" i="31"/>
  <c r="AE124" i="31"/>
  <c r="AD124" i="31"/>
  <c r="AC124" i="31"/>
  <c r="AA124" i="31"/>
  <c r="Z124" i="31"/>
  <c r="Y124" i="31"/>
  <c r="X124" i="31"/>
  <c r="AK123" i="31"/>
  <c r="AL123" i="31" s="1"/>
  <c r="AJ123" i="31"/>
  <c r="T123" i="31" s="1"/>
  <c r="V123" i="31" s="1"/>
  <c r="AH123" i="31"/>
  <c r="AG123" i="31"/>
  <c r="AF123" i="31"/>
  <c r="AE123" i="31"/>
  <c r="AD123" i="31"/>
  <c r="AC123" i="31"/>
  <c r="AA123" i="31"/>
  <c r="Z123" i="31"/>
  <c r="Y123" i="31"/>
  <c r="X123" i="31"/>
  <c r="AI122" i="31"/>
  <c r="AH122" i="31"/>
  <c r="AG122" i="31"/>
  <c r="AG119" i="31" s="1"/>
  <c r="AF122" i="31"/>
  <c r="AF119" i="31" s="1"/>
  <c r="AE122" i="31"/>
  <c r="AE119" i="31" s="1"/>
  <c r="AD122" i="31"/>
  <c r="AD119" i="31" s="1"/>
  <c r="AC122" i="31"/>
  <c r="AC119" i="31" s="1"/>
  <c r="AA122" i="31"/>
  <c r="AA119" i="31" s="1"/>
  <c r="Z122" i="31"/>
  <c r="Z119" i="31" s="1"/>
  <c r="Y122" i="31"/>
  <c r="Y119" i="31" s="1"/>
  <c r="X122" i="31"/>
  <c r="X119" i="31" s="1"/>
  <c r="Q122" i="31"/>
  <c r="R128" i="31" s="1"/>
  <c r="P122" i="31"/>
  <c r="AK121" i="31"/>
  <c r="AL121" i="31" s="1"/>
  <c r="AJ121" i="31"/>
  <c r="T121" i="31" s="1"/>
  <c r="V121" i="31" s="1"/>
  <c r="AH121" i="31"/>
  <c r="AG121" i="31"/>
  <c r="AF121" i="31"/>
  <c r="AE121" i="31"/>
  <c r="AD121" i="31"/>
  <c r="AC121" i="31"/>
  <c r="AA121" i="31"/>
  <c r="Z121" i="31"/>
  <c r="Y121" i="31"/>
  <c r="X121" i="31"/>
  <c r="AI120" i="31"/>
  <c r="AH120" i="31"/>
  <c r="AG120" i="31"/>
  <c r="AF120" i="31"/>
  <c r="AE120" i="31"/>
  <c r="AD120" i="31"/>
  <c r="AC120" i="31"/>
  <c r="AA120" i="31"/>
  <c r="Z120" i="31"/>
  <c r="Y120" i="31"/>
  <c r="X120" i="31"/>
  <c r="Q120" i="31"/>
  <c r="P120" i="31"/>
  <c r="AB119" i="31"/>
  <c r="W119" i="31"/>
  <c r="O119" i="31"/>
  <c r="AK118" i="31"/>
  <c r="AL118" i="31" s="1"/>
  <c r="AJ118" i="31"/>
  <c r="T118" i="31" s="1"/>
  <c r="V118" i="31" s="1"/>
  <c r="AK117" i="31"/>
  <c r="AL117" i="31" s="1"/>
  <c r="AJ117" i="31"/>
  <c r="T117" i="31" s="1"/>
  <c r="V117" i="31" s="1"/>
  <c r="AK116" i="31"/>
  <c r="AL116" i="31" s="1"/>
  <c r="AJ116" i="31"/>
  <c r="T116" i="31" s="1"/>
  <c r="V116" i="31" s="1"/>
  <c r="AK115" i="31"/>
  <c r="AL115" i="31" s="1"/>
  <c r="AJ115" i="31"/>
  <c r="T115" i="31" s="1"/>
  <c r="V115" i="31" s="1"/>
  <c r="AK114" i="31"/>
  <c r="AL114" i="31" s="1"/>
  <c r="AJ114" i="31"/>
  <c r="T114" i="31" s="1"/>
  <c r="V114" i="31" s="1"/>
  <c r="AK113" i="31"/>
  <c r="AL113" i="31" s="1"/>
  <c r="AJ113" i="31"/>
  <c r="T113" i="31" s="1"/>
  <c r="V113" i="31" s="1"/>
  <c r="AK112" i="31"/>
  <c r="AL112" i="31" s="1"/>
  <c r="AJ112" i="31"/>
  <c r="T112" i="31" s="1"/>
  <c r="V112" i="31" s="1"/>
  <c r="AK111" i="31"/>
  <c r="AL111" i="31" s="1"/>
  <c r="AJ111" i="31"/>
  <c r="T111" i="31" s="1"/>
  <c r="V111" i="31" s="1"/>
  <c r="AK110" i="31"/>
  <c r="AL110" i="31" s="1"/>
  <c r="AJ110" i="31"/>
  <c r="T110" i="31" s="1"/>
  <c r="V110" i="31" s="1"/>
  <c r="AK109" i="31"/>
  <c r="AL109" i="31" s="1"/>
  <c r="AJ109" i="31"/>
  <c r="T109" i="31" s="1"/>
  <c r="V109" i="31" s="1"/>
  <c r="AK108" i="31"/>
  <c r="AL108" i="31" s="1"/>
  <c r="AJ108" i="31"/>
  <c r="T108" i="31" s="1"/>
  <c r="V108" i="31" s="1"/>
  <c r="AK107" i="31"/>
  <c r="AL107" i="31" s="1"/>
  <c r="AJ107" i="31"/>
  <c r="T107" i="31" s="1"/>
  <c r="V107" i="31" s="1"/>
  <c r="AK106" i="31"/>
  <c r="AL106" i="31" s="1"/>
  <c r="AJ106" i="31"/>
  <c r="T106" i="31" s="1"/>
  <c r="V106" i="31" s="1"/>
  <c r="AI105" i="31"/>
  <c r="AH105" i="31"/>
  <c r="AG105" i="31"/>
  <c r="AF105" i="31"/>
  <c r="AE105" i="31"/>
  <c r="AD105" i="31"/>
  <c r="AC105" i="31"/>
  <c r="AA105" i="31"/>
  <c r="Z105" i="31"/>
  <c r="Y105" i="31"/>
  <c r="X105" i="31"/>
  <c r="Q105" i="31"/>
  <c r="P105" i="31"/>
  <c r="AK104" i="31"/>
  <c r="AL104" i="31" s="1"/>
  <c r="AJ104" i="31"/>
  <c r="T104" i="31" s="1"/>
  <c r="V104" i="31" s="1"/>
  <c r="AK103" i="31"/>
  <c r="AL103" i="31" s="1"/>
  <c r="AJ103" i="31"/>
  <c r="T103" i="31" s="1"/>
  <c r="V103" i="31" s="1"/>
  <c r="AK102" i="31"/>
  <c r="AL102" i="31" s="1"/>
  <c r="AJ102" i="31"/>
  <c r="T102" i="31" s="1"/>
  <c r="V102" i="31" s="1"/>
  <c r="AK101" i="31"/>
  <c r="AL101" i="31" s="1"/>
  <c r="AJ101" i="31"/>
  <c r="T101" i="31" s="1"/>
  <c r="V101" i="31" s="1"/>
  <c r="AK100" i="31"/>
  <c r="AL100" i="31" s="1"/>
  <c r="AJ100" i="31"/>
  <c r="T100" i="31" s="1"/>
  <c r="V100" i="31" s="1"/>
  <c r="AK99" i="31"/>
  <c r="AL99" i="31" s="1"/>
  <c r="AJ99" i="31"/>
  <c r="T99" i="31" s="1"/>
  <c r="V99" i="31" s="1"/>
  <c r="AK98" i="31"/>
  <c r="AL98" i="31" s="1"/>
  <c r="AJ98" i="31"/>
  <c r="T98" i="31" s="1"/>
  <c r="V98" i="31" s="1"/>
  <c r="AK97" i="31"/>
  <c r="AL97" i="31" s="1"/>
  <c r="AJ97" i="31"/>
  <c r="T97" i="31" s="1"/>
  <c r="V97" i="31" s="1"/>
  <c r="AK96" i="31"/>
  <c r="AL96" i="31" s="1"/>
  <c r="AJ96" i="31"/>
  <c r="T96" i="31" s="1"/>
  <c r="V96" i="31" s="1"/>
  <c r="AK95" i="31"/>
  <c r="AL95" i="31" s="1"/>
  <c r="AJ95" i="31"/>
  <c r="T95" i="31" s="1"/>
  <c r="V95" i="31" s="1"/>
  <c r="AK94" i="31"/>
  <c r="AL94" i="31" s="1"/>
  <c r="AJ94" i="31"/>
  <c r="T94" i="31" s="1"/>
  <c r="V94" i="31" s="1"/>
  <c r="AK93" i="31"/>
  <c r="AL93" i="31" s="1"/>
  <c r="AJ93" i="31"/>
  <c r="T93" i="31" s="1"/>
  <c r="V93" i="31" s="1"/>
  <c r="AK92" i="31"/>
  <c r="AL92" i="31" s="1"/>
  <c r="AJ92" i="31"/>
  <c r="T92" i="31" s="1"/>
  <c r="V92" i="31" s="1"/>
  <c r="AI91" i="31"/>
  <c r="AH91" i="31"/>
  <c r="AG91" i="31"/>
  <c r="AF91" i="31"/>
  <c r="AE91" i="31"/>
  <c r="AD91" i="31"/>
  <c r="AC91" i="31"/>
  <c r="AA91" i="31"/>
  <c r="Z91" i="31"/>
  <c r="Y91" i="31"/>
  <c r="X91" i="31"/>
  <c r="Q91" i="31"/>
  <c r="P91" i="31"/>
  <c r="AK90" i="31"/>
  <c r="AL90" i="31" s="1"/>
  <c r="AJ90" i="31"/>
  <c r="T90" i="31" s="1"/>
  <c r="V90" i="31" s="1"/>
  <c r="AI89" i="31"/>
  <c r="AH89" i="31"/>
  <c r="AG89" i="31"/>
  <c r="AF89" i="31"/>
  <c r="AE89" i="31"/>
  <c r="AD89" i="31"/>
  <c r="AC89" i="31"/>
  <c r="AA89" i="31"/>
  <c r="Z89" i="31"/>
  <c r="Y89" i="31"/>
  <c r="X89" i="31"/>
  <c r="Q89" i="31"/>
  <c r="R118" i="31" s="1"/>
  <c r="P89" i="31"/>
  <c r="AK88" i="31"/>
  <c r="AL88" i="31" s="1"/>
  <c r="AJ88" i="31"/>
  <c r="T88" i="31" s="1"/>
  <c r="V88" i="31" s="1"/>
  <c r="AI87" i="31"/>
  <c r="AH87" i="31"/>
  <c r="AG87" i="31"/>
  <c r="AF87" i="31"/>
  <c r="AE87" i="31"/>
  <c r="AD87" i="31"/>
  <c r="AC87" i="31"/>
  <c r="AA87" i="31"/>
  <c r="Z87" i="31"/>
  <c r="Y87" i="31"/>
  <c r="X87" i="31"/>
  <c r="Q87" i="31"/>
  <c r="P87" i="31"/>
  <c r="AK86" i="31"/>
  <c r="AL86" i="31" s="1"/>
  <c r="AJ86" i="31"/>
  <c r="T86" i="31" s="1"/>
  <c r="V86" i="31" s="1"/>
  <c r="AK85" i="31"/>
  <c r="AL85" i="31" s="1"/>
  <c r="AJ85" i="31"/>
  <c r="T85" i="31" s="1"/>
  <c r="AI84" i="31"/>
  <c r="AH84" i="31"/>
  <c r="AG84" i="31"/>
  <c r="AF84" i="31"/>
  <c r="AE84" i="31"/>
  <c r="AD84" i="31"/>
  <c r="AC84" i="31"/>
  <c r="AA84" i="31"/>
  <c r="Z84" i="31"/>
  <c r="Y84" i="31"/>
  <c r="X84" i="31"/>
  <c r="Q84" i="31"/>
  <c r="R86" i="31" s="1"/>
  <c r="P84" i="31"/>
  <c r="AK83" i="31"/>
  <c r="AL83" i="31" s="1"/>
  <c r="AJ83" i="31"/>
  <c r="T83" i="31" s="1"/>
  <c r="V83" i="31" s="1"/>
  <c r="AK82" i="31"/>
  <c r="AL82" i="31" s="1"/>
  <c r="AJ82" i="31"/>
  <c r="T82" i="31" s="1"/>
  <c r="V82" i="31" s="1"/>
  <c r="AI81" i="31"/>
  <c r="AH81" i="31"/>
  <c r="AG81" i="31"/>
  <c r="AF81" i="31"/>
  <c r="AE81" i="31"/>
  <c r="AD81" i="31"/>
  <c r="AC81" i="31"/>
  <c r="AA81" i="31"/>
  <c r="Z81" i="31"/>
  <c r="Y81" i="31"/>
  <c r="X81" i="31"/>
  <c r="Q81" i="31"/>
  <c r="P81" i="31"/>
  <c r="AK80" i="31"/>
  <c r="AL80" i="31" s="1"/>
  <c r="AJ80" i="31"/>
  <c r="T80" i="31" s="1"/>
  <c r="V80" i="31" s="1"/>
  <c r="AK79" i="31"/>
  <c r="AL79" i="31" s="1"/>
  <c r="AJ79" i="31"/>
  <c r="T79" i="31" s="1"/>
  <c r="V79" i="31" s="1"/>
  <c r="AI78" i="31"/>
  <c r="AH78" i="31"/>
  <c r="AF78" i="31"/>
  <c r="AE78" i="31"/>
  <c r="AD78" i="31"/>
  <c r="AC78" i="31"/>
  <c r="AA78" i="31"/>
  <c r="Z78" i="31"/>
  <c r="Y78" i="31"/>
  <c r="X78" i="31"/>
  <c r="Q78" i="31"/>
  <c r="R79" i="31" s="1"/>
  <c r="AK77" i="31"/>
  <c r="AL77" i="31" s="1"/>
  <c r="AJ77" i="31"/>
  <c r="T77" i="31" s="1"/>
  <c r="V77" i="31" s="1"/>
  <c r="AI76" i="31"/>
  <c r="AH76" i="31"/>
  <c r="AF76" i="31"/>
  <c r="AE76" i="31"/>
  <c r="AD76" i="31"/>
  <c r="AC76" i="31"/>
  <c r="AA76" i="31"/>
  <c r="Z76" i="31"/>
  <c r="Y76" i="31"/>
  <c r="X76" i="31"/>
  <c r="Q76" i="31"/>
  <c r="P76" i="31"/>
  <c r="AK75" i="31"/>
  <c r="AL75" i="31" s="1"/>
  <c r="AJ75" i="31"/>
  <c r="T75" i="31" s="1"/>
  <c r="V75" i="31" s="1"/>
  <c r="AK74" i="31"/>
  <c r="AL74" i="31" s="1"/>
  <c r="AJ74" i="31"/>
  <c r="T74" i="31" s="1"/>
  <c r="V74" i="31" s="1"/>
  <c r="AK73" i="31"/>
  <c r="AL73" i="31" s="1"/>
  <c r="AJ73" i="31"/>
  <c r="T73" i="31" s="1"/>
  <c r="V73" i="31" s="1"/>
  <c r="AK72" i="31"/>
  <c r="AL72" i="31" s="1"/>
  <c r="AJ72" i="31"/>
  <c r="T72" i="31" s="1"/>
  <c r="V72" i="31" s="1"/>
  <c r="AK71" i="31"/>
  <c r="AL71" i="31" s="1"/>
  <c r="AJ71" i="31"/>
  <c r="T71" i="31" s="1"/>
  <c r="V71" i="31" s="1"/>
  <c r="AI70" i="31"/>
  <c r="AH70" i="31"/>
  <c r="AG70" i="31"/>
  <c r="AF70" i="31"/>
  <c r="AE70" i="31"/>
  <c r="AD70" i="31"/>
  <c r="AC70" i="31"/>
  <c r="AA70" i="31"/>
  <c r="Z70" i="31"/>
  <c r="Y70" i="31"/>
  <c r="X70" i="31"/>
  <c r="Q70" i="31"/>
  <c r="R74" i="31" s="1"/>
  <c r="P70" i="31"/>
  <c r="AK69" i="31"/>
  <c r="AL69" i="31" s="1"/>
  <c r="AJ69" i="31"/>
  <c r="T69" i="31" s="1"/>
  <c r="V69" i="31" s="1"/>
  <c r="AK68" i="31"/>
  <c r="AL68" i="31" s="1"/>
  <c r="AJ68" i="31"/>
  <c r="T68" i="31" s="1"/>
  <c r="V68" i="31" s="1"/>
  <c r="AI67" i="31"/>
  <c r="AH67" i="31"/>
  <c r="AG67" i="31"/>
  <c r="AF67" i="31"/>
  <c r="AE67" i="31"/>
  <c r="AD67" i="31"/>
  <c r="AC67" i="31"/>
  <c r="AA67" i="31"/>
  <c r="Z67" i="31"/>
  <c r="Y67" i="31"/>
  <c r="X67" i="31"/>
  <c r="Q67" i="31"/>
  <c r="R69" i="31" s="1"/>
  <c r="P67" i="31"/>
  <c r="AK66" i="31"/>
  <c r="AL66" i="31" s="1"/>
  <c r="AJ66" i="31"/>
  <c r="T66" i="31" s="1"/>
  <c r="AH66" i="31"/>
  <c r="AG66" i="31"/>
  <c r="AF66" i="31"/>
  <c r="AE66" i="31"/>
  <c r="AD66" i="31"/>
  <c r="AC66" i="31"/>
  <c r="AA66" i="31"/>
  <c r="Z66" i="31"/>
  <c r="Y66" i="31"/>
  <c r="X66" i="31"/>
  <c r="AK65" i="31"/>
  <c r="AL65" i="31" s="1"/>
  <c r="AJ65" i="31"/>
  <c r="T65" i="31" s="1"/>
  <c r="AK64" i="31"/>
  <c r="AL64" i="31" s="1"/>
  <c r="AJ64" i="31"/>
  <c r="T64" i="31" s="1"/>
  <c r="AH64" i="31"/>
  <c r="AG64" i="31"/>
  <c r="AF64" i="31"/>
  <c r="AE64" i="31"/>
  <c r="AD64" i="31"/>
  <c r="AC64" i="31"/>
  <c r="AA64" i="31"/>
  <c r="Z64" i="31"/>
  <c r="Y64" i="31"/>
  <c r="X64" i="31"/>
  <c r="AI63" i="31"/>
  <c r="AH63" i="31"/>
  <c r="AG63" i="31"/>
  <c r="AF63" i="31"/>
  <c r="AE63" i="31"/>
  <c r="AD63" i="31"/>
  <c r="AC63" i="31"/>
  <c r="AA63" i="31"/>
  <c r="Z63" i="31"/>
  <c r="Y63" i="31"/>
  <c r="X63" i="31"/>
  <c r="Q63" i="31"/>
  <c r="P63" i="31"/>
  <c r="AK62" i="31"/>
  <c r="AL62" i="31" s="1"/>
  <c r="AJ62" i="31"/>
  <c r="T62" i="31" s="1"/>
  <c r="V62" i="31" s="1"/>
  <c r="AH62" i="31"/>
  <c r="AG62" i="31"/>
  <c r="AF62" i="31"/>
  <c r="AE62" i="31"/>
  <c r="AD62" i="31"/>
  <c r="AC62" i="31"/>
  <c r="AA62" i="31"/>
  <c r="Z62" i="31"/>
  <c r="Y62" i="31"/>
  <c r="X62" i="31"/>
  <c r="AI61" i="31"/>
  <c r="AH61" i="31"/>
  <c r="AG61" i="31"/>
  <c r="AF61" i="31"/>
  <c r="AE61" i="31"/>
  <c r="AD61" i="31"/>
  <c r="AC61" i="31"/>
  <c r="AA61" i="31"/>
  <c r="Z61" i="31"/>
  <c r="Y61" i="31"/>
  <c r="X61" i="31"/>
  <c r="Q61" i="31"/>
  <c r="R62" i="31" s="1"/>
  <c r="P61" i="31"/>
  <c r="AK60" i="31"/>
  <c r="AL60" i="31" s="1"/>
  <c r="AJ60" i="31"/>
  <c r="T60" i="31" s="1"/>
  <c r="AH60" i="31"/>
  <c r="AG60" i="31"/>
  <c r="AF60" i="31"/>
  <c r="AE60" i="31"/>
  <c r="AD60" i="31"/>
  <c r="AC60" i="31"/>
  <c r="AA60" i="31"/>
  <c r="Z60" i="31"/>
  <c r="Y60" i="31"/>
  <c r="X60" i="31"/>
  <c r="AK59" i="31"/>
  <c r="AL59" i="31" s="1"/>
  <c r="AJ59" i="31"/>
  <c r="T59" i="31" s="1"/>
  <c r="V59" i="31" s="1"/>
  <c r="AK58" i="31"/>
  <c r="AL58" i="31" s="1"/>
  <c r="AJ58" i="31"/>
  <c r="T58" i="31" s="1"/>
  <c r="AH58" i="31"/>
  <c r="AG58" i="31"/>
  <c r="AF58" i="31"/>
  <c r="AE58" i="31"/>
  <c r="AD58" i="31"/>
  <c r="AC58" i="31"/>
  <c r="AA58" i="31"/>
  <c r="Z58" i="31"/>
  <c r="Y58" i="31"/>
  <c r="X58" i="31"/>
  <c r="AI57" i="31"/>
  <c r="AH57" i="31"/>
  <c r="AG57" i="31"/>
  <c r="AF57" i="31"/>
  <c r="AE57" i="31"/>
  <c r="AD57" i="31"/>
  <c r="AC57" i="31"/>
  <c r="AA57" i="31"/>
  <c r="Z57" i="31"/>
  <c r="Y57" i="31"/>
  <c r="X57" i="31"/>
  <c r="Q57" i="31"/>
  <c r="R59" i="31" s="1"/>
  <c r="P57" i="31"/>
  <c r="A57" i="31"/>
  <c r="A61" i="31" s="1"/>
  <c r="A63" i="31" s="1"/>
  <c r="A67" i="31" s="1"/>
  <c r="A70" i="31" s="1"/>
  <c r="A76" i="31" s="1"/>
  <c r="A78" i="31" s="1"/>
  <c r="A81" i="31" s="1"/>
  <c r="A84" i="31" s="1"/>
  <c r="A87" i="31" s="1"/>
  <c r="A89" i="31" s="1"/>
  <c r="A91" i="31" s="1"/>
  <c r="A105" i="31" s="1"/>
  <c r="A120" i="31" s="1"/>
  <c r="A122" i="31" s="1"/>
  <c r="A134" i="31" s="1"/>
  <c r="A136" i="31" s="1"/>
  <c r="A139" i="31" s="1"/>
  <c r="A143" i="31" s="1"/>
  <c r="A150" i="31" s="1"/>
  <c r="A152" i="31" s="1"/>
  <c r="A154" i="31" s="1"/>
  <c r="A157" i="31" s="1"/>
  <c r="A160" i="31" s="1"/>
  <c r="A164" i="31" s="1"/>
  <c r="A166" i="31" s="1"/>
  <c r="A176" i="31" s="1"/>
  <c r="A188" i="31" s="1"/>
  <c r="AK56" i="31"/>
  <c r="AL56" i="31" s="1"/>
  <c r="AJ56" i="31"/>
  <c r="T56" i="31" s="1"/>
  <c r="V56" i="31" s="1"/>
  <c r="AH56" i="31"/>
  <c r="AG56" i="31"/>
  <c r="AF56" i="31"/>
  <c r="AE56" i="31"/>
  <c r="AD56" i="31"/>
  <c r="AC56" i="31"/>
  <c r="AA56" i="31"/>
  <c r="Z56" i="31"/>
  <c r="Y56" i="31"/>
  <c r="X56" i="31"/>
  <c r="AI55" i="31"/>
  <c r="AH55" i="31"/>
  <c r="AG55" i="31"/>
  <c r="AG54" i="31" s="1"/>
  <c r="AG53" i="31" s="1"/>
  <c r="AF55" i="31"/>
  <c r="AF54" i="31" s="1"/>
  <c r="AF53" i="31" s="1"/>
  <c r="AE55" i="31"/>
  <c r="AE54" i="31" s="1"/>
  <c r="AE53" i="31" s="1"/>
  <c r="AD55" i="31"/>
  <c r="AD54" i="31" s="1"/>
  <c r="AD53" i="31" s="1"/>
  <c r="AC55" i="31"/>
  <c r="AC54" i="31" s="1"/>
  <c r="AC53" i="31" s="1"/>
  <c r="AA55" i="31"/>
  <c r="AA54" i="31" s="1"/>
  <c r="AA53" i="31" s="1"/>
  <c r="Z55" i="31"/>
  <c r="Z54" i="31" s="1"/>
  <c r="Z53" i="31" s="1"/>
  <c r="Y55" i="31"/>
  <c r="Y54" i="31" s="1"/>
  <c r="Y53" i="31" s="1"/>
  <c r="X55" i="31"/>
  <c r="X54" i="31" s="1"/>
  <c r="X53" i="31" s="1"/>
  <c r="Q55" i="31"/>
  <c r="AB54" i="31"/>
  <c r="W54" i="31"/>
  <c r="W53" i="31" s="1"/>
  <c r="W33" i="31" s="1"/>
  <c r="S54" i="31"/>
  <c r="S53" i="31" s="1"/>
  <c r="O54" i="31"/>
  <c r="AK51" i="31"/>
  <c r="AL51" i="31" s="1"/>
  <c r="AJ51" i="31"/>
  <c r="T51" i="31" s="1"/>
  <c r="V51" i="31" s="1"/>
  <c r="AI50" i="31"/>
  <c r="Q50" i="31"/>
  <c r="AK49" i="31"/>
  <c r="AL49" i="31" s="1"/>
  <c r="AJ49" i="31"/>
  <c r="T49" i="31" s="1"/>
  <c r="V49" i="31" s="1"/>
  <c r="AK48" i="31"/>
  <c r="AL48" i="31" s="1"/>
  <c r="AJ48" i="31"/>
  <c r="T48" i="31" s="1"/>
  <c r="V48" i="31" s="1"/>
  <c r="AI47" i="31"/>
  <c r="Q47" i="31"/>
  <c r="AJ46" i="31"/>
  <c r="T46" i="31" s="1"/>
  <c r="V46" i="31" s="1"/>
  <c r="AJ45" i="31"/>
  <c r="T45" i="31" s="1"/>
  <c r="V45" i="31" s="1"/>
  <c r="AJ44" i="31"/>
  <c r="T44" i="31" s="1"/>
  <c r="V44" i="31" s="1"/>
  <c r="AJ43" i="31"/>
  <c r="T43" i="31" s="1"/>
  <c r="V43" i="31" s="1"/>
  <c r="AJ42" i="31"/>
  <c r="T42" i="31" s="1"/>
  <c r="V42" i="31" s="1"/>
  <c r="AJ41" i="31"/>
  <c r="T41" i="31" s="1"/>
  <c r="V41" i="31" s="1"/>
  <c r="AJ40" i="31"/>
  <c r="T40" i="31" s="1"/>
  <c r="V40" i="31" s="1"/>
  <c r="AJ39" i="31"/>
  <c r="T39" i="31" s="1"/>
  <c r="V39" i="31" s="1"/>
  <c r="AJ38" i="31"/>
  <c r="T38" i="31" s="1"/>
  <c r="V38" i="31" s="1"/>
  <c r="Q37" i="31"/>
  <c r="AH35" i="31"/>
  <c r="AG35" i="31"/>
  <c r="AG33" i="31" s="1"/>
  <c r="AF35" i="31"/>
  <c r="AF33" i="31" s="1"/>
  <c r="AE35" i="31"/>
  <c r="AD35" i="31"/>
  <c r="AD33" i="31" s="1"/>
  <c r="AC35" i="31"/>
  <c r="AC33" i="31" s="1"/>
  <c r="AA35" i="31"/>
  <c r="AA33" i="31" s="1"/>
  <c r="Z35" i="31"/>
  <c r="Z33" i="31" s="1"/>
  <c r="Y35" i="31"/>
  <c r="Y33" i="31" s="1"/>
  <c r="X35" i="31"/>
  <c r="X33" i="31" s="1"/>
  <c r="P35" i="31"/>
  <c r="AE33" i="31"/>
  <c r="S33" i="31"/>
  <c r="AB32" i="31"/>
  <c r="AB12" i="31" s="1"/>
  <c r="AA32" i="31"/>
  <c r="Z32" i="31"/>
  <c r="Y32" i="31"/>
  <c r="T32" i="31"/>
  <c r="V32" i="31" s="1"/>
  <c r="AK31" i="31"/>
  <c r="AB31" i="31"/>
  <c r="AA31" i="31"/>
  <c r="Z31" i="31"/>
  <c r="Y31" i="31"/>
  <c r="T31" i="31"/>
  <c r="V31" i="31" s="1"/>
  <c r="AK30" i="31"/>
  <c r="AB30" i="31"/>
  <c r="AA30" i="31"/>
  <c r="Z30" i="31"/>
  <c r="Y30" i="31"/>
  <c r="T30" i="31"/>
  <c r="V30" i="31" s="1"/>
  <c r="AK29" i="31"/>
  <c r="AL29" i="31" s="1"/>
  <c r="AJ29" i="31"/>
  <c r="T29" i="31" s="1"/>
  <c r="V29" i="31" s="1"/>
  <c r="AB29" i="31"/>
  <c r="AA29" i="31"/>
  <c r="Z29" i="31"/>
  <c r="Y29" i="31"/>
  <c r="AB28" i="31"/>
  <c r="AA28" i="31"/>
  <c r="Z28" i="31"/>
  <c r="Y28" i="31"/>
  <c r="T28" i="31"/>
  <c r="V28" i="31" s="1"/>
  <c r="AJ27" i="31"/>
  <c r="T27" i="31" s="1"/>
  <c r="V27" i="31" s="1"/>
  <c r="AB27" i="31"/>
  <c r="AA27" i="31"/>
  <c r="Y27" i="31"/>
  <c r="AH26" i="31"/>
  <c r="AH12" i="31" s="1"/>
  <c r="AG26" i="31"/>
  <c r="AG12" i="31" s="1"/>
  <c r="AF26" i="31"/>
  <c r="AF12" i="31" s="1"/>
  <c r="AE26" i="31"/>
  <c r="AE12" i="31" s="1"/>
  <c r="AD26" i="31"/>
  <c r="AD12" i="31" s="1"/>
  <c r="AC26" i="31"/>
  <c r="AC12" i="31" s="1"/>
  <c r="AA26" i="31"/>
  <c r="AA12" i="31" s="1"/>
  <c r="Z26" i="31"/>
  <c r="Z12" i="31" s="1"/>
  <c r="Y26" i="31"/>
  <c r="Y12" i="31" s="1"/>
  <c r="X26" i="31"/>
  <c r="X12" i="31" s="1"/>
  <c r="Q26" i="31"/>
  <c r="P26" i="31"/>
  <c r="AK25" i="31"/>
  <c r="AL25" i="31" s="1"/>
  <c r="AC25" i="31"/>
  <c r="AH24" i="31"/>
  <c r="AG24" i="31"/>
  <c r="AF24" i="31"/>
  <c r="AE24" i="31"/>
  <c r="AD24" i="31"/>
  <c r="AC24" i="31"/>
  <c r="AA24" i="31"/>
  <c r="Z24" i="31"/>
  <c r="Y24" i="31"/>
  <c r="X24" i="31"/>
  <c r="Q24" i="31"/>
  <c r="R24" i="31" s="1"/>
  <c r="P24" i="31"/>
  <c r="AJ22" i="31"/>
  <c r="T22" i="31" s="1"/>
  <c r="V22" i="31" s="1"/>
  <c r="AJ21" i="31"/>
  <c r="T21" i="31" s="1"/>
  <c r="V21" i="31" s="1"/>
  <c r="AJ20" i="31"/>
  <c r="T20" i="31" s="1"/>
  <c r="V20" i="31" s="1"/>
  <c r="AJ18" i="31"/>
  <c r="T18" i="31" s="1"/>
  <c r="V18" i="31" s="1"/>
  <c r="AJ17" i="31"/>
  <c r="T17" i="31" s="1"/>
  <c r="V17" i="31" s="1"/>
  <c r="AH14" i="31"/>
  <c r="AG14" i="31"/>
  <c r="AG10" i="31" s="1"/>
  <c r="AF14" i="31"/>
  <c r="AF10" i="31" s="1"/>
  <c r="AE14" i="31"/>
  <c r="AE10" i="31" s="1"/>
  <c r="AD14" i="31"/>
  <c r="AD10" i="31" s="1"/>
  <c r="AC14" i="31"/>
  <c r="AC10" i="31" s="1"/>
  <c r="AA14" i="31"/>
  <c r="AA10" i="31" s="1"/>
  <c r="Z14" i="31"/>
  <c r="Z10" i="31" s="1"/>
  <c r="Y14" i="31"/>
  <c r="Y10" i="31" s="1"/>
  <c r="X14" i="31"/>
  <c r="X10" i="31" s="1"/>
  <c r="Q14" i="31"/>
  <c r="P14" i="31"/>
  <c r="W12" i="31"/>
  <c r="P12" i="31"/>
  <c r="O12" i="31"/>
  <c r="AB10" i="31"/>
  <c r="W10" i="31"/>
  <c r="S10" i="31"/>
  <c r="O10" i="31"/>
  <c r="P175" i="31" l="1"/>
  <c r="U209" i="31"/>
  <c r="AJ152" i="31"/>
  <c r="T152" i="31" s="1"/>
  <c r="V152" i="31" s="1"/>
  <c r="AK236" i="31"/>
  <c r="AL236" i="31" s="1"/>
  <c r="AJ136" i="31"/>
  <c r="T136" i="31" s="1"/>
  <c r="V136" i="31" s="1"/>
  <c r="U35" i="34"/>
  <c r="U58" i="34"/>
  <c r="AI14" i="31"/>
  <c r="AK14" i="31" s="1"/>
  <c r="AL14" i="31" s="1"/>
  <c r="AJ150" i="31"/>
  <c r="T150" i="31" s="1"/>
  <c r="V150" i="31" s="1"/>
  <c r="R346" i="31"/>
  <c r="U346" i="31" s="1"/>
  <c r="U446" i="31"/>
  <c r="U465" i="31"/>
  <c r="U484" i="31"/>
  <c r="U524" i="31"/>
  <c r="U679" i="31"/>
  <c r="AH54" i="31"/>
  <c r="R402" i="31"/>
  <c r="AK245" i="32"/>
  <c r="AL245" i="32" s="1"/>
  <c r="AJ15" i="31"/>
  <c r="T15" i="31" s="1"/>
  <c r="V15" i="31" s="1"/>
  <c r="AK63" i="31"/>
  <c r="AL63" i="31" s="1"/>
  <c r="U79" i="31"/>
  <c r="Q36" i="31"/>
  <c r="Q35" i="31" s="1"/>
  <c r="AJ345" i="31"/>
  <c r="T345" i="31" s="1"/>
  <c r="V345" i="31" s="1"/>
  <c r="AJ490" i="31"/>
  <c r="T490" i="31" s="1"/>
  <c r="V490" i="31" s="1"/>
  <c r="U562" i="31"/>
  <c r="R645" i="31"/>
  <c r="AJ245" i="32"/>
  <c r="T245" i="32" s="1"/>
  <c r="V245" i="32" s="1"/>
  <c r="A715" i="34"/>
  <c r="A725" i="34"/>
  <c r="AI35" i="32"/>
  <c r="AJ55" i="32"/>
  <c r="T55" i="32" s="1"/>
  <c r="V55" i="32" s="1"/>
  <c r="R65" i="31"/>
  <c r="P163" i="31"/>
  <c r="AI163" i="31"/>
  <c r="U170" i="31"/>
  <c r="R284" i="31"/>
  <c r="R401" i="31"/>
  <c r="U401" i="31" s="1"/>
  <c r="AJ580" i="31"/>
  <c r="T580" i="31" s="1"/>
  <c r="V580" i="31" s="1"/>
  <c r="R653" i="31"/>
  <c r="U653" i="31" s="1"/>
  <c r="U65" i="31"/>
  <c r="U74" i="31"/>
  <c r="AJ282" i="31"/>
  <c r="T282" i="31" s="1"/>
  <c r="V282" i="31" s="1"/>
  <c r="R348" i="31"/>
  <c r="U348" i="31" s="1"/>
  <c r="R378" i="31"/>
  <c r="U378" i="31" s="1"/>
  <c r="R522" i="31"/>
  <c r="R558" i="31"/>
  <c r="R583" i="31"/>
  <c r="U583" i="31" s="1"/>
  <c r="AJ613" i="31"/>
  <c r="T613" i="31" s="1"/>
  <c r="V613" i="31" s="1"/>
  <c r="AJ622" i="31"/>
  <c r="T622" i="31" s="1"/>
  <c r="V622" i="31" s="1"/>
  <c r="R624" i="31"/>
  <c r="R652" i="31"/>
  <c r="U652" i="31" s="1"/>
  <c r="AJ57" i="31"/>
  <c r="T57" i="31" s="1"/>
  <c r="V57" i="31" s="1"/>
  <c r="Q156" i="31"/>
  <c r="R397" i="31"/>
  <c r="AJ485" i="31"/>
  <c r="T485" i="31" s="1"/>
  <c r="V485" i="31" s="1"/>
  <c r="R504" i="31"/>
  <c r="U39" i="32"/>
  <c r="A721" i="32"/>
  <c r="AK10" i="32"/>
  <c r="AL10" i="32" s="1"/>
  <c r="AK12" i="32"/>
  <c r="AL12" i="32" s="1"/>
  <c r="AL38" i="32"/>
  <c r="AK37" i="32"/>
  <c r="AL37" i="32" s="1"/>
  <c r="U121" i="32"/>
  <c r="V190" i="32"/>
  <c r="U190" i="32"/>
  <c r="AK55" i="32"/>
  <c r="AL55" i="32" s="1"/>
  <c r="R177" i="32"/>
  <c r="U177" i="32" s="1"/>
  <c r="R56" i="32"/>
  <c r="U56" i="32" s="1"/>
  <c r="U14" i="32"/>
  <c r="U676" i="32"/>
  <c r="R165" i="32"/>
  <c r="U165" i="32" s="1"/>
  <c r="T10" i="32"/>
  <c r="V10" i="32" s="1"/>
  <c r="U10" i="32"/>
  <c r="U12" i="32"/>
  <c r="T12" i="32"/>
  <c r="V12" i="32" s="1"/>
  <c r="Q35" i="32"/>
  <c r="R55" i="32" s="1"/>
  <c r="AJ38" i="32"/>
  <c r="T38" i="32" s="1"/>
  <c r="V38" i="32" s="1"/>
  <c r="AI37" i="32"/>
  <c r="AJ37" i="32" s="1"/>
  <c r="T37" i="32" s="1"/>
  <c r="V37" i="32" s="1"/>
  <c r="R390" i="31"/>
  <c r="U390" i="31" s="1"/>
  <c r="AK50" i="31"/>
  <c r="AL50" i="31" s="1"/>
  <c r="AJ63" i="31"/>
  <c r="T63" i="31" s="1"/>
  <c r="V63" i="31" s="1"/>
  <c r="R180" i="31"/>
  <c r="U180" i="31" s="1"/>
  <c r="R179" i="31"/>
  <c r="R178" i="31"/>
  <c r="U178" i="31" s="1"/>
  <c r="AJ236" i="31"/>
  <c r="T236" i="31" s="1"/>
  <c r="V236" i="31" s="1"/>
  <c r="R64" i="31"/>
  <c r="U64" i="31" s="1"/>
  <c r="R66" i="31"/>
  <c r="AJ78" i="31"/>
  <c r="T78" i="31" s="1"/>
  <c r="V78" i="31" s="1"/>
  <c r="AJ120" i="31"/>
  <c r="T120" i="31" s="1"/>
  <c r="V120" i="31" s="1"/>
  <c r="R159" i="31"/>
  <c r="U159" i="31" s="1"/>
  <c r="AJ160" i="31"/>
  <c r="T160" i="31" s="1"/>
  <c r="V160" i="31" s="1"/>
  <c r="R219" i="31"/>
  <c r="U219" i="31" s="1"/>
  <c r="AJ67" i="31"/>
  <c r="T67" i="31" s="1"/>
  <c r="V67" i="31" s="1"/>
  <c r="AH119" i="31"/>
  <c r="AH53" i="31" s="1"/>
  <c r="AH33" i="31" s="1"/>
  <c r="AH163" i="31"/>
  <c r="AJ166" i="31"/>
  <c r="T166" i="31" s="1"/>
  <c r="V166" i="31" s="1"/>
  <c r="R210" i="31"/>
  <c r="U210" i="31" s="1"/>
  <c r="R208" i="31"/>
  <c r="U208" i="31" s="1"/>
  <c r="AJ47" i="31"/>
  <c r="T47" i="31" s="1"/>
  <c r="V47" i="31" s="1"/>
  <c r="R58" i="31"/>
  <c r="U58" i="31" s="1"/>
  <c r="R194" i="31"/>
  <c r="U194" i="31" s="1"/>
  <c r="R191" i="31"/>
  <c r="R195" i="31"/>
  <c r="R343" i="31"/>
  <c r="U343" i="31" s="1"/>
  <c r="R432" i="31"/>
  <c r="U432" i="31" s="1"/>
  <c r="R453" i="31"/>
  <c r="R459" i="31"/>
  <c r="R519" i="31"/>
  <c r="U519" i="31" s="1"/>
  <c r="U615" i="31"/>
  <c r="U664" i="31"/>
  <c r="R439" i="31"/>
  <c r="U497" i="31"/>
  <c r="AJ204" i="31"/>
  <c r="T204" i="31" s="1"/>
  <c r="V204" i="31" s="1"/>
  <c r="AJ270" i="31"/>
  <c r="T270" i="31" s="1"/>
  <c r="V270" i="31" s="1"/>
  <c r="R278" i="31"/>
  <c r="U278" i="31" s="1"/>
  <c r="R281" i="31"/>
  <c r="U281" i="31" s="1"/>
  <c r="R339" i="31"/>
  <c r="U339" i="31" s="1"/>
  <c r="AJ382" i="31"/>
  <c r="T382" i="31" s="1"/>
  <c r="V382" i="31" s="1"/>
  <c r="U398" i="31"/>
  <c r="AJ403" i="31"/>
  <c r="T403" i="31" s="1"/>
  <c r="V403" i="31" s="1"/>
  <c r="R409" i="31"/>
  <c r="U409" i="31" s="1"/>
  <c r="R416" i="31"/>
  <c r="U416" i="31" s="1"/>
  <c r="R421" i="31"/>
  <c r="R434" i="31"/>
  <c r="R438" i="31"/>
  <c r="U438" i="31" s="1"/>
  <c r="R492" i="31"/>
  <c r="AJ506" i="31"/>
  <c r="T506" i="31" s="1"/>
  <c r="V506" i="31" s="1"/>
  <c r="AJ548" i="31"/>
  <c r="T548" i="31" s="1"/>
  <c r="V548" i="31" s="1"/>
  <c r="AJ603" i="31"/>
  <c r="T603" i="31" s="1"/>
  <c r="V603" i="31" s="1"/>
  <c r="R606" i="31"/>
  <c r="R647" i="31"/>
  <c r="R648" i="31"/>
  <c r="R655" i="31"/>
  <c r="U655" i="31" s="1"/>
  <c r="R271" i="31"/>
  <c r="U271" i="31" s="1"/>
  <c r="R276" i="31"/>
  <c r="U276" i="31" s="1"/>
  <c r="R324" i="31"/>
  <c r="U324" i="31" s="1"/>
  <c r="AJ327" i="31"/>
  <c r="T327" i="31" s="1"/>
  <c r="V327" i="31" s="1"/>
  <c r="AJ334" i="31"/>
  <c r="T334" i="31" s="1"/>
  <c r="V334" i="31" s="1"/>
  <c r="R415" i="31"/>
  <c r="U415" i="31" s="1"/>
  <c r="R433" i="31"/>
  <c r="U433" i="31" s="1"/>
  <c r="R441" i="31"/>
  <c r="U441" i="31" s="1"/>
  <c r="AK452" i="31"/>
  <c r="AL452" i="31" s="1"/>
  <c r="R457" i="31"/>
  <c r="U457" i="31" s="1"/>
  <c r="R489" i="31"/>
  <c r="U489" i="31" s="1"/>
  <c r="R496" i="31"/>
  <c r="U496" i="31" s="1"/>
  <c r="AJ518" i="31"/>
  <c r="T518" i="31" s="1"/>
  <c r="V518" i="31" s="1"/>
  <c r="R551" i="31"/>
  <c r="U551" i="31" s="1"/>
  <c r="R552" i="31"/>
  <c r="U552" i="31" s="1"/>
  <c r="R663" i="31"/>
  <c r="U558" i="31"/>
  <c r="U532" i="31"/>
  <c r="U389" i="31"/>
  <c r="AK211" i="31"/>
  <c r="AL211" i="31" s="1"/>
  <c r="AJ143" i="31"/>
  <c r="T143" i="31" s="1"/>
  <c r="V143" i="31" s="1"/>
  <c r="AJ105" i="31"/>
  <c r="T105" i="31" s="1"/>
  <c r="V105" i="31" s="1"/>
  <c r="U86" i="31"/>
  <c r="AI54" i="31"/>
  <c r="AH10" i="31"/>
  <c r="AJ24" i="31"/>
  <c r="T24" i="31" s="1"/>
  <c r="V24" i="31" s="1"/>
  <c r="AJ25" i="31"/>
  <c r="T25" i="31" s="1"/>
  <c r="V25" i="31" s="1"/>
  <c r="AK39" i="31"/>
  <c r="AL39" i="31" s="1"/>
  <c r="AK41" i="31"/>
  <c r="AL41" i="31" s="1"/>
  <c r="AK43" i="31"/>
  <c r="AL43" i="31" s="1"/>
  <c r="AK45" i="31"/>
  <c r="AL45" i="31" s="1"/>
  <c r="R60" i="31"/>
  <c r="U60" i="31" s="1"/>
  <c r="U69" i="31"/>
  <c r="R68" i="31"/>
  <c r="U68" i="31" s="1"/>
  <c r="AJ84" i="31"/>
  <c r="T84" i="31" s="1"/>
  <c r="V84" i="31" s="1"/>
  <c r="AJ87" i="31"/>
  <c r="T87" i="31" s="1"/>
  <c r="V87" i="31" s="1"/>
  <c r="R97" i="31"/>
  <c r="U97" i="31" s="1"/>
  <c r="R121" i="31"/>
  <c r="U121" i="31" s="1"/>
  <c r="AK150" i="31"/>
  <c r="AL150" i="31" s="1"/>
  <c r="V281" i="31"/>
  <c r="AK84" i="31"/>
  <c r="AL84" i="31" s="1"/>
  <c r="R107" i="31"/>
  <c r="U107" i="31" s="1"/>
  <c r="R115" i="31"/>
  <c r="U115" i="31" s="1"/>
  <c r="O53" i="31"/>
  <c r="O33" i="31" s="1"/>
  <c r="AB53" i="31"/>
  <c r="AB33" i="31" s="1"/>
  <c r="R147" i="31"/>
  <c r="U147" i="31" s="1"/>
  <c r="U151" i="31"/>
  <c r="AK38" i="31"/>
  <c r="AL38" i="31" s="1"/>
  <c r="AK40" i="31"/>
  <c r="AL40" i="31" s="1"/>
  <c r="AK42" i="31"/>
  <c r="AL42" i="31" s="1"/>
  <c r="AK44" i="31"/>
  <c r="AL44" i="31" s="1"/>
  <c r="AK46" i="31"/>
  <c r="AL46" i="31" s="1"/>
  <c r="AJ50" i="31"/>
  <c r="T50" i="31" s="1"/>
  <c r="V50" i="31" s="1"/>
  <c r="Q54" i="31"/>
  <c r="R76" i="31" s="1"/>
  <c r="R56" i="31"/>
  <c r="U56" i="31" s="1"/>
  <c r="U59" i="31"/>
  <c r="AK57" i="31"/>
  <c r="AL57" i="31" s="1"/>
  <c r="P54" i="31"/>
  <c r="AJ61" i="31"/>
  <c r="T61" i="31" s="1"/>
  <c r="V61" i="31" s="1"/>
  <c r="AJ81" i="31"/>
  <c r="T81" i="31" s="1"/>
  <c r="V81" i="31" s="1"/>
  <c r="R85" i="31"/>
  <c r="U85" i="31" s="1"/>
  <c r="AJ91" i="31"/>
  <c r="T91" i="31" s="1"/>
  <c r="V91" i="31" s="1"/>
  <c r="R93" i="31"/>
  <c r="U93" i="31" s="1"/>
  <c r="R101" i="31"/>
  <c r="U101" i="31" s="1"/>
  <c r="P119" i="31"/>
  <c r="AI119" i="31"/>
  <c r="U144" i="31"/>
  <c r="R140" i="31"/>
  <c r="U140" i="31" s="1"/>
  <c r="R158" i="31"/>
  <c r="U158" i="31" s="1"/>
  <c r="U182" i="31"/>
  <c r="R203" i="31"/>
  <c r="U203" i="31" s="1"/>
  <c r="R198" i="31"/>
  <c r="U198" i="31" s="1"/>
  <c r="P10" i="31"/>
  <c r="AI37" i="31"/>
  <c r="AK47" i="31"/>
  <c r="AL47" i="31" s="1"/>
  <c r="AJ76" i="31"/>
  <c r="T76" i="31" s="1"/>
  <c r="V76" i="31" s="1"/>
  <c r="AK78" i="31"/>
  <c r="AL78" i="31" s="1"/>
  <c r="R111" i="31"/>
  <c r="U111" i="31" s="1"/>
  <c r="U128" i="31"/>
  <c r="R146" i="31"/>
  <c r="R149" i="31"/>
  <c r="U149" i="31" s="1"/>
  <c r="AK152" i="31"/>
  <c r="AL152" i="31" s="1"/>
  <c r="R153" i="31"/>
  <c r="U153" i="31" s="1"/>
  <c r="AJ154" i="31"/>
  <c r="T154" i="31" s="1"/>
  <c r="V154" i="31" s="1"/>
  <c r="AJ157" i="31"/>
  <c r="T157" i="31" s="1"/>
  <c r="V157" i="31" s="1"/>
  <c r="U161" i="31"/>
  <c r="R162" i="31"/>
  <c r="U162" i="31" s="1"/>
  <c r="R177" i="31"/>
  <c r="U177" i="31" s="1"/>
  <c r="R189" i="31"/>
  <c r="U189" i="31" s="1"/>
  <c r="R190" i="31"/>
  <c r="U190" i="31" s="1"/>
  <c r="R193" i="31"/>
  <c r="U193" i="31" s="1"/>
  <c r="R212" i="31"/>
  <c r="AJ225" i="31"/>
  <c r="T225" i="31" s="1"/>
  <c r="V225" i="31" s="1"/>
  <c r="R241" i="31"/>
  <c r="U241" i="31" s="1"/>
  <c r="R246" i="31"/>
  <c r="U246" i="31" s="1"/>
  <c r="AJ259" i="31"/>
  <c r="T259" i="31" s="1"/>
  <c r="V259" i="31" s="1"/>
  <c r="R268" i="31"/>
  <c r="U268" i="31" s="1"/>
  <c r="R279" i="31"/>
  <c r="U279" i="31" s="1"/>
  <c r="R286" i="31"/>
  <c r="U286" i="31" s="1"/>
  <c r="U342" i="31"/>
  <c r="R344" i="31"/>
  <c r="U344" i="31" s="1"/>
  <c r="R349" i="31"/>
  <c r="AJ351" i="31"/>
  <c r="T351" i="31" s="1"/>
  <c r="V351" i="31" s="1"/>
  <c r="R354" i="31"/>
  <c r="R377" i="31"/>
  <c r="U377" i="31" s="1"/>
  <c r="R375" i="31"/>
  <c r="U375" i="31" s="1"/>
  <c r="AK372" i="31"/>
  <c r="AL372" i="31" s="1"/>
  <c r="AJ372" i="31"/>
  <c r="T372" i="31" s="1"/>
  <c r="V372" i="31" s="1"/>
  <c r="R228" i="31"/>
  <c r="U228" i="31" s="1"/>
  <c r="R230" i="31"/>
  <c r="U230" i="31" s="1"/>
  <c r="R233" i="31"/>
  <c r="U233" i="31" s="1"/>
  <c r="R260" i="31"/>
  <c r="U260" i="31" s="1"/>
  <c r="R265" i="31"/>
  <c r="U265" i="31" s="1"/>
  <c r="R266" i="31"/>
  <c r="R267" i="31"/>
  <c r="U267" i="31" s="1"/>
  <c r="R301" i="31"/>
  <c r="U301" i="31" s="1"/>
  <c r="AK160" i="31"/>
  <c r="AL160" i="31" s="1"/>
  <c r="AJ176" i="31"/>
  <c r="T176" i="31" s="1"/>
  <c r="V176" i="31" s="1"/>
  <c r="R181" i="31"/>
  <c r="U181" i="31" s="1"/>
  <c r="R183" i="31"/>
  <c r="R184" i="31"/>
  <c r="U184" i="31" s="1"/>
  <c r="R187" i="31"/>
  <c r="AJ188" i="31"/>
  <c r="T187" i="31" s="1"/>
  <c r="AH175" i="31"/>
  <c r="R206" i="31"/>
  <c r="U206" i="31" s="1"/>
  <c r="AJ211" i="31"/>
  <c r="T211" i="31" s="1"/>
  <c r="V211" i="31" s="1"/>
  <c r="R213" i="31"/>
  <c r="U213" i="31" s="1"/>
  <c r="R215" i="31"/>
  <c r="U215" i="31" s="1"/>
  <c r="R216" i="31"/>
  <c r="U216" i="31" s="1"/>
  <c r="U224" i="31"/>
  <c r="R227" i="31"/>
  <c r="U227" i="31" s="1"/>
  <c r="R231" i="31"/>
  <c r="U231" i="31" s="1"/>
  <c r="R235" i="31"/>
  <c r="U235" i="31" s="1"/>
  <c r="R239" i="31"/>
  <c r="U239" i="31" s="1"/>
  <c r="R262" i="31"/>
  <c r="U262" i="31" s="1"/>
  <c r="R264" i="31"/>
  <c r="U264" i="31" s="1"/>
  <c r="R269" i="31"/>
  <c r="U269" i="31" s="1"/>
  <c r="AK270" i="31"/>
  <c r="AL270" i="31" s="1"/>
  <c r="R273" i="31"/>
  <c r="U273" i="31" s="1"/>
  <c r="R275" i="31"/>
  <c r="U275" i="31" s="1"/>
  <c r="R325" i="31"/>
  <c r="U325" i="31" s="1"/>
  <c r="R337" i="31"/>
  <c r="U337" i="31" s="1"/>
  <c r="R356" i="31"/>
  <c r="U356" i="31" s="1"/>
  <c r="R369" i="31"/>
  <c r="U369" i="31" s="1"/>
  <c r="R367" i="31"/>
  <c r="U367" i="31" s="1"/>
  <c r="R365" i="31"/>
  <c r="U365" i="31" s="1"/>
  <c r="R381" i="31"/>
  <c r="U381" i="31" s="1"/>
  <c r="R394" i="31"/>
  <c r="U394" i="31" s="1"/>
  <c r="R391" i="31"/>
  <c r="U391" i="31" s="1"/>
  <c r="R388" i="31"/>
  <c r="U388" i="31" s="1"/>
  <c r="R387" i="31"/>
  <c r="U387" i="31" s="1"/>
  <c r="R385" i="31"/>
  <c r="U385" i="31" s="1"/>
  <c r="R384" i="31"/>
  <c r="U384" i="31" s="1"/>
  <c r="R383" i="31"/>
  <c r="U383" i="31" s="1"/>
  <c r="R392" i="31"/>
  <c r="U392" i="31" s="1"/>
  <c r="R393" i="31"/>
  <c r="U393" i="31" s="1"/>
  <c r="V504" i="31"/>
  <c r="U504" i="31"/>
  <c r="AK176" i="31"/>
  <c r="AL176" i="31" s="1"/>
  <c r="R185" i="31"/>
  <c r="U185" i="31" s="1"/>
  <c r="AK188" i="31"/>
  <c r="AL188" i="31" s="1"/>
  <c r="R237" i="31"/>
  <c r="U237" i="31" s="1"/>
  <c r="R242" i="31"/>
  <c r="U242" i="31" s="1"/>
  <c r="R252" i="31"/>
  <c r="U252" i="31" s="1"/>
  <c r="AH243" i="31"/>
  <c r="R261" i="31"/>
  <c r="U261" i="31" s="1"/>
  <c r="AK282" i="31"/>
  <c r="AL282" i="31" s="1"/>
  <c r="R289" i="31"/>
  <c r="U289" i="31" s="1"/>
  <c r="R294" i="31"/>
  <c r="U294" i="31" s="1"/>
  <c r="R321" i="31"/>
  <c r="U321" i="31" s="1"/>
  <c r="R399" i="31"/>
  <c r="U399" i="31" s="1"/>
  <c r="R400" i="31"/>
  <c r="U400" i="31" s="1"/>
  <c r="R410" i="31"/>
  <c r="U410" i="31" s="1"/>
  <c r="R413" i="31"/>
  <c r="U413" i="31" s="1"/>
  <c r="AK420" i="31"/>
  <c r="AL420" i="31" s="1"/>
  <c r="R425" i="31"/>
  <c r="U425" i="31" s="1"/>
  <c r="R426" i="31"/>
  <c r="U426" i="31" s="1"/>
  <c r="R427" i="31"/>
  <c r="U427" i="31" s="1"/>
  <c r="U434" i="31"/>
  <c r="R440" i="31"/>
  <c r="U440" i="31" s="1"/>
  <c r="AJ442" i="31"/>
  <c r="T442" i="31" s="1"/>
  <c r="V442" i="31" s="1"/>
  <c r="R448" i="31"/>
  <c r="U448" i="31" s="1"/>
  <c r="R460" i="31"/>
  <c r="U460" i="31" s="1"/>
  <c r="R463" i="31"/>
  <c r="U463" i="31" s="1"/>
  <c r="R472" i="31"/>
  <c r="U472" i="31" s="1"/>
  <c r="R482" i="31"/>
  <c r="U482" i="31" s="1"/>
  <c r="R503" i="31"/>
  <c r="U503" i="31" s="1"/>
  <c r="R502" i="31"/>
  <c r="U502" i="31" s="1"/>
  <c r="R534" i="31"/>
  <c r="U534" i="31" s="1"/>
  <c r="R539" i="31"/>
  <c r="U539" i="31" s="1"/>
  <c r="AK548" i="31"/>
  <c r="AL548" i="31" s="1"/>
  <c r="R553" i="31"/>
  <c r="U553" i="31" s="1"/>
  <c r="R428" i="31"/>
  <c r="U428" i="31" s="1"/>
  <c r="R469" i="31"/>
  <c r="U469" i="31" s="1"/>
  <c r="R477" i="31"/>
  <c r="U477" i="31" s="1"/>
  <c r="R542" i="31"/>
  <c r="U542" i="31" s="1"/>
  <c r="R543" i="31"/>
  <c r="U543" i="31" s="1"/>
  <c r="R550" i="31"/>
  <c r="U550" i="31" s="1"/>
  <c r="R554" i="31"/>
  <c r="R549" i="31"/>
  <c r="R566" i="31"/>
  <c r="U566" i="31" s="1"/>
  <c r="R560" i="31"/>
  <c r="U560" i="31" s="1"/>
  <c r="R565" i="31"/>
  <c r="U565" i="31" s="1"/>
  <c r="R396" i="31"/>
  <c r="U396" i="31" s="1"/>
  <c r="AJ417" i="31"/>
  <c r="T417" i="31" s="1"/>
  <c r="V417" i="31" s="1"/>
  <c r="R429" i="31"/>
  <c r="U429" i="31" s="1"/>
  <c r="U435" i="31"/>
  <c r="AJ431" i="31"/>
  <c r="T431" i="31" s="1"/>
  <c r="V431" i="31" s="1"/>
  <c r="R436" i="31"/>
  <c r="U436" i="31" s="1"/>
  <c r="R437" i="31"/>
  <c r="U437" i="31" s="1"/>
  <c r="U456" i="31"/>
  <c r="AJ452" i="31"/>
  <c r="T452" i="31" s="1"/>
  <c r="V452" i="31" s="1"/>
  <c r="R455" i="31"/>
  <c r="U455" i="31" s="1"/>
  <c r="R458" i="31"/>
  <c r="R466" i="31"/>
  <c r="U466" i="31" s="1"/>
  <c r="AJ471" i="31"/>
  <c r="T471" i="31" s="1"/>
  <c r="V471" i="31" s="1"/>
  <c r="R476" i="31"/>
  <c r="U476" i="31" s="1"/>
  <c r="AK478" i="31"/>
  <c r="AL478" i="31" s="1"/>
  <c r="R486" i="31"/>
  <c r="U486" i="31" s="1"/>
  <c r="R505" i="31"/>
  <c r="U505" i="31" s="1"/>
  <c r="R521" i="31"/>
  <c r="U521" i="31" s="1"/>
  <c r="U546" i="31"/>
  <c r="AJ420" i="31"/>
  <c r="T420" i="31" s="1"/>
  <c r="V420" i="31" s="1"/>
  <c r="R423" i="31"/>
  <c r="U423" i="31" s="1"/>
  <c r="AJ461" i="31"/>
  <c r="T461" i="31" s="1"/>
  <c r="V461" i="31" s="1"/>
  <c r="R464" i="31"/>
  <c r="U464" i="31" s="1"/>
  <c r="R467" i="31"/>
  <c r="U467" i="31" s="1"/>
  <c r="AK471" i="31"/>
  <c r="AL471" i="31" s="1"/>
  <c r="R474" i="31"/>
  <c r="U474" i="31" s="1"/>
  <c r="R547" i="31"/>
  <c r="R545" i="31"/>
  <c r="U545" i="31" s="1"/>
  <c r="R544" i="31"/>
  <c r="U544" i="31" s="1"/>
  <c r="R540" i="31"/>
  <c r="U540" i="31" s="1"/>
  <c r="R538" i="31"/>
  <c r="R555" i="31"/>
  <c r="U555" i="31" s="1"/>
  <c r="U611" i="31"/>
  <c r="AK613" i="31"/>
  <c r="AL613" i="31" s="1"/>
  <c r="R616" i="31"/>
  <c r="U616" i="31" s="1"/>
  <c r="R619" i="31"/>
  <c r="U619" i="31" s="1"/>
  <c r="R628" i="31"/>
  <c r="U628" i="31" s="1"/>
  <c r="AJ654" i="31"/>
  <c r="T654" i="31" s="1"/>
  <c r="V654" i="31" s="1"/>
  <c r="R658" i="31"/>
  <c r="R666" i="31"/>
  <c r="U666" i="31" s="1"/>
  <c r="R669" i="31"/>
  <c r="U669" i="31" s="1"/>
  <c r="R614" i="31"/>
  <c r="U614" i="31" s="1"/>
  <c r="R617" i="31"/>
  <c r="R621" i="31"/>
  <c r="U621" i="31" s="1"/>
  <c r="U624" i="31"/>
  <c r="U647" i="31"/>
  <c r="AK654" i="31"/>
  <c r="AL654" i="31" s="1"/>
  <c r="R670" i="31"/>
  <c r="U670" i="31" s="1"/>
  <c r="AJ499" i="31"/>
  <c r="T499" i="31" s="1"/>
  <c r="V499" i="31" s="1"/>
  <c r="U513" i="31"/>
  <c r="U576" i="31"/>
  <c r="U585" i="31"/>
  <c r="U595" i="31"/>
  <c r="R605" i="31"/>
  <c r="U605" i="31" s="1"/>
  <c r="R610" i="31"/>
  <c r="U610" i="31" s="1"/>
  <c r="R627" i="31"/>
  <c r="U627" i="31" s="1"/>
  <c r="R644" i="31"/>
  <c r="U644" i="31" s="1"/>
  <c r="R646" i="31"/>
  <c r="U646" i="31" s="1"/>
  <c r="R657" i="31"/>
  <c r="U657" i="31" s="1"/>
  <c r="R662" i="31"/>
  <c r="U662" i="31" s="1"/>
  <c r="R665" i="31"/>
  <c r="U665" i="31" s="1"/>
  <c r="AJ668" i="31"/>
  <c r="T668" i="31" s="1"/>
  <c r="V668" i="31" s="1"/>
  <c r="R63" i="31"/>
  <c r="R67" i="31"/>
  <c r="U118" i="31"/>
  <c r="V158" i="31"/>
  <c r="U66" i="31"/>
  <c r="V66" i="31"/>
  <c r="V60" i="31"/>
  <c r="V85" i="31"/>
  <c r="U62" i="31"/>
  <c r="V58" i="31"/>
  <c r="V64" i="31"/>
  <c r="V235" i="31"/>
  <c r="AJ320" i="31"/>
  <c r="T320" i="31" s="1"/>
  <c r="V320" i="31" s="1"/>
  <c r="AI243" i="31"/>
  <c r="U146" i="31"/>
  <c r="AS15" i="31"/>
  <c r="R26" i="31"/>
  <c r="R47" i="31"/>
  <c r="U47" i="31" s="1"/>
  <c r="R75" i="31"/>
  <c r="U75" i="31" s="1"/>
  <c r="R82" i="31"/>
  <c r="U82" i="31" s="1"/>
  <c r="AK89" i="31"/>
  <c r="AL89" i="31" s="1"/>
  <c r="R98" i="31"/>
  <c r="U98" i="31" s="1"/>
  <c r="R112" i="31"/>
  <c r="U112" i="31" s="1"/>
  <c r="R142" i="31"/>
  <c r="U142" i="31" s="1"/>
  <c r="V149" i="31"/>
  <c r="U277" i="31"/>
  <c r="U363" i="31"/>
  <c r="U411" i="31"/>
  <c r="U421" i="31"/>
  <c r="R133" i="31"/>
  <c r="U133" i="31" s="1"/>
  <c r="R123" i="31"/>
  <c r="U123" i="31" s="1"/>
  <c r="R131" i="31"/>
  <c r="U131" i="31" s="1"/>
  <c r="R125" i="31"/>
  <c r="U125" i="31" s="1"/>
  <c r="V227" i="31"/>
  <c r="V286" i="31"/>
  <c r="R317" i="31"/>
  <c r="U317" i="31" s="1"/>
  <c r="R315" i="31"/>
  <c r="U315" i="31" s="1"/>
  <c r="AK312" i="31"/>
  <c r="AL312" i="31" s="1"/>
  <c r="R319" i="31"/>
  <c r="U319" i="31" s="1"/>
  <c r="R314" i="31"/>
  <c r="U314" i="31" s="1"/>
  <c r="R313" i="31"/>
  <c r="U313" i="31" s="1"/>
  <c r="R318" i="31"/>
  <c r="U318" i="31" s="1"/>
  <c r="Q243" i="31"/>
  <c r="R312" i="31" s="1"/>
  <c r="R316" i="31"/>
  <c r="U316" i="31" s="1"/>
  <c r="AJ395" i="31"/>
  <c r="T395" i="31" s="1"/>
  <c r="V395" i="31" s="1"/>
  <c r="AK395" i="31"/>
  <c r="AL395" i="31" s="1"/>
  <c r="AK17" i="31"/>
  <c r="AL17" i="31" s="1"/>
  <c r="AK20" i="31"/>
  <c r="AL20" i="31" s="1"/>
  <c r="AK22" i="31"/>
  <c r="AL22" i="31" s="1"/>
  <c r="AK67" i="31"/>
  <c r="AL67" i="31" s="1"/>
  <c r="R83" i="31"/>
  <c r="U83" i="31" s="1"/>
  <c r="AJ89" i="31"/>
  <c r="T89" i="31" s="1"/>
  <c r="V89" i="31" s="1"/>
  <c r="R99" i="31"/>
  <c r="U99" i="31" s="1"/>
  <c r="R113" i="31"/>
  <c r="U113" i="31" s="1"/>
  <c r="AK122" i="31"/>
  <c r="AL122" i="31" s="1"/>
  <c r="R124" i="31"/>
  <c r="U124" i="31" s="1"/>
  <c r="R127" i="31"/>
  <c r="U127" i="31" s="1"/>
  <c r="R132" i="31"/>
  <c r="U132" i="31" s="1"/>
  <c r="U138" i="31"/>
  <c r="AJ139" i="31"/>
  <c r="T139" i="31" s="1"/>
  <c r="U263" i="31"/>
  <c r="V181" i="31"/>
  <c r="U183" i="31"/>
  <c r="V183" i="31"/>
  <c r="U214" i="31"/>
  <c r="V214" i="31"/>
  <c r="V429" i="31"/>
  <c r="AJ70" i="31"/>
  <c r="T70" i="31" s="1"/>
  <c r="V70" i="31" s="1"/>
  <c r="AK76" i="31"/>
  <c r="AL76" i="31" s="1"/>
  <c r="Q10" i="31"/>
  <c r="R28" i="31" s="1"/>
  <c r="U28" i="31" s="1"/>
  <c r="Q12" i="31"/>
  <c r="R12" i="31" s="1"/>
  <c r="AK16" i="31"/>
  <c r="AL16" i="31" s="1"/>
  <c r="AK18" i="31"/>
  <c r="AL18" i="31" s="1"/>
  <c r="AK19" i="31"/>
  <c r="AL19" i="31" s="1"/>
  <c r="AK21" i="31"/>
  <c r="AL21" i="31" s="1"/>
  <c r="AK23" i="31"/>
  <c r="AL23" i="31" s="1"/>
  <c r="R37" i="31"/>
  <c r="R50" i="31"/>
  <c r="AK55" i="31"/>
  <c r="AL55" i="31" s="1"/>
  <c r="V65" i="31"/>
  <c r="R14" i="31"/>
  <c r="AJ16" i="31"/>
  <c r="T16" i="31" s="1"/>
  <c r="V16" i="31" s="1"/>
  <c r="AI26" i="31"/>
  <c r="AJ26" i="31" s="1"/>
  <c r="AK28" i="31"/>
  <c r="AJ55" i="31"/>
  <c r="T55" i="31" s="1"/>
  <c r="V55" i="31" s="1"/>
  <c r="R81" i="31"/>
  <c r="U81" i="31" s="1"/>
  <c r="AK81" i="31"/>
  <c r="AL81" i="31" s="1"/>
  <c r="R88" i="31"/>
  <c r="U88" i="31" s="1"/>
  <c r="R92" i="31"/>
  <c r="U92" i="31" s="1"/>
  <c r="R100" i="31"/>
  <c r="U100" i="31" s="1"/>
  <c r="R106" i="31"/>
  <c r="U106" i="31" s="1"/>
  <c r="R114" i="31"/>
  <c r="U114" i="31" s="1"/>
  <c r="AJ122" i="31"/>
  <c r="T122" i="31" s="1"/>
  <c r="V122" i="31" s="1"/>
  <c r="R126" i="31"/>
  <c r="U126" i="31" s="1"/>
  <c r="R129" i="31"/>
  <c r="U129" i="31" s="1"/>
  <c r="AK157" i="31"/>
  <c r="AL157" i="31" s="1"/>
  <c r="U212" i="31"/>
  <c r="U284" i="31"/>
  <c r="U179" i="31"/>
  <c r="V179" i="31"/>
  <c r="V269" i="31"/>
  <c r="U229" i="31"/>
  <c r="U251" i="31"/>
  <c r="U322" i="31"/>
  <c r="U379" i="31"/>
  <c r="U397" i="31"/>
  <c r="V434" i="31"/>
  <c r="U501" i="31"/>
  <c r="AK164" i="31"/>
  <c r="AL164" i="31" s="1"/>
  <c r="Q163" i="31"/>
  <c r="R164" i="31" s="1"/>
  <c r="R165" i="31"/>
  <c r="U165" i="31" s="1"/>
  <c r="AK134" i="31"/>
  <c r="AL134" i="31" s="1"/>
  <c r="U195" i="31"/>
  <c r="V195" i="31"/>
  <c r="U266" i="31"/>
  <c r="V266" i="31"/>
  <c r="U328" i="31"/>
  <c r="V328" i="31"/>
  <c r="U347" i="31"/>
  <c r="V347" i="31"/>
  <c r="AJ537" i="31"/>
  <c r="T537" i="31" s="1"/>
  <c r="V537" i="31" s="1"/>
  <c r="AK537" i="31"/>
  <c r="AL537" i="31" s="1"/>
  <c r="AJ37" i="31"/>
  <c r="T37" i="31" s="1"/>
  <c r="V37" i="31" s="1"/>
  <c r="R71" i="31"/>
  <c r="U71" i="31" s="1"/>
  <c r="R80" i="31"/>
  <c r="U80" i="31" s="1"/>
  <c r="R87" i="31"/>
  <c r="AK87" i="31"/>
  <c r="AL87" i="31" s="1"/>
  <c r="AK91" i="31"/>
  <c r="AL91" i="31" s="1"/>
  <c r="R94" i="31"/>
  <c r="U94" i="31" s="1"/>
  <c r="R102" i="31"/>
  <c r="U102" i="31" s="1"/>
  <c r="AK105" i="31"/>
  <c r="AL105" i="31" s="1"/>
  <c r="R108" i="31"/>
  <c r="U108" i="31" s="1"/>
  <c r="R116" i="31"/>
  <c r="U116" i="31" s="1"/>
  <c r="R130" i="31"/>
  <c r="U130" i="31" s="1"/>
  <c r="R135" i="31"/>
  <c r="U135" i="31" s="1"/>
  <c r="U352" i="31"/>
  <c r="AK136" i="31"/>
  <c r="AL136" i="31" s="1"/>
  <c r="V241" i="31"/>
  <c r="V384" i="31"/>
  <c r="AK24" i="31"/>
  <c r="AL24" i="31" s="1"/>
  <c r="AK27" i="31"/>
  <c r="AL27" i="31" s="1"/>
  <c r="AK61" i="31"/>
  <c r="AL61" i="31" s="1"/>
  <c r="R72" i="31"/>
  <c r="U72" i="31" s="1"/>
  <c r="R77" i="31"/>
  <c r="U77" i="31" s="1"/>
  <c r="R95" i="31"/>
  <c r="U95" i="31" s="1"/>
  <c r="R103" i="31"/>
  <c r="U103" i="31" s="1"/>
  <c r="R109" i="31"/>
  <c r="U109" i="31" s="1"/>
  <c r="R117" i="31"/>
  <c r="U117" i="31" s="1"/>
  <c r="Q119" i="31"/>
  <c r="AK120" i="31"/>
  <c r="AL120" i="31" s="1"/>
  <c r="AK154" i="31"/>
  <c r="AL154" i="31" s="1"/>
  <c r="AJ164" i="31"/>
  <c r="T164" i="31" s="1"/>
  <c r="V164" i="31" s="1"/>
  <c r="AJ312" i="31"/>
  <c r="T312" i="31" s="1"/>
  <c r="V312" i="31" s="1"/>
  <c r="P243" i="31"/>
  <c r="R145" i="31"/>
  <c r="U145" i="31" s="1"/>
  <c r="R148" i="31"/>
  <c r="U148" i="31" s="1"/>
  <c r="AK143" i="31"/>
  <c r="AL143" i="31" s="1"/>
  <c r="R169" i="31"/>
  <c r="U169" i="31" s="1"/>
  <c r="AK166" i="31"/>
  <c r="AL166" i="31" s="1"/>
  <c r="R168" i="31"/>
  <c r="U168" i="31" s="1"/>
  <c r="R167" i="31"/>
  <c r="U167" i="31" s="1"/>
  <c r="R174" i="31"/>
  <c r="U174" i="31" s="1"/>
  <c r="R173" i="31"/>
  <c r="U173" i="31" s="1"/>
  <c r="R171" i="31"/>
  <c r="U171" i="31" s="1"/>
  <c r="V189" i="31"/>
  <c r="V261" i="31"/>
  <c r="V275" i="31"/>
  <c r="R70" i="31"/>
  <c r="AK70" i="31"/>
  <c r="AL70" i="31" s="1"/>
  <c r="R73" i="31"/>
  <c r="U73" i="31" s="1"/>
  <c r="R90" i="31"/>
  <c r="U90" i="31" s="1"/>
  <c r="R96" i="31"/>
  <c r="U96" i="31" s="1"/>
  <c r="R104" i="31"/>
  <c r="U104" i="31" s="1"/>
  <c r="R110" i="31"/>
  <c r="U110" i="31" s="1"/>
  <c r="AJ134" i="31"/>
  <c r="T134" i="31" s="1"/>
  <c r="V134" i="31" s="1"/>
  <c r="R172" i="31"/>
  <c r="U172" i="31" s="1"/>
  <c r="U191" i="31"/>
  <c r="R141" i="31"/>
  <c r="U141" i="31" s="1"/>
  <c r="AK139" i="31"/>
  <c r="AL139" i="31" s="1"/>
  <c r="V216" i="31"/>
  <c r="V433" i="31"/>
  <c r="R601" i="31"/>
  <c r="U601" i="31" s="1"/>
  <c r="R593" i="31"/>
  <c r="U593" i="31" s="1"/>
  <c r="R598" i="31"/>
  <c r="U598" i="31" s="1"/>
  <c r="R590" i="31"/>
  <c r="U590" i="31" s="1"/>
  <c r="R596" i="31"/>
  <c r="U596" i="31" s="1"/>
  <c r="R600" i="31"/>
  <c r="U600" i="31" s="1"/>
  <c r="R597" i="31"/>
  <c r="U597" i="31" s="1"/>
  <c r="R594" i="31"/>
  <c r="U594" i="31" s="1"/>
  <c r="R591" i="31"/>
  <c r="U591" i="31" s="1"/>
  <c r="R602" i="31"/>
  <c r="U602" i="31" s="1"/>
  <c r="AK589" i="31"/>
  <c r="AL589" i="31" s="1"/>
  <c r="R599" i="31"/>
  <c r="U599" i="31" s="1"/>
  <c r="R592" i="31"/>
  <c r="U592" i="31" s="1"/>
  <c r="R636" i="31"/>
  <c r="U636" i="31" s="1"/>
  <c r="R635" i="31"/>
  <c r="U635" i="31" s="1"/>
  <c r="AK632" i="31"/>
  <c r="AL632" i="31" s="1"/>
  <c r="R633" i="31"/>
  <c r="U633" i="31" s="1"/>
  <c r="R483" i="31"/>
  <c r="U483" i="31" s="1"/>
  <c r="R480" i="31"/>
  <c r="U480" i="31" s="1"/>
  <c r="R488" i="31"/>
  <c r="U488" i="31" s="1"/>
  <c r="AK485" i="31"/>
  <c r="AL485" i="31" s="1"/>
  <c r="R533" i="31"/>
  <c r="U533" i="31" s="1"/>
  <c r="R530" i="31"/>
  <c r="U530" i="31" s="1"/>
  <c r="R536" i="31"/>
  <c r="U536" i="31" s="1"/>
  <c r="R528" i="31"/>
  <c r="U528" i="31" s="1"/>
  <c r="AK525" i="31"/>
  <c r="AL525" i="31" s="1"/>
  <c r="R155" i="31"/>
  <c r="U155" i="31" s="1"/>
  <c r="AI175" i="31"/>
  <c r="R186" i="31"/>
  <c r="U186" i="31" s="1"/>
  <c r="R192" i="31"/>
  <c r="U192" i="31" s="1"/>
  <c r="R197" i="31"/>
  <c r="U197" i="31" s="1"/>
  <c r="R207" i="31"/>
  <c r="U207" i="31" s="1"/>
  <c r="R218" i="31"/>
  <c r="U218" i="31" s="1"/>
  <c r="R232" i="31"/>
  <c r="U232" i="31" s="1"/>
  <c r="R238" i="31"/>
  <c r="U238" i="31" s="1"/>
  <c r="R245" i="31"/>
  <c r="U245" i="31" s="1"/>
  <c r="R253" i="31"/>
  <c r="U253" i="31" s="1"/>
  <c r="R272" i="31"/>
  <c r="U272" i="31" s="1"/>
  <c r="R280" i="31"/>
  <c r="U280" i="31" s="1"/>
  <c r="R290" i="31"/>
  <c r="AK292" i="31"/>
  <c r="AL292" i="31" s="1"/>
  <c r="R295" i="31"/>
  <c r="U295" i="31" s="1"/>
  <c r="R302" i="31"/>
  <c r="U302" i="31" s="1"/>
  <c r="AK304" i="31"/>
  <c r="AL304" i="31" s="1"/>
  <c r="R306" i="31"/>
  <c r="U306" i="31" s="1"/>
  <c r="R330" i="31"/>
  <c r="U330" i="31" s="1"/>
  <c r="R338" i="31"/>
  <c r="U338" i="31" s="1"/>
  <c r="R350" i="31"/>
  <c r="U350" i="31" s="1"/>
  <c r="R357" i="31"/>
  <c r="U357" i="31" s="1"/>
  <c r="AK359" i="31"/>
  <c r="AL359" i="31" s="1"/>
  <c r="R361" i="31"/>
  <c r="U361" i="31" s="1"/>
  <c r="AK382" i="31"/>
  <c r="AL382" i="31" s="1"/>
  <c r="AK431" i="31"/>
  <c r="AL431" i="31" s="1"/>
  <c r="U475" i="31"/>
  <c r="R479" i="31"/>
  <c r="U479" i="31" s="1"/>
  <c r="AK499" i="31"/>
  <c r="AL499" i="31" s="1"/>
  <c r="R508" i="31"/>
  <c r="U508" i="31" s="1"/>
  <c r="R511" i="31"/>
  <c r="U511" i="31" s="1"/>
  <c r="R517" i="31"/>
  <c r="U517" i="31" s="1"/>
  <c r="U522" i="31"/>
  <c r="R526" i="31"/>
  <c r="U526" i="31" s="1"/>
  <c r="R529" i="31"/>
  <c r="U529" i="31" s="1"/>
  <c r="R535" i="31"/>
  <c r="U535" i="31" s="1"/>
  <c r="U549" i="31"/>
  <c r="U556" i="31"/>
  <c r="R575" i="31"/>
  <c r="U575" i="31" s="1"/>
  <c r="R578" i="31"/>
  <c r="U578" i="31" s="1"/>
  <c r="AK603" i="31"/>
  <c r="AL603" i="31" s="1"/>
  <c r="R637" i="31"/>
  <c r="U637" i="31" s="1"/>
  <c r="U658" i="31"/>
  <c r="R368" i="31"/>
  <c r="U368" i="31" s="1"/>
  <c r="R366" i="31"/>
  <c r="U366" i="31" s="1"/>
  <c r="R451" i="31"/>
  <c r="U451" i="31" s="1"/>
  <c r="R443" i="31"/>
  <c r="U443" i="31" s="1"/>
  <c r="R449" i="31"/>
  <c r="U449" i="31" s="1"/>
  <c r="R254" i="31"/>
  <c r="U254" i="31" s="1"/>
  <c r="AJ292" i="31"/>
  <c r="T292" i="31" s="1"/>
  <c r="V292" i="31" s="1"/>
  <c r="R296" i="31"/>
  <c r="U296" i="31" s="1"/>
  <c r="R303" i="31"/>
  <c r="U303" i="31" s="1"/>
  <c r="AJ304" i="31"/>
  <c r="T304" i="31" s="1"/>
  <c r="V304" i="31" s="1"/>
  <c r="AK351" i="31"/>
  <c r="AL351" i="31" s="1"/>
  <c r="R353" i="31"/>
  <c r="U353" i="31" s="1"/>
  <c r="R358" i="31"/>
  <c r="U358" i="31" s="1"/>
  <c r="AJ359" i="31"/>
  <c r="T359" i="31" s="1"/>
  <c r="V359" i="31" s="1"/>
  <c r="U418" i="31"/>
  <c r="AK417" i="31"/>
  <c r="AL417" i="31" s="1"/>
  <c r="AK442" i="31"/>
  <c r="AL442" i="31" s="1"/>
  <c r="R447" i="31"/>
  <c r="U447" i="31" s="1"/>
  <c r="R450" i="31"/>
  <c r="U450" i="31" s="1"/>
  <c r="R514" i="31"/>
  <c r="U514" i="31" s="1"/>
  <c r="R573" i="31"/>
  <c r="U573" i="31" s="1"/>
  <c r="R608" i="31"/>
  <c r="U608" i="31" s="1"/>
  <c r="AJ675" i="31"/>
  <c r="T675" i="31" s="1"/>
  <c r="V675" i="31" s="1"/>
  <c r="R414" i="31"/>
  <c r="U414" i="31" s="1"/>
  <c r="R406" i="31"/>
  <c r="U406" i="31" s="1"/>
  <c r="AK403" i="31"/>
  <c r="AL403" i="31" s="1"/>
  <c r="R412" i="31"/>
  <c r="U412" i="31" s="1"/>
  <c r="R404" i="31"/>
  <c r="U404" i="31" s="1"/>
  <c r="R498" i="31"/>
  <c r="U498" i="31" s="1"/>
  <c r="R495" i="31"/>
  <c r="U495" i="31" s="1"/>
  <c r="R493" i="31"/>
  <c r="U493" i="31" s="1"/>
  <c r="AK490" i="31"/>
  <c r="AL490" i="31" s="1"/>
  <c r="R520" i="31"/>
  <c r="U520" i="31" s="1"/>
  <c r="R523" i="31"/>
  <c r="U523" i="31" s="1"/>
  <c r="R564" i="31"/>
  <c r="U564" i="31" s="1"/>
  <c r="R561" i="31"/>
  <c r="U561" i="31" s="1"/>
  <c r="AK557" i="31"/>
  <c r="AL557" i="31" s="1"/>
  <c r="Q175" i="31"/>
  <c r="R217" i="31" s="1"/>
  <c r="AK196" i="31"/>
  <c r="AL196" i="31" s="1"/>
  <c r="R199" i="31"/>
  <c r="U199" i="31" s="1"/>
  <c r="R205" i="31"/>
  <c r="U205" i="31" s="1"/>
  <c r="AK217" i="31"/>
  <c r="AL217" i="31" s="1"/>
  <c r="R220" i="31"/>
  <c r="U220" i="31" s="1"/>
  <c r="R226" i="31"/>
  <c r="U226" i="31" s="1"/>
  <c r="R234" i="31"/>
  <c r="U234" i="31" s="1"/>
  <c r="R240" i="31"/>
  <c r="U240" i="31" s="1"/>
  <c r="AK244" i="31"/>
  <c r="AL244" i="31" s="1"/>
  <c r="R247" i="31"/>
  <c r="U247" i="31" s="1"/>
  <c r="R255" i="31"/>
  <c r="U255" i="31" s="1"/>
  <c r="R274" i="31"/>
  <c r="U274" i="31" s="1"/>
  <c r="R291" i="31"/>
  <c r="U291" i="31" s="1"/>
  <c r="R297" i="31"/>
  <c r="U297" i="31" s="1"/>
  <c r="R307" i="31"/>
  <c r="U307" i="31" s="1"/>
  <c r="R331" i="31"/>
  <c r="U331" i="31" s="1"/>
  <c r="R335" i="31"/>
  <c r="U335" i="31" s="1"/>
  <c r="R340" i="31"/>
  <c r="U340" i="31" s="1"/>
  <c r="AK345" i="31"/>
  <c r="AL345" i="31" s="1"/>
  <c r="R362" i="31"/>
  <c r="U362" i="31" s="1"/>
  <c r="U402" i="31"/>
  <c r="R407" i="31"/>
  <c r="U407" i="31" s="1"/>
  <c r="R419" i="31"/>
  <c r="U419" i="31" s="1"/>
  <c r="R444" i="31"/>
  <c r="U444" i="31" s="1"/>
  <c r="AK461" i="31"/>
  <c r="AL461" i="31" s="1"/>
  <c r="AJ478" i="31"/>
  <c r="T478" i="31" s="1"/>
  <c r="V478" i="31" s="1"/>
  <c r="R491" i="31"/>
  <c r="U491" i="31" s="1"/>
  <c r="R494" i="31"/>
  <c r="U494" i="31" s="1"/>
  <c r="R509" i="31"/>
  <c r="U509" i="31" s="1"/>
  <c r="AK518" i="31"/>
  <c r="AL518" i="31" s="1"/>
  <c r="AJ525" i="31"/>
  <c r="T525" i="31" s="1"/>
  <c r="V525" i="31" s="1"/>
  <c r="R527" i="31"/>
  <c r="U527" i="31" s="1"/>
  <c r="U538" i="31"/>
  <c r="U547" i="31"/>
  <c r="U554" i="31"/>
  <c r="R563" i="31"/>
  <c r="U563" i="31" s="1"/>
  <c r="AK580" i="31"/>
  <c r="AL580" i="31" s="1"/>
  <c r="U640" i="31"/>
  <c r="R579" i="31"/>
  <c r="U579" i="31" s="1"/>
  <c r="R572" i="31"/>
  <c r="U572" i="31" s="1"/>
  <c r="R577" i="31"/>
  <c r="U577" i="31" s="1"/>
  <c r="R570" i="31"/>
  <c r="U570" i="31" s="1"/>
  <c r="AK567" i="31"/>
  <c r="AL567" i="31" s="1"/>
  <c r="AJ639" i="31"/>
  <c r="T639" i="31" s="1"/>
  <c r="V639" i="31" s="1"/>
  <c r="AK639" i="31"/>
  <c r="AL639" i="31" s="1"/>
  <c r="AJ196" i="31"/>
  <c r="T196" i="31" s="1"/>
  <c r="V196" i="31" s="1"/>
  <c r="R200" i="31"/>
  <c r="U200" i="31" s="1"/>
  <c r="AJ217" i="31"/>
  <c r="T217" i="31" s="1"/>
  <c r="V217" i="31" s="1"/>
  <c r="R221" i="31"/>
  <c r="U221" i="31" s="1"/>
  <c r="AJ244" i="31"/>
  <c r="T244" i="31" s="1"/>
  <c r="V244" i="31" s="1"/>
  <c r="R248" i="31"/>
  <c r="U248" i="31" s="1"/>
  <c r="R256" i="31"/>
  <c r="U256" i="31" s="1"/>
  <c r="R298" i="31"/>
  <c r="U298" i="31" s="1"/>
  <c r="R308" i="31"/>
  <c r="U308" i="31" s="1"/>
  <c r="U354" i="31"/>
  <c r="R370" i="31"/>
  <c r="U370" i="31" s="1"/>
  <c r="U424" i="31"/>
  <c r="U487" i="31"/>
  <c r="R582" i="31"/>
  <c r="U582" i="31" s="1"/>
  <c r="U606" i="31"/>
  <c r="R638" i="31"/>
  <c r="U638" i="31" s="1"/>
  <c r="R612" i="31"/>
  <c r="U612" i="31" s="1"/>
  <c r="R604" i="31"/>
  <c r="U604" i="31" s="1"/>
  <c r="R609" i="31"/>
  <c r="U609" i="31" s="1"/>
  <c r="R607" i="31"/>
  <c r="U607" i="31" s="1"/>
  <c r="R201" i="31"/>
  <c r="U201" i="31" s="1"/>
  <c r="AK204" i="31"/>
  <c r="AL204" i="31" s="1"/>
  <c r="R222" i="31"/>
  <c r="U222" i="31" s="1"/>
  <c r="AK225" i="31"/>
  <c r="AL225" i="31" s="1"/>
  <c r="R249" i="31"/>
  <c r="U249" i="31" s="1"/>
  <c r="R257" i="31"/>
  <c r="U257" i="31" s="1"/>
  <c r="AK259" i="31"/>
  <c r="AL259" i="31" s="1"/>
  <c r="R287" i="31"/>
  <c r="U287" i="31" s="1"/>
  <c r="R299" i="31"/>
  <c r="U299" i="31" s="1"/>
  <c r="R309" i="31"/>
  <c r="U309" i="31" s="1"/>
  <c r="R332" i="31"/>
  <c r="U332" i="31" s="1"/>
  <c r="AK334" i="31"/>
  <c r="AL334" i="31" s="1"/>
  <c r="R336" i="31"/>
  <c r="U336" i="31" s="1"/>
  <c r="R341" i="31"/>
  <c r="U341" i="31" s="1"/>
  <c r="U492" i="31"/>
  <c r="R568" i="31"/>
  <c r="U568" i="31" s="1"/>
  <c r="R571" i="31"/>
  <c r="U571" i="31" s="1"/>
  <c r="AJ589" i="31"/>
  <c r="T589" i="31" s="1"/>
  <c r="V589" i="31" s="1"/>
  <c r="AJ632" i="31"/>
  <c r="T632" i="31" s="1"/>
  <c r="V632" i="31" s="1"/>
  <c r="U663" i="31"/>
  <c r="R323" i="31"/>
  <c r="U323" i="31" s="1"/>
  <c r="AK320" i="31"/>
  <c r="AL320" i="31" s="1"/>
  <c r="R374" i="31"/>
  <c r="U374" i="31" s="1"/>
  <c r="R380" i="31"/>
  <c r="U380" i="31" s="1"/>
  <c r="R626" i="31"/>
  <c r="U626" i="31" s="1"/>
  <c r="R625" i="31"/>
  <c r="U625" i="31" s="1"/>
  <c r="AK622" i="31"/>
  <c r="AL622" i="31" s="1"/>
  <c r="R631" i="31"/>
  <c r="U631" i="31" s="1"/>
  <c r="R623" i="31"/>
  <c r="U623" i="31" s="1"/>
  <c r="R629" i="31"/>
  <c r="U629" i="31" s="1"/>
  <c r="AI156" i="31"/>
  <c r="R202" i="31"/>
  <c r="U202" i="31" s="1"/>
  <c r="R223" i="31"/>
  <c r="U223" i="31" s="1"/>
  <c r="R250" i="31"/>
  <c r="U250" i="31" s="1"/>
  <c r="R258" i="31"/>
  <c r="U258" i="31" s="1"/>
  <c r="R288" i="31"/>
  <c r="R300" i="31"/>
  <c r="U300" i="31" s="1"/>
  <c r="R326" i="31"/>
  <c r="U326" i="31" s="1"/>
  <c r="R333" i="31"/>
  <c r="U333" i="31" s="1"/>
  <c r="R355" i="31"/>
  <c r="U355" i="31" s="1"/>
  <c r="R364" i="31"/>
  <c r="U364" i="31" s="1"/>
  <c r="R371" i="31"/>
  <c r="U371" i="31" s="1"/>
  <c r="R373" i="31"/>
  <c r="U373" i="31" s="1"/>
  <c r="R376" i="31"/>
  <c r="U376" i="31" s="1"/>
  <c r="R405" i="31"/>
  <c r="U405" i="31" s="1"/>
  <c r="R408" i="31"/>
  <c r="U408" i="31" s="1"/>
  <c r="U439" i="31"/>
  <c r="R445" i="31"/>
  <c r="U445" i="31" s="1"/>
  <c r="U458" i="31"/>
  <c r="U459" i="31"/>
  <c r="R481" i="31"/>
  <c r="U481" i="31" s="1"/>
  <c r="R507" i="31"/>
  <c r="U507" i="31" s="1"/>
  <c r="R531" i="31"/>
  <c r="U531" i="31" s="1"/>
  <c r="AJ557" i="31"/>
  <c r="T557" i="31" s="1"/>
  <c r="V557" i="31" s="1"/>
  <c r="R559" i="31"/>
  <c r="R574" i="31"/>
  <c r="U574" i="31" s="1"/>
  <c r="R613" i="31"/>
  <c r="U613" i="31" s="1"/>
  <c r="R634" i="31"/>
  <c r="U634" i="31" s="1"/>
  <c r="U645" i="31"/>
  <c r="U648" i="31"/>
  <c r="R515" i="31"/>
  <c r="U515" i="31" s="1"/>
  <c r="R512" i="31"/>
  <c r="U512" i="31" s="1"/>
  <c r="R510" i="31"/>
  <c r="U510" i="31" s="1"/>
  <c r="R584" i="31"/>
  <c r="U584" i="31" s="1"/>
  <c r="R588" i="31"/>
  <c r="U588" i="31" s="1"/>
  <c r="R581" i="31"/>
  <c r="U581" i="31" s="1"/>
  <c r="R587" i="31"/>
  <c r="U587" i="31" s="1"/>
  <c r="R681" i="31"/>
  <c r="U681" i="31" s="1"/>
  <c r="R680" i="31"/>
  <c r="U680" i="31" s="1"/>
  <c r="R678" i="31"/>
  <c r="U678" i="31" s="1"/>
  <c r="AK675" i="31"/>
  <c r="AL675" i="31" s="1"/>
  <c r="R677" i="31"/>
  <c r="U677" i="31" s="1"/>
  <c r="Q674" i="31"/>
  <c r="R676" i="31"/>
  <c r="U676" i="31" s="1"/>
  <c r="R682" i="31"/>
  <c r="U682" i="31" s="1"/>
  <c r="R283" i="31"/>
  <c r="U283" i="31" s="1"/>
  <c r="R305" i="31"/>
  <c r="U305" i="31" s="1"/>
  <c r="R310" i="31"/>
  <c r="U310" i="31" s="1"/>
  <c r="AK327" i="31"/>
  <c r="AL327" i="31" s="1"/>
  <c r="R329" i="31"/>
  <c r="U329" i="31" s="1"/>
  <c r="U349" i="31"/>
  <c r="R360" i="31"/>
  <c r="U360" i="31" s="1"/>
  <c r="U453" i="31"/>
  <c r="AK506" i="31"/>
  <c r="AL506" i="31" s="1"/>
  <c r="R516" i="31"/>
  <c r="U516" i="31" s="1"/>
  <c r="AJ567" i="31"/>
  <c r="T567" i="31" s="1"/>
  <c r="V567" i="31" s="1"/>
  <c r="R569" i="31"/>
  <c r="U569" i="31" s="1"/>
  <c r="R586" i="31"/>
  <c r="U586" i="31" s="1"/>
  <c r="U617" i="31"/>
  <c r="U651" i="31"/>
  <c r="R386" i="31"/>
  <c r="U386" i="31" s="1"/>
  <c r="R422" i="31"/>
  <c r="U422" i="31" s="1"/>
  <c r="R430" i="31"/>
  <c r="U430" i="31" s="1"/>
  <c r="R454" i="31"/>
  <c r="U454" i="31" s="1"/>
  <c r="R468" i="31"/>
  <c r="U468" i="31" s="1"/>
  <c r="R473" i="31"/>
  <c r="U473" i="31" s="1"/>
  <c r="R541" i="31"/>
  <c r="U541" i="31" s="1"/>
  <c r="R618" i="31"/>
  <c r="U618" i="31" s="1"/>
  <c r="R641" i="31"/>
  <c r="U641" i="31" s="1"/>
  <c r="R649" i="31"/>
  <c r="U649" i="31" s="1"/>
  <c r="R659" i="31"/>
  <c r="U659" i="31" s="1"/>
  <c r="R667" i="31"/>
  <c r="U667" i="31" s="1"/>
  <c r="AK668" i="31"/>
  <c r="AL668" i="31" s="1"/>
  <c r="R671" i="31"/>
  <c r="U671" i="31" s="1"/>
  <c r="R642" i="31"/>
  <c r="U642" i="31" s="1"/>
  <c r="R650" i="31"/>
  <c r="U650" i="31" s="1"/>
  <c r="R660" i="31"/>
  <c r="U660" i="31" s="1"/>
  <c r="R672" i="31"/>
  <c r="U672" i="31" s="1"/>
  <c r="R462" i="31"/>
  <c r="U462" i="31" s="1"/>
  <c r="R470" i="31"/>
  <c r="U470" i="31" s="1"/>
  <c r="R500" i="31"/>
  <c r="U500" i="31" s="1"/>
  <c r="R620" i="31"/>
  <c r="U620" i="31" s="1"/>
  <c r="R643" i="31"/>
  <c r="U643" i="31" s="1"/>
  <c r="R661" i="31"/>
  <c r="U661" i="31" s="1"/>
  <c r="R656" i="31"/>
  <c r="U656" i="31" s="1"/>
  <c r="AI30" i="30"/>
  <c r="AJ14" i="31" l="1"/>
  <c r="T14" i="31" s="1"/>
  <c r="V14" i="31" s="1"/>
  <c r="R166" i="31"/>
  <c r="U166" i="31" s="1"/>
  <c r="AJ163" i="31"/>
  <c r="T163" i="31" s="1"/>
  <c r="V163" i="31" s="1"/>
  <c r="T188" i="31"/>
  <c r="V188" i="31" s="1"/>
  <c r="AJ35" i="32"/>
  <c r="T35" i="32" s="1"/>
  <c r="V35" i="32" s="1"/>
  <c r="U87" i="31"/>
  <c r="R57" i="31"/>
  <c r="U57" i="31" s="1"/>
  <c r="A711" i="32"/>
  <c r="A712" i="32" s="1"/>
  <c r="R320" i="31"/>
  <c r="U320" i="31" s="1"/>
  <c r="R139" i="31"/>
  <c r="AJ119" i="31"/>
  <c r="T119" i="31" s="1"/>
  <c r="V119" i="31" s="1"/>
  <c r="R136" i="31"/>
  <c r="U136" i="31" s="1"/>
  <c r="R105" i="31"/>
  <c r="R91" i="31"/>
  <c r="U91" i="31" s="1"/>
  <c r="R78" i="31"/>
  <c r="U78" i="31" s="1"/>
  <c r="R122" i="31"/>
  <c r="R89" i="31"/>
  <c r="R84" i="31"/>
  <c r="U84" i="31" s="1"/>
  <c r="R61" i="31"/>
  <c r="U61" i="31" s="1"/>
  <c r="U55" i="32"/>
  <c r="R327" i="31"/>
  <c r="U327" i="31" s="1"/>
  <c r="R143" i="31"/>
  <c r="U143" i="31" s="1"/>
  <c r="R134" i="31"/>
  <c r="U134" i="31" s="1"/>
  <c r="U24" i="31"/>
  <c r="R55" i="31"/>
  <c r="R120" i="31"/>
  <c r="U120" i="31"/>
  <c r="U139" i="31"/>
  <c r="U67" i="31"/>
  <c r="U63" i="31"/>
  <c r="U50" i="31"/>
  <c r="P53" i="31"/>
  <c r="P33" i="31" s="1"/>
  <c r="U76" i="31"/>
  <c r="AJ54" i="31"/>
  <c r="T54" i="31" s="1"/>
  <c r="V54" i="31" s="1"/>
  <c r="AK35" i="32"/>
  <c r="AL35" i="32" s="1"/>
  <c r="R656" i="32"/>
  <c r="U656" i="32" s="1"/>
  <c r="R433" i="32"/>
  <c r="U433" i="32" s="1"/>
  <c r="R159" i="32"/>
  <c r="U159" i="32" s="1"/>
  <c r="R139" i="32"/>
  <c r="U139" i="32" s="1"/>
  <c r="R463" i="32"/>
  <c r="U463" i="32" s="1"/>
  <c r="R35" i="32"/>
  <c r="R53" i="32"/>
  <c r="U53" i="32" s="1"/>
  <c r="R47" i="32"/>
  <c r="U47" i="32" s="1"/>
  <c r="R43" i="32"/>
  <c r="U43" i="32" s="1"/>
  <c r="R51" i="32"/>
  <c r="U51" i="32" s="1"/>
  <c r="R46" i="32"/>
  <c r="U46" i="32" s="1"/>
  <c r="R42" i="32"/>
  <c r="U42" i="32" s="1"/>
  <c r="R50" i="32"/>
  <c r="U50" i="32" s="1"/>
  <c r="R45" i="32"/>
  <c r="U45" i="32" s="1"/>
  <c r="R41" i="32"/>
  <c r="U41" i="32" s="1"/>
  <c r="R48" i="32"/>
  <c r="U48" i="32" s="1"/>
  <c r="R44" i="32"/>
  <c r="U44" i="32" s="1"/>
  <c r="R40" i="32"/>
  <c r="U40" i="32" s="1"/>
  <c r="R162" i="32"/>
  <c r="U162" i="32" s="1"/>
  <c r="R158" i="32"/>
  <c r="U158" i="32" s="1"/>
  <c r="R405" i="32"/>
  <c r="U405" i="32" s="1"/>
  <c r="R677" i="32"/>
  <c r="U677" i="32" s="1"/>
  <c r="R670" i="32"/>
  <c r="U670" i="32" s="1"/>
  <c r="R245" i="32"/>
  <c r="U245" i="32" s="1"/>
  <c r="R38" i="32"/>
  <c r="U38" i="32" s="1"/>
  <c r="R37" i="32"/>
  <c r="U37" i="32" s="1"/>
  <c r="R622" i="31"/>
  <c r="U622" i="31" s="1"/>
  <c r="R244" i="31"/>
  <c r="U244" i="31" s="1"/>
  <c r="R580" i="31"/>
  <c r="U580" i="31" s="1"/>
  <c r="R603" i="31"/>
  <c r="U603" i="31" s="1"/>
  <c r="R589" i="31"/>
  <c r="U589" i="31" s="1"/>
  <c r="R506" i="31"/>
  <c r="U506" i="31" s="1"/>
  <c r="R567" i="31"/>
  <c r="U567" i="31" s="1"/>
  <c r="R490" i="31"/>
  <c r="U490" i="31" s="1"/>
  <c r="R417" i="31"/>
  <c r="U417" i="31" s="1"/>
  <c r="R525" i="31"/>
  <c r="U525" i="31" s="1"/>
  <c r="R351" i="31"/>
  <c r="U351" i="31" s="1"/>
  <c r="R359" i="31"/>
  <c r="U359" i="31" s="1"/>
  <c r="R304" i="31"/>
  <c r="U304" i="31" s="1"/>
  <c r="R292" i="31"/>
  <c r="U292" i="31" s="1"/>
  <c r="R632" i="31"/>
  <c r="U632" i="31" s="1"/>
  <c r="R442" i="31"/>
  <c r="U442" i="31" s="1"/>
  <c r="R196" i="31"/>
  <c r="U196" i="31" s="1"/>
  <c r="U37" i="31"/>
  <c r="U105" i="31"/>
  <c r="AK54" i="31"/>
  <c r="AL54" i="31" s="1"/>
  <c r="U122" i="31"/>
  <c r="U89" i="31"/>
  <c r="U164" i="31"/>
  <c r="U217" i="31"/>
  <c r="U55" i="31"/>
  <c r="AI36" i="31"/>
  <c r="AI33" i="31" s="1"/>
  <c r="AK37" i="31"/>
  <c r="AJ243" i="31"/>
  <c r="T243" i="31" s="1"/>
  <c r="V243" i="31" s="1"/>
  <c r="R154" i="31"/>
  <c r="U154" i="31" s="1"/>
  <c r="R152" i="31"/>
  <c r="U152" i="31" s="1"/>
  <c r="R150" i="31"/>
  <c r="U150" i="31" s="1"/>
  <c r="AK119" i="31"/>
  <c r="AL119" i="31" s="1"/>
  <c r="AI10" i="31"/>
  <c r="AJ10" i="31" s="1"/>
  <c r="AI12" i="31"/>
  <c r="AJ12" i="31" s="1"/>
  <c r="AJ156" i="31"/>
  <c r="T156" i="31" s="1"/>
  <c r="V156" i="31" s="1"/>
  <c r="AK156" i="31"/>
  <c r="AL156" i="31" s="1"/>
  <c r="AK163" i="31"/>
  <c r="AL163" i="31" s="1"/>
  <c r="R499" i="31"/>
  <c r="U499" i="31" s="1"/>
  <c r="R639" i="31"/>
  <c r="U639" i="31" s="1"/>
  <c r="R548" i="31"/>
  <c r="U548" i="31" s="1"/>
  <c r="R452" i="31"/>
  <c r="U452" i="31" s="1"/>
  <c r="R395" i="31"/>
  <c r="U395" i="31" s="1"/>
  <c r="R537" i="31"/>
  <c r="U537" i="31" s="1"/>
  <c r="R372" i="31"/>
  <c r="U372" i="31" s="1"/>
  <c r="R259" i="31"/>
  <c r="U259" i="31" s="1"/>
  <c r="R334" i="31"/>
  <c r="U334" i="31" s="1"/>
  <c r="R420" i="31"/>
  <c r="U420" i="31" s="1"/>
  <c r="R557" i="31"/>
  <c r="U557" i="31" s="1"/>
  <c r="R518" i="31"/>
  <c r="U518" i="31" s="1"/>
  <c r="R345" i="31"/>
  <c r="U345" i="31" s="1"/>
  <c r="R270" i="31"/>
  <c r="U270" i="31" s="1"/>
  <c r="R485" i="31"/>
  <c r="U485" i="31" s="1"/>
  <c r="R478" i="31"/>
  <c r="U478" i="31" s="1"/>
  <c r="AK243" i="31"/>
  <c r="AL243" i="31" s="1"/>
  <c r="R471" i="31"/>
  <c r="U471" i="31" s="1"/>
  <c r="R282" i="31"/>
  <c r="U282" i="31" s="1"/>
  <c r="R382" i="31"/>
  <c r="U382" i="31" s="1"/>
  <c r="Q53" i="31"/>
  <c r="R119" i="31" s="1"/>
  <c r="U14" i="31"/>
  <c r="AI53" i="31"/>
  <c r="AJ674" i="31"/>
  <c r="T674" i="31" s="1"/>
  <c r="V674" i="31" s="1"/>
  <c r="AK674" i="31"/>
  <c r="AL674" i="31" s="1"/>
  <c r="V139" i="31"/>
  <c r="U70" i="31"/>
  <c r="U26" i="31"/>
  <c r="T26" i="31"/>
  <c r="V26" i="31" s="1"/>
  <c r="AJ175" i="31"/>
  <c r="T175" i="31" s="1"/>
  <c r="V175" i="31" s="1"/>
  <c r="AK26" i="31"/>
  <c r="AL26" i="31" s="1"/>
  <c r="R18" i="31"/>
  <c r="U18" i="31" s="1"/>
  <c r="R27" i="31"/>
  <c r="U27" i="31" s="1"/>
  <c r="R23" i="31"/>
  <c r="U23" i="31" s="1"/>
  <c r="R16" i="31"/>
  <c r="U16" i="31" s="1"/>
  <c r="R30" i="31"/>
  <c r="U30" i="31" s="1"/>
  <c r="R31" i="31"/>
  <c r="U31" i="31" s="1"/>
  <c r="R21" i="31"/>
  <c r="U21" i="31" s="1"/>
  <c r="R25" i="31"/>
  <c r="U25" i="31" s="1"/>
  <c r="R19" i="31"/>
  <c r="U19" i="31" s="1"/>
  <c r="R29" i="31"/>
  <c r="U29" i="31" s="1"/>
  <c r="R22" i="31"/>
  <c r="U22" i="31" s="1"/>
  <c r="R32" i="31"/>
  <c r="U32" i="31" s="1"/>
  <c r="R17" i="31"/>
  <c r="U17" i="31" s="1"/>
  <c r="R15" i="31"/>
  <c r="U15" i="31" s="1"/>
  <c r="R10" i="31"/>
  <c r="R20" i="31"/>
  <c r="U20" i="31" s="1"/>
  <c r="V187" i="31"/>
  <c r="U187" i="31"/>
  <c r="U312" i="31"/>
  <c r="AK175" i="31"/>
  <c r="AL175" i="31" s="1"/>
  <c r="R225" i="31"/>
  <c r="U225" i="31" s="1"/>
  <c r="R204" i="31"/>
  <c r="U204" i="31" s="1"/>
  <c r="R236" i="31"/>
  <c r="U236" i="31" s="1"/>
  <c r="R211" i="31"/>
  <c r="U211" i="31" s="1"/>
  <c r="R176" i="31"/>
  <c r="U176" i="31" s="1"/>
  <c r="R188" i="31"/>
  <c r="U188" i="31" s="1"/>
  <c r="AI32" i="30"/>
  <c r="AI25" i="30"/>
  <c r="AI28" i="30"/>
  <c r="AI27" i="30"/>
  <c r="AI23" i="30"/>
  <c r="AI22" i="30"/>
  <c r="AI17" i="30"/>
  <c r="AI15" i="30"/>
  <c r="Q639" i="30"/>
  <c r="R653" i="30" s="1"/>
  <c r="AK653" i="30"/>
  <c r="AL653" i="30" s="1"/>
  <c r="AJ653" i="30"/>
  <c r="T653" i="30" s="1"/>
  <c r="V653" i="30" s="1"/>
  <c r="AK652" i="30"/>
  <c r="AL652" i="30" s="1"/>
  <c r="AJ652" i="30"/>
  <c r="T652" i="30" s="1"/>
  <c r="V652" i="30" s="1"/>
  <c r="R640" i="30"/>
  <c r="AK651" i="30"/>
  <c r="AL651" i="30" s="1"/>
  <c r="AJ651" i="30"/>
  <c r="T651" i="30" s="1"/>
  <c r="V651" i="30" s="1"/>
  <c r="AK650" i="30"/>
  <c r="AL650" i="30" s="1"/>
  <c r="AJ650" i="30"/>
  <c r="T650" i="30" s="1"/>
  <c r="V650" i="30" s="1"/>
  <c r="AK649" i="30"/>
  <c r="AL649" i="30" s="1"/>
  <c r="AJ649" i="30"/>
  <c r="T649" i="30" s="1"/>
  <c r="V649" i="30" s="1"/>
  <c r="AK648" i="30"/>
  <c r="AL648" i="30" s="1"/>
  <c r="AJ648" i="30"/>
  <c r="T648" i="30" s="1"/>
  <c r="AK647" i="30"/>
  <c r="AL647" i="30" s="1"/>
  <c r="AJ647" i="30"/>
  <c r="T647" i="30" s="1"/>
  <c r="V647" i="30" s="1"/>
  <c r="AK646" i="30"/>
  <c r="AL646" i="30" s="1"/>
  <c r="AJ646" i="30"/>
  <c r="T646" i="30" s="1"/>
  <c r="V646" i="30" s="1"/>
  <c r="AK645" i="30"/>
  <c r="AL645" i="30" s="1"/>
  <c r="AJ645" i="30"/>
  <c r="T645" i="30" s="1"/>
  <c r="V645" i="30" s="1"/>
  <c r="AK644" i="30"/>
  <c r="AL644" i="30" s="1"/>
  <c r="AJ644" i="30"/>
  <c r="T644" i="30" s="1"/>
  <c r="V644" i="30" s="1"/>
  <c r="AK643" i="30"/>
  <c r="AL643" i="30" s="1"/>
  <c r="AJ643" i="30"/>
  <c r="T643" i="30" s="1"/>
  <c r="V643" i="30" s="1"/>
  <c r="AK642" i="30"/>
  <c r="AL642" i="30" s="1"/>
  <c r="AJ642" i="30"/>
  <c r="T642" i="30" s="1"/>
  <c r="V642" i="30" s="1"/>
  <c r="AK641" i="30"/>
  <c r="AL641" i="30" s="1"/>
  <c r="AJ641" i="30"/>
  <c r="T641" i="30" s="1"/>
  <c r="V641" i="30" s="1"/>
  <c r="AK640" i="30"/>
  <c r="AL640" i="30" s="1"/>
  <c r="AJ640" i="30"/>
  <c r="T640" i="30" s="1"/>
  <c r="V640" i="30" s="1"/>
  <c r="AI639" i="30"/>
  <c r="U35" i="32" l="1"/>
  <c r="R648" i="30"/>
  <c r="A722" i="32"/>
  <c r="U119" i="31"/>
  <c r="A709" i="31"/>
  <c r="A710" i="31" s="1"/>
  <c r="R642" i="30"/>
  <c r="U642" i="30" s="1"/>
  <c r="R641" i="30"/>
  <c r="U641" i="30" s="1"/>
  <c r="AK639" i="30"/>
  <c r="AL639" i="30" s="1"/>
  <c r="R646" i="30"/>
  <c r="U646" i="30" s="1"/>
  <c r="R175" i="31"/>
  <c r="U175" i="31" s="1"/>
  <c r="R644" i="30"/>
  <c r="U644" i="30" s="1"/>
  <c r="R650" i="30"/>
  <c r="R645" i="30"/>
  <c r="U645" i="30" s="1"/>
  <c r="R652" i="30"/>
  <c r="A719" i="31"/>
  <c r="AJ36" i="31"/>
  <c r="T36" i="31" s="1"/>
  <c r="V36" i="31" s="1"/>
  <c r="AI35" i="31"/>
  <c r="AJ35" i="31" s="1"/>
  <c r="T35" i="31" s="1"/>
  <c r="V35" i="31" s="1"/>
  <c r="R674" i="31"/>
  <c r="U674" i="31" s="1"/>
  <c r="AL37" i="31"/>
  <c r="AK36" i="31"/>
  <c r="T12" i="31"/>
  <c r="V12" i="31" s="1"/>
  <c r="U12" i="31"/>
  <c r="AK53" i="31"/>
  <c r="R54" i="31"/>
  <c r="U54" i="31" s="1"/>
  <c r="Q33" i="31"/>
  <c r="AK12" i="31"/>
  <c r="AL12" i="31" s="1"/>
  <c r="R163" i="31"/>
  <c r="U163" i="31" s="1"/>
  <c r="AK10" i="31"/>
  <c r="AL10" i="31" s="1"/>
  <c r="AJ53" i="31"/>
  <c r="T53" i="31" s="1"/>
  <c r="V53" i="31" s="1"/>
  <c r="T10" i="31"/>
  <c r="V10" i="31" s="1"/>
  <c r="U10" i="31"/>
  <c r="R649" i="30"/>
  <c r="R643" i="30"/>
  <c r="U643" i="30" s="1"/>
  <c r="R647" i="30"/>
  <c r="R651" i="30"/>
  <c r="U653" i="30"/>
  <c r="U652" i="30"/>
  <c r="V648" i="30"/>
  <c r="U648" i="30"/>
  <c r="U649" i="30"/>
  <c r="U650" i="30"/>
  <c r="U647" i="30"/>
  <c r="U651" i="30"/>
  <c r="U640" i="30"/>
  <c r="AJ639" i="30"/>
  <c r="T639" i="30" s="1"/>
  <c r="V639" i="30" s="1"/>
  <c r="A720" i="31" l="1"/>
  <c r="AK35" i="31"/>
  <c r="AL35" i="31" s="1"/>
  <c r="AL36" i="31"/>
  <c r="R654" i="31"/>
  <c r="U654" i="31" s="1"/>
  <c r="R160" i="31"/>
  <c r="U160" i="31" s="1"/>
  <c r="R461" i="31"/>
  <c r="U461" i="31" s="1"/>
  <c r="R137" i="31"/>
  <c r="U137" i="31" s="1"/>
  <c r="R33" i="31"/>
  <c r="R431" i="31"/>
  <c r="U431" i="31" s="1"/>
  <c r="R46" i="31"/>
  <c r="U46" i="31" s="1"/>
  <c r="R44" i="31"/>
  <c r="U44" i="31" s="1"/>
  <c r="R43" i="31"/>
  <c r="U43" i="31" s="1"/>
  <c r="R41" i="31"/>
  <c r="U41" i="31" s="1"/>
  <c r="R39" i="31"/>
  <c r="U39" i="31" s="1"/>
  <c r="R51" i="31"/>
  <c r="U51" i="31" s="1"/>
  <c r="R49" i="31"/>
  <c r="U49" i="31" s="1"/>
  <c r="R45" i="31"/>
  <c r="U45" i="31" s="1"/>
  <c r="R42" i="31"/>
  <c r="U42" i="31" s="1"/>
  <c r="R40" i="31"/>
  <c r="U40" i="31" s="1"/>
  <c r="R38" i="31"/>
  <c r="U38" i="31" s="1"/>
  <c r="R48" i="31"/>
  <c r="U48" i="31" s="1"/>
  <c r="R157" i="31"/>
  <c r="U157" i="31" s="1"/>
  <c r="R36" i="31"/>
  <c r="U36" i="31" s="1"/>
  <c r="R156" i="31"/>
  <c r="U156" i="31" s="1"/>
  <c r="R668" i="31"/>
  <c r="U668" i="31" s="1"/>
  <c r="R403" i="31"/>
  <c r="U403" i="31" s="1"/>
  <c r="R675" i="31"/>
  <c r="U675" i="31" s="1"/>
  <c r="R35" i="31"/>
  <c r="U35" i="31" s="1"/>
  <c r="R243" i="31"/>
  <c r="U243" i="31" s="1"/>
  <c r="AL53" i="31"/>
  <c r="AK33" i="31"/>
  <c r="AL33" i="31" s="1"/>
  <c r="AJ33" i="31"/>
  <c r="T33" i="31" s="1"/>
  <c r="V33" i="31" s="1"/>
  <c r="R53" i="31"/>
  <c r="U53" i="31" s="1"/>
  <c r="U33" i="31" l="1"/>
  <c r="AK588" i="30"/>
  <c r="AL588" i="30" s="1"/>
  <c r="AJ588" i="30"/>
  <c r="T588" i="30" s="1"/>
  <c r="Q580" i="30"/>
  <c r="R585" i="30" s="1"/>
  <c r="Q548" i="30"/>
  <c r="Q506" i="30"/>
  <c r="R512" i="30" s="1"/>
  <c r="Q452" i="30"/>
  <c r="R460" i="30" s="1"/>
  <c r="AK460" i="30"/>
  <c r="AL460" i="30" s="1"/>
  <c r="AJ460" i="30"/>
  <c r="T460" i="30" s="1"/>
  <c r="V460" i="30" s="1"/>
  <c r="Q395" i="30"/>
  <c r="R401" i="30" s="1"/>
  <c r="Q351" i="30"/>
  <c r="AI26" i="30"/>
  <c r="AI14" i="30"/>
  <c r="AK19" i="28"/>
  <c r="AL19" i="28" s="1"/>
  <c r="AI46" i="30"/>
  <c r="AI45" i="30"/>
  <c r="AI44" i="30"/>
  <c r="AI43" i="30"/>
  <c r="AK43" i="30" s="1"/>
  <c r="AL43" i="30" s="1"/>
  <c r="AI42" i="30"/>
  <c r="AI41" i="30"/>
  <c r="AI40" i="30"/>
  <c r="A717" i="30"/>
  <c r="A713" i="30"/>
  <c r="A707" i="30"/>
  <c r="A704" i="30"/>
  <c r="P683" i="30"/>
  <c r="O683" i="30"/>
  <c r="O674" i="30" s="1"/>
  <c r="AK682" i="30"/>
  <c r="AL682" i="30" s="1"/>
  <c r="AJ682" i="30"/>
  <c r="T682" i="30" s="1"/>
  <c r="V682" i="30" s="1"/>
  <c r="AK681" i="30"/>
  <c r="AL681" i="30" s="1"/>
  <c r="AJ681" i="30"/>
  <c r="T681" i="30" s="1"/>
  <c r="V681" i="30" s="1"/>
  <c r="AK680" i="30"/>
  <c r="AL680" i="30" s="1"/>
  <c r="AJ680" i="30"/>
  <c r="T680" i="30" s="1"/>
  <c r="V680" i="30" s="1"/>
  <c r="AK679" i="30"/>
  <c r="AL679" i="30" s="1"/>
  <c r="AJ679" i="30"/>
  <c r="T679" i="30" s="1"/>
  <c r="V679" i="30" s="1"/>
  <c r="AK678" i="30"/>
  <c r="AL678" i="30" s="1"/>
  <c r="AJ678" i="30"/>
  <c r="T678" i="30" s="1"/>
  <c r="V678" i="30" s="1"/>
  <c r="AK677" i="30"/>
  <c r="AL677" i="30" s="1"/>
  <c r="AJ677" i="30"/>
  <c r="T677" i="30" s="1"/>
  <c r="V677" i="30" s="1"/>
  <c r="AK676" i="30"/>
  <c r="AL676" i="30" s="1"/>
  <c r="AJ676" i="30"/>
  <c r="T676" i="30" s="1"/>
  <c r="V676" i="30" s="1"/>
  <c r="AI675" i="30"/>
  <c r="AH675" i="30"/>
  <c r="AH674" i="30" s="1"/>
  <c r="AG675" i="30"/>
  <c r="AG674" i="30" s="1"/>
  <c r="Q675" i="30"/>
  <c r="AI674" i="30"/>
  <c r="AF674" i="30"/>
  <c r="AE674" i="30"/>
  <c r="AD674" i="30"/>
  <c r="AC674" i="30"/>
  <c r="AB674" i="30"/>
  <c r="AA674" i="30"/>
  <c r="Z674" i="30"/>
  <c r="Y674" i="30"/>
  <c r="X674" i="30"/>
  <c r="W674" i="30"/>
  <c r="W243" i="30" s="1"/>
  <c r="Q674" i="30"/>
  <c r="P674" i="30"/>
  <c r="AK673" i="30"/>
  <c r="AL673" i="30" s="1"/>
  <c r="AJ673" i="30"/>
  <c r="T673" i="30" s="1"/>
  <c r="V673" i="30" s="1"/>
  <c r="AK672" i="30"/>
  <c r="AL672" i="30" s="1"/>
  <c r="AJ672" i="30"/>
  <c r="T672" i="30" s="1"/>
  <c r="V672" i="30" s="1"/>
  <c r="AK671" i="30"/>
  <c r="AL671" i="30" s="1"/>
  <c r="AJ671" i="30"/>
  <c r="T671" i="30" s="1"/>
  <c r="V671" i="30" s="1"/>
  <c r="AK670" i="30"/>
  <c r="AL670" i="30" s="1"/>
  <c r="AJ670" i="30"/>
  <c r="T670" i="30" s="1"/>
  <c r="V670" i="30" s="1"/>
  <c r="AK669" i="30"/>
  <c r="AL669" i="30" s="1"/>
  <c r="AJ669" i="30"/>
  <c r="T669" i="30" s="1"/>
  <c r="V669" i="30" s="1"/>
  <c r="AI668" i="30"/>
  <c r="AH668" i="30"/>
  <c r="AG668" i="30"/>
  <c r="Q668" i="30"/>
  <c r="R669" i="30" s="1"/>
  <c r="AK667" i="30"/>
  <c r="AL667" i="30" s="1"/>
  <c r="AJ667" i="30"/>
  <c r="T667" i="30" s="1"/>
  <c r="AK666" i="30"/>
  <c r="AL666" i="30" s="1"/>
  <c r="AJ666" i="30"/>
  <c r="T666" i="30" s="1"/>
  <c r="V666" i="30" s="1"/>
  <c r="AK665" i="30"/>
  <c r="AL665" i="30" s="1"/>
  <c r="AJ665" i="30"/>
  <c r="T665" i="30" s="1"/>
  <c r="V665" i="30" s="1"/>
  <c r="AK664" i="30"/>
  <c r="AL664" i="30" s="1"/>
  <c r="AJ664" i="30"/>
  <c r="T664" i="30" s="1"/>
  <c r="V664" i="30" s="1"/>
  <c r="AK663" i="30"/>
  <c r="AL663" i="30" s="1"/>
  <c r="AJ663" i="30"/>
  <c r="T663" i="30" s="1"/>
  <c r="V663" i="30" s="1"/>
  <c r="AK662" i="30"/>
  <c r="AL662" i="30" s="1"/>
  <c r="AJ662" i="30"/>
  <c r="T662" i="30" s="1"/>
  <c r="V662" i="30" s="1"/>
  <c r="AK661" i="30"/>
  <c r="AL661" i="30" s="1"/>
  <c r="AJ661" i="30"/>
  <c r="T661" i="30" s="1"/>
  <c r="V661" i="30" s="1"/>
  <c r="AK660" i="30"/>
  <c r="AL660" i="30" s="1"/>
  <c r="AJ660" i="30"/>
  <c r="T660" i="30" s="1"/>
  <c r="V660" i="30" s="1"/>
  <c r="AK659" i="30"/>
  <c r="AL659" i="30" s="1"/>
  <c r="AJ659" i="30"/>
  <c r="T659" i="30" s="1"/>
  <c r="V659" i="30" s="1"/>
  <c r="AK658" i="30"/>
  <c r="AL658" i="30" s="1"/>
  <c r="AJ658" i="30"/>
  <c r="T658" i="30" s="1"/>
  <c r="V658" i="30" s="1"/>
  <c r="AK657" i="30"/>
  <c r="AL657" i="30" s="1"/>
  <c r="AJ657" i="30"/>
  <c r="T657" i="30" s="1"/>
  <c r="V657" i="30" s="1"/>
  <c r="AK656" i="30"/>
  <c r="AL656" i="30" s="1"/>
  <c r="AJ656" i="30"/>
  <c r="T656" i="30" s="1"/>
  <c r="V656" i="30" s="1"/>
  <c r="AK655" i="30"/>
  <c r="AL655" i="30" s="1"/>
  <c r="AJ655" i="30"/>
  <c r="T655" i="30" s="1"/>
  <c r="V655" i="30" s="1"/>
  <c r="AI654" i="30"/>
  <c r="Q654" i="30"/>
  <c r="R661" i="30" s="1"/>
  <c r="AK638" i="30"/>
  <c r="AL638" i="30" s="1"/>
  <c r="AJ638" i="30"/>
  <c r="T638" i="30" s="1"/>
  <c r="V638" i="30" s="1"/>
  <c r="AK637" i="30"/>
  <c r="AL637" i="30" s="1"/>
  <c r="AJ637" i="30"/>
  <c r="T637" i="30" s="1"/>
  <c r="V637" i="30" s="1"/>
  <c r="AK636" i="30"/>
  <c r="AL636" i="30" s="1"/>
  <c r="AJ636" i="30"/>
  <c r="T636" i="30" s="1"/>
  <c r="V636" i="30" s="1"/>
  <c r="AK635" i="30"/>
  <c r="AL635" i="30" s="1"/>
  <c r="AJ635" i="30"/>
  <c r="T635" i="30" s="1"/>
  <c r="V635" i="30" s="1"/>
  <c r="AK634" i="30"/>
  <c r="AL634" i="30" s="1"/>
  <c r="AJ634" i="30"/>
  <c r="T634" i="30" s="1"/>
  <c r="V634" i="30" s="1"/>
  <c r="AK633" i="30"/>
  <c r="AL633" i="30" s="1"/>
  <c r="AJ633" i="30"/>
  <c r="T633" i="30" s="1"/>
  <c r="V633" i="30" s="1"/>
  <c r="AI632" i="30"/>
  <c r="Q632" i="30"/>
  <c r="R633" i="30" s="1"/>
  <c r="AK631" i="30"/>
  <c r="AL631" i="30" s="1"/>
  <c r="AJ631" i="30"/>
  <c r="T631" i="30" s="1"/>
  <c r="AK630" i="30"/>
  <c r="AL630" i="30" s="1"/>
  <c r="AJ630" i="30"/>
  <c r="T630" i="30" s="1"/>
  <c r="V630" i="30" s="1"/>
  <c r="AK629" i="30"/>
  <c r="AL629" i="30" s="1"/>
  <c r="AJ629" i="30"/>
  <c r="T629" i="30" s="1"/>
  <c r="V629" i="30" s="1"/>
  <c r="AK628" i="30"/>
  <c r="AL628" i="30" s="1"/>
  <c r="AJ628" i="30"/>
  <c r="T628" i="30" s="1"/>
  <c r="V628" i="30" s="1"/>
  <c r="AK627" i="30"/>
  <c r="AL627" i="30" s="1"/>
  <c r="AJ627" i="30"/>
  <c r="T627" i="30" s="1"/>
  <c r="V627" i="30" s="1"/>
  <c r="AK626" i="30"/>
  <c r="AL626" i="30" s="1"/>
  <c r="AJ626" i="30"/>
  <c r="T626" i="30" s="1"/>
  <c r="V626" i="30" s="1"/>
  <c r="AK625" i="30"/>
  <c r="AL625" i="30" s="1"/>
  <c r="AJ625" i="30"/>
  <c r="T625" i="30" s="1"/>
  <c r="V625" i="30" s="1"/>
  <c r="AK624" i="30"/>
  <c r="AL624" i="30" s="1"/>
  <c r="AJ624" i="30"/>
  <c r="T624" i="30" s="1"/>
  <c r="V624" i="30" s="1"/>
  <c r="AK623" i="30"/>
  <c r="AL623" i="30" s="1"/>
  <c r="AJ623" i="30"/>
  <c r="T623" i="30" s="1"/>
  <c r="V623" i="30" s="1"/>
  <c r="AI622" i="30"/>
  <c r="Q622" i="30"/>
  <c r="R629" i="30" s="1"/>
  <c r="AK621" i="30"/>
  <c r="AL621" i="30" s="1"/>
  <c r="AJ621" i="30"/>
  <c r="T621" i="30" s="1"/>
  <c r="V621" i="30" s="1"/>
  <c r="AK620" i="30"/>
  <c r="AL620" i="30" s="1"/>
  <c r="AJ620" i="30"/>
  <c r="T620" i="30" s="1"/>
  <c r="V620" i="30" s="1"/>
  <c r="AK619" i="30"/>
  <c r="AL619" i="30" s="1"/>
  <c r="AJ619" i="30"/>
  <c r="T619" i="30" s="1"/>
  <c r="V619" i="30" s="1"/>
  <c r="AK618" i="30"/>
  <c r="AL618" i="30" s="1"/>
  <c r="AJ618" i="30"/>
  <c r="T618" i="30" s="1"/>
  <c r="AK617" i="30"/>
  <c r="AL617" i="30" s="1"/>
  <c r="AJ617" i="30"/>
  <c r="T617" i="30" s="1"/>
  <c r="V617" i="30" s="1"/>
  <c r="AK616" i="30"/>
  <c r="AL616" i="30" s="1"/>
  <c r="AJ616" i="30"/>
  <c r="T616" i="30" s="1"/>
  <c r="V616" i="30" s="1"/>
  <c r="AK615" i="30"/>
  <c r="AL615" i="30" s="1"/>
  <c r="AJ615" i="30"/>
  <c r="T615" i="30" s="1"/>
  <c r="V615" i="30" s="1"/>
  <c r="AK614" i="30"/>
  <c r="AL614" i="30" s="1"/>
  <c r="AJ614" i="30"/>
  <c r="T614" i="30" s="1"/>
  <c r="V614" i="30" s="1"/>
  <c r="AI613" i="30"/>
  <c r="Q613" i="30"/>
  <c r="R618" i="30" s="1"/>
  <c r="AK612" i="30"/>
  <c r="AL612" i="30" s="1"/>
  <c r="AJ612" i="30"/>
  <c r="T612" i="30" s="1"/>
  <c r="V612" i="30" s="1"/>
  <c r="AK611" i="30"/>
  <c r="AL611" i="30" s="1"/>
  <c r="AJ611" i="30"/>
  <c r="T611" i="30" s="1"/>
  <c r="V611" i="30" s="1"/>
  <c r="AK610" i="30"/>
  <c r="AL610" i="30" s="1"/>
  <c r="AJ610" i="30"/>
  <c r="T610" i="30" s="1"/>
  <c r="V610" i="30" s="1"/>
  <c r="AK609" i="30"/>
  <c r="AL609" i="30" s="1"/>
  <c r="AJ609" i="30"/>
  <c r="T609" i="30" s="1"/>
  <c r="V609" i="30" s="1"/>
  <c r="AK608" i="30"/>
  <c r="AL608" i="30" s="1"/>
  <c r="AJ608" i="30"/>
  <c r="T608" i="30" s="1"/>
  <c r="V608" i="30" s="1"/>
  <c r="AK607" i="30"/>
  <c r="AL607" i="30" s="1"/>
  <c r="AJ607" i="30"/>
  <c r="T607" i="30" s="1"/>
  <c r="V607" i="30" s="1"/>
  <c r="AK606" i="30"/>
  <c r="AL606" i="30" s="1"/>
  <c r="AJ606" i="30"/>
  <c r="T606" i="30" s="1"/>
  <c r="V606" i="30" s="1"/>
  <c r="AK605" i="30"/>
  <c r="AL605" i="30" s="1"/>
  <c r="AJ605" i="30"/>
  <c r="T605" i="30" s="1"/>
  <c r="V605" i="30" s="1"/>
  <c r="AK604" i="30"/>
  <c r="AL604" i="30" s="1"/>
  <c r="AJ604" i="30"/>
  <c r="T604" i="30" s="1"/>
  <c r="V604" i="30" s="1"/>
  <c r="AI603" i="30"/>
  <c r="Q603" i="30"/>
  <c r="R607" i="30" s="1"/>
  <c r="AK602" i="30"/>
  <c r="AL602" i="30" s="1"/>
  <c r="AJ602" i="30"/>
  <c r="T602" i="30" s="1"/>
  <c r="V602" i="30" s="1"/>
  <c r="AK601" i="30"/>
  <c r="AL601" i="30" s="1"/>
  <c r="AJ601" i="30"/>
  <c r="T601" i="30" s="1"/>
  <c r="V601" i="30" s="1"/>
  <c r="AK600" i="30"/>
  <c r="AL600" i="30" s="1"/>
  <c r="AJ600" i="30"/>
  <c r="T600" i="30" s="1"/>
  <c r="V600" i="30" s="1"/>
  <c r="AK599" i="30"/>
  <c r="AL599" i="30" s="1"/>
  <c r="AJ599" i="30"/>
  <c r="T599" i="30" s="1"/>
  <c r="V599" i="30" s="1"/>
  <c r="AK598" i="30"/>
  <c r="AL598" i="30" s="1"/>
  <c r="AJ598" i="30"/>
  <c r="T598" i="30" s="1"/>
  <c r="V598" i="30" s="1"/>
  <c r="AK597" i="30"/>
  <c r="AL597" i="30" s="1"/>
  <c r="AJ597" i="30"/>
  <c r="T597" i="30" s="1"/>
  <c r="V597" i="30" s="1"/>
  <c r="AK596" i="30"/>
  <c r="AL596" i="30" s="1"/>
  <c r="AJ596" i="30"/>
  <c r="T596" i="30" s="1"/>
  <c r="V596" i="30" s="1"/>
  <c r="AK595" i="30"/>
  <c r="AL595" i="30" s="1"/>
  <c r="AJ595" i="30"/>
  <c r="T595" i="30" s="1"/>
  <c r="V595" i="30" s="1"/>
  <c r="AK594" i="30"/>
  <c r="AL594" i="30" s="1"/>
  <c r="AJ594" i="30"/>
  <c r="T594" i="30" s="1"/>
  <c r="V594" i="30" s="1"/>
  <c r="AK593" i="30"/>
  <c r="AL593" i="30" s="1"/>
  <c r="AJ593" i="30"/>
  <c r="T593" i="30" s="1"/>
  <c r="V593" i="30" s="1"/>
  <c r="AK592" i="30"/>
  <c r="AL592" i="30" s="1"/>
  <c r="AJ592" i="30"/>
  <c r="T592" i="30" s="1"/>
  <c r="V592" i="30" s="1"/>
  <c r="AK591" i="30"/>
  <c r="AL591" i="30" s="1"/>
  <c r="AJ591" i="30"/>
  <c r="T591" i="30" s="1"/>
  <c r="V591" i="30" s="1"/>
  <c r="AK590" i="30"/>
  <c r="AL590" i="30" s="1"/>
  <c r="AJ590" i="30"/>
  <c r="T590" i="30" s="1"/>
  <c r="V590" i="30" s="1"/>
  <c r="AI589" i="30"/>
  <c r="Q589" i="30"/>
  <c r="R596" i="30" s="1"/>
  <c r="AK587" i="30"/>
  <c r="AL587" i="30" s="1"/>
  <c r="AJ587" i="30"/>
  <c r="T587" i="30" s="1"/>
  <c r="AK586" i="30"/>
  <c r="AL586" i="30" s="1"/>
  <c r="AJ586" i="30"/>
  <c r="T586" i="30" s="1"/>
  <c r="V586" i="30" s="1"/>
  <c r="AK585" i="30"/>
  <c r="AL585" i="30" s="1"/>
  <c r="AJ585" i="30"/>
  <c r="T585" i="30" s="1"/>
  <c r="V585" i="30" s="1"/>
  <c r="AK584" i="30"/>
  <c r="AL584" i="30" s="1"/>
  <c r="AJ584" i="30"/>
  <c r="T584" i="30" s="1"/>
  <c r="V584" i="30" s="1"/>
  <c r="AK583" i="30"/>
  <c r="AL583" i="30" s="1"/>
  <c r="AJ583" i="30"/>
  <c r="T583" i="30" s="1"/>
  <c r="V583" i="30" s="1"/>
  <c r="AK582" i="30"/>
  <c r="AL582" i="30" s="1"/>
  <c r="AJ582" i="30"/>
  <c r="T582" i="30" s="1"/>
  <c r="V582" i="30" s="1"/>
  <c r="AK581" i="30"/>
  <c r="AL581" i="30" s="1"/>
  <c r="AJ581" i="30"/>
  <c r="T581" i="30" s="1"/>
  <c r="V581" i="30" s="1"/>
  <c r="AI580" i="30"/>
  <c r="AK579" i="30"/>
  <c r="AL579" i="30" s="1"/>
  <c r="AJ579" i="30"/>
  <c r="T579" i="30" s="1"/>
  <c r="AK578" i="30"/>
  <c r="AL578" i="30" s="1"/>
  <c r="AJ578" i="30"/>
  <c r="T578" i="30" s="1"/>
  <c r="V578" i="30" s="1"/>
  <c r="AK577" i="30"/>
  <c r="AL577" i="30" s="1"/>
  <c r="AJ577" i="30"/>
  <c r="T577" i="30" s="1"/>
  <c r="V577" i="30" s="1"/>
  <c r="AK576" i="30"/>
  <c r="AL576" i="30" s="1"/>
  <c r="AJ576" i="30"/>
  <c r="T576" i="30" s="1"/>
  <c r="V576" i="30" s="1"/>
  <c r="AK575" i="30"/>
  <c r="AL575" i="30" s="1"/>
  <c r="AJ575" i="30"/>
  <c r="T575" i="30" s="1"/>
  <c r="V575" i="30" s="1"/>
  <c r="AK574" i="30"/>
  <c r="AL574" i="30" s="1"/>
  <c r="AJ574" i="30"/>
  <c r="T574" i="30" s="1"/>
  <c r="AK573" i="30"/>
  <c r="AL573" i="30" s="1"/>
  <c r="AJ573" i="30"/>
  <c r="T573" i="30" s="1"/>
  <c r="V573" i="30" s="1"/>
  <c r="AK572" i="30"/>
  <c r="AL572" i="30" s="1"/>
  <c r="AJ572" i="30"/>
  <c r="T572" i="30" s="1"/>
  <c r="V572" i="30" s="1"/>
  <c r="AK571" i="30"/>
  <c r="AL571" i="30" s="1"/>
  <c r="AJ571" i="30"/>
  <c r="T571" i="30" s="1"/>
  <c r="V571" i="30" s="1"/>
  <c r="AK570" i="30"/>
  <c r="AL570" i="30" s="1"/>
  <c r="AJ570" i="30"/>
  <c r="T570" i="30" s="1"/>
  <c r="V570" i="30" s="1"/>
  <c r="AK569" i="30"/>
  <c r="AL569" i="30" s="1"/>
  <c r="AJ569" i="30"/>
  <c r="T569" i="30" s="1"/>
  <c r="V569" i="30" s="1"/>
  <c r="AK568" i="30"/>
  <c r="AL568" i="30" s="1"/>
  <c r="AJ568" i="30"/>
  <c r="T568" i="30" s="1"/>
  <c r="V568" i="30" s="1"/>
  <c r="AI567" i="30"/>
  <c r="Q567" i="30"/>
  <c r="R579" i="30" s="1"/>
  <c r="AK566" i="30"/>
  <c r="AL566" i="30" s="1"/>
  <c r="AJ566" i="30"/>
  <c r="T566" i="30" s="1"/>
  <c r="V566" i="30" s="1"/>
  <c r="AK565" i="30"/>
  <c r="AL565" i="30" s="1"/>
  <c r="AJ565" i="30"/>
  <c r="T565" i="30" s="1"/>
  <c r="V565" i="30" s="1"/>
  <c r="AK564" i="30"/>
  <c r="AL564" i="30" s="1"/>
  <c r="AJ564" i="30"/>
  <c r="T564" i="30" s="1"/>
  <c r="V564" i="30" s="1"/>
  <c r="AK563" i="30"/>
  <c r="AL563" i="30" s="1"/>
  <c r="AJ563" i="30"/>
  <c r="T563" i="30" s="1"/>
  <c r="V563" i="30" s="1"/>
  <c r="AK562" i="30"/>
  <c r="AL562" i="30" s="1"/>
  <c r="AJ562" i="30"/>
  <c r="T562" i="30" s="1"/>
  <c r="V562" i="30" s="1"/>
  <c r="AK561" i="30"/>
  <c r="AL561" i="30" s="1"/>
  <c r="AJ561" i="30"/>
  <c r="T561" i="30" s="1"/>
  <c r="V561" i="30" s="1"/>
  <c r="AK560" i="30"/>
  <c r="AL560" i="30" s="1"/>
  <c r="AJ560" i="30"/>
  <c r="T560" i="30" s="1"/>
  <c r="V560" i="30" s="1"/>
  <c r="AK559" i="30"/>
  <c r="AL559" i="30" s="1"/>
  <c r="AJ559" i="30"/>
  <c r="T559" i="30" s="1"/>
  <c r="V559" i="30" s="1"/>
  <c r="AK558" i="30"/>
  <c r="AL558" i="30" s="1"/>
  <c r="AJ558" i="30"/>
  <c r="T558" i="30" s="1"/>
  <c r="V558" i="30" s="1"/>
  <c r="AI557" i="30"/>
  <c r="Q557" i="30"/>
  <c r="R561" i="30" s="1"/>
  <c r="AK556" i="30"/>
  <c r="AL556" i="30" s="1"/>
  <c r="AJ556" i="30"/>
  <c r="T556" i="30" s="1"/>
  <c r="V556" i="30" s="1"/>
  <c r="AK555" i="30"/>
  <c r="AL555" i="30" s="1"/>
  <c r="AJ555" i="30"/>
  <c r="T555" i="30" s="1"/>
  <c r="V555" i="30" s="1"/>
  <c r="AK554" i="30"/>
  <c r="AL554" i="30" s="1"/>
  <c r="AJ554" i="30"/>
  <c r="T554" i="30" s="1"/>
  <c r="V554" i="30" s="1"/>
  <c r="AK553" i="30"/>
  <c r="AL553" i="30" s="1"/>
  <c r="AJ553" i="30"/>
  <c r="T553" i="30" s="1"/>
  <c r="R553" i="30"/>
  <c r="AK552" i="30"/>
  <c r="AL552" i="30" s="1"/>
  <c r="AJ552" i="30"/>
  <c r="T552" i="30" s="1"/>
  <c r="V552" i="30" s="1"/>
  <c r="AK551" i="30"/>
  <c r="AL551" i="30" s="1"/>
  <c r="AJ551" i="30"/>
  <c r="T551" i="30" s="1"/>
  <c r="V551" i="30" s="1"/>
  <c r="AK550" i="30"/>
  <c r="AL550" i="30" s="1"/>
  <c r="AJ550" i="30"/>
  <c r="T550" i="30" s="1"/>
  <c r="V550" i="30" s="1"/>
  <c r="AK549" i="30"/>
  <c r="AL549" i="30" s="1"/>
  <c r="AJ549" i="30"/>
  <c r="T549" i="30" s="1"/>
  <c r="V549" i="30" s="1"/>
  <c r="AI548" i="30"/>
  <c r="R555" i="30"/>
  <c r="AK547" i="30"/>
  <c r="AL547" i="30" s="1"/>
  <c r="AJ547" i="30"/>
  <c r="T547" i="30" s="1"/>
  <c r="V547" i="30" s="1"/>
  <c r="AK546" i="30"/>
  <c r="AJ546" i="30"/>
  <c r="T546" i="30" s="1"/>
  <c r="AK545" i="30"/>
  <c r="AL545" i="30" s="1"/>
  <c r="AJ545" i="30"/>
  <c r="T545" i="30" s="1"/>
  <c r="V545" i="30" s="1"/>
  <c r="AK544" i="30"/>
  <c r="AL544" i="30" s="1"/>
  <c r="AJ544" i="30"/>
  <c r="T544" i="30" s="1"/>
  <c r="V544" i="30" s="1"/>
  <c r="AK543" i="30"/>
  <c r="AL543" i="30" s="1"/>
  <c r="AJ543" i="30"/>
  <c r="T543" i="30" s="1"/>
  <c r="V543" i="30" s="1"/>
  <c r="AK542" i="30"/>
  <c r="AL542" i="30" s="1"/>
  <c r="AJ542" i="30"/>
  <c r="T542" i="30" s="1"/>
  <c r="V542" i="30" s="1"/>
  <c r="AK541" i="30"/>
  <c r="AL541" i="30" s="1"/>
  <c r="AJ541" i="30"/>
  <c r="T541" i="30" s="1"/>
  <c r="V541" i="30" s="1"/>
  <c r="AK540" i="30"/>
  <c r="AL540" i="30" s="1"/>
  <c r="AJ540" i="30"/>
  <c r="T540" i="30" s="1"/>
  <c r="V540" i="30" s="1"/>
  <c r="AK539" i="30"/>
  <c r="AL539" i="30" s="1"/>
  <c r="AJ539" i="30"/>
  <c r="T539" i="30" s="1"/>
  <c r="V539" i="30" s="1"/>
  <c r="AK538" i="30"/>
  <c r="AL538" i="30" s="1"/>
  <c r="AJ538" i="30"/>
  <c r="T538" i="30" s="1"/>
  <c r="V538" i="30" s="1"/>
  <c r="AI537" i="30"/>
  <c r="AH537" i="30"/>
  <c r="AG537" i="30"/>
  <c r="Q537" i="30"/>
  <c r="R539" i="30" s="1"/>
  <c r="AK536" i="30"/>
  <c r="AL536" i="30" s="1"/>
  <c r="AJ536" i="30"/>
  <c r="T536" i="30" s="1"/>
  <c r="V536" i="30" s="1"/>
  <c r="AK535" i="30"/>
  <c r="AL535" i="30" s="1"/>
  <c r="AJ535" i="30"/>
  <c r="T535" i="30" s="1"/>
  <c r="V535" i="30" s="1"/>
  <c r="AK534" i="30"/>
  <c r="AL534" i="30" s="1"/>
  <c r="AJ534" i="30"/>
  <c r="T534" i="30" s="1"/>
  <c r="V534" i="30" s="1"/>
  <c r="AK533" i="30"/>
  <c r="AL533" i="30" s="1"/>
  <c r="AJ533" i="30"/>
  <c r="T533" i="30" s="1"/>
  <c r="V533" i="30" s="1"/>
  <c r="AK532" i="30"/>
  <c r="AL532" i="30" s="1"/>
  <c r="AJ532" i="30"/>
  <c r="T532" i="30" s="1"/>
  <c r="V532" i="30" s="1"/>
  <c r="AK531" i="30"/>
  <c r="AL531" i="30" s="1"/>
  <c r="AJ531" i="30"/>
  <c r="T531" i="30" s="1"/>
  <c r="V531" i="30" s="1"/>
  <c r="AK530" i="30"/>
  <c r="AL530" i="30" s="1"/>
  <c r="AJ530" i="30"/>
  <c r="T530" i="30" s="1"/>
  <c r="V530" i="30" s="1"/>
  <c r="AK529" i="30"/>
  <c r="AL529" i="30" s="1"/>
  <c r="AJ529" i="30"/>
  <c r="T529" i="30" s="1"/>
  <c r="V529" i="30" s="1"/>
  <c r="AK528" i="30"/>
  <c r="AL528" i="30" s="1"/>
  <c r="AJ528" i="30"/>
  <c r="T528" i="30" s="1"/>
  <c r="V528" i="30" s="1"/>
  <c r="AK527" i="30"/>
  <c r="AL527" i="30" s="1"/>
  <c r="AJ527" i="30"/>
  <c r="T527" i="30" s="1"/>
  <c r="V527" i="30" s="1"/>
  <c r="AK526" i="30"/>
  <c r="AL526" i="30" s="1"/>
  <c r="AJ526" i="30"/>
  <c r="T526" i="30" s="1"/>
  <c r="V526" i="30" s="1"/>
  <c r="AI525" i="30"/>
  <c r="AH525" i="30"/>
  <c r="AG525" i="30"/>
  <c r="Q525" i="30"/>
  <c r="R536" i="30" s="1"/>
  <c r="AK524" i="30"/>
  <c r="AL524" i="30" s="1"/>
  <c r="AJ524" i="30"/>
  <c r="T524" i="30" s="1"/>
  <c r="V524" i="30" s="1"/>
  <c r="AK523" i="30"/>
  <c r="AL523" i="30" s="1"/>
  <c r="AJ523" i="30"/>
  <c r="T523" i="30" s="1"/>
  <c r="V523" i="30" s="1"/>
  <c r="AK522" i="30"/>
  <c r="AL522" i="30" s="1"/>
  <c r="AJ522" i="30"/>
  <c r="T522" i="30" s="1"/>
  <c r="V522" i="30" s="1"/>
  <c r="AK521" i="30"/>
  <c r="AL521" i="30" s="1"/>
  <c r="AJ521" i="30"/>
  <c r="T521" i="30" s="1"/>
  <c r="V521" i="30" s="1"/>
  <c r="AK520" i="30"/>
  <c r="AL520" i="30" s="1"/>
  <c r="AJ520" i="30"/>
  <c r="T520" i="30" s="1"/>
  <c r="V520" i="30" s="1"/>
  <c r="AK519" i="30"/>
  <c r="AL519" i="30" s="1"/>
  <c r="AJ519" i="30"/>
  <c r="T519" i="30" s="1"/>
  <c r="V519" i="30" s="1"/>
  <c r="AI518" i="30"/>
  <c r="AH518" i="30"/>
  <c r="AG518" i="30"/>
  <c r="Q518" i="30"/>
  <c r="AK517" i="30"/>
  <c r="AL517" i="30" s="1"/>
  <c r="AJ517" i="30"/>
  <c r="T517" i="30" s="1"/>
  <c r="V517" i="30" s="1"/>
  <c r="AK516" i="30"/>
  <c r="AL516" i="30" s="1"/>
  <c r="AJ516" i="30"/>
  <c r="T516" i="30" s="1"/>
  <c r="V516" i="30" s="1"/>
  <c r="AK515" i="30"/>
  <c r="AL515" i="30" s="1"/>
  <c r="AJ515" i="30"/>
  <c r="T515" i="30" s="1"/>
  <c r="V515" i="30" s="1"/>
  <c r="AK514" i="30"/>
  <c r="AL514" i="30" s="1"/>
  <c r="AJ514" i="30"/>
  <c r="T514" i="30" s="1"/>
  <c r="V514" i="30" s="1"/>
  <c r="AK513" i="30"/>
  <c r="AL513" i="30" s="1"/>
  <c r="AJ513" i="30"/>
  <c r="T513" i="30" s="1"/>
  <c r="V513" i="30" s="1"/>
  <c r="AK512" i="30"/>
  <c r="AL512" i="30" s="1"/>
  <c r="AJ512" i="30"/>
  <c r="T512" i="30" s="1"/>
  <c r="V512" i="30" s="1"/>
  <c r="AK511" i="30"/>
  <c r="AL511" i="30" s="1"/>
  <c r="AJ511" i="30"/>
  <c r="T511" i="30" s="1"/>
  <c r="V511" i="30" s="1"/>
  <c r="AK510" i="30"/>
  <c r="AL510" i="30" s="1"/>
  <c r="AJ510" i="30"/>
  <c r="T510" i="30" s="1"/>
  <c r="V510" i="30" s="1"/>
  <c r="AK509" i="30"/>
  <c r="AL509" i="30" s="1"/>
  <c r="AJ509" i="30"/>
  <c r="T509" i="30" s="1"/>
  <c r="V509" i="30" s="1"/>
  <c r="AK508" i="30"/>
  <c r="AL508" i="30" s="1"/>
  <c r="AJ508" i="30"/>
  <c r="T508" i="30" s="1"/>
  <c r="V508" i="30" s="1"/>
  <c r="AK507" i="30"/>
  <c r="AJ507" i="30"/>
  <c r="T507" i="30" s="1"/>
  <c r="V507" i="30" s="1"/>
  <c r="AI506" i="30"/>
  <c r="AJ506" i="30" s="1"/>
  <c r="T506" i="30" s="1"/>
  <c r="V506" i="30" s="1"/>
  <c r="AH506" i="30"/>
  <c r="AG506" i="30"/>
  <c r="AK505" i="30"/>
  <c r="AL505" i="30" s="1"/>
  <c r="AJ505" i="30"/>
  <c r="T505" i="30" s="1"/>
  <c r="V505" i="30" s="1"/>
  <c r="AK504" i="30"/>
  <c r="AL504" i="30" s="1"/>
  <c r="AJ504" i="30"/>
  <c r="T504" i="30" s="1"/>
  <c r="AK503" i="30"/>
  <c r="AL503" i="30" s="1"/>
  <c r="AJ503" i="30"/>
  <c r="T503" i="30" s="1"/>
  <c r="V503" i="30" s="1"/>
  <c r="AK502" i="30"/>
  <c r="AL502" i="30" s="1"/>
  <c r="AJ502" i="30"/>
  <c r="T502" i="30" s="1"/>
  <c r="V502" i="30" s="1"/>
  <c r="AK501" i="30"/>
  <c r="AL501" i="30" s="1"/>
  <c r="AJ501" i="30"/>
  <c r="T501" i="30" s="1"/>
  <c r="V501" i="30" s="1"/>
  <c r="AK500" i="30"/>
  <c r="AL500" i="30" s="1"/>
  <c r="AJ500" i="30"/>
  <c r="T500" i="30" s="1"/>
  <c r="V500" i="30" s="1"/>
  <c r="AI499" i="30"/>
  <c r="AH499" i="30"/>
  <c r="AG499" i="30"/>
  <c r="Q499" i="30"/>
  <c r="R504" i="30" s="1"/>
  <c r="AK498" i="30"/>
  <c r="AL498" i="30" s="1"/>
  <c r="AJ498" i="30"/>
  <c r="T498" i="30" s="1"/>
  <c r="V498" i="30" s="1"/>
  <c r="AK497" i="30"/>
  <c r="AL497" i="30" s="1"/>
  <c r="AJ497" i="30"/>
  <c r="T497" i="30" s="1"/>
  <c r="V497" i="30" s="1"/>
  <c r="AK496" i="30"/>
  <c r="AL496" i="30" s="1"/>
  <c r="AJ496" i="30"/>
  <c r="T496" i="30" s="1"/>
  <c r="V496" i="30" s="1"/>
  <c r="AK495" i="30"/>
  <c r="AL495" i="30" s="1"/>
  <c r="AJ495" i="30"/>
  <c r="T495" i="30" s="1"/>
  <c r="V495" i="30" s="1"/>
  <c r="AK494" i="30"/>
  <c r="AL494" i="30" s="1"/>
  <c r="AJ494" i="30"/>
  <c r="T494" i="30" s="1"/>
  <c r="AK493" i="30"/>
  <c r="AL493" i="30" s="1"/>
  <c r="AJ493" i="30"/>
  <c r="T493" i="30" s="1"/>
  <c r="V493" i="30" s="1"/>
  <c r="AK492" i="30"/>
  <c r="AL492" i="30" s="1"/>
  <c r="AJ492" i="30"/>
  <c r="T492" i="30" s="1"/>
  <c r="V492" i="30" s="1"/>
  <c r="AK491" i="30"/>
  <c r="AL491" i="30" s="1"/>
  <c r="AJ491" i="30"/>
  <c r="T491" i="30" s="1"/>
  <c r="V491" i="30" s="1"/>
  <c r="AI490" i="30"/>
  <c r="AH490" i="30"/>
  <c r="AG490" i="30"/>
  <c r="Q490" i="30"/>
  <c r="R491" i="30" s="1"/>
  <c r="U491" i="30" s="1"/>
  <c r="A490" i="30"/>
  <c r="A499" i="30" s="1"/>
  <c r="A506" i="30" s="1"/>
  <c r="A518" i="30" s="1"/>
  <c r="A525" i="30" s="1"/>
  <c r="A537" i="30" s="1"/>
  <c r="A548" i="30" s="1"/>
  <c r="A557" i="30" s="1"/>
  <c r="A567" i="30" s="1"/>
  <c r="A580" i="30" s="1"/>
  <c r="A589" i="30" s="1"/>
  <c r="A603" i="30" s="1"/>
  <c r="A613" i="30" s="1"/>
  <c r="A622" i="30" s="1"/>
  <c r="A632" i="30" s="1"/>
  <c r="A668" i="30" s="1"/>
  <c r="A675" i="30" s="1"/>
  <c r="AK489" i="30"/>
  <c r="AL489" i="30" s="1"/>
  <c r="AJ489" i="30"/>
  <c r="T489" i="30" s="1"/>
  <c r="V489" i="30" s="1"/>
  <c r="AK488" i="30"/>
  <c r="AL488" i="30" s="1"/>
  <c r="AJ488" i="30"/>
  <c r="T488" i="30" s="1"/>
  <c r="V488" i="30" s="1"/>
  <c r="AK487" i="30"/>
  <c r="AL487" i="30" s="1"/>
  <c r="AJ487" i="30"/>
  <c r="T487" i="30" s="1"/>
  <c r="V487" i="30" s="1"/>
  <c r="AK486" i="30"/>
  <c r="AL486" i="30" s="1"/>
  <c r="AJ486" i="30"/>
  <c r="T486" i="30" s="1"/>
  <c r="V486" i="30" s="1"/>
  <c r="AI485" i="30"/>
  <c r="Q485" i="30"/>
  <c r="AK484" i="30"/>
  <c r="AL484" i="30" s="1"/>
  <c r="AJ484" i="30"/>
  <c r="T484" i="30" s="1"/>
  <c r="V484" i="30" s="1"/>
  <c r="AK483" i="30"/>
  <c r="AL483" i="30" s="1"/>
  <c r="AJ483" i="30"/>
  <c r="T483" i="30" s="1"/>
  <c r="V483" i="30" s="1"/>
  <c r="AK482" i="30"/>
  <c r="AL482" i="30" s="1"/>
  <c r="AJ482" i="30"/>
  <c r="T482" i="30" s="1"/>
  <c r="V482" i="30" s="1"/>
  <c r="AK481" i="30"/>
  <c r="AL481" i="30" s="1"/>
  <c r="AJ481" i="30"/>
  <c r="T481" i="30" s="1"/>
  <c r="V481" i="30" s="1"/>
  <c r="AK480" i="30"/>
  <c r="AL480" i="30" s="1"/>
  <c r="AJ480" i="30"/>
  <c r="T480" i="30" s="1"/>
  <c r="V480" i="30" s="1"/>
  <c r="AK479" i="30"/>
  <c r="AL479" i="30" s="1"/>
  <c r="AJ479" i="30"/>
  <c r="T479" i="30" s="1"/>
  <c r="V479" i="30" s="1"/>
  <c r="AI478" i="30"/>
  <c r="AH478" i="30"/>
  <c r="AG478" i="30"/>
  <c r="AF478" i="30"/>
  <c r="AE478" i="30"/>
  <c r="AD478" i="30"/>
  <c r="AC478" i="30"/>
  <c r="AA478" i="30"/>
  <c r="Z478" i="30"/>
  <c r="Y478" i="30"/>
  <c r="X478" i="30"/>
  <c r="Q478" i="30"/>
  <c r="R484" i="30" s="1"/>
  <c r="P478" i="30"/>
  <c r="AK477" i="30"/>
  <c r="AL477" i="30" s="1"/>
  <c r="AJ477" i="30"/>
  <c r="T477" i="30" s="1"/>
  <c r="V477" i="30" s="1"/>
  <c r="AK476" i="30"/>
  <c r="AL476" i="30" s="1"/>
  <c r="AJ476" i="30"/>
  <c r="T476" i="30" s="1"/>
  <c r="V476" i="30" s="1"/>
  <c r="AK475" i="30"/>
  <c r="AL475" i="30" s="1"/>
  <c r="AJ475" i="30"/>
  <c r="T475" i="30" s="1"/>
  <c r="V475" i="30" s="1"/>
  <c r="AK474" i="30"/>
  <c r="AL474" i="30" s="1"/>
  <c r="AJ474" i="30"/>
  <c r="T474" i="30" s="1"/>
  <c r="V474" i="30" s="1"/>
  <c r="AK473" i="30"/>
  <c r="AL473" i="30" s="1"/>
  <c r="AJ473" i="30"/>
  <c r="T473" i="30" s="1"/>
  <c r="V473" i="30" s="1"/>
  <c r="AK472" i="30"/>
  <c r="AL472" i="30" s="1"/>
  <c r="AJ472" i="30"/>
  <c r="T472" i="30" s="1"/>
  <c r="V472" i="30" s="1"/>
  <c r="AI471" i="30"/>
  <c r="AH471" i="30"/>
  <c r="AG471" i="30"/>
  <c r="AF471" i="30"/>
  <c r="AE471" i="30"/>
  <c r="AD471" i="30"/>
  <c r="AC471" i="30"/>
  <c r="AA471" i="30"/>
  <c r="Z471" i="30"/>
  <c r="Y471" i="30"/>
  <c r="X471" i="30"/>
  <c r="Q471" i="30"/>
  <c r="R475" i="30" s="1"/>
  <c r="P471" i="30"/>
  <c r="AK470" i="30"/>
  <c r="AL470" i="30" s="1"/>
  <c r="AJ470" i="30"/>
  <c r="T470" i="30" s="1"/>
  <c r="V470" i="30" s="1"/>
  <c r="AK469" i="30"/>
  <c r="AL469" i="30" s="1"/>
  <c r="AJ469" i="30"/>
  <c r="T469" i="30" s="1"/>
  <c r="V469" i="30" s="1"/>
  <c r="AK468" i="30"/>
  <c r="AL468" i="30" s="1"/>
  <c r="AJ468" i="30"/>
  <c r="T468" i="30" s="1"/>
  <c r="V468" i="30" s="1"/>
  <c r="AK467" i="30"/>
  <c r="AL467" i="30" s="1"/>
  <c r="AJ467" i="30"/>
  <c r="T467" i="30" s="1"/>
  <c r="V467" i="30" s="1"/>
  <c r="AK466" i="30"/>
  <c r="AL466" i="30" s="1"/>
  <c r="AJ466" i="30"/>
  <c r="T466" i="30" s="1"/>
  <c r="V466" i="30" s="1"/>
  <c r="AK465" i="30"/>
  <c r="AL465" i="30" s="1"/>
  <c r="AJ465" i="30"/>
  <c r="T465" i="30" s="1"/>
  <c r="V465" i="30" s="1"/>
  <c r="AK464" i="30"/>
  <c r="AL464" i="30" s="1"/>
  <c r="AJ464" i="30"/>
  <c r="T464" i="30" s="1"/>
  <c r="V464" i="30" s="1"/>
  <c r="AK463" i="30"/>
  <c r="AL463" i="30" s="1"/>
  <c r="AJ463" i="30"/>
  <c r="T463" i="30" s="1"/>
  <c r="V463" i="30" s="1"/>
  <c r="AK462" i="30"/>
  <c r="AL462" i="30" s="1"/>
  <c r="AJ462" i="30"/>
  <c r="T462" i="30" s="1"/>
  <c r="V462" i="30" s="1"/>
  <c r="AI461" i="30"/>
  <c r="AH461" i="30"/>
  <c r="AG461" i="30"/>
  <c r="AF461" i="30"/>
  <c r="AE461" i="30"/>
  <c r="AD461" i="30"/>
  <c r="AC461" i="30"/>
  <c r="AA461" i="30"/>
  <c r="Z461" i="30"/>
  <c r="Y461" i="30"/>
  <c r="X461" i="30"/>
  <c r="Q461" i="30"/>
  <c r="R466" i="30" s="1"/>
  <c r="P461" i="30"/>
  <c r="AK459" i="30"/>
  <c r="AL459" i="30" s="1"/>
  <c r="AJ459" i="30"/>
  <c r="T459" i="30" s="1"/>
  <c r="V459" i="30" s="1"/>
  <c r="AK458" i="30"/>
  <c r="AL458" i="30" s="1"/>
  <c r="AJ458" i="30"/>
  <c r="T458" i="30" s="1"/>
  <c r="V458" i="30" s="1"/>
  <c r="AK457" i="30"/>
  <c r="AL457" i="30" s="1"/>
  <c r="AJ457" i="30"/>
  <c r="T457" i="30" s="1"/>
  <c r="V457" i="30" s="1"/>
  <c r="AK456" i="30"/>
  <c r="AL456" i="30" s="1"/>
  <c r="AJ456" i="30"/>
  <c r="T456" i="30" s="1"/>
  <c r="V456" i="30" s="1"/>
  <c r="AK455" i="30"/>
  <c r="AL455" i="30" s="1"/>
  <c r="AJ455" i="30"/>
  <c r="T455" i="30" s="1"/>
  <c r="V455" i="30" s="1"/>
  <c r="AK454" i="30"/>
  <c r="AL454" i="30" s="1"/>
  <c r="AJ454" i="30"/>
  <c r="T454" i="30" s="1"/>
  <c r="V454" i="30" s="1"/>
  <c r="AK453" i="30"/>
  <c r="AL453" i="30" s="1"/>
  <c r="AJ453" i="30"/>
  <c r="T453" i="30" s="1"/>
  <c r="V453" i="30" s="1"/>
  <c r="AI452" i="30"/>
  <c r="AH452" i="30"/>
  <c r="AG452" i="30"/>
  <c r="AF452" i="30"/>
  <c r="AE452" i="30"/>
  <c r="AD452" i="30"/>
  <c r="AC452" i="30"/>
  <c r="AA452" i="30"/>
  <c r="Z452" i="30"/>
  <c r="Y452" i="30"/>
  <c r="X452" i="30"/>
  <c r="R459" i="30"/>
  <c r="U459" i="30" s="1"/>
  <c r="P452" i="30"/>
  <c r="AK451" i="30"/>
  <c r="AL451" i="30" s="1"/>
  <c r="AJ451" i="30"/>
  <c r="T451" i="30" s="1"/>
  <c r="AK450" i="30"/>
  <c r="AL450" i="30" s="1"/>
  <c r="AJ450" i="30"/>
  <c r="T450" i="30" s="1"/>
  <c r="V450" i="30" s="1"/>
  <c r="AK449" i="30"/>
  <c r="AL449" i="30" s="1"/>
  <c r="AJ449" i="30"/>
  <c r="T449" i="30" s="1"/>
  <c r="AK448" i="30"/>
  <c r="AL448" i="30" s="1"/>
  <c r="AJ448" i="30"/>
  <c r="T448" i="30" s="1"/>
  <c r="V448" i="30" s="1"/>
  <c r="AK447" i="30"/>
  <c r="AL447" i="30" s="1"/>
  <c r="AJ447" i="30"/>
  <c r="T447" i="30" s="1"/>
  <c r="V447" i="30" s="1"/>
  <c r="AK446" i="30"/>
  <c r="AL446" i="30" s="1"/>
  <c r="AJ446" i="30"/>
  <c r="T446" i="30" s="1"/>
  <c r="V446" i="30" s="1"/>
  <c r="AK445" i="30"/>
  <c r="AL445" i="30" s="1"/>
  <c r="AJ445" i="30"/>
  <c r="T445" i="30" s="1"/>
  <c r="V445" i="30" s="1"/>
  <c r="AK444" i="30"/>
  <c r="AL444" i="30" s="1"/>
  <c r="AJ444" i="30"/>
  <c r="T444" i="30" s="1"/>
  <c r="AK443" i="30"/>
  <c r="AL443" i="30" s="1"/>
  <c r="AJ443" i="30"/>
  <c r="T443" i="30" s="1"/>
  <c r="AI442" i="30"/>
  <c r="AH442" i="30"/>
  <c r="AG442" i="30"/>
  <c r="AF442" i="30"/>
  <c r="AE442" i="30"/>
  <c r="AD442" i="30"/>
  <c r="AC442" i="30"/>
  <c r="AA442" i="30"/>
  <c r="Z442" i="30"/>
  <c r="Y442" i="30"/>
  <c r="X442" i="30"/>
  <c r="Q442" i="30"/>
  <c r="R446" i="30" s="1"/>
  <c r="P442" i="30"/>
  <c r="AK441" i="30"/>
  <c r="AL441" i="30" s="1"/>
  <c r="AJ441" i="30"/>
  <c r="T441" i="30" s="1"/>
  <c r="V441" i="30" s="1"/>
  <c r="AK440" i="30"/>
  <c r="AL440" i="30" s="1"/>
  <c r="AJ440" i="30"/>
  <c r="T440" i="30" s="1"/>
  <c r="V440" i="30" s="1"/>
  <c r="AK439" i="30"/>
  <c r="AL439" i="30" s="1"/>
  <c r="AJ439" i="30"/>
  <c r="T439" i="30" s="1"/>
  <c r="V439" i="30" s="1"/>
  <c r="AK438" i="30"/>
  <c r="AL438" i="30" s="1"/>
  <c r="AJ438" i="30"/>
  <c r="T438" i="30" s="1"/>
  <c r="V438" i="30" s="1"/>
  <c r="AK437" i="30"/>
  <c r="AL437" i="30" s="1"/>
  <c r="AJ437" i="30"/>
  <c r="T437" i="30" s="1"/>
  <c r="V437" i="30" s="1"/>
  <c r="AK436" i="30"/>
  <c r="AL436" i="30" s="1"/>
  <c r="AJ436" i="30"/>
  <c r="T436" i="30" s="1"/>
  <c r="V436" i="30" s="1"/>
  <c r="AK435" i="30"/>
  <c r="AL435" i="30" s="1"/>
  <c r="AJ435" i="30"/>
  <c r="T435" i="30" s="1"/>
  <c r="V435" i="30" s="1"/>
  <c r="AK434" i="30"/>
  <c r="AL434" i="30" s="1"/>
  <c r="AJ434" i="30"/>
  <c r="T434" i="30" s="1"/>
  <c r="V434" i="30" s="1"/>
  <c r="AK433" i="30"/>
  <c r="AL433" i="30" s="1"/>
  <c r="AJ433" i="30"/>
  <c r="T433" i="30" s="1"/>
  <c r="V433" i="30" s="1"/>
  <c r="AK432" i="30"/>
  <c r="AL432" i="30" s="1"/>
  <c r="AJ432" i="30"/>
  <c r="T432" i="30" s="1"/>
  <c r="V432" i="30" s="1"/>
  <c r="AI431" i="30"/>
  <c r="AH431" i="30"/>
  <c r="AG431" i="30"/>
  <c r="AF431" i="30"/>
  <c r="AE431" i="30"/>
  <c r="AD431" i="30"/>
  <c r="AC431" i="30"/>
  <c r="AA431" i="30"/>
  <c r="Z431" i="30"/>
  <c r="Y431" i="30"/>
  <c r="X431" i="30"/>
  <c r="Q431" i="30"/>
  <c r="R434" i="30" s="1"/>
  <c r="P431" i="30"/>
  <c r="AK430" i="30"/>
  <c r="AL430" i="30" s="1"/>
  <c r="AJ430" i="30"/>
  <c r="T430" i="30" s="1"/>
  <c r="AK429" i="30"/>
  <c r="AL429" i="30" s="1"/>
  <c r="AJ429" i="30"/>
  <c r="T429" i="30" s="1"/>
  <c r="V429" i="30" s="1"/>
  <c r="AK428" i="30"/>
  <c r="AL428" i="30" s="1"/>
  <c r="AJ428" i="30"/>
  <c r="T428" i="30" s="1"/>
  <c r="V428" i="30" s="1"/>
  <c r="AK427" i="30"/>
  <c r="AL427" i="30" s="1"/>
  <c r="AJ427" i="30"/>
  <c r="T427" i="30" s="1"/>
  <c r="AK426" i="30"/>
  <c r="AL426" i="30" s="1"/>
  <c r="AJ426" i="30"/>
  <c r="T426" i="30" s="1"/>
  <c r="V426" i="30" s="1"/>
  <c r="AK425" i="30"/>
  <c r="AL425" i="30" s="1"/>
  <c r="AJ425" i="30"/>
  <c r="T425" i="30" s="1"/>
  <c r="V425" i="30" s="1"/>
  <c r="AK424" i="30"/>
  <c r="AL424" i="30" s="1"/>
  <c r="AJ424" i="30"/>
  <c r="T424" i="30" s="1"/>
  <c r="V424" i="30" s="1"/>
  <c r="AK423" i="30"/>
  <c r="AL423" i="30" s="1"/>
  <c r="AJ423" i="30"/>
  <c r="T423" i="30" s="1"/>
  <c r="V423" i="30" s="1"/>
  <c r="AK422" i="30"/>
  <c r="AL422" i="30" s="1"/>
  <c r="AJ422" i="30"/>
  <c r="T422" i="30" s="1"/>
  <c r="V422" i="30" s="1"/>
  <c r="AK421" i="30"/>
  <c r="AL421" i="30" s="1"/>
  <c r="AJ421" i="30"/>
  <c r="T421" i="30" s="1"/>
  <c r="V421" i="30" s="1"/>
  <c r="AI420" i="30"/>
  <c r="AH420" i="30"/>
  <c r="AG420" i="30"/>
  <c r="AF420" i="30"/>
  <c r="AE420" i="30"/>
  <c r="AD420" i="30"/>
  <c r="AC420" i="30"/>
  <c r="AA420" i="30"/>
  <c r="Z420" i="30"/>
  <c r="Y420" i="30"/>
  <c r="X420" i="30"/>
  <c r="Q420" i="30"/>
  <c r="R427" i="30" s="1"/>
  <c r="P420" i="30"/>
  <c r="A420" i="30"/>
  <c r="A431" i="30" s="1"/>
  <c r="A442" i="30" s="1"/>
  <c r="A452" i="30" s="1"/>
  <c r="A461" i="30" s="1"/>
  <c r="AK419" i="30"/>
  <c r="AL419" i="30" s="1"/>
  <c r="AJ419" i="30"/>
  <c r="T419" i="30" s="1"/>
  <c r="AK418" i="30"/>
  <c r="AL418" i="30" s="1"/>
  <c r="AJ418" i="30"/>
  <c r="T418" i="30" s="1"/>
  <c r="AI417" i="30"/>
  <c r="AH417" i="30"/>
  <c r="AG417" i="30"/>
  <c r="AF417" i="30"/>
  <c r="AE417" i="30"/>
  <c r="AD417" i="30"/>
  <c r="AC417" i="30"/>
  <c r="AA417" i="30"/>
  <c r="Z417" i="30"/>
  <c r="Y417" i="30"/>
  <c r="X417" i="30"/>
  <c r="Q417" i="30"/>
  <c r="R418" i="30" s="1"/>
  <c r="P417" i="30"/>
  <c r="AK416" i="30"/>
  <c r="AL416" i="30" s="1"/>
  <c r="AJ416" i="30"/>
  <c r="T416" i="30" s="1"/>
  <c r="AK415" i="30"/>
  <c r="AL415" i="30" s="1"/>
  <c r="AJ415" i="30"/>
  <c r="T415" i="30" s="1"/>
  <c r="V415" i="30" s="1"/>
  <c r="AK414" i="30"/>
  <c r="AL414" i="30" s="1"/>
  <c r="AJ414" i="30"/>
  <c r="T414" i="30" s="1"/>
  <c r="V414" i="30" s="1"/>
  <c r="AK413" i="30"/>
  <c r="AL413" i="30" s="1"/>
  <c r="AJ413" i="30"/>
  <c r="T413" i="30" s="1"/>
  <c r="V413" i="30" s="1"/>
  <c r="AK412" i="30"/>
  <c r="AL412" i="30" s="1"/>
  <c r="AJ412" i="30"/>
  <c r="T412" i="30" s="1"/>
  <c r="V412" i="30" s="1"/>
  <c r="AK411" i="30"/>
  <c r="AL411" i="30" s="1"/>
  <c r="AJ411" i="30"/>
  <c r="T411" i="30" s="1"/>
  <c r="V411" i="30" s="1"/>
  <c r="AK410" i="30"/>
  <c r="AL410" i="30" s="1"/>
  <c r="AJ410" i="30"/>
  <c r="T410" i="30" s="1"/>
  <c r="V410" i="30" s="1"/>
  <c r="AK409" i="30"/>
  <c r="AL409" i="30" s="1"/>
  <c r="AJ409" i="30"/>
  <c r="T409" i="30" s="1"/>
  <c r="AK408" i="30"/>
  <c r="AL408" i="30" s="1"/>
  <c r="AJ408" i="30"/>
  <c r="T408" i="30" s="1"/>
  <c r="V408" i="30" s="1"/>
  <c r="AK407" i="30"/>
  <c r="AL407" i="30" s="1"/>
  <c r="AJ407" i="30"/>
  <c r="T407" i="30" s="1"/>
  <c r="V407" i="30" s="1"/>
  <c r="AK406" i="30"/>
  <c r="AL406" i="30" s="1"/>
  <c r="AJ406" i="30"/>
  <c r="T406" i="30" s="1"/>
  <c r="V406" i="30" s="1"/>
  <c r="AK405" i="30"/>
  <c r="AL405" i="30" s="1"/>
  <c r="AJ405" i="30"/>
  <c r="T405" i="30" s="1"/>
  <c r="V405" i="30" s="1"/>
  <c r="AK404" i="30"/>
  <c r="AL404" i="30" s="1"/>
  <c r="AJ404" i="30"/>
  <c r="T404" i="30" s="1"/>
  <c r="AI403" i="30"/>
  <c r="AH403" i="30"/>
  <c r="AG403" i="30"/>
  <c r="AF403" i="30"/>
  <c r="AE403" i="30"/>
  <c r="AD403" i="30"/>
  <c r="AC403" i="30"/>
  <c r="AA403" i="30"/>
  <c r="Z403" i="30"/>
  <c r="Y403" i="30"/>
  <c r="X403" i="30"/>
  <c r="Q403" i="30"/>
  <c r="R409" i="30" s="1"/>
  <c r="P403" i="30"/>
  <c r="AK402" i="30"/>
  <c r="AL402" i="30" s="1"/>
  <c r="AJ402" i="30"/>
  <c r="T402" i="30" s="1"/>
  <c r="V402" i="30" s="1"/>
  <c r="AK401" i="30"/>
  <c r="AL401" i="30" s="1"/>
  <c r="AJ401" i="30"/>
  <c r="T401" i="30" s="1"/>
  <c r="V401" i="30" s="1"/>
  <c r="AK400" i="30"/>
  <c r="AL400" i="30" s="1"/>
  <c r="AJ400" i="30"/>
  <c r="T400" i="30" s="1"/>
  <c r="V400" i="30" s="1"/>
  <c r="R400" i="30"/>
  <c r="AK399" i="30"/>
  <c r="AL399" i="30" s="1"/>
  <c r="AJ399" i="30"/>
  <c r="T399" i="30" s="1"/>
  <c r="V399" i="30" s="1"/>
  <c r="AK398" i="30"/>
  <c r="AL398" i="30" s="1"/>
  <c r="AJ398" i="30"/>
  <c r="T398" i="30" s="1"/>
  <c r="V398" i="30" s="1"/>
  <c r="AK397" i="30"/>
  <c r="AL397" i="30" s="1"/>
  <c r="AJ397" i="30"/>
  <c r="T397" i="30" s="1"/>
  <c r="AK396" i="30"/>
  <c r="AL396" i="30" s="1"/>
  <c r="AJ396" i="30"/>
  <c r="T396" i="30" s="1"/>
  <c r="V396" i="30" s="1"/>
  <c r="AI395" i="30"/>
  <c r="AH395" i="30"/>
  <c r="AG395" i="30"/>
  <c r="AF395" i="30"/>
  <c r="AE395" i="30"/>
  <c r="AD395" i="30"/>
  <c r="AC395" i="30"/>
  <c r="AA395" i="30"/>
  <c r="Z395" i="30"/>
  <c r="Y395" i="30"/>
  <c r="X395" i="30"/>
  <c r="P395" i="30"/>
  <c r="AK394" i="30"/>
  <c r="AL394" i="30" s="1"/>
  <c r="AJ394" i="30"/>
  <c r="T394" i="30" s="1"/>
  <c r="AK393" i="30"/>
  <c r="AL393" i="30" s="1"/>
  <c r="AJ393" i="30"/>
  <c r="T393" i="30" s="1"/>
  <c r="V393" i="30" s="1"/>
  <c r="AK392" i="30"/>
  <c r="AL392" i="30" s="1"/>
  <c r="AJ392" i="30"/>
  <c r="T392" i="30" s="1"/>
  <c r="V392" i="30" s="1"/>
  <c r="AK391" i="30"/>
  <c r="AL391" i="30" s="1"/>
  <c r="AJ391" i="30"/>
  <c r="T391" i="30" s="1"/>
  <c r="V391" i="30" s="1"/>
  <c r="AK390" i="30"/>
  <c r="AL390" i="30" s="1"/>
  <c r="AJ390" i="30"/>
  <c r="T390" i="30" s="1"/>
  <c r="V390" i="30" s="1"/>
  <c r="AK389" i="30"/>
  <c r="AL389" i="30" s="1"/>
  <c r="AJ389" i="30"/>
  <c r="T389" i="30" s="1"/>
  <c r="V389" i="30" s="1"/>
  <c r="AK388" i="30"/>
  <c r="AL388" i="30" s="1"/>
  <c r="AJ388" i="30"/>
  <c r="T388" i="30" s="1"/>
  <c r="V388" i="30" s="1"/>
  <c r="AK387" i="30"/>
  <c r="AL387" i="30" s="1"/>
  <c r="AJ387" i="30"/>
  <c r="T387" i="30" s="1"/>
  <c r="V387" i="30" s="1"/>
  <c r="AK386" i="30"/>
  <c r="AL386" i="30" s="1"/>
  <c r="AJ386" i="30"/>
  <c r="T386" i="30" s="1"/>
  <c r="V386" i="30" s="1"/>
  <c r="AK385" i="30"/>
  <c r="AL385" i="30" s="1"/>
  <c r="AJ385" i="30"/>
  <c r="T385" i="30" s="1"/>
  <c r="V385" i="30" s="1"/>
  <c r="AK384" i="30"/>
  <c r="AL384" i="30" s="1"/>
  <c r="AJ384" i="30"/>
  <c r="T384" i="30" s="1"/>
  <c r="V384" i="30" s="1"/>
  <c r="AK383" i="30"/>
  <c r="AL383" i="30" s="1"/>
  <c r="AJ383" i="30"/>
  <c r="T383" i="30" s="1"/>
  <c r="V383" i="30" s="1"/>
  <c r="AI382" i="30"/>
  <c r="AH382" i="30"/>
  <c r="AG382" i="30"/>
  <c r="AF382" i="30"/>
  <c r="AE382" i="30"/>
  <c r="AD382" i="30"/>
  <c r="AC382" i="30"/>
  <c r="AA382" i="30"/>
  <c r="Z382" i="30"/>
  <c r="Y382" i="30"/>
  <c r="X382" i="30"/>
  <c r="Q382" i="30"/>
  <c r="R384" i="30" s="1"/>
  <c r="P382" i="30"/>
  <c r="AK381" i="30"/>
  <c r="AL381" i="30" s="1"/>
  <c r="AJ381" i="30"/>
  <c r="T381" i="30" s="1"/>
  <c r="V381" i="30" s="1"/>
  <c r="AK380" i="30"/>
  <c r="AL380" i="30" s="1"/>
  <c r="AJ380" i="30"/>
  <c r="T380" i="30" s="1"/>
  <c r="V380" i="30" s="1"/>
  <c r="AK379" i="30"/>
  <c r="AL379" i="30" s="1"/>
  <c r="AJ379" i="30"/>
  <c r="T379" i="30" s="1"/>
  <c r="V379" i="30" s="1"/>
  <c r="AK378" i="30"/>
  <c r="AL378" i="30" s="1"/>
  <c r="AJ378" i="30"/>
  <c r="T378" i="30" s="1"/>
  <c r="V378" i="30" s="1"/>
  <c r="AK377" i="30"/>
  <c r="AL377" i="30" s="1"/>
  <c r="AJ377" i="30"/>
  <c r="T377" i="30" s="1"/>
  <c r="V377" i="30" s="1"/>
  <c r="AK376" i="30"/>
  <c r="AL376" i="30" s="1"/>
  <c r="AJ376" i="30"/>
  <c r="T376" i="30" s="1"/>
  <c r="V376" i="30" s="1"/>
  <c r="AK375" i="30"/>
  <c r="AL375" i="30" s="1"/>
  <c r="AJ375" i="30"/>
  <c r="T375" i="30" s="1"/>
  <c r="V375" i="30" s="1"/>
  <c r="AK374" i="30"/>
  <c r="AL374" i="30" s="1"/>
  <c r="AJ374" i="30"/>
  <c r="T374" i="30" s="1"/>
  <c r="V374" i="30" s="1"/>
  <c r="AK373" i="30"/>
  <c r="AL373" i="30" s="1"/>
  <c r="AJ373" i="30"/>
  <c r="T373" i="30" s="1"/>
  <c r="V373" i="30" s="1"/>
  <c r="AI372" i="30"/>
  <c r="AH372" i="30"/>
  <c r="AG372" i="30"/>
  <c r="AF372" i="30"/>
  <c r="AE372" i="30"/>
  <c r="AD372" i="30"/>
  <c r="AC372" i="30"/>
  <c r="AA372" i="30"/>
  <c r="Z372" i="30"/>
  <c r="Y372" i="30"/>
  <c r="X372" i="30"/>
  <c r="Q372" i="30"/>
  <c r="R377" i="30" s="1"/>
  <c r="P372" i="30"/>
  <c r="AK371" i="30"/>
  <c r="AL371" i="30" s="1"/>
  <c r="AJ371" i="30"/>
  <c r="T371" i="30" s="1"/>
  <c r="V371" i="30" s="1"/>
  <c r="AK370" i="30"/>
  <c r="AL370" i="30" s="1"/>
  <c r="AJ370" i="30"/>
  <c r="T370" i="30" s="1"/>
  <c r="V370" i="30" s="1"/>
  <c r="AK369" i="30"/>
  <c r="AL369" i="30" s="1"/>
  <c r="AJ369" i="30"/>
  <c r="T369" i="30" s="1"/>
  <c r="V369" i="30" s="1"/>
  <c r="AK368" i="30"/>
  <c r="AL368" i="30" s="1"/>
  <c r="AJ368" i="30"/>
  <c r="T368" i="30" s="1"/>
  <c r="V368" i="30" s="1"/>
  <c r="AK367" i="30"/>
  <c r="AL367" i="30" s="1"/>
  <c r="AJ367" i="30"/>
  <c r="T367" i="30" s="1"/>
  <c r="V367" i="30" s="1"/>
  <c r="AK366" i="30"/>
  <c r="AL366" i="30" s="1"/>
  <c r="AJ366" i="30"/>
  <c r="T366" i="30" s="1"/>
  <c r="V366" i="30" s="1"/>
  <c r="AK365" i="30"/>
  <c r="AL365" i="30" s="1"/>
  <c r="AJ365" i="30"/>
  <c r="T365" i="30" s="1"/>
  <c r="V365" i="30" s="1"/>
  <c r="AK364" i="30"/>
  <c r="AL364" i="30" s="1"/>
  <c r="AJ364" i="30"/>
  <c r="T364" i="30" s="1"/>
  <c r="V364" i="30" s="1"/>
  <c r="AK363" i="30"/>
  <c r="AL363" i="30" s="1"/>
  <c r="AJ363" i="30"/>
  <c r="T363" i="30" s="1"/>
  <c r="V363" i="30" s="1"/>
  <c r="AK362" i="30"/>
  <c r="AL362" i="30" s="1"/>
  <c r="AJ362" i="30"/>
  <c r="T362" i="30" s="1"/>
  <c r="AK361" i="30"/>
  <c r="AL361" i="30" s="1"/>
  <c r="AJ361" i="30"/>
  <c r="T361" i="30" s="1"/>
  <c r="AK360" i="30"/>
  <c r="AL360" i="30" s="1"/>
  <c r="AJ360" i="30"/>
  <c r="T360" i="30" s="1"/>
  <c r="V360" i="30" s="1"/>
  <c r="AI359" i="30"/>
  <c r="AH359" i="30"/>
  <c r="AG359" i="30"/>
  <c r="AF359" i="30"/>
  <c r="AE359" i="30"/>
  <c r="AD359" i="30"/>
  <c r="AC359" i="30"/>
  <c r="AA359" i="30"/>
  <c r="Z359" i="30"/>
  <c r="Y359" i="30"/>
  <c r="X359" i="30"/>
  <c r="Q359" i="30"/>
  <c r="R371" i="30" s="1"/>
  <c r="P359" i="30"/>
  <c r="A359" i="30"/>
  <c r="A372" i="30" s="1"/>
  <c r="A382" i="30" s="1"/>
  <c r="A395" i="30" s="1"/>
  <c r="A403" i="30" s="1"/>
  <c r="AK358" i="30"/>
  <c r="AL358" i="30" s="1"/>
  <c r="AJ358" i="30"/>
  <c r="T358" i="30" s="1"/>
  <c r="V358" i="30" s="1"/>
  <c r="AK357" i="30"/>
  <c r="AL357" i="30" s="1"/>
  <c r="AJ357" i="30"/>
  <c r="T357" i="30" s="1"/>
  <c r="AK356" i="30"/>
  <c r="AL356" i="30" s="1"/>
  <c r="AJ356" i="30"/>
  <c r="T356" i="30" s="1"/>
  <c r="V356" i="30" s="1"/>
  <c r="R356" i="30"/>
  <c r="AK355" i="30"/>
  <c r="AL355" i="30" s="1"/>
  <c r="AJ355" i="30"/>
  <c r="T355" i="30" s="1"/>
  <c r="V355" i="30" s="1"/>
  <c r="AK354" i="30"/>
  <c r="AL354" i="30" s="1"/>
  <c r="AJ354" i="30"/>
  <c r="T354" i="30" s="1"/>
  <c r="V354" i="30" s="1"/>
  <c r="AK353" i="30"/>
  <c r="AL353" i="30" s="1"/>
  <c r="AJ353" i="30"/>
  <c r="T353" i="30" s="1"/>
  <c r="V353" i="30" s="1"/>
  <c r="AK352" i="30"/>
  <c r="AL352" i="30" s="1"/>
  <c r="AJ352" i="30"/>
  <c r="T352" i="30" s="1"/>
  <c r="R352" i="30"/>
  <c r="AI351" i="30"/>
  <c r="AH351" i="30"/>
  <c r="AG351" i="30"/>
  <c r="AF351" i="30"/>
  <c r="AE351" i="30"/>
  <c r="AD351" i="30"/>
  <c r="AC351" i="30"/>
  <c r="AA351" i="30"/>
  <c r="Z351" i="30"/>
  <c r="Y351" i="30"/>
  <c r="X351" i="30"/>
  <c r="R357" i="30"/>
  <c r="P351" i="30"/>
  <c r="AK350" i="30"/>
  <c r="AL350" i="30" s="1"/>
  <c r="AJ350" i="30"/>
  <c r="T350" i="30" s="1"/>
  <c r="AK349" i="30"/>
  <c r="AL349" i="30" s="1"/>
  <c r="AJ349" i="30"/>
  <c r="T349" i="30" s="1"/>
  <c r="V349" i="30" s="1"/>
  <c r="AK348" i="30"/>
  <c r="AL348" i="30" s="1"/>
  <c r="AJ348" i="30"/>
  <c r="T348" i="30" s="1"/>
  <c r="V348" i="30" s="1"/>
  <c r="AK347" i="30"/>
  <c r="AL347" i="30" s="1"/>
  <c r="AJ347" i="30"/>
  <c r="T347" i="30" s="1"/>
  <c r="V347" i="30" s="1"/>
  <c r="AK346" i="30"/>
  <c r="AL346" i="30" s="1"/>
  <c r="AJ346" i="30"/>
  <c r="T346" i="30" s="1"/>
  <c r="V346" i="30" s="1"/>
  <c r="AI345" i="30"/>
  <c r="AH345" i="30"/>
  <c r="AG345" i="30"/>
  <c r="AF345" i="30"/>
  <c r="AE345" i="30"/>
  <c r="AD345" i="30"/>
  <c r="AC345" i="30"/>
  <c r="AA345" i="30"/>
  <c r="Z345" i="30"/>
  <c r="Y345" i="30"/>
  <c r="X345" i="30"/>
  <c r="Q345" i="30"/>
  <c r="R350" i="30" s="1"/>
  <c r="P345" i="30"/>
  <c r="AK344" i="30"/>
  <c r="AL344" i="30" s="1"/>
  <c r="AJ344" i="30"/>
  <c r="T344" i="30" s="1"/>
  <c r="AK343" i="30"/>
  <c r="AL343" i="30" s="1"/>
  <c r="AJ343" i="30"/>
  <c r="T343" i="30" s="1"/>
  <c r="V343" i="30" s="1"/>
  <c r="AK342" i="30"/>
  <c r="AL342" i="30" s="1"/>
  <c r="AJ342" i="30"/>
  <c r="T342" i="30" s="1"/>
  <c r="V342" i="30" s="1"/>
  <c r="AK341" i="30"/>
  <c r="AL341" i="30" s="1"/>
  <c r="AJ341" i="30"/>
  <c r="T341" i="30" s="1"/>
  <c r="V341" i="30" s="1"/>
  <c r="AK340" i="30"/>
  <c r="AL340" i="30" s="1"/>
  <c r="AJ340" i="30"/>
  <c r="T340" i="30" s="1"/>
  <c r="V340" i="30" s="1"/>
  <c r="AK339" i="30"/>
  <c r="AL339" i="30" s="1"/>
  <c r="AJ339" i="30"/>
  <c r="T339" i="30" s="1"/>
  <c r="V339" i="30" s="1"/>
  <c r="AK338" i="30"/>
  <c r="AL338" i="30" s="1"/>
  <c r="AJ338" i="30"/>
  <c r="T338" i="30" s="1"/>
  <c r="V338" i="30" s="1"/>
  <c r="AK337" i="30"/>
  <c r="AL337" i="30" s="1"/>
  <c r="AJ337" i="30"/>
  <c r="T337" i="30" s="1"/>
  <c r="V337" i="30" s="1"/>
  <c r="AK336" i="30"/>
  <c r="AL336" i="30" s="1"/>
  <c r="AJ336" i="30"/>
  <c r="T336" i="30" s="1"/>
  <c r="V336" i="30" s="1"/>
  <c r="AK335" i="30"/>
  <c r="AL335" i="30" s="1"/>
  <c r="AJ335" i="30"/>
  <c r="T335" i="30" s="1"/>
  <c r="AI334" i="30"/>
  <c r="AH334" i="30"/>
  <c r="AG334" i="30"/>
  <c r="AF334" i="30"/>
  <c r="AE334" i="30"/>
  <c r="AD334" i="30"/>
  <c r="AC334" i="30"/>
  <c r="AA334" i="30"/>
  <c r="Z334" i="30"/>
  <c r="Y334" i="30"/>
  <c r="X334" i="30"/>
  <c r="Q334" i="30"/>
  <c r="R339" i="30" s="1"/>
  <c r="P334" i="30"/>
  <c r="AK333" i="30"/>
  <c r="AL333" i="30" s="1"/>
  <c r="AJ333" i="30"/>
  <c r="T333" i="30" s="1"/>
  <c r="V333" i="30" s="1"/>
  <c r="AK332" i="30"/>
  <c r="AL332" i="30" s="1"/>
  <c r="AJ332" i="30"/>
  <c r="T332" i="30" s="1"/>
  <c r="AK331" i="30"/>
  <c r="AL331" i="30" s="1"/>
  <c r="AJ331" i="30"/>
  <c r="T331" i="30" s="1"/>
  <c r="V331" i="30" s="1"/>
  <c r="AK330" i="30"/>
  <c r="AL330" i="30" s="1"/>
  <c r="AJ330" i="30"/>
  <c r="T330" i="30" s="1"/>
  <c r="V330" i="30" s="1"/>
  <c r="AK329" i="30"/>
  <c r="AL329" i="30" s="1"/>
  <c r="AJ329" i="30"/>
  <c r="T329" i="30" s="1"/>
  <c r="V329" i="30" s="1"/>
  <c r="AK328" i="30"/>
  <c r="AL328" i="30" s="1"/>
  <c r="AJ328" i="30"/>
  <c r="T328" i="30" s="1"/>
  <c r="V328" i="30" s="1"/>
  <c r="AI327" i="30"/>
  <c r="AH327" i="30"/>
  <c r="AG327" i="30"/>
  <c r="AF327" i="30"/>
  <c r="AE327" i="30"/>
  <c r="AD327" i="30"/>
  <c r="AC327" i="30"/>
  <c r="AA327" i="30"/>
  <c r="Z327" i="30"/>
  <c r="Y327" i="30"/>
  <c r="X327" i="30"/>
  <c r="Q327" i="30"/>
  <c r="R333" i="30" s="1"/>
  <c r="AK326" i="30"/>
  <c r="AL326" i="30" s="1"/>
  <c r="AJ326" i="30"/>
  <c r="T326" i="30" s="1"/>
  <c r="V326" i="30" s="1"/>
  <c r="AK325" i="30"/>
  <c r="AL325" i="30" s="1"/>
  <c r="AJ325" i="30"/>
  <c r="T325" i="30" s="1"/>
  <c r="V325" i="30" s="1"/>
  <c r="AK324" i="30"/>
  <c r="AL324" i="30" s="1"/>
  <c r="AJ324" i="30"/>
  <c r="T324" i="30" s="1"/>
  <c r="V324" i="30" s="1"/>
  <c r="AK323" i="30"/>
  <c r="AL323" i="30" s="1"/>
  <c r="AJ323" i="30"/>
  <c r="T323" i="30" s="1"/>
  <c r="V323" i="30" s="1"/>
  <c r="AK322" i="30"/>
  <c r="AL322" i="30" s="1"/>
  <c r="AJ322" i="30"/>
  <c r="T322" i="30" s="1"/>
  <c r="V322" i="30" s="1"/>
  <c r="AK321" i="30"/>
  <c r="AL321" i="30" s="1"/>
  <c r="AJ321" i="30"/>
  <c r="T321" i="30" s="1"/>
  <c r="V321" i="30" s="1"/>
  <c r="AI320" i="30"/>
  <c r="AH320" i="30"/>
  <c r="AG320" i="30"/>
  <c r="AF320" i="30"/>
  <c r="AE320" i="30"/>
  <c r="AD320" i="30"/>
  <c r="AC320" i="30"/>
  <c r="AA320" i="30"/>
  <c r="Z320" i="30"/>
  <c r="Y320" i="30"/>
  <c r="X320" i="30"/>
  <c r="Q320" i="30"/>
  <c r="R324" i="30" s="1"/>
  <c r="P320" i="30"/>
  <c r="AK319" i="30"/>
  <c r="AL319" i="30" s="1"/>
  <c r="AJ319" i="30"/>
  <c r="T319" i="30" s="1"/>
  <c r="V319" i="30" s="1"/>
  <c r="AK318" i="30"/>
  <c r="AL318" i="30" s="1"/>
  <c r="AJ318" i="30"/>
  <c r="T318" i="30" s="1"/>
  <c r="V318" i="30" s="1"/>
  <c r="AK317" i="30"/>
  <c r="AL317" i="30" s="1"/>
  <c r="AJ317" i="30"/>
  <c r="T317" i="30" s="1"/>
  <c r="V317" i="30" s="1"/>
  <c r="AK316" i="30"/>
  <c r="AL316" i="30" s="1"/>
  <c r="AJ316" i="30"/>
  <c r="T316" i="30" s="1"/>
  <c r="V316" i="30" s="1"/>
  <c r="AK315" i="30"/>
  <c r="AL315" i="30" s="1"/>
  <c r="AJ315" i="30"/>
  <c r="T315" i="30" s="1"/>
  <c r="V315" i="30" s="1"/>
  <c r="AK314" i="30"/>
  <c r="AL314" i="30" s="1"/>
  <c r="AJ314" i="30"/>
  <c r="T314" i="30" s="1"/>
  <c r="V314" i="30" s="1"/>
  <c r="AK313" i="30"/>
  <c r="AL313" i="30" s="1"/>
  <c r="AJ313" i="30"/>
  <c r="T313" i="30" s="1"/>
  <c r="V313" i="30" s="1"/>
  <c r="AI312" i="30"/>
  <c r="AH312" i="30"/>
  <c r="AG312" i="30"/>
  <c r="AF312" i="30"/>
  <c r="AE312" i="30"/>
  <c r="AD312" i="30"/>
  <c r="AC312" i="30"/>
  <c r="AA312" i="30"/>
  <c r="Z312" i="30"/>
  <c r="Y312" i="30"/>
  <c r="X312" i="30"/>
  <c r="Q312" i="30"/>
  <c r="R314" i="30" s="1"/>
  <c r="P312" i="30"/>
  <c r="AK311" i="30"/>
  <c r="AL311" i="30" s="1"/>
  <c r="AJ311" i="30"/>
  <c r="T311" i="30" s="1"/>
  <c r="AK310" i="30"/>
  <c r="AL310" i="30" s="1"/>
  <c r="AJ310" i="30"/>
  <c r="T310" i="30" s="1"/>
  <c r="V310" i="30" s="1"/>
  <c r="AK309" i="30"/>
  <c r="AL309" i="30" s="1"/>
  <c r="AJ309" i="30"/>
  <c r="T309" i="30" s="1"/>
  <c r="AK308" i="30"/>
  <c r="AL308" i="30" s="1"/>
  <c r="AJ308" i="30"/>
  <c r="T308" i="30" s="1"/>
  <c r="AK307" i="30"/>
  <c r="AL307" i="30" s="1"/>
  <c r="AJ307" i="30"/>
  <c r="T307" i="30" s="1"/>
  <c r="V307" i="30" s="1"/>
  <c r="AK306" i="30"/>
  <c r="AL306" i="30" s="1"/>
  <c r="AJ306" i="30"/>
  <c r="T306" i="30" s="1"/>
  <c r="V306" i="30" s="1"/>
  <c r="AK305" i="30"/>
  <c r="AL305" i="30" s="1"/>
  <c r="AJ305" i="30"/>
  <c r="T305" i="30" s="1"/>
  <c r="V305" i="30" s="1"/>
  <c r="AI304" i="30"/>
  <c r="AH304" i="30"/>
  <c r="AG304" i="30"/>
  <c r="AF304" i="30"/>
  <c r="AE304" i="30"/>
  <c r="AD304" i="30"/>
  <c r="AC304" i="30"/>
  <c r="AA304" i="30"/>
  <c r="Z304" i="30"/>
  <c r="Y304" i="30"/>
  <c r="X304" i="30"/>
  <c r="Q304" i="30"/>
  <c r="R308" i="30" s="1"/>
  <c r="P304" i="30"/>
  <c r="AK303" i="30"/>
  <c r="AL303" i="30" s="1"/>
  <c r="AJ303" i="30"/>
  <c r="T303" i="30" s="1"/>
  <c r="V303" i="30" s="1"/>
  <c r="AK302" i="30"/>
  <c r="AL302" i="30" s="1"/>
  <c r="AJ302" i="30"/>
  <c r="T302" i="30" s="1"/>
  <c r="V302" i="30" s="1"/>
  <c r="AK301" i="30"/>
  <c r="AL301" i="30" s="1"/>
  <c r="AJ301" i="30"/>
  <c r="T301" i="30" s="1"/>
  <c r="V301" i="30" s="1"/>
  <c r="AK300" i="30"/>
  <c r="AL300" i="30" s="1"/>
  <c r="AJ300" i="30"/>
  <c r="T300" i="30" s="1"/>
  <c r="V300" i="30" s="1"/>
  <c r="AK299" i="30"/>
  <c r="AL299" i="30" s="1"/>
  <c r="AJ299" i="30"/>
  <c r="T299" i="30" s="1"/>
  <c r="V299" i="30" s="1"/>
  <c r="AK298" i="30"/>
  <c r="AL298" i="30" s="1"/>
  <c r="AJ298" i="30"/>
  <c r="T298" i="30" s="1"/>
  <c r="V298" i="30" s="1"/>
  <c r="AK297" i="30"/>
  <c r="AL297" i="30" s="1"/>
  <c r="AJ297" i="30"/>
  <c r="T297" i="30" s="1"/>
  <c r="V297" i="30" s="1"/>
  <c r="AK296" i="30"/>
  <c r="AL296" i="30" s="1"/>
  <c r="AJ296" i="30"/>
  <c r="T296" i="30" s="1"/>
  <c r="V296" i="30" s="1"/>
  <c r="AK295" i="30"/>
  <c r="AL295" i="30" s="1"/>
  <c r="AJ295" i="30"/>
  <c r="T295" i="30" s="1"/>
  <c r="V295" i="30" s="1"/>
  <c r="AK294" i="30"/>
  <c r="AL294" i="30" s="1"/>
  <c r="AJ294" i="30"/>
  <c r="T294" i="30" s="1"/>
  <c r="V294" i="30" s="1"/>
  <c r="AK293" i="30"/>
  <c r="AL293" i="30" s="1"/>
  <c r="AJ293" i="30"/>
  <c r="T293" i="30" s="1"/>
  <c r="V293" i="30" s="1"/>
  <c r="AI292" i="30"/>
  <c r="AH292" i="30"/>
  <c r="AG292" i="30"/>
  <c r="AF292" i="30"/>
  <c r="AE292" i="30"/>
  <c r="AD292" i="30"/>
  <c r="AC292" i="30"/>
  <c r="AA292" i="30"/>
  <c r="Z292" i="30"/>
  <c r="Y292" i="30"/>
  <c r="X292" i="30"/>
  <c r="Q292" i="30"/>
  <c r="R296" i="30" s="1"/>
  <c r="P292" i="30"/>
  <c r="AK291" i="30"/>
  <c r="AL291" i="30" s="1"/>
  <c r="AJ291" i="30"/>
  <c r="T291" i="30" s="1"/>
  <c r="V291" i="30" s="1"/>
  <c r="AK290" i="30"/>
  <c r="AL290" i="30" s="1"/>
  <c r="AJ290" i="30"/>
  <c r="T290" i="30" s="1"/>
  <c r="V290" i="30" s="1"/>
  <c r="AK289" i="30"/>
  <c r="AL289" i="30" s="1"/>
  <c r="AJ289" i="30"/>
  <c r="T289" i="30" s="1"/>
  <c r="V289" i="30" s="1"/>
  <c r="AK288" i="30"/>
  <c r="AL288" i="30" s="1"/>
  <c r="AJ288" i="30"/>
  <c r="T288" i="30" s="1"/>
  <c r="V288" i="30" s="1"/>
  <c r="AK287" i="30"/>
  <c r="AL287" i="30" s="1"/>
  <c r="AJ287" i="30"/>
  <c r="T287" i="30" s="1"/>
  <c r="V287" i="30" s="1"/>
  <c r="AK286" i="30"/>
  <c r="AL286" i="30" s="1"/>
  <c r="AJ286" i="30"/>
  <c r="T286" i="30" s="1"/>
  <c r="V286" i="30" s="1"/>
  <c r="AK285" i="30"/>
  <c r="AL285" i="30" s="1"/>
  <c r="AJ285" i="30"/>
  <c r="T285" i="30" s="1"/>
  <c r="V285" i="30" s="1"/>
  <c r="AK284" i="30"/>
  <c r="AL284" i="30" s="1"/>
  <c r="AJ284" i="30"/>
  <c r="T284" i="30" s="1"/>
  <c r="V284" i="30" s="1"/>
  <c r="AK283" i="30"/>
  <c r="AL283" i="30" s="1"/>
  <c r="AJ283" i="30"/>
  <c r="T283" i="30" s="1"/>
  <c r="V283" i="30" s="1"/>
  <c r="AI282" i="30"/>
  <c r="AH282" i="30"/>
  <c r="AF282" i="30"/>
  <c r="AE282" i="30"/>
  <c r="AD282" i="30"/>
  <c r="AC282" i="30"/>
  <c r="AA282" i="30"/>
  <c r="Z282" i="30"/>
  <c r="Y282" i="30"/>
  <c r="X282" i="30"/>
  <c r="Q282" i="30"/>
  <c r="P282" i="30"/>
  <c r="AK281" i="30"/>
  <c r="AL281" i="30" s="1"/>
  <c r="AJ281" i="30"/>
  <c r="T281" i="30" s="1"/>
  <c r="V281" i="30" s="1"/>
  <c r="AK280" i="30"/>
  <c r="AL280" i="30" s="1"/>
  <c r="AJ280" i="30"/>
  <c r="T280" i="30" s="1"/>
  <c r="V280" i="30" s="1"/>
  <c r="AK279" i="30"/>
  <c r="AL279" i="30" s="1"/>
  <c r="AJ279" i="30"/>
  <c r="T279" i="30" s="1"/>
  <c r="V279" i="30" s="1"/>
  <c r="AK278" i="30"/>
  <c r="AL278" i="30" s="1"/>
  <c r="AJ278" i="30"/>
  <c r="T278" i="30" s="1"/>
  <c r="V278" i="30" s="1"/>
  <c r="AK277" i="30"/>
  <c r="AL277" i="30" s="1"/>
  <c r="AJ277" i="30"/>
  <c r="T277" i="30" s="1"/>
  <c r="V277" i="30" s="1"/>
  <c r="AK276" i="30"/>
  <c r="AL276" i="30" s="1"/>
  <c r="AJ276" i="30"/>
  <c r="T276" i="30" s="1"/>
  <c r="V276" i="30" s="1"/>
  <c r="AK275" i="30"/>
  <c r="AL275" i="30" s="1"/>
  <c r="AJ275" i="30"/>
  <c r="T275" i="30" s="1"/>
  <c r="V275" i="30" s="1"/>
  <c r="AK274" i="30"/>
  <c r="AL274" i="30" s="1"/>
  <c r="AJ274" i="30"/>
  <c r="T274" i="30" s="1"/>
  <c r="V274" i="30" s="1"/>
  <c r="AK273" i="30"/>
  <c r="AL273" i="30" s="1"/>
  <c r="AJ273" i="30"/>
  <c r="T273" i="30" s="1"/>
  <c r="V273" i="30" s="1"/>
  <c r="AK272" i="30"/>
  <c r="AL272" i="30" s="1"/>
  <c r="AJ272" i="30"/>
  <c r="T272" i="30" s="1"/>
  <c r="V272" i="30" s="1"/>
  <c r="AK271" i="30"/>
  <c r="AL271" i="30" s="1"/>
  <c r="AJ271" i="30"/>
  <c r="T271" i="30" s="1"/>
  <c r="V271" i="30" s="1"/>
  <c r="AI270" i="30"/>
  <c r="AH270" i="30"/>
  <c r="AG270" i="30"/>
  <c r="AF270" i="30"/>
  <c r="AE270" i="30"/>
  <c r="AD270" i="30"/>
  <c r="AC270" i="30"/>
  <c r="AA270" i="30"/>
  <c r="Z270" i="30"/>
  <c r="Y270" i="30"/>
  <c r="X270" i="30"/>
  <c r="Q270" i="30"/>
  <c r="R279" i="30" s="1"/>
  <c r="P270" i="30"/>
  <c r="AK269" i="30"/>
  <c r="AL269" i="30" s="1"/>
  <c r="AJ269" i="30"/>
  <c r="T269" i="30" s="1"/>
  <c r="V269" i="30" s="1"/>
  <c r="AK268" i="30"/>
  <c r="AL268" i="30" s="1"/>
  <c r="AJ268" i="30"/>
  <c r="T268" i="30" s="1"/>
  <c r="V268" i="30" s="1"/>
  <c r="AK267" i="30"/>
  <c r="AL267" i="30" s="1"/>
  <c r="AJ267" i="30"/>
  <c r="T267" i="30" s="1"/>
  <c r="V267" i="30" s="1"/>
  <c r="AK266" i="30"/>
  <c r="AL266" i="30" s="1"/>
  <c r="AJ266" i="30"/>
  <c r="T266" i="30" s="1"/>
  <c r="V266" i="30" s="1"/>
  <c r="AK265" i="30"/>
  <c r="AL265" i="30" s="1"/>
  <c r="AJ265" i="30"/>
  <c r="T265" i="30" s="1"/>
  <c r="V265" i="30" s="1"/>
  <c r="AK264" i="30"/>
  <c r="AL264" i="30" s="1"/>
  <c r="AJ264" i="30"/>
  <c r="T264" i="30" s="1"/>
  <c r="V264" i="30" s="1"/>
  <c r="AK263" i="30"/>
  <c r="AL263" i="30" s="1"/>
  <c r="AJ263" i="30"/>
  <c r="T263" i="30" s="1"/>
  <c r="V263" i="30" s="1"/>
  <c r="AK262" i="30"/>
  <c r="AL262" i="30" s="1"/>
  <c r="AJ262" i="30"/>
  <c r="T262" i="30" s="1"/>
  <c r="V262" i="30" s="1"/>
  <c r="AK261" i="30"/>
  <c r="AL261" i="30" s="1"/>
  <c r="AJ261" i="30"/>
  <c r="T261" i="30" s="1"/>
  <c r="V261" i="30" s="1"/>
  <c r="AK260" i="30"/>
  <c r="AL260" i="30" s="1"/>
  <c r="AJ260" i="30"/>
  <c r="T260" i="30" s="1"/>
  <c r="V260" i="30" s="1"/>
  <c r="AI259" i="30"/>
  <c r="AH259" i="30"/>
  <c r="AG259" i="30"/>
  <c r="AF259" i="30"/>
  <c r="AE259" i="30"/>
  <c r="AD259" i="30"/>
  <c r="AC259" i="30"/>
  <c r="AA259" i="30"/>
  <c r="Z259" i="30"/>
  <c r="Y259" i="30"/>
  <c r="X259" i="30"/>
  <c r="Q259" i="30"/>
  <c r="R264" i="30" s="1"/>
  <c r="AK258" i="30"/>
  <c r="AL258" i="30" s="1"/>
  <c r="AJ258" i="30"/>
  <c r="T258" i="30" s="1"/>
  <c r="V258" i="30" s="1"/>
  <c r="AK257" i="30"/>
  <c r="AL257" i="30" s="1"/>
  <c r="AJ257" i="30"/>
  <c r="T257" i="30" s="1"/>
  <c r="V257" i="30" s="1"/>
  <c r="AK256" i="30"/>
  <c r="AL256" i="30" s="1"/>
  <c r="AJ256" i="30"/>
  <c r="T256" i="30" s="1"/>
  <c r="V256" i="30" s="1"/>
  <c r="AK255" i="30"/>
  <c r="AL255" i="30" s="1"/>
  <c r="AJ255" i="30"/>
  <c r="T255" i="30" s="1"/>
  <c r="V255" i="30" s="1"/>
  <c r="AK254" i="30"/>
  <c r="AL254" i="30" s="1"/>
  <c r="AJ254" i="30"/>
  <c r="T254" i="30" s="1"/>
  <c r="V254" i="30" s="1"/>
  <c r="AK253" i="30"/>
  <c r="AL253" i="30" s="1"/>
  <c r="AJ253" i="30"/>
  <c r="T253" i="30" s="1"/>
  <c r="V253" i="30" s="1"/>
  <c r="AK252" i="30"/>
  <c r="AL252" i="30" s="1"/>
  <c r="AJ252" i="30"/>
  <c r="T252" i="30" s="1"/>
  <c r="V252" i="30" s="1"/>
  <c r="AK251" i="30"/>
  <c r="AL251" i="30" s="1"/>
  <c r="AJ251" i="30"/>
  <c r="T251" i="30" s="1"/>
  <c r="V251" i="30" s="1"/>
  <c r="AK250" i="30"/>
  <c r="AL250" i="30" s="1"/>
  <c r="AJ250" i="30"/>
  <c r="T250" i="30" s="1"/>
  <c r="V250" i="30" s="1"/>
  <c r="AK249" i="30"/>
  <c r="AL249" i="30" s="1"/>
  <c r="AJ249" i="30"/>
  <c r="T249" i="30" s="1"/>
  <c r="V249" i="30" s="1"/>
  <c r="AK248" i="30"/>
  <c r="AL248" i="30" s="1"/>
  <c r="AJ248" i="30"/>
  <c r="T248" i="30" s="1"/>
  <c r="V248" i="30" s="1"/>
  <c r="AK247" i="30"/>
  <c r="AL247" i="30" s="1"/>
  <c r="AJ247" i="30"/>
  <c r="T247" i="30" s="1"/>
  <c r="V247" i="30" s="1"/>
  <c r="AK246" i="30"/>
  <c r="AL246" i="30" s="1"/>
  <c r="AJ246" i="30"/>
  <c r="T246" i="30" s="1"/>
  <c r="V246" i="30" s="1"/>
  <c r="AK245" i="30"/>
  <c r="AL245" i="30" s="1"/>
  <c r="AJ245" i="30"/>
  <c r="T245" i="30" s="1"/>
  <c r="V245" i="30" s="1"/>
  <c r="AI244" i="30"/>
  <c r="AH244" i="30"/>
  <c r="AG244" i="30"/>
  <c r="AG243" i="30" s="1"/>
  <c r="AF244" i="30"/>
  <c r="AF243" i="30" s="1"/>
  <c r="AE244" i="30"/>
  <c r="AE243" i="30" s="1"/>
  <c r="AD244" i="30"/>
  <c r="AC244" i="30"/>
  <c r="AA244" i="30"/>
  <c r="AA243" i="30" s="1"/>
  <c r="Z244" i="30"/>
  <c r="Z243" i="30" s="1"/>
  <c r="Y244" i="30"/>
  <c r="Y243" i="30" s="1"/>
  <c r="X244" i="30"/>
  <c r="X243" i="30" s="1"/>
  <c r="Q244" i="30"/>
  <c r="P244" i="30"/>
  <c r="AD243" i="30"/>
  <c r="AC243" i="30"/>
  <c r="AB243" i="30"/>
  <c r="S243" i="30"/>
  <c r="O243" i="30"/>
  <c r="AK242" i="30"/>
  <c r="AL242" i="30" s="1"/>
  <c r="AJ242" i="30"/>
  <c r="T242" i="30" s="1"/>
  <c r="V242" i="30" s="1"/>
  <c r="AK241" i="30"/>
  <c r="AL241" i="30" s="1"/>
  <c r="AJ241" i="30"/>
  <c r="T241" i="30" s="1"/>
  <c r="V241" i="30" s="1"/>
  <c r="AK240" i="30"/>
  <c r="AL240" i="30" s="1"/>
  <c r="AJ240" i="30"/>
  <c r="T240" i="30" s="1"/>
  <c r="V240" i="30" s="1"/>
  <c r="AK239" i="30"/>
  <c r="AL239" i="30" s="1"/>
  <c r="AJ239" i="30"/>
  <c r="T239" i="30" s="1"/>
  <c r="V239" i="30" s="1"/>
  <c r="AK238" i="30"/>
  <c r="AL238" i="30" s="1"/>
  <c r="AJ238" i="30"/>
  <c r="T238" i="30" s="1"/>
  <c r="V238" i="30" s="1"/>
  <c r="AK237" i="30"/>
  <c r="AL237" i="30" s="1"/>
  <c r="AJ237" i="30"/>
  <c r="T237" i="30" s="1"/>
  <c r="V237" i="30" s="1"/>
  <c r="AI236" i="30"/>
  <c r="AH236" i="30"/>
  <c r="AG236" i="30"/>
  <c r="AF236" i="30"/>
  <c r="AE236" i="30"/>
  <c r="AD236" i="30"/>
  <c r="AC236" i="30"/>
  <c r="AA236" i="30"/>
  <c r="Z236" i="30"/>
  <c r="Y236" i="30"/>
  <c r="X236" i="30"/>
  <c r="Q236" i="30"/>
  <c r="P236" i="30"/>
  <c r="AK235" i="30"/>
  <c r="AL235" i="30" s="1"/>
  <c r="AJ235" i="30"/>
  <c r="T235" i="30" s="1"/>
  <c r="V235" i="30" s="1"/>
  <c r="AK234" i="30"/>
  <c r="AL234" i="30" s="1"/>
  <c r="AJ234" i="30"/>
  <c r="T234" i="30" s="1"/>
  <c r="V234" i="30" s="1"/>
  <c r="AK233" i="30"/>
  <c r="AL233" i="30" s="1"/>
  <c r="AJ233" i="30"/>
  <c r="T233" i="30" s="1"/>
  <c r="V233" i="30" s="1"/>
  <c r="AK232" i="30"/>
  <c r="AL232" i="30" s="1"/>
  <c r="AJ232" i="30"/>
  <c r="T232" i="30" s="1"/>
  <c r="V232" i="30" s="1"/>
  <c r="AK231" i="30"/>
  <c r="AL231" i="30" s="1"/>
  <c r="AJ231" i="30"/>
  <c r="T231" i="30" s="1"/>
  <c r="V231" i="30" s="1"/>
  <c r="AK230" i="30"/>
  <c r="AL230" i="30" s="1"/>
  <c r="AJ230" i="30"/>
  <c r="T230" i="30" s="1"/>
  <c r="V230" i="30" s="1"/>
  <c r="AK229" i="30"/>
  <c r="AL229" i="30" s="1"/>
  <c r="AJ229" i="30"/>
  <c r="T229" i="30" s="1"/>
  <c r="V229" i="30" s="1"/>
  <c r="AK228" i="30"/>
  <c r="AL228" i="30" s="1"/>
  <c r="AJ228" i="30"/>
  <c r="T228" i="30" s="1"/>
  <c r="V228" i="30" s="1"/>
  <c r="AK227" i="30"/>
  <c r="AL227" i="30" s="1"/>
  <c r="AJ227" i="30"/>
  <c r="T227" i="30" s="1"/>
  <c r="V227" i="30" s="1"/>
  <c r="AK226" i="30"/>
  <c r="AL226" i="30" s="1"/>
  <c r="AJ226" i="30"/>
  <c r="T226" i="30" s="1"/>
  <c r="V226" i="30" s="1"/>
  <c r="AI225" i="30"/>
  <c r="AH225" i="30"/>
  <c r="AG225" i="30"/>
  <c r="AF225" i="30"/>
  <c r="AE225" i="30"/>
  <c r="AD225" i="30"/>
  <c r="AC225" i="30"/>
  <c r="AA225" i="30"/>
  <c r="Z225" i="30"/>
  <c r="Y225" i="30"/>
  <c r="X225" i="30"/>
  <c r="Q225" i="30"/>
  <c r="R241" i="30" s="1"/>
  <c r="P225" i="30"/>
  <c r="A225" i="30"/>
  <c r="A236" i="30" s="1"/>
  <c r="A244" i="30" s="1"/>
  <c r="A259" i="30" s="1"/>
  <c r="AK224" i="30"/>
  <c r="AL224" i="30" s="1"/>
  <c r="AJ224" i="30"/>
  <c r="T224" i="30" s="1"/>
  <c r="V224" i="30" s="1"/>
  <c r="AK223" i="30"/>
  <c r="AL223" i="30" s="1"/>
  <c r="AJ223" i="30"/>
  <c r="T223" i="30" s="1"/>
  <c r="V223" i="30" s="1"/>
  <c r="AK222" i="30"/>
  <c r="AL222" i="30" s="1"/>
  <c r="AJ222" i="30"/>
  <c r="T222" i="30" s="1"/>
  <c r="V222" i="30" s="1"/>
  <c r="AK221" i="30"/>
  <c r="AL221" i="30" s="1"/>
  <c r="AJ221" i="30"/>
  <c r="T221" i="30" s="1"/>
  <c r="V221" i="30" s="1"/>
  <c r="AK220" i="30"/>
  <c r="AL220" i="30" s="1"/>
  <c r="AJ220" i="30"/>
  <c r="T220" i="30" s="1"/>
  <c r="V220" i="30" s="1"/>
  <c r="AK219" i="30"/>
  <c r="AL219" i="30" s="1"/>
  <c r="AJ219" i="30"/>
  <c r="T219" i="30" s="1"/>
  <c r="V219" i="30" s="1"/>
  <c r="AK218" i="30"/>
  <c r="AL218" i="30" s="1"/>
  <c r="AJ218" i="30"/>
  <c r="T218" i="30" s="1"/>
  <c r="V218" i="30" s="1"/>
  <c r="AI217" i="30"/>
  <c r="AH217" i="30"/>
  <c r="AG217" i="30"/>
  <c r="AF217" i="30"/>
  <c r="AE217" i="30"/>
  <c r="AD217" i="30"/>
  <c r="AC217" i="30"/>
  <c r="AA217" i="30"/>
  <c r="Z217" i="30"/>
  <c r="Y217" i="30"/>
  <c r="X217" i="30"/>
  <c r="Q217" i="30"/>
  <c r="R222" i="30" s="1"/>
  <c r="P217" i="30"/>
  <c r="AK216" i="30"/>
  <c r="AL216" i="30" s="1"/>
  <c r="AJ216" i="30"/>
  <c r="T216" i="30" s="1"/>
  <c r="V216" i="30" s="1"/>
  <c r="AK215" i="30"/>
  <c r="AL215" i="30" s="1"/>
  <c r="AJ215" i="30"/>
  <c r="T215" i="30" s="1"/>
  <c r="V215" i="30" s="1"/>
  <c r="AH215" i="30"/>
  <c r="AG215" i="30"/>
  <c r="AF215" i="30"/>
  <c r="AE215" i="30"/>
  <c r="AD215" i="30"/>
  <c r="AC215" i="30"/>
  <c r="AA215" i="30"/>
  <c r="Z215" i="30"/>
  <c r="Y215" i="30"/>
  <c r="X215" i="30"/>
  <c r="AK214" i="30"/>
  <c r="AL214" i="30" s="1"/>
  <c r="AJ214" i="30"/>
  <c r="T214" i="30" s="1"/>
  <c r="AH214" i="30"/>
  <c r="AG214" i="30"/>
  <c r="AF214" i="30"/>
  <c r="AE214" i="30"/>
  <c r="AD214" i="30"/>
  <c r="AC214" i="30"/>
  <c r="AA214" i="30"/>
  <c r="Z214" i="30"/>
  <c r="Y214" i="30"/>
  <c r="X214" i="30"/>
  <c r="AK213" i="30"/>
  <c r="AL213" i="30" s="1"/>
  <c r="AJ213" i="30"/>
  <c r="T213" i="30" s="1"/>
  <c r="AH213" i="30"/>
  <c r="AG213" i="30"/>
  <c r="AF213" i="30"/>
  <c r="AE213" i="30"/>
  <c r="AD213" i="30"/>
  <c r="AC213" i="30"/>
  <c r="AA213" i="30"/>
  <c r="Z213" i="30"/>
  <c r="Y213" i="30"/>
  <c r="X213" i="30"/>
  <c r="AK212" i="30"/>
  <c r="AL212" i="30" s="1"/>
  <c r="AJ212" i="30"/>
  <c r="T212" i="30" s="1"/>
  <c r="V212" i="30" s="1"/>
  <c r="AH212" i="30"/>
  <c r="AG212" i="30"/>
  <c r="AF212" i="30"/>
  <c r="AE212" i="30"/>
  <c r="AD212" i="30"/>
  <c r="AC212" i="30"/>
  <c r="AA212" i="30"/>
  <c r="Z212" i="30"/>
  <c r="Y212" i="30"/>
  <c r="X212" i="30"/>
  <c r="AI211" i="30"/>
  <c r="AH211" i="30"/>
  <c r="AG211" i="30"/>
  <c r="AF211" i="30"/>
  <c r="AE211" i="30"/>
  <c r="AD211" i="30"/>
  <c r="AC211" i="30"/>
  <c r="AA211" i="30"/>
  <c r="Z211" i="30"/>
  <c r="Y211" i="30"/>
  <c r="X211" i="30"/>
  <c r="Q211" i="30"/>
  <c r="R212" i="30" s="1"/>
  <c r="P211" i="30"/>
  <c r="AK210" i="30"/>
  <c r="AL210" i="30" s="1"/>
  <c r="AJ210" i="30"/>
  <c r="T210" i="30" s="1"/>
  <c r="V210" i="30" s="1"/>
  <c r="AH210" i="30"/>
  <c r="AG210" i="30"/>
  <c r="AF210" i="30"/>
  <c r="AE210" i="30"/>
  <c r="AD210" i="30"/>
  <c r="AC210" i="30"/>
  <c r="AA210" i="30"/>
  <c r="Z210" i="30"/>
  <c r="Y210" i="30"/>
  <c r="X210" i="30"/>
  <c r="AK209" i="30"/>
  <c r="AL209" i="30" s="1"/>
  <c r="AJ209" i="30"/>
  <c r="T209" i="30" s="1"/>
  <c r="AH209" i="30"/>
  <c r="AG209" i="30"/>
  <c r="AF209" i="30"/>
  <c r="AE209" i="30"/>
  <c r="AD209" i="30"/>
  <c r="AC209" i="30"/>
  <c r="AA209" i="30"/>
  <c r="Z209" i="30"/>
  <c r="Y209" i="30"/>
  <c r="X209" i="30"/>
  <c r="AK208" i="30"/>
  <c r="AL208" i="30" s="1"/>
  <c r="AJ208" i="30"/>
  <c r="T208" i="30" s="1"/>
  <c r="V208" i="30" s="1"/>
  <c r="AH208" i="30"/>
  <c r="AG208" i="30"/>
  <c r="AF208" i="30"/>
  <c r="AE208" i="30"/>
  <c r="AD208" i="30"/>
  <c r="AC208" i="30"/>
  <c r="AA208" i="30"/>
  <c r="Z208" i="30"/>
  <c r="Y208" i="30"/>
  <c r="X208" i="30"/>
  <c r="AK207" i="30"/>
  <c r="AL207" i="30" s="1"/>
  <c r="AJ207" i="30"/>
  <c r="T207" i="30" s="1"/>
  <c r="V207" i="30" s="1"/>
  <c r="AH207" i="30"/>
  <c r="AG207" i="30"/>
  <c r="AF207" i="30"/>
  <c r="AE207" i="30"/>
  <c r="AD207" i="30"/>
  <c r="AC207" i="30"/>
  <c r="AA207" i="30"/>
  <c r="Z207" i="30"/>
  <c r="Y207" i="30"/>
  <c r="X207" i="30"/>
  <c r="AK206" i="30"/>
  <c r="AL206" i="30" s="1"/>
  <c r="AJ206" i="30"/>
  <c r="T206" i="30" s="1"/>
  <c r="V206" i="30" s="1"/>
  <c r="AH206" i="30"/>
  <c r="AG206" i="30"/>
  <c r="AF206" i="30"/>
  <c r="AE206" i="30"/>
  <c r="AD206" i="30"/>
  <c r="AC206" i="30"/>
  <c r="AA206" i="30"/>
  <c r="Z206" i="30"/>
  <c r="Y206" i="30"/>
  <c r="X206" i="30"/>
  <c r="AK205" i="30"/>
  <c r="AL205" i="30" s="1"/>
  <c r="AJ205" i="30"/>
  <c r="T205" i="30" s="1"/>
  <c r="V205" i="30" s="1"/>
  <c r="AH205" i="30"/>
  <c r="AG205" i="30"/>
  <c r="AF205" i="30"/>
  <c r="AE205" i="30"/>
  <c r="AD205" i="30"/>
  <c r="AC205" i="30"/>
  <c r="AA205" i="30"/>
  <c r="Z205" i="30"/>
  <c r="Y205" i="30"/>
  <c r="X205" i="30"/>
  <c r="AI204" i="30"/>
  <c r="AH204" i="30"/>
  <c r="AG204" i="30"/>
  <c r="AF204" i="30"/>
  <c r="AE204" i="30"/>
  <c r="AD204" i="30"/>
  <c r="AC204" i="30"/>
  <c r="AA204" i="30"/>
  <c r="Z204" i="30"/>
  <c r="Y204" i="30"/>
  <c r="X204" i="30"/>
  <c r="Q204" i="30"/>
  <c r="R205" i="30" s="1"/>
  <c r="P204" i="30"/>
  <c r="A204" i="30"/>
  <c r="A211" i="30" s="1"/>
  <c r="AK203" i="30"/>
  <c r="AL203" i="30" s="1"/>
  <c r="AJ203" i="30"/>
  <c r="T203" i="30" s="1"/>
  <c r="V203" i="30" s="1"/>
  <c r="AK202" i="30"/>
  <c r="AL202" i="30" s="1"/>
  <c r="AJ202" i="30"/>
  <c r="T202" i="30" s="1"/>
  <c r="V202" i="30" s="1"/>
  <c r="AK201" i="30"/>
  <c r="AL201" i="30" s="1"/>
  <c r="AJ201" i="30"/>
  <c r="T201" i="30" s="1"/>
  <c r="V201" i="30" s="1"/>
  <c r="AK200" i="30"/>
  <c r="AL200" i="30" s="1"/>
  <c r="AJ200" i="30"/>
  <c r="T200" i="30" s="1"/>
  <c r="V200" i="30" s="1"/>
  <c r="AK199" i="30"/>
  <c r="AL199" i="30" s="1"/>
  <c r="AJ199" i="30"/>
  <c r="T199" i="30" s="1"/>
  <c r="V199" i="30" s="1"/>
  <c r="AK198" i="30"/>
  <c r="AL198" i="30" s="1"/>
  <c r="AJ198" i="30"/>
  <c r="T198" i="30" s="1"/>
  <c r="V198" i="30" s="1"/>
  <c r="AK197" i="30"/>
  <c r="AL197" i="30" s="1"/>
  <c r="AJ197" i="30"/>
  <c r="T197" i="30" s="1"/>
  <c r="V197" i="30" s="1"/>
  <c r="AI196" i="30"/>
  <c r="AH196" i="30"/>
  <c r="AG196" i="30"/>
  <c r="AF196" i="30"/>
  <c r="AE196" i="30"/>
  <c r="AD196" i="30"/>
  <c r="AC196" i="30"/>
  <c r="AA196" i="30"/>
  <c r="Z196" i="30"/>
  <c r="Y196" i="30"/>
  <c r="X196" i="30"/>
  <c r="Q196" i="30"/>
  <c r="R200" i="30" s="1"/>
  <c r="P196" i="30"/>
  <c r="AK195" i="30"/>
  <c r="AL195" i="30" s="1"/>
  <c r="AJ195" i="30"/>
  <c r="T195" i="30" s="1"/>
  <c r="V195" i="30" s="1"/>
  <c r="AK194" i="30"/>
  <c r="AL194" i="30" s="1"/>
  <c r="AJ194" i="30"/>
  <c r="T194" i="30" s="1"/>
  <c r="V194" i="30" s="1"/>
  <c r="AK193" i="30"/>
  <c r="AL193" i="30" s="1"/>
  <c r="AJ193" i="30"/>
  <c r="T193" i="30" s="1"/>
  <c r="V193" i="30" s="1"/>
  <c r="AK192" i="30"/>
  <c r="AL192" i="30" s="1"/>
  <c r="AJ192" i="30"/>
  <c r="T192" i="30" s="1"/>
  <c r="V192" i="30" s="1"/>
  <c r="AK191" i="30"/>
  <c r="AL191" i="30" s="1"/>
  <c r="AJ191" i="30"/>
  <c r="T191" i="30" s="1"/>
  <c r="V191" i="30" s="1"/>
  <c r="AK190" i="30"/>
  <c r="AL190" i="30" s="1"/>
  <c r="AJ190" i="30"/>
  <c r="T190" i="30" s="1"/>
  <c r="V190" i="30" s="1"/>
  <c r="AK189" i="30"/>
  <c r="AL189" i="30" s="1"/>
  <c r="AJ189" i="30"/>
  <c r="T189" i="30" s="1"/>
  <c r="V189" i="30" s="1"/>
  <c r="AI188" i="30"/>
  <c r="AH188" i="30"/>
  <c r="AG188" i="30"/>
  <c r="AF188" i="30"/>
  <c r="AE188" i="30"/>
  <c r="AD188" i="30"/>
  <c r="AC188" i="30"/>
  <c r="AA188" i="30"/>
  <c r="Z188" i="30"/>
  <c r="Y188" i="30"/>
  <c r="X188" i="30"/>
  <c r="Q188" i="30"/>
  <c r="R195" i="30" s="1"/>
  <c r="P188" i="30"/>
  <c r="AK187" i="30"/>
  <c r="AL187" i="30" s="1"/>
  <c r="AJ187" i="30"/>
  <c r="T186" i="30" s="1"/>
  <c r="V186" i="30" s="1"/>
  <c r="AK186" i="30"/>
  <c r="AL186" i="30" s="1"/>
  <c r="AJ186" i="30"/>
  <c r="AK185" i="30"/>
  <c r="AL185" i="30" s="1"/>
  <c r="AJ185" i="30"/>
  <c r="T185" i="30" s="1"/>
  <c r="V185" i="30" s="1"/>
  <c r="AK184" i="30"/>
  <c r="AL184" i="30" s="1"/>
  <c r="AJ184" i="30"/>
  <c r="T184" i="30" s="1"/>
  <c r="AK183" i="30"/>
  <c r="AL183" i="30" s="1"/>
  <c r="AJ183" i="30"/>
  <c r="T183" i="30" s="1"/>
  <c r="V183" i="30" s="1"/>
  <c r="AK182" i="30"/>
  <c r="AL182" i="30" s="1"/>
  <c r="AJ182" i="30"/>
  <c r="T182" i="30" s="1"/>
  <c r="V182" i="30" s="1"/>
  <c r="AK181" i="30"/>
  <c r="AL181" i="30" s="1"/>
  <c r="AJ181" i="30"/>
  <c r="T181" i="30" s="1"/>
  <c r="V181" i="30" s="1"/>
  <c r="AK180" i="30"/>
  <c r="AL180" i="30" s="1"/>
  <c r="AJ180" i="30"/>
  <c r="T180" i="30" s="1"/>
  <c r="V180" i="30" s="1"/>
  <c r="AK179" i="30"/>
  <c r="AJ179" i="30"/>
  <c r="T179" i="30" s="1"/>
  <c r="V179" i="30" s="1"/>
  <c r="AK178" i="30"/>
  <c r="AL178" i="30" s="1"/>
  <c r="AJ178" i="30"/>
  <c r="T178" i="30" s="1"/>
  <c r="V178" i="30" s="1"/>
  <c r="AR177" i="30"/>
  <c r="AK177" i="30"/>
  <c r="AL177" i="30" s="1"/>
  <c r="AJ177" i="30"/>
  <c r="T177" i="30" s="1"/>
  <c r="V177" i="30" s="1"/>
  <c r="AI176" i="30"/>
  <c r="AH176" i="30"/>
  <c r="AG176" i="30"/>
  <c r="AG175" i="30" s="1"/>
  <c r="AF176" i="30"/>
  <c r="AF175" i="30" s="1"/>
  <c r="AE176" i="30"/>
  <c r="AE175" i="30" s="1"/>
  <c r="AD176" i="30"/>
  <c r="AD175" i="30" s="1"/>
  <c r="AC176" i="30"/>
  <c r="AC175" i="30" s="1"/>
  <c r="AA176" i="30"/>
  <c r="AA175" i="30" s="1"/>
  <c r="Z176" i="30"/>
  <c r="Z175" i="30" s="1"/>
  <c r="Y176" i="30"/>
  <c r="Y175" i="30" s="1"/>
  <c r="X176" i="30"/>
  <c r="X175" i="30" s="1"/>
  <c r="Q176" i="30"/>
  <c r="R181" i="30" s="1"/>
  <c r="P176" i="30"/>
  <c r="AB175" i="30"/>
  <c r="W175" i="30"/>
  <c r="S175" i="30"/>
  <c r="O175" i="30"/>
  <c r="AK174" i="30"/>
  <c r="AL174" i="30" s="1"/>
  <c r="AJ174" i="30"/>
  <c r="T174" i="30" s="1"/>
  <c r="V174" i="30" s="1"/>
  <c r="AK173" i="30"/>
  <c r="AL173" i="30" s="1"/>
  <c r="AJ173" i="30"/>
  <c r="T173" i="30" s="1"/>
  <c r="AK172" i="30"/>
  <c r="AL172" i="30" s="1"/>
  <c r="AJ172" i="30"/>
  <c r="T172" i="30" s="1"/>
  <c r="V172" i="30" s="1"/>
  <c r="AK171" i="30"/>
  <c r="AL171" i="30" s="1"/>
  <c r="AJ171" i="30"/>
  <c r="T171" i="30" s="1"/>
  <c r="V171" i="30" s="1"/>
  <c r="AK170" i="30"/>
  <c r="AL170" i="30" s="1"/>
  <c r="AJ170" i="30"/>
  <c r="T170" i="30" s="1"/>
  <c r="V170" i="30" s="1"/>
  <c r="AK169" i="30"/>
  <c r="AL169" i="30" s="1"/>
  <c r="AJ169" i="30"/>
  <c r="T169" i="30" s="1"/>
  <c r="V169" i="30" s="1"/>
  <c r="AK168" i="30"/>
  <c r="AL168" i="30" s="1"/>
  <c r="AJ168" i="30"/>
  <c r="T168" i="30" s="1"/>
  <c r="AK167" i="30"/>
  <c r="AL167" i="30" s="1"/>
  <c r="AJ167" i="30"/>
  <c r="T167" i="30" s="1"/>
  <c r="V167" i="30" s="1"/>
  <c r="AI166" i="30"/>
  <c r="AH166" i="30"/>
  <c r="AG166" i="30"/>
  <c r="AF166" i="30"/>
  <c r="AE166" i="30"/>
  <c r="AD166" i="30"/>
  <c r="AC166" i="30"/>
  <c r="AA166" i="30"/>
  <c r="Z166" i="30"/>
  <c r="Y166" i="30"/>
  <c r="X166" i="30"/>
  <c r="Q166" i="30"/>
  <c r="R170" i="30" s="1"/>
  <c r="P166" i="30"/>
  <c r="AK165" i="30"/>
  <c r="AL165" i="30" s="1"/>
  <c r="AJ165" i="30"/>
  <c r="T165" i="30" s="1"/>
  <c r="V165" i="30" s="1"/>
  <c r="AI164" i="30"/>
  <c r="AH164" i="30"/>
  <c r="AG164" i="30"/>
  <c r="AG163" i="30" s="1"/>
  <c r="AF164" i="30"/>
  <c r="AF163" i="30" s="1"/>
  <c r="AE164" i="30"/>
  <c r="AE163" i="30" s="1"/>
  <c r="AD164" i="30"/>
  <c r="AD163" i="30" s="1"/>
  <c r="AC164" i="30"/>
  <c r="AC163" i="30" s="1"/>
  <c r="AA164" i="30"/>
  <c r="AA163" i="30" s="1"/>
  <c r="Z164" i="30"/>
  <c r="Z163" i="30" s="1"/>
  <c r="Y164" i="30"/>
  <c r="Y163" i="30" s="1"/>
  <c r="X164" i="30"/>
  <c r="Q164" i="30"/>
  <c r="R165" i="30" s="1"/>
  <c r="P164" i="30"/>
  <c r="AB163" i="30"/>
  <c r="X163" i="30"/>
  <c r="W163" i="30"/>
  <c r="O163" i="30"/>
  <c r="AK162" i="30"/>
  <c r="AL162" i="30" s="1"/>
  <c r="AJ162" i="30"/>
  <c r="T162" i="30" s="1"/>
  <c r="V162" i="30" s="1"/>
  <c r="AK161" i="30"/>
  <c r="AL161" i="30" s="1"/>
  <c r="AJ161" i="30"/>
  <c r="T161" i="30" s="1"/>
  <c r="V161" i="30" s="1"/>
  <c r="AI160" i="30"/>
  <c r="AH160" i="30"/>
  <c r="AG160" i="30"/>
  <c r="AG156" i="30" s="1"/>
  <c r="AF160" i="30"/>
  <c r="AF156" i="30" s="1"/>
  <c r="AE160" i="30"/>
  <c r="AE156" i="30" s="1"/>
  <c r="AD160" i="30"/>
  <c r="AD156" i="30" s="1"/>
  <c r="AC160" i="30"/>
  <c r="AC156" i="30" s="1"/>
  <c r="AA160" i="30"/>
  <c r="AA156" i="30" s="1"/>
  <c r="Z160" i="30"/>
  <c r="Z156" i="30" s="1"/>
  <c r="Y160" i="30"/>
  <c r="Y156" i="30" s="1"/>
  <c r="X160" i="30"/>
  <c r="X156" i="30" s="1"/>
  <c r="Q160" i="30"/>
  <c r="R161" i="30" s="1"/>
  <c r="U161" i="30" s="1"/>
  <c r="P160" i="30"/>
  <c r="P156" i="30" s="1"/>
  <c r="AK159" i="30"/>
  <c r="AL159" i="30" s="1"/>
  <c r="AJ159" i="30"/>
  <c r="T159" i="30" s="1"/>
  <c r="V159" i="30" s="1"/>
  <c r="AK158" i="30"/>
  <c r="AL158" i="30" s="1"/>
  <c r="AJ158" i="30"/>
  <c r="T158" i="30" s="1"/>
  <c r="V158" i="30" s="1"/>
  <c r="AI157" i="30"/>
  <c r="AH157" i="30"/>
  <c r="AG157" i="30"/>
  <c r="AF157" i="30"/>
  <c r="AE157" i="30"/>
  <c r="AD157" i="30"/>
  <c r="AC157" i="30"/>
  <c r="AA157" i="30"/>
  <c r="Z157" i="30"/>
  <c r="Y157" i="30"/>
  <c r="X157" i="30"/>
  <c r="Q157" i="30"/>
  <c r="AH156" i="30"/>
  <c r="AB156" i="30"/>
  <c r="W156" i="30"/>
  <c r="O156" i="30"/>
  <c r="AK155" i="30"/>
  <c r="AL155" i="30" s="1"/>
  <c r="AJ155" i="30"/>
  <c r="T155" i="30" s="1"/>
  <c r="V155" i="30" s="1"/>
  <c r="AH155" i="30"/>
  <c r="AF155" i="30"/>
  <c r="AE155" i="30"/>
  <c r="AD155" i="30"/>
  <c r="AC155" i="30"/>
  <c r="AA155" i="30"/>
  <c r="Z155" i="30"/>
  <c r="Y155" i="30"/>
  <c r="X155" i="30"/>
  <c r="AI154" i="30"/>
  <c r="AH154" i="30"/>
  <c r="AF154" i="30"/>
  <c r="AE154" i="30"/>
  <c r="AD154" i="30"/>
  <c r="AC154" i="30"/>
  <c r="AA154" i="30"/>
  <c r="Z154" i="30"/>
  <c r="Y154" i="30"/>
  <c r="X154" i="30"/>
  <c r="Q154" i="30"/>
  <c r="AK153" i="30"/>
  <c r="AL153" i="30" s="1"/>
  <c r="AJ153" i="30"/>
  <c r="T153" i="30" s="1"/>
  <c r="V153" i="30" s="1"/>
  <c r="AH153" i="30"/>
  <c r="AF153" i="30"/>
  <c r="AE153" i="30"/>
  <c r="AD153" i="30"/>
  <c r="AC153" i="30"/>
  <c r="AA153" i="30"/>
  <c r="Z153" i="30"/>
  <c r="Y153" i="30"/>
  <c r="X153" i="30"/>
  <c r="AI152" i="30"/>
  <c r="AH152" i="30"/>
  <c r="AF152" i="30"/>
  <c r="AE152" i="30"/>
  <c r="AD152" i="30"/>
  <c r="AC152" i="30"/>
  <c r="AA152" i="30"/>
  <c r="Z152" i="30"/>
  <c r="Y152" i="30"/>
  <c r="X152" i="30"/>
  <c r="Q152" i="30"/>
  <c r="AK151" i="30"/>
  <c r="AL151" i="30" s="1"/>
  <c r="AJ151" i="30"/>
  <c r="T151" i="30" s="1"/>
  <c r="V151" i="30" s="1"/>
  <c r="AH151" i="30"/>
  <c r="AF151" i="30"/>
  <c r="AE151" i="30"/>
  <c r="AD151" i="30"/>
  <c r="AC151" i="30"/>
  <c r="AA151" i="30"/>
  <c r="Z151" i="30"/>
  <c r="Y151" i="30"/>
  <c r="X151" i="30"/>
  <c r="AI150" i="30"/>
  <c r="AH150" i="30"/>
  <c r="AF150" i="30"/>
  <c r="AE150" i="30"/>
  <c r="AD150" i="30"/>
  <c r="AC150" i="30"/>
  <c r="AA150" i="30"/>
  <c r="Z150" i="30"/>
  <c r="Y150" i="30"/>
  <c r="X150" i="30"/>
  <c r="Q150" i="30"/>
  <c r="P150" i="30"/>
  <c r="AK149" i="30"/>
  <c r="AL149" i="30" s="1"/>
  <c r="AJ149" i="30"/>
  <c r="T149" i="30" s="1"/>
  <c r="V149" i="30" s="1"/>
  <c r="AK148" i="30"/>
  <c r="AL148" i="30" s="1"/>
  <c r="AJ148" i="30"/>
  <c r="T148" i="30" s="1"/>
  <c r="V148" i="30" s="1"/>
  <c r="AH148" i="30"/>
  <c r="AG148" i="30"/>
  <c r="AF148" i="30"/>
  <c r="AE148" i="30"/>
  <c r="AD148" i="30"/>
  <c r="AC148" i="30"/>
  <c r="AA148" i="30"/>
  <c r="Z148" i="30"/>
  <c r="Y148" i="30"/>
  <c r="X148" i="30"/>
  <c r="AK147" i="30"/>
  <c r="AL147" i="30" s="1"/>
  <c r="AJ147" i="30"/>
  <c r="T147" i="30" s="1"/>
  <c r="V147" i="30" s="1"/>
  <c r="AH147" i="30"/>
  <c r="AG147" i="30"/>
  <c r="AF147" i="30"/>
  <c r="AE147" i="30"/>
  <c r="AD147" i="30"/>
  <c r="AC147" i="30"/>
  <c r="AA147" i="30"/>
  <c r="Z147" i="30"/>
  <c r="Y147" i="30"/>
  <c r="X147" i="30"/>
  <c r="AK146" i="30"/>
  <c r="AL146" i="30" s="1"/>
  <c r="AJ146" i="30"/>
  <c r="T146" i="30" s="1"/>
  <c r="V146" i="30" s="1"/>
  <c r="AH146" i="30"/>
  <c r="AG146" i="30"/>
  <c r="AF146" i="30"/>
  <c r="AE146" i="30"/>
  <c r="AD146" i="30"/>
  <c r="AC146" i="30"/>
  <c r="AA146" i="30"/>
  <c r="Z146" i="30"/>
  <c r="Y146" i="30"/>
  <c r="X146" i="30"/>
  <c r="AK145" i="30"/>
  <c r="AL145" i="30" s="1"/>
  <c r="AJ145" i="30"/>
  <c r="T145" i="30" s="1"/>
  <c r="V145" i="30" s="1"/>
  <c r="AH145" i="30"/>
  <c r="AG145" i="30"/>
  <c r="AF145" i="30"/>
  <c r="AE145" i="30"/>
  <c r="AD145" i="30"/>
  <c r="AC145" i="30"/>
  <c r="AA145" i="30"/>
  <c r="Z145" i="30"/>
  <c r="Y145" i="30"/>
  <c r="X145" i="30"/>
  <c r="AK144" i="30"/>
  <c r="AL144" i="30" s="1"/>
  <c r="AJ144" i="30"/>
  <c r="T144" i="30" s="1"/>
  <c r="AH144" i="30"/>
  <c r="AG144" i="30"/>
  <c r="AF144" i="30"/>
  <c r="AE144" i="30"/>
  <c r="AD144" i="30"/>
  <c r="AC144" i="30"/>
  <c r="AA144" i="30"/>
  <c r="Z144" i="30"/>
  <c r="Y144" i="30"/>
  <c r="X144" i="30"/>
  <c r="AI143" i="30"/>
  <c r="AH143" i="30"/>
  <c r="AG143" i="30"/>
  <c r="AF143" i="30"/>
  <c r="AE143" i="30"/>
  <c r="AD143" i="30"/>
  <c r="AC143" i="30"/>
  <c r="AA143" i="30"/>
  <c r="Z143" i="30"/>
  <c r="Y143" i="30"/>
  <c r="X143" i="30"/>
  <c r="Q143" i="30"/>
  <c r="R148" i="30" s="1"/>
  <c r="P143" i="30"/>
  <c r="AK142" i="30"/>
  <c r="AL142" i="30" s="1"/>
  <c r="AJ142" i="30"/>
  <c r="T142" i="30" s="1"/>
  <c r="V142" i="30" s="1"/>
  <c r="AH142" i="30"/>
  <c r="AG142" i="30"/>
  <c r="AF142" i="30"/>
  <c r="AE142" i="30"/>
  <c r="AD142" i="30"/>
  <c r="AC142" i="30"/>
  <c r="AA142" i="30"/>
  <c r="Z142" i="30"/>
  <c r="Y142" i="30"/>
  <c r="X142" i="30"/>
  <c r="AK141" i="30"/>
  <c r="AL141" i="30" s="1"/>
  <c r="AJ141" i="30"/>
  <c r="T141" i="30" s="1"/>
  <c r="V141" i="30" s="1"/>
  <c r="AH141" i="30"/>
  <c r="AG141" i="30"/>
  <c r="AF141" i="30"/>
  <c r="AE141" i="30"/>
  <c r="AD141" i="30"/>
  <c r="AC141" i="30"/>
  <c r="AA141" i="30"/>
  <c r="Z141" i="30"/>
  <c r="Y141" i="30"/>
  <c r="X141" i="30"/>
  <c r="AK140" i="30"/>
  <c r="AL140" i="30" s="1"/>
  <c r="AJ140" i="30"/>
  <c r="T140" i="30" s="1"/>
  <c r="AH140" i="30"/>
  <c r="AG140" i="30"/>
  <c r="AF140" i="30"/>
  <c r="AE140" i="30"/>
  <c r="AD140" i="30"/>
  <c r="AC140" i="30"/>
  <c r="AA140" i="30"/>
  <c r="Z140" i="30"/>
  <c r="Y140" i="30"/>
  <c r="X140" i="30"/>
  <c r="AI139" i="30"/>
  <c r="AH139" i="30"/>
  <c r="AG139" i="30"/>
  <c r="AF139" i="30"/>
  <c r="AE139" i="30"/>
  <c r="AD139" i="30"/>
  <c r="AC139" i="30"/>
  <c r="AA139" i="30"/>
  <c r="Z139" i="30"/>
  <c r="Y139" i="30"/>
  <c r="X139" i="30"/>
  <c r="Q139" i="30"/>
  <c r="R141" i="30" s="1"/>
  <c r="P139" i="30"/>
  <c r="AK138" i="30"/>
  <c r="AL138" i="30" s="1"/>
  <c r="AJ138" i="30"/>
  <c r="T138" i="30" s="1"/>
  <c r="V138" i="30" s="1"/>
  <c r="AH138" i="30"/>
  <c r="AG138" i="30"/>
  <c r="AK137" i="30"/>
  <c r="AL137" i="30" s="1"/>
  <c r="AJ137" i="30"/>
  <c r="T137" i="30" s="1"/>
  <c r="V137" i="30" s="1"/>
  <c r="AI136" i="30"/>
  <c r="AH136" i="30"/>
  <c r="AG136" i="30"/>
  <c r="Q136" i="30"/>
  <c r="AK135" i="30"/>
  <c r="AL135" i="30" s="1"/>
  <c r="AJ135" i="30"/>
  <c r="T135" i="30" s="1"/>
  <c r="V135" i="30" s="1"/>
  <c r="AI134" i="30"/>
  <c r="AH134" i="30"/>
  <c r="AG134" i="30"/>
  <c r="AF134" i="30"/>
  <c r="AE134" i="30"/>
  <c r="AD134" i="30"/>
  <c r="AC134" i="30"/>
  <c r="AA134" i="30"/>
  <c r="Z134" i="30"/>
  <c r="Y134" i="30"/>
  <c r="X134" i="30"/>
  <c r="Q134" i="30"/>
  <c r="P134" i="30"/>
  <c r="AK133" i="30"/>
  <c r="AL133" i="30" s="1"/>
  <c r="AJ133" i="30"/>
  <c r="T133" i="30" s="1"/>
  <c r="V133" i="30" s="1"/>
  <c r="AK132" i="30"/>
  <c r="AL132" i="30" s="1"/>
  <c r="AJ132" i="30"/>
  <c r="T132" i="30" s="1"/>
  <c r="V132" i="30" s="1"/>
  <c r="AK131" i="30"/>
  <c r="AL131" i="30" s="1"/>
  <c r="AJ131" i="30"/>
  <c r="T131" i="30" s="1"/>
  <c r="V131" i="30" s="1"/>
  <c r="AK130" i="30"/>
  <c r="AL130" i="30" s="1"/>
  <c r="AJ130" i="30"/>
  <c r="T130" i="30" s="1"/>
  <c r="V130" i="30" s="1"/>
  <c r="AK129" i="30"/>
  <c r="AL129" i="30" s="1"/>
  <c r="AJ129" i="30"/>
  <c r="T129" i="30" s="1"/>
  <c r="V129" i="30" s="1"/>
  <c r="AK128" i="30"/>
  <c r="AL128" i="30" s="1"/>
  <c r="AJ128" i="30"/>
  <c r="T128" i="30" s="1"/>
  <c r="V128" i="30" s="1"/>
  <c r="AK127" i="30"/>
  <c r="AL127" i="30" s="1"/>
  <c r="AJ127" i="30"/>
  <c r="T127" i="30" s="1"/>
  <c r="AH127" i="30"/>
  <c r="AG127" i="30"/>
  <c r="AF127" i="30"/>
  <c r="AE127" i="30"/>
  <c r="AD127" i="30"/>
  <c r="AC127" i="30"/>
  <c r="AA127" i="30"/>
  <c r="Z127" i="30"/>
  <c r="Y127" i="30"/>
  <c r="X127" i="30"/>
  <c r="AK126" i="30"/>
  <c r="AL126" i="30" s="1"/>
  <c r="AJ126" i="30"/>
  <c r="T126" i="30" s="1"/>
  <c r="V126" i="30" s="1"/>
  <c r="AH126" i="30"/>
  <c r="AG126" i="30"/>
  <c r="AF126" i="30"/>
  <c r="AE126" i="30"/>
  <c r="AD126" i="30"/>
  <c r="AC126" i="30"/>
  <c r="AA126" i="30"/>
  <c r="Z126" i="30"/>
  <c r="Y126" i="30"/>
  <c r="X126" i="30"/>
  <c r="AK125" i="30"/>
  <c r="AL125" i="30" s="1"/>
  <c r="AJ125" i="30"/>
  <c r="T125" i="30" s="1"/>
  <c r="V125" i="30" s="1"/>
  <c r="AH125" i="30"/>
  <c r="AG125" i="30"/>
  <c r="AF125" i="30"/>
  <c r="AE125" i="30"/>
  <c r="AD125" i="30"/>
  <c r="AC125" i="30"/>
  <c r="AA125" i="30"/>
  <c r="Z125" i="30"/>
  <c r="Y125" i="30"/>
  <c r="X125" i="30"/>
  <c r="AK124" i="30"/>
  <c r="AL124" i="30" s="1"/>
  <c r="AJ124" i="30"/>
  <c r="T124" i="30" s="1"/>
  <c r="V124" i="30" s="1"/>
  <c r="AH124" i="30"/>
  <c r="AG124" i="30"/>
  <c r="AF124" i="30"/>
  <c r="AE124" i="30"/>
  <c r="AD124" i="30"/>
  <c r="AC124" i="30"/>
  <c r="AA124" i="30"/>
  <c r="Z124" i="30"/>
  <c r="Y124" i="30"/>
  <c r="X124" i="30"/>
  <c r="AK123" i="30"/>
  <c r="AL123" i="30" s="1"/>
  <c r="AJ123" i="30"/>
  <c r="T123" i="30" s="1"/>
  <c r="V123" i="30" s="1"/>
  <c r="AH123" i="30"/>
  <c r="AG123" i="30"/>
  <c r="AF123" i="30"/>
  <c r="AE123" i="30"/>
  <c r="AD123" i="30"/>
  <c r="AC123" i="30"/>
  <c r="AA123" i="30"/>
  <c r="Z123" i="30"/>
  <c r="Y123" i="30"/>
  <c r="X123" i="30"/>
  <c r="AI122" i="30"/>
  <c r="AH122" i="30"/>
  <c r="AG122" i="30"/>
  <c r="AG119" i="30" s="1"/>
  <c r="AF122" i="30"/>
  <c r="AF119" i="30" s="1"/>
  <c r="AE122" i="30"/>
  <c r="AE119" i="30" s="1"/>
  <c r="AD122" i="30"/>
  <c r="AD119" i="30" s="1"/>
  <c r="AC122" i="30"/>
  <c r="AC119" i="30" s="1"/>
  <c r="AA122" i="30"/>
  <c r="AA119" i="30" s="1"/>
  <c r="Z122" i="30"/>
  <c r="Z119" i="30" s="1"/>
  <c r="Y122" i="30"/>
  <c r="Y119" i="30" s="1"/>
  <c r="X122" i="30"/>
  <c r="X119" i="30" s="1"/>
  <c r="Q122" i="30"/>
  <c r="R133" i="30" s="1"/>
  <c r="P122" i="30"/>
  <c r="AK121" i="30"/>
  <c r="AL121" i="30" s="1"/>
  <c r="AJ121" i="30"/>
  <c r="T121" i="30" s="1"/>
  <c r="V121" i="30" s="1"/>
  <c r="AH121" i="30"/>
  <c r="AG121" i="30"/>
  <c r="AF121" i="30"/>
  <c r="AE121" i="30"/>
  <c r="AD121" i="30"/>
  <c r="AC121" i="30"/>
  <c r="AA121" i="30"/>
  <c r="Z121" i="30"/>
  <c r="Y121" i="30"/>
  <c r="X121" i="30"/>
  <c r="AI120" i="30"/>
  <c r="AH120" i="30"/>
  <c r="AG120" i="30"/>
  <c r="AF120" i="30"/>
  <c r="AE120" i="30"/>
  <c r="AD120" i="30"/>
  <c r="AC120" i="30"/>
  <c r="AA120" i="30"/>
  <c r="Z120" i="30"/>
  <c r="Y120" i="30"/>
  <c r="X120" i="30"/>
  <c r="Q120" i="30"/>
  <c r="P120" i="30"/>
  <c r="AB119" i="30"/>
  <c r="W119" i="30"/>
  <c r="O119" i="30"/>
  <c r="AK118" i="30"/>
  <c r="AL118" i="30" s="1"/>
  <c r="AJ118" i="30"/>
  <c r="T118" i="30" s="1"/>
  <c r="V118" i="30" s="1"/>
  <c r="AK117" i="30"/>
  <c r="AL117" i="30" s="1"/>
  <c r="AJ117" i="30"/>
  <c r="T117" i="30" s="1"/>
  <c r="V117" i="30" s="1"/>
  <c r="AK116" i="30"/>
  <c r="AL116" i="30" s="1"/>
  <c r="AJ116" i="30"/>
  <c r="T116" i="30" s="1"/>
  <c r="V116" i="30" s="1"/>
  <c r="AK115" i="30"/>
  <c r="AL115" i="30" s="1"/>
  <c r="AJ115" i="30"/>
  <c r="T115" i="30" s="1"/>
  <c r="V115" i="30" s="1"/>
  <c r="AK114" i="30"/>
  <c r="AL114" i="30" s="1"/>
  <c r="AJ114" i="30"/>
  <c r="T114" i="30" s="1"/>
  <c r="V114" i="30" s="1"/>
  <c r="AK113" i="30"/>
  <c r="AL113" i="30" s="1"/>
  <c r="AJ113" i="30"/>
  <c r="T113" i="30" s="1"/>
  <c r="V113" i="30" s="1"/>
  <c r="AK112" i="30"/>
  <c r="AL112" i="30" s="1"/>
  <c r="AJ112" i="30"/>
  <c r="T112" i="30" s="1"/>
  <c r="V112" i="30" s="1"/>
  <c r="AK111" i="30"/>
  <c r="AL111" i="30" s="1"/>
  <c r="AJ111" i="30"/>
  <c r="T111" i="30" s="1"/>
  <c r="V111" i="30" s="1"/>
  <c r="AK110" i="30"/>
  <c r="AL110" i="30" s="1"/>
  <c r="AJ110" i="30"/>
  <c r="T110" i="30" s="1"/>
  <c r="V110" i="30" s="1"/>
  <c r="AK109" i="30"/>
  <c r="AL109" i="30" s="1"/>
  <c r="AJ109" i="30"/>
  <c r="T109" i="30" s="1"/>
  <c r="V109" i="30" s="1"/>
  <c r="AK108" i="30"/>
  <c r="AL108" i="30" s="1"/>
  <c r="AJ108" i="30"/>
  <c r="T108" i="30" s="1"/>
  <c r="V108" i="30" s="1"/>
  <c r="AK107" i="30"/>
  <c r="AL107" i="30" s="1"/>
  <c r="AJ107" i="30"/>
  <c r="T107" i="30" s="1"/>
  <c r="V107" i="30" s="1"/>
  <c r="AK106" i="30"/>
  <c r="AL106" i="30" s="1"/>
  <c r="AJ106" i="30"/>
  <c r="T106" i="30" s="1"/>
  <c r="V106" i="30" s="1"/>
  <c r="AI105" i="30"/>
  <c r="AH105" i="30"/>
  <c r="AG105" i="30"/>
  <c r="AF105" i="30"/>
  <c r="AE105" i="30"/>
  <c r="AD105" i="30"/>
  <c r="AC105" i="30"/>
  <c r="AA105" i="30"/>
  <c r="Z105" i="30"/>
  <c r="Y105" i="30"/>
  <c r="X105" i="30"/>
  <c r="Q105" i="30"/>
  <c r="P105" i="30"/>
  <c r="AK104" i="30"/>
  <c r="AL104" i="30" s="1"/>
  <c r="AJ104" i="30"/>
  <c r="T104" i="30" s="1"/>
  <c r="V104" i="30" s="1"/>
  <c r="AK103" i="30"/>
  <c r="AL103" i="30" s="1"/>
  <c r="AJ103" i="30"/>
  <c r="T103" i="30" s="1"/>
  <c r="V103" i="30" s="1"/>
  <c r="AK102" i="30"/>
  <c r="AL102" i="30" s="1"/>
  <c r="AJ102" i="30"/>
  <c r="T102" i="30" s="1"/>
  <c r="V102" i="30" s="1"/>
  <c r="AK101" i="30"/>
  <c r="AL101" i="30" s="1"/>
  <c r="AJ101" i="30"/>
  <c r="T101" i="30" s="1"/>
  <c r="V101" i="30" s="1"/>
  <c r="AK100" i="30"/>
  <c r="AL100" i="30" s="1"/>
  <c r="AJ100" i="30"/>
  <c r="T100" i="30" s="1"/>
  <c r="V100" i="30" s="1"/>
  <c r="AK99" i="30"/>
  <c r="AL99" i="30" s="1"/>
  <c r="AJ99" i="30"/>
  <c r="T99" i="30" s="1"/>
  <c r="V99" i="30" s="1"/>
  <c r="AK98" i="30"/>
  <c r="AL98" i="30" s="1"/>
  <c r="AJ98" i="30"/>
  <c r="T98" i="30" s="1"/>
  <c r="V98" i="30" s="1"/>
  <c r="AK97" i="30"/>
  <c r="AL97" i="30" s="1"/>
  <c r="AJ97" i="30"/>
  <c r="T97" i="30" s="1"/>
  <c r="V97" i="30" s="1"/>
  <c r="AK96" i="30"/>
  <c r="AL96" i="30" s="1"/>
  <c r="AJ96" i="30"/>
  <c r="T96" i="30" s="1"/>
  <c r="V96" i="30" s="1"/>
  <c r="AK95" i="30"/>
  <c r="AL95" i="30" s="1"/>
  <c r="AJ95" i="30"/>
  <c r="T95" i="30" s="1"/>
  <c r="V95" i="30" s="1"/>
  <c r="AK94" i="30"/>
  <c r="AL94" i="30" s="1"/>
  <c r="AJ94" i="30"/>
  <c r="T94" i="30" s="1"/>
  <c r="V94" i="30" s="1"/>
  <c r="AK93" i="30"/>
  <c r="AL93" i="30" s="1"/>
  <c r="AJ93" i="30"/>
  <c r="T93" i="30" s="1"/>
  <c r="V93" i="30" s="1"/>
  <c r="AK92" i="30"/>
  <c r="AL92" i="30" s="1"/>
  <c r="AJ92" i="30"/>
  <c r="T92" i="30" s="1"/>
  <c r="V92" i="30" s="1"/>
  <c r="AI91" i="30"/>
  <c r="AH91" i="30"/>
  <c r="AG91" i="30"/>
  <c r="AF91" i="30"/>
  <c r="AE91" i="30"/>
  <c r="AD91" i="30"/>
  <c r="AC91" i="30"/>
  <c r="AA91" i="30"/>
  <c r="Z91" i="30"/>
  <c r="Y91" i="30"/>
  <c r="X91" i="30"/>
  <c r="Q91" i="30"/>
  <c r="P91" i="30"/>
  <c r="AK90" i="30"/>
  <c r="AL90" i="30" s="1"/>
  <c r="AJ90" i="30"/>
  <c r="T90" i="30" s="1"/>
  <c r="V90" i="30" s="1"/>
  <c r="AI89" i="30"/>
  <c r="AH89" i="30"/>
  <c r="AG89" i="30"/>
  <c r="AF89" i="30"/>
  <c r="AE89" i="30"/>
  <c r="AD89" i="30"/>
  <c r="AC89" i="30"/>
  <c r="AA89" i="30"/>
  <c r="Z89" i="30"/>
  <c r="Y89" i="30"/>
  <c r="X89" i="30"/>
  <c r="Q89" i="30"/>
  <c r="R117" i="30" s="1"/>
  <c r="U117" i="30" s="1"/>
  <c r="P89" i="30"/>
  <c r="AK88" i="30"/>
  <c r="AL88" i="30" s="1"/>
  <c r="AJ88" i="30"/>
  <c r="T88" i="30" s="1"/>
  <c r="V88" i="30" s="1"/>
  <c r="AI87" i="30"/>
  <c r="AH87" i="30"/>
  <c r="AG87" i="30"/>
  <c r="AF87" i="30"/>
  <c r="AE87" i="30"/>
  <c r="AD87" i="30"/>
  <c r="AC87" i="30"/>
  <c r="AA87" i="30"/>
  <c r="Z87" i="30"/>
  <c r="Y87" i="30"/>
  <c r="X87" i="30"/>
  <c r="Q87" i="30"/>
  <c r="P87" i="30"/>
  <c r="AK86" i="30"/>
  <c r="AL86" i="30" s="1"/>
  <c r="AJ86" i="30"/>
  <c r="T86" i="30" s="1"/>
  <c r="V86" i="30" s="1"/>
  <c r="AK85" i="30"/>
  <c r="AL85" i="30" s="1"/>
  <c r="AJ85" i="30"/>
  <c r="T85" i="30" s="1"/>
  <c r="V85" i="30" s="1"/>
  <c r="AI84" i="30"/>
  <c r="AH84" i="30"/>
  <c r="AG84" i="30"/>
  <c r="AF84" i="30"/>
  <c r="AE84" i="30"/>
  <c r="AD84" i="30"/>
  <c r="AC84" i="30"/>
  <c r="AA84" i="30"/>
  <c r="Z84" i="30"/>
  <c r="Y84" i="30"/>
  <c r="X84" i="30"/>
  <c r="Q84" i="30"/>
  <c r="R85" i="30" s="1"/>
  <c r="P84" i="30"/>
  <c r="AK83" i="30"/>
  <c r="AL83" i="30" s="1"/>
  <c r="AJ83" i="30"/>
  <c r="T83" i="30" s="1"/>
  <c r="V83" i="30" s="1"/>
  <c r="AK82" i="30"/>
  <c r="AL82" i="30" s="1"/>
  <c r="AJ82" i="30"/>
  <c r="T82" i="30" s="1"/>
  <c r="V82" i="30" s="1"/>
  <c r="AI81" i="30"/>
  <c r="AH81" i="30"/>
  <c r="AG81" i="30"/>
  <c r="AF81" i="30"/>
  <c r="AE81" i="30"/>
  <c r="AD81" i="30"/>
  <c r="AC81" i="30"/>
  <c r="AA81" i="30"/>
  <c r="Z81" i="30"/>
  <c r="Y81" i="30"/>
  <c r="X81" i="30"/>
  <c r="Q81" i="30"/>
  <c r="P81" i="30"/>
  <c r="AK80" i="30"/>
  <c r="AL80" i="30" s="1"/>
  <c r="AJ80" i="30"/>
  <c r="T80" i="30" s="1"/>
  <c r="V80" i="30" s="1"/>
  <c r="AK79" i="30"/>
  <c r="AL79" i="30" s="1"/>
  <c r="AJ79" i="30"/>
  <c r="T79" i="30" s="1"/>
  <c r="V79" i="30" s="1"/>
  <c r="AI78" i="30"/>
  <c r="AH78" i="30"/>
  <c r="AF78" i="30"/>
  <c r="AE78" i="30"/>
  <c r="AD78" i="30"/>
  <c r="AC78" i="30"/>
  <c r="AA78" i="30"/>
  <c r="Z78" i="30"/>
  <c r="Y78" i="30"/>
  <c r="X78" i="30"/>
  <c r="Q78" i="30"/>
  <c r="R79" i="30" s="1"/>
  <c r="AK77" i="30"/>
  <c r="AL77" i="30" s="1"/>
  <c r="AJ77" i="30"/>
  <c r="T77" i="30" s="1"/>
  <c r="V77" i="30" s="1"/>
  <c r="AI76" i="30"/>
  <c r="AH76" i="30"/>
  <c r="AF76" i="30"/>
  <c r="AE76" i="30"/>
  <c r="AD76" i="30"/>
  <c r="AC76" i="30"/>
  <c r="AA76" i="30"/>
  <c r="Z76" i="30"/>
  <c r="Y76" i="30"/>
  <c r="X76" i="30"/>
  <c r="Q76" i="30"/>
  <c r="P76" i="30"/>
  <c r="AK75" i="30"/>
  <c r="AL75" i="30" s="1"/>
  <c r="AJ75" i="30"/>
  <c r="T75" i="30" s="1"/>
  <c r="V75" i="30" s="1"/>
  <c r="AK74" i="30"/>
  <c r="AL74" i="30" s="1"/>
  <c r="AJ74" i="30"/>
  <c r="T74" i="30" s="1"/>
  <c r="V74" i="30" s="1"/>
  <c r="AK73" i="30"/>
  <c r="AL73" i="30" s="1"/>
  <c r="AJ73" i="30"/>
  <c r="T73" i="30" s="1"/>
  <c r="V73" i="30" s="1"/>
  <c r="AK72" i="30"/>
  <c r="AL72" i="30" s="1"/>
  <c r="AJ72" i="30"/>
  <c r="T72" i="30" s="1"/>
  <c r="V72" i="30" s="1"/>
  <c r="AK71" i="30"/>
  <c r="AL71" i="30" s="1"/>
  <c r="AJ71" i="30"/>
  <c r="T71" i="30" s="1"/>
  <c r="V71" i="30" s="1"/>
  <c r="AI70" i="30"/>
  <c r="AH70" i="30"/>
  <c r="AG70" i="30"/>
  <c r="AF70" i="30"/>
  <c r="AE70" i="30"/>
  <c r="AD70" i="30"/>
  <c r="AC70" i="30"/>
  <c r="AA70" i="30"/>
  <c r="Z70" i="30"/>
  <c r="Y70" i="30"/>
  <c r="X70" i="30"/>
  <c r="Q70" i="30"/>
  <c r="R73" i="30" s="1"/>
  <c r="P70" i="30"/>
  <c r="AK69" i="30"/>
  <c r="AL69" i="30" s="1"/>
  <c r="AJ69" i="30"/>
  <c r="T69" i="30" s="1"/>
  <c r="AK68" i="30"/>
  <c r="AL68" i="30" s="1"/>
  <c r="AJ68" i="30"/>
  <c r="T68" i="30" s="1"/>
  <c r="V68" i="30" s="1"/>
  <c r="AI67" i="30"/>
  <c r="AH67" i="30"/>
  <c r="AG67" i="30"/>
  <c r="AF67" i="30"/>
  <c r="AE67" i="30"/>
  <c r="AD67" i="30"/>
  <c r="AC67" i="30"/>
  <c r="AA67" i="30"/>
  <c r="Z67" i="30"/>
  <c r="Y67" i="30"/>
  <c r="X67" i="30"/>
  <c r="Q67" i="30"/>
  <c r="R69" i="30" s="1"/>
  <c r="P67" i="30"/>
  <c r="AK66" i="30"/>
  <c r="AL66" i="30" s="1"/>
  <c r="AJ66" i="30"/>
  <c r="T66" i="30" s="1"/>
  <c r="V66" i="30" s="1"/>
  <c r="AH66" i="30"/>
  <c r="AG66" i="30"/>
  <c r="AF66" i="30"/>
  <c r="AE66" i="30"/>
  <c r="AD66" i="30"/>
  <c r="AC66" i="30"/>
  <c r="AA66" i="30"/>
  <c r="Z66" i="30"/>
  <c r="Y66" i="30"/>
  <c r="X66" i="30"/>
  <c r="AK65" i="30"/>
  <c r="AL65" i="30" s="1"/>
  <c r="AJ65" i="30"/>
  <c r="T65" i="30" s="1"/>
  <c r="V65" i="30" s="1"/>
  <c r="AK64" i="30"/>
  <c r="AL64" i="30" s="1"/>
  <c r="AJ64" i="30"/>
  <c r="T64" i="30" s="1"/>
  <c r="V64" i="30" s="1"/>
  <c r="AH64" i="30"/>
  <c r="AG64" i="30"/>
  <c r="AF64" i="30"/>
  <c r="AE64" i="30"/>
  <c r="AD64" i="30"/>
  <c r="AC64" i="30"/>
  <c r="AA64" i="30"/>
  <c r="Z64" i="30"/>
  <c r="Y64" i="30"/>
  <c r="X64" i="30"/>
  <c r="AI63" i="30"/>
  <c r="AH63" i="30"/>
  <c r="AG63" i="30"/>
  <c r="AF63" i="30"/>
  <c r="AE63" i="30"/>
  <c r="AD63" i="30"/>
  <c r="AC63" i="30"/>
  <c r="AA63" i="30"/>
  <c r="Z63" i="30"/>
  <c r="Y63" i="30"/>
  <c r="X63" i="30"/>
  <c r="Q63" i="30"/>
  <c r="R66" i="30" s="1"/>
  <c r="P63" i="30"/>
  <c r="AK62" i="30"/>
  <c r="AL62" i="30" s="1"/>
  <c r="AJ62" i="30"/>
  <c r="T62" i="30" s="1"/>
  <c r="V62" i="30" s="1"/>
  <c r="AH62" i="30"/>
  <c r="AG62" i="30"/>
  <c r="AF62" i="30"/>
  <c r="AE62" i="30"/>
  <c r="AD62" i="30"/>
  <c r="AC62" i="30"/>
  <c r="AA62" i="30"/>
  <c r="Z62" i="30"/>
  <c r="Y62" i="30"/>
  <c r="X62" i="30"/>
  <c r="AI61" i="30"/>
  <c r="AH61" i="30"/>
  <c r="AG61" i="30"/>
  <c r="AF61" i="30"/>
  <c r="AE61" i="30"/>
  <c r="AD61" i="30"/>
  <c r="AC61" i="30"/>
  <c r="AA61" i="30"/>
  <c r="Z61" i="30"/>
  <c r="Y61" i="30"/>
  <c r="X61" i="30"/>
  <c r="Q61" i="30"/>
  <c r="P61" i="30"/>
  <c r="AK60" i="30"/>
  <c r="AL60" i="30" s="1"/>
  <c r="AJ60" i="30"/>
  <c r="T60" i="30" s="1"/>
  <c r="AH60" i="30"/>
  <c r="AG60" i="30"/>
  <c r="AF60" i="30"/>
  <c r="AE60" i="30"/>
  <c r="AD60" i="30"/>
  <c r="AC60" i="30"/>
  <c r="AA60" i="30"/>
  <c r="Z60" i="30"/>
  <c r="Y60" i="30"/>
  <c r="X60" i="30"/>
  <c r="AK59" i="30"/>
  <c r="AL59" i="30" s="1"/>
  <c r="AJ59" i="30"/>
  <c r="T59" i="30" s="1"/>
  <c r="AK58" i="30"/>
  <c r="AL58" i="30" s="1"/>
  <c r="AJ58" i="30"/>
  <c r="T58" i="30" s="1"/>
  <c r="AH58" i="30"/>
  <c r="AG58" i="30"/>
  <c r="AF58" i="30"/>
  <c r="AE58" i="30"/>
  <c r="AD58" i="30"/>
  <c r="AC58" i="30"/>
  <c r="AA58" i="30"/>
  <c r="Z58" i="30"/>
  <c r="Y58" i="30"/>
  <c r="X58" i="30"/>
  <c r="AI57" i="30"/>
  <c r="AH57" i="30"/>
  <c r="AG57" i="30"/>
  <c r="AF57" i="30"/>
  <c r="AE57" i="30"/>
  <c r="AD57" i="30"/>
  <c r="AC57" i="30"/>
  <c r="AA57" i="30"/>
  <c r="Z57" i="30"/>
  <c r="Y57" i="30"/>
  <c r="X57" i="30"/>
  <c r="Q57" i="30"/>
  <c r="R60" i="30" s="1"/>
  <c r="P57" i="30"/>
  <c r="A57" i="30"/>
  <c r="A61" i="30" s="1"/>
  <c r="A63" i="30" s="1"/>
  <c r="A67" i="30" s="1"/>
  <c r="A70" i="30" s="1"/>
  <c r="A76" i="30" s="1"/>
  <c r="A78" i="30" s="1"/>
  <c r="A81" i="30" s="1"/>
  <c r="A84" i="30" s="1"/>
  <c r="A87" i="30" s="1"/>
  <c r="A89" i="30" s="1"/>
  <c r="A91" i="30" s="1"/>
  <c r="A105" i="30" s="1"/>
  <c r="A120" i="30" s="1"/>
  <c r="A122" i="30" s="1"/>
  <c r="A134" i="30" s="1"/>
  <c r="A136" i="30" s="1"/>
  <c r="A139" i="30" s="1"/>
  <c r="A143" i="30" s="1"/>
  <c r="A150" i="30" s="1"/>
  <c r="A152" i="30" s="1"/>
  <c r="A154" i="30" s="1"/>
  <c r="A157" i="30" s="1"/>
  <c r="A160" i="30" s="1"/>
  <c r="A164" i="30" s="1"/>
  <c r="A166" i="30" s="1"/>
  <c r="A176" i="30" s="1"/>
  <c r="A188" i="30" s="1"/>
  <c r="AK56" i="30"/>
  <c r="AL56" i="30" s="1"/>
  <c r="AJ56" i="30"/>
  <c r="T56" i="30" s="1"/>
  <c r="V56" i="30" s="1"/>
  <c r="AH56" i="30"/>
  <c r="AG56" i="30"/>
  <c r="AF56" i="30"/>
  <c r="AE56" i="30"/>
  <c r="AD56" i="30"/>
  <c r="AC56" i="30"/>
  <c r="AA56" i="30"/>
  <c r="Z56" i="30"/>
  <c r="Y56" i="30"/>
  <c r="X56" i="30"/>
  <c r="AI55" i="30"/>
  <c r="AH55" i="30"/>
  <c r="AG55" i="30"/>
  <c r="AG54" i="30" s="1"/>
  <c r="AG53" i="30" s="1"/>
  <c r="AF55" i="30"/>
  <c r="AF54" i="30" s="1"/>
  <c r="AF53" i="30" s="1"/>
  <c r="AE55" i="30"/>
  <c r="AE54" i="30" s="1"/>
  <c r="AE53" i="30" s="1"/>
  <c r="AD55" i="30"/>
  <c r="AD54" i="30" s="1"/>
  <c r="AD53" i="30" s="1"/>
  <c r="AC55" i="30"/>
  <c r="AC54" i="30" s="1"/>
  <c r="AC53" i="30" s="1"/>
  <c r="AA55" i="30"/>
  <c r="AA54" i="30" s="1"/>
  <c r="AA53" i="30" s="1"/>
  <c r="Z55" i="30"/>
  <c r="Z54" i="30" s="1"/>
  <c r="Z53" i="30" s="1"/>
  <c r="Y55" i="30"/>
  <c r="Y54" i="30" s="1"/>
  <c r="Y53" i="30" s="1"/>
  <c r="X55" i="30"/>
  <c r="X54" i="30" s="1"/>
  <c r="X53" i="30" s="1"/>
  <c r="Q55" i="30"/>
  <c r="R56" i="30" s="1"/>
  <c r="AB54" i="30"/>
  <c r="W54" i="30"/>
  <c r="W53" i="30" s="1"/>
  <c r="W33" i="30" s="1"/>
  <c r="S54" i="30"/>
  <c r="S53" i="30" s="1"/>
  <c r="O54" i="30"/>
  <c r="AK51" i="30"/>
  <c r="AL51" i="30" s="1"/>
  <c r="AJ51" i="30"/>
  <c r="T51" i="30" s="1"/>
  <c r="V51" i="30" s="1"/>
  <c r="AI50" i="30"/>
  <c r="Q50" i="30"/>
  <c r="AK49" i="30"/>
  <c r="AL49" i="30" s="1"/>
  <c r="AJ49" i="30"/>
  <c r="T49" i="30" s="1"/>
  <c r="V49" i="30" s="1"/>
  <c r="AK48" i="30"/>
  <c r="AL48" i="30" s="1"/>
  <c r="AJ48" i="30"/>
  <c r="T48" i="30" s="1"/>
  <c r="V48" i="30" s="1"/>
  <c r="AI47" i="30"/>
  <c r="Q47" i="30"/>
  <c r="AJ46" i="30"/>
  <c r="T46" i="30" s="1"/>
  <c r="V46" i="30" s="1"/>
  <c r="AK45" i="30"/>
  <c r="AL45" i="30" s="1"/>
  <c r="AJ45" i="30"/>
  <c r="T45" i="30" s="1"/>
  <c r="V45" i="30" s="1"/>
  <c r="AJ44" i="30"/>
  <c r="T44" i="30" s="1"/>
  <c r="V44" i="30" s="1"/>
  <c r="AJ43" i="30"/>
  <c r="T43" i="30" s="1"/>
  <c r="V43" i="30" s="1"/>
  <c r="AJ42" i="30"/>
  <c r="T42" i="30" s="1"/>
  <c r="V42" i="30" s="1"/>
  <c r="AK41" i="30"/>
  <c r="AL41" i="30" s="1"/>
  <c r="AJ41" i="30"/>
  <c r="T41" i="30" s="1"/>
  <c r="V41" i="30" s="1"/>
  <c r="AJ40" i="30"/>
  <c r="T40" i="30" s="1"/>
  <c r="V40" i="30" s="1"/>
  <c r="AK39" i="30"/>
  <c r="AL39" i="30" s="1"/>
  <c r="AJ39" i="30"/>
  <c r="T39" i="30" s="1"/>
  <c r="V39" i="30" s="1"/>
  <c r="AK38" i="30"/>
  <c r="AL38" i="30" s="1"/>
  <c r="AJ38" i="30"/>
  <c r="T38" i="30" s="1"/>
  <c r="V38" i="30" s="1"/>
  <c r="Q37" i="30"/>
  <c r="AH35" i="30"/>
  <c r="AG35" i="30"/>
  <c r="AG33" i="30" s="1"/>
  <c r="AF35" i="30"/>
  <c r="AF33" i="30" s="1"/>
  <c r="AE35" i="30"/>
  <c r="AE33" i="30" s="1"/>
  <c r="AD35" i="30"/>
  <c r="AD33" i="30" s="1"/>
  <c r="AC35" i="30"/>
  <c r="AC33" i="30" s="1"/>
  <c r="AA35" i="30"/>
  <c r="AA33" i="30" s="1"/>
  <c r="Z35" i="30"/>
  <c r="Z33" i="30" s="1"/>
  <c r="Y35" i="30"/>
  <c r="Y33" i="30" s="1"/>
  <c r="X35" i="30"/>
  <c r="X33" i="30" s="1"/>
  <c r="P35" i="30"/>
  <c r="S33" i="30"/>
  <c r="AK32" i="30"/>
  <c r="AB32" i="30"/>
  <c r="AB12" i="30" s="1"/>
  <c r="AA32" i="30"/>
  <c r="Z32" i="30"/>
  <c r="Y32" i="30"/>
  <c r="T32" i="30"/>
  <c r="V32" i="30" s="1"/>
  <c r="AK31" i="30"/>
  <c r="AB31" i="30"/>
  <c r="AA31" i="30"/>
  <c r="Z31" i="30"/>
  <c r="Y31" i="30"/>
  <c r="T31" i="30"/>
  <c r="V31" i="30" s="1"/>
  <c r="AK30" i="30"/>
  <c r="AB30" i="30"/>
  <c r="AA30" i="30"/>
  <c r="Z30" i="30"/>
  <c r="Y30" i="30"/>
  <c r="T30" i="30"/>
  <c r="V30" i="30" s="1"/>
  <c r="AK29" i="30"/>
  <c r="AL29" i="30" s="1"/>
  <c r="AJ29" i="30"/>
  <c r="T29" i="30" s="1"/>
  <c r="V29" i="30" s="1"/>
  <c r="AB29" i="30"/>
  <c r="AA29" i="30"/>
  <c r="Z29" i="30"/>
  <c r="Y29" i="30"/>
  <c r="AK28" i="30"/>
  <c r="AB28" i="30"/>
  <c r="AA28" i="30"/>
  <c r="Z28" i="30"/>
  <c r="Y28" i="30"/>
  <c r="T28" i="30"/>
  <c r="V28" i="30" s="1"/>
  <c r="AK27" i="30"/>
  <c r="AL27" i="30" s="1"/>
  <c r="AJ27" i="30"/>
  <c r="T27" i="30" s="1"/>
  <c r="V27" i="30" s="1"/>
  <c r="AB27" i="30"/>
  <c r="AA27" i="30"/>
  <c r="Y27" i="30"/>
  <c r="AH26" i="30"/>
  <c r="AH12" i="30" s="1"/>
  <c r="AG26" i="30"/>
  <c r="AG12" i="30" s="1"/>
  <c r="AF26" i="30"/>
  <c r="AE26" i="30"/>
  <c r="AD26" i="30"/>
  <c r="AD12" i="30" s="1"/>
  <c r="AC26" i="30"/>
  <c r="AC12" i="30" s="1"/>
  <c r="AA26" i="30"/>
  <c r="AA12" i="30" s="1"/>
  <c r="Z26" i="30"/>
  <c r="Z12" i="30" s="1"/>
  <c r="Y26" i="30"/>
  <c r="Y12" i="30" s="1"/>
  <c r="X26" i="30"/>
  <c r="X12" i="30" s="1"/>
  <c r="Q26" i="30"/>
  <c r="P26" i="30"/>
  <c r="AK25" i="30"/>
  <c r="AL25" i="30" s="1"/>
  <c r="AJ25" i="30"/>
  <c r="T25" i="30" s="1"/>
  <c r="V25" i="30" s="1"/>
  <c r="AC25" i="30"/>
  <c r="AI24" i="30"/>
  <c r="AH24" i="30"/>
  <c r="AG24" i="30"/>
  <c r="AF24" i="30"/>
  <c r="AE24" i="30"/>
  <c r="AD24" i="30"/>
  <c r="AC24" i="30"/>
  <c r="AA24" i="30"/>
  <c r="Z24" i="30"/>
  <c r="Y24" i="30"/>
  <c r="X24" i="30"/>
  <c r="Q24" i="30"/>
  <c r="P24" i="30"/>
  <c r="AK23" i="30"/>
  <c r="AL23" i="30" s="1"/>
  <c r="AJ23" i="30"/>
  <c r="T23" i="30" s="1"/>
  <c r="V23" i="30" s="1"/>
  <c r="AK22" i="30"/>
  <c r="AL22" i="30" s="1"/>
  <c r="AJ22" i="30"/>
  <c r="T22" i="30" s="1"/>
  <c r="V22" i="30" s="1"/>
  <c r="AK21" i="30"/>
  <c r="AL21" i="30" s="1"/>
  <c r="AJ21" i="30"/>
  <c r="T21" i="30" s="1"/>
  <c r="V21" i="30" s="1"/>
  <c r="AK20" i="30"/>
  <c r="AL20" i="30" s="1"/>
  <c r="AJ20" i="30"/>
  <c r="T20" i="30" s="1"/>
  <c r="V20" i="30" s="1"/>
  <c r="AK19" i="30"/>
  <c r="AL19" i="30" s="1"/>
  <c r="AJ19" i="30"/>
  <c r="T19" i="30" s="1"/>
  <c r="V19" i="30" s="1"/>
  <c r="AK18" i="30"/>
  <c r="AL18" i="30" s="1"/>
  <c r="AJ18" i="30"/>
  <c r="T18" i="30" s="1"/>
  <c r="V18" i="30" s="1"/>
  <c r="AK17" i="30"/>
  <c r="AL17" i="30" s="1"/>
  <c r="AJ17" i="30"/>
  <c r="T17" i="30" s="1"/>
  <c r="V17" i="30" s="1"/>
  <c r="AK16" i="30"/>
  <c r="AL16" i="30" s="1"/>
  <c r="AJ16" i="30"/>
  <c r="T16" i="30" s="1"/>
  <c r="V16" i="30" s="1"/>
  <c r="AK15" i="30"/>
  <c r="AL15" i="30" s="1"/>
  <c r="AJ15" i="30"/>
  <c r="T15" i="30" s="1"/>
  <c r="V15" i="30" s="1"/>
  <c r="AH14" i="30"/>
  <c r="AG14" i="30"/>
  <c r="AG10" i="30" s="1"/>
  <c r="AF14" i="30"/>
  <c r="AF10" i="30" s="1"/>
  <c r="AE14" i="30"/>
  <c r="AE10" i="30" s="1"/>
  <c r="AD14" i="30"/>
  <c r="AD10" i="30" s="1"/>
  <c r="AC14" i="30"/>
  <c r="AC10" i="30" s="1"/>
  <c r="AA14" i="30"/>
  <c r="AA10" i="30" s="1"/>
  <c r="Z14" i="30"/>
  <c r="Z10" i="30" s="1"/>
  <c r="Y14" i="30"/>
  <c r="Y10" i="30" s="1"/>
  <c r="X14" i="30"/>
  <c r="X10" i="30" s="1"/>
  <c r="Q14" i="30"/>
  <c r="P14" i="30"/>
  <c r="AF12" i="30"/>
  <c r="AE12" i="30"/>
  <c r="W12" i="30"/>
  <c r="P12" i="30"/>
  <c r="O12" i="30"/>
  <c r="AB10" i="30"/>
  <c r="W10" i="30"/>
  <c r="S10" i="30"/>
  <c r="O10" i="30"/>
  <c r="A489" i="28"/>
  <c r="A498" i="28" s="1"/>
  <c r="A505" i="28" s="1"/>
  <c r="A517" i="28" s="1"/>
  <c r="A524" i="28" s="1"/>
  <c r="A536" i="28" s="1"/>
  <c r="A547" i="28" s="1"/>
  <c r="A556" i="28" s="1"/>
  <c r="A566" i="28" s="1"/>
  <c r="A579" i="28" s="1"/>
  <c r="A587" i="28" s="1"/>
  <c r="A601" i="28" s="1"/>
  <c r="A611" i="28" s="1"/>
  <c r="A620" i="28" s="1"/>
  <c r="A630" i="28" s="1"/>
  <c r="A637" i="28" s="1"/>
  <c r="A651" i="28" s="1"/>
  <c r="A658" i="28" s="1"/>
  <c r="AI658" i="28"/>
  <c r="AI657" i="28" s="1"/>
  <c r="AI651" i="28"/>
  <c r="AI637" i="28"/>
  <c r="AI630" i="28"/>
  <c r="AI620" i="28"/>
  <c r="AI611" i="28"/>
  <c r="AI601" i="28"/>
  <c r="AI587" i="28"/>
  <c r="AI579" i="28"/>
  <c r="AI566" i="28"/>
  <c r="AI556" i="28"/>
  <c r="AI547" i="28"/>
  <c r="AI536" i="28"/>
  <c r="AI524" i="28"/>
  <c r="AI517" i="28"/>
  <c r="AI505" i="28"/>
  <c r="AI498" i="28"/>
  <c r="AI489" i="28"/>
  <c r="AI484" i="28"/>
  <c r="AI477" i="28"/>
  <c r="AI470" i="28"/>
  <c r="AI460" i="28"/>
  <c r="AK467" i="28"/>
  <c r="AL467" i="28" s="1"/>
  <c r="AJ467" i="28"/>
  <c r="T467" i="28" s="1"/>
  <c r="V467" i="28" s="1"/>
  <c r="AK464" i="28"/>
  <c r="AL464" i="28" s="1"/>
  <c r="AJ464" i="28"/>
  <c r="T464" i="28" s="1"/>
  <c r="V464" i="28" s="1"/>
  <c r="AI452" i="28"/>
  <c r="AI442" i="28"/>
  <c r="AI431" i="28"/>
  <c r="AI420" i="28"/>
  <c r="AI417" i="28"/>
  <c r="AI403" i="28"/>
  <c r="AI395" i="28"/>
  <c r="AI382" i="28"/>
  <c r="AI372" i="28"/>
  <c r="AI359" i="28"/>
  <c r="AI351" i="28"/>
  <c r="AI345" i="28"/>
  <c r="AI334" i="28"/>
  <c r="AI327" i="28"/>
  <c r="AI320" i="28"/>
  <c r="AI312" i="28"/>
  <c r="AI304" i="28"/>
  <c r="AI292" i="28"/>
  <c r="AI282" i="28"/>
  <c r="AI270" i="28"/>
  <c r="AI259" i="28"/>
  <c r="AI244" i="28"/>
  <c r="AI236" i="28"/>
  <c r="AI225" i="28"/>
  <c r="AI217" i="28"/>
  <c r="AI211" i="28"/>
  <c r="AI204" i="28"/>
  <c r="AI196" i="28"/>
  <c r="AI188" i="28"/>
  <c r="AI176" i="28"/>
  <c r="AI166" i="28"/>
  <c r="AI164" i="28"/>
  <c r="AI160" i="28"/>
  <c r="AI157" i="28"/>
  <c r="AI154" i="28"/>
  <c r="AI152" i="28"/>
  <c r="AI150" i="28"/>
  <c r="AI143" i="28"/>
  <c r="AI139" i="28"/>
  <c r="AI136" i="28"/>
  <c r="AI134" i="28"/>
  <c r="AI122" i="28"/>
  <c r="AI120" i="28"/>
  <c r="AI105" i="28"/>
  <c r="AI91" i="28"/>
  <c r="AI89" i="28"/>
  <c r="AI87" i="28"/>
  <c r="AI84" i="28"/>
  <c r="AI81" i="28"/>
  <c r="AI78" i="28"/>
  <c r="AI76" i="28"/>
  <c r="AI70" i="28"/>
  <c r="AI67" i="28"/>
  <c r="AI63" i="28"/>
  <c r="AI61" i="28"/>
  <c r="AI57" i="28"/>
  <c r="AI55" i="28"/>
  <c r="AI50" i="28"/>
  <c r="AI47" i="28"/>
  <c r="AK23" i="28"/>
  <c r="AL23" i="28" s="1"/>
  <c r="AJ22" i="28"/>
  <c r="T22" i="28" s="1"/>
  <c r="V22" i="28" s="1"/>
  <c r="AJ18" i="28"/>
  <c r="T18" i="28" s="1"/>
  <c r="V18" i="28" s="1"/>
  <c r="AK15" i="28"/>
  <c r="AL15" i="28" s="1"/>
  <c r="Q244" i="28"/>
  <c r="R257" i="28" s="1"/>
  <c r="A700" i="28"/>
  <c r="A696" i="28"/>
  <c r="A690" i="28"/>
  <c r="A687" i="28"/>
  <c r="P666" i="28"/>
  <c r="P657" i="28" s="1"/>
  <c r="O666" i="28"/>
  <c r="O657" i="28" s="1"/>
  <c r="O243" i="28" s="1"/>
  <c r="AK665" i="28"/>
  <c r="AL665" i="28" s="1"/>
  <c r="AJ665" i="28"/>
  <c r="T665" i="28" s="1"/>
  <c r="V665" i="28" s="1"/>
  <c r="AK664" i="28"/>
  <c r="AL664" i="28" s="1"/>
  <c r="AJ664" i="28"/>
  <c r="T664" i="28" s="1"/>
  <c r="V664" i="28" s="1"/>
  <c r="AK663" i="28"/>
  <c r="AL663" i="28" s="1"/>
  <c r="AJ663" i="28"/>
  <c r="T663" i="28" s="1"/>
  <c r="V663" i="28" s="1"/>
  <c r="AK662" i="28"/>
  <c r="AL662" i="28" s="1"/>
  <c r="AJ662" i="28"/>
  <c r="T662" i="28" s="1"/>
  <c r="V662" i="28" s="1"/>
  <c r="AK661" i="28"/>
  <c r="AL661" i="28" s="1"/>
  <c r="AJ661" i="28"/>
  <c r="T661" i="28" s="1"/>
  <c r="V661" i="28" s="1"/>
  <c r="AK660" i="28"/>
  <c r="AL660" i="28" s="1"/>
  <c r="AJ660" i="28"/>
  <c r="T660" i="28" s="1"/>
  <c r="V660" i="28" s="1"/>
  <c r="AK659" i="28"/>
  <c r="AL659" i="28" s="1"/>
  <c r="AJ659" i="28"/>
  <c r="T659" i="28" s="1"/>
  <c r="V659" i="28" s="1"/>
  <c r="AH658" i="28"/>
  <c r="AH657" i="28" s="1"/>
  <c r="AG658" i="28"/>
  <c r="AG657" i="28" s="1"/>
  <c r="Q658" i="28"/>
  <c r="AF657" i="28"/>
  <c r="AE657" i="28"/>
  <c r="AD657" i="28"/>
  <c r="AC657" i="28"/>
  <c r="AB657" i="28"/>
  <c r="AB243" i="28" s="1"/>
  <c r="AA657" i="28"/>
  <c r="Z657" i="28"/>
  <c r="Y657" i="28"/>
  <c r="X657" i="28"/>
  <c r="W657" i="28"/>
  <c r="AK656" i="28"/>
  <c r="AL656" i="28" s="1"/>
  <c r="AJ656" i="28"/>
  <c r="T656" i="28" s="1"/>
  <c r="V656" i="28" s="1"/>
  <c r="AK655" i="28"/>
  <c r="AL655" i="28" s="1"/>
  <c r="AJ655" i="28"/>
  <c r="T655" i="28" s="1"/>
  <c r="V655" i="28" s="1"/>
  <c r="AK654" i="28"/>
  <c r="AL654" i="28" s="1"/>
  <c r="AJ654" i="28"/>
  <c r="T654" i="28" s="1"/>
  <c r="V654" i="28" s="1"/>
  <c r="AK653" i="28"/>
  <c r="AL653" i="28" s="1"/>
  <c r="AJ653" i="28"/>
  <c r="T653" i="28" s="1"/>
  <c r="V653" i="28" s="1"/>
  <c r="AK652" i="28"/>
  <c r="AL652" i="28" s="1"/>
  <c r="AJ652" i="28"/>
  <c r="T652" i="28" s="1"/>
  <c r="V652" i="28" s="1"/>
  <c r="AH651" i="28"/>
  <c r="AG651" i="28"/>
  <c r="Q651" i="28"/>
  <c r="R655" i="28" s="1"/>
  <c r="AK650" i="28"/>
  <c r="AL650" i="28" s="1"/>
  <c r="AJ650" i="28"/>
  <c r="T650" i="28" s="1"/>
  <c r="AK649" i="28"/>
  <c r="AL649" i="28" s="1"/>
  <c r="AJ649" i="28"/>
  <c r="T649" i="28" s="1"/>
  <c r="V649" i="28" s="1"/>
  <c r="AK648" i="28"/>
  <c r="AL648" i="28" s="1"/>
  <c r="AJ648" i="28"/>
  <c r="T648" i="28" s="1"/>
  <c r="V648" i="28" s="1"/>
  <c r="AK647" i="28"/>
  <c r="AL647" i="28" s="1"/>
  <c r="AJ647" i="28"/>
  <c r="T647" i="28" s="1"/>
  <c r="V647" i="28" s="1"/>
  <c r="AK646" i="28"/>
  <c r="AL646" i="28" s="1"/>
  <c r="AJ646" i="28"/>
  <c r="T646" i="28" s="1"/>
  <c r="V646" i="28" s="1"/>
  <c r="AK645" i="28"/>
  <c r="AL645" i="28" s="1"/>
  <c r="AJ645" i="28"/>
  <c r="T645" i="28" s="1"/>
  <c r="V645" i="28" s="1"/>
  <c r="AK644" i="28"/>
  <c r="AL644" i="28" s="1"/>
  <c r="AJ644" i="28"/>
  <c r="T644" i="28" s="1"/>
  <c r="V644" i="28" s="1"/>
  <c r="AK643" i="28"/>
  <c r="AL643" i="28" s="1"/>
  <c r="AJ643" i="28"/>
  <c r="T643" i="28" s="1"/>
  <c r="V643" i="28" s="1"/>
  <c r="AK642" i="28"/>
  <c r="AL642" i="28" s="1"/>
  <c r="AJ642" i="28"/>
  <c r="T642" i="28" s="1"/>
  <c r="V642" i="28" s="1"/>
  <c r="AK641" i="28"/>
  <c r="AL641" i="28" s="1"/>
  <c r="AJ641" i="28"/>
  <c r="T641" i="28" s="1"/>
  <c r="V641" i="28" s="1"/>
  <c r="AK640" i="28"/>
  <c r="AL640" i="28" s="1"/>
  <c r="AJ640" i="28"/>
  <c r="T640" i="28" s="1"/>
  <c r="V640" i="28" s="1"/>
  <c r="AK639" i="28"/>
  <c r="AL639" i="28" s="1"/>
  <c r="AJ639" i="28"/>
  <c r="T639" i="28" s="1"/>
  <c r="V639" i="28" s="1"/>
  <c r="AK638" i="28"/>
  <c r="AL638" i="28" s="1"/>
  <c r="AJ638" i="28"/>
  <c r="T638" i="28" s="1"/>
  <c r="V638" i="28" s="1"/>
  <c r="Q637" i="28"/>
  <c r="R647" i="28" s="1"/>
  <c r="AK636" i="28"/>
  <c r="AL636" i="28" s="1"/>
  <c r="AJ636" i="28"/>
  <c r="T636" i="28" s="1"/>
  <c r="V636" i="28" s="1"/>
  <c r="AK635" i="28"/>
  <c r="AL635" i="28" s="1"/>
  <c r="AJ635" i="28"/>
  <c r="T635" i="28" s="1"/>
  <c r="V635" i="28" s="1"/>
  <c r="AK634" i="28"/>
  <c r="AL634" i="28" s="1"/>
  <c r="AJ634" i="28"/>
  <c r="T634" i="28" s="1"/>
  <c r="V634" i="28" s="1"/>
  <c r="AK633" i="28"/>
  <c r="AL633" i="28" s="1"/>
  <c r="AJ633" i="28"/>
  <c r="T633" i="28" s="1"/>
  <c r="V633" i="28" s="1"/>
  <c r="AK632" i="28"/>
  <c r="AL632" i="28" s="1"/>
  <c r="AJ632" i="28"/>
  <c r="T632" i="28" s="1"/>
  <c r="V632" i="28" s="1"/>
  <c r="AK631" i="28"/>
  <c r="AL631" i="28" s="1"/>
  <c r="AJ631" i="28"/>
  <c r="T631" i="28" s="1"/>
  <c r="V631" i="28" s="1"/>
  <c r="Q630" i="28"/>
  <c r="R636" i="28" s="1"/>
  <c r="AK629" i="28"/>
  <c r="AL629" i="28" s="1"/>
  <c r="AJ629" i="28"/>
  <c r="T629" i="28" s="1"/>
  <c r="AK628" i="28"/>
  <c r="AL628" i="28" s="1"/>
  <c r="AJ628" i="28"/>
  <c r="T628" i="28" s="1"/>
  <c r="V628" i="28" s="1"/>
  <c r="AK627" i="28"/>
  <c r="AL627" i="28" s="1"/>
  <c r="AJ627" i="28"/>
  <c r="T627" i="28" s="1"/>
  <c r="V627" i="28" s="1"/>
  <c r="AK626" i="28"/>
  <c r="AL626" i="28" s="1"/>
  <c r="AJ626" i="28"/>
  <c r="T626" i="28" s="1"/>
  <c r="V626" i="28" s="1"/>
  <c r="AK625" i="28"/>
  <c r="AL625" i="28" s="1"/>
  <c r="AJ625" i="28"/>
  <c r="T625" i="28" s="1"/>
  <c r="V625" i="28" s="1"/>
  <c r="AK624" i="28"/>
  <c r="AL624" i="28" s="1"/>
  <c r="AJ624" i="28"/>
  <c r="T624" i="28" s="1"/>
  <c r="V624" i="28" s="1"/>
  <c r="AK623" i="28"/>
  <c r="AL623" i="28" s="1"/>
  <c r="AJ623" i="28"/>
  <c r="T623" i="28" s="1"/>
  <c r="V623" i="28" s="1"/>
  <c r="AK622" i="28"/>
  <c r="AL622" i="28" s="1"/>
  <c r="AJ622" i="28"/>
  <c r="T622" i="28" s="1"/>
  <c r="V622" i="28" s="1"/>
  <c r="AK621" i="28"/>
  <c r="AL621" i="28" s="1"/>
  <c r="AJ621" i="28"/>
  <c r="T621" i="28" s="1"/>
  <c r="V621" i="28" s="1"/>
  <c r="Q620" i="28"/>
  <c r="R626" i="28" s="1"/>
  <c r="AK619" i="28"/>
  <c r="AL619" i="28" s="1"/>
  <c r="AJ619" i="28"/>
  <c r="T619" i="28" s="1"/>
  <c r="V619" i="28" s="1"/>
  <c r="AK618" i="28"/>
  <c r="AL618" i="28" s="1"/>
  <c r="AJ618" i="28"/>
  <c r="T618" i="28" s="1"/>
  <c r="V618" i="28" s="1"/>
  <c r="AK617" i="28"/>
  <c r="AL617" i="28" s="1"/>
  <c r="AJ617" i="28"/>
  <c r="T617" i="28" s="1"/>
  <c r="V617" i="28" s="1"/>
  <c r="AK616" i="28"/>
  <c r="AL616" i="28" s="1"/>
  <c r="AJ616" i="28"/>
  <c r="T616" i="28" s="1"/>
  <c r="V616" i="28" s="1"/>
  <c r="AK615" i="28"/>
  <c r="AL615" i="28" s="1"/>
  <c r="AJ615" i="28"/>
  <c r="T615" i="28" s="1"/>
  <c r="V615" i="28" s="1"/>
  <c r="AK614" i="28"/>
  <c r="AL614" i="28" s="1"/>
  <c r="AJ614" i="28"/>
  <c r="T614" i="28" s="1"/>
  <c r="V614" i="28" s="1"/>
  <c r="AK613" i="28"/>
  <c r="AL613" i="28" s="1"/>
  <c r="AJ613" i="28"/>
  <c r="T613" i="28" s="1"/>
  <c r="V613" i="28" s="1"/>
  <c r="AK612" i="28"/>
  <c r="AL612" i="28" s="1"/>
  <c r="AJ612" i="28"/>
  <c r="T612" i="28" s="1"/>
  <c r="V612" i="28" s="1"/>
  <c r="Q611" i="28"/>
  <c r="AK610" i="28"/>
  <c r="AL610" i="28" s="1"/>
  <c r="AJ610" i="28"/>
  <c r="T610" i="28" s="1"/>
  <c r="V610" i="28" s="1"/>
  <c r="AK609" i="28"/>
  <c r="AL609" i="28" s="1"/>
  <c r="AJ609" i="28"/>
  <c r="T609" i="28" s="1"/>
  <c r="V609" i="28" s="1"/>
  <c r="AK608" i="28"/>
  <c r="AL608" i="28" s="1"/>
  <c r="AJ608" i="28"/>
  <c r="T608" i="28" s="1"/>
  <c r="V608" i="28" s="1"/>
  <c r="AK607" i="28"/>
  <c r="AL607" i="28" s="1"/>
  <c r="AJ607" i="28"/>
  <c r="T607" i="28" s="1"/>
  <c r="AK606" i="28"/>
  <c r="AL606" i="28" s="1"/>
  <c r="AJ606" i="28"/>
  <c r="T606" i="28" s="1"/>
  <c r="V606" i="28" s="1"/>
  <c r="AK605" i="28"/>
  <c r="AL605" i="28" s="1"/>
  <c r="AJ605" i="28"/>
  <c r="T605" i="28" s="1"/>
  <c r="V605" i="28" s="1"/>
  <c r="AK604" i="28"/>
  <c r="AL604" i="28" s="1"/>
  <c r="AJ604" i="28"/>
  <c r="T604" i="28" s="1"/>
  <c r="V604" i="28" s="1"/>
  <c r="AK603" i="28"/>
  <c r="AL603" i="28" s="1"/>
  <c r="AJ603" i="28"/>
  <c r="T603" i="28" s="1"/>
  <c r="V603" i="28" s="1"/>
  <c r="AK602" i="28"/>
  <c r="AL602" i="28" s="1"/>
  <c r="AJ602" i="28"/>
  <c r="T602" i="28" s="1"/>
  <c r="V602" i="28" s="1"/>
  <c r="Q601" i="28"/>
  <c r="R607" i="28" s="1"/>
  <c r="AK600" i="28"/>
  <c r="AL600" i="28" s="1"/>
  <c r="AJ600" i="28"/>
  <c r="T600" i="28" s="1"/>
  <c r="V600" i="28" s="1"/>
  <c r="AK599" i="28"/>
  <c r="AL599" i="28" s="1"/>
  <c r="AJ599" i="28"/>
  <c r="T599" i="28" s="1"/>
  <c r="V599" i="28" s="1"/>
  <c r="AK598" i="28"/>
  <c r="AL598" i="28" s="1"/>
  <c r="AJ598" i="28"/>
  <c r="T598" i="28" s="1"/>
  <c r="V598" i="28" s="1"/>
  <c r="AK597" i="28"/>
  <c r="AL597" i="28" s="1"/>
  <c r="AJ597" i="28"/>
  <c r="T597" i="28" s="1"/>
  <c r="V597" i="28" s="1"/>
  <c r="AK596" i="28"/>
  <c r="AL596" i="28" s="1"/>
  <c r="AJ596" i="28"/>
  <c r="T596" i="28" s="1"/>
  <c r="V596" i="28" s="1"/>
  <c r="AK595" i="28"/>
  <c r="AL595" i="28" s="1"/>
  <c r="AJ595" i="28"/>
  <c r="T595" i="28" s="1"/>
  <c r="V595" i="28" s="1"/>
  <c r="AK594" i="28"/>
  <c r="AL594" i="28" s="1"/>
  <c r="AJ594" i="28"/>
  <c r="T594" i="28" s="1"/>
  <c r="V594" i="28" s="1"/>
  <c r="AK593" i="28"/>
  <c r="AL593" i="28" s="1"/>
  <c r="AJ593" i="28"/>
  <c r="T593" i="28" s="1"/>
  <c r="V593" i="28" s="1"/>
  <c r="AK592" i="28"/>
  <c r="AL592" i="28" s="1"/>
  <c r="AJ592" i="28"/>
  <c r="T592" i="28" s="1"/>
  <c r="V592" i="28" s="1"/>
  <c r="AK591" i="28"/>
  <c r="AL591" i="28" s="1"/>
  <c r="AJ591" i="28"/>
  <c r="T591" i="28" s="1"/>
  <c r="V591" i="28" s="1"/>
  <c r="AK590" i="28"/>
  <c r="AL590" i="28" s="1"/>
  <c r="AJ590" i="28"/>
  <c r="T590" i="28" s="1"/>
  <c r="V590" i="28" s="1"/>
  <c r="AK589" i="28"/>
  <c r="AL589" i="28" s="1"/>
  <c r="AJ589" i="28"/>
  <c r="T589" i="28" s="1"/>
  <c r="V589" i="28" s="1"/>
  <c r="AK588" i="28"/>
  <c r="AL588" i="28" s="1"/>
  <c r="AJ588" i="28"/>
  <c r="T588" i="28" s="1"/>
  <c r="V588" i="28" s="1"/>
  <c r="Q587" i="28"/>
  <c r="R597" i="28" s="1"/>
  <c r="AK586" i="28"/>
  <c r="AL586" i="28" s="1"/>
  <c r="AJ586" i="28"/>
  <c r="T586" i="28" s="1"/>
  <c r="AK585" i="28"/>
  <c r="AL585" i="28" s="1"/>
  <c r="AJ585" i="28"/>
  <c r="T585" i="28" s="1"/>
  <c r="V585" i="28" s="1"/>
  <c r="AK584" i="28"/>
  <c r="AL584" i="28" s="1"/>
  <c r="AJ584" i="28"/>
  <c r="T584" i="28" s="1"/>
  <c r="V584" i="28" s="1"/>
  <c r="AK583" i="28"/>
  <c r="AL583" i="28" s="1"/>
  <c r="AJ583" i="28"/>
  <c r="T583" i="28" s="1"/>
  <c r="V583" i="28" s="1"/>
  <c r="AK582" i="28"/>
  <c r="AL582" i="28" s="1"/>
  <c r="AJ582" i="28"/>
  <c r="T582" i="28" s="1"/>
  <c r="V582" i="28" s="1"/>
  <c r="AK581" i="28"/>
  <c r="AL581" i="28" s="1"/>
  <c r="AJ581" i="28"/>
  <c r="T581" i="28" s="1"/>
  <c r="V581" i="28" s="1"/>
  <c r="AK580" i="28"/>
  <c r="AL580" i="28" s="1"/>
  <c r="AJ580" i="28"/>
  <c r="T580" i="28" s="1"/>
  <c r="V580" i="28" s="1"/>
  <c r="Q579" i="28"/>
  <c r="R581" i="28" s="1"/>
  <c r="AK578" i="28"/>
  <c r="AL578" i="28" s="1"/>
  <c r="AJ578" i="28"/>
  <c r="T578" i="28" s="1"/>
  <c r="AK577" i="28"/>
  <c r="AL577" i="28" s="1"/>
  <c r="AJ577" i="28"/>
  <c r="T577" i="28" s="1"/>
  <c r="V577" i="28" s="1"/>
  <c r="AK576" i="28"/>
  <c r="AL576" i="28" s="1"/>
  <c r="AJ576" i="28"/>
  <c r="T576" i="28" s="1"/>
  <c r="V576" i="28" s="1"/>
  <c r="AK575" i="28"/>
  <c r="AL575" i="28" s="1"/>
  <c r="AJ575" i="28"/>
  <c r="T575" i="28" s="1"/>
  <c r="V575" i="28" s="1"/>
  <c r="AK574" i="28"/>
  <c r="AL574" i="28" s="1"/>
  <c r="AJ574" i="28"/>
  <c r="T574" i="28" s="1"/>
  <c r="V574" i="28" s="1"/>
  <c r="AK573" i="28"/>
  <c r="AL573" i="28" s="1"/>
  <c r="AJ573" i="28"/>
  <c r="T573" i="28" s="1"/>
  <c r="AK572" i="28"/>
  <c r="AL572" i="28" s="1"/>
  <c r="AJ572" i="28"/>
  <c r="T572" i="28" s="1"/>
  <c r="V572" i="28" s="1"/>
  <c r="AK571" i="28"/>
  <c r="AL571" i="28" s="1"/>
  <c r="AJ571" i="28"/>
  <c r="T571" i="28" s="1"/>
  <c r="V571" i="28" s="1"/>
  <c r="AK570" i="28"/>
  <c r="AL570" i="28" s="1"/>
  <c r="AJ570" i="28"/>
  <c r="T570" i="28" s="1"/>
  <c r="V570" i="28" s="1"/>
  <c r="AK569" i="28"/>
  <c r="AL569" i="28" s="1"/>
  <c r="AJ569" i="28"/>
  <c r="T569" i="28" s="1"/>
  <c r="V569" i="28" s="1"/>
  <c r="AK568" i="28"/>
  <c r="AL568" i="28" s="1"/>
  <c r="AJ568" i="28"/>
  <c r="T568" i="28" s="1"/>
  <c r="V568" i="28" s="1"/>
  <c r="AK567" i="28"/>
  <c r="AL567" i="28" s="1"/>
  <c r="AJ567" i="28"/>
  <c r="T567" i="28" s="1"/>
  <c r="V567" i="28" s="1"/>
  <c r="Q566" i="28"/>
  <c r="R578" i="28" s="1"/>
  <c r="AK565" i="28"/>
  <c r="AL565" i="28" s="1"/>
  <c r="AJ565" i="28"/>
  <c r="T565" i="28" s="1"/>
  <c r="V565" i="28" s="1"/>
  <c r="AK564" i="28"/>
  <c r="AL564" i="28" s="1"/>
  <c r="AJ564" i="28"/>
  <c r="T564" i="28" s="1"/>
  <c r="V564" i="28" s="1"/>
  <c r="AK563" i="28"/>
  <c r="AL563" i="28" s="1"/>
  <c r="AJ563" i="28"/>
  <c r="T563" i="28" s="1"/>
  <c r="V563" i="28" s="1"/>
  <c r="AK562" i="28"/>
  <c r="AL562" i="28" s="1"/>
  <c r="AJ562" i="28"/>
  <c r="T562" i="28" s="1"/>
  <c r="V562" i="28" s="1"/>
  <c r="AK561" i="28"/>
  <c r="AL561" i="28" s="1"/>
  <c r="AJ561" i="28"/>
  <c r="T561" i="28" s="1"/>
  <c r="V561" i="28" s="1"/>
  <c r="AK560" i="28"/>
  <c r="AL560" i="28" s="1"/>
  <c r="AJ560" i="28"/>
  <c r="T560" i="28" s="1"/>
  <c r="V560" i="28" s="1"/>
  <c r="AK559" i="28"/>
  <c r="AL559" i="28" s="1"/>
  <c r="AJ559" i="28"/>
  <c r="T559" i="28" s="1"/>
  <c r="V559" i="28" s="1"/>
  <c r="AK558" i="28"/>
  <c r="AL558" i="28" s="1"/>
  <c r="AJ558" i="28"/>
  <c r="T558" i="28" s="1"/>
  <c r="V558" i="28" s="1"/>
  <c r="AK557" i="28"/>
  <c r="AL557" i="28" s="1"/>
  <c r="AJ557" i="28"/>
  <c r="T557" i="28" s="1"/>
  <c r="V557" i="28" s="1"/>
  <c r="Q556" i="28"/>
  <c r="R562" i="28" s="1"/>
  <c r="AK555" i="28"/>
  <c r="AL555" i="28" s="1"/>
  <c r="AJ555" i="28"/>
  <c r="T555" i="28" s="1"/>
  <c r="V555" i="28" s="1"/>
  <c r="AK554" i="28"/>
  <c r="AL554" i="28" s="1"/>
  <c r="AJ554" i="28"/>
  <c r="T554" i="28" s="1"/>
  <c r="V554" i="28" s="1"/>
  <c r="AK553" i="28"/>
  <c r="AL553" i="28" s="1"/>
  <c r="AJ553" i="28"/>
  <c r="T553" i="28" s="1"/>
  <c r="V553" i="28" s="1"/>
  <c r="AK552" i="28"/>
  <c r="AL552" i="28" s="1"/>
  <c r="AJ552" i="28"/>
  <c r="T552" i="28" s="1"/>
  <c r="AK551" i="28"/>
  <c r="AL551" i="28" s="1"/>
  <c r="AJ551" i="28"/>
  <c r="T551" i="28" s="1"/>
  <c r="V551" i="28" s="1"/>
  <c r="AK550" i="28"/>
  <c r="AL550" i="28" s="1"/>
  <c r="AJ550" i="28"/>
  <c r="T550" i="28" s="1"/>
  <c r="V550" i="28" s="1"/>
  <c r="AK549" i="28"/>
  <c r="AL549" i="28" s="1"/>
  <c r="AJ549" i="28"/>
  <c r="T549" i="28" s="1"/>
  <c r="V549" i="28" s="1"/>
  <c r="AK548" i="28"/>
  <c r="AL548" i="28" s="1"/>
  <c r="AJ548" i="28"/>
  <c r="T548" i="28" s="1"/>
  <c r="V548" i="28" s="1"/>
  <c r="Q547" i="28"/>
  <c r="AK546" i="28"/>
  <c r="AL546" i="28" s="1"/>
  <c r="AJ546" i="28"/>
  <c r="T546" i="28" s="1"/>
  <c r="V546" i="28" s="1"/>
  <c r="AK545" i="28"/>
  <c r="AJ545" i="28"/>
  <c r="T545" i="28" s="1"/>
  <c r="AK544" i="28"/>
  <c r="AL544" i="28" s="1"/>
  <c r="AJ544" i="28"/>
  <c r="T544" i="28" s="1"/>
  <c r="V544" i="28" s="1"/>
  <c r="AK543" i="28"/>
  <c r="AL543" i="28" s="1"/>
  <c r="AJ543" i="28"/>
  <c r="T543" i="28" s="1"/>
  <c r="V543" i="28" s="1"/>
  <c r="AK542" i="28"/>
  <c r="AL542" i="28" s="1"/>
  <c r="AJ542" i="28"/>
  <c r="T542" i="28" s="1"/>
  <c r="V542" i="28" s="1"/>
  <c r="AK541" i="28"/>
  <c r="AL541" i="28" s="1"/>
  <c r="AJ541" i="28"/>
  <c r="T541" i="28" s="1"/>
  <c r="V541" i="28" s="1"/>
  <c r="AK540" i="28"/>
  <c r="AL540" i="28" s="1"/>
  <c r="AJ540" i="28"/>
  <c r="T540" i="28" s="1"/>
  <c r="V540" i="28" s="1"/>
  <c r="AK539" i="28"/>
  <c r="AL539" i="28" s="1"/>
  <c r="AJ539" i="28"/>
  <c r="T539" i="28" s="1"/>
  <c r="V539" i="28" s="1"/>
  <c r="AK538" i="28"/>
  <c r="AL538" i="28" s="1"/>
  <c r="AJ538" i="28"/>
  <c r="T538" i="28" s="1"/>
  <c r="V538" i="28" s="1"/>
  <c r="AK537" i="28"/>
  <c r="AL537" i="28" s="1"/>
  <c r="AJ537" i="28"/>
  <c r="T537" i="28" s="1"/>
  <c r="V537" i="28" s="1"/>
  <c r="AH536" i="28"/>
  <c r="AG536" i="28"/>
  <c r="Q536" i="28"/>
  <c r="R544" i="28" s="1"/>
  <c r="AK535" i="28"/>
  <c r="AL535" i="28" s="1"/>
  <c r="AJ535" i="28"/>
  <c r="T535" i="28" s="1"/>
  <c r="V535" i="28" s="1"/>
  <c r="AK534" i="28"/>
  <c r="AL534" i="28" s="1"/>
  <c r="AJ534" i="28"/>
  <c r="T534" i="28" s="1"/>
  <c r="V534" i="28" s="1"/>
  <c r="AK533" i="28"/>
  <c r="AL533" i="28" s="1"/>
  <c r="AJ533" i="28"/>
  <c r="T533" i="28" s="1"/>
  <c r="V533" i="28" s="1"/>
  <c r="AK532" i="28"/>
  <c r="AL532" i="28" s="1"/>
  <c r="AJ532" i="28"/>
  <c r="T532" i="28" s="1"/>
  <c r="V532" i="28" s="1"/>
  <c r="AK531" i="28"/>
  <c r="AL531" i="28" s="1"/>
  <c r="AJ531" i="28"/>
  <c r="T531" i="28" s="1"/>
  <c r="V531" i="28" s="1"/>
  <c r="AK530" i="28"/>
  <c r="AL530" i="28" s="1"/>
  <c r="AJ530" i="28"/>
  <c r="T530" i="28" s="1"/>
  <c r="V530" i="28" s="1"/>
  <c r="AK529" i="28"/>
  <c r="AL529" i="28" s="1"/>
  <c r="AJ529" i="28"/>
  <c r="T529" i="28" s="1"/>
  <c r="V529" i="28" s="1"/>
  <c r="AK528" i="28"/>
  <c r="AL528" i="28" s="1"/>
  <c r="AJ528" i="28"/>
  <c r="T528" i="28" s="1"/>
  <c r="V528" i="28" s="1"/>
  <c r="AK527" i="28"/>
  <c r="AL527" i="28" s="1"/>
  <c r="AJ527" i="28"/>
  <c r="T527" i="28" s="1"/>
  <c r="V527" i="28" s="1"/>
  <c r="AK526" i="28"/>
  <c r="AL526" i="28" s="1"/>
  <c r="AJ526" i="28"/>
  <c r="T526" i="28" s="1"/>
  <c r="V526" i="28" s="1"/>
  <c r="AK525" i="28"/>
  <c r="AL525" i="28" s="1"/>
  <c r="AJ525" i="28"/>
  <c r="T525" i="28" s="1"/>
  <c r="V525" i="28" s="1"/>
  <c r="AH524" i="28"/>
  <c r="AG524" i="28"/>
  <c r="Q524" i="28"/>
  <c r="R533" i="28" s="1"/>
  <c r="AK523" i="28"/>
  <c r="AL523" i="28" s="1"/>
  <c r="AJ523" i="28"/>
  <c r="T523" i="28" s="1"/>
  <c r="V523" i="28" s="1"/>
  <c r="AK522" i="28"/>
  <c r="AL522" i="28" s="1"/>
  <c r="AJ522" i="28"/>
  <c r="T522" i="28" s="1"/>
  <c r="V522" i="28" s="1"/>
  <c r="AK521" i="28"/>
  <c r="AL521" i="28" s="1"/>
  <c r="AJ521" i="28"/>
  <c r="T521" i="28" s="1"/>
  <c r="V521" i="28" s="1"/>
  <c r="AK520" i="28"/>
  <c r="AL520" i="28" s="1"/>
  <c r="AJ520" i="28"/>
  <c r="T520" i="28" s="1"/>
  <c r="V520" i="28" s="1"/>
  <c r="AK519" i="28"/>
  <c r="AL519" i="28" s="1"/>
  <c r="AJ519" i="28"/>
  <c r="T519" i="28" s="1"/>
  <c r="V519" i="28" s="1"/>
  <c r="AK518" i="28"/>
  <c r="AL518" i="28" s="1"/>
  <c r="AJ518" i="28"/>
  <c r="T518" i="28" s="1"/>
  <c r="V518" i="28" s="1"/>
  <c r="AH517" i="28"/>
  <c r="AG517" i="28"/>
  <c r="Q517" i="28"/>
  <c r="AK516" i="28"/>
  <c r="AL516" i="28" s="1"/>
  <c r="AJ516" i="28"/>
  <c r="T516" i="28" s="1"/>
  <c r="V516" i="28" s="1"/>
  <c r="AK515" i="28"/>
  <c r="AL515" i="28" s="1"/>
  <c r="AJ515" i="28"/>
  <c r="T515" i="28" s="1"/>
  <c r="V515" i="28" s="1"/>
  <c r="AK514" i="28"/>
  <c r="AL514" i="28" s="1"/>
  <c r="AJ514" i="28"/>
  <c r="T514" i="28" s="1"/>
  <c r="V514" i="28" s="1"/>
  <c r="AK513" i="28"/>
  <c r="AL513" i="28" s="1"/>
  <c r="AJ513" i="28"/>
  <c r="T513" i="28" s="1"/>
  <c r="V513" i="28" s="1"/>
  <c r="AK512" i="28"/>
  <c r="AL512" i="28" s="1"/>
  <c r="AJ512" i="28"/>
  <c r="T512" i="28" s="1"/>
  <c r="V512" i="28" s="1"/>
  <c r="AK511" i="28"/>
  <c r="AL511" i="28" s="1"/>
  <c r="AJ511" i="28"/>
  <c r="T511" i="28" s="1"/>
  <c r="V511" i="28" s="1"/>
  <c r="AK510" i="28"/>
  <c r="AL510" i="28" s="1"/>
  <c r="AJ510" i="28"/>
  <c r="T510" i="28" s="1"/>
  <c r="V510" i="28" s="1"/>
  <c r="AK509" i="28"/>
  <c r="AL509" i="28" s="1"/>
  <c r="AJ509" i="28"/>
  <c r="T509" i="28" s="1"/>
  <c r="V509" i="28" s="1"/>
  <c r="AK508" i="28"/>
  <c r="AL508" i="28" s="1"/>
  <c r="AJ508" i="28"/>
  <c r="T508" i="28" s="1"/>
  <c r="V508" i="28" s="1"/>
  <c r="AK507" i="28"/>
  <c r="AL507" i="28" s="1"/>
  <c r="AJ507" i="28"/>
  <c r="T507" i="28" s="1"/>
  <c r="V507" i="28" s="1"/>
  <c r="AK506" i="28"/>
  <c r="AJ506" i="28"/>
  <c r="T506" i="28" s="1"/>
  <c r="V506" i="28" s="1"/>
  <c r="AH505" i="28"/>
  <c r="AG505" i="28"/>
  <c r="Q505" i="28"/>
  <c r="AK504" i="28"/>
  <c r="AL504" i="28" s="1"/>
  <c r="AJ504" i="28"/>
  <c r="T504" i="28" s="1"/>
  <c r="V504" i="28" s="1"/>
  <c r="AK503" i="28"/>
  <c r="AL503" i="28" s="1"/>
  <c r="AJ503" i="28"/>
  <c r="T503" i="28" s="1"/>
  <c r="V503" i="28" s="1"/>
  <c r="AK502" i="28"/>
  <c r="AL502" i="28" s="1"/>
  <c r="AJ502" i="28"/>
  <c r="T502" i="28" s="1"/>
  <c r="V502" i="28" s="1"/>
  <c r="AK501" i="28"/>
  <c r="AL501" i="28" s="1"/>
  <c r="AJ501" i="28"/>
  <c r="T501" i="28" s="1"/>
  <c r="V501" i="28" s="1"/>
  <c r="AK500" i="28"/>
  <c r="AL500" i="28" s="1"/>
  <c r="AJ500" i="28"/>
  <c r="T500" i="28" s="1"/>
  <c r="V500" i="28" s="1"/>
  <c r="AK499" i="28"/>
  <c r="AL499" i="28" s="1"/>
  <c r="AJ499" i="28"/>
  <c r="T499" i="28" s="1"/>
  <c r="V499" i="28" s="1"/>
  <c r="AH498" i="28"/>
  <c r="AG498" i="28"/>
  <c r="Q498" i="28"/>
  <c r="R503" i="28" s="1"/>
  <c r="AK497" i="28"/>
  <c r="AL497" i="28" s="1"/>
  <c r="AJ497" i="28"/>
  <c r="T497" i="28" s="1"/>
  <c r="V497" i="28" s="1"/>
  <c r="AK496" i="28"/>
  <c r="AL496" i="28" s="1"/>
  <c r="AJ496" i="28"/>
  <c r="T496" i="28" s="1"/>
  <c r="V496" i="28" s="1"/>
  <c r="AK495" i="28"/>
  <c r="AL495" i="28" s="1"/>
  <c r="AJ495" i="28"/>
  <c r="T495" i="28" s="1"/>
  <c r="V495" i="28" s="1"/>
  <c r="AK494" i="28"/>
  <c r="AL494" i="28" s="1"/>
  <c r="AJ494" i="28"/>
  <c r="T494" i="28" s="1"/>
  <c r="V494" i="28" s="1"/>
  <c r="AK493" i="28"/>
  <c r="AL493" i="28" s="1"/>
  <c r="AJ493" i="28"/>
  <c r="T493" i="28" s="1"/>
  <c r="V493" i="28" s="1"/>
  <c r="AK492" i="28"/>
  <c r="AL492" i="28" s="1"/>
  <c r="AJ492" i="28"/>
  <c r="T492" i="28" s="1"/>
  <c r="V492" i="28" s="1"/>
  <c r="AK491" i="28"/>
  <c r="AL491" i="28" s="1"/>
  <c r="AJ491" i="28"/>
  <c r="T491" i="28" s="1"/>
  <c r="V491" i="28" s="1"/>
  <c r="AK490" i="28"/>
  <c r="AL490" i="28" s="1"/>
  <c r="AJ490" i="28"/>
  <c r="T490" i="28" s="1"/>
  <c r="V490" i="28" s="1"/>
  <c r="AH489" i="28"/>
  <c r="AG489" i="28"/>
  <c r="Q489" i="28"/>
  <c r="R494" i="28" s="1"/>
  <c r="AK488" i="28"/>
  <c r="AL488" i="28" s="1"/>
  <c r="AJ488" i="28"/>
  <c r="T488" i="28" s="1"/>
  <c r="V488" i="28" s="1"/>
  <c r="AK487" i="28"/>
  <c r="AL487" i="28" s="1"/>
  <c r="AJ487" i="28"/>
  <c r="T487" i="28" s="1"/>
  <c r="V487" i="28" s="1"/>
  <c r="AK486" i="28"/>
  <c r="AL486" i="28" s="1"/>
  <c r="AJ486" i="28"/>
  <c r="T486" i="28" s="1"/>
  <c r="V486" i="28" s="1"/>
  <c r="AK485" i="28"/>
  <c r="AL485" i="28" s="1"/>
  <c r="AJ485" i="28"/>
  <c r="T485" i="28" s="1"/>
  <c r="V485" i="28" s="1"/>
  <c r="Q484" i="28"/>
  <c r="AK483" i="28"/>
  <c r="AL483" i="28" s="1"/>
  <c r="AJ483" i="28"/>
  <c r="T483" i="28" s="1"/>
  <c r="V483" i="28" s="1"/>
  <c r="AK482" i="28"/>
  <c r="AL482" i="28" s="1"/>
  <c r="AJ482" i="28"/>
  <c r="T482" i="28" s="1"/>
  <c r="V482" i="28" s="1"/>
  <c r="AK481" i="28"/>
  <c r="AL481" i="28" s="1"/>
  <c r="AJ481" i="28"/>
  <c r="T481" i="28" s="1"/>
  <c r="V481" i="28" s="1"/>
  <c r="AK480" i="28"/>
  <c r="AL480" i="28" s="1"/>
  <c r="AJ480" i="28"/>
  <c r="T480" i="28" s="1"/>
  <c r="V480" i="28" s="1"/>
  <c r="AK479" i="28"/>
  <c r="AL479" i="28" s="1"/>
  <c r="AJ479" i="28"/>
  <c r="T479" i="28" s="1"/>
  <c r="V479" i="28" s="1"/>
  <c r="AK478" i="28"/>
  <c r="AL478" i="28" s="1"/>
  <c r="AJ478" i="28"/>
  <c r="T478" i="28" s="1"/>
  <c r="V478" i="28" s="1"/>
  <c r="AH477" i="28"/>
  <c r="AG477" i="28"/>
  <c r="AF477" i="28"/>
  <c r="AE477" i="28"/>
  <c r="AD477" i="28"/>
  <c r="AC477" i="28"/>
  <c r="AA477" i="28"/>
  <c r="Z477" i="28"/>
  <c r="Y477" i="28"/>
  <c r="X477" i="28"/>
  <c r="Q477" i="28"/>
  <c r="R482" i="28" s="1"/>
  <c r="P477" i="28"/>
  <c r="AK476" i="28"/>
  <c r="AL476" i="28" s="1"/>
  <c r="AJ476" i="28"/>
  <c r="T476" i="28" s="1"/>
  <c r="V476" i="28" s="1"/>
  <c r="AK475" i="28"/>
  <c r="AL475" i="28" s="1"/>
  <c r="AJ475" i="28"/>
  <c r="T475" i="28" s="1"/>
  <c r="V475" i="28" s="1"/>
  <c r="AK474" i="28"/>
  <c r="AL474" i="28" s="1"/>
  <c r="AJ474" i="28"/>
  <c r="T474" i="28" s="1"/>
  <c r="V474" i="28" s="1"/>
  <c r="AK473" i="28"/>
  <c r="AL473" i="28" s="1"/>
  <c r="AJ473" i="28"/>
  <c r="T473" i="28" s="1"/>
  <c r="V473" i="28" s="1"/>
  <c r="AK472" i="28"/>
  <c r="AL472" i="28" s="1"/>
  <c r="AJ472" i="28"/>
  <c r="T472" i="28" s="1"/>
  <c r="V472" i="28" s="1"/>
  <c r="AK471" i="28"/>
  <c r="AL471" i="28" s="1"/>
  <c r="AJ471" i="28"/>
  <c r="T471" i="28" s="1"/>
  <c r="V471" i="28" s="1"/>
  <c r="AH470" i="28"/>
  <c r="AG470" i="28"/>
  <c r="AF470" i="28"/>
  <c r="AE470" i="28"/>
  <c r="AD470" i="28"/>
  <c r="AC470" i="28"/>
  <c r="AA470" i="28"/>
  <c r="Z470" i="28"/>
  <c r="Y470" i="28"/>
  <c r="X470" i="28"/>
  <c r="Q470" i="28"/>
  <c r="R475" i="28" s="1"/>
  <c r="P470" i="28"/>
  <c r="AK469" i="28"/>
  <c r="AL469" i="28" s="1"/>
  <c r="AJ469" i="28"/>
  <c r="T469" i="28" s="1"/>
  <c r="V469" i="28" s="1"/>
  <c r="AK468" i="28"/>
  <c r="AL468" i="28" s="1"/>
  <c r="AJ468" i="28"/>
  <c r="T468" i="28" s="1"/>
  <c r="V468" i="28" s="1"/>
  <c r="AK466" i="28"/>
  <c r="AL466" i="28" s="1"/>
  <c r="AJ466" i="28"/>
  <c r="T466" i="28" s="1"/>
  <c r="V466" i="28" s="1"/>
  <c r="AK465" i="28"/>
  <c r="AL465" i="28" s="1"/>
  <c r="AJ465" i="28"/>
  <c r="T465" i="28" s="1"/>
  <c r="V465" i="28" s="1"/>
  <c r="AK463" i="28"/>
  <c r="AL463" i="28" s="1"/>
  <c r="AJ463" i="28"/>
  <c r="T463" i="28" s="1"/>
  <c r="V463" i="28" s="1"/>
  <c r="AK462" i="28"/>
  <c r="AL462" i="28" s="1"/>
  <c r="AJ462" i="28"/>
  <c r="T462" i="28" s="1"/>
  <c r="V462" i="28" s="1"/>
  <c r="AK461" i="28"/>
  <c r="AL461" i="28" s="1"/>
  <c r="AJ461" i="28"/>
  <c r="T461" i="28" s="1"/>
  <c r="V461" i="28" s="1"/>
  <c r="AH460" i="28"/>
  <c r="AG460" i="28"/>
  <c r="AF460" i="28"/>
  <c r="AE460" i="28"/>
  <c r="AD460" i="28"/>
  <c r="AC460" i="28"/>
  <c r="AA460" i="28"/>
  <c r="Z460" i="28"/>
  <c r="Y460" i="28"/>
  <c r="X460" i="28"/>
  <c r="Q460" i="28"/>
  <c r="R467" i="28" s="1"/>
  <c r="P460" i="28"/>
  <c r="AK459" i="28"/>
  <c r="AL459" i="28" s="1"/>
  <c r="AJ459" i="28"/>
  <c r="T459" i="28" s="1"/>
  <c r="V459" i="28" s="1"/>
  <c r="AK458" i="28"/>
  <c r="AL458" i="28" s="1"/>
  <c r="AJ458" i="28"/>
  <c r="T458" i="28" s="1"/>
  <c r="V458" i="28" s="1"/>
  <c r="AK457" i="28"/>
  <c r="AL457" i="28" s="1"/>
  <c r="AJ457" i="28"/>
  <c r="T457" i="28" s="1"/>
  <c r="V457" i="28" s="1"/>
  <c r="AK456" i="28"/>
  <c r="AL456" i="28" s="1"/>
  <c r="AJ456" i="28"/>
  <c r="T456" i="28" s="1"/>
  <c r="V456" i="28" s="1"/>
  <c r="AK455" i="28"/>
  <c r="AL455" i="28" s="1"/>
  <c r="AJ455" i="28"/>
  <c r="T455" i="28" s="1"/>
  <c r="V455" i="28" s="1"/>
  <c r="AK454" i="28"/>
  <c r="AL454" i="28" s="1"/>
  <c r="AJ454" i="28"/>
  <c r="T454" i="28"/>
  <c r="V454" i="28" s="1"/>
  <c r="AK453" i="28"/>
  <c r="AL453" i="28" s="1"/>
  <c r="AJ453" i="28"/>
  <c r="T453" i="28" s="1"/>
  <c r="V453" i="28" s="1"/>
  <c r="AH452" i="28"/>
  <c r="AG452" i="28"/>
  <c r="AF452" i="28"/>
  <c r="AE452" i="28"/>
  <c r="AD452" i="28"/>
  <c r="AC452" i="28"/>
  <c r="AA452" i="28"/>
  <c r="Z452" i="28"/>
  <c r="Y452" i="28"/>
  <c r="X452" i="28"/>
  <c r="Q452" i="28"/>
  <c r="P452" i="28"/>
  <c r="AK451" i="28"/>
  <c r="AL451" i="28" s="1"/>
  <c r="AJ451" i="28"/>
  <c r="T451" i="28" s="1"/>
  <c r="AK450" i="28"/>
  <c r="AL450" i="28" s="1"/>
  <c r="AJ450" i="28"/>
  <c r="T450" i="28" s="1"/>
  <c r="V450" i="28" s="1"/>
  <c r="AK449" i="28"/>
  <c r="AL449" i="28" s="1"/>
  <c r="AJ449" i="28"/>
  <c r="T449" i="28" s="1"/>
  <c r="V449" i="28" s="1"/>
  <c r="AK448" i="28"/>
  <c r="AL448" i="28" s="1"/>
  <c r="AJ448" i="28"/>
  <c r="T448" i="28" s="1"/>
  <c r="V448" i="28" s="1"/>
  <c r="AK447" i="28"/>
  <c r="AL447" i="28" s="1"/>
  <c r="AJ447" i="28"/>
  <c r="T447" i="28" s="1"/>
  <c r="V447" i="28" s="1"/>
  <c r="AK446" i="28"/>
  <c r="AL446" i="28" s="1"/>
  <c r="AJ446" i="28"/>
  <c r="T446" i="28" s="1"/>
  <c r="V446" i="28" s="1"/>
  <c r="AK445" i="28"/>
  <c r="AL445" i="28" s="1"/>
  <c r="AJ445" i="28"/>
  <c r="T445" i="28" s="1"/>
  <c r="AK444" i="28"/>
  <c r="AL444" i="28" s="1"/>
  <c r="AJ444" i="28"/>
  <c r="T444" i="28" s="1"/>
  <c r="V444" i="28" s="1"/>
  <c r="AK443" i="28"/>
  <c r="AL443" i="28" s="1"/>
  <c r="AJ443" i="28"/>
  <c r="T443" i="28" s="1"/>
  <c r="V443" i="28" s="1"/>
  <c r="AH442" i="28"/>
  <c r="AG442" i="28"/>
  <c r="AF442" i="28"/>
  <c r="AE442" i="28"/>
  <c r="AD442" i="28"/>
  <c r="AC442" i="28"/>
  <c r="AA442" i="28"/>
  <c r="Z442" i="28"/>
  <c r="Y442" i="28"/>
  <c r="X442" i="28"/>
  <c r="Q442" i="28"/>
  <c r="R450" i="28" s="1"/>
  <c r="P442" i="28"/>
  <c r="AK441" i="28"/>
  <c r="AL441" i="28" s="1"/>
  <c r="AJ441" i="28"/>
  <c r="T441" i="28" s="1"/>
  <c r="V441" i="28" s="1"/>
  <c r="AK440" i="28"/>
  <c r="AL440" i="28" s="1"/>
  <c r="AJ440" i="28"/>
  <c r="T440" i="28" s="1"/>
  <c r="V440" i="28" s="1"/>
  <c r="AK439" i="28"/>
  <c r="AL439" i="28" s="1"/>
  <c r="AJ439" i="28"/>
  <c r="T439" i="28" s="1"/>
  <c r="V439" i="28" s="1"/>
  <c r="AK438" i="28"/>
  <c r="AL438" i="28" s="1"/>
  <c r="AJ438" i="28"/>
  <c r="T438" i="28" s="1"/>
  <c r="V438" i="28" s="1"/>
  <c r="AK437" i="28"/>
  <c r="AL437" i="28" s="1"/>
  <c r="AJ437" i="28"/>
  <c r="T437" i="28" s="1"/>
  <c r="V437" i="28" s="1"/>
  <c r="AK436" i="28"/>
  <c r="AL436" i="28" s="1"/>
  <c r="AJ436" i="28"/>
  <c r="T436" i="28" s="1"/>
  <c r="V436" i="28" s="1"/>
  <c r="AK435" i="28"/>
  <c r="AL435" i="28" s="1"/>
  <c r="AJ435" i="28"/>
  <c r="T435" i="28" s="1"/>
  <c r="V435" i="28" s="1"/>
  <c r="AK434" i="28"/>
  <c r="AL434" i="28" s="1"/>
  <c r="AJ434" i="28"/>
  <c r="T434" i="28" s="1"/>
  <c r="V434" i="28" s="1"/>
  <c r="AK433" i="28"/>
  <c r="AL433" i="28" s="1"/>
  <c r="AJ433" i="28"/>
  <c r="T433" i="28" s="1"/>
  <c r="V433" i="28" s="1"/>
  <c r="AK432" i="28"/>
  <c r="AL432" i="28" s="1"/>
  <c r="AJ432" i="28"/>
  <c r="T432" i="28" s="1"/>
  <c r="V432" i="28" s="1"/>
  <c r="AH431" i="28"/>
  <c r="AG431" i="28"/>
  <c r="AF431" i="28"/>
  <c r="AE431" i="28"/>
  <c r="AD431" i="28"/>
  <c r="AC431" i="28"/>
  <c r="AA431" i="28"/>
  <c r="Z431" i="28"/>
  <c r="Y431" i="28"/>
  <c r="X431" i="28"/>
  <c r="Q431" i="28"/>
  <c r="R440" i="28" s="1"/>
  <c r="P431" i="28"/>
  <c r="AK430" i="28"/>
  <c r="AL430" i="28" s="1"/>
  <c r="AJ430" i="28"/>
  <c r="T430" i="28" s="1"/>
  <c r="AK429" i="28"/>
  <c r="AL429" i="28" s="1"/>
  <c r="AJ429" i="28"/>
  <c r="T429" i="28" s="1"/>
  <c r="V429" i="28" s="1"/>
  <c r="AK428" i="28"/>
  <c r="AL428" i="28" s="1"/>
  <c r="AJ428" i="28"/>
  <c r="T428" i="28" s="1"/>
  <c r="V428" i="28" s="1"/>
  <c r="AK427" i="28"/>
  <c r="AL427" i="28" s="1"/>
  <c r="AJ427" i="28"/>
  <c r="T427" i="28" s="1"/>
  <c r="V427" i="28" s="1"/>
  <c r="AK426" i="28"/>
  <c r="AL426" i="28" s="1"/>
  <c r="AJ426" i="28"/>
  <c r="T426" i="28" s="1"/>
  <c r="V426" i="28" s="1"/>
  <c r="AK425" i="28"/>
  <c r="AL425" i="28" s="1"/>
  <c r="AJ425" i="28"/>
  <c r="T425" i="28" s="1"/>
  <c r="V425" i="28" s="1"/>
  <c r="AK424" i="28"/>
  <c r="AL424" i="28" s="1"/>
  <c r="AJ424" i="28"/>
  <c r="T424" i="28" s="1"/>
  <c r="V424" i="28" s="1"/>
  <c r="AK423" i="28"/>
  <c r="AL423" i="28" s="1"/>
  <c r="AJ423" i="28"/>
  <c r="T423" i="28" s="1"/>
  <c r="V423" i="28" s="1"/>
  <c r="AK422" i="28"/>
  <c r="AL422" i="28" s="1"/>
  <c r="AJ422" i="28"/>
  <c r="T422" i="28" s="1"/>
  <c r="V422" i="28" s="1"/>
  <c r="AK421" i="28"/>
  <c r="AL421" i="28" s="1"/>
  <c r="AJ421" i="28"/>
  <c r="T421" i="28" s="1"/>
  <c r="V421" i="28" s="1"/>
  <c r="AH420" i="28"/>
  <c r="AG420" i="28"/>
  <c r="AF420" i="28"/>
  <c r="AE420" i="28"/>
  <c r="AD420" i="28"/>
  <c r="AC420" i="28"/>
  <c r="AA420" i="28"/>
  <c r="Z420" i="28"/>
  <c r="Y420" i="28"/>
  <c r="X420" i="28"/>
  <c r="Q420" i="28"/>
  <c r="P420" i="28"/>
  <c r="A420" i="28"/>
  <c r="A431" i="28" s="1"/>
  <c r="A442" i="28" s="1"/>
  <c r="A452" i="28" s="1"/>
  <c r="A460" i="28" s="1"/>
  <c r="AK419" i="28"/>
  <c r="AL419" i="28" s="1"/>
  <c r="AJ419" i="28"/>
  <c r="T419" i="28" s="1"/>
  <c r="V419" i="28" s="1"/>
  <c r="AK418" i="28"/>
  <c r="AL418" i="28" s="1"/>
  <c r="AJ418" i="28"/>
  <c r="T418" i="28" s="1"/>
  <c r="V418" i="28" s="1"/>
  <c r="AH417" i="28"/>
  <c r="AG417" i="28"/>
  <c r="AF417" i="28"/>
  <c r="AE417" i="28"/>
  <c r="AD417" i="28"/>
  <c r="AC417" i="28"/>
  <c r="AA417" i="28"/>
  <c r="Z417" i="28"/>
  <c r="Y417" i="28"/>
  <c r="X417" i="28"/>
  <c r="Q417" i="28"/>
  <c r="R419" i="28" s="1"/>
  <c r="P417" i="28"/>
  <c r="AK416" i="28"/>
  <c r="AL416" i="28" s="1"/>
  <c r="AJ416" i="28"/>
  <c r="T416" i="28" s="1"/>
  <c r="AK415" i="28"/>
  <c r="AL415" i="28" s="1"/>
  <c r="AJ415" i="28"/>
  <c r="T415" i="28" s="1"/>
  <c r="V415" i="28" s="1"/>
  <c r="AK414" i="28"/>
  <c r="AL414" i="28" s="1"/>
  <c r="AJ414" i="28"/>
  <c r="T414" i="28" s="1"/>
  <c r="V414" i="28" s="1"/>
  <c r="AK413" i="28"/>
  <c r="AL413" i="28" s="1"/>
  <c r="AJ413" i="28"/>
  <c r="T413" i="28" s="1"/>
  <c r="V413" i="28" s="1"/>
  <c r="AK412" i="28"/>
  <c r="AL412" i="28" s="1"/>
  <c r="AJ412" i="28"/>
  <c r="T412" i="28" s="1"/>
  <c r="V412" i="28" s="1"/>
  <c r="AK411" i="28"/>
  <c r="AL411" i="28" s="1"/>
  <c r="AJ411" i="28"/>
  <c r="T411" i="28" s="1"/>
  <c r="V411" i="28" s="1"/>
  <c r="AK410" i="28"/>
  <c r="AL410" i="28" s="1"/>
  <c r="AJ410" i="28"/>
  <c r="T410" i="28" s="1"/>
  <c r="V410" i="28" s="1"/>
  <c r="AK409" i="28"/>
  <c r="AL409" i="28" s="1"/>
  <c r="AJ409" i="28"/>
  <c r="T409" i="28" s="1"/>
  <c r="V409" i="28" s="1"/>
  <c r="AK408" i="28"/>
  <c r="AL408" i="28" s="1"/>
  <c r="AJ408" i="28"/>
  <c r="T408" i="28" s="1"/>
  <c r="V408" i="28" s="1"/>
  <c r="AK407" i="28"/>
  <c r="AL407" i="28" s="1"/>
  <c r="AJ407" i="28"/>
  <c r="T407" i="28" s="1"/>
  <c r="V407" i="28" s="1"/>
  <c r="AK406" i="28"/>
  <c r="AL406" i="28" s="1"/>
  <c r="AJ406" i="28"/>
  <c r="T406" i="28" s="1"/>
  <c r="V406" i="28" s="1"/>
  <c r="AK405" i="28"/>
  <c r="AL405" i="28" s="1"/>
  <c r="AJ405" i="28"/>
  <c r="T405" i="28" s="1"/>
  <c r="V405" i="28" s="1"/>
  <c r="AK404" i="28"/>
  <c r="AL404" i="28" s="1"/>
  <c r="AJ404" i="28"/>
  <c r="T404" i="28" s="1"/>
  <c r="V404" i="28" s="1"/>
  <c r="AH403" i="28"/>
  <c r="AG403" i="28"/>
  <c r="AF403" i="28"/>
  <c r="AE403" i="28"/>
  <c r="AD403" i="28"/>
  <c r="AC403" i="28"/>
  <c r="AA403" i="28"/>
  <c r="Z403" i="28"/>
  <c r="Y403" i="28"/>
  <c r="X403" i="28"/>
  <c r="Q403" i="28"/>
  <c r="R415" i="28" s="1"/>
  <c r="P403" i="28"/>
  <c r="AK402" i="28"/>
  <c r="AL402" i="28" s="1"/>
  <c r="AJ402" i="28"/>
  <c r="T402" i="28" s="1"/>
  <c r="V402" i="28" s="1"/>
  <c r="AK401" i="28"/>
  <c r="AL401" i="28" s="1"/>
  <c r="AJ401" i="28"/>
  <c r="T401" i="28" s="1"/>
  <c r="V401" i="28" s="1"/>
  <c r="AK400" i="28"/>
  <c r="AL400" i="28" s="1"/>
  <c r="AJ400" i="28"/>
  <c r="T400" i="28" s="1"/>
  <c r="V400" i="28" s="1"/>
  <c r="AK399" i="28"/>
  <c r="AL399" i="28" s="1"/>
  <c r="AJ399" i="28"/>
  <c r="T399" i="28" s="1"/>
  <c r="V399" i="28" s="1"/>
  <c r="AK398" i="28"/>
  <c r="AL398" i="28" s="1"/>
  <c r="AJ398" i="28"/>
  <c r="T398" i="28" s="1"/>
  <c r="V398" i="28" s="1"/>
  <c r="AK397" i="28"/>
  <c r="AL397" i="28" s="1"/>
  <c r="AJ397" i="28"/>
  <c r="T397" i="28" s="1"/>
  <c r="AK396" i="28"/>
  <c r="AL396" i="28" s="1"/>
  <c r="AJ396" i="28"/>
  <c r="T396" i="28" s="1"/>
  <c r="V396" i="28" s="1"/>
  <c r="AH395" i="28"/>
  <c r="AG395" i="28"/>
  <c r="AF395" i="28"/>
  <c r="AE395" i="28"/>
  <c r="AD395" i="28"/>
  <c r="AC395" i="28"/>
  <c r="AA395" i="28"/>
  <c r="Z395" i="28"/>
  <c r="Y395" i="28"/>
  <c r="X395" i="28"/>
  <c r="Q395" i="28"/>
  <c r="P395" i="28"/>
  <c r="AK394" i="28"/>
  <c r="AL394" i="28" s="1"/>
  <c r="AJ394" i="28"/>
  <c r="T394" i="28" s="1"/>
  <c r="AK393" i="28"/>
  <c r="AL393" i="28" s="1"/>
  <c r="AJ393" i="28"/>
  <c r="T393" i="28" s="1"/>
  <c r="V393" i="28" s="1"/>
  <c r="AK392" i="28"/>
  <c r="AL392" i="28" s="1"/>
  <c r="AJ392" i="28"/>
  <c r="T392" i="28" s="1"/>
  <c r="V392" i="28" s="1"/>
  <c r="AK391" i="28"/>
  <c r="AL391" i="28" s="1"/>
  <c r="AJ391" i="28"/>
  <c r="T391" i="28" s="1"/>
  <c r="V391" i="28" s="1"/>
  <c r="AK390" i="28"/>
  <c r="AL390" i="28" s="1"/>
  <c r="AJ390" i="28"/>
  <c r="T390" i="28" s="1"/>
  <c r="V390" i="28" s="1"/>
  <c r="AK389" i="28"/>
  <c r="AL389" i="28" s="1"/>
  <c r="AJ389" i="28"/>
  <c r="T389" i="28" s="1"/>
  <c r="V389" i="28" s="1"/>
  <c r="AK388" i="28"/>
  <c r="AL388" i="28" s="1"/>
  <c r="AJ388" i="28"/>
  <c r="T388" i="28" s="1"/>
  <c r="V388" i="28" s="1"/>
  <c r="AK387" i="28"/>
  <c r="AL387" i="28" s="1"/>
  <c r="AJ387" i="28"/>
  <c r="T387" i="28" s="1"/>
  <c r="V387" i="28" s="1"/>
  <c r="AK386" i="28"/>
  <c r="AL386" i="28" s="1"/>
  <c r="AJ386" i="28"/>
  <c r="T386" i="28" s="1"/>
  <c r="V386" i="28" s="1"/>
  <c r="AK385" i="28"/>
  <c r="AL385" i="28" s="1"/>
  <c r="AJ385" i="28"/>
  <c r="T385" i="28" s="1"/>
  <c r="V385" i="28" s="1"/>
  <c r="AK384" i="28"/>
  <c r="AL384" i="28" s="1"/>
  <c r="AJ384" i="28"/>
  <c r="T384" i="28" s="1"/>
  <c r="V384" i="28" s="1"/>
  <c r="AK383" i="28"/>
  <c r="AL383" i="28" s="1"/>
  <c r="AJ383" i="28"/>
  <c r="T383" i="28" s="1"/>
  <c r="V383" i="28" s="1"/>
  <c r="AH382" i="28"/>
  <c r="AG382" i="28"/>
  <c r="AF382" i="28"/>
  <c r="AE382" i="28"/>
  <c r="AD382" i="28"/>
  <c r="AC382" i="28"/>
  <c r="AA382" i="28"/>
  <c r="Z382" i="28"/>
  <c r="Y382" i="28"/>
  <c r="X382" i="28"/>
  <c r="Q382" i="28"/>
  <c r="R391" i="28" s="1"/>
  <c r="P382" i="28"/>
  <c r="AK381" i="28"/>
  <c r="AL381" i="28" s="1"/>
  <c r="AJ381" i="28"/>
  <c r="T381" i="28" s="1"/>
  <c r="V381" i="28" s="1"/>
  <c r="AK380" i="28"/>
  <c r="AL380" i="28" s="1"/>
  <c r="AJ380" i="28"/>
  <c r="T380" i="28" s="1"/>
  <c r="V380" i="28" s="1"/>
  <c r="AK379" i="28"/>
  <c r="AL379" i="28" s="1"/>
  <c r="AJ379" i="28"/>
  <c r="T379" i="28" s="1"/>
  <c r="V379" i="28" s="1"/>
  <c r="AK378" i="28"/>
  <c r="AL378" i="28" s="1"/>
  <c r="AJ378" i="28"/>
  <c r="T378" i="28" s="1"/>
  <c r="V378" i="28" s="1"/>
  <c r="AK377" i="28"/>
  <c r="AL377" i="28" s="1"/>
  <c r="AJ377" i="28"/>
  <c r="T377" i="28" s="1"/>
  <c r="V377" i="28" s="1"/>
  <c r="AK376" i="28"/>
  <c r="AL376" i="28" s="1"/>
  <c r="AJ376" i="28"/>
  <c r="T376" i="28" s="1"/>
  <c r="V376" i="28" s="1"/>
  <c r="AK375" i="28"/>
  <c r="AL375" i="28" s="1"/>
  <c r="AJ375" i="28"/>
  <c r="T375" i="28" s="1"/>
  <c r="V375" i="28" s="1"/>
  <c r="AK374" i="28"/>
  <c r="AL374" i="28" s="1"/>
  <c r="AJ374" i="28"/>
  <c r="T374" i="28" s="1"/>
  <c r="V374" i="28" s="1"/>
  <c r="AK373" i="28"/>
  <c r="AL373" i="28" s="1"/>
  <c r="AJ373" i="28"/>
  <c r="T373" i="28" s="1"/>
  <c r="V373" i="28" s="1"/>
  <c r="AH372" i="28"/>
  <c r="AG372" i="28"/>
  <c r="AF372" i="28"/>
  <c r="AE372" i="28"/>
  <c r="AD372" i="28"/>
  <c r="AC372" i="28"/>
  <c r="AA372" i="28"/>
  <c r="Z372" i="28"/>
  <c r="Y372" i="28"/>
  <c r="X372" i="28"/>
  <c r="Q372" i="28"/>
  <c r="R381" i="28" s="1"/>
  <c r="P372" i="28"/>
  <c r="AK371" i="28"/>
  <c r="AL371" i="28" s="1"/>
  <c r="AJ371" i="28"/>
  <c r="T371" i="28" s="1"/>
  <c r="V371" i="28" s="1"/>
  <c r="AK370" i="28"/>
  <c r="AL370" i="28" s="1"/>
  <c r="AJ370" i="28"/>
  <c r="T370" i="28" s="1"/>
  <c r="V370" i="28" s="1"/>
  <c r="AK369" i="28"/>
  <c r="AL369" i="28" s="1"/>
  <c r="AJ369" i="28"/>
  <c r="T369" i="28" s="1"/>
  <c r="V369" i="28" s="1"/>
  <c r="AK368" i="28"/>
  <c r="AL368" i="28" s="1"/>
  <c r="AJ368" i="28"/>
  <c r="T368" i="28" s="1"/>
  <c r="V368" i="28" s="1"/>
  <c r="AK367" i="28"/>
  <c r="AL367" i="28" s="1"/>
  <c r="AJ367" i="28"/>
  <c r="T367" i="28" s="1"/>
  <c r="V367" i="28" s="1"/>
  <c r="AK366" i="28"/>
  <c r="AL366" i="28" s="1"/>
  <c r="AJ366" i="28"/>
  <c r="T366" i="28" s="1"/>
  <c r="V366" i="28" s="1"/>
  <c r="AK365" i="28"/>
  <c r="AL365" i="28" s="1"/>
  <c r="AJ365" i="28"/>
  <c r="T365" i="28" s="1"/>
  <c r="V365" i="28" s="1"/>
  <c r="AK364" i="28"/>
  <c r="AL364" i="28" s="1"/>
  <c r="AJ364" i="28"/>
  <c r="T364" i="28" s="1"/>
  <c r="V364" i="28" s="1"/>
  <c r="AK363" i="28"/>
  <c r="AL363" i="28" s="1"/>
  <c r="AJ363" i="28"/>
  <c r="T363" i="28" s="1"/>
  <c r="V363" i="28" s="1"/>
  <c r="AK362" i="28"/>
  <c r="AL362" i="28" s="1"/>
  <c r="AJ362" i="28"/>
  <c r="T362" i="28"/>
  <c r="AK361" i="28"/>
  <c r="AL361" i="28" s="1"/>
  <c r="AJ361" i="28"/>
  <c r="T361" i="28" s="1"/>
  <c r="V361" i="28" s="1"/>
  <c r="AK360" i="28"/>
  <c r="AL360" i="28" s="1"/>
  <c r="AJ360" i="28"/>
  <c r="T360" i="28" s="1"/>
  <c r="V360" i="28" s="1"/>
  <c r="AH359" i="28"/>
  <c r="AG359" i="28"/>
  <c r="AF359" i="28"/>
  <c r="AE359" i="28"/>
  <c r="AD359" i="28"/>
  <c r="AC359" i="28"/>
  <c r="AA359" i="28"/>
  <c r="Z359" i="28"/>
  <c r="Y359" i="28"/>
  <c r="X359" i="28"/>
  <c r="Q359" i="28"/>
  <c r="R366" i="28" s="1"/>
  <c r="P359" i="28"/>
  <c r="A359" i="28"/>
  <c r="A372" i="28" s="1"/>
  <c r="A382" i="28" s="1"/>
  <c r="A395" i="28" s="1"/>
  <c r="A403" i="28" s="1"/>
  <c r="AK358" i="28"/>
  <c r="AL358" i="28" s="1"/>
  <c r="AJ358" i="28"/>
  <c r="T358" i="28" s="1"/>
  <c r="V358" i="28" s="1"/>
  <c r="AK357" i="28"/>
  <c r="AL357" i="28" s="1"/>
  <c r="AJ357" i="28"/>
  <c r="T357" i="28" s="1"/>
  <c r="V357" i="28" s="1"/>
  <c r="AK356" i="28"/>
  <c r="AL356" i="28" s="1"/>
  <c r="AJ356" i="28"/>
  <c r="T356" i="28" s="1"/>
  <c r="V356" i="28" s="1"/>
  <c r="AK355" i="28"/>
  <c r="AL355" i="28" s="1"/>
  <c r="AJ355" i="28"/>
  <c r="T355" i="28" s="1"/>
  <c r="V355" i="28" s="1"/>
  <c r="AK354" i="28"/>
  <c r="AL354" i="28" s="1"/>
  <c r="AJ354" i="28"/>
  <c r="T354" i="28" s="1"/>
  <c r="V354" i="28" s="1"/>
  <c r="AK353" i="28"/>
  <c r="AL353" i="28" s="1"/>
  <c r="AJ353" i="28"/>
  <c r="T353" i="28" s="1"/>
  <c r="V353" i="28" s="1"/>
  <c r="AK352" i="28"/>
  <c r="AL352" i="28" s="1"/>
  <c r="AJ352" i="28"/>
  <c r="T352" i="28" s="1"/>
  <c r="V352" i="28" s="1"/>
  <c r="AH351" i="28"/>
  <c r="AG351" i="28"/>
  <c r="AF351" i="28"/>
  <c r="AE351" i="28"/>
  <c r="AD351" i="28"/>
  <c r="AC351" i="28"/>
  <c r="AA351" i="28"/>
  <c r="Z351" i="28"/>
  <c r="Y351" i="28"/>
  <c r="X351" i="28"/>
  <c r="Q351" i="28"/>
  <c r="R358" i="28" s="1"/>
  <c r="P351" i="28"/>
  <c r="AK350" i="28"/>
  <c r="AL350" i="28" s="1"/>
  <c r="AJ350" i="28"/>
  <c r="T350" i="28" s="1"/>
  <c r="V350" i="28" s="1"/>
  <c r="AK349" i="28"/>
  <c r="AL349" i="28" s="1"/>
  <c r="AJ349" i="28"/>
  <c r="T349" i="28" s="1"/>
  <c r="V349" i="28" s="1"/>
  <c r="AK348" i="28"/>
  <c r="AL348" i="28" s="1"/>
  <c r="AJ348" i="28"/>
  <c r="T348" i="28" s="1"/>
  <c r="V348" i="28" s="1"/>
  <c r="AK347" i="28"/>
  <c r="AL347" i="28" s="1"/>
  <c r="AJ347" i="28"/>
  <c r="T347" i="28" s="1"/>
  <c r="V347" i="28" s="1"/>
  <c r="AK346" i="28"/>
  <c r="AL346" i="28" s="1"/>
  <c r="AJ346" i="28"/>
  <c r="T346" i="28" s="1"/>
  <c r="V346" i="28" s="1"/>
  <c r="AH345" i="28"/>
  <c r="AG345" i="28"/>
  <c r="AF345" i="28"/>
  <c r="AE345" i="28"/>
  <c r="AD345" i="28"/>
  <c r="AC345" i="28"/>
  <c r="AA345" i="28"/>
  <c r="Z345" i="28"/>
  <c r="Y345" i="28"/>
  <c r="X345" i="28"/>
  <c r="Q345" i="28"/>
  <c r="R350" i="28" s="1"/>
  <c r="P345" i="28"/>
  <c r="AK344" i="28"/>
  <c r="AL344" i="28" s="1"/>
  <c r="AJ344" i="28"/>
  <c r="T344" i="28" s="1"/>
  <c r="AK343" i="28"/>
  <c r="AL343" i="28" s="1"/>
  <c r="AJ343" i="28"/>
  <c r="T343" i="28" s="1"/>
  <c r="V343" i="28" s="1"/>
  <c r="AK342" i="28"/>
  <c r="AL342" i="28" s="1"/>
  <c r="AJ342" i="28"/>
  <c r="T342" i="28" s="1"/>
  <c r="V342" i="28" s="1"/>
  <c r="AK341" i="28"/>
  <c r="AL341" i="28" s="1"/>
  <c r="AJ341" i="28"/>
  <c r="T341" i="28" s="1"/>
  <c r="V341" i="28" s="1"/>
  <c r="AK340" i="28"/>
  <c r="AL340" i="28" s="1"/>
  <c r="AJ340" i="28"/>
  <c r="T340" i="28" s="1"/>
  <c r="V340" i="28" s="1"/>
  <c r="AK339" i="28"/>
  <c r="AL339" i="28" s="1"/>
  <c r="AJ339" i="28"/>
  <c r="T339" i="28" s="1"/>
  <c r="V339" i="28" s="1"/>
  <c r="AK338" i="28"/>
  <c r="AL338" i="28" s="1"/>
  <c r="AJ338" i="28"/>
  <c r="T338" i="28" s="1"/>
  <c r="V338" i="28" s="1"/>
  <c r="AK337" i="28"/>
  <c r="AL337" i="28" s="1"/>
  <c r="AJ337" i="28"/>
  <c r="T337" i="28" s="1"/>
  <c r="V337" i="28" s="1"/>
  <c r="AK336" i="28"/>
  <c r="AL336" i="28" s="1"/>
  <c r="AJ336" i="28"/>
  <c r="T336" i="28" s="1"/>
  <c r="V336" i="28" s="1"/>
  <c r="AK335" i="28"/>
  <c r="AL335" i="28" s="1"/>
  <c r="AJ335" i="28"/>
  <c r="T335" i="28" s="1"/>
  <c r="V335" i="28" s="1"/>
  <c r="AH334" i="28"/>
  <c r="AG334" i="28"/>
  <c r="AF334" i="28"/>
  <c r="AE334" i="28"/>
  <c r="AD334" i="28"/>
  <c r="AC334" i="28"/>
  <c r="AA334" i="28"/>
  <c r="Z334" i="28"/>
  <c r="Y334" i="28"/>
  <c r="X334" i="28"/>
  <c r="Q334" i="28"/>
  <c r="R343" i="28" s="1"/>
  <c r="P334" i="28"/>
  <c r="AK333" i="28"/>
  <c r="AL333" i="28" s="1"/>
  <c r="AJ333" i="28"/>
  <c r="T333" i="28" s="1"/>
  <c r="V333" i="28" s="1"/>
  <c r="AK332" i="28"/>
  <c r="AL332" i="28" s="1"/>
  <c r="AJ332" i="28"/>
  <c r="T332" i="28" s="1"/>
  <c r="V332" i="28" s="1"/>
  <c r="AK331" i="28"/>
  <c r="AL331" i="28" s="1"/>
  <c r="AJ331" i="28"/>
  <c r="T331" i="28" s="1"/>
  <c r="V331" i="28" s="1"/>
  <c r="AK330" i="28"/>
  <c r="AL330" i="28" s="1"/>
  <c r="AJ330" i="28"/>
  <c r="T330" i="28" s="1"/>
  <c r="V330" i="28" s="1"/>
  <c r="AK329" i="28"/>
  <c r="AL329" i="28" s="1"/>
  <c r="AJ329" i="28"/>
  <c r="T329" i="28" s="1"/>
  <c r="V329" i="28" s="1"/>
  <c r="AK328" i="28"/>
  <c r="AL328" i="28" s="1"/>
  <c r="AJ328" i="28"/>
  <c r="T328" i="28" s="1"/>
  <c r="V328" i="28" s="1"/>
  <c r="AH327" i="28"/>
  <c r="AG327" i="28"/>
  <c r="AF327" i="28"/>
  <c r="AE327" i="28"/>
  <c r="AD327" i="28"/>
  <c r="AC327" i="28"/>
  <c r="AA327" i="28"/>
  <c r="Z327" i="28"/>
  <c r="Y327" i="28"/>
  <c r="X327" i="28"/>
  <c r="Q327" i="28"/>
  <c r="R330" i="28" s="1"/>
  <c r="AK326" i="28"/>
  <c r="AL326" i="28" s="1"/>
  <c r="AJ326" i="28"/>
  <c r="T326" i="28" s="1"/>
  <c r="V326" i="28" s="1"/>
  <c r="AK325" i="28"/>
  <c r="AL325" i="28" s="1"/>
  <c r="AJ325" i="28"/>
  <c r="T325" i="28" s="1"/>
  <c r="V325" i="28" s="1"/>
  <c r="AK324" i="28"/>
  <c r="AL324" i="28" s="1"/>
  <c r="AJ324" i="28"/>
  <c r="T324" i="28" s="1"/>
  <c r="V324" i="28" s="1"/>
  <c r="AK323" i="28"/>
  <c r="AL323" i="28" s="1"/>
  <c r="AJ323" i="28"/>
  <c r="T323" i="28" s="1"/>
  <c r="V323" i="28" s="1"/>
  <c r="AK322" i="28"/>
  <c r="AL322" i="28" s="1"/>
  <c r="AJ322" i="28"/>
  <c r="T322" i="28" s="1"/>
  <c r="V322" i="28" s="1"/>
  <c r="AK321" i="28"/>
  <c r="AL321" i="28" s="1"/>
  <c r="AJ321" i="28"/>
  <c r="T321" i="28" s="1"/>
  <c r="V321" i="28" s="1"/>
  <c r="AH320" i="28"/>
  <c r="AG320" i="28"/>
  <c r="AF320" i="28"/>
  <c r="AE320" i="28"/>
  <c r="AD320" i="28"/>
  <c r="AC320" i="28"/>
  <c r="AA320" i="28"/>
  <c r="Z320" i="28"/>
  <c r="Y320" i="28"/>
  <c r="X320" i="28"/>
  <c r="Q320" i="28"/>
  <c r="R324" i="28" s="1"/>
  <c r="P320" i="28"/>
  <c r="AK319" i="28"/>
  <c r="AL319" i="28" s="1"/>
  <c r="AJ319" i="28"/>
  <c r="T319" i="28" s="1"/>
  <c r="V319" i="28" s="1"/>
  <c r="AK318" i="28"/>
  <c r="AL318" i="28" s="1"/>
  <c r="AJ318" i="28"/>
  <c r="T318" i="28" s="1"/>
  <c r="V318" i="28" s="1"/>
  <c r="AK317" i="28"/>
  <c r="AL317" i="28" s="1"/>
  <c r="AJ317" i="28"/>
  <c r="T317" i="28" s="1"/>
  <c r="V317" i="28" s="1"/>
  <c r="AK316" i="28"/>
  <c r="AL316" i="28" s="1"/>
  <c r="AJ316" i="28"/>
  <c r="T316" i="28" s="1"/>
  <c r="V316" i="28" s="1"/>
  <c r="AK315" i="28"/>
  <c r="AL315" i="28" s="1"/>
  <c r="AJ315" i="28"/>
  <c r="T315" i="28" s="1"/>
  <c r="V315" i="28" s="1"/>
  <c r="AK314" i="28"/>
  <c r="AL314" i="28" s="1"/>
  <c r="AJ314" i="28"/>
  <c r="T314" i="28" s="1"/>
  <c r="V314" i="28" s="1"/>
  <c r="AK313" i="28"/>
  <c r="AL313" i="28" s="1"/>
  <c r="AJ313" i="28"/>
  <c r="T313" i="28" s="1"/>
  <c r="V313" i="28" s="1"/>
  <c r="AH312" i="28"/>
  <c r="AG312" i="28"/>
  <c r="AF312" i="28"/>
  <c r="AE312" i="28"/>
  <c r="AD312" i="28"/>
  <c r="AC312" i="28"/>
  <c r="AA312" i="28"/>
  <c r="Z312" i="28"/>
  <c r="Y312" i="28"/>
  <c r="X312" i="28"/>
  <c r="Q312" i="28"/>
  <c r="R316" i="28" s="1"/>
  <c r="P312" i="28"/>
  <c r="AK311" i="28"/>
  <c r="AL311" i="28" s="1"/>
  <c r="AJ311" i="28"/>
  <c r="T311" i="28" s="1"/>
  <c r="V311" i="28" s="1"/>
  <c r="AK310" i="28"/>
  <c r="AL310" i="28" s="1"/>
  <c r="AJ310" i="28"/>
  <c r="T310" i="28" s="1"/>
  <c r="V310" i="28" s="1"/>
  <c r="AK309" i="28"/>
  <c r="AL309" i="28" s="1"/>
  <c r="AJ309" i="28"/>
  <c r="T309" i="28" s="1"/>
  <c r="V309" i="28" s="1"/>
  <c r="AK308" i="28"/>
  <c r="AL308" i="28" s="1"/>
  <c r="AJ308" i="28"/>
  <c r="T308" i="28" s="1"/>
  <c r="V308" i="28" s="1"/>
  <c r="AK307" i="28"/>
  <c r="AL307" i="28" s="1"/>
  <c r="AJ307" i="28"/>
  <c r="T307" i="28" s="1"/>
  <c r="AK306" i="28"/>
  <c r="AL306" i="28" s="1"/>
  <c r="AJ306" i="28"/>
  <c r="T306" i="28" s="1"/>
  <c r="V306" i="28" s="1"/>
  <c r="AK305" i="28"/>
  <c r="AL305" i="28" s="1"/>
  <c r="AJ305" i="28"/>
  <c r="T305" i="28" s="1"/>
  <c r="V305" i="28" s="1"/>
  <c r="AH304" i="28"/>
  <c r="AG304" i="28"/>
  <c r="AF304" i="28"/>
  <c r="AE304" i="28"/>
  <c r="AD304" i="28"/>
  <c r="AC304" i="28"/>
  <c r="AA304" i="28"/>
  <c r="Z304" i="28"/>
  <c r="Y304" i="28"/>
  <c r="X304" i="28"/>
  <c r="Q304" i="28"/>
  <c r="R308" i="28" s="1"/>
  <c r="P304" i="28"/>
  <c r="AK303" i="28"/>
  <c r="AL303" i="28" s="1"/>
  <c r="AJ303" i="28"/>
  <c r="T303" i="28" s="1"/>
  <c r="V303" i="28" s="1"/>
  <c r="AK302" i="28"/>
  <c r="AL302" i="28" s="1"/>
  <c r="AJ302" i="28"/>
  <c r="T302" i="28" s="1"/>
  <c r="V302" i="28" s="1"/>
  <c r="AK301" i="28"/>
  <c r="AL301" i="28" s="1"/>
  <c r="AJ301" i="28"/>
  <c r="T301" i="28" s="1"/>
  <c r="V301" i="28" s="1"/>
  <c r="AK300" i="28"/>
  <c r="AL300" i="28" s="1"/>
  <c r="AJ300" i="28"/>
  <c r="T300" i="28" s="1"/>
  <c r="V300" i="28" s="1"/>
  <c r="AK299" i="28"/>
  <c r="AL299" i="28" s="1"/>
  <c r="AJ299" i="28"/>
  <c r="T299" i="28" s="1"/>
  <c r="V299" i="28" s="1"/>
  <c r="AK298" i="28"/>
  <c r="AL298" i="28" s="1"/>
  <c r="AJ298" i="28"/>
  <c r="T298" i="28" s="1"/>
  <c r="V298" i="28" s="1"/>
  <c r="AK297" i="28"/>
  <c r="AL297" i="28" s="1"/>
  <c r="AJ297" i="28"/>
  <c r="T297" i="28" s="1"/>
  <c r="V297" i="28" s="1"/>
  <c r="AK296" i="28"/>
  <c r="AL296" i="28" s="1"/>
  <c r="AJ296" i="28"/>
  <c r="T296" i="28" s="1"/>
  <c r="V296" i="28" s="1"/>
  <c r="AK295" i="28"/>
  <c r="AL295" i="28" s="1"/>
  <c r="AJ295" i="28"/>
  <c r="T295" i="28" s="1"/>
  <c r="V295" i="28" s="1"/>
  <c r="AK294" i="28"/>
  <c r="AL294" i="28" s="1"/>
  <c r="AJ294" i="28"/>
  <c r="T294" i="28" s="1"/>
  <c r="V294" i="28" s="1"/>
  <c r="AK293" i="28"/>
  <c r="AL293" i="28" s="1"/>
  <c r="AJ293" i="28"/>
  <c r="T293" i="28" s="1"/>
  <c r="V293" i="28" s="1"/>
  <c r="AH292" i="28"/>
  <c r="AG292" i="28"/>
  <c r="AF292" i="28"/>
  <c r="AE292" i="28"/>
  <c r="AD292" i="28"/>
  <c r="AC292" i="28"/>
  <c r="AA292" i="28"/>
  <c r="Z292" i="28"/>
  <c r="Y292" i="28"/>
  <c r="X292" i="28"/>
  <c r="Q292" i="28"/>
  <c r="R303" i="28" s="1"/>
  <c r="P292" i="28"/>
  <c r="AK291" i="28"/>
  <c r="AL291" i="28" s="1"/>
  <c r="AJ291" i="28"/>
  <c r="T291" i="28" s="1"/>
  <c r="V291" i="28" s="1"/>
  <c r="AK290" i="28"/>
  <c r="AL290" i="28" s="1"/>
  <c r="AJ290" i="28"/>
  <c r="T290" i="28" s="1"/>
  <c r="V290" i="28" s="1"/>
  <c r="AK289" i="28"/>
  <c r="AL289" i="28" s="1"/>
  <c r="AJ289" i="28"/>
  <c r="T289" i="28" s="1"/>
  <c r="V289" i="28" s="1"/>
  <c r="AK288" i="28"/>
  <c r="AL288" i="28" s="1"/>
  <c r="AJ288" i="28"/>
  <c r="T288" i="28" s="1"/>
  <c r="V288" i="28" s="1"/>
  <c r="AK287" i="28"/>
  <c r="AL287" i="28" s="1"/>
  <c r="AJ287" i="28"/>
  <c r="T287" i="28" s="1"/>
  <c r="V287" i="28" s="1"/>
  <c r="R287" i="28"/>
  <c r="AK286" i="28"/>
  <c r="AL286" i="28" s="1"/>
  <c r="AJ286" i="28"/>
  <c r="T286" i="28" s="1"/>
  <c r="V286" i="28" s="1"/>
  <c r="AK285" i="28"/>
  <c r="AL285" i="28" s="1"/>
  <c r="AJ285" i="28"/>
  <c r="T285" i="28" s="1"/>
  <c r="V285" i="28" s="1"/>
  <c r="AK284" i="28"/>
  <c r="AL284" i="28" s="1"/>
  <c r="AJ284" i="28"/>
  <c r="T284" i="28" s="1"/>
  <c r="V284" i="28" s="1"/>
  <c r="AK283" i="28"/>
  <c r="AL283" i="28" s="1"/>
  <c r="AJ283" i="28"/>
  <c r="T283" i="28" s="1"/>
  <c r="V283" i="28" s="1"/>
  <c r="AH282" i="28"/>
  <c r="AF282" i="28"/>
  <c r="AE282" i="28"/>
  <c r="AD282" i="28"/>
  <c r="AC282" i="28"/>
  <c r="AA282" i="28"/>
  <c r="Z282" i="28"/>
  <c r="Y282" i="28"/>
  <c r="X282" i="28"/>
  <c r="Q282" i="28"/>
  <c r="P282" i="28"/>
  <c r="AK281" i="28"/>
  <c r="AL281" i="28" s="1"/>
  <c r="AJ281" i="28"/>
  <c r="T281" i="28" s="1"/>
  <c r="V281" i="28" s="1"/>
  <c r="AK280" i="28"/>
  <c r="AL280" i="28" s="1"/>
  <c r="AJ280" i="28"/>
  <c r="T280" i="28" s="1"/>
  <c r="V280" i="28" s="1"/>
  <c r="AK279" i="28"/>
  <c r="AL279" i="28" s="1"/>
  <c r="AJ279" i="28"/>
  <c r="T279" i="28" s="1"/>
  <c r="V279" i="28" s="1"/>
  <c r="AK278" i="28"/>
  <c r="AL278" i="28" s="1"/>
  <c r="AJ278" i="28"/>
  <c r="T278" i="28" s="1"/>
  <c r="V278" i="28" s="1"/>
  <c r="AK277" i="28"/>
  <c r="AL277" i="28" s="1"/>
  <c r="AJ277" i="28"/>
  <c r="T277" i="28" s="1"/>
  <c r="V277" i="28" s="1"/>
  <c r="AK276" i="28"/>
  <c r="AL276" i="28" s="1"/>
  <c r="AJ276" i="28"/>
  <c r="T276" i="28" s="1"/>
  <c r="V276" i="28" s="1"/>
  <c r="AK275" i="28"/>
  <c r="AL275" i="28" s="1"/>
  <c r="AJ275" i="28"/>
  <c r="T275" i="28" s="1"/>
  <c r="V275" i="28" s="1"/>
  <c r="AK274" i="28"/>
  <c r="AL274" i="28" s="1"/>
  <c r="AJ274" i="28"/>
  <c r="T274" i="28" s="1"/>
  <c r="V274" i="28" s="1"/>
  <c r="AK273" i="28"/>
  <c r="AL273" i="28" s="1"/>
  <c r="AJ273" i="28"/>
  <c r="T273" i="28" s="1"/>
  <c r="V273" i="28" s="1"/>
  <c r="AK272" i="28"/>
  <c r="AL272" i="28" s="1"/>
  <c r="AJ272" i="28"/>
  <c r="T272" i="28" s="1"/>
  <c r="V272" i="28" s="1"/>
  <c r="AK271" i="28"/>
  <c r="AL271" i="28" s="1"/>
  <c r="AJ271" i="28"/>
  <c r="T271" i="28" s="1"/>
  <c r="V271" i="28" s="1"/>
  <c r="AH270" i="28"/>
  <c r="AG270" i="28"/>
  <c r="AF270" i="28"/>
  <c r="AE270" i="28"/>
  <c r="AD270" i="28"/>
  <c r="AC270" i="28"/>
  <c r="AA270" i="28"/>
  <c r="Z270" i="28"/>
  <c r="Y270" i="28"/>
  <c r="X270" i="28"/>
  <c r="Q270" i="28"/>
  <c r="R279" i="28" s="1"/>
  <c r="P270" i="28"/>
  <c r="AK269" i="28"/>
  <c r="AL269" i="28" s="1"/>
  <c r="AJ269" i="28"/>
  <c r="T269" i="28" s="1"/>
  <c r="V269" i="28" s="1"/>
  <c r="AK268" i="28"/>
  <c r="AL268" i="28" s="1"/>
  <c r="AJ268" i="28"/>
  <c r="T268" i="28" s="1"/>
  <c r="V268" i="28" s="1"/>
  <c r="AK267" i="28"/>
  <c r="AL267" i="28" s="1"/>
  <c r="AJ267" i="28"/>
  <c r="T267" i="28" s="1"/>
  <c r="V267" i="28" s="1"/>
  <c r="AK266" i="28"/>
  <c r="AL266" i="28" s="1"/>
  <c r="AJ266" i="28"/>
  <c r="T266" i="28" s="1"/>
  <c r="V266" i="28" s="1"/>
  <c r="AK265" i="28"/>
  <c r="AL265" i="28" s="1"/>
  <c r="AJ265" i="28"/>
  <c r="T265" i="28" s="1"/>
  <c r="V265" i="28" s="1"/>
  <c r="AK264" i="28"/>
  <c r="AL264" i="28" s="1"/>
  <c r="AJ264" i="28"/>
  <c r="T264" i="28" s="1"/>
  <c r="V264" i="28" s="1"/>
  <c r="AK263" i="28"/>
  <c r="AL263" i="28" s="1"/>
  <c r="AJ263" i="28"/>
  <c r="T263" i="28" s="1"/>
  <c r="V263" i="28" s="1"/>
  <c r="AK262" i="28"/>
  <c r="AL262" i="28" s="1"/>
  <c r="AJ262" i="28"/>
  <c r="T262" i="28" s="1"/>
  <c r="V262" i="28" s="1"/>
  <c r="AK261" i="28"/>
  <c r="AL261" i="28" s="1"/>
  <c r="AJ261" i="28"/>
  <c r="T261" i="28" s="1"/>
  <c r="V261" i="28" s="1"/>
  <c r="AK260" i="28"/>
  <c r="AL260" i="28" s="1"/>
  <c r="AJ260" i="28"/>
  <c r="T260" i="28" s="1"/>
  <c r="V260" i="28" s="1"/>
  <c r="AH259" i="28"/>
  <c r="AG259" i="28"/>
  <c r="AF259" i="28"/>
  <c r="AE259" i="28"/>
  <c r="AD259" i="28"/>
  <c r="AC259" i="28"/>
  <c r="AA259" i="28"/>
  <c r="Z259" i="28"/>
  <c r="Y259" i="28"/>
  <c r="X259" i="28"/>
  <c r="Q259" i="28"/>
  <c r="R267" i="28" s="1"/>
  <c r="AK258" i="28"/>
  <c r="AL258" i="28" s="1"/>
  <c r="AJ258" i="28"/>
  <c r="T258" i="28" s="1"/>
  <c r="V258" i="28" s="1"/>
  <c r="AK257" i="28"/>
  <c r="AL257" i="28" s="1"/>
  <c r="AJ257" i="28"/>
  <c r="T257" i="28" s="1"/>
  <c r="V257" i="28" s="1"/>
  <c r="AK256" i="28"/>
  <c r="AL256" i="28" s="1"/>
  <c r="AJ256" i="28"/>
  <c r="T256" i="28" s="1"/>
  <c r="V256" i="28" s="1"/>
  <c r="AK255" i="28"/>
  <c r="AL255" i="28" s="1"/>
  <c r="AJ255" i="28"/>
  <c r="T255" i="28" s="1"/>
  <c r="V255" i="28" s="1"/>
  <c r="AK254" i="28"/>
  <c r="AL254" i="28" s="1"/>
  <c r="AJ254" i="28"/>
  <c r="T254" i="28" s="1"/>
  <c r="V254" i="28" s="1"/>
  <c r="AK253" i="28"/>
  <c r="AL253" i="28" s="1"/>
  <c r="AJ253" i="28"/>
  <c r="T253" i="28" s="1"/>
  <c r="V253" i="28" s="1"/>
  <c r="AK252" i="28"/>
  <c r="AL252" i="28" s="1"/>
  <c r="AJ252" i="28"/>
  <c r="T252" i="28" s="1"/>
  <c r="V252" i="28" s="1"/>
  <c r="AK251" i="28"/>
  <c r="AL251" i="28" s="1"/>
  <c r="AJ251" i="28"/>
  <c r="T251" i="28" s="1"/>
  <c r="V251" i="28" s="1"/>
  <c r="AK250" i="28"/>
  <c r="AL250" i="28" s="1"/>
  <c r="AJ250" i="28"/>
  <c r="T250" i="28" s="1"/>
  <c r="V250" i="28" s="1"/>
  <c r="AK249" i="28"/>
  <c r="AL249" i="28" s="1"/>
  <c r="AJ249" i="28"/>
  <c r="T249" i="28" s="1"/>
  <c r="AK248" i="28"/>
  <c r="AL248" i="28" s="1"/>
  <c r="AJ248" i="28"/>
  <c r="T248" i="28" s="1"/>
  <c r="V248" i="28" s="1"/>
  <c r="AK247" i="28"/>
  <c r="AL247" i="28" s="1"/>
  <c r="AJ247" i="28"/>
  <c r="T247" i="28" s="1"/>
  <c r="V247" i="28" s="1"/>
  <c r="AK246" i="28"/>
  <c r="AL246" i="28" s="1"/>
  <c r="AJ246" i="28"/>
  <c r="T246" i="28" s="1"/>
  <c r="V246" i="28" s="1"/>
  <c r="AK245" i="28"/>
  <c r="AL245" i="28" s="1"/>
  <c r="AJ245" i="28"/>
  <c r="T245" i="28" s="1"/>
  <c r="V245" i="28" s="1"/>
  <c r="AH244" i="28"/>
  <c r="AH243" i="28" s="1"/>
  <c r="AG244" i="28"/>
  <c r="AG243" i="28" s="1"/>
  <c r="AF244" i="28"/>
  <c r="AF243" i="28" s="1"/>
  <c r="AE244" i="28"/>
  <c r="AE243" i="28" s="1"/>
  <c r="AD244" i="28"/>
  <c r="AD243" i="28" s="1"/>
  <c r="AC244" i="28"/>
  <c r="AC243" i="28" s="1"/>
  <c r="AA244" i="28"/>
  <c r="AA243" i="28" s="1"/>
  <c r="Z244" i="28"/>
  <c r="Z243" i="28" s="1"/>
  <c r="Y244" i="28"/>
  <c r="Y243" i="28" s="1"/>
  <c r="X244" i="28"/>
  <c r="X243" i="28" s="1"/>
  <c r="P244" i="28"/>
  <c r="W243" i="28"/>
  <c r="S243" i="28"/>
  <c r="AK242" i="28"/>
  <c r="AL242" i="28" s="1"/>
  <c r="AJ242" i="28"/>
  <c r="T242" i="28" s="1"/>
  <c r="V242" i="28" s="1"/>
  <c r="AK241" i="28"/>
  <c r="AL241" i="28" s="1"/>
  <c r="AJ241" i="28"/>
  <c r="T241" i="28" s="1"/>
  <c r="V241" i="28" s="1"/>
  <c r="AK240" i="28"/>
  <c r="AL240" i="28" s="1"/>
  <c r="AJ240" i="28"/>
  <c r="T240" i="28" s="1"/>
  <c r="V240" i="28" s="1"/>
  <c r="AK239" i="28"/>
  <c r="AL239" i="28" s="1"/>
  <c r="AJ239" i="28"/>
  <c r="T239" i="28" s="1"/>
  <c r="V239" i="28" s="1"/>
  <c r="AK238" i="28"/>
  <c r="AL238" i="28" s="1"/>
  <c r="AJ238" i="28"/>
  <c r="T238" i="28" s="1"/>
  <c r="V238" i="28" s="1"/>
  <c r="AK237" i="28"/>
  <c r="AL237" i="28" s="1"/>
  <c r="AJ237" i="28"/>
  <c r="T237" i="28" s="1"/>
  <c r="V237" i="28" s="1"/>
  <c r="AH236" i="28"/>
  <c r="AG236" i="28"/>
  <c r="AF236" i="28"/>
  <c r="AE236" i="28"/>
  <c r="AD236" i="28"/>
  <c r="AC236" i="28"/>
  <c r="AA236" i="28"/>
  <c r="Z236" i="28"/>
  <c r="Y236" i="28"/>
  <c r="X236" i="28"/>
  <c r="Q236" i="28"/>
  <c r="AJ236" i="28" s="1"/>
  <c r="T236" i="28" s="1"/>
  <c r="V236" i="28" s="1"/>
  <c r="P236" i="28"/>
  <c r="AK235" i="28"/>
  <c r="AL235" i="28" s="1"/>
  <c r="AJ235" i="28"/>
  <c r="T235" i="28" s="1"/>
  <c r="V235" i="28" s="1"/>
  <c r="AK234" i="28"/>
  <c r="AL234" i="28" s="1"/>
  <c r="AJ234" i="28"/>
  <c r="T234" i="28" s="1"/>
  <c r="V234" i="28" s="1"/>
  <c r="AK233" i="28"/>
  <c r="AL233" i="28" s="1"/>
  <c r="AJ233" i="28"/>
  <c r="T233" i="28" s="1"/>
  <c r="V233" i="28" s="1"/>
  <c r="AK232" i="28"/>
  <c r="AL232" i="28" s="1"/>
  <c r="AJ232" i="28"/>
  <c r="T232" i="28" s="1"/>
  <c r="V232" i="28" s="1"/>
  <c r="AK231" i="28"/>
  <c r="AL231" i="28" s="1"/>
  <c r="AJ231" i="28"/>
  <c r="T231" i="28" s="1"/>
  <c r="V231" i="28" s="1"/>
  <c r="AK230" i="28"/>
  <c r="AL230" i="28" s="1"/>
  <c r="AJ230" i="28"/>
  <c r="T230" i="28" s="1"/>
  <c r="V230" i="28" s="1"/>
  <c r="AK229" i="28"/>
  <c r="AL229" i="28" s="1"/>
  <c r="AJ229" i="28"/>
  <c r="T229" i="28" s="1"/>
  <c r="V229" i="28" s="1"/>
  <c r="AK228" i="28"/>
  <c r="AL228" i="28" s="1"/>
  <c r="AJ228" i="28"/>
  <c r="T228" i="28" s="1"/>
  <c r="V228" i="28" s="1"/>
  <c r="AK227" i="28"/>
  <c r="AL227" i="28" s="1"/>
  <c r="AJ227" i="28"/>
  <c r="T227" i="28" s="1"/>
  <c r="V227" i="28" s="1"/>
  <c r="AK226" i="28"/>
  <c r="AL226" i="28" s="1"/>
  <c r="AJ226" i="28"/>
  <c r="T226" i="28" s="1"/>
  <c r="V226" i="28" s="1"/>
  <c r="AH225" i="28"/>
  <c r="AG225" i="28"/>
  <c r="AF225" i="28"/>
  <c r="AE225" i="28"/>
  <c r="AD225" i="28"/>
  <c r="AC225" i="28"/>
  <c r="AA225" i="28"/>
  <c r="Z225" i="28"/>
  <c r="Y225" i="28"/>
  <c r="X225" i="28"/>
  <c r="Q225" i="28"/>
  <c r="R240" i="28" s="1"/>
  <c r="P225" i="28"/>
  <c r="A225" i="28"/>
  <c r="A236" i="28" s="1"/>
  <c r="A244" i="28" s="1"/>
  <c r="A259" i="28" s="1"/>
  <c r="A270" i="28" s="1"/>
  <c r="A282" i="28" s="1"/>
  <c r="A292" i="28" s="1"/>
  <c r="A304" i="28" s="1"/>
  <c r="A312" i="28" s="1"/>
  <c r="A320" i="28" s="1"/>
  <c r="A327" i="28" s="1"/>
  <c r="A334" i="28" s="1"/>
  <c r="A345" i="28" s="1"/>
  <c r="AK224" i="28"/>
  <c r="AL224" i="28" s="1"/>
  <c r="AJ224" i="28"/>
  <c r="T224" i="28" s="1"/>
  <c r="V224" i="28" s="1"/>
  <c r="AK223" i="28"/>
  <c r="AL223" i="28" s="1"/>
  <c r="AJ223" i="28"/>
  <c r="T223" i="28" s="1"/>
  <c r="V223" i="28" s="1"/>
  <c r="AK222" i="28"/>
  <c r="AL222" i="28" s="1"/>
  <c r="AJ222" i="28"/>
  <c r="T222" i="28" s="1"/>
  <c r="V222" i="28" s="1"/>
  <c r="AK221" i="28"/>
  <c r="AL221" i="28" s="1"/>
  <c r="AJ221" i="28"/>
  <c r="T221" i="28" s="1"/>
  <c r="V221" i="28" s="1"/>
  <c r="AK220" i="28"/>
  <c r="AL220" i="28" s="1"/>
  <c r="AJ220" i="28"/>
  <c r="T220" i="28" s="1"/>
  <c r="V220" i="28" s="1"/>
  <c r="AK219" i="28"/>
  <c r="AL219" i="28" s="1"/>
  <c r="AJ219" i="28"/>
  <c r="T219" i="28" s="1"/>
  <c r="V219" i="28" s="1"/>
  <c r="AK218" i="28"/>
  <c r="AL218" i="28" s="1"/>
  <c r="AJ218" i="28"/>
  <c r="T218" i="28" s="1"/>
  <c r="V218" i="28" s="1"/>
  <c r="AH217" i="28"/>
  <c r="AG217" i="28"/>
  <c r="AF217" i="28"/>
  <c r="AE217" i="28"/>
  <c r="AD217" i="28"/>
  <c r="AC217" i="28"/>
  <c r="AA217" i="28"/>
  <c r="Z217" i="28"/>
  <c r="Y217" i="28"/>
  <c r="X217" i="28"/>
  <c r="Q217" i="28"/>
  <c r="P217" i="28"/>
  <c r="AK216" i="28"/>
  <c r="AL216" i="28" s="1"/>
  <c r="AJ216" i="28"/>
  <c r="T216" i="28" s="1"/>
  <c r="V216" i="28" s="1"/>
  <c r="AK215" i="28"/>
  <c r="AL215" i="28" s="1"/>
  <c r="AJ215" i="28"/>
  <c r="T215" i="28" s="1"/>
  <c r="V215" i="28" s="1"/>
  <c r="AH215" i="28"/>
  <c r="AG215" i="28"/>
  <c r="AF215" i="28"/>
  <c r="AE215" i="28"/>
  <c r="AD215" i="28"/>
  <c r="AC215" i="28"/>
  <c r="AA215" i="28"/>
  <c r="Z215" i="28"/>
  <c r="Y215" i="28"/>
  <c r="X215" i="28"/>
  <c r="AK214" i="28"/>
  <c r="AL214" i="28" s="1"/>
  <c r="AJ214" i="28"/>
  <c r="T214" i="28" s="1"/>
  <c r="V214" i="28" s="1"/>
  <c r="AH214" i="28"/>
  <c r="AG214" i="28"/>
  <c r="AF214" i="28"/>
  <c r="AE214" i="28"/>
  <c r="AD214" i="28"/>
  <c r="AC214" i="28"/>
  <c r="AA214" i="28"/>
  <c r="Z214" i="28"/>
  <c r="Y214" i="28"/>
  <c r="X214" i="28"/>
  <c r="AK213" i="28"/>
  <c r="AL213" i="28" s="1"/>
  <c r="AJ213" i="28"/>
  <c r="T213" i="28" s="1"/>
  <c r="V213" i="28" s="1"/>
  <c r="AH213" i="28"/>
  <c r="AG213" i="28"/>
  <c r="AF213" i="28"/>
  <c r="AE213" i="28"/>
  <c r="AD213" i="28"/>
  <c r="AC213" i="28"/>
  <c r="AA213" i="28"/>
  <c r="Z213" i="28"/>
  <c r="Y213" i="28"/>
  <c r="X213" i="28"/>
  <c r="AK212" i="28"/>
  <c r="AL212" i="28" s="1"/>
  <c r="AJ212" i="28"/>
  <c r="T212" i="28" s="1"/>
  <c r="V212" i="28" s="1"/>
  <c r="AH212" i="28"/>
  <c r="AG212" i="28"/>
  <c r="AF212" i="28"/>
  <c r="AE212" i="28"/>
  <c r="AD212" i="28"/>
  <c r="AC212" i="28"/>
  <c r="AA212" i="28"/>
  <c r="Z212" i="28"/>
  <c r="Y212" i="28"/>
  <c r="X212" i="28"/>
  <c r="AH211" i="28"/>
  <c r="AG211" i="28"/>
  <c r="AF211" i="28"/>
  <c r="AE211" i="28"/>
  <c r="AD211" i="28"/>
  <c r="AC211" i="28"/>
  <c r="AA211" i="28"/>
  <c r="Z211" i="28"/>
  <c r="Y211" i="28"/>
  <c r="X211" i="28"/>
  <c r="Q211" i="28"/>
  <c r="P211" i="28"/>
  <c r="AK210" i="28"/>
  <c r="AL210" i="28" s="1"/>
  <c r="AJ210" i="28"/>
  <c r="T210" i="28" s="1"/>
  <c r="V210" i="28" s="1"/>
  <c r="AH210" i="28"/>
  <c r="AG210" i="28"/>
  <c r="AF210" i="28"/>
  <c r="AE210" i="28"/>
  <c r="AD210" i="28"/>
  <c r="AC210" i="28"/>
  <c r="AA210" i="28"/>
  <c r="Z210" i="28"/>
  <c r="Y210" i="28"/>
  <c r="X210" i="28"/>
  <c r="AK209" i="28"/>
  <c r="AL209" i="28" s="1"/>
  <c r="AJ209" i="28"/>
  <c r="T209" i="28" s="1"/>
  <c r="V209" i="28" s="1"/>
  <c r="AH209" i="28"/>
  <c r="AG209" i="28"/>
  <c r="AF209" i="28"/>
  <c r="AE209" i="28"/>
  <c r="AD209" i="28"/>
  <c r="AC209" i="28"/>
  <c r="AA209" i="28"/>
  <c r="Z209" i="28"/>
  <c r="Y209" i="28"/>
  <c r="X209" i="28"/>
  <c r="AK208" i="28"/>
  <c r="AL208" i="28" s="1"/>
  <c r="AJ208" i="28"/>
  <c r="T208" i="28" s="1"/>
  <c r="V208" i="28" s="1"/>
  <c r="AH208" i="28"/>
  <c r="AG208" i="28"/>
  <c r="AF208" i="28"/>
  <c r="AE208" i="28"/>
  <c r="AD208" i="28"/>
  <c r="AC208" i="28"/>
  <c r="AA208" i="28"/>
  <c r="Z208" i="28"/>
  <c r="Y208" i="28"/>
  <c r="X208" i="28"/>
  <c r="AK207" i="28"/>
  <c r="AL207" i="28" s="1"/>
  <c r="AJ207" i="28"/>
  <c r="T207" i="28" s="1"/>
  <c r="V207" i="28" s="1"/>
  <c r="AH207" i="28"/>
  <c r="AG207" i="28"/>
  <c r="AF207" i="28"/>
  <c r="AE207" i="28"/>
  <c r="AD207" i="28"/>
  <c r="AC207" i="28"/>
  <c r="AA207" i="28"/>
  <c r="Z207" i="28"/>
  <c r="Y207" i="28"/>
  <c r="X207" i="28"/>
  <c r="AK206" i="28"/>
  <c r="AL206" i="28" s="1"/>
  <c r="AJ206" i="28"/>
  <c r="T206" i="28" s="1"/>
  <c r="V206" i="28" s="1"/>
  <c r="AH206" i="28"/>
  <c r="AG206" i="28"/>
  <c r="AF206" i="28"/>
  <c r="AE206" i="28"/>
  <c r="AD206" i="28"/>
  <c r="AC206" i="28"/>
  <c r="AA206" i="28"/>
  <c r="Z206" i="28"/>
  <c r="Y206" i="28"/>
  <c r="X206" i="28"/>
  <c r="AK205" i="28"/>
  <c r="AL205" i="28" s="1"/>
  <c r="AJ205" i="28"/>
  <c r="T205" i="28" s="1"/>
  <c r="V205" i="28" s="1"/>
  <c r="AH205" i="28"/>
  <c r="AG205" i="28"/>
  <c r="AF205" i="28"/>
  <c r="AE205" i="28"/>
  <c r="AD205" i="28"/>
  <c r="AC205" i="28"/>
  <c r="AA205" i="28"/>
  <c r="Z205" i="28"/>
  <c r="Y205" i="28"/>
  <c r="X205" i="28"/>
  <c r="AH204" i="28"/>
  <c r="AG204" i="28"/>
  <c r="AF204" i="28"/>
  <c r="AE204" i="28"/>
  <c r="AD204" i="28"/>
  <c r="AC204" i="28"/>
  <c r="AA204" i="28"/>
  <c r="Z204" i="28"/>
  <c r="Y204" i="28"/>
  <c r="X204" i="28"/>
  <c r="Q204" i="28"/>
  <c r="R210" i="28" s="1"/>
  <c r="P204" i="28"/>
  <c r="A204" i="28"/>
  <c r="A211" i="28" s="1"/>
  <c r="AK203" i="28"/>
  <c r="AL203" i="28" s="1"/>
  <c r="AJ203" i="28"/>
  <c r="T203" i="28" s="1"/>
  <c r="V203" i="28" s="1"/>
  <c r="AK202" i="28"/>
  <c r="AL202" i="28" s="1"/>
  <c r="AJ202" i="28"/>
  <c r="T202" i="28" s="1"/>
  <c r="V202" i="28" s="1"/>
  <c r="AK201" i="28"/>
  <c r="AL201" i="28" s="1"/>
  <c r="AJ201" i="28"/>
  <c r="T201" i="28" s="1"/>
  <c r="V201" i="28" s="1"/>
  <c r="AK200" i="28"/>
  <c r="AL200" i="28" s="1"/>
  <c r="AJ200" i="28"/>
  <c r="T200" i="28" s="1"/>
  <c r="V200" i="28" s="1"/>
  <c r="AK199" i="28"/>
  <c r="AL199" i="28" s="1"/>
  <c r="AJ199" i="28"/>
  <c r="T199" i="28" s="1"/>
  <c r="V199" i="28" s="1"/>
  <c r="AK198" i="28"/>
  <c r="AL198" i="28" s="1"/>
  <c r="AJ198" i="28"/>
  <c r="T198" i="28" s="1"/>
  <c r="V198" i="28" s="1"/>
  <c r="AK197" i="28"/>
  <c r="AL197" i="28" s="1"/>
  <c r="AJ197" i="28"/>
  <c r="T197" i="28" s="1"/>
  <c r="V197" i="28" s="1"/>
  <c r="AH196" i="28"/>
  <c r="AG196" i="28"/>
  <c r="AF196" i="28"/>
  <c r="AE196" i="28"/>
  <c r="AD196" i="28"/>
  <c r="AC196" i="28"/>
  <c r="AA196" i="28"/>
  <c r="Z196" i="28"/>
  <c r="Y196" i="28"/>
  <c r="X196" i="28"/>
  <c r="Q196" i="28"/>
  <c r="R199" i="28" s="1"/>
  <c r="P196" i="28"/>
  <c r="AK195" i="28"/>
  <c r="AL195" i="28" s="1"/>
  <c r="AJ195" i="28"/>
  <c r="T195" i="28" s="1"/>
  <c r="V195" i="28" s="1"/>
  <c r="AK194" i="28"/>
  <c r="AL194" i="28" s="1"/>
  <c r="AJ194" i="28"/>
  <c r="T194" i="28" s="1"/>
  <c r="V194" i="28" s="1"/>
  <c r="AK193" i="28"/>
  <c r="AL193" i="28" s="1"/>
  <c r="AJ193" i="28"/>
  <c r="T193" i="28" s="1"/>
  <c r="V193" i="28" s="1"/>
  <c r="AK192" i="28"/>
  <c r="AL192" i="28" s="1"/>
  <c r="AJ192" i="28"/>
  <c r="T192" i="28" s="1"/>
  <c r="V192" i="28" s="1"/>
  <c r="AK191" i="28"/>
  <c r="AL191" i="28" s="1"/>
  <c r="AJ191" i="28"/>
  <c r="T191" i="28" s="1"/>
  <c r="V191" i="28" s="1"/>
  <c r="AK190" i="28"/>
  <c r="AL190" i="28" s="1"/>
  <c r="AJ190" i="28"/>
  <c r="T190" i="28" s="1"/>
  <c r="V190" i="28" s="1"/>
  <c r="AK189" i="28"/>
  <c r="AL189" i="28" s="1"/>
  <c r="AJ189" i="28"/>
  <c r="T189" i="28" s="1"/>
  <c r="V189" i="28" s="1"/>
  <c r="AH188" i="28"/>
  <c r="AG188" i="28"/>
  <c r="AF188" i="28"/>
  <c r="AE188" i="28"/>
  <c r="AD188" i="28"/>
  <c r="AC188" i="28"/>
  <c r="AA188" i="28"/>
  <c r="Z188" i="28"/>
  <c r="Y188" i="28"/>
  <c r="X188" i="28"/>
  <c r="Q188" i="28"/>
  <c r="R195" i="28" s="1"/>
  <c r="P188" i="28"/>
  <c r="AK187" i="28"/>
  <c r="AL187" i="28" s="1"/>
  <c r="AJ187" i="28"/>
  <c r="T186" i="28" s="1"/>
  <c r="V186" i="28" s="1"/>
  <c r="AK186" i="28"/>
  <c r="AL186" i="28" s="1"/>
  <c r="AJ186" i="28"/>
  <c r="AK185" i="28"/>
  <c r="AL185" i="28" s="1"/>
  <c r="AJ185" i="28"/>
  <c r="T185" i="28" s="1"/>
  <c r="AK184" i="28"/>
  <c r="AL184" i="28" s="1"/>
  <c r="AJ184" i="28"/>
  <c r="T184" i="28" s="1"/>
  <c r="V184" i="28" s="1"/>
  <c r="AK183" i="28"/>
  <c r="AL183" i="28" s="1"/>
  <c r="AJ183" i="28"/>
  <c r="T183" i="28" s="1"/>
  <c r="AK182" i="28"/>
  <c r="AL182" i="28" s="1"/>
  <c r="AJ182" i="28"/>
  <c r="T182" i="28" s="1"/>
  <c r="V182" i="28" s="1"/>
  <c r="AK181" i="28"/>
  <c r="AL181" i="28" s="1"/>
  <c r="AJ181" i="28"/>
  <c r="T181" i="28" s="1"/>
  <c r="V181" i="28" s="1"/>
  <c r="AK180" i="28"/>
  <c r="AL180" i="28" s="1"/>
  <c r="AJ180" i="28"/>
  <c r="T180" i="28" s="1"/>
  <c r="V180" i="28" s="1"/>
  <c r="AK179" i="28"/>
  <c r="AJ179" i="28"/>
  <c r="T179" i="28" s="1"/>
  <c r="V179" i="28" s="1"/>
  <c r="AK178" i="28"/>
  <c r="AL178" i="28" s="1"/>
  <c r="AJ178" i="28"/>
  <c r="T178" i="28" s="1"/>
  <c r="AR177" i="28"/>
  <c r="AK177" i="28"/>
  <c r="AL177" i="28" s="1"/>
  <c r="AJ177" i="28"/>
  <c r="T177" i="28" s="1"/>
  <c r="V177" i="28" s="1"/>
  <c r="AH176" i="28"/>
  <c r="AG176" i="28"/>
  <c r="AG175" i="28" s="1"/>
  <c r="AF176" i="28"/>
  <c r="AF175" i="28" s="1"/>
  <c r="AE176" i="28"/>
  <c r="AE175" i="28" s="1"/>
  <c r="AD176" i="28"/>
  <c r="AD175" i="28" s="1"/>
  <c r="AC176" i="28"/>
  <c r="AC175" i="28" s="1"/>
  <c r="AA176" i="28"/>
  <c r="AA175" i="28" s="1"/>
  <c r="Z176" i="28"/>
  <c r="Z175" i="28" s="1"/>
  <c r="Y176" i="28"/>
  <c r="Y175" i="28" s="1"/>
  <c r="X176" i="28"/>
  <c r="X175" i="28" s="1"/>
  <c r="Q176" i="28"/>
  <c r="R184" i="28" s="1"/>
  <c r="P176" i="28"/>
  <c r="AB175" i="28"/>
  <c r="W175" i="28"/>
  <c r="S175" i="28"/>
  <c r="O175" i="28"/>
  <c r="AK174" i="28"/>
  <c r="AL174" i="28" s="1"/>
  <c r="AJ174" i="28"/>
  <c r="T174" i="28" s="1"/>
  <c r="V174" i="28" s="1"/>
  <c r="AK173" i="28"/>
  <c r="AL173" i="28" s="1"/>
  <c r="AJ173" i="28"/>
  <c r="T173" i="28" s="1"/>
  <c r="V173" i="28" s="1"/>
  <c r="AK172" i="28"/>
  <c r="AL172" i="28" s="1"/>
  <c r="AJ172" i="28"/>
  <c r="T172" i="28" s="1"/>
  <c r="V172" i="28" s="1"/>
  <c r="AK171" i="28"/>
  <c r="AL171" i="28" s="1"/>
  <c r="AJ171" i="28"/>
  <c r="T171" i="28" s="1"/>
  <c r="V171" i="28" s="1"/>
  <c r="AK170" i="28"/>
  <c r="AL170" i="28" s="1"/>
  <c r="AJ170" i="28"/>
  <c r="T170" i="28" s="1"/>
  <c r="V170" i="28" s="1"/>
  <c r="AK169" i="28"/>
  <c r="AL169" i="28" s="1"/>
  <c r="AJ169" i="28"/>
  <c r="T169" i="28" s="1"/>
  <c r="V169" i="28" s="1"/>
  <c r="AK168" i="28"/>
  <c r="AL168" i="28" s="1"/>
  <c r="AJ168" i="28"/>
  <c r="T168" i="28" s="1"/>
  <c r="V168" i="28" s="1"/>
  <c r="AK167" i="28"/>
  <c r="AL167" i="28" s="1"/>
  <c r="AJ167" i="28"/>
  <c r="T167" i="28" s="1"/>
  <c r="V167" i="28" s="1"/>
  <c r="AH166" i="28"/>
  <c r="AG166" i="28"/>
  <c r="AF166" i="28"/>
  <c r="AE166" i="28"/>
  <c r="AD166" i="28"/>
  <c r="AC166" i="28"/>
  <c r="AA166" i="28"/>
  <c r="Z166" i="28"/>
  <c r="Y166" i="28"/>
  <c r="X166" i="28"/>
  <c r="Q166" i="28"/>
  <c r="R173" i="28" s="1"/>
  <c r="P166" i="28"/>
  <c r="AK165" i="28"/>
  <c r="AL165" i="28" s="1"/>
  <c r="AJ165" i="28"/>
  <c r="T165" i="28" s="1"/>
  <c r="V165" i="28" s="1"/>
  <c r="AH164" i="28"/>
  <c r="AG164" i="28"/>
  <c r="AG163" i="28" s="1"/>
  <c r="AF164" i="28"/>
  <c r="AF163" i="28" s="1"/>
  <c r="AE164" i="28"/>
  <c r="AE163" i="28" s="1"/>
  <c r="AD164" i="28"/>
  <c r="AD163" i="28" s="1"/>
  <c r="AC164" i="28"/>
  <c r="AC163" i="28" s="1"/>
  <c r="AA164" i="28"/>
  <c r="AA163" i="28" s="1"/>
  <c r="Z164" i="28"/>
  <c r="Z163" i="28" s="1"/>
  <c r="Y164" i="28"/>
  <c r="Y163" i="28" s="1"/>
  <c r="X164" i="28"/>
  <c r="Q164" i="28"/>
  <c r="R165" i="28" s="1"/>
  <c r="P164" i="28"/>
  <c r="AB163" i="28"/>
  <c r="X163" i="28"/>
  <c r="W163" i="28"/>
  <c r="O163" i="28"/>
  <c r="AK162" i="28"/>
  <c r="AL162" i="28" s="1"/>
  <c r="AJ162" i="28"/>
  <c r="T162" i="28" s="1"/>
  <c r="V162" i="28" s="1"/>
  <c r="AK161" i="28"/>
  <c r="AL161" i="28" s="1"/>
  <c r="AJ161" i="28"/>
  <c r="T161" i="28" s="1"/>
  <c r="V161" i="28" s="1"/>
  <c r="AH160" i="28"/>
  <c r="AH156" i="28" s="1"/>
  <c r="AG160" i="28"/>
  <c r="AG156" i="28" s="1"/>
  <c r="AF160" i="28"/>
  <c r="AF156" i="28" s="1"/>
  <c r="AE160" i="28"/>
  <c r="AE156" i="28" s="1"/>
  <c r="AD160" i="28"/>
  <c r="AD156" i="28" s="1"/>
  <c r="AC160" i="28"/>
  <c r="AC156" i="28" s="1"/>
  <c r="AA160" i="28"/>
  <c r="AA156" i="28" s="1"/>
  <c r="Z160" i="28"/>
  <c r="Z156" i="28" s="1"/>
  <c r="Y160" i="28"/>
  <c r="Y156" i="28" s="1"/>
  <c r="X160" i="28"/>
  <c r="X156" i="28" s="1"/>
  <c r="Q160" i="28"/>
  <c r="R161" i="28" s="1"/>
  <c r="P160" i="28"/>
  <c r="P156" i="28" s="1"/>
  <c r="AK159" i="28"/>
  <c r="AL159" i="28" s="1"/>
  <c r="AJ159" i="28"/>
  <c r="T159" i="28" s="1"/>
  <c r="V159" i="28" s="1"/>
  <c r="AK158" i="28"/>
  <c r="AL158" i="28" s="1"/>
  <c r="AJ158" i="28"/>
  <c r="T158" i="28" s="1"/>
  <c r="V158" i="28" s="1"/>
  <c r="AH157" i="28"/>
  <c r="AG157" i="28"/>
  <c r="AF157" i="28"/>
  <c r="AE157" i="28"/>
  <c r="AD157" i="28"/>
  <c r="AC157" i="28"/>
  <c r="AA157" i="28"/>
  <c r="Z157" i="28"/>
  <c r="Y157" i="28"/>
  <c r="X157" i="28"/>
  <c r="Q157" i="28"/>
  <c r="R159" i="28" s="1"/>
  <c r="AB156" i="28"/>
  <c r="W156" i="28"/>
  <c r="O156" i="28"/>
  <c r="AK155" i="28"/>
  <c r="AL155" i="28" s="1"/>
  <c r="AJ155" i="28"/>
  <c r="T155" i="28" s="1"/>
  <c r="V155" i="28" s="1"/>
  <c r="AH155" i="28"/>
  <c r="AF155" i="28"/>
  <c r="AE155" i="28"/>
  <c r="AD155" i="28"/>
  <c r="AC155" i="28"/>
  <c r="AA155" i="28"/>
  <c r="Z155" i="28"/>
  <c r="Y155" i="28"/>
  <c r="X155" i="28"/>
  <c r="AH154" i="28"/>
  <c r="AF154" i="28"/>
  <c r="AE154" i="28"/>
  <c r="AD154" i="28"/>
  <c r="AC154" i="28"/>
  <c r="AA154" i="28"/>
  <c r="Z154" i="28"/>
  <c r="Y154" i="28"/>
  <c r="X154" i="28"/>
  <c r="Q154" i="28"/>
  <c r="AK154" i="28" s="1"/>
  <c r="AL154" i="28" s="1"/>
  <c r="AK153" i="28"/>
  <c r="AL153" i="28" s="1"/>
  <c r="AJ153" i="28"/>
  <c r="T153" i="28" s="1"/>
  <c r="V153" i="28" s="1"/>
  <c r="AH153" i="28"/>
  <c r="AF153" i="28"/>
  <c r="AE153" i="28"/>
  <c r="AD153" i="28"/>
  <c r="AC153" i="28"/>
  <c r="AA153" i="28"/>
  <c r="Z153" i="28"/>
  <c r="Y153" i="28"/>
  <c r="X153" i="28"/>
  <c r="AH152" i="28"/>
  <c r="AF152" i="28"/>
  <c r="AE152" i="28"/>
  <c r="AD152" i="28"/>
  <c r="AC152" i="28"/>
  <c r="AA152" i="28"/>
  <c r="Z152" i="28"/>
  <c r="Y152" i="28"/>
  <c r="X152" i="28"/>
  <c r="Q152" i="28"/>
  <c r="R155" i="28" s="1"/>
  <c r="AK151" i="28"/>
  <c r="AL151" i="28" s="1"/>
  <c r="AJ151" i="28"/>
  <c r="T151" i="28" s="1"/>
  <c r="V151" i="28" s="1"/>
  <c r="AH151" i="28"/>
  <c r="AF151" i="28"/>
  <c r="AE151" i="28"/>
  <c r="AD151" i="28"/>
  <c r="AC151" i="28"/>
  <c r="AA151" i="28"/>
  <c r="Z151" i="28"/>
  <c r="Y151" i="28"/>
  <c r="X151" i="28"/>
  <c r="AH150" i="28"/>
  <c r="AF150" i="28"/>
  <c r="AE150" i="28"/>
  <c r="AD150" i="28"/>
  <c r="AC150" i="28"/>
  <c r="AA150" i="28"/>
  <c r="Z150" i="28"/>
  <c r="Y150" i="28"/>
  <c r="X150" i="28"/>
  <c r="Q150" i="28"/>
  <c r="R151" i="28" s="1"/>
  <c r="P150" i="28"/>
  <c r="AK149" i="28"/>
  <c r="AL149" i="28" s="1"/>
  <c r="AJ149" i="28"/>
  <c r="T149" i="28" s="1"/>
  <c r="V149" i="28" s="1"/>
  <c r="AK148" i="28"/>
  <c r="AL148" i="28" s="1"/>
  <c r="AJ148" i="28"/>
  <c r="T148" i="28" s="1"/>
  <c r="V148" i="28" s="1"/>
  <c r="AH148" i="28"/>
  <c r="AG148" i="28"/>
  <c r="AF148" i="28"/>
  <c r="AE148" i="28"/>
  <c r="AD148" i="28"/>
  <c r="AC148" i="28"/>
  <c r="AA148" i="28"/>
  <c r="Z148" i="28"/>
  <c r="Y148" i="28"/>
  <c r="X148" i="28"/>
  <c r="AK147" i="28"/>
  <c r="AL147" i="28" s="1"/>
  <c r="AJ147" i="28"/>
  <c r="T147" i="28" s="1"/>
  <c r="V147" i="28" s="1"/>
  <c r="AH147" i="28"/>
  <c r="AG147" i="28"/>
  <c r="AF147" i="28"/>
  <c r="AE147" i="28"/>
  <c r="AD147" i="28"/>
  <c r="AC147" i="28"/>
  <c r="AA147" i="28"/>
  <c r="Z147" i="28"/>
  <c r="Y147" i="28"/>
  <c r="X147" i="28"/>
  <c r="AK146" i="28"/>
  <c r="AL146" i="28" s="1"/>
  <c r="AJ146" i="28"/>
  <c r="T146" i="28" s="1"/>
  <c r="V146" i="28" s="1"/>
  <c r="AH146" i="28"/>
  <c r="AG146" i="28"/>
  <c r="AF146" i="28"/>
  <c r="AE146" i="28"/>
  <c r="AD146" i="28"/>
  <c r="AC146" i="28"/>
  <c r="AA146" i="28"/>
  <c r="Z146" i="28"/>
  <c r="Y146" i="28"/>
  <c r="X146" i="28"/>
  <c r="AK145" i="28"/>
  <c r="AL145" i="28" s="1"/>
  <c r="AJ145" i="28"/>
  <c r="T145" i="28" s="1"/>
  <c r="V145" i="28" s="1"/>
  <c r="AH145" i="28"/>
  <c r="AG145" i="28"/>
  <c r="AF145" i="28"/>
  <c r="AE145" i="28"/>
  <c r="AD145" i="28"/>
  <c r="AC145" i="28"/>
  <c r="AA145" i="28"/>
  <c r="Z145" i="28"/>
  <c r="Y145" i="28"/>
  <c r="X145" i="28"/>
  <c r="AK144" i="28"/>
  <c r="AL144" i="28" s="1"/>
  <c r="AJ144" i="28"/>
  <c r="T144" i="28" s="1"/>
  <c r="V144" i="28" s="1"/>
  <c r="AH144" i="28"/>
  <c r="AG144" i="28"/>
  <c r="AF144" i="28"/>
  <c r="AE144" i="28"/>
  <c r="AD144" i="28"/>
  <c r="AC144" i="28"/>
  <c r="AA144" i="28"/>
  <c r="Z144" i="28"/>
  <c r="Y144" i="28"/>
  <c r="X144" i="28"/>
  <c r="AH143" i="28"/>
  <c r="AG143" i="28"/>
  <c r="AF143" i="28"/>
  <c r="AE143" i="28"/>
  <c r="AD143" i="28"/>
  <c r="AC143" i="28"/>
  <c r="AA143" i="28"/>
  <c r="Z143" i="28"/>
  <c r="Y143" i="28"/>
  <c r="X143" i="28"/>
  <c r="Q143" i="28"/>
  <c r="R147" i="28" s="1"/>
  <c r="P143" i="28"/>
  <c r="AK142" i="28"/>
  <c r="AL142" i="28" s="1"/>
  <c r="AJ142" i="28"/>
  <c r="T142" i="28" s="1"/>
  <c r="V142" i="28" s="1"/>
  <c r="AH142" i="28"/>
  <c r="AG142" i="28"/>
  <c r="AF142" i="28"/>
  <c r="AE142" i="28"/>
  <c r="AD142" i="28"/>
  <c r="AC142" i="28"/>
  <c r="AA142" i="28"/>
  <c r="Z142" i="28"/>
  <c r="Y142" i="28"/>
  <c r="X142" i="28"/>
  <c r="AK141" i="28"/>
  <c r="AL141" i="28" s="1"/>
  <c r="AJ141" i="28"/>
  <c r="T141" i="28" s="1"/>
  <c r="V141" i="28" s="1"/>
  <c r="AH141" i="28"/>
  <c r="AG141" i="28"/>
  <c r="AF141" i="28"/>
  <c r="AE141" i="28"/>
  <c r="AD141" i="28"/>
  <c r="AC141" i="28"/>
  <c r="AA141" i="28"/>
  <c r="Z141" i="28"/>
  <c r="Y141" i="28"/>
  <c r="X141" i="28"/>
  <c r="AK140" i="28"/>
  <c r="AL140" i="28" s="1"/>
  <c r="AJ140" i="28"/>
  <c r="T140" i="28" s="1"/>
  <c r="V140" i="28" s="1"/>
  <c r="AH140" i="28"/>
  <c r="AG140" i="28"/>
  <c r="AF140" i="28"/>
  <c r="AE140" i="28"/>
  <c r="AD140" i="28"/>
  <c r="AC140" i="28"/>
  <c r="AA140" i="28"/>
  <c r="Z140" i="28"/>
  <c r="Y140" i="28"/>
  <c r="X140" i="28"/>
  <c r="AH139" i="28"/>
  <c r="AG139" i="28"/>
  <c r="AF139" i="28"/>
  <c r="AE139" i="28"/>
  <c r="AD139" i="28"/>
  <c r="AC139" i="28"/>
  <c r="AA139" i="28"/>
  <c r="Z139" i="28"/>
  <c r="Y139" i="28"/>
  <c r="X139" i="28"/>
  <c r="Q139" i="28"/>
  <c r="R144" i="28" s="1"/>
  <c r="P139" i="28"/>
  <c r="AK138" i="28"/>
  <c r="AL138" i="28" s="1"/>
  <c r="AJ138" i="28"/>
  <c r="T138" i="28" s="1"/>
  <c r="V138" i="28" s="1"/>
  <c r="AH138" i="28"/>
  <c r="AG138" i="28"/>
  <c r="AK137" i="28"/>
  <c r="AL137" i="28" s="1"/>
  <c r="AJ137" i="28"/>
  <c r="T137" i="28" s="1"/>
  <c r="V137" i="28" s="1"/>
  <c r="AH136" i="28"/>
  <c r="AG136" i="28"/>
  <c r="Q136" i="28"/>
  <c r="R138" i="28" s="1"/>
  <c r="AK135" i="28"/>
  <c r="AL135" i="28" s="1"/>
  <c r="AJ135" i="28"/>
  <c r="T135" i="28" s="1"/>
  <c r="V135" i="28" s="1"/>
  <c r="AH134" i="28"/>
  <c r="AG134" i="28"/>
  <c r="AF134" i="28"/>
  <c r="AE134" i="28"/>
  <c r="AD134" i="28"/>
  <c r="AC134" i="28"/>
  <c r="AA134" i="28"/>
  <c r="Z134" i="28"/>
  <c r="Y134" i="28"/>
  <c r="X134" i="28"/>
  <c r="Q134" i="28"/>
  <c r="P134" i="28"/>
  <c r="AK133" i="28"/>
  <c r="AL133" i="28" s="1"/>
  <c r="AJ133" i="28"/>
  <c r="T133" i="28" s="1"/>
  <c r="V133" i="28" s="1"/>
  <c r="AK132" i="28"/>
  <c r="AL132" i="28" s="1"/>
  <c r="AJ132" i="28"/>
  <c r="T132" i="28" s="1"/>
  <c r="V132" i="28" s="1"/>
  <c r="AK131" i="28"/>
  <c r="AL131" i="28" s="1"/>
  <c r="AJ131" i="28"/>
  <c r="T131" i="28" s="1"/>
  <c r="V131" i="28" s="1"/>
  <c r="AK130" i="28"/>
  <c r="AL130" i="28" s="1"/>
  <c r="AJ130" i="28"/>
  <c r="T130" i="28" s="1"/>
  <c r="V130" i="28" s="1"/>
  <c r="AK129" i="28"/>
  <c r="AL129" i="28" s="1"/>
  <c r="AJ129" i="28"/>
  <c r="T129" i="28" s="1"/>
  <c r="V129" i="28" s="1"/>
  <c r="AK128" i="28"/>
  <c r="AL128" i="28" s="1"/>
  <c r="AJ128" i="28"/>
  <c r="T128" i="28" s="1"/>
  <c r="V128" i="28" s="1"/>
  <c r="AK127" i="28"/>
  <c r="AL127" i="28" s="1"/>
  <c r="AJ127" i="28"/>
  <c r="T127" i="28" s="1"/>
  <c r="V127" i="28" s="1"/>
  <c r="AH127" i="28"/>
  <c r="AG127" i="28"/>
  <c r="AF127" i="28"/>
  <c r="AE127" i="28"/>
  <c r="AD127" i="28"/>
  <c r="AC127" i="28"/>
  <c r="AA127" i="28"/>
  <c r="Z127" i="28"/>
  <c r="Y127" i="28"/>
  <c r="X127" i="28"/>
  <c r="AK126" i="28"/>
  <c r="AL126" i="28" s="1"/>
  <c r="AJ126" i="28"/>
  <c r="T126" i="28" s="1"/>
  <c r="V126" i="28" s="1"/>
  <c r="AH126" i="28"/>
  <c r="AG126" i="28"/>
  <c r="AF126" i="28"/>
  <c r="AE126" i="28"/>
  <c r="AD126" i="28"/>
  <c r="AC126" i="28"/>
  <c r="AA126" i="28"/>
  <c r="Z126" i="28"/>
  <c r="Y126" i="28"/>
  <c r="X126" i="28"/>
  <c r="AK125" i="28"/>
  <c r="AL125" i="28" s="1"/>
  <c r="AJ125" i="28"/>
  <c r="T125" i="28" s="1"/>
  <c r="V125" i="28" s="1"/>
  <c r="AH125" i="28"/>
  <c r="AG125" i="28"/>
  <c r="AF125" i="28"/>
  <c r="AE125" i="28"/>
  <c r="AD125" i="28"/>
  <c r="AC125" i="28"/>
  <c r="AA125" i="28"/>
  <c r="Z125" i="28"/>
  <c r="Y125" i="28"/>
  <c r="X125" i="28"/>
  <c r="AK124" i="28"/>
  <c r="AL124" i="28" s="1"/>
  <c r="AJ124" i="28"/>
  <c r="T124" i="28" s="1"/>
  <c r="V124" i="28" s="1"/>
  <c r="AH124" i="28"/>
  <c r="AG124" i="28"/>
  <c r="AF124" i="28"/>
  <c r="AE124" i="28"/>
  <c r="AD124" i="28"/>
  <c r="AC124" i="28"/>
  <c r="AA124" i="28"/>
  <c r="Z124" i="28"/>
  <c r="Y124" i="28"/>
  <c r="X124" i="28"/>
  <c r="AK123" i="28"/>
  <c r="AL123" i="28" s="1"/>
  <c r="AJ123" i="28"/>
  <c r="T123" i="28" s="1"/>
  <c r="V123" i="28" s="1"/>
  <c r="AH123" i="28"/>
  <c r="AG123" i="28"/>
  <c r="AF123" i="28"/>
  <c r="AE123" i="28"/>
  <c r="AD123" i="28"/>
  <c r="AC123" i="28"/>
  <c r="AA123" i="28"/>
  <c r="Z123" i="28"/>
  <c r="Y123" i="28"/>
  <c r="X123" i="28"/>
  <c r="AH122" i="28"/>
  <c r="AG122" i="28"/>
  <c r="AG119" i="28" s="1"/>
  <c r="AF122" i="28"/>
  <c r="AF119" i="28" s="1"/>
  <c r="AE122" i="28"/>
  <c r="AE119" i="28" s="1"/>
  <c r="AD122" i="28"/>
  <c r="AC122" i="28"/>
  <c r="AC119" i="28" s="1"/>
  <c r="AA122" i="28"/>
  <c r="Z122" i="28"/>
  <c r="Z119" i="28" s="1"/>
  <c r="Y122" i="28"/>
  <c r="Y119" i="28" s="1"/>
  <c r="X122" i="28"/>
  <c r="X119" i="28" s="1"/>
  <c r="Q122" i="28"/>
  <c r="R130" i="28" s="1"/>
  <c r="P122" i="28"/>
  <c r="AK121" i="28"/>
  <c r="AL121" i="28" s="1"/>
  <c r="AJ121" i="28"/>
  <c r="T121" i="28" s="1"/>
  <c r="V121" i="28" s="1"/>
  <c r="AH121" i="28"/>
  <c r="AG121" i="28"/>
  <c r="AF121" i="28"/>
  <c r="AE121" i="28"/>
  <c r="AD121" i="28"/>
  <c r="AC121" i="28"/>
  <c r="AA121" i="28"/>
  <c r="Z121" i="28"/>
  <c r="Y121" i="28"/>
  <c r="X121" i="28"/>
  <c r="AH120" i="28"/>
  <c r="AG120" i="28"/>
  <c r="AF120" i="28"/>
  <c r="AE120" i="28"/>
  <c r="AD120" i="28"/>
  <c r="AC120" i="28"/>
  <c r="AA120" i="28"/>
  <c r="Z120" i="28"/>
  <c r="Y120" i="28"/>
  <c r="X120" i="28"/>
  <c r="Q120" i="28"/>
  <c r="AJ120" i="28" s="1"/>
  <c r="T120" i="28" s="1"/>
  <c r="V120" i="28" s="1"/>
  <c r="P120" i="28"/>
  <c r="AD119" i="28"/>
  <c r="AB119" i="28"/>
  <c r="AA119" i="28"/>
  <c r="W119" i="28"/>
  <c r="O119" i="28"/>
  <c r="AK118" i="28"/>
  <c r="AL118" i="28" s="1"/>
  <c r="AJ118" i="28"/>
  <c r="T118" i="28" s="1"/>
  <c r="V118" i="28" s="1"/>
  <c r="AK117" i="28"/>
  <c r="AL117" i="28" s="1"/>
  <c r="AJ117" i="28"/>
  <c r="T117" i="28" s="1"/>
  <c r="V117" i="28" s="1"/>
  <c r="AK116" i="28"/>
  <c r="AL116" i="28" s="1"/>
  <c r="AJ116" i="28"/>
  <c r="T116" i="28" s="1"/>
  <c r="V116" i="28" s="1"/>
  <c r="AK115" i="28"/>
  <c r="AL115" i="28" s="1"/>
  <c r="AJ115" i="28"/>
  <c r="T115" i="28" s="1"/>
  <c r="V115" i="28" s="1"/>
  <c r="AK114" i="28"/>
  <c r="AL114" i="28" s="1"/>
  <c r="AJ114" i="28"/>
  <c r="T114" i="28" s="1"/>
  <c r="V114" i="28" s="1"/>
  <c r="AK113" i="28"/>
  <c r="AL113" i="28" s="1"/>
  <c r="AJ113" i="28"/>
  <c r="T113" i="28" s="1"/>
  <c r="V113" i="28" s="1"/>
  <c r="AK112" i="28"/>
  <c r="AL112" i="28" s="1"/>
  <c r="AJ112" i="28"/>
  <c r="T112" i="28" s="1"/>
  <c r="V112" i="28" s="1"/>
  <c r="AK111" i="28"/>
  <c r="AL111" i="28" s="1"/>
  <c r="AJ111" i="28"/>
  <c r="T111" i="28" s="1"/>
  <c r="V111" i="28" s="1"/>
  <c r="AK110" i="28"/>
  <c r="AL110" i="28" s="1"/>
  <c r="AJ110" i="28"/>
  <c r="T110" i="28" s="1"/>
  <c r="V110" i="28" s="1"/>
  <c r="AK109" i="28"/>
  <c r="AL109" i="28" s="1"/>
  <c r="AJ109" i="28"/>
  <c r="T109" i="28" s="1"/>
  <c r="V109" i="28" s="1"/>
  <c r="AK108" i="28"/>
  <c r="AL108" i="28" s="1"/>
  <c r="AJ108" i="28"/>
  <c r="T108" i="28" s="1"/>
  <c r="V108" i="28" s="1"/>
  <c r="AK107" i="28"/>
  <c r="AL107" i="28" s="1"/>
  <c r="AJ107" i="28"/>
  <c r="T107" i="28" s="1"/>
  <c r="V107" i="28" s="1"/>
  <c r="AK106" i="28"/>
  <c r="AL106" i="28" s="1"/>
  <c r="AJ106" i="28"/>
  <c r="T106" i="28" s="1"/>
  <c r="V106" i="28" s="1"/>
  <c r="AH105" i="28"/>
  <c r="AG105" i="28"/>
  <c r="AF105" i="28"/>
  <c r="AE105" i="28"/>
  <c r="AD105" i="28"/>
  <c r="AC105" i="28"/>
  <c r="AA105" i="28"/>
  <c r="Z105" i="28"/>
  <c r="Y105" i="28"/>
  <c r="X105" i="28"/>
  <c r="Q105" i="28"/>
  <c r="AJ105" i="28" s="1"/>
  <c r="T105" i="28" s="1"/>
  <c r="V105" i="28" s="1"/>
  <c r="P105" i="28"/>
  <c r="AK104" i="28"/>
  <c r="AL104" i="28" s="1"/>
  <c r="AJ104" i="28"/>
  <c r="T104" i="28" s="1"/>
  <c r="V104" i="28" s="1"/>
  <c r="AK103" i="28"/>
  <c r="AL103" i="28" s="1"/>
  <c r="AJ103" i="28"/>
  <c r="T103" i="28" s="1"/>
  <c r="V103" i="28" s="1"/>
  <c r="AK102" i="28"/>
  <c r="AL102" i="28" s="1"/>
  <c r="AJ102" i="28"/>
  <c r="T102" i="28" s="1"/>
  <c r="V102" i="28" s="1"/>
  <c r="AK101" i="28"/>
  <c r="AL101" i="28" s="1"/>
  <c r="AJ101" i="28"/>
  <c r="T101" i="28" s="1"/>
  <c r="V101" i="28" s="1"/>
  <c r="AK100" i="28"/>
  <c r="AL100" i="28" s="1"/>
  <c r="AJ100" i="28"/>
  <c r="T100" i="28" s="1"/>
  <c r="V100" i="28" s="1"/>
  <c r="AK99" i="28"/>
  <c r="AL99" i="28" s="1"/>
  <c r="AJ99" i="28"/>
  <c r="T99" i="28" s="1"/>
  <c r="V99" i="28" s="1"/>
  <c r="AK98" i="28"/>
  <c r="AL98" i="28" s="1"/>
  <c r="AJ98" i="28"/>
  <c r="T98" i="28" s="1"/>
  <c r="V98" i="28" s="1"/>
  <c r="AK97" i="28"/>
  <c r="AL97" i="28" s="1"/>
  <c r="AJ97" i="28"/>
  <c r="T97" i="28" s="1"/>
  <c r="V97" i="28" s="1"/>
  <c r="AK96" i="28"/>
  <c r="AL96" i="28" s="1"/>
  <c r="AJ96" i="28"/>
  <c r="T96" i="28" s="1"/>
  <c r="V96" i="28" s="1"/>
  <c r="AK95" i="28"/>
  <c r="AL95" i="28" s="1"/>
  <c r="AJ95" i="28"/>
  <c r="T95" i="28" s="1"/>
  <c r="V95" i="28" s="1"/>
  <c r="AK94" i="28"/>
  <c r="AL94" i="28" s="1"/>
  <c r="AJ94" i="28"/>
  <c r="T94" i="28" s="1"/>
  <c r="V94" i="28" s="1"/>
  <c r="AK93" i="28"/>
  <c r="AL93" i="28" s="1"/>
  <c r="AJ93" i="28"/>
  <c r="T93" i="28" s="1"/>
  <c r="V93" i="28" s="1"/>
  <c r="AK92" i="28"/>
  <c r="AL92" i="28" s="1"/>
  <c r="AJ92" i="28"/>
  <c r="T92" i="28" s="1"/>
  <c r="V92" i="28" s="1"/>
  <c r="AH91" i="28"/>
  <c r="AG91" i="28"/>
  <c r="AF91" i="28"/>
  <c r="AE91" i="28"/>
  <c r="AD91" i="28"/>
  <c r="AC91" i="28"/>
  <c r="AA91" i="28"/>
  <c r="Z91" i="28"/>
  <c r="Y91" i="28"/>
  <c r="X91" i="28"/>
  <c r="Q91" i="28"/>
  <c r="P91" i="28"/>
  <c r="AK90" i="28"/>
  <c r="AL90" i="28" s="1"/>
  <c r="AJ90" i="28"/>
  <c r="T90" i="28" s="1"/>
  <c r="V90" i="28" s="1"/>
  <c r="AH89" i="28"/>
  <c r="AG89" i="28"/>
  <c r="AF89" i="28"/>
  <c r="AE89" i="28"/>
  <c r="AD89" i="28"/>
  <c r="AC89" i="28"/>
  <c r="AA89" i="28"/>
  <c r="Z89" i="28"/>
  <c r="Y89" i="28"/>
  <c r="X89" i="28"/>
  <c r="Q89" i="28"/>
  <c r="R118" i="28" s="1"/>
  <c r="P89" i="28"/>
  <c r="AK88" i="28"/>
  <c r="AL88" i="28" s="1"/>
  <c r="AJ88" i="28"/>
  <c r="T88" i="28" s="1"/>
  <c r="V88" i="28" s="1"/>
  <c r="AH87" i="28"/>
  <c r="AG87" i="28"/>
  <c r="AF87" i="28"/>
  <c r="AE87" i="28"/>
  <c r="AD87" i="28"/>
  <c r="AC87" i="28"/>
  <c r="AA87" i="28"/>
  <c r="Z87" i="28"/>
  <c r="Y87" i="28"/>
  <c r="X87" i="28"/>
  <c r="Q87" i="28"/>
  <c r="R88" i="28" s="1"/>
  <c r="P87" i="28"/>
  <c r="AK86" i="28"/>
  <c r="AL86" i="28" s="1"/>
  <c r="AJ86" i="28"/>
  <c r="T86" i="28" s="1"/>
  <c r="V86" i="28" s="1"/>
  <c r="AK85" i="28"/>
  <c r="AL85" i="28" s="1"/>
  <c r="AJ85" i="28"/>
  <c r="T85" i="28" s="1"/>
  <c r="V85" i="28" s="1"/>
  <c r="AH84" i="28"/>
  <c r="AG84" i="28"/>
  <c r="AF84" i="28"/>
  <c r="AE84" i="28"/>
  <c r="AD84" i="28"/>
  <c r="AC84" i="28"/>
  <c r="AA84" i="28"/>
  <c r="Z84" i="28"/>
  <c r="Y84" i="28"/>
  <c r="X84" i="28"/>
  <c r="Q84" i="28"/>
  <c r="R86" i="28" s="1"/>
  <c r="P84" i="28"/>
  <c r="AK83" i="28"/>
  <c r="AL83" i="28" s="1"/>
  <c r="AJ83" i="28"/>
  <c r="T83" i="28" s="1"/>
  <c r="V83" i="28" s="1"/>
  <c r="AK82" i="28"/>
  <c r="AL82" i="28" s="1"/>
  <c r="AJ82" i="28"/>
  <c r="T82" i="28" s="1"/>
  <c r="V82" i="28" s="1"/>
  <c r="AH81" i="28"/>
  <c r="AG81" i="28"/>
  <c r="AF81" i="28"/>
  <c r="AE81" i="28"/>
  <c r="AD81" i="28"/>
  <c r="AC81" i="28"/>
  <c r="AA81" i="28"/>
  <c r="Z81" i="28"/>
  <c r="Y81" i="28"/>
  <c r="X81" i="28"/>
  <c r="Q81" i="28"/>
  <c r="R83" i="28" s="1"/>
  <c r="P81" i="28"/>
  <c r="AK80" i="28"/>
  <c r="AL80" i="28" s="1"/>
  <c r="AJ80" i="28"/>
  <c r="T80" i="28" s="1"/>
  <c r="V80" i="28" s="1"/>
  <c r="AK79" i="28"/>
  <c r="AL79" i="28" s="1"/>
  <c r="AJ79" i="28"/>
  <c r="T79" i="28" s="1"/>
  <c r="V79" i="28" s="1"/>
  <c r="AH78" i="28"/>
  <c r="AF78" i="28"/>
  <c r="AE78" i="28"/>
  <c r="AD78" i="28"/>
  <c r="AC78" i="28"/>
  <c r="AA78" i="28"/>
  <c r="Z78" i="28"/>
  <c r="Y78" i="28"/>
  <c r="X78" i="28"/>
  <c r="Q78" i="28"/>
  <c r="AJ78" i="28" s="1"/>
  <c r="T78" i="28" s="1"/>
  <c r="V78" i="28" s="1"/>
  <c r="AK77" i="28"/>
  <c r="AL77" i="28" s="1"/>
  <c r="AJ77" i="28"/>
  <c r="T77" i="28" s="1"/>
  <c r="V77" i="28" s="1"/>
  <c r="AH76" i="28"/>
  <c r="AF76" i="28"/>
  <c r="AE76" i="28"/>
  <c r="AD76" i="28"/>
  <c r="AC76" i="28"/>
  <c r="AA76" i="28"/>
  <c r="Z76" i="28"/>
  <c r="Y76" i="28"/>
  <c r="X76" i="28"/>
  <c r="Q76" i="28"/>
  <c r="AJ76" i="28" s="1"/>
  <c r="T76" i="28" s="1"/>
  <c r="V76" i="28" s="1"/>
  <c r="P76" i="28"/>
  <c r="AK75" i="28"/>
  <c r="AL75" i="28" s="1"/>
  <c r="AJ75" i="28"/>
  <c r="T75" i="28" s="1"/>
  <c r="V75" i="28" s="1"/>
  <c r="AK74" i="28"/>
  <c r="AL74" i="28" s="1"/>
  <c r="AJ74" i="28"/>
  <c r="T74" i="28" s="1"/>
  <c r="V74" i="28" s="1"/>
  <c r="AK73" i="28"/>
  <c r="AL73" i="28" s="1"/>
  <c r="AJ73" i="28"/>
  <c r="T73" i="28" s="1"/>
  <c r="V73" i="28" s="1"/>
  <c r="AK72" i="28"/>
  <c r="AL72" i="28" s="1"/>
  <c r="AJ72" i="28"/>
  <c r="T72" i="28" s="1"/>
  <c r="V72" i="28" s="1"/>
  <c r="AK71" i="28"/>
  <c r="AL71" i="28" s="1"/>
  <c r="AJ71" i="28"/>
  <c r="T71" i="28" s="1"/>
  <c r="V71" i="28" s="1"/>
  <c r="AH70" i="28"/>
  <c r="AG70" i="28"/>
  <c r="AF70" i="28"/>
  <c r="AE70" i="28"/>
  <c r="AD70" i="28"/>
  <c r="AC70" i="28"/>
  <c r="AA70" i="28"/>
  <c r="Z70" i="28"/>
  <c r="Y70" i="28"/>
  <c r="X70" i="28"/>
  <c r="Q70" i="28"/>
  <c r="R74" i="28" s="1"/>
  <c r="P70" i="28"/>
  <c r="AK69" i="28"/>
  <c r="AL69" i="28" s="1"/>
  <c r="AJ69" i="28"/>
  <c r="T69" i="28" s="1"/>
  <c r="V69" i="28" s="1"/>
  <c r="AK68" i="28"/>
  <c r="AL68" i="28" s="1"/>
  <c r="AJ68" i="28"/>
  <c r="T68" i="28" s="1"/>
  <c r="V68" i="28" s="1"/>
  <c r="AH67" i="28"/>
  <c r="AG67" i="28"/>
  <c r="AF67" i="28"/>
  <c r="AE67" i="28"/>
  <c r="AD67" i="28"/>
  <c r="AC67" i="28"/>
  <c r="AA67" i="28"/>
  <c r="Z67" i="28"/>
  <c r="Y67" i="28"/>
  <c r="X67" i="28"/>
  <c r="Q67" i="28"/>
  <c r="R69" i="28" s="1"/>
  <c r="P67" i="28"/>
  <c r="AK66" i="28"/>
  <c r="AL66" i="28" s="1"/>
  <c r="AJ66" i="28"/>
  <c r="T66" i="28" s="1"/>
  <c r="V66" i="28" s="1"/>
  <c r="AH66" i="28"/>
  <c r="AG66" i="28"/>
  <c r="AF66" i="28"/>
  <c r="AE66" i="28"/>
  <c r="AD66" i="28"/>
  <c r="AC66" i="28"/>
  <c r="AA66" i="28"/>
  <c r="Z66" i="28"/>
  <c r="Y66" i="28"/>
  <c r="X66" i="28"/>
  <c r="AK65" i="28"/>
  <c r="AL65" i="28" s="1"/>
  <c r="AJ65" i="28"/>
  <c r="T65" i="28" s="1"/>
  <c r="V65" i="28" s="1"/>
  <c r="AK64" i="28"/>
  <c r="AL64" i="28" s="1"/>
  <c r="AJ64" i="28"/>
  <c r="T64" i="28" s="1"/>
  <c r="V64" i="28" s="1"/>
  <c r="AH64" i="28"/>
  <c r="AG64" i="28"/>
  <c r="AF64" i="28"/>
  <c r="AE64" i="28"/>
  <c r="AD64" i="28"/>
  <c r="AC64" i="28"/>
  <c r="AA64" i="28"/>
  <c r="Z64" i="28"/>
  <c r="Y64" i="28"/>
  <c r="X64" i="28"/>
  <c r="AH63" i="28"/>
  <c r="AG63" i="28"/>
  <c r="AF63" i="28"/>
  <c r="AE63" i="28"/>
  <c r="AD63" i="28"/>
  <c r="AC63" i="28"/>
  <c r="AA63" i="28"/>
  <c r="Z63" i="28"/>
  <c r="Y63" i="28"/>
  <c r="X63" i="28"/>
  <c r="Q63" i="28"/>
  <c r="P63" i="28"/>
  <c r="AK62" i="28"/>
  <c r="AL62" i="28" s="1"/>
  <c r="AJ62" i="28"/>
  <c r="T62" i="28" s="1"/>
  <c r="V62" i="28" s="1"/>
  <c r="AH62" i="28"/>
  <c r="AG62" i="28"/>
  <c r="AF62" i="28"/>
  <c r="AE62" i="28"/>
  <c r="AD62" i="28"/>
  <c r="AC62" i="28"/>
  <c r="AA62" i="28"/>
  <c r="Z62" i="28"/>
  <c r="Y62" i="28"/>
  <c r="X62" i="28"/>
  <c r="AH61" i="28"/>
  <c r="AG61" i="28"/>
  <c r="AF61" i="28"/>
  <c r="AE61" i="28"/>
  <c r="AD61" i="28"/>
  <c r="AC61" i="28"/>
  <c r="AA61" i="28"/>
  <c r="Z61" i="28"/>
  <c r="Y61" i="28"/>
  <c r="X61" i="28"/>
  <c r="Q61" i="28"/>
  <c r="P61" i="28"/>
  <c r="AK60" i="28"/>
  <c r="AL60" i="28" s="1"/>
  <c r="AJ60" i="28"/>
  <c r="T60" i="28" s="1"/>
  <c r="V60" i="28" s="1"/>
  <c r="AH60" i="28"/>
  <c r="AG60" i="28"/>
  <c r="AF60" i="28"/>
  <c r="AE60" i="28"/>
  <c r="AD60" i="28"/>
  <c r="AC60" i="28"/>
  <c r="AA60" i="28"/>
  <c r="Z60" i="28"/>
  <c r="Y60" i="28"/>
  <c r="X60" i="28"/>
  <c r="AK59" i="28"/>
  <c r="AL59" i="28" s="1"/>
  <c r="AJ59" i="28"/>
  <c r="T59" i="28" s="1"/>
  <c r="V59" i="28" s="1"/>
  <c r="AK58" i="28"/>
  <c r="AL58" i="28" s="1"/>
  <c r="AJ58" i="28"/>
  <c r="T58" i="28" s="1"/>
  <c r="V58" i="28" s="1"/>
  <c r="AH58" i="28"/>
  <c r="AG58" i="28"/>
  <c r="AF58" i="28"/>
  <c r="AE58" i="28"/>
  <c r="AD58" i="28"/>
  <c r="AC58" i="28"/>
  <c r="AA58" i="28"/>
  <c r="Z58" i="28"/>
  <c r="Y58" i="28"/>
  <c r="X58" i="28"/>
  <c r="AH57" i="28"/>
  <c r="AG57" i="28"/>
  <c r="AF57" i="28"/>
  <c r="AE57" i="28"/>
  <c r="AD57" i="28"/>
  <c r="AC57" i="28"/>
  <c r="AA57" i="28"/>
  <c r="Z57" i="28"/>
  <c r="Y57" i="28"/>
  <c r="X57" i="28"/>
  <c r="Q57" i="28"/>
  <c r="AJ57" i="28" s="1"/>
  <c r="T57" i="28" s="1"/>
  <c r="V57" i="28" s="1"/>
  <c r="P57" i="28"/>
  <c r="A57" i="28"/>
  <c r="A61" i="28" s="1"/>
  <c r="A63" i="28" s="1"/>
  <c r="A67" i="28" s="1"/>
  <c r="A70" i="28" s="1"/>
  <c r="A76" i="28" s="1"/>
  <c r="A78" i="28" s="1"/>
  <c r="A81" i="28" s="1"/>
  <c r="A84" i="28" s="1"/>
  <c r="A87" i="28" s="1"/>
  <c r="A89" i="28" s="1"/>
  <c r="A91" i="28" s="1"/>
  <c r="A105" i="28" s="1"/>
  <c r="A120" i="28" s="1"/>
  <c r="A122" i="28" s="1"/>
  <c r="A134" i="28" s="1"/>
  <c r="A136" i="28" s="1"/>
  <c r="A139" i="28" s="1"/>
  <c r="A143" i="28" s="1"/>
  <c r="A150" i="28" s="1"/>
  <c r="A152" i="28" s="1"/>
  <c r="A154" i="28" s="1"/>
  <c r="A157" i="28" s="1"/>
  <c r="A160" i="28" s="1"/>
  <c r="A164" i="28" s="1"/>
  <c r="A166" i="28" s="1"/>
  <c r="A176" i="28" s="1"/>
  <c r="A188" i="28" s="1"/>
  <c r="AK56" i="28"/>
  <c r="AL56" i="28" s="1"/>
  <c r="AJ56" i="28"/>
  <c r="T56" i="28" s="1"/>
  <c r="V56" i="28" s="1"/>
  <c r="AH56" i="28"/>
  <c r="AG56" i="28"/>
  <c r="AF56" i="28"/>
  <c r="AE56" i="28"/>
  <c r="AD56" i="28"/>
  <c r="AC56" i="28"/>
  <c r="AA56" i="28"/>
  <c r="Z56" i="28"/>
  <c r="Y56" i="28"/>
  <c r="X56" i="28"/>
  <c r="AH55" i="28"/>
  <c r="AG55" i="28"/>
  <c r="AG54" i="28" s="1"/>
  <c r="AG53" i="28" s="1"/>
  <c r="AF55" i="28"/>
  <c r="AF54" i="28" s="1"/>
  <c r="AF53" i="28" s="1"/>
  <c r="AE55" i="28"/>
  <c r="AE54" i="28" s="1"/>
  <c r="AE53" i="28" s="1"/>
  <c r="AD55" i="28"/>
  <c r="AD54" i="28" s="1"/>
  <c r="AD53" i="28" s="1"/>
  <c r="AC55" i="28"/>
  <c r="AC54" i="28" s="1"/>
  <c r="AC53" i="28" s="1"/>
  <c r="AA55" i="28"/>
  <c r="AA54" i="28" s="1"/>
  <c r="AA53" i="28" s="1"/>
  <c r="Z55" i="28"/>
  <c r="Z54" i="28" s="1"/>
  <c r="Z53" i="28" s="1"/>
  <c r="Y55" i="28"/>
  <c r="Y54" i="28" s="1"/>
  <c r="Y53" i="28" s="1"/>
  <c r="X55" i="28"/>
  <c r="X54" i="28" s="1"/>
  <c r="X53" i="28" s="1"/>
  <c r="Q55" i="28"/>
  <c r="AB54" i="28"/>
  <c r="W54" i="28"/>
  <c r="W53" i="28" s="1"/>
  <c r="W33" i="28" s="1"/>
  <c r="S54" i="28"/>
  <c r="S53" i="28" s="1"/>
  <c r="O54" i="28"/>
  <c r="AK51" i="28"/>
  <c r="AL51" i="28" s="1"/>
  <c r="AJ51" i="28"/>
  <c r="T51" i="28" s="1"/>
  <c r="V51" i="28" s="1"/>
  <c r="Q50" i="28"/>
  <c r="AK49" i="28"/>
  <c r="AL49" i="28" s="1"/>
  <c r="AJ49" i="28"/>
  <c r="T49" i="28" s="1"/>
  <c r="V49" i="28" s="1"/>
  <c r="AK48" i="28"/>
  <c r="AL48" i="28" s="1"/>
  <c r="AJ48" i="28"/>
  <c r="T48" i="28" s="1"/>
  <c r="V48" i="28" s="1"/>
  <c r="Q47" i="28"/>
  <c r="AJ47" i="28" s="1"/>
  <c r="T47" i="28" s="1"/>
  <c r="V47" i="28" s="1"/>
  <c r="AI46" i="28"/>
  <c r="AK46" i="28" s="1"/>
  <c r="AL46" i="28" s="1"/>
  <c r="AI45" i="28"/>
  <c r="AK45" i="28" s="1"/>
  <c r="AL45" i="28" s="1"/>
  <c r="AI44" i="28"/>
  <c r="AK44" i="28" s="1"/>
  <c r="AL44" i="28" s="1"/>
  <c r="AI43" i="28"/>
  <c r="AK43" i="28" s="1"/>
  <c r="AL43" i="28" s="1"/>
  <c r="AI42" i="28"/>
  <c r="AK42" i="28" s="1"/>
  <c r="AL42" i="28" s="1"/>
  <c r="AI41" i="28"/>
  <c r="AK41" i="28" s="1"/>
  <c r="AL41" i="28" s="1"/>
  <c r="AI40" i="28"/>
  <c r="AK40" i="28" s="1"/>
  <c r="AL40" i="28" s="1"/>
  <c r="AI39" i="28"/>
  <c r="AK39" i="28" s="1"/>
  <c r="AL39" i="28" s="1"/>
  <c r="AI38" i="28"/>
  <c r="Q37" i="28"/>
  <c r="AH35" i="28"/>
  <c r="AG35" i="28"/>
  <c r="AG33" i="28" s="1"/>
  <c r="AF35" i="28"/>
  <c r="AF33" i="28" s="1"/>
  <c r="AE35" i="28"/>
  <c r="AD35" i="28"/>
  <c r="AD33" i="28" s="1"/>
  <c r="AC35" i="28"/>
  <c r="AC33" i="28" s="1"/>
  <c r="AA35" i="28"/>
  <c r="AA33" i="28" s="1"/>
  <c r="Z35" i="28"/>
  <c r="Z33" i="28" s="1"/>
  <c r="Y35" i="28"/>
  <c r="Y33" i="28" s="1"/>
  <c r="X35" i="28"/>
  <c r="X33" i="28" s="1"/>
  <c r="P35" i="28"/>
  <c r="AE33" i="28"/>
  <c r="S33" i="28"/>
  <c r="AK32" i="28"/>
  <c r="AB32" i="28"/>
  <c r="AB12" i="28" s="1"/>
  <c r="AA32" i="28"/>
  <c r="Z32" i="28"/>
  <c r="Y32" i="28"/>
  <c r="T32" i="28"/>
  <c r="V32" i="28" s="1"/>
  <c r="AK31" i="28"/>
  <c r="AB31" i="28"/>
  <c r="AA31" i="28"/>
  <c r="Z31" i="28"/>
  <c r="Y31" i="28"/>
  <c r="T31" i="28"/>
  <c r="V31" i="28" s="1"/>
  <c r="AK30" i="28"/>
  <c r="AB30" i="28"/>
  <c r="AA30" i="28"/>
  <c r="Z30" i="28"/>
  <c r="Y30" i="28"/>
  <c r="T30" i="28"/>
  <c r="V30" i="28" s="1"/>
  <c r="AK29" i="28"/>
  <c r="AL29" i="28" s="1"/>
  <c r="AJ29" i="28"/>
  <c r="T29" i="28" s="1"/>
  <c r="V29" i="28" s="1"/>
  <c r="AB29" i="28"/>
  <c r="AA29" i="28"/>
  <c r="Z29" i="28"/>
  <c r="Y29" i="28"/>
  <c r="AK28" i="28"/>
  <c r="AB28" i="28"/>
  <c r="AA28" i="28"/>
  <c r="Z28" i="28"/>
  <c r="Y28" i="28"/>
  <c r="T28" i="28"/>
  <c r="V28" i="28" s="1"/>
  <c r="AJ27" i="28"/>
  <c r="T27" i="28" s="1"/>
  <c r="V27" i="28" s="1"/>
  <c r="AK27" i="28"/>
  <c r="AL27" i="28" s="1"/>
  <c r="AB27" i="28"/>
  <c r="AA27" i="28"/>
  <c r="Y27" i="28"/>
  <c r="AI26" i="28"/>
  <c r="AH26" i="28"/>
  <c r="AG26" i="28"/>
  <c r="AG12" i="28" s="1"/>
  <c r="AF26" i="28"/>
  <c r="AF12" i="28" s="1"/>
  <c r="AE26" i="28"/>
  <c r="AE12" i="28" s="1"/>
  <c r="AD26" i="28"/>
  <c r="AD12" i="28" s="1"/>
  <c r="AC26" i="28"/>
  <c r="AC12" i="28" s="1"/>
  <c r="AA26" i="28"/>
  <c r="AA12" i="28" s="1"/>
  <c r="Z26" i="28"/>
  <c r="Z12" i="28" s="1"/>
  <c r="Y26" i="28"/>
  <c r="Y12" i="28" s="1"/>
  <c r="X26" i="28"/>
  <c r="X12" i="28" s="1"/>
  <c r="Q26" i="28"/>
  <c r="R26" i="28" s="1"/>
  <c r="P26" i="28"/>
  <c r="AC25" i="28"/>
  <c r="AH24" i="28"/>
  <c r="AG24" i="28"/>
  <c r="AF24" i="28"/>
  <c r="AE24" i="28"/>
  <c r="AD24" i="28"/>
  <c r="AC24" i="28"/>
  <c r="AA24" i="28"/>
  <c r="Z24" i="28"/>
  <c r="Y24" i="28"/>
  <c r="X24" i="28"/>
  <c r="Q24" i="28"/>
  <c r="P24" i="28"/>
  <c r="AK22" i="28"/>
  <c r="AL22" i="28" s="1"/>
  <c r="AJ21" i="28"/>
  <c r="T21" i="28" s="1"/>
  <c r="V21" i="28" s="1"/>
  <c r="AK21" i="28"/>
  <c r="AL21" i="28" s="1"/>
  <c r="AJ20" i="28"/>
  <c r="T20" i="28" s="1"/>
  <c r="V20" i="28" s="1"/>
  <c r="AK20" i="28"/>
  <c r="AL20" i="28" s="1"/>
  <c r="AK18" i="28"/>
  <c r="AL18" i="28" s="1"/>
  <c r="AJ17" i="28"/>
  <c r="T17" i="28" s="1"/>
  <c r="V17" i="28" s="1"/>
  <c r="AK17" i="28"/>
  <c r="AL17" i="28" s="1"/>
  <c r="AJ16" i="28"/>
  <c r="T16" i="28" s="1"/>
  <c r="V16" i="28" s="1"/>
  <c r="AJ15" i="28"/>
  <c r="T15" i="28" s="1"/>
  <c r="V15" i="28" s="1"/>
  <c r="AH14" i="28"/>
  <c r="AG14" i="28"/>
  <c r="AG10" i="28" s="1"/>
  <c r="AF14" i="28"/>
  <c r="AF10" i="28" s="1"/>
  <c r="AE14" i="28"/>
  <c r="AE10" i="28" s="1"/>
  <c r="AD14" i="28"/>
  <c r="AD10" i="28" s="1"/>
  <c r="AC14" i="28"/>
  <c r="AC10" i="28" s="1"/>
  <c r="AA14" i="28"/>
  <c r="AA10" i="28" s="1"/>
  <c r="Z14" i="28"/>
  <c r="Z10" i="28" s="1"/>
  <c r="Y14" i="28"/>
  <c r="Y10" i="28" s="1"/>
  <c r="X14" i="28"/>
  <c r="X10" i="28" s="1"/>
  <c r="Q14" i="28"/>
  <c r="AS15" i="28" s="1"/>
  <c r="P14" i="28"/>
  <c r="W12" i="28"/>
  <c r="P12" i="28"/>
  <c r="O12" i="28"/>
  <c r="AB10" i="28"/>
  <c r="W10" i="28"/>
  <c r="S10" i="28"/>
  <c r="O10" i="28"/>
  <c r="Q14" i="26"/>
  <c r="Q658" i="27"/>
  <c r="R663" i="27" s="1"/>
  <c r="AK661" i="27"/>
  <c r="AL661" i="27" s="1"/>
  <c r="AJ661" i="27"/>
  <c r="T661" i="27" s="1"/>
  <c r="AK664" i="27"/>
  <c r="AL664" i="27" s="1"/>
  <c r="AJ664" i="27"/>
  <c r="T664" i="27" s="1"/>
  <c r="V664" i="27" s="1"/>
  <c r="AK663" i="27"/>
  <c r="AL663" i="27" s="1"/>
  <c r="AJ663" i="27"/>
  <c r="T663" i="27" s="1"/>
  <c r="V663" i="27" s="1"/>
  <c r="AK636" i="27"/>
  <c r="AL636" i="27" s="1"/>
  <c r="AJ636" i="27"/>
  <c r="T636" i="27" s="1"/>
  <c r="Q630" i="27"/>
  <c r="R635" i="27" s="1"/>
  <c r="AK635" i="27"/>
  <c r="AL635" i="27" s="1"/>
  <c r="AJ635" i="27"/>
  <c r="T635" i="27" s="1"/>
  <c r="AK628" i="27"/>
  <c r="AL628" i="27" s="1"/>
  <c r="AJ628" i="27"/>
  <c r="T628" i="27" s="1"/>
  <c r="Q620" i="27"/>
  <c r="R628" i="27" s="1"/>
  <c r="AK600" i="27"/>
  <c r="AL600" i="27" s="1"/>
  <c r="AJ600" i="27"/>
  <c r="T600" i="27" s="1"/>
  <c r="Q587" i="27"/>
  <c r="R600" i="27" s="1"/>
  <c r="AK555" i="27"/>
  <c r="AL555" i="27" s="1"/>
  <c r="AJ555" i="27"/>
  <c r="T555" i="27" s="1"/>
  <c r="AK544" i="27"/>
  <c r="AL544" i="27" s="1"/>
  <c r="AJ544" i="27"/>
  <c r="T544" i="27" s="1"/>
  <c r="AK538" i="27"/>
  <c r="AL538" i="27" s="1"/>
  <c r="AJ538" i="27"/>
  <c r="T538" i="27" s="1"/>
  <c r="V538" i="27" s="1"/>
  <c r="AK522" i="27"/>
  <c r="AL522" i="27" s="1"/>
  <c r="AJ522" i="27"/>
  <c r="T522" i="27" s="1"/>
  <c r="AK516" i="27"/>
  <c r="AL516" i="27" s="1"/>
  <c r="AJ516" i="27"/>
  <c r="T516" i="27" s="1"/>
  <c r="AK513" i="27"/>
  <c r="AL513" i="27" s="1"/>
  <c r="AJ513" i="27"/>
  <c r="T513" i="27" s="1"/>
  <c r="AK504" i="27"/>
  <c r="AL504" i="27" s="1"/>
  <c r="AJ504" i="27"/>
  <c r="T504" i="27" s="1"/>
  <c r="Q498" i="27"/>
  <c r="R504" i="27" s="1"/>
  <c r="AK494" i="27"/>
  <c r="AL494" i="27" s="1"/>
  <c r="AJ494" i="27"/>
  <c r="T494" i="27" s="1"/>
  <c r="AK488" i="27"/>
  <c r="AL488" i="27" s="1"/>
  <c r="AJ488" i="27"/>
  <c r="T488" i="27" s="1"/>
  <c r="V488" i="27" s="1"/>
  <c r="Q484" i="27"/>
  <c r="R488" i="27" s="1"/>
  <c r="AK475" i="27"/>
  <c r="AL475" i="27" s="1"/>
  <c r="AJ475" i="27"/>
  <c r="T475" i="27" s="1"/>
  <c r="AK459" i="27"/>
  <c r="AL459" i="27" s="1"/>
  <c r="AJ459" i="27"/>
  <c r="T459" i="27" s="1"/>
  <c r="AK458" i="27"/>
  <c r="AL458" i="27" s="1"/>
  <c r="AJ458" i="27"/>
  <c r="T458" i="27" s="1"/>
  <c r="Q452" i="27"/>
  <c r="R458" i="27" s="1"/>
  <c r="AJ450" i="27"/>
  <c r="T450" i="27" s="1"/>
  <c r="V450" i="27" s="1"/>
  <c r="AK450" i="27"/>
  <c r="AL450" i="27" s="1"/>
  <c r="AK449" i="27"/>
  <c r="AL449" i="27" s="1"/>
  <c r="AJ449" i="27"/>
  <c r="T449" i="27" s="1"/>
  <c r="Q431" i="27"/>
  <c r="R434" i="27" s="1"/>
  <c r="AK441" i="27"/>
  <c r="AL441" i="27" s="1"/>
  <c r="AJ441" i="27"/>
  <c r="T441" i="27" s="1"/>
  <c r="AK440" i="27"/>
  <c r="AL440" i="27" s="1"/>
  <c r="AJ440" i="27"/>
  <c r="T440" i="27" s="1"/>
  <c r="AK439" i="27"/>
  <c r="AL439" i="27" s="1"/>
  <c r="AJ439" i="27"/>
  <c r="T439" i="27" s="1"/>
  <c r="P442" i="27"/>
  <c r="Q442" i="27"/>
  <c r="R445" i="27" s="1"/>
  <c r="X442" i="27"/>
  <c r="Y442" i="27"/>
  <c r="Z442" i="27"/>
  <c r="AA442" i="27"/>
  <c r="AC442" i="27"/>
  <c r="AD442" i="27"/>
  <c r="AE442" i="27"/>
  <c r="AF442" i="27"/>
  <c r="AG442" i="27"/>
  <c r="AH442" i="27"/>
  <c r="AI442" i="27"/>
  <c r="AK406" i="27"/>
  <c r="AL406" i="27" s="1"/>
  <c r="AJ406" i="27"/>
  <c r="T406" i="27" s="1"/>
  <c r="V406" i="27" s="1"/>
  <c r="AK402" i="27"/>
  <c r="AL402" i="27" s="1"/>
  <c r="AJ402" i="27"/>
  <c r="T402" i="27" s="1"/>
  <c r="AK401" i="27"/>
  <c r="AL401" i="27" s="1"/>
  <c r="AJ401" i="27"/>
  <c r="T401" i="27" s="1"/>
  <c r="AK358" i="27"/>
  <c r="AL358" i="27" s="1"/>
  <c r="AJ358" i="27"/>
  <c r="T358" i="27" s="1"/>
  <c r="AK326" i="27"/>
  <c r="AL326" i="27" s="1"/>
  <c r="AJ326" i="27"/>
  <c r="T326" i="27" s="1"/>
  <c r="Q320" i="27"/>
  <c r="R326" i="27" s="1"/>
  <c r="AK309" i="27"/>
  <c r="AL309" i="27" s="1"/>
  <c r="AJ309" i="27"/>
  <c r="T309" i="27" s="1"/>
  <c r="V309" i="27" s="1"/>
  <c r="AK306" i="27"/>
  <c r="AL306" i="27" s="1"/>
  <c r="AJ306" i="27"/>
  <c r="T306" i="27" s="1"/>
  <c r="V306" i="27" s="1"/>
  <c r="AK301" i="27"/>
  <c r="AL301" i="27" s="1"/>
  <c r="AJ301" i="27"/>
  <c r="T301" i="27" s="1"/>
  <c r="Q292" i="27"/>
  <c r="R301" i="27" s="1"/>
  <c r="AK295" i="27"/>
  <c r="AL295" i="27" s="1"/>
  <c r="AJ295" i="27"/>
  <c r="T295" i="27" s="1"/>
  <c r="AK288" i="27"/>
  <c r="AL288" i="27" s="1"/>
  <c r="AK289" i="27"/>
  <c r="AL289" i="27" s="1"/>
  <c r="AK290" i="27"/>
  <c r="AL290" i="27" s="1"/>
  <c r="AJ288" i="27"/>
  <c r="T288" i="27" s="1"/>
  <c r="V288" i="27" s="1"/>
  <c r="AJ289" i="27"/>
  <c r="T289" i="27" s="1"/>
  <c r="V289" i="27" s="1"/>
  <c r="AJ290" i="27"/>
  <c r="T290" i="27" s="1"/>
  <c r="V290" i="27" s="1"/>
  <c r="Q282" i="27"/>
  <c r="Q259" i="27"/>
  <c r="R264" i="27" s="1"/>
  <c r="AI236" i="27"/>
  <c r="Q236" i="27"/>
  <c r="AK285" i="27"/>
  <c r="AL285" i="27" s="1"/>
  <c r="AJ285" i="27"/>
  <c r="T285" i="27" s="1"/>
  <c r="V285" i="27" s="1"/>
  <c r="AK264" i="27"/>
  <c r="AL264" i="27" s="1"/>
  <c r="AK265" i="27"/>
  <c r="AL265" i="27" s="1"/>
  <c r="AK266" i="27"/>
  <c r="AL266" i="27" s="1"/>
  <c r="AJ264" i="27"/>
  <c r="T264" i="27" s="1"/>
  <c r="V264" i="27" s="1"/>
  <c r="AJ265" i="27"/>
  <c r="T265" i="27" s="1"/>
  <c r="AJ266" i="27"/>
  <c r="T266" i="27" s="1"/>
  <c r="AI157" i="27"/>
  <c r="AI160" i="27"/>
  <c r="AI166" i="27"/>
  <c r="AI176" i="27"/>
  <c r="AI188" i="27"/>
  <c r="AI196" i="27"/>
  <c r="AI204" i="27"/>
  <c r="AK201" i="27"/>
  <c r="AL201" i="27" s="1"/>
  <c r="AJ201" i="27"/>
  <c r="T201" i="27" s="1"/>
  <c r="V201" i="27" s="1"/>
  <c r="AI211" i="27"/>
  <c r="AI217" i="27"/>
  <c r="AI225" i="27"/>
  <c r="AJ241" i="27"/>
  <c r="T241" i="27" s="1"/>
  <c r="V241" i="27" s="1"/>
  <c r="AK241" i="27"/>
  <c r="AL241" i="27" s="1"/>
  <c r="AJ242" i="27"/>
  <c r="T242" i="27" s="1"/>
  <c r="V242" i="27" s="1"/>
  <c r="AK242" i="27"/>
  <c r="AL242" i="27" s="1"/>
  <c r="AK230" i="27"/>
  <c r="AL230" i="27" s="1"/>
  <c r="AJ230" i="27"/>
  <c r="T230" i="27" s="1"/>
  <c r="V230" i="27" s="1"/>
  <c r="AK208" i="27"/>
  <c r="AL208" i="27" s="1"/>
  <c r="AJ208" i="27"/>
  <c r="T208" i="27" s="1"/>
  <c r="V208" i="27" s="1"/>
  <c r="AH208" i="27"/>
  <c r="AG208" i="27"/>
  <c r="AF208" i="27"/>
  <c r="AE208" i="27"/>
  <c r="AD208" i="27"/>
  <c r="AC208" i="27"/>
  <c r="AA208" i="27"/>
  <c r="Z208" i="27"/>
  <c r="Y208" i="27"/>
  <c r="X208" i="27"/>
  <c r="Q225" i="27"/>
  <c r="R242" i="27" s="1"/>
  <c r="AI270" i="27"/>
  <c r="AK240" i="27"/>
  <c r="AL240" i="27" s="1"/>
  <c r="AJ240" i="27"/>
  <c r="T240" i="27" s="1"/>
  <c r="AK239" i="27"/>
  <c r="AL239" i="27" s="1"/>
  <c r="AJ239" i="27"/>
  <c r="T239" i="27" s="1"/>
  <c r="V239" i="27" s="1"/>
  <c r="AK238" i="27"/>
  <c r="AL238" i="27" s="1"/>
  <c r="AJ238" i="27"/>
  <c r="T238" i="27" s="1"/>
  <c r="V238" i="27" s="1"/>
  <c r="AK237" i="27"/>
  <c r="AL237" i="27" s="1"/>
  <c r="AJ237" i="27"/>
  <c r="T237" i="27" s="1"/>
  <c r="AH236" i="27"/>
  <c r="AG236" i="27"/>
  <c r="AF236" i="27"/>
  <c r="AE236" i="27"/>
  <c r="AD236" i="27"/>
  <c r="AC236" i="27"/>
  <c r="AA236" i="27"/>
  <c r="Z236" i="27"/>
  <c r="Y236" i="27"/>
  <c r="X236" i="27"/>
  <c r="P236" i="27"/>
  <c r="AK233" i="27"/>
  <c r="AL233" i="27" s="1"/>
  <c r="AK234" i="27"/>
  <c r="AL234" i="27" s="1"/>
  <c r="AK235" i="27"/>
  <c r="AL235" i="27" s="1"/>
  <c r="AJ233" i="27"/>
  <c r="T233" i="27" s="1"/>
  <c r="V233" i="27" s="1"/>
  <c r="AJ234" i="27"/>
  <c r="T234" i="27" s="1"/>
  <c r="AJ235" i="27"/>
  <c r="T235" i="27" s="1"/>
  <c r="AK224" i="27"/>
  <c r="AL224" i="27" s="1"/>
  <c r="AJ224" i="27"/>
  <c r="T224" i="27" s="1"/>
  <c r="V224" i="27" s="1"/>
  <c r="Q217" i="27"/>
  <c r="R223" i="27" s="1"/>
  <c r="AK216" i="27"/>
  <c r="AL216" i="27" s="1"/>
  <c r="AJ216" i="27"/>
  <c r="T216" i="27" s="1"/>
  <c r="V216" i="27" s="1"/>
  <c r="Q211" i="27"/>
  <c r="R214" i="27" s="1"/>
  <c r="AJ186" i="27"/>
  <c r="V187" i="27"/>
  <c r="AK187" i="27"/>
  <c r="AL187" i="27" s="1"/>
  <c r="AK179" i="27"/>
  <c r="AJ179" i="27"/>
  <c r="T179" i="27" s="1"/>
  <c r="Q176" i="27"/>
  <c r="R182" i="27" s="1"/>
  <c r="AK173" i="27"/>
  <c r="AL173" i="27" s="1"/>
  <c r="Q166" i="27"/>
  <c r="AJ173" i="27"/>
  <c r="T173" i="27" s="1"/>
  <c r="AK155" i="27"/>
  <c r="AL155" i="27" s="1"/>
  <c r="AJ155" i="27"/>
  <c r="T155" i="27" s="1"/>
  <c r="V155" i="27" s="1"/>
  <c r="AH155" i="27"/>
  <c r="AF155" i="27"/>
  <c r="AE155" i="27"/>
  <c r="AD155" i="27"/>
  <c r="AC155" i="27"/>
  <c r="AA155" i="27"/>
  <c r="Z155" i="27"/>
  <c r="Y155" i="27"/>
  <c r="X155" i="27"/>
  <c r="AI154" i="27"/>
  <c r="AH154" i="27"/>
  <c r="AF154" i="27"/>
  <c r="AE154" i="27"/>
  <c r="AD154" i="27"/>
  <c r="AC154" i="27"/>
  <c r="AA154" i="27"/>
  <c r="Z154" i="27"/>
  <c r="Y154" i="27"/>
  <c r="X154" i="27"/>
  <c r="Q154" i="27"/>
  <c r="AI143" i="27"/>
  <c r="Q143" i="27"/>
  <c r="AK144" i="27"/>
  <c r="AL144" i="27" s="1"/>
  <c r="AJ144" i="27"/>
  <c r="T144" i="27" s="1"/>
  <c r="V144" i="27" s="1"/>
  <c r="AH144" i="27"/>
  <c r="AG144" i="27"/>
  <c r="AF144" i="27"/>
  <c r="AE144" i="27"/>
  <c r="AD144" i="27"/>
  <c r="AC144" i="27"/>
  <c r="AA144" i="27"/>
  <c r="Z144" i="27"/>
  <c r="Y144" i="27"/>
  <c r="X144" i="27"/>
  <c r="AI139" i="27"/>
  <c r="AI136" i="27"/>
  <c r="AI134" i="27"/>
  <c r="AI122" i="27"/>
  <c r="AI120" i="27"/>
  <c r="AI105" i="27"/>
  <c r="AI91" i="27"/>
  <c r="AI89" i="27"/>
  <c r="AI87" i="27"/>
  <c r="AI84" i="27"/>
  <c r="AI81" i="27"/>
  <c r="AI78" i="27"/>
  <c r="AI76" i="27"/>
  <c r="AI70" i="27"/>
  <c r="AI67" i="27"/>
  <c r="AI63" i="27"/>
  <c r="AI61" i="27"/>
  <c r="AI57" i="27"/>
  <c r="AI55" i="27"/>
  <c r="AI50" i="27"/>
  <c r="AI47" i="27"/>
  <c r="AH134" i="27"/>
  <c r="AG134" i="27"/>
  <c r="AF134" i="27"/>
  <c r="AE134" i="27"/>
  <c r="AD134" i="27"/>
  <c r="AC134" i="27"/>
  <c r="AA134" i="27"/>
  <c r="Z134" i="27"/>
  <c r="Y134" i="27"/>
  <c r="X134" i="27"/>
  <c r="AK135" i="27"/>
  <c r="AL135" i="27" s="1"/>
  <c r="AJ135" i="27"/>
  <c r="T135" i="27" s="1"/>
  <c r="V135" i="27" s="1"/>
  <c r="Q122" i="27"/>
  <c r="R131" i="27" s="1"/>
  <c r="Q120" i="27"/>
  <c r="AK133" i="27"/>
  <c r="AL133" i="27" s="1"/>
  <c r="AJ133" i="27"/>
  <c r="T133" i="27" s="1"/>
  <c r="V133" i="27" s="1"/>
  <c r="AK132" i="27"/>
  <c r="AL132" i="27" s="1"/>
  <c r="AJ132" i="27"/>
  <c r="T132" i="27" s="1"/>
  <c r="V132" i="27" s="1"/>
  <c r="AK131" i="27"/>
  <c r="AL131" i="27" s="1"/>
  <c r="AJ131" i="27"/>
  <c r="T131" i="27" s="1"/>
  <c r="V131" i="27" s="1"/>
  <c r="AK127" i="27"/>
  <c r="AL127" i="27" s="1"/>
  <c r="AJ127" i="27"/>
  <c r="T127" i="27" s="1"/>
  <c r="V127" i="27" s="1"/>
  <c r="AH127" i="27"/>
  <c r="AG127" i="27"/>
  <c r="AF127" i="27"/>
  <c r="AE127" i="27"/>
  <c r="AD127" i="27"/>
  <c r="AC127" i="27"/>
  <c r="AA127" i="27"/>
  <c r="Z127" i="27"/>
  <c r="Y127" i="27"/>
  <c r="X127" i="27"/>
  <c r="AK121" i="27"/>
  <c r="AL121" i="27" s="1"/>
  <c r="AJ121" i="27"/>
  <c r="T121" i="27" s="1"/>
  <c r="AH121" i="27"/>
  <c r="AG121" i="27"/>
  <c r="AF121" i="27"/>
  <c r="AE121" i="27"/>
  <c r="AD121" i="27"/>
  <c r="AC121" i="27"/>
  <c r="AA121" i="27"/>
  <c r="Z121" i="27"/>
  <c r="Y121" i="27"/>
  <c r="X121" i="27"/>
  <c r="AH120" i="27"/>
  <c r="AG120" i="27"/>
  <c r="AF120" i="27"/>
  <c r="AE120" i="27"/>
  <c r="AD120" i="27"/>
  <c r="AC120" i="27"/>
  <c r="AA120" i="27"/>
  <c r="Z120" i="27"/>
  <c r="Y120" i="27"/>
  <c r="X120" i="27"/>
  <c r="P120" i="27"/>
  <c r="Q579" i="27"/>
  <c r="AK110" i="27"/>
  <c r="AL110" i="27" s="1"/>
  <c r="AJ110" i="27"/>
  <c r="T110" i="27" s="1"/>
  <c r="V110" i="27" s="1"/>
  <c r="Q105" i="27"/>
  <c r="AK118" i="27"/>
  <c r="AL118" i="27" s="1"/>
  <c r="AJ118" i="27"/>
  <c r="T118" i="27" s="1"/>
  <c r="V118" i="27" s="1"/>
  <c r="AK117" i="27"/>
  <c r="AL117" i="27" s="1"/>
  <c r="AJ117" i="27"/>
  <c r="T117" i="27" s="1"/>
  <c r="AK116" i="27"/>
  <c r="AL116" i="27" s="1"/>
  <c r="AJ116" i="27"/>
  <c r="T116" i="27" s="1"/>
  <c r="V116" i="27" s="1"/>
  <c r="AK115" i="27"/>
  <c r="AL115" i="27" s="1"/>
  <c r="AJ115" i="27"/>
  <c r="T115" i="27" s="1"/>
  <c r="V115" i="27" s="1"/>
  <c r="AK114" i="27"/>
  <c r="AL114" i="27" s="1"/>
  <c r="AJ114" i="27"/>
  <c r="T114" i="27" s="1"/>
  <c r="AK113" i="27"/>
  <c r="AL113" i="27" s="1"/>
  <c r="AJ113" i="27"/>
  <c r="T113" i="27" s="1"/>
  <c r="V113" i="27" s="1"/>
  <c r="AK112" i="27"/>
  <c r="AL112" i="27" s="1"/>
  <c r="AJ112" i="27"/>
  <c r="T112" i="27" s="1"/>
  <c r="V112" i="27" s="1"/>
  <c r="AK111" i="27"/>
  <c r="AL111" i="27" s="1"/>
  <c r="AJ111" i="27"/>
  <c r="T111" i="27" s="1"/>
  <c r="V111" i="27" s="1"/>
  <c r="AK109" i="27"/>
  <c r="AL109" i="27" s="1"/>
  <c r="AJ109" i="27"/>
  <c r="T109" i="27" s="1"/>
  <c r="AK108" i="27"/>
  <c r="AL108" i="27" s="1"/>
  <c r="AJ108" i="27"/>
  <c r="T108" i="27" s="1"/>
  <c r="V108" i="27" s="1"/>
  <c r="AK107" i="27"/>
  <c r="AL107" i="27" s="1"/>
  <c r="AJ107" i="27"/>
  <c r="T107" i="27" s="1"/>
  <c r="V107" i="27" s="1"/>
  <c r="AK106" i="27"/>
  <c r="AL106" i="27" s="1"/>
  <c r="AJ106" i="27"/>
  <c r="T106" i="27" s="1"/>
  <c r="V106" i="27" s="1"/>
  <c r="AH105" i="27"/>
  <c r="AG105" i="27"/>
  <c r="AF105" i="27"/>
  <c r="AE105" i="27"/>
  <c r="AD105" i="27"/>
  <c r="AC105" i="27"/>
  <c r="AA105" i="27"/>
  <c r="Z105" i="27"/>
  <c r="Y105" i="27"/>
  <c r="X105" i="27"/>
  <c r="P105" i="27"/>
  <c r="Q91" i="27"/>
  <c r="AK104" i="27"/>
  <c r="AL104" i="27" s="1"/>
  <c r="AJ104" i="27"/>
  <c r="T104" i="27" s="1"/>
  <c r="V104" i="27" s="1"/>
  <c r="AK103" i="27"/>
  <c r="AL103" i="27" s="1"/>
  <c r="AJ103" i="27"/>
  <c r="T103" i="27" s="1"/>
  <c r="V103" i="27" s="1"/>
  <c r="AK102" i="27"/>
  <c r="AL102" i="27" s="1"/>
  <c r="AJ102" i="27"/>
  <c r="T102" i="27" s="1"/>
  <c r="V102" i="27" s="1"/>
  <c r="AK101" i="27"/>
  <c r="AL101" i="27" s="1"/>
  <c r="AJ101" i="27"/>
  <c r="T101" i="27" s="1"/>
  <c r="V101" i="27" s="1"/>
  <c r="AK100" i="27"/>
  <c r="AL100" i="27" s="1"/>
  <c r="AJ100" i="27"/>
  <c r="T100" i="27" s="1"/>
  <c r="AK99" i="27"/>
  <c r="AL99" i="27" s="1"/>
  <c r="AJ99" i="27"/>
  <c r="T99" i="27" s="1"/>
  <c r="V99" i="27" s="1"/>
  <c r="AK98" i="27"/>
  <c r="AL98" i="27" s="1"/>
  <c r="AJ98" i="27"/>
  <c r="T98" i="27" s="1"/>
  <c r="V98" i="27" s="1"/>
  <c r="AK97" i="27"/>
  <c r="AL97" i="27" s="1"/>
  <c r="AJ97" i="27"/>
  <c r="T97" i="27" s="1"/>
  <c r="V97" i="27" s="1"/>
  <c r="AK96" i="27"/>
  <c r="AL96" i="27" s="1"/>
  <c r="AJ96" i="27"/>
  <c r="T96" i="27" s="1"/>
  <c r="V96" i="27" s="1"/>
  <c r="AK95" i="27"/>
  <c r="AL95" i="27" s="1"/>
  <c r="AJ95" i="27"/>
  <c r="T95" i="27" s="1"/>
  <c r="V95" i="27" s="1"/>
  <c r="AK94" i="27"/>
  <c r="AL94" i="27" s="1"/>
  <c r="AJ94" i="27"/>
  <c r="T94" i="27" s="1"/>
  <c r="V94" i="27" s="1"/>
  <c r="AK93" i="27"/>
  <c r="AL93" i="27" s="1"/>
  <c r="AJ93" i="27"/>
  <c r="T93" i="27" s="1"/>
  <c r="V93" i="27" s="1"/>
  <c r="AK92" i="27"/>
  <c r="AL92" i="27" s="1"/>
  <c r="AJ92" i="27"/>
  <c r="T92" i="27" s="1"/>
  <c r="V92" i="27" s="1"/>
  <c r="AH91" i="27"/>
  <c r="AG91" i="27"/>
  <c r="AF91" i="27"/>
  <c r="AE91" i="27"/>
  <c r="AD91" i="27"/>
  <c r="AC91" i="27"/>
  <c r="AA91" i="27"/>
  <c r="Z91" i="27"/>
  <c r="Y91" i="27"/>
  <c r="X91" i="27"/>
  <c r="P91" i="27"/>
  <c r="Q81" i="27"/>
  <c r="R83" i="27" s="1"/>
  <c r="Q70" i="27"/>
  <c r="R75" i="27" s="1"/>
  <c r="AK75" i="27"/>
  <c r="AL75" i="27" s="1"/>
  <c r="AJ75" i="27"/>
  <c r="T75" i="27" s="1"/>
  <c r="V75" i="27" s="1"/>
  <c r="Q37" i="27"/>
  <c r="Q14" i="27"/>
  <c r="AS15" i="27" s="1"/>
  <c r="A700" i="27"/>
  <c r="A696" i="27"/>
  <c r="A690" i="27"/>
  <c r="A687" i="27"/>
  <c r="P666" i="27"/>
  <c r="P657" i="27" s="1"/>
  <c r="O666" i="27"/>
  <c r="O657" i="27" s="1"/>
  <c r="O243" i="27" s="1"/>
  <c r="AK665" i="27"/>
  <c r="AL665" i="27" s="1"/>
  <c r="AJ665" i="27"/>
  <c r="T665" i="27" s="1"/>
  <c r="V665" i="27" s="1"/>
  <c r="AK662" i="27"/>
  <c r="AL662" i="27" s="1"/>
  <c r="AJ662" i="27"/>
  <c r="T662" i="27" s="1"/>
  <c r="V662" i="27" s="1"/>
  <c r="AK660" i="27"/>
  <c r="AL660" i="27" s="1"/>
  <c r="AJ660" i="27"/>
  <c r="T660" i="27" s="1"/>
  <c r="V660" i="27" s="1"/>
  <c r="AK659" i="27"/>
  <c r="AL659" i="27" s="1"/>
  <c r="AJ659" i="27"/>
  <c r="T659" i="27" s="1"/>
  <c r="V659" i="27" s="1"/>
  <c r="AI658" i="27"/>
  <c r="AH658" i="27"/>
  <c r="AH657" i="27" s="1"/>
  <c r="AG658" i="27"/>
  <c r="AG657" i="27" s="1"/>
  <c r="AF657" i="27"/>
  <c r="AE657" i="27"/>
  <c r="AD657" i="27"/>
  <c r="AC657" i="27"/>
  <c r="AB657" i="27"/>
  <c r="AA657" i="27"/>
  <c r="Z657" i="27"/>
  <c r="Y657" i="27"/>
  <c r="X657" i="27"/>
  <c r="W657" i="27"/>
  <c r="AK656" i="27"/>
  <c r="AL656" i="27" s="1"/>
  <c r="AJ656" i="27"/>
  <c r="T656" i="27" s="1"/>
  <c r="V656" i="27" s="1"/>
  <c r="AK655" i="27"/>
  <c r="AL655" i="27" s="1"/>
  <c r="AJ655" i="27"/>
  <c r="T655" i="27" s="1"/>
  <c r="V655" i="27" s="1"/>
  <c r="AK654" i="27"/>
  <c r="AL654" i="27" s="1"/>
  <c r="AJ654" i="27"/>
  <c r="T654" i="27" s="1"/>
  <c r="V654" i="27" s="1"/>
  <c r="AK653" i="27"/>
  <c r="AL653" i="27" s="1"/>
  <c r="AJ653" i="27"/>
  <c r="T653" i="27" s="1"/>
  <c r="V653" i="27" s="1"/>
  <c r="AK652" i="27"/>
  <c r="AL652" i="27" s="1"/>
  <c r="AJ652" i="27"/>
  <c r="T652" i="27" s="1"/>
  <c r="V652" i="27" s="1"/>
  <c r="AI651" i="27"/>
  <c r="AH651" i="27"/>
  <c r="AG651" i="27"/>
  <c r="Q651" i="27"/>
  <c r="R656" i="27" s="1"/>
  <c r="AK650" i="27"/>
  <c r="AL650" i="27" s="1"/>
  <c r="AJ650" i="27"/>
  <c r="T650" i="27" s="1"/>
  <c r="AK649" i="27"/>
  <c r="AL649" i="27" s="1"/>
  <c r="AJ649" i="27"/>
  <c r="T649" i="27" s="1"/>
  <c r="V649" i="27" s="1"/>
  <c r="AK648" i="27"/>
  <c r="AL648" i="27" s="1"/>
  <c r="AJ648" i="27"/>
  <c r="T648" i="27" s="1"/>
  <c r="V648" i="27" s="1"/>
  <c r="AK647" i="27"/>
  <c r="AL647" i="27" s="1"/>
  <c r="AJ647" i="27"/>
  <c r="T647" i="27" s="1"/>
  <c r="V647" i="27" s="1"/>
  <c r="AK646" i="27"/>
  <c r="AL646" i="27" s="1"/>
  <c r="AJ646" i="27"/>
  <c r="T646" i="27" s="1"/>
  <c r="V646" i="27" s="1"/>
  <c r="AK645" i="27"/>
  <c r="AL645" i="27" s="1"/>
  <c r="AJ645" i="27"/>
  <c r="T645" i="27" s="1"/>
  <c r="V645" i="27" s="1"/>
  <c r="AK644" i="27"/>
  <c r="AL644" i="27" s="1"/>
  <c r="AJ644" i="27"/>
  <c r="T644" i="27" s="1"/>
  <c r="V644" i="27" s="1"/>
  <c r="AK643" i="27"/>
  <c r="AL643" i="27" s="1"/>
  <c r="AJ643" i="27"/>
  <c r="T643" i="27" s="1"/>
  <c r="V643" i="27" s="1"/>
  <c r="AK642" i="27"/>
  <c r="AL642" i="27" s="1"/>
  <c r="AJ642" i="27"/>
  <c r="T642" i="27" s="1"/>
  <c r="V642" i="27" s="1"/>
  <c r="AK641" i="27"/>
  <c r="AL641" i="27" s="1"/>
  <c r="AJ641" i="27"/>
  <c r="T641" i="27" s="1"/>
  <c r="V641" i="27" s="1"/>
  <c r="AK640" i="27"/>
  <c r="AL640" i="27" s="1"/>
  <c r="AJ640" i="27"/>
  <c r="T640" i="27" s="1"/>
  <c r="V640" i="27" s="1"/>
  <c r="AK639" i="27"/>
  <c r="AL639" i="27" s="1"/>
  <c r="AJ639" i="27"/>
  <c r="T639" i="27" s="1"/>
  <c r="V639" i="27" s="1"/>
  <c r="AK638" i="27"/>
  <c r="AL638" i="27" s="1"/>
  <c r="AJ638" i="27"/>
  <c r="T638" i="27" s="1"/>
  <c r="V638" i="27" s="1"/>
  <c r="AI637" i="27"/>
  <c r="Q637" i="27"/>
  <c r="R649" i="27" s="1"/>
  <c r="AK634" i="27"/>
  <c r="AL634" i="27" s="1"/>
  <c r="AJ634" i="27"/>
  <c r="T634" i="27" s="1"/>
  <c r="V634" i="27" s="1"/>
  <c r="AK633" i="27"/>
  <c r="AL633" i="27" s="1"/>
  <c r="AJ633" i="27"/>
  <c r="T633" i="27" s="1"/>
  <c r="V633" i="27" s="1"/>
  <c r="AK632" i="27"/>
  <c r="AL632" i="27" s="1"/>
  <c r="AJ632" i="27"/>
  <c r="T632" i="27" s="1"/>
  <c r="V632" i="27" s="1"/>
  <c r="AK631" i="27"/>
  <c r="AL631" i="27" s="1"/>
  <c r="AJ631" i="27"/>
  <c r="T631" i="27" s="1"/>
  <c r="V631" i="27" s="1"/>
  <c r="AI630" i="27"/>
  <c r="AK629" i="27"/>
  <c r="AL629" i="27" s="1"/>
  <c r="AJ629" i="27"/>
  <c r="T629" i="27" s="1"/>
  <c r="AK627" i="27"/>
  <c r="AL627" i="27" s="1"/>
  <c r="AJ627" i="27"/>
  <c r="T627" i="27" s="1"/>
  <c r="V627" i="27" s="1"/>
  <c r="AK626" i="27"/>
  <c r="AL626" i="27" s="1"/>
  <c r="AJ626" i="27"/>
  <c r="T626" i="27" s="1"/>
  <c r="V626" i="27" s="1"/>
  <c r="AK625" i="27"/>
  <c r="AL625" i="27" s="1"/>
  <c r="AJ625" i="27"/>
  <c r="T625" i="27" s="1"/>
  <c r="V625" i="27" s="1"/>
  <c r="AK624" i="27"/>
  <c r="AL624" i="27" s="1"/>
  <c r="AJ624" i="27"/>
  <c r="T624" i="27" s="1"/>
  <c r="V624" i="27" s="1"/>
  <c r="AK623" i="27"/>
  <c r="AL623" i="27" s="1"/>
  <c r="AJ623" i="27"/>
  <c r="T623" i="27" s="1"/>
  <c r="V623" i="27" s="1"/>
  <c r="AK622" i="27"/>
  <c r="AL622" i="27" s="1"/>
  <c r="AJ622" i="27"/>
  <c r="T622" i="27" s="1"/>
  <c r="V622" i="27" s="1"/>
  <c r="AK621" i="27"/>
  <c r="AL621" i="27" s="1"/>
  <c r="AJ621" i="27"/>
  <c r="T621" i="27" s="1"/>
  <c r="V621" i="27" s="1"/>
  <c r="AI620" i="27"/>
  <c r="AK619" i="27"/>
  <c r="AL619" i="27" s="1"/>
  <c r="AJ619" i="27"/>
  <c r="T619" i="27" s="1"/>
  <c r="V619" i="27" s="1"/>
  <c r="AK618" i="27"/>
  <c r="AL618" i="27" s="1"/>
  <c r="AJ618" i="27"/>
  <c r="T618" i="27" s="1"/>
  <c r="V618" i="27" s="1"/>
  <c r="AK617" i="27"/>
  <c r="AL617" i="27" s="1"/>
  <c r="AJ617" i="27"/>
  <c r="T617" i="27" s="1"/>
  <c r="V617" i="27" s="1"/>
  <c r="AK616" i="27"/>
  <c r="AL616" i="27" s="1"/>
  <c r="AJ616" i="27"/>
  <c r="T616" i="27" s="1"/>
  <c r="V616" i="27" s="1"/>
  <c r="AK615" i="27"/>
  <c r="AL615" i="27" s="1"/>
  <c r="AJ615" i="27"/>
  <c r="T615" i="27" s="1"/>
  <c r="V615" i="27" s="1"/>
  <c r="AK614" i="27"/>
  <c r="AL614" i="27" s="1"/>
  <c r="AJ614" i="27"/>
  <c r="T614" i="27" s="1"/>
  <c r="V614" i="27" s="1"/>
  <c r="AK613" i="27"/>
  <c r="AL613" i="27" s="1"/>
  <c r="AJ613" i="27"/>
  <c r="T613" i="27" s="1"/>
  <c r="V613" i="27" s="1"/>
  <c r="AK612" i="27"/>
  <c r="AL612" i="27" s="1"/>
  <c r="AJ612" i="27"/>
  <c r="T612" i="27" s="1"/>
  <c r="V612" i="27" s="1"/>
  <c r="AI611" i="27"/>
  <c r="Q611" i="27"/>
  <c r="R612" i="27" s="1"/>
  <c r="AK610" i="27"/>
  <c r="AL610" i="27" s="1"/>
  <c r="AJ610" i="27"/>
  <c r="T610" i="27" s="1"/>
  <c r="V610" i="27" s="1"/>
  <c r="AK609" i="27"/>
  <c r="AL609" i="27" s="1"/>
  <c r="AJ609" i="27"/>
  <c r="T609" i="27" s="1"/>
  <c r="V609" i="27" s="1"/>
  <c r="AK608" i="27"/>
  <c r="AL608" i="27" s="1"/>
  <c r="AJ608" i="27"/>
  <c r="T608" i="27" s="1"/>
  <c r="V608" i="27" s="1"/>
  <c r="AK607" i="27"/>
  <c r="AL607" i="27" s="1"/>
  <c r="AJ607" i="27"/>
  <c r="T607" i="27" s="1"/>
  <c r="V607" i="27" s="1"/>
  <c r="AK606" i="27"/>
  <c r="AL606" i="27" s="1"/>
  <c r="AJ606" i="27"/>
  <c r="T606" i="27" s="1"/>
  <c r="V606" i="27" s="1"/>
  <c r="AK605" i="27"/>
  <c r="AL605" i="27" s="1"/>
  <c r="AJ605" i="27"/>
  <c r="T605" i="27" s="1"/>
  <c r="V605" i="27" s="1"/>
  <c r="AK604" i="27"/>
  <c r="AL604" i="27" s="1"/>
  <c r="AJ604" i="27"/>
  <c r="T604" i="27" s="1"/>
  <c r="V604" i="27" s="1"/>
  <c r="AK603" i="27"/>
  <c r="AL603" i="27" s="1"/>
  <c r="AJ603" i="27"/>
  <c r="T603" i="27" s="1"/>
  <c r="V603" i="27" s="1"/>
  <c r="AK602" i="27"/>
  <c r="AL602" i="27" s="1"/>
  <c r="AJ602" i="27"/>
  <c r="T602" i="27" s="1"/>
  <c r="V602" i="27" s="1"/>
  <c r="AI601" i="27"/>
  <c r="Q601" i="27"/>
  <c r="R606" i="27" s="1"/>
  <c r="AK599" i="27"/>
  <c r="AL599" i="27" s="1"/>
  <c r="AJ599" i="27"/>
  <c r="T599" i="27" s="1"/>
  <c r="V599" i="27" s="1"/>
  <c r="AK598" i="27"/>
  <c r="AL598" i="27" s="1"/>
  <c r="AJ598" i="27"/>
  <c r="T598" i="27" s="1"/>
  <c r="V598" i="27" s="1"/>
  <c r="AK597" i="27"/>
  <c r="AL597" i="27" s="1"/>
  <c r="AJ597" i="27"/>
  <c r="T597" i="27" s="1"/>
  <c r="V597" i="27" s="1"/>
  <c r="AK596" i="27"/>
  <c r="AL596" i="27" s="1"/>
  <c r="AJ596" i="27"/>
  <c r="T596" i="27" s="1"/>
  <c r="V596" i="27" s="1"/>
  <c r="AK595" i="27"/>
  <c r="AL595" i="27" s="1"/>
  <c r="AJ595" i="27"/>
  <c r="T595" i="27" s="1"/>
  <c r="V595" i="27" s="1"/>
  <c r="AK594" i="27"/>
  <c r="AL594" i="27" s="1"/>
  <c r="AJ594" i="27"/>
  <c r="T594" i="27" s="1"/>
  <c r="V594" i="27" s="1"/>
  <c r="AK593" i="27"/>
  <c r="AL593" i="27" s="1"/>
  <c r="AJ593" i="27"/>
  <c r="T593" i="27" s="1"/>
  <c r="V593" i="27" s="1"/>
  <c r="AK592" i="27"/>
  <c r="AL592" i="27" s="1"/>
  <c r="AJ592" i="27"/>
  <c r="T592" i="27" s="1"/>
  <c r="V592" i="27" s="1"/>
  <c r="AK591" i="27"/>
  <c r="AL591" i="27" s="1"/>
  <c r="AJ591" i="27"/>
  <c r="T591" i="27" s="1"/>
  <c r="V591" i="27" s="1"/>
  <c r="AK590" i="27"/>
  <c r="AL590" i="27" s="1"/>
  <c r="AJ590" i="27"/>
  <c r="T590" i="27" s="1"/>
  <c r="V590" i="27" s="1"/>
  <c r="AK589" i="27"/>
  <c r="AL589" i="27" s="1"/>
  <c r="AJ589" i="27"/>
  <c r="T589" i="27" s="1"/>
  <c r="V589" i="27" s="1"/>
  <c r="AK588" i="27"/>
  <c r="AL588" i="27" s="1"/>
  <c r="AJ588" i="27"/>
  <c r="T588" i="27" s="1"/>
  <c r="V588" i="27" s="1"/>
  <c r="AI587" i="27"/>
  <c r="AK586" i="27"/>
  <c r="AL586" i="27" s="1"/>
  <c r="AJ586" i="27"/>
  <c r="T586" i="27" s="1"/>
  <c r="AK585" i="27"/>
  <c r="AL585" i="27" s="1"/>
  <c r="AJ585" i="27"/>
  <c r="T585" i="27" s="1"/>
  <c r="V585" i="27" s="1"/>
  <c r="AK584" i="27"/>
  <c r="AL584" i="27" s="1"/>
  <c r="AJ584" i="27"/>
  <c r="T584" i="27" s="1"/>
  <c r="V584" i="27" s="1"/>
  <c r="AK583" i="27"/>
  <c r="AL583" i="27" s="1"/>
  <c r="AJ583" i="27"/>
  <c r="T583" i="27" s="1"/>
  <c r="V583" i="27" s="1"/>
  <c r="AK582" i="27"/>
  <c r="AL582" i="27" s="1"/>
  <c r="AJ582" i="27"/>
  <c r="T582" i="27" s="1"/>
  <c r="V582" i="27" s="1"/>
  <c r="AK581" i="27"/>
  <c r="AL581" i="27" s="1"/>
  <c r="AJ581" i="27"/>
  <c r="T581" i="27" s="1"/>
  <c r="V581" i="27" s="1"/>
  <c r="AK580" i="27"/>
  <c r="AL580" i="27" s="1"/>
  <c r="AJ580" i="27"/>
  <c r="T580" i="27" s="1"/>
  <c r="V580" i="27" s="1"/>
  <c r="AI579" i="27"/>
  <c r="AK578" i="27"/>
  <c r="AL578" i="27" s="1"/>
  <c r="AJ578" i="27"/>
  <c r="T578" i="27" s="1"/>
  <c r="AK577" i="27"/>
  <c r="AL577" i="27" s="1"/>
  <c r="AJ577" i="27"/>
  <c r="T577" i="27" s="1"/>
  <c r="V577" i="27" s="1"/>
  <c r="AK576" i="27"/>
  <c r="AL576" i="27" s="1"/>
  <c r="AJ576" i="27"/>
  <c r="T576" i="27" s="1"/>
  <c r="V576" i="27" s="1"/>
  <c r="AK575" i="27"/>
  <c r="AL575" i="27" s="1"/>
  <c r="AJ575" i="27"/>
  <c r="T575" i="27" s="1"/>
  <c r="V575" i="27" s="1"/>
  <c r="AK574" i="27"/>
  <c r="AL574" i="27" s="1"/>
  <c r="AJ574" i="27"/>
  <c r="T574" i="27" s="1"/>
  <c r="V574" i="27" s="1"/>
  <c r="AK573" i="27"/>
  <c r="AL573" i="27" s="1"/>
  <c r="AJ573" i="27"/>
  <c r="T573" i="27" s="1"/>
  <c r="AK572" i="27"/>
  <c r="AL572" i="27" s="1"/>
  <c r="AJ572" i="27"/>
  <c r="T572" i="27" s="1"/>
  <c r="V572" i="27" s="1"/>
  <c r="AK571" i="27"/>
  <c r="AL571" i="27" s="1"/>
  <c r="AJ571" i="27"/>
  <c r="T571" i="27" s="1"/>
  <c r="V571" i="27" s="1"/>
  <c r="AK570" i="27"/>
  <c r="AL570" i="27" s="1"/>
  <c r="AJ570" i="27"/>
  <c r="T570" i="27" s="1"/>
  <c r="V570" i="27" s="1"/>
  <c r="AK569" i="27"/>
  <c r="AL569" i="27" s="1"/>
  <c r="AJ569" i="27"/>
  <c r="T569" i="27" s="1"/>
  <c r="V569" i="27" s="1"/>
  <c r="AK568" i="27"/>
  <c r="AL568" i="27" s="1"/>
  <c r="AJ568" i="27"/>
  <c r="T568" i="27" s="1"/>
  <c r="V568" i="27" s="1"/>
  <c r="AK567" i="27"/>
  <c r="AL567" i="27" s="1"/>
  <c r="AJ567" i="27"/>
  <c r="T567" i="27" s="1"/>
  <c r="V567" i="27" s="1"/>
  <c r="Q566" i="27"/>
  <c r="AK565" i="27"/>
  <c r="AL565" i="27" s="1"/>
  <c r="AJ565" i="27"/>
  <c r="T565" i="27" s="1"/>
  <c r="V565" i="27" s="1"/>
  <c r="AK564" i="27"/>
  <c r="AL564" i="27" s="1"/>
  <c r="AJ564" i="27"/>
  <c r="T564" i="27" s="1"/>
  <c r="V564" i="27" s="1"/>
  <c r="AK563" i="27"/>
  <c r="AL563" i="27" s="1"/>
  <c r="AJ563" i="27"/>
  <c r="T563" i="27" s="1"/>
  <c r="V563" i="27" s="1"/>
  <c r="AK562" i="27"/>
  <c r="AL562" i="27" s="1"/>
  <c r="AJ562" i="27"/>
  <c r="T562" i="27" s="1"/>
  <c r="V562" i="27" s="1"/>
  <c r="AK561" i="27"/>
  <c r="AL561" i="27" s="1"/>
  <c r="AJ561" i="27"/>
  <c r="T561" i="27" s="1"/>
  <c r="V561" i="27" s="1"/>
  <c r="AK560" i="27"/>
  <c r="AL560" i="27" s="1"/>
  <c r="AJ560" i="27"/>
  <c r="T560" i="27" s="1"/>
  <c r="V560" i="27" s="1"/>
  <c r="AK559" i="27"/>
  <c r="AL559" i="27" s="1"/>
  <c r="AJ559" i="27"/>
  <c r="T559" i="27" s="1"/>
  <c r="V559" i="27" s="1"/>
  <c r="AK558" i="27"/>
  <c r="AL558" i="27" s="1"/>
  <c r="AJ558" i="27"/>
  <c r="T558" i="27" s="1"/>
  <c r="V558" i="27" s="1"/>
  <c r="AK557" i="27"/>
  <c r="AL557" i="27" s="1"/>
  <c r="AJ557" i="27"/>
  <c r="T557" i="27" s="1"/>
  <c r="V557" i="27" s="1"/>
  <c r="AI556" i="27"/>
  <c r="Q556" i="27"/>
  <c r="R565" i="27" s="1"/>
  <c r="AK554" i="27"/>
  <c r="AL554" i="27" s="1"/>
  <c r="AJ554" i="27"/>
  <c r="T554" i="27" s="1"/>
  <c r="V554" i="27" s="1"/>
  <c r="AK553" i="27"/>
  <c r="AL553" i="27" s="1"/>
  <c r="AJ553" i="27"/>
  <c r="T553" i="27" s="1"/>
  <c r="V553" i="27" s="1"/>
  <c r="AK552" i="27"/>
  <c r="AL552" i="27" s="1"/>
  <c r="AJ552" i="27"/>
  <c r="T552" i="27" s="1"/>
  <c r="AK551" i="27"/>
  <c r="AL551" i="27" s="1"/>
  <c r="AJ551" i="27"/>
  <c r="T551" i="27" s="1"/>
  <c r="V551" i="27" s="1"/>
  <c r="AK550" i="27"/>
  <c r="AL550" i="27" s="1"/>
  <c r="AJ550" i="27"/>
  <c r="T550" i="27" s="1"/>
  <c r="V550" i="27" s="1"/>
  <c r="AK549" i="27"/>
  <c r="AL549" i="27" s="1"/>
  <c r="AJ549" i="27"/>
  <c r="T549" i="27" s="1"/>
  <c r="V549" i="27" s="1"/>
  <c r="AK548" i="27"/>
  <c r="AL548" i="27" s="1"/>
  <c r="AJ548" i="27"/>
  <c r="T548" i="27" s="1"/>
  <c r="V548" i="27" s="1"/>
  <c r="AI547" i="27"/>
  <c r="Q547" i="27"/>
  <c r="R555" i="27" s="1"/>
  <c r="AK546" i="27"/>
  <c r="AL546" i="27" s="1"/>
  <c r="AJ546" i="27"/>
  <c r="T546" i="27" s="1"/>
  <c r="V546" i="27" s="1"/>
  <c r="AK545" i="27"/>
  <c r="AJ545" i="27"/>
  <c r="T545" i="27" s="1"/>
  <c r="AK543" i="27"/>
  <c r="AL543" i="27" s="1"/>
  <c r="AJ543" i="27"/>
  <c r="T543" i="27" s="1"/>
  <c r="V543" i="27" s="1"/>
  <c r="AK542" i="27"/>
  <c r="AL542" i="27" s="1"/>
  <c r="AJ542" i="27"/>
  <c r="T542" i="27" s="1"/>
  <c r="V542" i="27" s="1"/>
  <c r="AK541" i="27"/>
  <c r="AL541" i="27" s="1"/>
  <c r="AJ541" i="27"/>
  <c r="T541" i="27" s="1"/>
  <c r="V541" i="27" s="1"/>
  <c r="AK540" i="27"/>
  <c r="AL540" i="27" s="1"/>
  <c r="AJ540" i="27"/>
  <c r="T540" i="27" s="1"/>
  <c r="V540" i="27" s="1"/>
  <c r="AK539" i="27"/>
  <c r="AL539" i="27" s="1"/>
  <c r="AJ539" i="27"/>
  <c r="T539" i="27" s="1"/>
  <c r="V539" i="27" s="1"/>
  <c r="AK537" i="27"/>
  <c r="AL537" i="27" s="1"/>
  <c r="AJ537" i="27"/>
  <c r="T537" i="27" s="1"/>
  <c r="V537" i="27" s="1"/>
  <c r="AI536" i="27"/>
  <c r="AH536" i="27"/>
  <c r="AG536" i="27"/>
  <c r="Q536" i="27"/>
  <c r="R538" i="27" s="1"/>
  <c r="AK535" i="27"/>
  <c r="AL535" i="27" s="1"/>
  <c r="AJ535" i="27"/>
  <c r="T535" i="27" s="1"/>
  <c r="V535" i="27" s="1"/>
  <c r="AK534" i="27"/>
  <c r="AL534" i="27" s="1"/>
  <c r="AJ534" i="27"/>
  <c r="T534" i="27" s="1"/>
  <c r="V534" i="27" s="1"/>
  <c r="AK533" i="27"/>
  <c r="AL533" i="27" s="1"/>
  <c r="AJ533" i="27"/>
  <c r="T533" i="27" s="1"/>
  <c r="V533" i="27" s="1"/>
  <c r="AK532" i="27"/>
  <c r="AL532" i="27" s="1"/>
  <c r="AJ532" i="27"/>
  <c r="T532" i="27" s="1"/>
  <c r="V532" i="27" s="1"/>
  <c r="AK531" i="27"/>
  <c r="AL531" i="27" s="1"/>
  <c r="AJ531" i="27"/>
  <c r="T531" i="27" s="1"/>
  <c r="V531" i="27" s="1"/>
  <c r="AK530" i="27"/>
  <c r="AL530" i="27" s="1"/>
  <c r="AJ530" i="27"/>
  <c r="T530" i="27" s="1"/>
  <c r="V530" i="27" s="1"/>
  <c r="AK529" i="27"/>
  <c r="AL529" i="27" s="1"/>
  <c r="AJ529" i="27"/>
  <c r="T529" i="27" s="1"/>
  <c r="V529" i="27" s="1"/>
  <c r="AK528" i="27"/>
  <c r="AL528" i="27" s="1"/>
  <c r="AJ528" i="27"/>
  <c r="T528" i="27" s="1"/>
  <c r="V528" i="27" s="1"/>
  <c r="AK527" i="27"/>
  <c r="AL527" i="27" s="1"/>
  <c r="AJ527" i="27"/>
  <c r="T527" i="27" s="1"/>
  <c r="V527" i="27" s="1"/>
  <c r="AK526" i="27"/>
  <c r="AL526" i="27" s="1"/>
  <c r="AJ526" i="27"/>
  <c r="T526" i="27" s="1"/>
  <c r="V526" i="27" s="1"/>
  <c r="AK525" i="27"/>
  <c r="AL525" i="27" s="1"/>
  <c r="AJ525" i="27"/>
  <c r="T525" i="27" s="1"/>
  <c r="V525" i="27" s="1"/>
  <c r="AI524" i="27"/>
  <c r="AH524" i="27"/>
  <c r="AG524" i="27"/>
  <c r="Q524" i="27"/>
  <c r="R535" i="27" s="1"/>
  <c r="AK523" i="27"/>
  <c r="AL523" i="27" s="1"/>
  <c r="AJ523" i="27"/>
  <c r="T523" i="27" s="1"/>
  <c r="V523" i="27" s="1"/>
  <c r="AK521" i="27"/>
  <c r="AL521" i="27" s="1"/>
  <c r="AJ521" i="27"/>
  <c r="T521" i="27" s="1"/>
  <c r="V521" i="27" s="1"/>
  <c r="AK520" i="27"/>
  <c r="AL520" i="27" s="1"/>
  <c r="AJ520" i="27"/>
  <c r="T520" i="27" s="1"/>
  <c r="V520" i="27" s="1"/>
  <c r="AK519" i="27"/>
  <c r="AL519" i="27" s="1"/>
  <c r="AJ519" i="27"/>
  <c r="T519" i="27" s="1"/>
  <c r="V519" i="27" s="1"/>
  <c r="AK518" i="27"/>
  <c r="AL518" i="27" s="1"/>
  <c r="AJ518" i="27"/>
  <c r="T518" i="27" s="1"/>
  <c r="V518" i="27" s="1"/>
  <c r="AI517" i="27"/>
  <c r="AH517" i="27"/>
  <c r="AG517" i="27"/>
  <c r="Q517" i="27"/>
  <c r="R523" i="27" s="1"/>
  <c r="AK515" i="27"/>
  <c r="AL515" i="27" s="1"/>
  <c r="AJ515" i="27"/>
  <c r="T515" i="27" s="1"/>
  <c r="V515" i="27" s="1"/>
  <c r="AK514" i="27"/>
  <c r="AL514" i="27" s="1"/>
  <c r="AJ514" i="27"/>
  <c r="T514" i="27" s="1"/>
  <c r="V514" i="27" s="1"/>
  <c r="AK512" i="27"/>
  <c r="AL512" i="27" s="1"/>
  <c r="AJ512" i="27"/>
  <c r="T512" i="27" s="1"/>
  <c r="V512" i="27" s="1"/>
  <c r="AK511" i="27"/>
  <c r="AL511" i="27" s="1"/>
  <c r="AJ511" i="27"/>
  <c r="T511" i="27" s="1"/>
  <c r="AK510" i="27"/>
  <c r="AL510" i="27" s="1"/>
  <c r="AJ510" i="27"/>
  <c r="T510" i="27" s="1"/>
  <c r="V510" i="27" s="1"/>
  <c r="AK509" i="27"/>
  <c r="AL509" i="27" s="1"/>
  <c r="AJ509" i="27"/>
  <c r="T509" i="27" s="1"/>
  <c r="V509" i="27" s="1"/>
  <c r="AK508" i="27"/>
  <c r="AL508" i="27" s="1"/>
  <c r="AJ508" i="27"/>
  <c r="T508" i="27" s="1"/>
  <c r="V508" i="27" s="1"/>
  <c r="AK507" i="27"/>
  <c r="AL507" i="27" s="1"/>
  <c r="AJ507" i="27"/>
  <c r="T507" i="27" s="1"/>
  <c r="V507" i="27" s="1"/>
  <c r="AK506" i="27"/>
  <c r="AJ506" i="27"/>
  <c r="T506" i="27" s="1"/>
  <c r="V506" i="27" s="1"/>
  <c r="AI505" i="27"/>
  <c r="AH505" i="27"/>
  <c r="AG505" i="27"/>
  <c r="Q505" i="27"/>
  <c r="R507" i="27" s="1"/>
  <c r="AK503" i="27"/>
  <c r="AL503" i="27" s="1"/>
  <c r="AJ503" i="27"/>
  <c r="T503" i="27" s="1"/>
  <c r="V503" i="27" s="1"/>
  <c r="AK502" i="27"/>
  <c r="AL502" i="27" s="1"/>
  <c r="AJ502" i="27"/>
  <c r="T502" i="27" s="1"/>
  <c r="V502" i="27" s="1"/>
  <c r="AK501" i="27"/>
  <c r="AL501" i="27" s="1"/>
  <c r="AJ501" i="27"/>
  <c r="T501" i="27" s="1"/>
  <c r="V501" i="27" s="1"/>
  <c r="AK500" i="27"/>
  <c r="AL500" i="27" s="1"/>
  <c r="AJ500" i="27"/>
  <c r="T500" i="27" s="1"/>
  <c r="V500" i="27" s="1"/>
  <c r="AK499" i="27"/>
  <c r="AL499" i="27" s="1"/>
  <c r="AJ499" i="27"/>
  <c r="T499" i="27" s="1"/>
  <c r="V499" i="27" s="1"/>
  <c r="AI498" i="27"/>
  <c r="AH498" i="27"/>
  <c r="AG498" i="27"/>
  <c r="AK497" i="27"/>
  <c r="AL497" i="27" s="1"/>
  <c r="AJ497" i="27"/>
  <c r="T497" i="27" s="1"/>
  <c r="V497" i="27" s="1"/>
  <c r="AK496" i="27"/>
  <c r="AL496" i="27" s="1"/>
  <c r="AJ496" i="27"/>
  <c r="T496" i="27" s="1"/>
  <c r="V496" i="27" s="1"/>
  <c r="AK495" i="27"/>
  <c r="AL495" i="27" s="1"/>
  <c r="AJ495" i="27"/>
  <c r="T495" i="27" s="1"/>
  <c r="V495" i="27" s="1"/>
  <c r="AK493" i="27"/>
  <c r="AL493" i="27" s="1"/>
  <c r="AJ493" i="27"/>
  <c r="T493" i="27" s="1"/>
  <c r="V493" i="27" s="1"/>
  <c r="AK492" i="27"/>
  <c r="AL492" i="27" s="1"/>
  <c r="AJ492" i="27"/>
  <c r="T492" i="27" s="1"/>
  <c r="V492" i="27" s="1"/>
  <c r="AK491" i="27"/>
  <c r="AL491" i="27" s="1"/>
  <c r="AJ491" i="27"/>
  <c r="T491" i="27" s="1"/>
  <c r="V491" i="27" s="1"/>
  <c r="AK490" i="27"/>
  <c r="AL490" i="27" s="1"/>
  <c r="AJ490" i="27"/>
  <c r="T490" i="27" s="1"/>
  <c r="V490" i="27" s="1"/>
  <c r="AI489" i="27"/>
  <c r="AH489" i="27"/>
  <c r="AG489" i="27"/>
  <c r="Q489" i="27"/>
  <c r="R493" i="27" s="1"/>
  <c r="AK487" i="27"/>
  <c r="AL487" i="27" s="1"/>
  <c r="AJ487" i="27"/>
  <c r="T487" i="27" s="1"/>
  <c r="V487" i="27" s="1"/>
  <c r="AK486" i="27"/>
  <c r="AL486" i="27" s="1"/>
  <c r="AJ486" i="27"/>
  <c r="T486" i="27" s="1"/>
  <c r="V486" i="27" s="1"/>
  <c r="AK485" i="27"/>
  <c r="AL485" i="27" s="1"/>
  <c r="AJ485" i="27"/>
  <c r="T485" i="27" s="1"/>
  <c r="V485" i="27" s="1"/>
  <c r="AI484" i="27"/>
  <c r="A484" i="27"/>
  <c r="A489" i="27" s="1"/>
  <c r="A498" i="27" s="1"/>
  <c r="A505" i="27" s="1"/>
  <c r="A517" i="27" s="1"/>
  <c r="A524" i="27" s="1"/>
  <c r="A536" i="27" s="1"/>
  <c r="A547" i="27" s="1"/>
  <c r="A556" i="27" s="1"/>
  <c r="A566" i="27" s="1"/>
  <c r="A579" i="27" s="1"/>
  <c r="A587" i="27" s="1"/>
  <c r="A601" i="27" s="1"/>
  <c r="A611" i="27" s="1"/>
  <c r="A620" i="27" s="1"/>
  <c r="A630" i="27" s="1"/>
  <c r="A637" i="27" s="1"/>
  <c r="A651" i="27" s="1"/>
  <c r="A658" i="27" s="1"/>
  <c r="AK483" i="27"/>
  <c r="AL483" i="27" s="1"/>
  <c r="AJ483" i="27"/>
  <c r="T483" i="27" s="1"/>
  <c r="V483" i="27" s="1"/>
  <c r="AK482" i="27"/>
  <c r="AL482" i="27" s="1"/>
  <c r="AJ482" i="27"/>
  <c r="T482" i="27" s="1"/>
  <c r="V482" i="27" s="1"/>
  <c r="AK481" i="27"/>
  <c r="AL481" i="27" s="1"/>
  <c r="AJ481" i="27"/>
  <c r="T481" i="27" s="1"/>
  <c r="V481" i="27" s="1"/>
  <c r="AK480" i="27"/>
  <c r="AL480" i="27" s="1"/>
  <c r="AJ480" i="27"/>
  <c r="T480" i="27" s="1"/>
  <c r="V480" i="27" s="1"/>
  <c r="AK479" i="27"/>
  <c r="AL479" i="27" s="1"/>
  <c r="AJ479" i="27"/>
  <c r="T479" i="27" s="1"/>
  <c r="V479" i="27" s="1"/>
  <c r="AK478" i="27"/>
  <c r="AL478" i="27" s="1"/>
  <c r="AJ478" i="27"/>
  <c r="T478" i="27" s="1"/>
  <c r="V478" i="27" s="1"/>
  <c r="AI477" i="27"/>
  <c r="AH477" i="27"/>
  <c r="AG477" i="27"/>
  <c r="AF477" i="27"/>
  <c r="AE477" i="27"/>
  <c r="AD477" i="27"/>
  <c r="AC477" i="27"/>
  <c r="AA477" i="27"/>
  <c r="Z477" i="27"/>
  <c r="Y477" i="27"/>
  <c r="X477" i="27"/>
  <c r="Q477" i="27"/>
  <c r="P477" i="27"/>
  <c r="AK476" i="27"/>
  <c r="AL476" i="27" s="1"/>
  <c r="AJ476" i="27"/>
  <c r="T476" i="27" s="1"/>
  <c r="V476" i="27" s="1"/>
  <c r="AK474" i="27"/>
  <c r="AL474" i="27" s="1"/>
  <c r="AJ474" i="27"/>
  <c r="T474" i="27" s="1"/>
  <c r="V474" i="27" s="1"/>
  <c r="AK473" i="27"/>
  <c r="AL473" i="27" s="1"/>
  <c r="AJ473" i="27"/>
  <c r="T473" i="27" s="1"/>
  <c r="V473" i="27" s="1"/>
  <c r="AK472" i="27"/>
  <c r="AL472" i="27" s="1"/>
  <c r="AJ472" i="27"/>
  <c r="T472" i="27" s="1"/>
  <c r="V472" i="27" s="1"/>
  <c r="AK471" i="27"/>
  <c r="AL471" i="27" s="1"/>
  <c r="AJ471" i="27"/>
  <c r="T471" i="27" s="1"/>
  <c r="V471" i="27" s="1"/>
  <c r="AI470" i="27"/>
  <c r="AH470" i="27"/>
  <c r="AG470" i="27"/>
  <c r="AF470" i="27"/>
  <c r="AE470" i="27"/>
  <c r="AD470" i="27"/>
  <c r="AC470" i="27"/>
  <c r="AA470" i="27"/>
  <c r="Z470" i="27"/>
  <c r="Y470" i="27"/>
  <c r="X470" i="27"/>
  <c r="Q470" i="27"/>
  <c r="R474" i="27" s="1"/>
  <c r="P470" i="27"/>
  <c r="AK469" i="27"/>
  <c r="AL469" i="27" s="1"/>
  <c r="AJ469" i="27"/>
  <c r="T469" i="27" s="1"/>
  <c r="V469" i="27" s="1"/>
  <c r="AK468" i="27"/>
  <c r="AL468" i="27" s="1"/>
  <c r="AJ468" i="27"/>
  <c r="T468" i="27" s="1"/>
  <c r="V468" i="27" s="1"/>
  <c r="AK466" i="27"/>
  <c r="AL466" i="27" s="1"/>
  <c r="AJ466" i="27"/>
  <c r="T466" i="27" s="1"/>
  <c r="V466" i="27" s="1"/>
  <c r="AK465" i="27"/>
  <c r="AL465" i="27" s="1"/>
  <c r="AJ465" i="27"/>
  <c r="T465" i="27" s="1"/>
  <c r="V465" i="27" s="1"/>
  <c r="AK463" i="27"/>
  <c r="AL463" i="27" s="1"/>
  <c r="AJ463" i="27"/>
  <c r="T463" i="27" s="1"/>
  <c r="V463" i="27" s="1"/>
  <c r="AK462" i="27"/>
  <c r="AL462" i="27" s="1"/>
  <c r="AJ462" i="27"/>
  <c r="T462" i="27" s="1"/>
  <c r="V462" i="27" s="1"/>
  <c r="AK461" i="27"/>
  <c r="AL461" i="27" s="1"/>
  <c r="AJ461" i="27"/>
  <c r="T461" i="27" s="1"/>
  <c r="V461" i="27" s="1"/>
  <c r="AI460" i="27"/>
  <c r="AH460" i="27"/>
  <c r="AG460" i="27"/>
  <c r="AF460" i="27"/>
  <c r="AE460" i="27"/>
  <c r="AD460" i="27"/>
  <c r="AC460" i="27"/>
  <c r="AA460" i="27"/>
  <c r="Z460" i="27"/>
  <c r="Y460" i="27"/>
  <c r="X460" i="27"/>
  <c r="Q460" i="27"/>
  <c r="R465" i="27" s="1"/>
  <c r="P460" i="27"/>
  <c r="AK457" i="27"/>
  <c r="AL457" i="27" s="1"/>
  <c r="AJ457" i="27"/>
  <c r="T457" i="27" s="1"/>
  <c r="V457" i="27" s="1"/>
  <c r="AK456" i="27"/>
  <c r="AL456" i="27" s="1"/>
  <c r="AJ456" i="27"/>
  <c r="T456" i="27" s="1"/>
  <c r="V456" i="27" s="1"/>
  <c r="AK455" i="27"/>
  <c r="AL455" i="27" s="1"/>
  <c r="AJ455" i="27"/>
  <c r="T455" i="27" s="1"/>
  <c r="V455" i="27" s="1"/>
  <c r="AK454" i="27"/>
  <c r="AL454" i="27" s="1"/>
  <c r="AJ454" i="27"/>
  <c r="T454" i="27" s="1"/>
  <c r="V454" i="27" s="1"/>
  <c r="AK453" i="27"/>
  <c r="AL453" i="27" s="1"/>
  <c r="AJ453" i="27"/>
  <c r="T453" i="27" s="1"/>
  <c r="V453" i="27" s="1"/>
  <c r="AI452" i="27"/>
  <c r="AH452" i="27"/>
  <c r="AG452" i="27"/>
  <c r="AF452" i="27"/>
  <c r="AE452" i="27"/>
  <c r="AD452" i="27"/>
  <c r="AC452" i="27"/>
  <c r="AA452" i="27"/>
  <c r="Z452" i="27"/>
  <c r="Y452" i="27"/>
  <c r="X452" i="27"/>
  <c r="P452" i="27"/>
  <c r="AK451" i="27"/>
  <c r="AL451" i="27" s="1"/>
  <c r="AJ451" i="27"/>
  <c r="T451" i="27" s="1"/>
  <c r="AK448" i="27"/>
  <c r="AL448" i="27" s="1"/>
  <c r="AJ448" i="27"/>
  <c r="T448" i="27" s="1"/>
  <c r="V448" i="27" s="1"/>
  <c r="AK447" i="27"/>
  <c r="AL447" i="27" s="1"/>
  <c r="AJ447" i="27"/>
  <c r="T447" i="27" s="1"/>
  <c r="V447" i="27" s="1"/>
  <c r="AK446" i="27"/>
  <c r="AL446" i="27" s="1"/>
  <c r="AJ446" i="27"/>
  <c r="T446" i="27" s="1"/>
  <c r="V446" i="27" s="1"/>
  <c r="AK445" i="27"/>
  <c r="AL445" i="27" s="1"/>
  <c r="AJ445" i="27"/>
  <c r="T445" i="27" s="1"/>
  <c r="V445" i="27" s="1"/>
  <c r="AK444" i="27"/>
  <c r="AL444" i="27" s="1"/>
  <c r="AJ444" i="27"/>
  <c r="T444" i="27" s="1"/>
  <c r="V444" i="27" s="1"/>
  <c r="AK443" i="27"/>
  <c r="AL443" i="27" s="1"/>
  <c r="AJ443" i="27"/>
  <c r="T443" i="27" s="1"/>
  <c r="V443" i="27" s="1"/>
  <c r="AK438" i="27"/>
  <c r="AL438" i="27" s="1"/>
  <c r="AJ438" i="27"/>
  <c r="T438" i="27" s="1"/>
  <c r="V438" i="27" s="1"/>
  <c r="AK437" i="27"/>
  <c r="AL437" i="27" s="1"/>
  <c r="AJ437" i="27"/>
  <c r="T437" i="27" s="1"/>
  <c r="AK436" i="27"/>
  <c r="AL436" i="27" s="1"/>
  <c r="AJ436" i="27"/>
  <c r="T436" i="27" s="1"/>
  <c r="V436" i="27" s="1"/>
  <c r="AK435" i="27"/>
  <c r="AL435" i="27" s="1"/>
  <c r="AJ435" i="27"/>
  <c r="T435" i="27" s="1"/>
  <c r="V435" i="27" s="1"/>
  <c r="AK434" i="27"/>
  <c r="AL434" i="27" s="1"/>
  <c r="AJ434" i="27"/>
  <c r="T434" i="27" s="1"/>
  <c r="V434" i="27" s="1"/>
  <c r="AK433" i="27"/>
  <c r="AL433" i="27" s="1"/>
  <c r="AJ433" i="27"/>
  <c r="T433" i="27" s="1"/>
  <c r="V433" i="27" s="1"/>
  <c r="AK432" i="27"/>
  <c r="AL432" i="27" s="1"/>
  <c r="AJ432" i="27"/>
  <c r="T432" i="27" s="1"/>
  <c r="AI431" i="27"/>
  <c r="AH431" i="27"/>
  <c r="AG431" i="27"/>
  <c r="AF431" i="27"/>
  <c r="AE431" i="27"/>
  <c r="AD431" i="27"/>
  <c r="AC431" i="27"/>
  <c r="AA431" i="27"/>
  <c r="Z431" i="27"/>
  <c r="Y431" i="27"/>
  <c r="X431" i="27"/>
  <c r="P431" i="27"/>
  <c r="AK430" i="27"/>
  <c r="AL430" i="27" s="1"/>
  <c r="AJ430" i="27"/>
  <c r="T430" i="27" s="1"/>
  <c r="AK429" i="27"/>
  <c r="AL429" i="27" s="1"/>
  <c r="AJ429" i="27"/>
  <c r="T429" i="27" s="1"/>
  <c r="AK428" i="27"/>
  <c r="AL428" i="27" s="1"/>
  <c r="AJ428" i="27"/>
  <c r="T428" i="27" s="1"/>
  <c r="V428" i="27" s="1"/>
  <c r="AK427" i="27"/>
  <c r="AL427" i="27" s="1"/>
  <c r="AJ427" i="27"/>
  <c r="T427" i="27" s="1"/>
  <c r="V427" i="27" s="1"/>
  <c r="AK426" i="27"/>
  <c r="AL426" i="27" s="1"/>
  <c r="AJ426" i="27"/>
  <c r="T426" i="27" s="1"/>
  <c r="V426" i="27" s="1"/>
  <c r="AK425" i="27"/>
  <c r="AL425" i="27" s="1"/>
  <c r="AJ425" i="27"/>
  <c r="T425" i="27" s="1"/>
  <c r="AK424" i="27"/>
  <c r="AL424" i="27" s="1"/>
  <c r="AJ424" i="27"/>
  <c r="T424" i="27" s="1"/>
  <c r="V424" i="27" s="1"/>
  <c r="AK423" i="27"/>
  <c r="AL423" i="27" s="1"/>
  <c r="AJ423" i="27"/>
  <c r="T423" i="27" s="1"/>
  <c r="V423" i="27" s="1"/>
  <c r="AK422" i="27"/>
  <c r="AL422" i="27" s="1"/>
  <c r="AJ422" i="27"/>
  <c r="T422" i="27" s="1"/>
  <c r="V422" i="27" s="1"/>
  <c r="AK421" i="27"/>
  <c r="AL421" i="27" s="1"/>
  <c r="AJ421" i="27"/>
  <c r="T421" i="27" s="1"/>
  <c r="V421" i="27" s="1"/>
  <c r="AI420" i="27"/>
  <c r="AH420" i="27"/>
  <c r="AG420" i="27"/>
  <c r="AF420" i="27"/>
  <c r="AE420" i="27"/>
  <c r="AD420" i="27"/>
  <c r="AC420" i="27"/>
  <c r="AA420" i="27"/>
  <c r="Z420" i="27"/>
  <c r="Y420" i="27"/>
  <c r="X420" i="27"/>
  <c r="Q420" i="27"/>
  <c r="R430" i="27" s="1"/>
  <c r="P420" i="27"/>
  <c r="A420" i="27"/>
  <c r="A431" i="27" s="1"/>
  <c r="A442" i="27" s="1"/>
  <c r="AK419" i="27"/>
  <c r="AL419" i="27" s="1"/>
  <c r="AJ419" i="27"/>
  <c r="T419" i="27" s="1"/>
  <c r="V419" i="27" s="1"/>
  <c r="AK418" i="27"/>
  <c r="AL418" i="27" s="1"/>
  <c r="AJ418" i="27"/>
  <c r="T418" i="27" s="1"/>
  <c r="V418" i="27" s="1"/>
  <c r="AH417" i="27"/>
  <c r="AG417" i="27"/>
  <c r="AF417" i="27"/>
  <c r="AE417" i="27"/>
  <c r="AD417" i="27"/>
  <c r="AC417" i="27"/>
  <c r="AA417" i="27"/>
  <c r="Z417" i="27"/>
  <c r="Y417" i="27"/>
  <c r="X417" i="27"/>
  <c r="Q417" i="27"/>
  <c r="P417" i="27"/>
  <c r="AK416" i="27"/>
  <c r="AL416" i="27" s="1"/>
  <c r="AJ416" i="27"/>
  <c r="T416" i="27" s="1"/>
  <c r="AK415" i="27"/>
  <c r="AL415" i="27" s="1"/>
  <c r="AJ415" i="27"/>
  <c r="T415" i="27" s="1"/>
  <c r="V415" i="27" s="1"/>
  <c r="AK414" i="27"/>
  <c r="AL414" i="27" s="1"/>
  <c r="AJ414" i="27"/>
  <c r="T414" i="27" s="1"/>
  <c r="V414" i="27" s="1"/>
  <c r="AK413" i="27"/>
  <c r="AL413" i="27" s="1"/>
  <c r="AJ413" i="27"/>
  <c r="T413" i="27" s="1"/>
  <c r="AK412" i="27"/>
  <c r="AL412" i="27" s="1"/>
  <c r="AJ412" i="27"/>
  <c r="T412" i="27" s="1"/>
  <c r="V412" i="27" s="1"/>
  <c r="AK411" i="27"/>
  <c r="AL411" i="27" s="1"/>
  <c r="AJ411" i="27"/>
  <c r="T411" i="27" s="1"/>
  <c r="V411" i="27" s="1"/>
  <c r="AK410" i="27"/>
  <c r="AL410" i="27" s="1"/>
  <c r="AJ410" i="27"/>
  <c r="T410" i="27" s="1"/>
  <c r="AK409" i="27"/>
  <c r="AL409" i="27" s="1"/>
  <c r="AJ409" i="27"/>
  <c r="T409" i="27" s="1"/>
  <c r="AK408" i="27"/>
  <c r="AL408" i="27" s="1"/>
  <c r="AJ408" i="27"/>
  <c r="T408" i="27" s="1"/>
  <c r="V408" i="27" s="1"/>
  <c r="AK407" i="27"/>
  <c r="AL407" i="27" s="1"/>
  <c r="AJ407" i="27"/>
  <c r="T407" i="27" s="1"/>
  <c r="V407" i="27" s="1"/>
  <c r="AK405" i="27"/>
  <c r="AL405" i="27" s="1"/>
  <c r="AJ405" i="27"/>
  <c r="T405" i="27" s="1"/>
  <c r="V405" i="27" s="1"/>
  <c r="AK404" i="27"/>
  <c r="AL404" i="27" s="1"/>
  <c r="AJ404" i="27"/>
  <c r="T404" i="27" s="1"/>
  <c r="V404" i="27" s="1"/>
  <c r="AI403" i="27"/>
  <c r="AH403" i="27"/>
  <c r="AG403" i="27"/>
  <c r="AF403" i="27"/>
  <c r="AE403" i="27"/>
  <c r="AD403" i="27"/>
  <c r="AC403" i="27"/>
  <c r="AA403" i="27"/>
  <c r="Z403" i="27"/>
  <c r="Y403" i="27"/>
  <c r="X403" i="27"/>
  <c r="Q403" i="27"/>
  <c r="R408" i="27" s="1"/>
  <c r="P403" i="27"/>
  <c r="AK400" i="27"/>
  <c r="AL400" i="27" s="1"/>
  <c r="AJ400" i="27"/>
  <c r="T400" i="27" s="1"/>
  <c r="V400" i="27" s="1"/>
  <c r="AK399" i="27"/>
  <c r="AL399" i="27" s="1"/>
  <c r="AJ399" i="27"/>
  <c r="T399" i="27" s="1"/>
  <c r="V399" i="27" s="1"/>
  <c r="AK398" i="27"/>
  <c r="AL398" i="27" s="1"/>
  <c r="AJ398" i="27"/>
  <c r="T398" i="27" s="1"/>
  <c r="V398" i="27" s="1"/>
  <c r="AK397" i="27"/>
  <c r="AL397" i="27" s="1"/>
  <c r="AJ397" i="27"/>
  <c r="T397" i="27" s="1"/>
  <c r="AK396" i="27"/>
  <c r="AL396" i="27" s="1"/>
  <c r="AJ396" i="27"/>
  <c r="T396" i="27" s="1"/>
  <c r="V396" i="27" s="1"/>
  <c r="AI395" i="27"/>
  <c r="AH395" i="27"/>
  <c r="AG395" i="27"/>
  <c r="AF395" i="27"/>
  <c r="AE395" i="27"/>
  <c r="AD395" i="27"/>
  <c r="AC395" i="27"/>
  <c r="AA395" i="27"/>
  <c r="Z395" i="27"/>
  <c r="Y395" i="27"/>
  <c r="X395" i="27"/>
  <c r="Q395" i="27"/>
  <c r="R401" i="27" s="1"/>
  <c r="P395" i="27"/>
  <c r="AK394" i="27"/>
  <c r="AL394" i="27" s="1"/>
  <c r="AJ394" i="27"/>
  <c r="T394" i="27" s="1"/>
  <c r="AK393" i="27"/>
  <c r="AL393" i="27" s="1"/>
  <c r="AJ393" i="27"/>
  <c r="T393" i="27" s="1"/>
  <c r="V393" i="27" s="1"/>
  <c r="AK392" i="27"/>
  <c r="AL392" i="27" s="1"/>
  <c r="AJ392" i="27"/>
  <c r="T392" i="27" s="1"/>
  <c r="V392" i="27" s="1"/>
  <c r="AK391" i="27"/>
  <c r="AL391" i="27" s="1"/>
  <c r="AJ391" i="27"/>
  <c r="T391" i="27" s="1"/>
  <c r="V391" i="27" s="1"/>
  <c r="AK390" i="27"/>
  <c r="AL390" i="27" s="1"/>
  <c r="AJ390" i="27"/>
  <c r="T390" i="27" s="1"/>
  <c r="V390" i="27" s="1"/>
  <c r="AK389" i="27"/>
  <c r="AL389" i="27" s="1"/>
  <c r="AJ389" i="27"/>
  <c r="T389" i="27" s="1"/>
  <c r="V389" i="27" s="1"/>
  <c r="AK388" i="27"/>
  <c r="AL388" i="27" s="1"/>
  <c r="AJ388" i="27"/>
  <c r="T388" i="27" s="1"/>
  <c r="V388" i="27" s="1"/>
  <c r="AK387" i="27"/>
  <c r="AL387" i="27" s="1"/>
  <c r="AJ387" i="27"/>
  <c r="T387" i="27" s="1"/>
  <c r="V387" i="27" s="1"/>
  <c r="AK386" i="27"/>
  <c r="AL386" i="27" s="1"/>
  <c r="AJ386" i="27"/>
  <c r="T386" i="27" s="1"/>
  <c r="V386" i="27" s="1"/>
  <c r="AK385" i="27"/>
  <c r="AL385" i="27" s="1"/>
  <c r="AJ385" i="27"/>
  <c r="T385" i="27" s="1"/>
  <c r="V385" i="27" s="1"/>
  <c r="AK384" i="27"/>
  <c r="AL384" i="27" s="1"/>
  <c r="AJ384" i="27"/>
  <c r="T384" i="27" s="1"/>
  <c r="V384" i="27" s="1"/>
  <c r="AK383" i="27"/>
  <c r="AL383" i="27" s="1"/>
  <c r="AJ383" i="27"/>
  <c r="T383" i="27" s="1"/>
  <c r="V383" i="27" s="1"/>
  <c r="AI382" i="27"/>
  <c r="AH382" i="27"/>
  <c r="AG382" i="27"/>
  <c r="AF382" i="27"/>
  <c r="AE382" i="27"/>
  <c r="AD382" i="27"/>
  <c r="AC382" i="27"/>
  <c r="AA382" i="27"/>
  <c r="Z382" i="27"/>
  <c r="Y382" i="27"/>
  <c r="X382" i="27"/>
  <c r="Q382" i="27"/>
  <c r="R394" i="27" s="1"/>
  <c r="P382" i="27"/>
  <c r="AK381" i="27"/>
  <c r="AL381" i="27" s="1"/>
  <c r="AJ381" i="27"/>
  <c r="T381" i="27" s="1"/>
  <c r="V381" i="27" s="1"/>
  <c r="AK380" i="27"/>
  <c r="AL380" i="27" s="1"/>
  <c r="AJ380" i="27"/>
  <c r="T380" i="27" s="1"/>
  <c r="V380" i="27" s="1"/>
  <c r="AK379" i="27"/>
  <c r="AL379" i="27" s="1"/>
  <c r="AJ379" i="27"/>
  <c r="T379" i="27" s="1"/>
  <c r="V379" i="27" s="1"/>
  <c r="AK378" i="27"/>
  <c r="AL378" i="27" s="1"/>
  <c r="AJ378" i="27"/>
  <c r="T378" i="27" s="1"/>
  <c r="V378" i="27" s="1"/>
  <c r="AK377" i="27"/>
  <c r="AL377" i="27" s="1"/>
  <c r="AJ377" i="27"/>
  <c r="T377" i="27" s="1"/>
  <c r="V377" i="27" s="1"/>
  <c r="AK376" i="27"/>
  <c r="AL376" i="27" s="1"/>
  <c r="AJ376" i="27"/>
  <c r="T376" i="27" s="1"/>
  <c r="V376" i="27" s="1"/>
  <c r="AK375" i="27"/>
  <c r="AL375" i="27" s="1"/>
  <c r="AJ375" i="27"/>
  <c r="T375" i="27" s="1"/>
  <c r="V375" i="27" s="1"/>
  <c r="AK374" i="27"/>
  <c r="AL374" i="27" s="1"/>
  <c r="AJ374" i="27"/>
  <c r="T374" i="27" s="1"/>
  <c r="V374" i="27" s="1"/>
  <c r="AK373" i="27"/>
  <c r="AL373" i="27" s="1"/>
  <c r="AJ373" i="27"/>
  <c r="T373" i="27" s="1"/>
  <c r="V373" i="27" s="1"/>
  <c r="AI372" i="27"/>
  <c r="AH372" i="27"/>
  <c r="AG372" i="27"/>
  <c r="AF372" i="27"/>
  <c r="AE372" i="27"/>
  <c r="AD372" i="27"/>
  <c r="AC372" i="27"/>
  <c r="AA372" i="27"/>
  <c r="Z372" i="27"/>
  <c r="Y372" i="27"/>
  <c r="X372" i="27"/>
  <c r="Q372" i="27"/>
  <c r="R375" i="27" s="1"/>
  <c r="P372" i="27"/>
  <c r="AK371" i="27"/>
  <c r="AL371" i="27" s="1"/>
  <c r="AJ371" i="27"/>
  <c r="T371" i="27" s="1"/>
  <c r="V371" i="27" s="1"/>
  <c r="AK370" i="27"/>
  <c r="AL370" i="27" s="1"/>
  <c r="AJ370" i="27"/>
  <c r="T370" i="27" s="1"/>
  <c r="V370" i="27" s="1"/>
  <c r="AK369" i="27"/>
  <c r="AL369" i="27" s="1"/>
  <c r="AJ369" i="27"/>
  <c r="T369" i="27" s="1"/>
  <c r="V369" i="27" s="1"/>
  <c r="AK368" i="27"/>
  <c r="AL368" i="27" s="1"/>
  <c r="AJ368" i="27"/>
  <c r="T368" i="27" s="1"/>
  <c r="V368" i="27" s="1"/>
  <c r="AK367" i="27"/>
  <c r="AL367" i="27" s="1"/>
  <c r="AJ367" i="27"/>
  <c r="T367" i="27" s="1"/>
  <c r="V367" i="27" s="1"/>
  <c r="AK366" i="27"/>
  <c r="AL366" i="27" s="1"/>
  <c r="AJ366" i="27"/>
  <c r="T366" i="27" s="1"/>
  <c r="V366" i="27" s="1"/>
  <c r="AK365" i="27"/>
  <c r="AL365" i="27" s="1"/>
  <c r="AJ365" i="27"/>
  <c r="T365" i="27" s="1"/>
  <c r="AK364" i="27"/>
  <c r="AL364" i="27" s="1"/>
  <c r="AJ364" i="27"/>
  <c r="T364" i="27" s="1"/>
  <c r="V364" i="27" s="1"/>
  <c r="AK363" i="27"/>
  <c r="AL363" i="27" s="1"/>
  <c r="AJ363" i="27"/>
  <c r="T363" i="27" s="1"/>
  <c r="V363" i="27" s="1"/>
  <c r="AK362" i="27"/>
  <c r="AL362" i="27" s="1"/>
  <c r="AJ362" i="27"/>
  <c r="T362" i="27" s="1"/>
  <c r="V362" i="27" s="1"/>
  <c r="AK361" i="27"/>
  <c r="AL361" i="27" s="1"/>
  <c r="AJ361" i="27"/>
  <c r="T361" i="27" s="1"/>
  <c r="AK360" i="27"/>
  <c r="AL360" i="27" s="1"/>
  <c r="AJ360" i="27"/>
  <c r="T360" i="27" s="1"/>
  <c r="V360" i="27" s="1"/>
  <c r="AI359" i="27"/>
  <c r="AH359" i="27"/>
  <c r="AG359" i="27"/>
  <c r="AF359" i="27"/>
  <c r="AE359" i="27"/>
  <c r="AD359" i="27"/>
  <c r="AC359" i="27"/>
  <c r="AA359" i="27"/>
  <c r="Z359" i="27"/>
  <c r="Y359" i="27"/>
  <c r="X359" i="27"/>
  <c r="Q359" i="27"/>
  <c r="R370" i="27" s="1"/>
  <c r="P359" i="27"/>
  <c r="A359" i="27"/>
  <c r="A372" i="27" s="1"/>
  <c r="A382" i="27" s="1"/>
  <c r="A395" i="27" s="1"/>
  <c r="A403" i="27" s="1"/>
  <c r="AK357" i="27"/>
  <c r="AL357" i="27" s="1"/>
  <c r="AJ357" i="27"/>
  <c r="T357" i="27" s="1"/>
  <c r="V357" i="27" s="1"/>
  <c r="AK356" i="27"/>
  <c r="AL356" i="27" s="1"/>
  <c r="AJ356" i="27"/>
  <c r="T356" i="27" s="1"/>
  <c r="V356" i="27" s="1"/>
  <c r="AK355" i="27"/>
  <c r="AL355" i="27" s="1"/>
  <c r="AJ355" i="27"/>
  <c r="T355" i="27" s="1"/>
  <c r="V355" i="27" s="1"/>
  <c r="AK354" i="27"/>
  <c r="AL354" i="27" s="1"/>
  <c r="AJ354" i="27"/>
  <c r="T354" i="27" s="1"/>
  <c r="V354" i="27" s="1"/>
  <c r="AK353" i="27"/>
  <c r="AL353" i="27" s="1"/>
  <c r="AJ353" i="27"/>
  <c r="T353" i="27" s="1"/>
  <c r="V353" i="27" s="1"/>
  <c r="AK352" i="27"/>
  <c r="AL352" i="27" s="1"/>
  <c r="AJ352" i="27"/>
  <c r="T352" i="27" s="1"/>
  <c r="V352" i="27" s="1"/>
  <c r="AI351" i="27"/>
  <c r="AH351" i="27"/>
  <c r="AG351" i="27"/>
  <c r="AF351" i="27"/>
  <c r="AE351" i="27"/>
  <c r="AD351" i="27"/>
  <c r="AC351" i="27"/>
  <c r="AA351" i="27"/>
  <c r="Z351" i="27"/>
  <c r="Y351" i="27"/>
  <c r="X351" i="27"/>
  <c r="Q351" i="27"/>
  <c r="R358" i="27" s="1"/>
  <c r="P351" i="27"/>
  <c r="AK350" i="27"/>
  <c r="AL350" i="27" s="1"/>
  <c r="AJ350" i="27"/>
  <c r="T350" i="27" s="1"/>
  <c r="V350" i="27" s="1"/>
  <c r="AK349" i="27"/>
  <c r="AL349" i="27" s="1"/>
  <c r="AJ349" i="27"/>
  <c r="T349" i="27" s="1"/>
  <c r="V349" i="27" s="1"/>
  <c r="AK348" i="27"/>
  <c r="AL348" i="27" s="1"/>
  <c r="AJ348" i="27"/>
  <c r="T348" i="27" s="1"/>
  <c r="V348" i="27" s="1"/>
  <c r="AK347" i="27"/>
  <c r="AL347" i="27" s="1"/>
  <c r="AJ347" i="27"/>
  <c r="T347" i="27" s="1"/>
  <c r="V347" i="27" s="1"/>
  <c r="AK346" i="27"/>
  <c r="AL346" i="27" s="1"/>
  <c r="AJ346" i="27"/>
  <c r="T346" i="27" s="1"/>
  <c r="V346" i="27" s="1"/>
  <c r="AI345" i="27"/>
  <c r="AH345" i="27"/>
  <c r="AG345" i="27"/>
  <c r="AF345" i="27"/>
  <c r="AE345" i="27"/>
  <c r="AD345" i="27"/>
  <c r="AC345" i="27"/>
  <c r="AA345" i="27"/>
  <c r="Z345" i="27"/>
  <c r="Y345" i="27"/>
  <c r="X345" i="27"/>
  <c r="Q345" i="27"/>
  <c r="R350" i="27" s="1"/>
  <c r="P345" i="27"/>
  <c r="AK344" i="27"/>
  <c r="AL344" i="27" s="1"/>
  <c r="AJ344" i="27"/>
  <c r="T344" i="27" s="1"/>
  <c r="AK343" i="27"/>
  <c r="AL343" i="27" s="1"/>
  <c r="AJ343" i="27"/>
  <c r="T343" i="27" s="1"/>
  <c r="V343" i="27" s="1"/>
  <c r="AK342" i="27"/>
  <c r="AL342" i="27" s="1"/>
  <c r="AJ342" i="27"/>
  <c r="T342" i="27" s="1"/>
  <c r="V342" i="27" s="1"/>
  <c r="AK341" i="27"/>
  <c r="AL341" i="27" s="1"/>
  <c r="AJ341" i="27"/>
  <c r="T341" i="27" s="1"/>
  <c r="V341" i="27" s="1"/>
  <c r="AK340" i="27"/>
  <c r="AL340" i="27" s="1"/>
  <c r="AJ340" i="27"/>
  <c r="T340" i="27" s="1"/>
  <c r="V340" i="27" s="1"/>
  <c r="AK339" i="27"/>
  <c r="AL339" i="27" s="1"/>
  <c r="AJ339" i="27"/>
  <c r="T339" i="27" s="1"/>
  <c r="V339" i="27" s="1"/>
  <c r="AK338" i="27"/>
  <c r="AL338" i="27" s="1"/>
  <c r="AJ338" i="27"/>
  <c r="T338" i="27" s="1"/>
  <c r="V338" i="27" s="1"/>
  <c r="AK337" i="27"/>
  <c r="AL337" i="27" s="1"/>
  <c r="AJ337" i="27"/>
  <c r="T337" i="27" s="1"/>
  <c r="V337" i="27" s="1"/>
  <c r="AK336" i="27"/>
  <c r="AL336" i="27" s="1"/>
  <c r="AJ336" i="27"/>
  <c r="T336" i="27" s="1"/>
  <c r="V336" i="27" s="1"/>
  <c r="AK335" i="27"/>
  <c r="AL335" i="27" s="1"/>
  <c r="AJ335" i="27"/>
  <c r="T335" i="27" s="1"/>
  <c r="V335" i="27" s="1"/>
  <c r="AI334" i="27"/>
  <c r="AH334" i="27"/>
  <c r="AG334" i="27"/>
  <c r="AF334" i="27"/>
  <c r="AE334" i="27"/>
  <c r="AD334" i="27"/>
  <c r="AC334" i="27"/>
  <c r="AA334" i="27"/>
  <c r="Z334" i="27"/>
  <c r="Y334" i="27"/>
  <c r="X334" i="27"/>
  <c r="Q334" i="27"/>
  <c r="R343" i="27" s="1"/>
  <c r="P334" i="27"/>
  <c r="AK333" i="27"/>
  <c r="AL333" i="27" s="1"/>
  <c r="AJ333" i="27"/>
  <c r="T333" i="27" s="1"/>
  <c r="V333" i="27" s="1"/>
  <c r="AK332" i="27"/>
  <c r="AL332" i="27" s="1"/>
  <c r="AJ332" i="27"/>
  <c r="T332" i="27" s="1"/>
  <c r="V332" i="27" s="1"/>
  <c r="AK331" i="27"/>
  <c r="AL331" i="27" s="1"/>
  <c r="AJ331" i="27"/>
  <c r="T331" i="27" s="1"/>
  <c r="V331" i="27" s="1"/>
  <c r="AK330" i="27"/>
  <c r="AL330" i="27" s="1"/>
  <c r="AJ330" i="27"/>
  <c r="T330" i="27" s="1"/>
  <c r="V330" i="27" s="1"/>
  <c r="AK329" i="27"/>
  <c r="AL329" i="27" s="1"/>
  <c r="AJ329" i="27"/>
  <c r="T329" i="27" s="1"/>
  <c r="V329" i="27" s="1"/>
  <c r="AK328" i="27"/>
  <c r="AL328" i="27" s="1"/>
  <c r="AJ328" i="27"/>
  <c r="T328" i="27" s="1"/>
  <c r="V328" i="27" s="1"/>
  <c r="AI327" i="27"/>
  <c r="AH327" i="27"/>
  <c r="AG327" i="27"/>
  <c r="AF327" i="27"/>
  <c r="AE327" i="27"/>
  <c r="AD327" i="27"/>
  <c r="AC327" i="27"/>
  <c r="AA327" i="27"/>
  <c r="Z327" i="27"/>
  <c r="Y327" i="27"/>
  <c r="X327" i="27"/>
  <c r="Q327" i="27"/>
  <c r="AK325" i="27"/>
  <c r="AL325" i="27" s="1"/>
  <c r="AJ325" i="27"/>
  <c r="T325" i="27" s="1"/>
  <c r="V325" i="27" s="1"/>
  <c r="AK324" i="27"/>
  <c r="AL324" i="27" s="1"/>
  <c r="AJ324" i="27"/>
  <c r="T324" i="27" s="1"/>
  <c r="V324" i="27" s="1"/>
  <c r="AK323" i="27"/>
  <c r="AL323" i="27" s="1"/>
  <c r="AJ323" i="27"/>
  <c r="T323" i="27" s="1"/>
  <c r="V323" i="27" s="1"/>
  <c r="AK322" i="27"/>
  <c r="AL322" i="27" s="1"/>
  <c r="AJ322" i="27"/>
  <c r="T322" i="27" s="1"/>
  <c r="V322" i="27" s="1"/>
  <c r="AK321" i="27"/>
  <c r="AL321" i="27" s="1"/>
  <c r="AJ321" i="27"/>
  <c r="T321" i="27" s="1"/>
  <c r="V321" i="27" s="1"/>
  <c r="AI320" i="27"/>
  <c r="AH320" i="27"/>
  <c r="AG320" i="27"/>
  <c r="AF320" i="27"/>
  <c r="AE320" i="27"/>
  <c r="AD320" i="27"/>
  <c r="AC320" i="27"/>
  <c r="AA320" i="27"/>
  <c r="Z320" i="27"/>
  <c r="Y320" i="27"/>
  <c r="X320" i="27"/>
  <c r="P320" i="27"/>
  <c r="AK319" i="27"/>
  <c r="AL319" i="27" s="1"/>
  <c r="AJ319" i="27"/>
  <c r="T319" i="27" s="1"/>
  <c r="V319" i="27" s="1"/>
  <c r="AK318" i="27"/>
  <c r="AL318" i="27" s="1"/>
  <c r="AJ318" i="27"/>
  <c r="T318" i="27" s="1"/>
  <c r="V318" i="27" s="1"/>
  <c r="AK317" i="27"/>
  <c r="AL317" i="27" s="1"/>
  <c r="AJ317" i="27"/>
  <c r="T317" i="27" s="1"/>
  <c r="V317" i="27" s="1"/>
  <c r="AK316" i="27"/>
  <c r="AL316" i="27" s="1"/>
  <c r="AJ316" i="27"/>
  <c r="T316" i="27" s="1"/>
  <c r="V316" i="27" s="1"/>
  <c r="AK315" i="27"/>
  <c r="AL315" i="27" s="1"/>
  <c r="AJ315" i="27"/>
  <c r="T315" i="27" s="1"/>
  <c r="V315" i="27" s="1"/>
  <c r="AK314" i="27"/>
  <c r="AL314" i="27" s="1"/>
  <c r="AJ314" i="27"/>
  <c r="T314" i="27" s="1"/>
  <c r="AK313" i="27"/>
  <c r="AL313" i="27" s="1"/>
  <c r="AJ313" i="27"/>
  <c r="T313" i="27" s="1"/>
  <c r="V313" i="27" s="1"/>
  <c r="AI312" i="27"/>
  <c r="AH312" i="27"/>
  <c r="AG312" i="27"/>
  <c r="AF312" i="27"/>
  <c r="AE312" i="27"/>
  <c r="AD312" i="27"/>
  <c r="AC312" i="27"/>
  <c r="AA312" i="27"/>
  <c r="Z312" i="27"/>
  <c r="Y312" i="27"/>
  <c r="X312" i="27"/>
  <c r="Q312" i="27"/>
  <c r="P312" i="27"/>
  <c r="AK311" i="27"/>
  <c r="AL311" i="27" s="1"/>
  <c r="AJ311" i="27"/>
  <c r="T311" i="27" s="1"/>
  <c r="V311" i="27" s="1"/>
  <c r="AK310" i="27"/>
  <c r="AL310" i="27" s="1"/>
  <c r="AJ310" i="27"/>
  <c r="T310" i="27" s="1"/>
  <c r="V310" i="27" s="1"/>
  <c r="AK308" i="27"/>
  <c r="AL308" i="27" s="1"/>
  <c r="AJ308" i="27"/>
  <c r="T308" i="27" s="1"/>
  <c r="V308" i="27" s="1"/>
  <c r="AK307" i="27"/>
  <c r="AL307" i="27" s="1"/>
  <c r="AJ307" i="27"/>
  <c r="T307" i="27" s="1"/>
  <c r="V307" i="27" s="1"/>
  <c r="AK305" i="27"/>
  <c r="AL305" i="27" s="1"/>
  <c r="AJ305" i="27"/>
  <c r="T305" i="27" s="1"/>
  <c r="V305" i="27" s="1"/>
  <c r="AI304" i="27"/>
  <c r="AH304" i="27"/>
  <c r="AG304" i="27"/>
  <c r="AF304" i="27"/>
  <c r="AE304" i="27"/>
  <c r="AD304" i="27"/>
  <c r="AC304" i="27"/>
  <c r="AA304" i="27"/>
  <c r="Z304" i="27"/>
  <c r="Y304" i="27"/>
  <c r="X304" i="27"/>
  <c r="Q304" i="27"/>
  <c r="R311" i="27" s="1"/>
  <c r="P304" i="27"/>
  <c r="AK303" i="27"/>
  <c r="AL303" i="27" s="1"/>
  <c r="AJ303" i="27"/>
  <c r="T303" i="27" s="1"/>
  <c r="V303" i="27" s="1"/>
  <c r="AK302" i="27"/>
  <c r="AL302" i="27" s="1"/>
  <c r="AJ302" i="27"/>
  <c r="T302" i="27" s="1"/>
  <c r="V302" i="27" s="1"/>
  <c r="AK300" i="27"/>
  <c r="AL300" i="27" s="1"/>
  <c r="AJ300" i="27"/>
  <c r="T300" i="27" s="1"/>
  <c r="V300" i="27" s="1"/>
  <c r="AK299" i="27"/>
  <c r="AL299" i="27" s="1"/>
  <c r="AJ299" i="27"/>
  <c r="T299" i="27" s="1"/>
  <c r="V299" i="27" s="1"/>
  <c r="AK298" i="27"/>
  <c r="AL298" i="27" s="1"/>
  <c r="AJ298" i="27"/>
  <c r="T298" i="27" s="1"/>
  <c r="V298" i="27" s="1"/>
  <c r="AK297" i="27"/>
  <c r="AL297" i="27" s="1"/>
  <c r="AJ297" i="27"/>
  <c r="T297" i="27" s="1"/>
  <c r="V297" i="27" s="1"/>
  <c r="AK296" i="27"/>
  <c r="AL296" i="27" s="1"/>
  <c r="AJ296" i="27"/>
  <c r="T296" i="27" s="1"/>
  <c r="V296" i="27" s="1"/>
  <c r="AK294" i="27"/>
  <c r="AL294" i="27" s="1"/>
  <c r="AJ294" i="27"/>
  <c r="T294" i="27" s="1"/>
  <c r="V294" i="27" s="1"/>
  <c r="AK293" i="27"/>
  <c r="AL293" i="27" s="1"/>
  <c r="AJ293" i="27"/>
  <c r="T293" i="27" s="1"/>
  <c r="AI292" i="27"/>
  <c r="AH292" i="27"/>
  <c r="AG292" i="27"/>
  <c r="AF292" i="27"/>
  <c r="AE292" i="27"/>
  <c r="AD292" i="27"/>
  <c r="AC292" i="27"/>
  <c r="AA292" i="27"/>
  <c r="Z292" i="27"/>
  <c r="Y292" i="27"/>
  <c r="X292" i="27"/>
  <c r="P292" i="27"/>
  <c r="AK291" i="27"/>
  <c r="AL291" i="27" s="1"/>
  <c r="AJ291" i="27"/>
  <c r="T291" i="27" s="1"/>
  <c r="V291" i="27" s="1"/>
  <c r="AK287" i="27"/>
  <c r="AL287" i="27" s="1"/>
  <c r="AJ287" i="27"/>
  <c r="T287" i="27" s="1"/>
  <c r="AK286" i="27"/>
  <c r="AL286" i="27" s="1"/>
  <c r="AJ286" i="27"/>
  <c r="T286" i="27" s="1"/>
  <c r="V286" i="27" s="1"/>
  <c r="AK284" i="27"/>
  <c r="AL284" i="27" s="1"/>
  <c r="AJ284" i="27"/>
  <c r="T284" i="27" s="1"/>
  <c r="V284" i="27" s="1"/>
  <c r="AK283" i="27"/>
  <c r="AL283" i="27" s="1"/>
  <c r="AJ283" i="27"/>
  <c r="T283" i="27" s="1"/>
  <c r="V283" i="27" s="1"/>
  <c r="AI282" i="27"/>
  <c r="AH282" i="27"/>
  <c r="AF282" i="27"/>
  <c r="AE282" i="27"/>
  <c r="AD282" i="27"/>
  <c r="AC282" i="27"/>
  <c r="AA282" i="27"/>
  <c r="Z282" i="27"/>
  <c r="Y282" i="27"/>
  <c r="X282" i="27"/>
  <c r="P282" i="27"/>
  <c r="AK281" i="27"/>
  <c r="AL281" i="27" s="1"/>
  <c r="AJ281" i="27"/>
  <c r="T281" i="27" s="1"/>
  <c r="V281" i="27" s="1"/>
  <c r="AK280" i="27"/>
  <c r="AL280" i="27" s="1"/>
  <c r="AJ280" i="27"/>
  <c r="T280" i="27" s="1"/>
  <c r="V280" i="27" s="1"/>
  <c r="AK279" i="27"/>
  <c r="AL279" i="27" s="1"/>
  <c r="AJ279" i="27"/>
  <c r="T279" i="27" s="1"/>
  <c r="V279" i="27" s="1"/>
  <c r="AK278" i="27"/>
  <c r="AL278" i="27" s="1"/>
  <c r="AJ278" i="27"/>
  <c r="T278" i="27" s="1"/>
  <c r="V278" i="27" s="1"/>
  <c r="AK277" i="27"/>
  <c r="AL277" i="27" s="1"/>
  <c r="AJ277" i="27"/>
  <c r="T277" i="27" s="1"/>
  <c r="V277" i="27" s="1"/>
  <c r="AK276" i="27"/>
  <c r="AL276" i="27" s="1"/>
  <c r="AJ276" i="27"/>
  <c r="T276" i="27" s="1"/>
  <c r="V276" i="27" s="1"/>
  <c r="AK275" i="27"/>
  <c r="AL275" i="27" s="1"/>
  <c r="AJ275" i="27"/>
  <c r="T275" i="27" s="1"/>
  <c r="V275" i="27" s="1"/>
  <c r="AK274" i="27"/>
  <c r="AL274" i="27" s="1"/>
  <c r="AJ274" i="27"/>
  <c r="T274" i="27" s="1"/>
  <c r="V274" i="27" s="1"/>
  <c r="AK273" i="27"/>
  <c r="AL273" i="27" s="1"/>
  <c r="AJ273" i="27"/>
  <c r="T273" i="27" s="1"/>
  <c r="V273" i="27" s="1"/>
  <c r="AK272" i="27"/>
  <c r="AL272" i="27" s="1"/>
  <c r="AJ272" i="27"/>
  <c r="T272" i="27" s="1"/>
  <c r="V272" i="27" s="1"/>
  <c r="AK271" i="27"/>
  <c r="AL271" i="27" s="1"/>
  <c r="AJ271" i="27"/>
  <c r="T271" i="27" s="1"/>
  <c r="V271" i="27" s="1"/>
  <c r="AH270" i="27"/>
  <c r="AG270" i="27"/>
  <c r="AF270" i="27"/>
  <c r="AE270" i="27"/>
  <c r="AD270" i="27"/>
  <c r="AC270" i="27"/>
  <c r="AA270" i="27"/>
  <c r="Z270" i="27"/>
  <c r="Y270" i="27"/>
  <c r="X270" i="27"/>
  <c r="Q270" i="27"/>
  <c r="R278" i="27" s="1"/>
  <c r="P270" i="27"/>
  <c r="AK269" i="27"/>
  <c r="AL269" i="27" s="1"/>
  <c r="AJ269" i="27"/>
  <c r="T269" i="27" s="1"/>
  <c r="V269" i="27" s="1"/>
  <c r="AK268" i="27"/>
  <c r="AL268" i="27" s="1"/>
  <c r="AJ268" i="27"/>
  <c r="T268" i="27" s="1"/>
  <c r="V268" i="27" s="1"/>
  <c r="AK267" i="27"/>
  <c r="AL267" i="27" s="1"/>
  <c r="AJ267" i="27"/>
  <c r="T267" i="27" s="1"/>
  <c r="V267" i="27" s="1"/>
  <c r="AK263" i="27"/>
  <c r="AL263" i="27" s="1"/>
  <c r="AJ263" i="27"/>
  <c r="T263" i="27" s="1"/>
  <c r="V263" i="27" s="1"/>
  <c r="AK262" i="27"/>
  <c r="AL262" i="27" s="1"/>
  <c r="AJ262" i="27"/>
  <c r="T262" i="27" s="1"/>
  <c r="V262" i="27" s="1"/>
  <c r="AK261" i="27"/>
  <c r="AL261" i="27" s="1"/>
  <c r="AJ261" i="27"/>
  <c r="T261" i="27" s="1"/>
  <c r="V261" i="27" s="1"/>
  <c r="AK260" i="27"/>
  <c r="AL260" i="27" s="1"/>
  <c r="AJ260" i="27"/>
  <c r="T260" i="27" s="1"/>
  <c r="V260" i="27" s="1"/>
  <c r="AI259" i="27"/>
  <c r="AH259" i="27"/>
  <c r="AG259" i="27"/>
  <c r="AF259" i="27"/>
  <c r="AE259" i="27"/>
  <c r="AD259" i="27"/>
  <c r="AC259" i="27"/>
  <c r="AA259" i="27"/>
  <c r="Z259" i="27"/>
  <c r="Y259" i="27"/>
  <c r="X259" i="27"/>
  <c r="AK258" i="27"/>
  <c r="AL258" i="27" s="1"/>
  <c r="AJ258" i="27"/>
  <c r="T258" i="27" s="1"/>
  <c r="V258" i="27" s="1"/>
  <c r="AK257" i="27"/>
  <c r="AL257" i="27" s="1"/>
  <c r="AJ257" i="27"/>
  <c r="T257" i="27" s="1"/>
  <c r="V257" i="27" s="1"/>
  <c r="AK256" i="27"/>
  <c r="AL256" i="27" s="1"/>
  <c r="AJ256" i="27"/>
  <c r="T256" i="27" s="1"/>
  <c r="V256" i="27" s="1"/>
  <c r="AK255" i="27"/>
  <c r="AL255" i="27" s="1"/>
  <c r="AJ255" i="27"/>
  <c r="T255" i="27" s="1"/>
  <c r="V255" i="27" s="1"/>
  <c r="AK254" i="27"/>
  <c r="AL254" i="27" s="1"/>
  <c r="AJ254" i="27"/>
  <c r="T254" i="27" s="1"/>
  <c r="V254" i="27" s="1"/>
  <c r="AK253" i="27"/>
  <c r="AL253" i="27" s="1"/>
  <c r="AJ253" i="27"/>
  <c r="T253" i="27" s="1"/>
  <c r="V253" i="27" s="1"/>
  <c r="AK252" i="27"/>
  <c r="AL252" i="27" s="1"/>
  <c r="AJ252" i="27"/>
  <c r="T252" i="27" s="1"/>
  <c r="V252" i="27" s="1"/>
  <c r="AK251" i="27"/>
  <c r="AL251" i="27" s="1"/>
  <c r="AJ251" i="27"/>
  <c r="T251" i="27" s="1"/>
  <c r="V251" i="27" s="1"/>
  <c r="AK250" i="27"/>
  <c r="AL250" i="27" s="1"/>
  <c r="AJ250" i="27"/>
  <c r="T250" i="27" s="1"/>
  <c r="V250" i="27" s="1"/>
  <c r="AK249" i="27"/>
  <c r="AL249" i="27" s="1"/>
  <c r="AJ249" i="27"/>
  <c r="T249" i="27" s="1"/>
  <c r="V249" i="27" s="1"/>
  <c r="AK248" i="27"/>
  <c r="AL248" i="27" s="1"/>
  <c r="AJ248" i="27"/>
  <c r="T248" i="27" s="1"/>
  <c r="V248" i="27" s="1"/>
  <c r="AK247" i="27"/>
  <c r="AL247" i="27" s="1"/>
  <c r="AJ247" i="27"/>
  <c r="T247" i="27" s="1"/>
  <c r="V247" i="27" s="1"/>
  <c r="AK246" i="27"/>
  <c r="AL246" i="27" s="1"/>
  <c r="AJ246" i="27"/>
  <c r="T246" i="27" s="1"/>
  <c r="V246" i="27" s="1"/>
  <c r="AK245" i="27"/>
  <c r="AL245" i="27" s="1"/>
  <c r="AJ245" i="27"/>
  <c r="T245" i="27" s="1"/>
  <c r="V245" i="27" s="1"/>
  <c r="AI244" i="27"/>
  <c r="AH244" i="27"/>
  <c r="AG244" i="27"/>
  <c r="AG243" i="27" s="1"/>
  <c r="AF244" i="27"/>
  <c r="AF243" i="27" s="1"/>
  <c r="AE244" i="27"/>
  <c r="AE243" i="27" s="1"/>
  <c r="AD244" i="27"/>
  <c r="AC244" i="27"/>
  <c r="AC243" i="27" s="1"/>
  <c r="AA244" i="27"/>
  <c r="AA243" i="27" s="1"/>
  <c r="Z244" i="27"/>
  <c r="Z243" i="27" s="1"/>
  <c r="Y244" i="27"/>
  <c r="Y243" i="27" s="1"/>
  <c r="X244" i="27"/>
  <c r="X243" i="27" s="1"/>
  <c r="Q244" i="27"/>
  <c r="R258" i="27" s="1"/>
  <c r="P244" i="27"/>
  <c r="AD243" i="27"/>
  <c r="S243" i="27"/>
  <c r="AK232" i="27"/>
  <c r="AL232" i="27" s="1"/>
  <c r="AJ232" i="27"/>
  <c r="AK231" i="27"/>
  <c r="AL231" i="27" s="1"/>
  <c r="AJ231" i="27"/>
  <c r="T231" i="27" s="1"/>
  <c r="V231" i="27" s="1"/>
  <c r="AK229" i="27"/>
  <c r="AL229" i="27" s="1"/>
  <c r="AJ229" i="27"/>
  <c r="T229" i="27" s="1"/>
  <c r="V229" i="27" s="1"/>
  <c r="AK228" i="27"/>
  <c r="AL228" i="27" s="1"/>
  <c r="AJ228" i="27"/>
  <c r="T228" i="27" s="1"/>
  <c r="V228" i="27" s="1"/>
  <c r="AK227" i="27"/>
  <c r="AL227" i="27" s="1"/>
  <c r="AJ227" i="27"/>
  <c r="T227" i="27" s="1"/>
  <c r="V227" i="27" s="1"/>
  <c r="AK226" i="27"/>
  <c r="AL226" i="27" s="1"/>
  <c r="AJ226" i="27"/>
  <c r="T226" i="27" s="1"/>
  <c r="V226" i="27" s="1"/>
  <c r="AH225" i="27"/>
  <c r="AG225" i="27"/>
  <c r="AF225" i="27"/>
  <c r="AE225" i="27"/>
  <c r="AD225" i="27"/>
  <c r="AC225" i="27"/>
  <c r="AA225" i="27"/>
  <c r="Z225" i="27"/>
  <c r="Y225" i="27"/>
  <c r="X225" i="27"/>
  <c r="P225" i="27"/>
  <c r="A225" i="27"/>
  <c r="AK223" i="27"/>
  <c r="AL223" i="27" s="1"/>
  <c r="AJ223" i="27"/>
  <c r="T223" i="27" s="1"/>
  <c r="V223" i="27" s="1"/>
  <c r="AK222" i="27"/>
  <c r="AL222" i="27" s="1"/>
  <c r="AJ222" i="27"/>
  <c r="T222" i="27" s="1"/>
  <c r="V222" i="27" s="1"/>
  <c r="AK221" i="27"/>
  <c r="AL221" i="27" s="1"/>
  <c r="AJ221" i="27"/>
  <c r="T221" i="27" s="1"/>
  <c r="V221" i="27" s="1"/>
  <c r="AK220" i="27"/>
  <c r="AL220" i="27" s="1"/>
  <c r="AJ220" i="27"/>
  <c r="T220" i="27" s="1"/>
  <c r="V220" i="27" s="1"/>
  <c r="AK219" i="27"/>
  <c r="AL219" i="27" s="1"/>
  <c r="AJ219" i="27"/>
  <c r="T219" i="27" s="1"/>
  <c r="V219" i="27" s="1"/>
  <c r="AK218" i="27"/>
  <c r="AL218" i="27" s="1"/>
  <c r="AJ218" i="27"/>
  <c r="T218" i="27" s="1"/>
  <c r="V218" i="27" s="1"/>
  <c r="AH217" i="27"/>
  <c r="AG217" i="27"/>
  <c r="AF217" i="27"/>
  <c r="AE217" i="27"/>
  <c r="AD217" i="27"/>
  <c r="AC217" i="27"/>
  <c r="AA217" i="27"/>
  <c r="Z217" i="27"/>
  <c r="Y217" i="27"/>
  <c r="X217" i="27"/>
  <c r="P217" i="27"/>
  <c r="AK215" i="27"/>
  <c r="AL215" i="27" s="1"/>
  <c r="AJ215" i="27"/>
  <c r="T215" i="27" s="1"/>
  <c r="V215" i="27" s="1"/>
  <c r="AH215" i="27"/>
  <c r="AG215" i="27"/>
  <c r="AF215" i="27"/>
  <c r="AE215" i="27"/>
  <c r="AD215" i="27"/>
  <c r="AC215" i="27"/>
  <c r="AA215" i="27"/>
  <c r="Z215" i="27"/>
  <c r="Y215" i="27"/>
  <c r="X215" i="27"/>
  <c r="AK214" i="27"/>
  <c r="AL214" i="27" s="1"/>
  <c r="AJ214" i="27"/>
  <c r="T214" i="27" s="1"/>
  <c r="V214" i="27" s="1"/>
  <c r="AH214" i="27"/>
  <c r="AG214" i="27"/>
  <c r="AF214" i="27"/>
  <c r="AE214" i="27"/>
  <c r="AD214" i="27"/>
  <c r="AC214" i="27"/>
  <c r="AA214" i="27"/>
  <c r="Z214" i="27"/>
  <c r="Y214" i="27"/>
  <c r="X214" i="27"/>
  <c r="AK213" i="27"/>
  <c r="AL213" i="27" s="1"/>
  <c r="AJ213" i="27"/>
  <c r="T213" i="27" s="1"/>
  <c r="V213" i="27" s="1"/>
  <c r="AH213" i="27"/>
  <c r="AG213" i="27"/>
  <c r="AF213" i="27"/>
  <c r="AE213" i="27"/>
  <c r="AD213" i="27"/>
  <c r="AC213" i="27"/>
  <c r="AA213" i="27"/>
  <c r="Z213" i="27"/>
  <c r="Y213" i="27"/>
  <c r="X213" i="27"/>
  <c r="AK212" i="27"/>
  <c r="AL212" i="27" s="1"/>
  <c r="AJ212" i="27"/>
  <c r="T212" i="27" s="1"/>
  <c r="V212" i="27" s="1"/>
  <c r="AH212" i="27"/>
  <c r="AG212" i="27"/>
  <c r="AF212" i="27"/>
  <c r="AE212" i="27"/>
  <c r="AD212" i="27"/>
  <c r="AC212" i="27"/>
  <c r="AA212" i="27"/>
  <c r="Z212" i="27"/>
  <c r="Y212" i="27"/>
  <c r="X212" i="27"/>
  <c r="AH211" i="27"/>
  <c r="AG211" i="27"/>
  <c r="AF211" i="27"/>
  <c r="AE211" i="27"/>
  <c r="AD211" i="27"/>
  <c r="AC211" i="27"/>
  <c r="AA211" i="27"/>
  <c r="Z211" i="27"/>
  <c r="Y211" i="27"/>
  <c r="X211" i="27"/>
  <c r="P211" i="27"/>
  <c r="AK210" i="27"/>
  <c r="AL210" i="27" s="1"/>
  <c r="AJ210" i="27"/>
  <c r="T210" i="27" s="1"/>
  <c r="V210" i="27" s="1"/>
  <c r="AH210" i="27"/>
  <c r="AG210" i="27"/>
  <c r="AF210" i="27"/>
  <c r="AE210" i="27"/>
  <c r="AD210" i="27"/>
  <c r="AC210" i="27"/>
  <c r="AA210" i="27"/>
  <c r="Z210" i="27"/>
  <c r="Y210" i="27"/>
  <c r="X210" i="27"/>
  <c r="AK209" i="27"/>
  <c r="AL209" i="27" s="1"/>
  <c r="AJ209" i="27"/>
  <c r="T209" i="27" s="1"/>
  <c r="V209" i="27" s="1"/>
  <c r="AH209" i="27"/>
  <c r="AG209" i="27"/>
  <c r="AF209" i="27"/>
  <c r="AE209" i="27"/>
  <c r="AD209" i="27"/>
  <c r="AC209" i="27"/>
  <c r="AA209" i="27"/>
  <c r="Z209" i="27"/>
  <c r="Y209" i="27"/>
  <c r="X209" i="27"/>
  <c r="AK207" i="27"/>
  <c r="AL207" i="27" s="1"/>
  <c r="AJ207" i="27"/>
  <c r="T207" i="27" s="1"/>
  <c r="V207" i="27" s="1"/>
  <c r="AH207" i="27"/>
  <c r="AG207" i="27"/>
  <c r="AF207" i="27"/>
  <c r="AE207" i="27"/>
  <c r="AD207" i="27"/>
  <c r="AC207" i="27"/>
  <c r="AA207" i="27"/>
  <c r="Z207" i="27"/>
  <c r="Y207" i="27"/>
  <c r="X207" i="27"/>
  <c r="AK206" i="27"/>
  <c r="AL206" i="27" s="1"/>
  <c r="AJ206" i="27"/>
  <c r="T206" i="27" s="1"/>
  <c r="V206" i="27" s="1"/>
  <c r="AH206" i="27"/>
  <c r="AG206" i="27"/>
  <c r="AF206" i="27"/>
  <c r="AE206" i="27"/>
  <c r="AD206" i="27"/>
  <c r="AC206" i="27"/>
  <c r="AA206" i="27"/>
  <c r="Z206" i="27"/>
  <c r="Y206" i="27"/>
  <c r="X206" i="27"/>
  <c r="AK205" i="27"/>
  <c r="AL205" i="27" s="1"/>
  <c r="AJ205" i="27"/>
  <c r="T205" i="27" s="1"/>
  <c r="V205" i="27" s="1"/>
  <c r="AH205" i="27"/>
  <c r="AG205" i="27"/>
  <c r="AF205" i="27"/>
  <c r="AE205" i="27"/>
  <c r="AD205" i="27"/>
  <c r="AC205" i="27"/>
  <c r="AA205" i="27"/>
  <c r="Z205" i="27"/>
  <c r="Y205" i="27"/>
  <c r="X205" i="27"/>
  <c r="AH204" i="27"/>
  <c r="AG204" i="27"/>
  <c r="AF204" i="27"/>
  <c r="AE204" i="27"/>
  <c r="AD204" i="27"/>
  <c r="AC204" i="27"/>
  <c r="AA204" i="27"/>
  <c r="Z204" i="27"/>
  <c r="Y204" i="27"/>
  <c r="X204" i="27"/>
  <c r="Q204" i="27"/>
  <c r="R208" i="27" s="1"/>
  <c r="P204" i="27"/>
  <c r="A204" i="27"/>
  <c r="A211" i="27" s="1"/>
  <c r="AK203" i="27"/>
  <c r="AL203" i="27" s="1"/>
  <c r="AJ203" i="27"/>
  <c r="T203" i="27" s="1"/>
  <c r="V203" i="27" s="1"/>
  <c r="AK202" i="27"/>
  <c r="AL202" i="27" s="1"/>
  <c r="AJ202" i="27"/>
  <c r="T202" i="27" s="1"/>
  <c r="V202" i="27" s="1"/>
  <c r="AK200" i="27"/>
  <c r="AL200" i="27" s="1"/>
  <c r="AJ200" i="27"/>
  <c r="T200" i="27" s="1"/>
  <c r="V200" i="27" s="1"/>
  <c r="AK199" i="27"/>
  <c r="AL199" i="27" s="1"/>
  <c r="AJ199" i="27"/>
  <c r="T199" i="27" s="1"/>
  <c r="V199" i="27" s="1"/>
  <c r="AK198" i="27"/>
  <c r="AL198" i="27" s="1"/>
  <c r="AJ198" i="27"/>
  <c r="T198" i="27" s="1"/>
  <c r="V198" i="27" s="1"/>
  <c r="AK197" i="27"/>
  <c r="AL197" i="27" s="1"/>
  <c r="AJ197" i="27"/>
  <c r="T197" i="27" s="1"/>
  <c r="V197" i="27" s="1"/>
  <c r="AH196" i="27"/>
  <c r="AG196" i="27"/>
  <c r="AF196" i="27"/>
  <c r="AE196" i="27"/>
  <c r="AD196" i="27"/>
  <c r="AC196" i="27"/>
  <c r="AA196" i="27"/>
  <c r="Z196" i="27"/>
  <c r="Y196" i="27"/>
  <c r="X196" i="27"/>
  <c r="Q196" i="27"/>
  <c r="R200" i="27" s="1"/>
  <c r="P196" i="27"/>
  <c r="AK195" i="27"/>
  <c r="AL195" i="27" s="1"/>
  <c r="AJ195" i="27"/>
  <c r="T195" i="27" s="1"/>
  <c r="V195" i="27" s="1"/>
  <c r="AK194" i="27"/>
  <c r="AL194" i="27" s="1"/>
  <c r="AJ194" i="27"/>
  <c r="T194" i="27" s="1"/>
  <c r="V194" i="27" s="1"/>
  <c r="AK193" i="27"/>
  <c r="AL193" i="27" s="1"/>
  <c r="AJ193" i="27"/>
  <c r="T193" i="27" s="1"/>
  <c r="V193" i="27" s="1"/>
  <c r="AK192" i="27"/>
  <c r="AL192" i="27" s="1"/>
  <c r="AJ192" i="27"/>
  <c r="T192" i="27" s="1"/>
  <c r="V192" i="27" s="1"/>
  <c r="AK191" i="27"/>
  <c r="AL191" i="27" s="1"/>
  <c r="AJ191" i="27"/>
  <c r="T191" i="27" s="1"/>
  <c r="V191" i="27" s="1"/>
  <c r="AK190" i="27"/>
  <c r="AL190" i="27" s="1"/>
  <c r="AJ190" i="27"/>
  <c r="T190" i="27" s="1"/>
  <c r="V190" i="27" s="1"/>
  <c r="AK189" i="27"/>
  <c r="AL189" i="27" s="1"/>
  <c r="AJ189" i="27"/>
  <c r="T189" i="27" s="1"/>
  <c r="V189" i="27" s="1"/>
  <c r="AH188" i="27"/>
  <c r="AG188" i="27"/>
  <c r="AF188" i="27"/>
  <c r="AE188" i="27"/>
  <c r="AD188" i="27"/>
  <c r="AC188" i="27"/>
  <c r="AA188" i="27"/>
  <c r="Z188" i="27"/>
  <c r="Y188" i="27"/>
  <c r="X188" i="27"/>
  <c r="Q188" i="27"/>
  <c r="P188" i="27"/>
  <c r="AK186" i="27"/>
  <c r="AL186" i="27" s="1"/>
  <c r="AJ187" i="27"/>
  <c r="AK185" i="27"/>
  <c r="AL185" i="27" s="1"/>
  <c r="AJ185" i="27"/>
  <c r="T185" i="27" s="1"/>
  <c r="V185" i="27" s="1"/>
  <c r="AK184" i="27"/>
  <c r="AL184" i="27" s="1"/>
  <c r="AJ184" i="27"/>
  <c r="T184" i="27" s="1"/>
  <c r="V184" i="27" s="1"/>
  <c r="AK183" i="27"/>
  <c r="AL183" i="27" s="1"/>
  <c r="AJ183" i="27"/>
  <c r="T183" i="27" s="1"/>
  <c r="V183" i="27" s="1"/>
  <c r="AK182" i="27"/>
  <c r="AL182" i="27" s="1"/>
  <c r="AJ182" i="27"/>
  <c r="T182" i="27" s="1"/>
  <c r="V182" i="27" s="1"/>
  <c r="AK181" i="27"/>
  <c r="AL181" i="27" s="1"/>
  <c r="AJ181" i="27"/>
  <c r="T181" i="27" s="1"/>
  <c r="V181" i="27" s="1"/>
  <c r="AK180" i="27"/>
  <c r="AL180" i="27" s="1"/>
  <c r="AJ180" i="27"/>
  <c r="T180" i="27" s="1"/>
  <c r="V180" i="27" s="1"/>
  <c r="AK178" i="27"/>
  <c r="AL178" i="27" s="1"/>
  <c r="AJ178" i="27"/>
  <c r="T178" i="27" s="1"/>
  <c r="V178" i="27" s="1"/>
  <c r="AR177" i="27"/>
  <c r="AK177" i="27"/>
  <c r="AL177" i="27" s="1"/>
  <c r="AJ177" i="27"/>
  <c r="T177" i="27" s="1"/>
  <c r="V177" i="27" s="1"/>
  <c r="AH176" i="27"/>
  <c r="AG176" i="27"/>
  <c r="AG175" i="27" s="1"/>
  <c r="AF176" i="27"/>
  <c r="AF175" i="27" s="1"/>
  <c r="AE176" i="27"/>
  <c r="AE175" i="27" s="1"/>
  <c r="AD176" i="27"/>
  <c r="AD175" i="27" s="1"/>
  <c r="AC176" i="27"/>
  <c r="AC175" i="27" s="1"/>
  <c r="AA176" i="27"/>
  <c r="AA175" i="27" s="1"/>
  <c r="Z176" i="27"/>
  <c r="Z175" i="27" s="1"/>
  <c r="Y176" i="27"/>
  <c r="Y175" i="27" s="1"/>
  <c r="X176" i="27"/>
  <c r="X175" i="27" s="1"/>
  <c r="P176" i="27"/>
  <c r="AB175" i="27"/>
  <c r="W175" i="27"/>
  <c r="S175" i="27"/>
  <c r="O175" i="27"/>
  <c r="AK174" i="27"/>
  <c r="AL174" i="27" s="1"/>
  <c r="AJ174" i="27"/>
  <c r="T174" i="27" s="1"/>
  <c r="V174" i="27" s="1"/>
  <c r="AK172" i="27"/>
  <c r="AL172" i="27" s="1"/>
  <c r="AJ172" i="27"/>
  <c r="T172" i="27" s="1"/>
  <c r="V172" i="27" s="1"/>
  <c r="AK171" i="27"/>
  <c r="AL171" i="27" s="1"/>
  <c r="AJ171" i="27"/>
  <c r="T171" i="27" s="1"/>
  <c r="V171" i="27" s="1"/>
  <c r="AK170" i="27"/>
  <c r="AL170" i="27" s="1"/>
  <c r="AJ170" i="27"/>
  <c r="T170" i="27" s="1"/>
  <c r="V170" i="27" s="1"/>
  <c r="AK169" i="27"/>
  <c r="AL169" i="27" s="1"/>
  <c r="AJ169" i="27"/>
  <c r="T169" i="27" s="1"/>
  <c r="V169" i="27" s="1"/>
  <c r="AK168" i="27"/>
  <c r="AL168" i="27" s="1"/>
  <c r="AJ168" i="27"/>
  <c r="T168" i="27" s="1"/>
  <c r="V168" i="27" s="1"/>
  <c r="AK167" i="27"/>
  <c r="AL167" i="27" s="1"/>
  <c r="AJ167" i="27"/>
  <c r="T167" i="27" s="1"/>
  <c r="V167" i="27" s="1"/>
  <c r="AH166" i="27"/>
  <c r="AG166" i="27"/>
  <c r="AF166" i="27"/>
  <c r="AE166" i="27"/>
  <c r="AD166" i="27"/>
  <c r="AC166" i="27"/>
  <c r="AA166" i="27"/>
  <c r="Z166" i="27"/>
  <c r="Y166" i="27"/>
  <c r="X166" i="27"/>
  <c r="P166" i="27"/>
  <c r="AK165" i="27"/>
  <c r="AL165" i="27" s="1"/>
  <c r="AJ165" i="27"/>
  <c r="T165" i="27" s="1"/>
  <c r="V165" i="27" s="1"/>
  <c r="AI164" i="27"/>
  <c r="AH164" i="27"/>
  <c r="AG164" i="27"/>
  <c r="AG163" i="27" s="1"/>
  <c r="AF164" i="27"/>
  <c r="AF163" i="27" s="1"/>
  <c r="AE164" i="27"/>
  <c r="AE163" i="27" s="1"/>
  <c r="AD164" i="27"/>
  <c r="AD163" i="27" s="1"/>
  <c r="AC164" i="27"/>
  <c r="AC163" i="27" s="1"/>
  <c r="AA164" i="27"/>
  <c r="AA163" i="27" s="1"/>
  <c r="Z164" i="27"/>
  <c r="Z163" i="27" s="1"/>
  <c r="Y164" i="27"/>
  <c r="Y163" i="27" s="1"/>
  <c r="X164" i="27"/>
  <c r="X163" i="27" s="1"/>
  <c r="Q164" i="27"/>
  <c r="P164" i="27"/>
  <c r="AB163" i="27"/>
  <c r="W163" i="27"/>
  <c r="O163" i="27"/>
  <c r="AK162" i="27"/>
  <c r="AL162" i="27" s="1"/>
  <c r="AJ162" i="27"/>
  <c r="T162" i="27" s="1"/>
  <c r="V162" i="27" s="1"/>
  <c r="AK161" i="27"/>
  <c r="AL161" i="27" s="1"/>
  <c r="AJ161" i="27"/>
  <c r="T161" i="27" s="1"/>
  <c r="V161" i="27" s="1"/>
  <c r="AH160" i="27"/>
  <c r="AH156" i="27" s="1"/>
  <c r="AG160" i="27"/>
  <c r="AG156" i="27" s="1"/>
  <c r="AF160" i="27"/>
  <c r="AF156" i="27" s="1"/>
  <c r="AE160" i="27"/>
  <c r="AE156" i="27" s="1"/>
  <c r="AD160" i="27"/>
  <c r="AD156" i="27" s="1"/>
  <c r="AC160" i="27"/>
  <c r="AC156" i="27" s="1"/>
  <c r="AA160" i="27"/>
  <c r="AA156" i="27" s="1"/>
  <c r="Z160" i="27"/>
  <c r="Z156" i="27" s="1"/>
  <c r="Y160" i="27"/>
  <c r="Y156" i="27" s="1"/>
  <c r="X160" i="27"/>
  <c r="X156" i="27" s="1"/>
  <c r="Q160" i="27"/>
  <c r="P160" i="27"/>
  <c r="P156" i="27" s="1"/>
  <c r="AK159" i="27"/>
  <c r="AL159" i="27" s="1"/>
  <c r="AJ159" i="27"/>
  <c r="T159" i="27" s="1"/>
  <c r="V159" i="27" s="1"/>
  <c r="AK158" i="27"/>
  <c r="AL158" i="27" s="1"/>
  <c r="AJ158" i="27"/>
  <c r="T158" i="27" s="1"/>
  <c r="V158" i="27" s="1"/>
  <c r="AH157" i="27"/>
  <c r="AG157" i="27"/>
  <c r="AF157" i="27"/>
  <c r="AE157" i="27"/>
  <c r="AD157" i="27"/>
  <c r="AC157" i="27"/>
  <c r="AA157" i="27"/>
  <c r="Z157" i="27"/>
  <c r="Y157" i="27"/>
  <c r="X157" i="27"/>
  <c r="Q157" i="27"/>
  <c r="AB156" i="27"/>
  <c r="W156" i="27"/>
  <c r="O156" i="27"/>
  <c r="AK153" i="27"/>
  <c r="AL153" i="27" s="1"/>
  <c r="AJ153" i="27"/>
  <c r="T153" i="27" s="1"/>
  <c r="V153" i="27" s="1"/>
  <c r="AH153" i="27"/>
  <c r="AF153" i="27"/>
  <c r="AE153" i="27"/>
  <c r="AD153" i="27"/>
  <c r="AC153" i="27"/>
  <c r="AA153" i="27"/>
  <c r="Z153" i="27"/>
  <c r="Y153" i="27"/>
  <c r="X153" i="27"/>
  <c r="AI152" i="27"/>
  <c r="AH152" i="27"/>
  <c r="AF152" i="27"/>
  <c r="AE152" i="27"/>
  <c r="AD152" i="27"/>
  <c r="AC152" i="27"/>
  <c r="AA152" i="27"/>
  <c r="Z152" i="27"/>
  <c r="Y152" i="27"/>
  <c r="X152" i="27"/>
  <c r="Q152" i="27"/>
  <c r="R155" i="27" s="1"/>
  <c r="AK151" i="27"/>
  <c r="AL151" i="27" s="1"/>
  <c r="AJ151" i="27"/>
  <c r="T151" i="27" s="1"/>
  <c r="V151" i="27" s="1"/>
  <c r="AH151" i="27"/>
  <c r="AF151" i="27"/>
  <c r="AE151" i="27"/>
  <c r="AD151" i="27"/>
  <c r="AC151" i="27"/>
  <c r="AA151" i="27"/>
  <c r="Z151" i="27"/>
  <c r="Y151" i="27"/>
  <c r="X151" i="27"/>
  <c r="AI150" i="27"/>
  <c r="AH150" i="27"/>
  <c r="AF150" i="27"/>
  <c r="AE150" i="27"/>
  <c r="AD150" i="27"/>
  <c r="AC150" i="27"/>
  <c r="AA150" i="27"/>
  <c r="Z150" i="27"/>
  <c r="Y150" i="27"/>
  <c r="X150" i="27"/>
  <c r="Q150" i="27"/>
  <c r="R151" i="27" s="1"/>
  <c r="P150" i="27"/>
  <c r="AK149" i="27"/>
  <c r="AL149" i="27" s="1"/>
  <c r="AJ149" i="27"/>
  <c r="T149" i="27" s="1"/>
  <c r="AK148" i="27"/>
  <c r="AL148" i="27" s="1"/>
  <c r="AJ148" i="27"/>
  <c r="T148" i="27" s="1"/>
  <c r="V148" i="27" s="1"/>
  <c r="AH148" i="27"/>
  <c r="AG148" i="27"/>
  <c r="AF148" i="27"/>
  <c r="AE148" i="27"/>
  <c r="AD148" i="27"/>
  <c r="AC148" i="27"/>
  <c r="AA148" i="27"/>
  <c r="Z148" i="27"/>
  <c r="Y148" i="27"/>
  <c r="X148" i="27"/>
  <c r="AK147" i="27"/>
  <c r="AL147" i="27" s="1"/>
  <c r="AJ147" i="27"/>
  <c r="T147" i="27" s="1"/>
  <c r="V147" i="27" s="1"/>
  <c r="AH147" i="27"/>
  <c r="AG147" i="27"/>
  <c r="AF147" i="27"/>
  <c r="AE147" i="27"/>
  <c r="AD147" i="27"/>
  <c r="AC147" i="27"/>
  <c r="AA147" i="27"/>
  <c r="Z147" i="27"/>
  <c r="Y147" i="27"/>
  <c r="X147" i="27"/>
  <c r="AK146" i="27"/>
  <c r="AL146" i="27" s="1"/>
  <c r="AJ146" i="27"/>
  <c r="T146" i="27" s="1"/>
  <c r="V146" i="27" s="1"/>
  <c r="AH146" i="27"/>
  <c r="AG146" i="27"/>
  <c r="AF146" i="27"/>
  <c r="AE146" i="27"/>
  <c r="AD146" i="27"/>
  <c r="AC146" i="27"/>
  <c r="AA146" i="27"/>
  <c r="Z146" i="27"/>
  <c r="Y146" i="27"/>
  <c r="X146" i="27"/>
  <c r="AK145" i="27"/>
  <c r="AL145" i="27" s="1"/>
  <c r="AJ145" i="27"/>
  <c r="T145" i="27" s="1"/>
  <c r="V145" i="27" s="1"/>
  <c r="AH145" i="27"/>
  <c r="AG145" i="27"/>
  <c r="AF145" i="27"/>
  <c r="AE145" i="27"/>
  <c r="AD145" i="27"/>
  <c r="AC145" i="27"/>
  <c r="AA145" i="27"/>
  <c r="Z145" i="27"/>
  <c r="Y145" i="27"/>
  <c r="X145" i="27"/>
  <c r="AH143" i="27"/>
  <c r="AG143" i="27"/>
  <c r="AF143" i="27"/>
  <c r="AE143" i="27"/>
  <c r="AD143" i="27"/>
  <c r="AC143" i="27"/>
  <c r="AA143" i="27"/>
  <c r="Z143" i="27"/>
  <c r="Y143" i="27"/>
  <c r="X143" i="27"/>
  <c r="P143" i="27"/>
  <c r="AK142" i="27"/>
  <c r="AL142" i="27" s="1"/>
  <c r="AJ142" i="27"/>
  <c r="T142" i="27" s="1"/>
  <c r="V142" i="27" s="1"/>
  <c r="AH142" i="27"/>
  <c r="AG142" i="27"/>
  <c r="AF142" i="27"/>
  <c r="AE142" i="27"/>
  <c r="AD142" i="27"/>
  <c r="AC142" i="27"/>
  <c r="AA142" i="27"/>
  <c r="Z142" i="27"/>
  <c r="Y142" i="27"/>
  <c r="X142" i="27"/>
  <c r="AK141" i="27"/>
  <c r="AL141" i="27" s="1"/>
  <c r="AJ141" i="27"/>
  <c r="T141" i="27" s="1"/>
  <c r="V141" i="27" s="1"/>
  <c r="AH141" i="27"/>
  <c r="AG141" i="27"/>
  <c r="AF141" i="27"/>
  <c r="AE141" i="27"/>
  <c r="AD141" i="27"/>
  <c r="AC141" i="27"/>
  <c r="AA141" i="27"/>
  <c r="Z141" i="27"/>
  <c r="Y141" i="27"/>
  <c r="X141" i="27"/>
  <c r="AK140" i="27"/>
  <c r="AL140" i="27" s="1"/>
  <c r="AJ140" i="27"/>
  <c r="T140" i="27" s="1"/>
  <c r="V140" i="27" s="1"/>
  <c r="AH140" i="27"/>
  <c r="AG140" i="27"/>
  <c r="AF140" i="27"/>
  <c r="AE140" i="27"/>
  <c r="AD140" i="27"/>
  <c r="AC140" i="27"/>
  <c r="AA140" i="27"/>
  <c r="Z140" i="27"/>
  <c r="Y140" i="27"/>
  <c r="X140" i="27"/>
  <c r="AH139" i="27"/>
  <c r="AG139" i="27"/>
  <c r="AF139" i="27"/>
  <c r="AE139" i="27"/>
  <c r="AD139" i="27"/>
  <c r="AC139" i="27"/>
  <c r="AA139" i="27"/>
  <c r="Z139" i="27"/>
  <c r="Y139" i="27"/>
  <c r="X139" i="27"/>
  <c r="Q139" i="27"/>
  <c r="R140" i="27" s="1"/>
  <c r="P139" i="27"/>
  <c r="AK138" i="27"/>
  <c r="AL138" i="27" s="1"/>
  <c r="AJ138" i="27"/>
  <c r="T138" i="27" s="1"/>
  <c r="V138" i="27" s="1"/>
  <c r="AH138" i="27"/>
  <c r="AG138" i="27"/>
  <c r="AK137" i="27"/>
  <c r="AL137" i="27" s="1"/>
  <c r="AJ137" i="27"/>
  <c r="T137" i="27" s="1"/>
  <c r="V137" i="27" s="1"/>
  <c r="AH136" i="27"/>
  <c r="AG136" i="27"/>
  <c r="Q136" i="27"/>
  <c r="Q134" i="27"/>
  <c r="P134" i="27"/>
  <c r="AK130" i="27"/>
  <c r="AL130" i="27" s="1"/>
  <c r="AJ130" i="27"/>
  <c r="T130" i="27" s="1"/>
  <c r="V130" i="27" s="1"/>
  <c r="AK129" i="27"/>
  <c r="AL129" i="27" s="1"/>
  <c r="AJ129" i="27"/>
  <c r="T129" i="27" s="1"/>
  <c r="V129" i="27" s="1"/>
  <c r="AK128" i="27"/>
  <c r="AL128" i="27" s="1"/>
  <c r="AJ128" i="27"/>
  <c r="T128" i="27" s="1"/>
  <c r="V128" i="27" s="1"/>
  <c r="AK126" i="27"/>
  <c r="AL126" i="27" s="1"/>
  <c r="AJ126" i="27"/>
  <c r="T126" i="27" s="1"/>
  <c r="V126" i="27" s="1"/>
  <c r="AH126" i="27"/>
  <c r="AG126" i="27"/>
  <c r="AF126" i="27"/>
  <c r="AE126" i="27"/>
  <c r="AD126" i="27"/>
  <c r="AC126" i="27"/>
  <c r="AA126" i="27"/>
  <c r="Z126" i="27"/>
  <c r="Y126" i="27"/>
  <c r="X126" i="27"/>
  <c r="AK125" i="27"/>
  <c r="AL125" i="27" s="1"/>
  <c r="AJ125" i="27"/>
  <c r="T125" i="27" s="1"/>
  <c r="V125" i="27" s="1"/>
  <c r="AH125" i="27"/>
  <c r="AG125" i="27"/>
  <c r="AF125" i="27"/>
  <c r="AE125" i="27"/>
  <c r="AD125" i="27"/>
  <c r="AC125" i="27"/>
  <c r="AA125" i="27"/>
  <c r="Z125" i="27"/>
  <c r="Y125" i="27"/>
  <c r="X125" i="27"/>
  <c r="AK124" i="27"/>
  <c r="AL124" i="27" s="1"/>
  <c r="AJ124" i="27"/>
  <c r="T124" i="27" s="1"/>
  <c r="AH124" i="27"/>
  <c r="AG124" i="27"/>
  <c r="AF124" i="27"/>
  <c r="AE124" i="27"/>
  <c r="AD124" i="27"/>
  <c r="AC124" i="27"/>
  <c r="AA124" i="27"/>
  <c r="Z124" i="27"/>
  <c r="Y124" i="27"/>
  <c r="X124" i="27"/>
  <c r="AK123" i="27"/>
  <c r="AL123" i="27" s="1"/>
  <c r="AJ123" i="27"/>
  <c r="T123" i="27" s="1"/>
  <c r="V123" i="27" s="1"/>
  <c r="AH123" i="27"/>
  <c r="AG123" i="27"/>
  <c r="AF123" i="27"/>
  <c r="AE123" i="27"/>
  <c r="AD123" i="27"/>
  <c r="AC123" i="27"/>
  <c r="AA123" i="27"/>
  <c r="Z123" i="27"/>
  <c r="Y123" i="27"/>
  <c r="X123" i="27"/>
  <c r="AH122" i="27"/>
  <c r="AG122" i="27"/>
  <c r="AG119" i="27" s="1"/>
  <c r="AF122" i="27"/>
  <c r="AF119" i="27" s="1"/>
  <c r="AE122" i="27"/>
  <c r="AE119" i="27" s="1"/>
  <c r="AD122" i="27"/>
  <c r="AD119" i="27" s="1"/>
  <c r="AC122" i="27"/>
  <c r="AC119" i="27" s="1"/>
  <c r="AA122" i="27"/>
  <c r="AA119" i="27" s="1"/>
  <c r="Z122" i="27"/>
  <c r="Z119" i="27" s="1"/>
  <c r="Y122" i="27"/>
  <c r="Y119" i="27" s="1"/>
  <c r="X122" i="27"/>
  <c r="X119" i="27" s="1"/>
  <c r="P122" i="27"/>
  <c r="AB119" i="27"/>
  <c r="W119" i="27"/>
  <c r="O119" i="27"/>
  <c r="AK90" i="27"/>
  <c r="AL90" i="27" s="1"/>
  <c r="AJ90" i="27"/>
  <c r="T90" i="27" s="1"/>
  <c r="V90" i="27" s="1"/>
  <c r="AH89" i="27"/>
  <c r="AG89" i="27"/>
  <c r="AF89" i="27"/>
  <c r="AE89" i="27"/>
  <c r="AD89" i="27"/>
  <c r="AC89" i="27"/>
  <c r="AA89" i="27"/>
  <c r="Z89" i="27"/>
  <c r="Y89" i="27"/>
  <c r="X89" i="27"/>
  <c r="Q89" i="27"/>
  <c r="R94" i="27" s="1"/>
  <c r="P89" i="27"/>
  <c r="AK88" i="27"/>
  <c r="AL88" i="27" s="1"/>
  <c r="AJ88" i="27"/>
  <c r="T88" i="27" s="1"/>
  <c r="V88" i="27" s="1"/>
  <c r="AH87" i="27"/>
  <c r="AG87" i="27"/>
  <c r="AF87" i="27"/>
  <c r="AE87" i="27"/>
  <c r="AD87" i="27"/>
  <c r="AC87" i="27"/>
  <c r="AA87" i="27"/>
  <c r="Z87" i="27"/>
  <c r="Y87" i="27"/>
  <c r="X87" i="27"/>
  <c r="Q87" i="27"/>
  <c r="P87" i="27"/>
  <c r="AK86" i="27"/>
  <c r="AL86" i="27" s="1"/>
  <c r="AJ86" i="27"/>
  <c r="T86" i="27" s="1"/>
  <c r="V86" i="27" s="1"/>
  <c r="AK85" i="27"/>
  <c r="AL85" i="27" s="1"/>
  <c r="AJ85" i="27"/>
  <c r="T85" i="27" s="1"/>
  <c r="V85" i="27" s="1"/>
  <c r="AH84" i="27"/>
  <c r="AG84" i="27"/>
  <c r="AF84" i="27"/>
  <c r="AE84" i="27"/>
  <c r="AD84" i="27"/>
  <c r="AC84" i="27"/>
  <c r="AA84" i="27"/>
  <c r="Z84" i="27"/>
  <c r="Y84" i="27"/>
  <c r="X84" i="27"/>
  <c r="Q84" i="27"/>
  <c r="R86" i="27" s="1"/>
  <c r="P84" i="27"/>
  <c r="AK83" i="27"/>
  <c r="AL83" i="27" s="1"/>
  <c r="AJ83" i="27"/>
  <c r="T83" i="27" s="1"/>
  <c r="V83" i="27" s="1"/>
  <c r="AK82" i="27"/>
  <c r="AL82" i="27" s="1"/>
  <c r="AJ82" i="27"/>
  <c r="T82" i="27" s="1"/>
  <c r="V82" i="27" s="1"/>
  <c r="AH81" i="27"/>
  <c r="AG81" i="27"/>
  <c r="AF81" i="27"/>
  <c r="AE81" i="27"/>
  <c r="AD81" i="27"/>
  <c r="AC81" i="27"/>
  <c r="AA81" i="27"/>
  <c r="Z81" i="27"/>
  <c r="Y81" i="27"/>
  <c r="X81" i="27"/>
  <c r="P81" i="27"/>
  <c r="AK80" i="27"/>
  <c r="AL80" i="27" s="1"/>
  <c r="AJ80" i="27"/>
  <c r="T80" i="27" s="1"/>
  <c r="V80" i="27" s="1"/>
  <c r="AK79" i="27"/>
  <c r="AL79" i="27" s="1"/>
  <c r="AJ79" i="27"/>
  <c r="T79" i="27" s="1"/>
  <c r="V79" i="27" s="1"/>
  <c r="AH78" i="27"/>
  <c r="AF78" i="27"/>
  <c r="AE78" i="27"/>
  <c r="AD78" i="27"/>
  <c r="AC78" i="27"/>
  <c r="AA78" i="27"/>
  <c r="Z78" i="27"/>
  <c r="Y78" i="27"/>
  <c r="X78" i="27"/>
  <c r="Q78" i="27"/>
  <c r="AK77" i="27"/>
  <c r="AL77" i="27" s="1"/>
  <c r="AJ77" i="27"/>
  <c r="T77" i="27" s="1"/>
  <c r="V77" i="27" s="1"/>
  <c r="AH76" i="27"/>
  <c r="AF76" i="27"/>
  <c r="AE76" i="27"/>
  <c r="AD76" i="27"/>
  <c r="AC76" i="27"/>
  <c r="AA76" i="27"/>
  <c r="Z76" i="27"/>
  <c r="Y76" i="27"/>
  <c r="X76" i="27"/>
  <c r="Q76" i="27"/>
  <c r="P76" i="27"/>
  <c r="AK74" i="27"/>
  <c r="AL74" i="27" s="1"/>
  <c r="AJ74" i="27"/>
  <c r="T74" i="27" s="1"/>
  <c r="V74" i="27" s="1"/>
  <c r="AK73" i="27"/>
  <c r="AL73" i="27" s="1"/>
  <c r="AJ73" i="27"/>
  <c r="T73" i="27" s="1"/>
  <c r="V73" i="27" s="1"/>
  <c r="AK72" i="27"/>
  <c r="AL72" i="27" s="1"/>
  <c r="AJ72" i="27"/>
  <c r="T72" i="27" s="1"/>
  <c r="V72" i="27" s="1"/>
  <c r="AK71" i="27"/>
  <c r="AL71" i="27" s="1"/>
  <c r="AJ71" i="27"/>
  <c r="T71" i="27" s="1"/>
  <c r="V71" i="27" s="1"/>
  <c r="AH70" i="27"/>
  <c r="AG70" i="27"/>
  <c r="AF70" i="27"/>
  <c r="AE70" i="27"/>
  <c r="AD70" i="27"/>
  <c r="AC70" i="27"/>
  <c r="AA70" i="27"/>
  <c r="Z70" i="27"/>
  <c r="Y70" i="27"/>
  <c r="X70" i="27"/>
  <c r="P70" i="27"/>
  <c r="AK69" i="27"/>
  <c r="AL69" i="27" s="1"/>
  <c r="AJ69" i="27"/>
  <c r="T69" i="27" s="1"/>
  <c r="V69" i="27" s="1"/>
  <c r="AK68" i="27"/>
  <c r="AL68" i="27" s="1"/>
  <c r="AJ68" i="27"/>
  <c r="T68" i="27" s="1"/>
  <c r="V68" i="27" s="1"/>
  <c r="AH67" i="27"/>
  <c r="AG67" i="27"/>
  <c r="AF67" i="27"/>
  <c r="AE67" i="27"/>
  <c r="AD67" i="27"/>
  <c r="AC67" i="27"/>
  <c r="AA67" i="27"/>
  <c r="Z67" i="27"/>
  <c r="Y67" i="27"/>
  <c r="X67" i="27"/>
  <c r="Q67" i="27"/>
  <c r="P67" i="27"/>
  <c r="AK66" i="27"/>
  <c r="AL66" i="27" s="1"/>
  <c r="AJ66" i="27"/>
  <c r="T66" i="27" s="1"/>
  <c r="V66" i="27" s="1"/>
  <c r="AH66" i="27"/>
  <c r="AG66" i="27"/>
  <c r="AF66" i="27"/>
  <c r="AE66" i="27"/>
  <c r="AD66" i="27"/>
  <c r="AC66" i="27"/>
  <c r="AA66" i="27"/>
  <c r="Z66" i="27"/>
  <c r="Y66" i="27"/>
  <c r="X66" i="27"/>
  <c r="AK65" i="27"/>
  <c r="AL65" i="27" s="1"/>
  <c r="AJ65" i="27"/>
  <c r="T65" i="27" s="1"/>
  <c r="V65" i="27" s="1"/>
  <c r="AK64" i="27"/>
  <c r="AL64" i="27" s="1"/>
  <c r="AJ64" i="27"/>
  <c r="T64" i="27" s="1"/>
  <c r="V64" i="27" s="1"/>
  <c r="AH64" i="27"/>
  <c r="AG64" i="27"/>
  <c r="AF64" i="27"/>
  <c r="AE64" i="27"/>
  <c r="AD64" i="27"/>
  <c r="AC64" i="27"/>
  <c r="AA64" i="27"/>
  <c r="Z64" i="27"/>
  <c r="Y64" i="27"/>
  <c r="X64" i="27"/>
  <c r="AH63" i="27"/>
  <c r="AG63" i="27"/>
  <c r="AF63" i="27"/>
  <c r="AE63" i="27"/>
  <c r="AD63" i="27"/>
  <c r="AC63" i="27"/>
  <c r="AA63" i="27"/>
  <c r="Z63" i="27"/>
  <c r="Y63" i="27"/>
  <c r="X63" i="27"/>
  <c r="Q63" i="27"/>
  <c r="P63" i="27"/>
  <c r="AK62" i="27"/>
  <c r="AL62" i="27" s="1"/>
  <c r="AJ62" i="27"/>
  <c r="T62" i="27" s="1"/>
  <c r="V62" i="27" s="1"/>
  <c r="AH62" i="27"/>
  <c r="AG62" i="27"/>
  <c r="AF62" i="27"/>
  <c r="AE62" i="27"/>
  <c r="AD62" i="27"/>
  <c r="AC62" i="27"/>
  <c r="AA62" i="27"/>
  <c r="Z62" i="27"/>
  <c r="Y62" i="27"/>
  <c r="X62" i="27"/>
  <c r="AH61" i="27"/>
  <c r="AG61" i="27"/>
  <c r="AF61" i="27"/>
  <c r="AE61" i="27"/>
  <c r="AD61" i="27"/>
  <c r="AC61" i="27"/>
  <c r="AA61" i="27"/>
  <c r="Z61" i="27"/>
  <c r="Y61" i="27"/>
  <c r="X61" i="27"/>
  <c r="Q61" i="27"/>
  <c r="R62" i="27" s="1"/>
  <c r="P61" i="27"/>
  <c r="AK60" i="27"/>
  <c r="AL60" i="27" s="1"/>
  <c r="AJ60" i="27"/>
  <c r="T60" i="27" s="1"/>
  <c r="V60" i="27" s="1"/>
  <c r="AH60" i="27"/>
  <c r="AG60" i="27"/>
  <c r="AF60" i="27"/>
  <c r="AE60" i="27"/>
  <c r="AD60" i="27"/>
  <c r="AC60" i="27"/>
  <c r="AA60" i="27"/>
  <c r="Z60" i="27"/>
  <c r="Y60" i="27"/>
  <c r="X60" i="27"/>
  <c r="AK59" i="27"/>
  <c r="AL59" i="27" s="1"/>
  <c r="AJ59" i="27"/>
  <c r="T59" i="27" s="1"/>
  <c r="V59" i="27" s="1"/>
  <c r="AK58" i="27"/>
  <c r="AL58" i="27" s="1"/>
  <c r="AJ58" i="27"/>
  <c r="T58" i="27" s="1"/>
  <c r="V58" i="27" s="1"/>
  <c r="AH58" i="27"/>
  <c r="AG58" i="27"/>
  <c r="AF58" i="27"/>
  <c r="AE58" i="27"/>
  <c r="AD58" i="27"/>
  <c r="AC58" i="27"/>
  <c r="AA58" i="27"/>
  <c r="Z58" i="27"/>
  <c r="Y58" i="27"/>
  <c r="X58" i="27"/>
  <c r="AH57" i="27"/>
  <c r="AG57" i="27"/>
  <c r="AF57" i="27"/>
  <c r="AE57" i="27"/>
  <c r="AD57" i="27"/>
  <c r="AC57" i="27"/>
  <c r="AA57" i="27"/>
  <c r="Z57" i="27"/>
  <c r="Y57" i="27"/>
  <c r="X57" i="27"/>
  <c r="Q57" i="27"/>
  <c r="P57" i="27"/>
  <c r="A57" i="27"/>
  <c r="A61" i="27" s="1"/>
  <c r="A63" i="27" s="1"/>
  <c r="A67" i="27" s="1"/>
  <c r="A70" i="27" s="1"/>
  <c r="A76" i="27" s="1"/>
  <c r="A78" i="27" s="1"/>
  <c r="A81" i="27" s="1"/>
  <c r="A84" i="27" s="1"/>
  <c r="A87" i="27" s="1"/>
  <c r="A89" i="27" s="1"/>
  <c r="AK56" i="27"/>
  <c r="AL56" i="27" s="1"/>
  <c r="AJ56" i="27"/>
  <c r="T56" i="27" s="1"/>
  <c r="V56" i="27" s="1"/>
  <c r="AH56" i="27"/>
  <c r="AG56" i="27"/>
  <c r="AF56" i="27"/>
  <c r="AE56" i="27"/>
  <c r="AD56" i="27"/>
  <c r="AC56" i="27"/>
  <c r="AA56" i="27"/>
  <c r="Z56" i="27"/>
  <c r="Y56" i="27"/>
  <c r="X56" i="27"/>
  <c r="AH55" i="27"/>
  <c r="AG55" i="27"/>
  <c r="AG54" i="27" s="1"/>
  <c r="AG53" i="27" s="1"/>
  <c r="AF55" i="27"/>
  <c r="AF54" i="27" s="1"/>
  <c r="AF53" i="27" s="1"/>
  <c r="AE55" i="27"/>
  <c r="AE54" i="27" s="1"/>
  <c r="AE53" i="27" s="1"/>
  <c r="AD55" i="27"/>
  <c r="AD54" i="27" s="1"/>
  <c r="AD53" i="27" s="1"/>
  <c r="AC55" i="27"/>
  <c r="AC54" i="27" s="1"/>
  <c r="AC53" i="27" s="1"/>
  <c r="AA55" i="27"/>
  <c r="AA54" i="27" s="1"/>
  <c r="AA53" i="27" s="1"/>
  <c r="Z55" i="27"/>
  <c r="Z54" i="27" s="1"/>
  <c r="Z53" i="27" s="1"/>
  <c r="Y55" i="27"/>
  <c r="Y54" i="27" s="1"/>
  <c r="Y53" i="27" s="1"/>
  <c r="X55" i="27"/>
  <c r="X54" i="27" s="1"/>
  <c r="X53" i="27" s="1"/>
  <c r="Q55" i="27"/>
  <c r="AB54" i="27"/>
  <c r="W54" i="27"/>
  <c r="W53" i="27" s="1"/>
  <c r="W33" i="27" s="1"/>
  <c r="S54" i="27"/>
  <c r="S53" i="27" s="1"/>
  <c r="O54" i="27"/>
  <c r="AK51" i="27"/>
  <c r="AL51" i="27" s="1"/>
  <c r="AJ51" i="27"/>
  <c r="T51" i="27" s="1"/>
  <c r="V51" i="27" s="1"/>
  <c r="Q50" i="27"/>
  <c r="AK49" i="27"/>
  <c r="AL49" i="27" s="1"/>
  <c r="AJ49" i="27"/>
  <c r="T49" i="27" s="1"/>
  <c r="V49" i="27" s="1"/>
  <c r="AK48" i="27"/>
  <c r="AL48" i="27" s="1"/>
  <c r="AJ48" i="27"/>
  <c r="T48" i="27" s="1"/>
  <c r="V48" i="27" s="1"/>
  <c r="Q47" i="27"/>
  <c r="AI46" i="27"/>
  <c r="AK46" i="27" s="1"/>
  <c r="AL46" i="27" s="1"/>
  <c r="AI45" i="27"/>
  <c r="AK45" i="27" s="1"/>
  <c r="AL45" i="27" s="1"/>
  <c r="AI44" i="27"/>
  <c r="AK44" i="27" s="1"/>
  <c r="AL44" i="27" s="1"/>
  <c r="AI43" i="27"/>
  <c r="AK43" i="27" s="1"/>
  <c r="AL43" i="27" s="1"/>
  <c r="AI42" i="27"/>
  <c r="AK42" i="27" s="1"/>
  <c r="AL42" i="27" s="1"/>
  <c r="AI41" i="27"/>
  <c r="AK41" i="27" s="1"/>
  <c r="AL41" i="27" s="1"/>
  <c r="AI40" i="27"/>
  <c r="AK40" i="27" s="1"/>
  <c r="AL40" i="27" s="1"/>
  <c r="AI39" i="27"/>
  <c r="AK39" i="27" s="1"/>
  <c r="AL39" i="27" s="1"/>
  <c r="AI38" i="27"/>
  <c r="AK38" i="27" s="1"/>
  <c r="AL38" i="27" s="1"/>
  <c r="AH35" i="27"/>
  <c r="AG35" i="27"/>
  <c r="AG33" i="27" s="1"/>
  <c r="AF35" i="27"/>
  <c r="AF33" i="27" s="1"/>
  <c r="AE35" i="27"/>
  <c r="AE33" i="27" s="1"/>
  <c r="AD35" i="27"/>
  <c r="AD33" i="27" s="1"/>
  <c r="AC35" i="27"/>
  <c r="AC33" i="27" s="1"/>
  <c r="AA35" i="27"/>
  <c r="AA33" i="27" s="1"/>
  <c r="Z35" i="27"/>
  <c r="Z33" i="27" s="1"/>
  <c r="Y35" i="27"/>
  <c r="Y33" i="27" s="1"/>
  <c r="X35" i="27"/>
  <c r="X33" i="27" s="1"/>
  <c r="P35" i="27"/>
  <c r="S33" i="27"/>
  <c r="AI32" i="27"/>
  <c r="AK32" i="27" s="1"/>
  <c r="AB32" i="27"/>
  <c r="AB12" i="27" s="1"/>
  <c r="AA32" i="27"/>
  <c r="Z32" i="27"/>
  <c r="Y32" i="27"/>
  <c r="T32" i="27"/>
  <c r="V32" i="27" s="1"/>
  <c r="AI31" i="27"/>
  <c r="AK31" i="27" s="1"/>
  <c r="AB31" i="27"/>
  <c r="AA31" i="27"/>
  <c r="Z31" i="27"/>
  <c r="Y31" i="27"/>
  <c r="T31" i="27"/>
  <c r="V31" i="27" s="1"/>
  <c r="AK30" i="27"/>
  <c r="AB30" i="27"/>
  <c r="AA30" i="27"/>
  <c r="Z30" i="27"/>
  <c r="Y30" i="27"/>
  <c r="T30" i="27"/>
  <c r="V30" i="27" s="1"/>
  <c r="AK29" i="27"/>
  <c r="AL29" i="27" s="1"/>
  <c r="AJ29" i="27"/>
  <c r="T29" i="27" s="1"/>
  <c r="V29" i="27" s="1"/>
  <c r="AB29" i="27"/>
  <c r="AA29" i="27"/>
  <c r="Z29" i="27"/>
  <c r="Y29" i="27"/>
  <c r="AI28" i="27"/>
  <c r="AK28" i="27" s="1"/>
  <c r="AB28" i="27"/>
  <c r="AA28" i="27"/>
  <c r="Z28" i="27"/>
  <c r="Y28" i="27"/>
  <c r="T28" i="27"/>
  <c r="V28" i="27" s="1"/>
  <c r="AI27" i="27"/>
  <c r="AK27" i="27" s="1"/>
  <c r="AL27" i="27" s="1"/>
  <c r="AB27" i="27"/>
  <c r="AA27" i="27"/>
  <c r="Y27" i="27"/>
  <c r="AH26" i="27"/>
  <c r="AH12" i="27" s="1"/>
  <c r="AG26" i="27"/>
  <c r="AG12" i="27" s="1"/>
  <c r="AF26" i="27"/>
  <c r="AF12" i="27" s="1"/>
  <c r="AE26" i="27"/>
  <c r="AE12" i="27" s="1"/>
  <c r="AD26" i="27"/>
  <c r="AD12" i="27" s="1"/>
  <c r="AC26" i="27"/>
  <c r="AC12" i="27" s="1"/>
  <c r="AA26" i="27"/>
  <c r="AA12" i="27" s="1"/>
  <c r="Z26" i="27"/>
  <c r="Z12" i="27" s="1"/>
  <c r="Y26" i="27"/>
  <c r="Y12" i="27" s="1"/>
  <c r="X26" i="27"/>
  <c r="X12" i="27" s="1"/>
  <c r="Q26" i="27"/>
  <c r="P26" i="27"/>
  <c r="AI25" i="27"/>
  <c r="AI24" i="27" s="1"/>
  <c r="AC25" i="27"/>
  <c r="AH24" i="27"/>
  <c r="AG24" i="27"/>
  <c r="AF24" i="27"/>
  <c r="AE24" i="27"/>
  <c r="AD24" i="27"/>
  <c r="AC24" i="27"/>
  <c r="AA24" i="27"/>
  <c r="Z24" i="27"/>
  <c r="Y24" i="27"/>
  <c r="X24" i="27"/>
  <c r="Q24" i="27"/>
  <c r="R24" i="27" s="1"/>
  <c r="P24" i="27"/>
  <c r="AI23" i="27"/>
  <c r="AK23" i="27" s="1"/>
  <c r="AL23" i="27" s="1"/>
  <c r="AI22" i="27"/>
  <c r="AJ22" i="27" s="1"/>
  <c r="T22" i="27" s="1"/>
  <c r="V22" i="27" s="1"/>
  <c r="AI21" i="27"/>
  <c r="AJ21" i="27" s="1"/>
  <c r="T21" i="27" s="1"/>
  <c r="V21" i="27" s="1"/>
  <c r="AI20" i="27"/>
  <c r="AJ20" i="27" s="1"/>
  <c r="T20" i="27" s="1"/>
  <c r="V20" i="27" s="1"/>
  <c r="AI19" i="27"/>
  <c r="AK19" i="27" s="1"/>
  <c r="AL19" i="27" s="1"/>
  <c r="AI18" i="27"/>
  <c r="AJ18" i="27" s="1"/>
  <c r="T18" i="27" s="1"/>
  <c r="V18" i="27" s="1"/>
  <c r="AI17" i="27"/>
  <c r="AJ17" i="27" s="1"/>
  <c r="T17" i="27" s="1"/>
  <c r="V17" i="27" s="1"/>
  <c r="AI16" i="27"/>
  <c r="AJ16" i="27" s="1"/>
  <c r="T16" i="27" s="1"/>
  <c r="V16" i="27" s="1"/>
  <c r="AI15" i="27"/>
  <c r="AK15" i="27" s="1"/>
  <c r="AL15" i="27" s="1"/>
  <c r="AH14" i="27"/>
  <c r="AG14" i="27"/>
  <c r="AG10" i="27" s="1"/>
  <c r="AF14" i="27"/>
  <c r="AF10" i="27" s="1"/>
  <c r="AE14" i="27"/>
  <c r="AE10" i="27" s="1"/>
  <c r="AD14" i="27"/>
  <c r="AD10" i="27" s="1"/>
  <c r="AC14" i="27"/>
  <c r="AC10" i="27" s="1"/>
  <c r="AA14" i="27"/>
  <c r="AA10" i="27" s="1"/>
  <c r="Z14" i="27"/>
  <c r="Z10" i="27" s="1"/>
  <c r="Y14" i="27"/>
  <c r="Y10" i="27" s="1"/>
  <c r="X14" i="27"/>
  <c r="X10" i="27" s="1"/>
  <c r="P14" i="27"/>
  <c r="W12" i="27"/>
  <c r="P12" i="27"/>
  <c r="O12" i="27"/>
  <c r="AB10" i="27"/>
  <c r="W10" i="27"/>
  <c r="S10" i="27"/>
  <c r="O10" i="27"/>
  <c r="AI16" i="26"/>
  <c r="AJ91" i="28" l="1"/>
  <c r="T91" i="28" s="1"/>
  <c r="V91" i="28" s="1"/>
  <c r="U287" i="28"/>
  <c r="R288" i="28"/>
  <c r="R256" i="28"/>
  <c r="AI37" i="30"/>
  <c r="R511" i="30"/>
  <c r="R396" i="30"/>
  <c r="R398" i="30"/>
  <c r="AJ55" i="28"/>
  <c r="T55" i="28" s="1"/>
  <c r="V55" i="28" s="1"/>
  <c r="U366" i="28"/>
  <c r="AK372" i="28"/>
  <c r="AL372" i="28" s="1"/>
  <c r="R602" i="28"/>
  <c r="U358" i="28"/>
  <c r="AI175" i="28"/>
  <c r="AJ327" i="28"/>
  <c r="T327" i="28" s="1"/>
  <c r="V327" i="28" s="1"/>
  <c r="U597" i="28"/>
  <c r="AJ134" i="30"/>
  <c r="T134" i="30" s="1"/>
  <c r="V134" i="30" s="1"/>
  <c r="R245" i="28"/>
  <c r="R246" i="28"/>
  <c r="R249" i="28"/>
  <c r="U249" i="28" s="1"/>
  <c r="AK259" i="28"/>
  <c r="AL259" i="28" s="1"/>
  <c r="R307" i="28"/>
  <c r="AJ431" i="30"/>
  <c r="T431" i="30" s="1"/>
  <c r="V431" i="30" s="1"/>
  <c r="R77" i="28"/>
  <c r="R251" i="28"/>
  <c r="R254" i="28"/>
  <c r="R255" i="28"/>
  <c r="R258" i="28"/>
  <c r="R605" i="28"/>
  <c r="AK244" i="28"/>
  <c r="AL244" i="28" s="1"/>
  <c r="AK50" i="28"/>
  <c r="AL50" i="28" s="1"/>
  <c r="R247" i="28"/>
  <c r="R250" i="28"/>
  <c r="R253" i="28"/>
  <c r="R305" i="28"/>
  <c r="R310" i="28"/>
  <c r="U310" i="28" s="1"/>
  <c r="R434" i="28"/>
  <c r="AJ150" i="30"/>
  <c r="T150" i="30" s="1"/>
  <c r="V150" i="30" s="1"/>
  <c r="U241" i="30"/>
  <c r="AJ244" i="30"/>
  <c r="T244" i="30" s="1"/>
  <c r="V244" i="30" s="1"/>
  <c r="AK334" i="28"/>
  <c r="AL334" i="28" s="1"/>
  <c r="AH119" i="28"/>
  <c r="U138" i="28"/>
  <c r="R344" i="28"/>
  <c r="AK460" i="28"/>
  <c r="AL460" i="28" s="1"/>
  <c r="AJ620" i="28"/>
  <c r="T620" i="28" s="1"/>
  <c r="V620" i="28" s="1"/>
  <c r="AJ485" i="30"/>
  <c r="T485" i="30" s="1"/>
  <c r="V485" i="30" s="1"/>
  <c r="P10" i="28"/>
  <c r="P119" i="28"/>
  <c r="U144" i="28"/>
  <c r="P163" i="28"/>
  <c r="AK164" i="28"/>
  <c r="AL164" i="28" s="1"/>
  <c r="R205" i="28"/>
  <c r="U205" i="28" s="1"/>
  <c r="U245" i="28"/>
  <c r="U303" i="28"/>
  <c r="R306" i="28"/>
  <c r="R340" i="28"/>
  <c r="R623" i="28"/>
  <c r="U636" i="28"/>
  <c r="AJ47" i="30"/>
  <c r="T47" i="30" s="1"/>
  <c r="V47" i="30" s="1"/>
  <c r="Q163" i="28"/>
  <c r="R166" i="28" s="1"/>
  <c r="U482" i="28"/>
  <c r="U398" i="30"/>
  <c r="U173" i="28"/>
  <c r="R207" i="28"/>
  <c r="R281" i="28"/>
  <c r="R290" i="28"/>
  <c r="U316" i="28"/>
  <c r="AK587" i="28"/>
  <c r="AL587" i="28" s="1"/>
  <c r="Q36" i="30"/>
  <c r="Q35" i="30" s="1"/>
  <c r="AJ217" i="30"/>
  <c r="T217" i="30" s="1"/>
  <c r="V217" i="30" s="1"/>
  <c r="U296" i="30"/>
  <c r="U384" i="30"/>
  <c r="R448" i="30"/>
  <c r="AJ557" i="30"/>
  <c r="T557" i="30" s="1"/>
  <c r="V557" i="30" s="1"/>
  <c r="U324" i="28"/>
  <c r="R609" i="28"/>
  <c r="U626" i="28"/>
  <c r="U647" i="28"/>
  <c r="U205" i="30"/>
  <c r="R560" i="30"/>
  <c r="U560" i="30" s="1"/>
  <c r="AJ39" i="28"/>
  <c r="T39" i="28" s="1"/>
  <c r="V39" i="28" s="1"/>
  <c r="AJ41" i="28"/>
  <c r="T41" i="28" s="1"/>
  <c r="V41" i="28" s="1"/>
  <c r="AJ43" i="28"/>
  <c r="T43" i="28" s="1"/>
  <c r="V43" i="28" s="1"/>
  <c r="AJ45" i="28"/>
  <c r="T45" i="28" s="1"/>
  <c r="V45" i="28" s="1"/>
  <c r="U118" i="28"/>
  <c r="R197" i="28"/>
  <c r="AK270" i="28"/>
  <c r="AL270" i="28" s="1"/>
  <c r="R272" i="28"/>
  <c r="R273" i="28"/>
  <c r="U273" i="28" s="1"/>
  <c r="R280" i="28"/>
  <c r="R295" i="28"/>
  <c r="U295" i="28" s="1"/>
  <c r="R299" i="28"/>
  <c r="U299" i="28" s="1"/>
  <c r="R75" i="28"/>
  <c r="U75" i="28" s="1"/>
  <c r="U155" i="28"/>
  <c r="AH175" i="28"/>
  <c r="U199" i="28"/>
  <c r="R399" i="28"/>
  <c r="U399" i="28" s="1"/>
  <c r="R400" i="28"/>
  <c r="R401" i="28"/>
  <c r="AJ40" i="28"/>
  <c r="T40" i="28" s="1"/>
  <c r="V40" i="28" s="1"/>
  <c r="AJ44" i="28"/>
  <c r="T44" i="28" s="1"/>
  <c r="V44" i="28" s="1"/>
  <c r="AK91" i="28"/>
  <c r="AL91" i="28" s="1"/>
  <c r="U161" i="28"/>
  <c r="R209" i="28"/>
  <c r="U209" i="28" s="1"/>
  <c r="U257" i="28"/>
  <c r="U151" i="28"/>
  <c r="R384" i="28"/>
  <c r="R385" i="28"/>
  <c r="R388" i="28"/>
  <c r="U388" i="28" s="1"/>
  <c r="R389" i="28"/>
  <c r="R392" i="28"/>
  <c r="R393" i="28"/>
  <c r="U609" i="28"/>
  <c r="AJ556" i="28"/>
  <c r="T556" i="28" s="1"/>
  <c r="V556" i="28" s="1"/>
  <c r="R307" i="30"/>
  <c r="R341" i="30"/>
  <c r="U341" i="30" s="1"/>
  <c r="R379" i="30"/>
  <c r="R419" i="30"/>
  <c r="U419" i="30" s="1"/>
  <c r="R451" i="30"/>
  <c r="AJ478" i="30"/>
  <c r="T478" i="30" s="1"/>
  <c r="V478" i="30" s="1"/>
  <c r="U511" i="30"/>
  <c r="R559" i="30"/>
  <c r="U579" i="30"/>
  <c r="U629" i="30"/>
  <c r="R535" i="28"/>
  <c r="U535" i="28" s="1"/>
  <c r="R641" i="28"/>
  <c r="R649" i="28"/>
  <c r="P119" i="30"/>
  <c r="R426" i="30"/>
  <c r="U633" i="30"/>
  <c r="R433" i="28"/>
  <c r="R447" i="28"/>
  <c r="U447" i="28" s="1"/>
  <c r="R449" i="28"/>
  <c r="U449" i="28" s="1"/>
  <c r="R531" i="28"/>
  <c r="R534" i="28"/>
  <c r="U534" i="28" s="1"/>
  <c r="U562" i="28"/>
  <c r="R567" i="28"/>
  <c r="U567" i="28" s="1"/>
  <c r="R568" i="28"/>
  <c r="U568" i="28" s="1"/>
  <c r="R580" i="28"/>
  <c r="R628" i="28"/>
  <c r="U628" i="28" s="1"/>
  <c r="AJ637" i="28"/>
  <c r="T637" i="28" s="1"/>
  <c r="V637" i="28" s="1"/>
  <c r="R640" i="28"/>
  <c r="AJ50" i="30"/>
  <c r="T50" i="30" s="1"/>
  <c r="V50" i="30" s="1"/>
  <c r="U56" i="30"/>
  <c r="R58" i="30"/>
  <c r="AK91" i="30"/>
  <c r="AL91" i="30" s="1"/>
  <c r="AK105" i="30"/>
  <c r="AL105" i="30" s="1"/>
  <c r="P163" i="30"/>
  <c r="R213" i="30"/>
  <c r="R425" i="30"/>
  <c r="U434" i="30"/>
  <c r="R447" i="30"/>
  <c r="U447" i="30" s="1"/>
  <c r="AJ537" i="30"/>
  <c r="T537" i="30" s="1"/>
  <c r="V537" i="30" s="1"/>
  <c r="AJ668" i="30"/>
  <c r="T668" i="30" s="1"/>
  <c r="V668" i="30" s="1"/>
  <c r="U343" i="28"/>
  <c r="R336" i="28"/>
  <c r="U336" i="28" s="1"/>
  <c r="R374" i="28"/>
  <c r="R375" i="28"/>
  <c r="R378" i="28"/>
  <c r="R379" i="28"/>
  <c r="U379" i="28" s="1"/>
  <c r="AK382" i="28"/>
  <c r="AL382" i="28" s="1"/>
  <c r="AK431" i="28"/>
  <c r="AL431" i="28" s="1"/>
  <c r="R448" i="28"/>
  <c r="R495" i="28"/>
  <c r="U495" i="28" s="1"/>
  <c r="R496" i="28"/>
  <c r="U503" i="28"/>
  <c r="R530" i="28"/>
  <c r="R604" i="28"/>
  <c r="U604" i="28" s="1"/>
  <c r="R606" i="28"/>
  <c r="R610" i="28"/>
  <c r="R624" i="28"/>
  <c r="R627" i="28"/>
  <c r="U627" i="28" s="1"/>
  <c r="AK637" i="28"/>
  <c r="AL637" i="28" s="1"/>
  <c r="U655" i="28"/>
  <c r="AJ78" i="30"/>
  <c r="T78" i="30" s="1"/>
  <c r="V78" i="30" s="1"/>
  <c r="AJ87" i="30"/>
  <c r="T87" i="30" s="1"/>
  <c r="V87" i="30" s="1"/>
  <c r="R127" i="30"/>
  <c r="AJ152" i="30"/>
  <c r="T152" i="30" s="1"/>
  <c r="V152" i="30" s="1"/>
  <c r="AJ157" i="30"/>
  <c r="T157" i="30" s="1"/>
  <c r="V157" i="30" s="1"/>
  <c r="R310" i="30"/>
  <c r="U310" i="30" s="1"/>
  <c r="R424" i="30"/>
  <c r="U424" i="30" s="1"/>
  <c r="U83" i="28"/>
  <c r="U184" i="28"/>
  <c r="R14" i="28"/>
  <c r="AJ42" i="28"/>
  <c r="T42" i="28" s="1"/>
  <c r="V42" i="28" s="1"/>
  <c r="AJ50" i="28"/>
  <c r="T50" i="28" s="1"/>
  <c r="V50" i="28" s="1"/>
  <c r="AK55" i="28"/>
  <c r="AL55" i="28" s="1"/>
  <c r="AK67" i="28"/>
  <c r="AL67" i="28" s="1"/>
  <c r="R80" i="28"/>
  <c r="AK81" i="28"/>
  <c r="AL81" i="28" s="1"/>
  <c r="AK89" i="28"/>
  <c r="AL89" i="28" s="1"/>
  <c r="R108" i="28"/>
  <c r="U108" i="28" s="1"/>
  <c r="R112" i="28"/>
  <c r="R116" i="28"/>
  <c r="U130" i="28"/>
  <c r="AK160" i="28"/>
  <c r="AL160" i="28" s="1"/>
  <c r="AH163" i="28"/>
  <c r="P175" i="28"/>
  <c r="R177" i="28"/>
  <c r="U177" i="28" s="1"/>
  <c r="R182" i="28"/>
  <c r="U182" i="28" s="1"/>
  <c r="R185" i="28"/>
  <c r="R186" i="28"/>
  <c r="R187" i="28"/>
  <c r="U195" i="28"/>
  <c r="R203" i="28"/>
  <c r="U203" i="28" s="1"/>
  <c r="R208" i="28"/>
  <c r="R226" i="28"/>
  <c r="U226" i="28" s="1"/>
  <c r="R227" i="28"/>
  <c r="AK236" i="28"/>
  <c r="AL236" i="28" s="1"/>
  <c r="U256" i="28"/>
  <c r="Q243" i="28"/>
  <c r="U308" i="28"/>
  <c r="R309" i="28"/>
  <c r="U309" i="28" s="1"/>
  <c r="R311" i="28"/>
  <c r="U311" i="28" s="1"/>
  <c r="R337" i="28"/>
  <c r="R341" i="28"/>
  <c r="R364" i="28"/>
  <c r="U364" i="28" s="1"/>
  <c r="R610" i="27"/>
  <c r="R14" i="27"/>
  <c r="AK38" i="28"/>
  <c r="AL38" i="28" s="1"/>
  <c r="AI37" i="28"/>
  <c r="AJ37" i="28" s="1"/>
  <c r="T37" i="28" s="1"/>
  <c r="V37" i="28" s="1"/>
  <c r="R82" i="28"/>
  <c r="U82" i="28" s="1"/>
  <c r="U88" i="28"/>
  <c r="R174" i="28"/>
  <c r="U174" i="28" s="1"/>
  <c r="U185" i="28"/>
  <c r="U197" i="28"/>
  <c r="R232" i="28"/>
  <c r="U232" i="28" s="1"/>
  <c r="R242" i="28"/>
  <c r="U242" i="28" s="1"/>
  <c r="R323" i="28"/>
  <c r="U323" i="28" s="1"/>
  <c r="R325" i="28"/>
  <c r="R326" i="28"/>
  <c r="U326" i="28" s="1"/>
  <c r="R611" i="27"/>
  <c r="AH10" i="28"/>
  <c r="AJ38" i="28"/>
  <c r="T38" i="28" s="1"/>
  <c r="V38" i="28" s="1"/>
  <c r="AJ46" i="28"/>
  <c r="T46" i="28" s="1"/>
  <c r="V46" i="28" s="1"/>
  <c r="R71" i="28"/>
  <c r="R72" i="28"/>
  <c r="R73" i="28"/>
  <c r="U73" i="28" s="1"/>
  <c r="U86" i="28"/>
  <c r="AK105" i="28"/>
  <c r="AL105" i="28" s="1"/>
  <c r="AK120" i="28"/>
  <c r="AL120" i="28" s="1"/>
  <c r="U159" i="28"/>
  <c r="AK166" i="28"/>
  <c r="AL166" i="28" s="1"/>
  <c r="R171" i="28"/>
  <c r="R172" i="28"/>
  <c r="U172" i="28" s="1"/>
  <c r="R181" i="28"/>
  <c r="U181" i="28" s="1"/>
  <c r="U210" i="28"/>
  <c r="R230" i="28"/>
  <c r="R231" i="28"/>
  <c r="R234" i="28"/>
  <c r="U234" i="28" s="1"/>
  <c r="R238" i="28"/>
  <c r="R239" i="28"/>
  <c r="U279" i="28"/>
  <c r="R276" i="28"/>
  <c r="U276" i="28" s="1"/>
  <c r="R277" i="28"/>
  <c r="R321" i="28"/>
  <c r="U321" i="28" s="1"/>
  <c r="R322" i="28"/>
  <c r="AJ345" i="28"/>
  <c r="T345" i="28" s="1"/>
  <c r="V345" i="28" s="1"/>
  <c r="R349" i="28"/>
  <c r="U349" i="28" s="1"/>
  <c r="R354" i="28"/>
  <c r="U354" i="28" s="1"/>
  <c r="U467" i="28"/>
  <c r="V607" i="28"/>
  <c r="U607" i="28"/>
  <c r="U663" i="27"/>
  <c r="U74" i="28"/>
  <c r="R94" i="28"/>
  <c r="R98" i="28"/>
  <c r="R102" i="28"/>
  <c r="O53" i="28"/>
  <c r="O33" i="28" s="1"/>
  <c r="R167" i="28"/>
  <c r="U167" i="28" s="1"/>
  <c r="R168" i="28"/>
  <c r="U168" i="28" s="1"/>
  <c r="R169" i="28"/>
  <c r="U169" i="28" s="1"/>
  <c r="R178" i="28"/>
  <c r="U178" i="28" s="1"/>
  <c r="R179" i="28"/>
  <c r="U179" i="28" s="1"/>
  <c r="R183" i="28"/>
  <c r="R228" i="28"/>
  <c r="U228" i="28" s="1"/>
  <c r="U267" i="28"/>
  <c r="R346" i="28"/>
  <c r="R371" i="28"/>
  <c r="U371" i="28" s="1"/>
  <c r="R370" i="28"/>
  <c r="U370" i="28" s="1"/>
  <c r="R365" i="28"/>
  <c r="R369" i="28"/>
  <c r="U369" i="28" s="1"/>
  <c r="R368" i="28"/>
  <c r="U368" i="28" s="1"/>
  <c r="R362" i="28"/>
  <c r="R361" i="28"/>
  <c r="R360" i="28"/>
  <c r="U360" i="28" s="1"/>
  <c r="V308" i="30"/>
  <c r="U308" i="30"/>
  <c r="R406" i="28"/>
  <c r="U406" i="28" s="1"/>
  <c r="R418" i="28"/>
  <c r="U418" i="28" s="1"/>
  <c r="U433" i="28"/>
  <c r="U450" i="28"/>
  <c r="R463" i="28"/>
  <c r="U463" i="28" s="1"/>
  <c r="AJ470" i="28"/>
  <c r="T470" i="28" s="1"/>
  <c r="V470" i="28" s="1"/>
  <c r="R491" i="28"/>
  <c r="U491" i="28" s="1"/>
  <c r="R500" i="28"/>
  <c r="U500" i="28" s="1"/>
  <c r="U578" i="28"/>
  <c r="U580" i="28"/>
  <c r="R594" i="28"/>
  <c r="R608" i="28"/>
  <c r="U608" i="28" s="1"/>
  <c r="R633" i="28"/>
  <c r="AJ651" i="28"/>
  <c r="T651" i="28" s="1"/>
  <c r="V651" i="28" s="1"/>
  <c r="AK61" i="28"/>
  <c r="AL61" i="28" s="1"/>
  <c r="AK87" i="28"/>
  <c r="AL87" i="28" s="1"/>
  <c r="AJ154" i="28"/>
  <c r="T154" i="28" s="1"/>
  <c r="V154" i="28" s="1"/>
  <c r="AK351" i="28"/>
  <c r="AL351" i="28" s="1"/>
  <c r="AK395" i="28"/>
  <c r="AL395" i="28" s="1"/>
  <c r="AJ587" i="28"/>
  <c r="T587" i="28" s="1"/>
  <c r="V587" i="28" s="1"/>
  <c r="AK630" i="28"/>
  <c r="AL630" i="28" s="1"/>
  <c r="AK57" i="30"/>
  <c r="AL57" i="30" s="1"/>
  <c r="R68" i="30"/>
  <c r="U68" i="30" s="1"/>
  <c r="AK84" i="30"/>
  <c r="AL84" i="30" s="1"/>
  <c r="AJ164" i="30"/>
  <c r="T164" i="30" s="1"/>
  <c r="V164" i="30" s="1"/>
  <c r="AJ176" i="30"/>
  <c r="T176" i="30" s="1"/>
  <c r="V176" i="30" s="1"/>
  <c r="AK204" i="30"/>
  <c r="AL204" i="30" s="1"/>
  <c r="R253" i="30"/>
  <c r="Q243" i="30"/>
  <c r="R639" i="30" s="1"/>
  <c r="U639" i="30" s="1"/>
  <c r="R305" i="30"/>
  <c r="R325" i="30"/>
  <c r="U325" i="30" s="1"/>
  <c r="R326" i="30"/>
  <c r="U326" i="30" s="1"/>
  <c r="R335" i="30"/>
  <c r="U335" i="30" s="1"/>
  <c r="U356" i="30"/>
  <c r="U377" i="30"/>
  <c r="R373" i="30"/>
  <c r="U466" i="30"/>
  <c r="AK461" i="30"/>
  <c r="AL461" i="30" s="1"/>
  <c r="AJ490" i="30"/>
  <c r="T490" i="30" s="1"/>
  <c r="V490" i="30" s="1"/>
  <c r="AJ589" i="30"/>
  <c r="T589" i="30" s="1"/>
  <c r="V589" i="30" s="1"/>
  <c r="U585" i="30"/>
  <c r="R407" i="28"/>
  <c r="U407" i="28" s="1"/>
  <c r="R410" i="28"/>
  <c r="U410" i="28" s="1"/>
  <c r="R471" i="28"/>
  <c r="R474" i="28"/>
  <c r="U474" i="28" s="1"/>
  <c r="R504" i="28"/>
  <c r="R546" i="28"/>
  <c r="R599" i="28"/>
  <c r="U610" i="28"/>
  <c r="R652" i="28"/>
  <c r="R653" i="28"/>
  <c r="AJ63" i="28"/>
  <c r="T63" i="28" s="1"/>
  <c r="V63" i="28" s="1"/>
  <c r="AJ176" i="28"/>
  <c r="T176" i="28" s="1"/>
  <c r="V176" i="28" s="1"/>
  <c r="AJ292" i="28"/>
  <c r="T292" i="28" s="1"/>
  <c r="V292" i="28" s="1"/>
  <c r="AK477" i="28"/>
  <c r="AL477" i="28" s="1"/>
  <c r="AK524" i="28"/>
  <c r="AL524" i="28" s="1"/>
  <c r="AK160" i="30"/>
  <c r="AL160" i="30" s="1"/>
  <c r="R180" i="30"/>
  <c r="U180" i="30" s="1"/>
  <c r="Q175" i="30"/>
  <c r="R221" i="30"/>
  <c r="U221" i="30" s="1"/>
  <c r="A270" i="30"/>
  <c r="A282" i="30" s="1"/>
  <c r="A292" i="30" s="1"/>
  <c r="A304" i="30" s="1"/>
  <c r="A312" i="30" s="1"/>
  <c r="A320" i="30" s="1"/>
  <c r="A327" i="30" s="1"/>
  <c r="A334" i="30" s="1"/>
  <c r="A345" i="30" s="1"/>
  <c r="R472" i="30"/>
  <c r="U472" i="30" s="1"/>
  <c r="U440" i="28"/>
  <c r="R479" i="28"/>
  <c r="U479" i="28" s="1"/>
  <c r="R480" i="28"/>
  <c r="R483" i="28"/>
  <c r="U483" i="28" s="1"/>
  <c r="R543" i="28"/>
  <c r="U543" i="28" s="1"/>
  <c r="R591" i="28"/>
  <c r="U591" i="28" s="1"/>
  <c r="R598" i="28"/>
  <c r="U598" i="28" s="1"/>
  <c r="R656" i="28"/>
  <c r="U656" i="28" s="1"/>
  <c r="AK489" i="28"/>
  <c r="AL489" i="28" s="1"/>
  <c r="AJ611" i="28"/>
  <c r="T611" i="28" s="1"/>
  <c r="V611" i="28" s="1"/>
  <c r="AK61" i="30"/>
  <c r="AL61" i="30" s="1"/>
  <c r="AJ76" i="30"/>
  <c r="T76" i="30" s="1"/>
  <c r="V76" i="30" s="1"/>
  <c r="AJ136" i="30"/>
  <c r="T136" i="30" s="1"/>
  <c r="V136" i="30" s="1"/>
  <c r="U141" i="30"/>
  <c r="U148" i="30"/>
  <c r="AJ154" i="30"/>
  <c r="T154" i="30" s="1"/>
  <c r="V154" i="30" s="1"/>
  <c r="R179" i="30"/>
  <c r="U195" i="30"/>
  <c r="AJ312" i="30"/>
  <c r="T312" i="30" s="1"/>
  <c r="V312" i="30" s="1"/>
  <c r="R319" i="30"/>
  <c r="U319" i="30" s="1"/>
  <c r="AJ320" i="30"/>
  <c r="T320" i="30" s="1"/>
  <c r="V320" i="30" s="1"/>
  <c r="R344" i="30"/>
  <c r="U344" i="30" s="1"/>
  <c r="U371" i="30"/>
  <c r="R360" i="30"/>
  <c r="U360" i="30" s="1"/>
  <c r="R412" i="30"/>
  <c r="U412" i="30" s="1"/>
  <c r="R444" i="30"/>
  <c r="U444" i="30" s="1"/>
  <c r="R445" i="30"/>
  <c r="U445" i="30" s="1"/>
  <c r="R450" i="30"/>
  <c r="R493" i="30"/>
  <c r="AK499" i="30"/>
  <c r="AL499" i="30" s="1"/>
  <c r="R531" i="30"/>
  <c r="U539" i="30"/>
  <c r="AK557" i="30"/>
  <c r="AL557" i="30" s="1"/>
  <c r="R563" i="30"/>
  <c r="U563" i="30" s="1"/>
  <c r="AJ567" i="30"/>
  <c r="T567" i="30" s="1"/>
  <c r="V567" i="30" s="1"/>
  <c r="U607" i="30"/>
  <c r="AJ613" i="30"/>
  <c r="T613" i="30" s="1"/>
  <c r="V613" i="30" s="1"/>
  <c r="AJ622" i="30"/>
  <c r="T622" i="30" s="1"/>
  <c r="V622" i="30" s="1"/>
  <c r="U661" i="30"/>
  <c r="AJ675" i="30"/>
  <c r="T675" i="30" s="1"/>
  <c r="V675" i="30" s="1"/>
  <c r="U381" i="28"/>
  <c r="U391" i="28"/>
  <c r="R397" i="28"/>
  <c r="R437" i="28"/>
  <c r="U437" i="28" s="1"/>
  <c r="R438" i="28"/>
  <c r="R441" i="28"/>
  <c r="U441" i="28" s="1"/>
  <c r="R443" i="28"/>
  <c r="R444" i="28"/>
  <c r="R445" i="28"/>
  <c r="R451" i="28"/>
  <c r="U451" i="28" s="1"/>
  <c r="R462" i="28"/>
  <c r="AJ489" i="28"/>
  <c r="T489" i="28" s="1"/>
  <c r="V489" i="28" s="1"/>
  <c r="R492" i="28"/>
  <c r="U492" i="28" s="1"/>
  <c r="R501" i="28"/>
  <c r="R526" i="28"/>
  <c r="U526" i="28" s="1"/>
  <c r="R527" i="28"/>
  <c r="U527" i="28" s="1"/>
  <c r="R590" i="28"/>
  <c r="U590" i="28" s="1"/>
  <c r="R595" i="28"/>
  <c r="U595" i="28" s="1"/>
  <c r="R634" i="28"/>
  <c r="R644" i="28"/>
  <c r="U644" i="28" s="1"/>
  <c r="R645" i="28"/>
  <c r="U645" i="28" s="1"/>
  <c r="R648" i="28"/>
  <c r="U648" i="28" s="1"/>
  <c r="AK136" i="28"/>
  <c r="AL136" i="28" s="1"/>
  <c r="R464" i="28"/>
  <c r="U464" i="28" s="1"/>
  <c r="AK498" i="28"/>
  <c r="AL498" i="28" s="1"/>
  <c r="AK620" i="28"/>
  <c r="AL620" i="28" s="1"/>
  <c r="P10" i="30"/>
  <c r="AI54" i="30"/>
  <c r="U66" i="30"/>
  <c r="AK63" i="30"/>
  <c r="AL63" i="30" s="1"/>
  <c r="AJ67" i="30"/>
  <c r="T67" i="30" s="1"/>
  <c r="V67" i="30" s="1"/>
  <c r="AJ81" i="30"/>
  <c r="T81" i="30" s="1"/>
  <c r="V81" i="30" s="1"/>
  <c r="AK120" i="30"/>
  <c r="AL120" i="30" s="1"/>
  <c r="AJ166" i="30"/>
  <c r="T166" i="30" s="1"/>
  <c r="V166" i="30" s="1"/>
  <c r="R171" i="30"/>
  <c r="AI175" i="30"/>
  <c r="R184" i="30"/>
  <c r="U184" i="30" s="1"/>
  <c r="R226" i="30"/>
  <c r="U226" i="30" s="1"/>
  <c r="R260" i="30"/>
  <c r="U260" i="30" s="1"/>
  <c r="R261" i="30"/>
  <c r="R271" i="30"/>
  <c r="U271" i="30" s="1"/>
  <c r="R317" i="30"/>
  <c r="U317" i="30" s="1"/>
  <c r="R321" i="30"/>
  <c r="U321" i="30" s="1"/>
  <c r="R421" i="30"/>
  <c r="R498" i="30"/>
  <c r="U498" i="30" s="1"/>
  <c r="R617" i="30"/>
  <c r="U617" i="30" s="1"/>
  <c r="AJ548" i="30"/>
  <c r="T548" i="30" s="1"/>
  <c r="V548" i="30" s="1"/>
  <c r="AH163" i="30"/>
  <c r="R588" i="30"/>
  <c r="U588" i="30" s="1"/>
  <c r="U460" i="30"/>
  <c r="U400" i="30"/>
  <c r="U357" i="30"/>
  <c r="AK50" i="30"/>
  <c r="AL50" i="30" s="1"/>
  <c r="AI12" i="30"/>
  <c r="AJ26" i="30"/>
  <c r="U26" i="30" s="1"/>
  <c r="AI10" i="30"/>
  <c r="AJ14" i="30"/>
  <c r="T14" i="30" s="1"/>
  <c r="V14" i="30" s="1"/>
  <c r="V335" i="30"/>
  <c r="U426" i="30"/>
  <c r="U451" i="30"/>
  <c r="AK37" i="30"/>
  <c r="AI36" i="30"/>
  <c r="AJ37" i="30"/>
  <c r="T37" i="30" s="1"/>
  <c r="V37" i="30" s="1"/>
  <c r="V184" i="30"/>
  <c r="U69" i="30"/>
  <c r="AK24" i="30"/>
  <c r="AL24" i="30" s="1"/>
  <c r="AK40" i="30"/>
  <c r="AL40" i="30" s="1"/>
  <c r="AK44" i="30"/>
  <c r="AL44" i="30" s="1"/>
  <c r="AJ57" i="30"/>
  <c r="T57" i="30" s="1"/>
  <c r="V57" i="30" s="1"/>
  <c r="R59" i="30"/>
  <c r="U59" i="30" s="1"/>
  <c r="AJ91" i="30"/>
  <c r="T91" i="30" s="1"/>
  <c r="V91" i="30" s="1"/>
  <c r="R104" i="30"/>
  <c r="U104" i="30" s="1"/>
  <c r="R115" i="30"/>
  <c r="U115" i="30" s="1"/>
  <c r="R140" i="30"/>
  <c r="R144" i="30"/>
  <c r="R167" i="30"/>
  <c r="U167" i="30" s="1"/>
  <c r="R169" i="30"/>
  <c r="U169" i="30" s="1"/>
  <c r="R173" i="30"/>
  <c r="U173" i="30" s="1"/>
  <c r="R182" i="30"/>
  <c r="R186" i="30"/>
  <c r="U186" i="30" s="1"/>
  <c r="R207" i="30"/>
  <c r="R275" i="30"/>
  <c r="R306" i="30"/>
  <c r="U306" i="30" s="1"/>
  <c r="R343" i="30"/>
  <c r="U343" i="30" s="1"/>
  <c r="R346" i="30"/>
  <c r="R348" i="30"/>
  <c r="U348" i="30" s="1"/>
  <c r="R358" i="30"/>
  <c r="U358" i="30" s="1"/>
  <c r="AJ359" i="30"/>
  <c r="T359" i="30" s="1"/>
  <c r="V359" i="30" s="1"/>
  <c r="R361" i="30"/>
  <c r="R374" i="30"/>
  <c r="R376" i="30"/>
  <c r="U376" i="30" s="1"/>
  <c r="R408" i="30"/>
  <c r="U408" i="30" s="1"/>
  <c r="R449" i="30"/>
  <c r="AJ452" i="30"/>
  <c r="T452" i="30" s="1"/>
  <c r="V452" i="30" s="1"/>
  <c r="AK478" i="30"/>
  <c r="AL478" i="30" s="1"/>
  <c r="R494" i="30"/>
  <c r="U494" i="30" s="1"/>
  <c r="R502" i="30"/>
  <c r="U555" i="30"/>
  <c r="R597" i="30"/>
  <c r="U597" i="30" s="1"/>
  <c r="R619" i="30"/>
  <c r="U619" i="30" s="1"/>
  <c r="R635" i="30"/>
  <c r="U635" i="30" s="1"/>
  <c r="R62" i="30"/>
  <c r="U62" i="30" s="1"/>
  <c r="AK78" i="30"/>
  <c r="AL78" i="30" s="1"/>
  <c r="R90" i="30"/>
  <c r="U90" i="30" s="1"/>
  <c r="R101" i="30"/>
  <c r="R125" i="30"/>
  <c r="AK139" i="30"/>
  <c r="AL139" i="30" s="1"/>
  <c r="AK143" i="30"/>
  <c r="AL143" i="30" s="1"/>
  <c r="AK150" i="30"/>
  <c r="AL150" i="30" s="1"/>
  <c r="AK152" i="30"/>
  <c r="AL152" i="30" s="1"/>
  <c r="R215" i="30"/>
  <c r="U215" i="30" s="1"/>
  <c r="R269" i="30"/>
  <c r="R309" i="30"/>
  <c r="R311" i="30"/>
  <c r="U339" i="30"/>
  <c r="R365" i="30"/>
  <c r="U365" i="30" s="1"/>
  <c r="R367" i="30"/>
  <c r="U367" i="30" s="1"/>
  <c r="R410" i="30"/>
  <c r="U410" i="30" s="1"/>
  <c r="R429" i="30"/>
  <c r="U429" i="30" s="1"/>
  <c r="R436" i="30"/>
  <c r="U436" i="30" s="1"/>
  <c r="R455" i="30"/>
  <c r="U455" i="30" s="1"/>
  <c r="R477" i="30"/>
  <c r="U477" i="30" s="1"/>
  <c r="R507" i="30"/>
  <c r="U507" i="30" s="1"/>
  <c r="R513" i="30"/>
  <c r="U513" i="30" s="1"/>
  <c r="R515" i="30"/>
  <c r="R538" i="30"/>
  <c r="U538" i="30" s="1"/>
  <c r="U561" i="30"/>
  <c r="R586" i="30"/>
  <c r="U586" i="30" s="1"/>
  <c r="R592" i="30"/>
  <c r="U592" i="30" s="1"/>
  <c r="R599" i="30"/>
  <c r="U599" i="30" s="1"/>
  <c r="AJ603" i="30"/>
  <c r="T603" i="30" s="1"/>
  <c r="V603" i="30" s="1"/>
  <c r="R606" i="30"/>
  <c r="U606" i="30" s="1"/>
  <c r="AJ654" i="30"/>
  <c r="T654" i="30" s="1"/>
  <c r="V654" i="30" s="1"/>
  <c r="R664" i="30"/>
  <c r="U664" i="30" s="1"/>
  <c r="AJ61" i="30"/>
  <c r="T61" i="30" s="1"/>
  <c r="V61" i="30" s="1"/>
  <c r="R86" i="30"/>
  <c r="U86" i="30" s="1"/>
  <c r="O53" i="30"/>
  <c r="O33" i="30" s="1"/>
  <c r="AJ139" i="30"/>
  <c r="T139" i="30" s="1"/>
  <c r="V139" i="30" s="1"/>
  <c r="AJ143" i="30"/>
  <c r="T143" i="30" s="1"/>
  <c r="V143" i="30" s="1"/>
  <c r="R162" i="30"/>
  <c r="U162" i="30" s="1"/>
  <c r="R197" i="30"/>
  <c r="U197" i="30" s="1"/>
  <c r="R216" i="30"/>
  <c r="U216" i="30" s="1"/>
  <c r="U253" i="30"/>
  <c r="R256" i="30"/>
  <c r="U256" i="30" s="1"/>
  <c r="R290" i="30"/>
  <c r="AK327" i="30"/>
  <c r="AL327" i="30" s="1"/>
  <c r="R332" i="30"/>
  <c r="AK345" i="30"/>
  <c r="AL345" i="30" s="1"/>
  <c r="R349" i="30"/>
  <c r="U349" i="30" s="1"/>
  <c r="R368" i="30"/>
  <c r="U368" i="30" s="1"/>
  <c r="R370" i="30"/>
  <c r="U370" i="30" s="1"/>
  <c r="U618" i="30"/>
  <c r="R621" i="30"/>
  <c r="U621" i="30" s="1"/>
  <c r="AK47" i="30"/>
  <c r="AL47" i="30" s="1"/>
  <c r="R110" i="30"/>
  <c r="U110" i="30" s="1"/>
  <c r="AK122" i="30"/>
  <c r="AL122" i="30" s="1"/>
  <c r="R131" i="30"/>
  <c r="U131" i="30" s="1"/>
  <c r="AJ196" i="30"/>
  <c r="T196" i="30" s="1"/>
  <c r="V196" i="30" s="1"/>
  <c r="R272" i="30"/>
  <c r="R281" i="30"/>
  <c r="AJ327" i="30"/>
  <c r="T327" i="30" s="1"/>
  <c r="V327" i="30" s="1"/>
  <c r="AJ345" i="30"/>
  <c r="T345" i="30" s="1"/>
  <c r="V345" i="30" s="1"/>
  <c r="R458" i="30"/>
  <c r="U475" i="30"/>
  <c r="R547" i="30"/>
  <c r="U547" i="30" s="1"/>
  <c r="AK567" i="30"/>
  <c r="AL567" i="30" s="1"/>
  <c r="R574" i="30"/>
  <c r="U574" i="30" s="1"/>
  <c r="R583" i="30"/>
  <c r="U583" i="30" s="1"/>
  <c r="R659" i="30"/>
  <c r="U659" i="30" s="1"/>
  <c r="AJ674" i="30"/>
  <c r="T674" i="30" s="1"/>
  <c r="V674" i="30" s="1"/>
  <c r="AK42" i="30"/>
  <c r="AL42" i="30" s="1"/>
  <c r="AK46" i="30"/>
  <c r="AL46" i="30" s="1"/>
  <c r="U73" i="30"/>
  <c r="AK87" i="30"/>
  <c r="AL87" i="30" s="1"/>
  <c r="R96" i="30"/>
  <c r="U96" i="30" s="1"/>
  <c r="R107" i="30"/>
  <c r="U107" i="30" s="1"/>
  <c r="AI119" i="30"/>
  <c r="R129" i="30"/>
  <c r="U129" i="30" s="1"/>
  <c r="R135" i="30"/>
  <c r="U135" i="30" s="1"/>
  <c r="R153" i="30"/>
  <c r="U153" i="30" s="1"/>
  <c r="R155" i="30"/>
  <c r="U155" i="30" s="1"/>
  <c r="AK164" i="30"/>
  <c r="AL164" i="30" s="1"/>
  <c r="U170" i="30"/>
  <c r="R168" i="30"/>
  <c r="U168" i="30" s="1"/>
  <c r="R172" i="30"/>
  <c r="U172" i="30" s="1"/>
  <c r="R174" i="30"/>
  <c r="U174" i="30" s="1"/>
  <c r="AJ204" i="30"/>
  <c r="T204" i="30" s="1"/>
  <c r="V204" i="30" s="1"/>
  <c r="R209" i="30"/>
  <c r="U209" i="30" s="1"/>
  <c r="AJ211" i="30"/>
  <c r="T211" i="30" s="1"/>
  <c r="V211" i="30" s="1"/>
  <c r="U222" i="30"/>
  <c r="R266" i="30"/>
  <c r="U266" i="30" s="1"/>
  <c r="U324" i="30"/>
  <c r="R362" i="30"/>
  <c r="R364" i="30"/>
  <c r="U364" i="30" s="1"/>
  <c r="R366" i="30"/>
  <c r="U409" i="30"/>
  <c r="V419" i="30"/>
  <c r="R437" i="30"/>
  <c r="U437" i="30" s="1"/>
  <c r="R439" i="30"/>
  <c r="U439" i="30" s="1"/>
  <c r="R443" i="30"/>
  <c r="V444" i="30"/>
  <c r="R464" i="30"/>
  <c r="U464" i="30" s="1"/>
  <c r="U484" i="30"/>
  <c r="R480" i="30"/>
  <c r="U480" i="30" s="1"/>
  <c r="R482" i="30"/>
  <c r="U482" i="30" s="1"/>
  <c r="R501" i="30"/>
  <c r="U501" i="30" s="1"/>
  <c r="R503" i="30"/>
  <c r="U503" i="30" s="1"/>
  <c r="R510" i="30"/>
  <c r="AJ525" i="30"/>
  <c r="T525" i="30" s="1"/>
  <c r="V525" i="30" s="1"/>
  <c r="R576" i="30"/>
  <c r="U576" i="30" s="1"/>
  <c r="AK580" i="30"/>
  <c r="AL580" i="30" s="1"/>
  <c r="R93" i="30"/>
  <c r="U93" i="30" s="1"/>
  <c r="AB53" i="30"/>
  <c r="AB33" i="30" s="1"/>
  <c r="AK134" i="30"/>
  <c r="AL134" i="30" s="1"/>
  <c r="R138" i="30"/>
  <c r="U138" i="30" s="1"/>
  <c r="R142" i="30"/>
  <c r="U142" i="30" s="1"/>
  <c r="R146" i="30"/>
  <c r="U146" i="30" s="1"/>
  <c r="U181" i="30"/>
  <c r="R201" i="30"/>
  <c r="U201" i="30" s="1"/>
  <c r="R287" i="30"/>
  <c r="U287" i="30" s="1"/>
  <c r="U305" i="30"/>
  <c r="R347" i="30"/>
  <c r="R369" i="30"/>
  <c r="U369" i="30" s="1"/>
  <c r="U373" i="30"/>
  <c r="U446" i="30"/>
  <c r="R476" i="30"/>
  <c r="R578" i="30"/>
  <c r="U578" i="30" s="1"/>
  <c r="R602" i="30"/>
  <c r="U602" i="30" s="1"/>
  <c r="R638" i="30"/>
  <c r="U638" i="30" s="1"/>
  <c r="AH10" i="30"/>
  <c r="R111" i="30"/>
  <c r="U111" i="30" s="1"/>
  <c r="R121" i="30"/>
  <c r="U121" i="30" s="1"/>
  <c r="R147" i="30"/>
  <c r="U147" i="30" s="1"/>
  <c r="U200" i="30"/>
  <c r="R329" i="30"/>
  <c r="U329" i="30" s="1"/>
  <c r="R331" i="30"/>
  <c r="U331" i="30" s="1"/>
  <c r="U361" i="30"/>
  <c r="U512" i="30"/>
  <c r="R630" i="30"/>
  <c r="U630" i="30" s="1"/>
  <c r="AJ63" i="30"/>
  <c r="T63" i="30" s="1"/>
  <c r="V63" i="30" s="1"/>
  <c r="AJ84" i="30"/>
  <c r="T84" i="30" s="1"/>
  <c r="V84" i="30" s="1"/>
  <c r="R97" i="30"/>
  <c r="U97" i="30" s="1"/>
  <c r="AJ105" i="30"/>
  <c r="T105" i="30" s="1"/>
  <c r="V105" i="30" s="1"/>
  <c r="R118" i="30"/>
  <c r="U118" i="30" s="1"/>
  <c r="AJ120" i="30"/>
  <c r="T120" i="30" s="1"/>
  <c r="V120" i="30" s="1"/>
  <c r="AK154" i="30"/>
  <c r="AL154" i="30" s="1"/>
  <c r="AJ160" i="30"/>
  <c r="T160" i="30" s="1"/>
  <c r="V160" i="30" s="1"/>
  <c r="U171" i="30"/>
  <c r="U212" i="30"/>
  <c r="R214" i="30"/>
  <c r="U214" i="30" s="1"/>
  <c r="R238" i="30"/>
  <c r="U238" i="30" s="1"/>
  <c r="R252" i="30"/>
  <c r="U252" i="30" s="1"/>
  <c r="R265" i="30"/>
  <c r="U265" i="30" s="1"/>
  <c r="AJ270" i="30"/>
  <c r="T270" i="30" s="1"/>
  <c r="V270" i="30" s="1"/>
  <c r="AK292" i="30"/>
  <c r="AL292" i="30" s="1"/>
  <c r="R336" i="30"/>
  <c r="U336" i="30" s="1"/>
  <c r="AK359" i="30"/>
  <c r="AL359" i="30" s="1"/>
  <c r="V361" i="30"/>
  <c r="R404" i="30"/>
  <c r="U404" i="30" s="1"/>
  <c r="R415" i="30"/>
  <c r="U415" i="30" s="1"/>
  <c r="R453" i="30"/>
  <c r="U453" i="30" s="1"/>
  <c r="AJ471" i="30"/>
  <c r="T471" i="30" s="1"/>
  <c r="V471" i="30" s="1"/>
  <c r="U553" i="30"/>
  <c r="R569" i="30"/>
  <c r="U569" i="30" s="1"/>
  <c r="R571" i="30"/>
  <c r="U571" i="30" s="1"/>
  <c r="P54" i="30"/>
  <c r="AH175" i="30"/>
  <c r="AH54" i="30"/>
  <c r="AH119" i="30"/>
  <c r="AH243" i="30"/>
  <c r="P175" i="30"/>
  <c r="U79" i="30"/>
  <c r="U133" i="30"/>
  <c r="U165" i="30"/>
  <c r="U182" i="30"/>
  <c r="U207" i="30"/>
  <c r="V209" i="30"/>
  <c r="V213" i="30"/>
  <c r="U213" i="30"/>
  <c r="U125" i="30"/>
  <c r="V60" i="30"/>
  <c r="U60" i="30"/>
  <c r="V127" i="30"/>
  <c r="U127" i="30"/>
  <c r="U101" i="30"/>
  <c r="U179" i="30"/>
  <c r="U85" i="30"/>
  <c r="V58" i="30"/>
  <c r="U58" i="30"/>
  <c r="V140" i="30"/>
  <c r="U140" i="30"/>
  <c r="V144" i="30"/>
  <c r="U144" i="30"/>
  <c r="V173" i="30"/>
  <c r="U309" i="30"/>
  <c r="V309" i="30"/>
  <c r="V311" i="30"/>
  <c r="U311" i="30"/>
  <c r="V449" i="30"/>
  <c r="U449" i="30"/>
  <c r="AJ24" i="30"/>
  <c r="AJ70" i="30"/>
  <c r="T70" i="30" s="1"/>
  <c r="V70" i="30" s="1"/>
  <c r="R74" i="30"/>
  <c r="U74" i="30" s="1"/>
  <c r="AK76" i="30"/>
  <c r="AL76" i="30" s="1"/>
  <c r="U350" i="30"/>
  <c r="V350" i="30"/>
  <c r="U504" i="30"/>
  <c r="V504" i="30"/>
  <c r="R47" i="30"/>
  <c r="U47" i="30" s="1"/>
  <c r="Q54" i="30"/>
  <c r="R81" i="30" s="1"/>
  <c r="U81" i="30" s="1"/>
  <c r="R75" i="30"/>
  <c r="U75" i="30" s="1"/>
  <c r="R82" i="30"/>
  <c r="U82" i="30" s="1"/>
  <c r="AK89" i="30"/>
  <c r="AL89" i="30" s="1"/>
  <c r="R98" i="30"/>
  <c r="U98" i="30" s="1"/>
  <c r="R112" i="30"/>
  <c r="U112" i="30" s="1"/>
  <c r="AJ122" i="30"/>
  <c r="T122" i="30" s="1"/>
  <c r="V122" i="30" s="1"/>
  <c r="R128" i="30"/>
  <c r="U128" i="30" s="1"/>
  <c r="AK136" i="30"/>
  <c r="AL136" i="30" s="1"/>
  <c r="R145" i="30"/>
  <c r="U145" i="30" s="1"/>
  <c r="AI156" i="30"/>
  <c r="R158" i="30"/>
  <c r="U158" i="30" s="1"/>
  <c r="R183" i="30"/>
  <c r="U183" i="30" s="1"/>
  <c r="R189" i="30"/>
  <c r="U189" i="30" s="1"/>
  <c r="R202" i="30"/>
  <c r="U202" i="30" s="1"/>
  <c r="R210" i="30"/>
  <c r="U210" i="30" s="1"/>
  <c r="R223" i="30"/>
  <c r="U223" i="30" s="1"/>
  <c r="R229" i="30"/>
  <c r="U229" i="30" s="1"/>
  <c r="R232" i="30"/>
  <c r="U232" i="30" s="1"/>
  <c r="R235" i="30"/>
  <c r="U235" i="30" s="1"/>
  <c r="U269" i="30"/>
  <c r="U272" i="30"/>
  <c r="R291" i="30"/>
  <c r="U291" i="30" s="1"/>
  <c r="AJ292" i="30"/>
  <c r="T292" i="30" s="1"/>
  <c r="V292" i="30" s="1"/>
  <c r="U347" i="30"/>
  <c r="V409" i="30"/>
  <c r="U425" i="30"/>
  <c r="U458" i="30"/>
  <c r="U515" i="30"/>
  <c r="U536" i="30"/>
  <c r="R589" i="30"/>
  <c r="U589" i="30" s="1"/>
  <c r="V618" i="30"/>
  <c r="R230" i="30"/>
  <c r="U230" i="30" s="1"/>
  <c r="R242" i="30"/>
  <c r="U242" i="30" s="1"/>
  <c r="R228" i="30"/>
  <c r="U228" i="30" s="1"/>
  <c r="R240" i="30"/>
  <c r="U240" i="30" s="1"/>
  <c r="R239" i="30"/>
  <c r="U239" i="30" s="1"/>
  <c r="R233" i="30"/>
  <c r="U233" i="30" s="1"/>
  <c r="AK236" i="30"/>
  <c r="AL236" i="30" s="1"/>
  <c r="R251" i="30"/>
  <c r="U251" i="30" s="1"/>
  <c r="R258" i="30"/>
  <c r="U258" i="30" s="1"/>
  <c r="R250" i="30"/>
  <c r="U250" i="30" s="1"/>
  <c r="R257" i="30"/>
  <c r="U257" i="30" s="1"/>
  <c r="R249" i="30"/>
  <c r="U249" i="30" s="1"/>
  <c r="R255" i="30"/>
  <c r="U255" i="30" s="1"/>
  <c r="R247" i="30"/>
  <c r="U247" i="30" s="1"/>
  <c r="AK244" i="30"/>
  <c r="AL244" i="30" s="1"/>
  <c r="R254" i="30"/>
  <c r="U254" i="30" s="1"/>
  <c r="R246" i="30"/>
  <c r="U246" i="30" s="1"/>
  <c r="U362" i="30"/>
  <c r="V362" i="30"/>
  <c r="AK674" i="30"/>
  <c r="AL674" i="30" s="1"/>
  <c r="Q10" i="30"/>
  <c r="Q12" i="30"/>
  <c r="AS15" i="30"/>
  <c r="R37" i="30"/>
  <c r="R50" i="30"/>
  <c r="U50" i="30" s="1"/>
  <c r="AK55" i="30"/>
  <c r="AL55" i="30" s="1"/>
  <c r="AK67" i="30"/>
  <c r="AL67" i="30" s="1"/>
  <c r="R83" i="30"/>
  <c r="U83" i="30" s="1"/>
  <c r="AJ89" i="30"/>
  <c r="T89" i="30" s="1"/>
  <c r="V89" i="30" s="1"/>
  <c r="R99" i="30"/>
  <c r="U99" i="30" s="1"/>
  <c r="R113" i="30"/>
  <c r="U113" i="30" s="1"/>
  <c r="R151" i="30"/>
  <c r="U151" i="30" s="1"/>
  <c r="Q156" i="30"/>
  <c r="R159" i="30"/>
  <c r="U159" i="30" s="1"/>
  <c r="AK166" i="30"/>
  <c r="AL166" i="30" s="1"/>
  <c r="R190" i="30"/>
  <c r="U190" i="30" s="1"/>
  <c r="R203" i="30"/>
  <c r="U203" i="30" s="1"/>
  <c r="AK225" i="30"/>
  <c r="AL225" i="30" s="1"/>
  <c r="U333" i="30"/>
  <c r="U596" i="30"/>
  <c r="U332" i="30"/>
  <c r="V332" i="30"/>
  <c r="R14" i="30"/>
  <c r="AK14" i="30"/>
  <c r="R26" i="30"/>
  <c r="AK26" i="30"/>
  <c r="AL26" i="30" s="1"/>
  <c r="AL37" i="30"/>
  <c r="AJ55" i="30"/>
  <c r="T55" i="30" s="1"/>
  <c r="V55" i="30" s="1"/>
  <c r="AK81" i="30"/>
  <c r="AL81" i="30" s="1"/>
  <c r="R88" i="30"/>
  <c r="U88" i="30" s="1"/>
  <c r="R92" i="30"/>
  <c r="U92" i="30" s="1"/>
  <c r="R100" i="30"/>
  <c r="U100" i="30" s="1"/>
  <c r="R106" i="30"/>
  <c r="U106" i="30" s="1"/>
  <c r="R114" i="30"/>
  <c r="U114" i="30" s="1"/>
  <c r="R126" i="30"/>
  <c r="U126" i="30" s="1"/>
  <c r="R130" i="30"/>
  <c r="U130" i="30" s="1"/>
  <c r="AK157" i="30"/>
  <c r="AL157" i="30" s="1"/>
  <c r="R177" i="30"/>
  <c r="U177" i="30" s="1"/>
  <c r="R178" i="30"/>
  <c r="U178" i="30" s="1"/>
  <c r="R185" i="30"/>
  <c r="U185" i="30" s="1"/>
  <c r="AK188" i="30"/>
  <c r="AL188" i="30" s="1"/>
  <c r="R191" i="30"/>
  <c r="U191" i="30" s="1"/>
  <c r="R208" i="30"/>
  <c r="U208" i="30" s="1"/>
  <c r="R220" i="30"/>
  <c r="U220" i="30" s="1"/>
  <c r="AJ225" i="30"/>
  <c r="T225" i="30" s="1"/>
  <c r="V225" i="30" s="1"/>
  <c r="R227" i="30"/>
  <c r="U227" i="30" s="1"/>
  <c r="R237" i="30"/>
  <c r="U237" i="30" s="1"/>
  <c r="R245" i="30"/>
  <c r="U245" i="30" s="1"/>
  <c r="U261" i="30"/>
  <c r="U279" i="30"/>
  <c r="U281" i="30"/>
  <c r="R283" i="30"/>
  <c r="U283" i="30" s="1"/>
  <c r="U307" i="30"/>
  <c r="V357" i="30"/>
  <c r="U366" i="30"/>
  <c r="AK382" i="30"/>
  <c r="AL382" i="30" s="1"/>
  <c r="R389" i="30"/>
  <c r="U389" i="30" s="1"/>
  <c r="U401" i="30"/>
  <c r="U502" i="30"/>
  <c r="U531" i="30"/>
  <c r="AJ632" i="30"/>
  <c r="T632" i="30" s="1"/>
  <c r="V632" i="30" s="1"/>
  <c r="U669" i="30"/>
  <c r="V404" i="30"/>
  <c r="U418" i="30"/>
  <c r="V418" i="30"/>
  <c r="U443" i="30"/>
  <c r="V443" i="30"/>
  <c r="V494" i="30"/>
  <c r="R637" i="30"/>
  <c r="U637" i="30" s="1"/>
  <c r="R636" i="30"/>
  <c r="U636" i="30" s="1"/>
  <c r="R634" i="30"/>
  <c r="U634" i="30" s="1"/>
  <c r="AK632" i="30"/>
  <c r="AL632" i="30" s="1"/>
  <c r="AJ188" i="30"/>
  <c r="R192" i="30"/>
  <c r="U192" i="30" s="1"/>
  <c r="P243" i="30"/>
  <c r="U275" i="30"/>
  <c r="U314" i="30"/>
  <c r="R302" i="30"/>
  <c r="U302" i="30" s="1"/>
  <c r="R294" i="30"/>
  <c r="U294" i="30" s="1"/>
  <c r="R289" i="30"/>
  <c r="U289" i="30" s="1"/>
  <c r="R284" i="30"/>
  <c r="U284" i="30" s="1"/>
  <c r="R300" i="30"/>
  <c r="U300" i="30" s="1"/>
  <c r="R295" i="30"/>
  <c r="U295" i="30" s="1"/>
  <c r="R299" i="30"/>
  <c r="U299" i="30" s="1"/>
  <c r="R288" i="30"/>
  <c r="R303" i="30"/>
  <c r="U303" i="30" s="1"/>
  <c r="R293" i="30"/>
  <c r="U293" i="30" s="1"/>
  <c r="R286" i="30"/>
  <c r="U286" i="30" s="1"/>
  <c r="R297" i="30"/>
  <c r="U297" i="30" s="1"/>
  <c r="R521" i="30"/>
  <c r="U521" i="30" s="1"/>
  <c r="AK518" i="30"/>
  <c r="AL518" i="30" s="1"/>
  <c r="R519" i="30"/>
  <c r="U519" i="30" s="1"/>
  <c r="R523" i="30"/>
  <c r="U523" i="30" s="1"/>
  <c r="R520" i="30"/>
  <c r="U520" i="30" s="1"/>
  <c r="AJ518" i="30"/>
  <c r="T518" i="30" s="1"/>
  <c r="V518" i="30" s="1"/>
  <c r="R682" i="30"/>
  <c r="U682" i="30" s="1"/>
  <c r="R677" i="30"/>
  <c r="U677" i="30" s="1"/>
  <c r="AK675" i="30"/>
  <c r="AL675" i="30" s="1"/>
  <c r="R681" i="30"/>
  <c r="U681" i="30" s="1"/>
  <c r="R676" i="30"/>
  <c r="U676" i="30" s="1"/>
  <c r="R680" i="30"/>
  <c r="U680" i="30" s="1"/>
  <c r="R679" i="30"/>
  <c r="U679" i="30" s="1"/>
  <c r="R678" i="30"/>
  <c r="U678" i="30" s="1"/>
  <c r="R65" i="30"/>
  <c r="U65" i="30" s="1"/>
  <c r="R71" i="30"/>
  <c r="U71" i="30" s="1"/>
  <c r="R80" i="30"/>
  <c r="U80" i="30" s="1"/>
  <c r="R87" i="30"/>
  <c r="U87" i="30" s="1"/>
  <c r="R94" i="30"/>
  <c r="U94" i="30" s="1"/>
  <c r="R102" i="30"/>
  <c r="U102" i="30" s="1"/>
  <c r="R105" i="30"/>
  <c r="R108" i="30"/>
  <c r="U108" i="30" s="1"/>
  <c r="R116" i="30"/>
  <c r="U116" i="30" s="1"/>
  <c r="R124" i="30"/>
  <c r="U124" i="30" s="1"/>
  <c r="R132" i="30"/>
  <c r="U132" i="30" s="1"/>
  <c r="R149" i="30"/>
  <c r="U149" i="30" s="1"/>
  <c r="AI163" i="30"/>
  <c r="AK176" i="30"/>
  <c r="AL176" i="30" s="1"/>
  <c r="R187" i="30"/>
  <c r="R193" i="30"/>
  <c r="U193" i="30" s="1"/>
  <c r="R198" i="30"/>
  <c r="U198" i="30" s="1"/>
  <c r="R206" i="30"/>
  <c r="U206" i="30" s="1"/>
  <c r="AK211" i="30"/>
  <c r="AL211" i="30" s="1"/>
  <c r="R231" i="30"/>
  <c r="U231" i="30" s="1"/>
  <c r="AJ236" i="30"/>
  <c r="T236" i="30" s="1"/>
  <c r="V236" i="30" s="1"/>
  <c r="AI243" i="30"/>
  <c r="R298" i="30"/>
  <c r="U298" i="30" s="1"/>
  <c r="U396" i="30"/>
  <c r="R522" i="30"/>
  <c r="U522" i="30" s="1"/>
  <c r="AJ304" i="30"/>
  <c r="T304" i="30" s="1"/>
  <c r="V304" i="30" s="1"/>
  <c r="AK304" i="30"/>
  <c r="AL304" i="30" s="1"/>
  <c r="V352" i="30"/>
  <c r="U352" i="30"/>
  <c r="AJ417" i="30"/>
  <c r="T417" i="30" s="1"/>
  <c r="V417" i="30" s="1"/>
  <c r="AK417" i="30"/>
  <c r="AL417" i="30" s="1"/>
  <c r="AJ442" i="30"/>
  <c r="T442" i="30" s="1"/>
  <c r="V442" i="30" s="1"/>
  <c r="AK442" i="30"/>
  <c r="AL442" i="30" s="1"/>
  <c r="R486" i="30"/>
  <c r="U486" i="30" s="1"/>
  <c r="R489" i="30"/>
  <c r="U489" i="30" s="1"/>
  <c r="R487" i="30"/>
  <c r="U487" i="30" s="1"/>
  <c r="AK485" i="30"/>
  <c r="AL485" i="30" s="1"/>
  <c r="V59" i="30"/>
  <c r="R61" i="30"/>
  <c r="U61" i="30" s="1"/>
  <c r="R64" i="30"/>
  <c r="U64" i="30" s="1"/>
  <c r="V69" i="30"/>
  <c r="R72" i="30"/>
  <c r="U72" i="30" s="1"/>
  <c r="R77" i="30"/>
  <c r="U77" i="30" s="1"/>
  <c r="R95" i="30"/>
  <c r="U95" i="30" s="1"/>
  <c r="R103" i="30"/>
  <c r="U103" i="30" s="1"/>
  <c r="R109" i="30"/>
  <c r="U109" i="30" s="1"/>
  <c r="Q119" i="30"/>
  <c r="AJ119" i="30" s="1"/>
  <c r="T119" i="30" s="1"/>
  <c r="V119" i="30" s="1"/>
  <c r="R123" i="30"/>
  <c r="U123" i="30" s="1"/>
  <c r="Q163" i="30"/>
  <c r="V168" i="30"/>
  <c r="AJ175" i="30"/>
  <c r="T175" i="30" s="1"/>
  <c r="V175" i="30" s="1"/>
  <c r="R194" i="30"/>
  <c r="U194" i="30" s="1"/>
  <c r="AK196" i="30"/>
  <c r="AL196" i="30" s="1"/>
  <c r="R199" i="30"/>
  <c r="U199" i="30" s="1"/>
  <c r="V214" i="30"/>
  <c r="R218" i="30"/>
  <c r="U218" i="30" s="1"/>
  <c r="R234" i="30"/>
  <c r="U234" i="30" s="1"/>
  <c r="R248" i="30"/>
  <c r="U248" i="30" s="1"/>
  <c r="U264" i="30"/>
  <c r="R301" i="30"/>
  <c r="U301" i="30" s="1"/>
  <c r="U374" i="30"/>
  <c r="U450" i="30"/>
  <c r="U476" i="30"/>
  <c r="R488" i="30"/>
  <c r="U488" i="30" s="1"/>
  <c r="U510" i="30"/>
  <c r="R524" i="30"/>
  <c r="U524" i="30" s="1"/>
  <c r="R224" i="30"/>
  <c r="U224" i="30" s="1"/>
  <c r="R219" i="30"/>
  <c r="U219" i="30" s="1"/>
  <c r="AJ282" i="30"/>
  <c r="T282" i="30" s="1"/>
  <c r="V282" i="30" s="1"/>
  <c r="AK282" i="30"/>
  <c r="AL282" i="30" s="1"/>
  <c r="R391" i="30"/>
  <c r="U391" i="30" s="1"/>
  <c r="R383" i="30"/>
  <c r="U383" i="30" s="1"/>
  <c r="R390" i="30"/>
  <c r="U390" i="30" s="1"/>
  <c r="R385" i="30"/>
  <c r="U385" i="30" s="1"/>
  <c r="R394" i="30"/>
  <c r="U394" i="30" s="1"/>
  <c r="AJ382" i="30"/>
  <c r="T382" i="30" s="1"/>
  <c r="V382" i="30" s="1"/>
  <c r="R393" i="30"/>
  <c r="U393" i="30" s="1"/>
  <c r="R388" i="30"/>
  <c r="U388" i="30" s="1"/>
  <c r="R382" i="30"/>
  <c r="R387" i="30"/>
  <c r="U387" i="30" s="1"/>
  <c r="R392" i="30"/>
  <c r="U392" i="30" s="1"/>
  <c r="U427" i="30"/>
  <c r="V427" i="30"/>
  <c r="R24" i="30"/>
  <c r="AK70" i="30"/>
  <c r="AL70" i="30" s="1"/>
  <c r="AK217" i="30"/>
  <c r="AL217" i="30" s="1"/>
  <c r="R386" i="30"/>
  <c r="U386" i="30" s="1"/>
  <c r="R534" i="30"/>
  <c r="U534" i="30" s="1"/>
  <c r="R526" i="30"/>
  <c r="U526" i="30" s="1"/>
  <c r="R665" i="30"/>
  <c r="U665" i="30" s="1"/>
  <c r="R657" i="30"/>
  <c r="U657" i="30" s="1"/>
  <c r="AK654" i="30"/>
  <c r="AL654" i="30" s="1"/>
  <c r="U379" i="30"/>
  <c r="AJ461" i="30"/>
  <c r="T461" i="30" s="1"/>
  <c r="V461" i="30" s="1"/>
  <c r="R469" i="30"/>
  <c r="U469" i="30" s="1"/>
  <c r="U493" i="30"/>
  <c r="AK525" i="30"/>
  <c r="AL525" i="30" s="1"/>
  <c r="R527" i="30"/>
  <c r="U527" i="30" s="1"/>
  <c r="R532" i="30"/>
  <c r="U532" i="30" s="1"/>
  <c r="AK537" i="30"/>
  <c r="AL537" i="30" s="1"/>
  <c r="R543" i="30"/>
  <c r="U543" i="30" s="1"/>
  <c r="R549" i="30"/>
  <c r="U549" i="30" s="1"/>
  <c r="R604" i="30"/>
  <c r="U604" i="30" s="1"/>
  <c r="R609" i="30"/>
  <c r="U609" i="30" s="1"/>
  <c r="R623" i="30"/>
  <c r="U623" i="30" s="1"/>
  <c r="R628" i="30"/>
  <c r="U628" i="30" s="1"/>
  <c r="R655" i="30"/>
  <c r="U655" i="30" s="1"/>
  <c r="R671" i="30"/>
  <c r="U671" i="30" s="1"/>
  <c r="R440" i="30"/>
  <c r="U440" i="30" s="1"/>
  <c r="R432" i="30"/>
  <c r="U432" i="30" s="1"/>
  <c r="R267" i="30"/>
  <c r="U267" i="30" s="1"/>
  <c r="AK270" i="30"/>
  <c r="AL270" i="30" s="1"/>
  <c r="R273" i="30"/>
  <c r="U273" i="30" s="1"/>
  <c r="R280" i="30"/>
  <c r="U280" i="30" s="1"/>
  <c r="R313" i="30"/>
  <c r="U313" i="30" s="1"/>
  <c r="R330" i="30"/>
  <c r="U330" i="30" s="1"/>
  <c r="R340" i="30"/>
  <c r="U340" i="30" s="1"/>
  <c r="AK372" i="30"/>
  <c r="AL372" i="30" s="1"/>
  <c r="R375" i="30"/>
  <c r="U375" i="30" s="1"/>
  <c r="R399" i="30"/>
  <c r="U399" i="30" s="1"/>
  <c r="R413" i="30"/>
  <c r="U413" i="30" s="1"/>
  <c r="R430" i="30"/>
  <c r="U430" i="30" s="1"/>
  <c r="AK431" i="30"/>
  <c r="AL431" i="30" s="1"/>
  <c r="R433" i="30"/>
  <c r="U433" i="30" s="1"/>
  <c r="R438" i="30"/>
  <c r="U438" i="30" s="1"/>
  <c r="AK452" i="30"/>
  <c r="AL452" i="30" s="1"/>
  <c r="R454" i="30"/>
  <c r="U454" i="30" s="1"/>
  <c r="R465" i="30"/>
  <c r="U465" i="30" s="1"/>
  <c r="R481" i="30"/>
  <c r="U481" i="30" s="1"/>
  <c r="AJ499" i="30"/>
  <c r="T499" i="30" s="1"/>
  <c r="V499" i="30" s="1"/>
  <c r="R509" i="30"/>
  <c r="U509" i="30" s="1"/>
  <c r="R514" i="30"/>
  <c r="U514" i="30" s="1"/>
  <c r="R544" i="30"/>
  <c r="U544" i="30" s="1"/>
  <c r="R564" i="30"/>
  <c r="U564" i="30" s="1"/>
  <c r="R570" i="30"/>
  <c r="U570" i="30" s="1"/>
  <c r="R581" i="30"/>
  <c r="U581" i="30" s="1"/>
  <c r="R593" i="30"/>
  <c r="U593" i="30" s="1"/>
  <c r="R598" i="30"/>
  <c r="U598" i="30" s="1"/>
  <c r="R605" i="30"/>
  <c r="U605" i="30" s="1"/>
  <c r="R660" i="30"/>
  <c r="U660" i="30" s="1"/>
  <c r="R268" i="30"/>
  <c r="U268" i="30" s="1"/>
  <c r="R274" i="30"/>
  <c r="U274" i="30" s="1"/>
  <c r="AK312" i="30"/>
  <c r="AL312" i="30" s="1"/>
  <c r="R318" i="30"/>
  <c r="U318" i="30" s="1"/>
  <c r="AK320" i="30"/>
  <c r="AL320" i="30" s="1"/>
  <c r="R322" i="30"/>
  <c r="U322" i="30" s="1"/>
  <c r="AJ372" i="30"/>
  <c r="T372" i="30" s="1"/>
  <c r="V372" i="30" s="1"/>
  <c r="R380" i="30"/>
  <c r="U380" i="30" s="1"/>
  <c r="R414" i="30"/>
  <c r="U414" i="30" s="1"/>
  <c r="U421" i="30"/>
  <c r="R470" i="30"/>
  <c r="U470" i="30" s="1"/>
  <c r="AK471" i="30"/>
  <c r="AL471" i="30" s="1"/>
  <c r="R473" i="30"/>
  <c r="U473" i="30" s="1"/>
  <c r="R528" i="30"/>
  <c r="U528" i="30" s="1"/>
  <c r="R533" i="30"/>
  <c r="U533" i="30" s="1"/>
  <c r="R540" i="30"/>
  <c r="U540" i="30" s="1"/>
  <c r="R545" i="30"/>
  <c r="U545" i="30" s="1"/>
  <c r="AK548" i="30"/>
  <c r="AL548" i="30" s="1"/>
  <c r="R550" i="30"/>
  <c r="U550" i="30" s="1"/>
  <c r="R554" i="30"/>
  <c r="U554" i="30" s="1"/>
  <c r="R582" i="30"/>
  <c r="U582" i="30" s="1"/>
  <c r="R587" i="30"/>
  <c r="U587" i="30" s="1"/>
  <c r="R594" i="30"/>
  <c r="U594" i="30" s="1"/>
  <c r="AK603" i="30"/>
  <c r="AL603" i="30" s="1"/>
  <c r="R610" i="30"/>
  <c r="U610" i="30" s="1"/>
  <c r="AK622" i="30"/>
  <c r="AL622" i="30" s="1"/>
  <c r="R624" i="30"/>
  <c r="U624" i="30" s="1"/>
  <c r="R656" i="30"/>
  <c r="U656" i="30" s="1"/>
  <c r="R666" i="30"/>
  <c r="U666" i="30" s="1"/>
  <c r="R672" i="30"/>
  <c r="U672" i="30" s="1"/>
  <c r="AK259" i="30"/>
  <c r="AL259" i="30" s="1"/>
  <c r="R262" i="30"/>
  <c r="U262" i="30" s="1"/>
  <c r="R276" i="30"/>
  <c r="U276" i="30" s="1"/>
  <c r="R315" i="30"/>
  <c r="U315" i="30" s="1"/>
  <c r="R323" i="30"/>
  <c r="U323" i="30" s="1"/>
  <c r="R334" i="30"/>
  <c r="AK334" i="30"/>
  <c r="AL334" i="30" s="1"/>
  <c r="R337" i="30"/>
  <c r="U337" i="30" s="1"/>
  <c r="AK351" i="30"/>
  <c r="AL351" i="30" s="1"/>
  <c r="R353" i="30"/>
  <c r="U353" i="30" s="1"/>
  <c r="R381" i="30"/>
  <c r="U381" i="30" s="1"/>
  <c r="AK395" i="30"/>
  <c r="AL395" i="30" s="1"/>
  <c r="R397" i="30"/>
  <c r="U397" i="30" s="1"/>
  <c r="AK403" i="30"/>
  <c r="AL403" i="30" s="1"/>
  <c r="R405" i="30"/>
  <c r="U405" i="30" s="1"/>
  <c r="AK420" i="30"/>
  <c r="AL420" i="30" s="1"/>
  <c r="R422" i="30"/>
  <c r="U422" i="30" s="1"/>
  <c r="U448" i="30"/>
  <c r="R456" i="30"/>
  <c r="U456" i="30" s="1"/>
  <c r="R467" i="30"/>
  <c r="U467" i="30" s="1"/>
  <c r="R474" i="30"/>
  <c r="U474" i="30" s="1"/>
  <c r="R483" i="30"/>
  <c r="U483" i="30" s="1"/>
  <c r="R495" i="30"/>
  <c r="U495" i="30" s="1"/>
  <c r="R529" i="30"/>
  <c r="U529" i="30" s="1"/>
  <c r="R541" i="30"/>
  <c r="U541" i="30" s="1"/>
  <c r="R546" i="30"/>
  <c r="U546" i="30" s="1"/>
  <c r="R551" i="30"/>
  <c r="U551" i="30" s="1"/>
  <c r="R566" i="30"/>
  <c r="U566" i="30" s="1"/>
  <c r="AJ580" i="30"/>
  <c r="T580" i="30" s="1"/>
  <c r="V580" i="30" s="1"/>
  <c r="R590" i="30"/>
  <c r="U590" i="30" s="1"/>
  <c r="R595" i="30"/>
  <c r="U595" i="30" s="1"/>
  <c r="R611" i="30"/>
  <c r="U611" i="30" s="1"/>
  <c r="R613" i="30"/>
  <c r="U613" i="30" s="1"/>
  <c r="R614" i="30"/>
  <c r="U614" i="30" s="1"/>
  <c r="R625" i="30"/>
  <c r="U625" i="30" s="1"/>
  <c r="R662" i="30"/>
  <c r="U662" i="30" s="1"/>
  <c r="R667" i="30"/>
  <c r="U667" i="30" s="1"/>
  <c r="R673" i="30"/>
  <c r="U673" i="30" s="1"/>
  <c r="R575" i="30"/>
  <c r="U575" i="30" s="1"/>
  <c r="R568" i="30"/>
  <c r="U568" i="30" s="1"/>
  <c r="AJ259" i="30"/>
  <c r="T259" i="30" s="1"/>
  <c r="V259" i="30" s="1"/>
  <c r="R263" i="30"/>
  <c r="U263" i="30" s="1"/>
  <c r="R277" i="30"/>
  <c r="U277" i="30" s="1"/>
  <c r="AJ334" i="30"/>
  <c r="T334" i="30" s="1"/>
  <c r="V334" i="30" s="1"/>
  <c r="R342" i="30"/>
  <c r="U342" i="30" s="1"/>
  <c r="AJ351" i="30"/>
  <c r="T351" i="30" s="1"/>
  <c r="V351" i="30" s="1"/>
  <c r="R354" i="30"/>
  <c r="U354" i="30" s="1"/>
  <c r="AJ395" i="30"/>
  <c r="T395" i="30" s="1"/>
  <c r="V395" i="30" s="1"/>
  <c r="R402" i="30"/>
  <c r="U402" i="30" s="1"/>
  <c r="AJ403" i="30"/>
  <c r="T403" i="30" s="1"/>
  <c r="V403" i="30" s="1"/>
  <c r="R406" i="30"/>
  <c r="U406" i="30" s="1"/>
  <c r="R411" i="30"/>
  <c r="U411" i="30" s="1"/>
  <c r="R416" i="30"/>
  <c r="U416" i="30" s="1"/>
  <c r="AJ420" i="30"/>
  <c r="T420" i="30" s="1"/>
  <c r="V420" i="30" s="1"/>
  <c r="R428" i="30"/>
  <c r="U428" i="30" s="1"/>
  <c r="R435" i="30"/>
  <c r="U435" i="30" s="1"/>
  <c r="R457" i="30"/>
  <c r="U457" i="30" s="1"/>
  <c r="R462" i="30"/>
  <c r="U462" i="30" s="1"/>
  <c r="R496" i="30"/>
  <c r="U496" i="30" s="1"/>
  <c r="R505" i="30"/>
  <c r="U505" i="30" s="1"/>
  <c r="R535" i="30"/>
  <c r="U535" i="30" s="1"/>
  <c r="R556" i="30"/>
  <c r="U556" i="30" s="1"/>
  <c r="R572" i="30"/>
  <c r="U572" i="30" s="1"/>
  <c r="R577" i="30"/>
  <c r="U577" i="30" s="1"/>
  <c r="R584" i="30"/>
  <c r="U584" i="30" s="1"/>
  <c r="R600" i="30"/>
  <c r="U600" i="30" s="1"/>
  <c r="R612" i="30"/>
  <c r="U612" i="30" s="1"/>
  <c r="R615" i="30"/>
  <c r="U615" i="30" s="1"/>
  <c r="R620" i="30"/>
  <c r="U620" i="30" s="1"/>
  <c r="R626" i="30"/>
  <c r="U626" i="30" s="1"/>
  <c r="R631" i="30"/>
  <c r="U631" i="30" s="1"/>
  <c r="R658" i="30"/>
  <c r="U658" i="30" s="1"/>
  <c r="R663" i="30"/>
  <c r="U663" i="30" s="1"/>
  <c r="R516" i="30"/>
  <c r="U516" i="30" s="1"/>
  <c r="R508" i="30"/>
  <c r="U508" i="30" s="1"/>
  <c r="AK506" i="30"/>
  <c r="AL506" i="30" s="1"/>
  <c r="R565" i="30"/>
  <c r="U565" i="30" s="1"/>
  <c r="R558" i="30"/>
  <c r="U558" i="30" s="1"/>
  <c r="R278" i="30"/>
  <c r="U278" i="30" s="1"/>
  <c r="R316" i="30"/>
  <c r="U316" i="30" s="1"/>
  <c r="R328" i="30"/>
  <c r="U328" i="30" s="1"/>
  <c r="R338" i="30"/>
  <c r="U338" i="30" s="1"/>
  <c r="U346" i="30"/>
  <c r="R355" i="30"/>
  <c r="U355" i="30" s="1"/>
  <c r="R378" i="30"/>
  <c r="U378" i="30" s="1"/>
  <c r="R407" i="30"/>
  <c r="U407" i="30" s="1"/>
  <c r="R423" i="30"/>
  <c r="U423" i="30" s="1"/>
  <c r="R441" i="30"/>
  <c r="U441" i="30" s="1"/>
  <c r="R463" i="30"/>
  <c r="U463" i="30" s="1"/>
  <c r="R468" i="30"/>
  <c r="U468" i="30" s="1"/>
  <c r="R479" i="30"/>
  <c r="U479" i="30" s="1"/>
  <c r="AK490" i="30"/>
  <c r="AL490" i="30" s="1"/>
  <c r="R492" i="30"/>
  <c r="U492" i="30" s="1"/>
  <c r="R497" i="30"/>
  <c r="U497" i="30" s="1"/>
  <c r="R500" i="30"/>
  <c r="U500" i="30" s="1"/>
  <c r="R517" i="30"/>
  <c r="U517" i="30" s="1"/>
  <c r="R530" i="30"/>
  <c r="U530" i="30" s="1"/>
  <c r="R542" i="30"/>
  <c r="U542" i="30" s="1"/>
  <c r="R552" i="30"/>
  <c r="U552" i="30" s="1"/>
  <c r="R562" i="30"/>
  <c r="U562" i="30" s="1"/>
  <c r="R573" i="30"/>
  <c r="U573" i="30" s="1"/>
  <c r="AK589" i="30"/>
  <c r="AL589" i="30" s="1"/>
  <c r="R591" i="30"/>
  <c r="U591" i="30" s="1"/>
  <c r="R601" i="30"/>
  <c r="U601" i="30" s="1"/>
  <c r="R608" i="30"/>
  <c r="U608" i="30" s="1"/>
  <c r="AK613" i="30"/>
  <c r="AL613" i="30" s="1"/>
  <c r="R616" i="30"/>
  <c r="U616" i="30" s="1"/>
  <c r="R627" i="30"/>
  <c r="U627" i="30" s="1"/>
  <c r="AK668" i="30"/>
  <c r="AL668" i="30" s="1"/>
  <c r="R670" i="30"/>
  <c r="U670" i="30" s="1"/>
  <c r="R363" i="30"/>
  <c r="U363" i="30" s="1"/>
  <c r="AJ630" i="28"/>
  <c r="T630" i="28" s="1"/>
  <c r="V630" i="28" s="1"/>
  <c r="AK556" i="28"/>
  <c r="AL556" i="28" s="1"/>
  <c r="AJ524" i="28"/>
  <c r="T524" i="28" s="1"/>
  <c r="V524" i="28" s="1"/>
  <c r="AJ498" i="28"/>
  <c r="T498" i="28" s="1"/>
  <c r="V498" i="28" s="1"/>
  <c r="AB53" i="28"/>
  <c r="AB33" i="28" s="1"/>
  <c r="AJ351" i="28"/>
  <c r="T351" i="28" s="1"/>
  <c r="V351" i="28" s="1"/>
  <c r="AI243" i="28"/>
  <c r="AJ243" i="28" s="1"/>
  <c r="T243" i="28" s="1"/>
  <c r="V243" i="28" s="1"/>
  <c r="AK292" i="28"/>
  <c r="AL292" i="28" s="1"/>
  <c r="AK176" i="28"/>
  <c r="AL176" i="28" s="1"/>
  <c r="AI156" i="28"/>
  <c r="AJ152" i="28"/>
  <c r="T152" i="28" s="1"/>
  <c r="V152" i="28" s="1"/>
  <c r="AI119" i="28"/>
  <c r="AK134" i="28"/>
  <c r="AL134" i="28" s="1"/>
  <c r="AK76" i="28"/>
  <c r="AL76" i="28" s="1"/>
  <c r="AJ67" i="28"/>
  <c r="T67" i="28" s="1"/>
  <c r="V67" i="28" s="1"/>
  <c r="AI54" i="28"/>
  <c r="AJ61" i="28"/>
  <c r="T61" i="28" s="1"/>
  <c r="V61" i="28" s="1"/>
  <c r="AK47" i="28"/>
  <c r="AL47" i="28" s="1"/>
  <c r="AJ19" i="28"/>
  <c r="T19" i="28" s="1"/>
  <c r="V19" i="28" s="1"/>
  <c r="AJ23" i="28"/>
  <c r="T23" i="28" s="1"/>
  <c r="V23" i="28" s="1"/>
  <c r="AI14" i="28"/>
  <c r="AK14" i="28" s="1"/>
  <c r="AL14" i="28" s="1"/>
  <c r="AJ244" i="28"/>
  <c r="T244" i="28" s="1"/>
  <c r="V244" i="28" s="1"/>
  <c r="R66" i="28"/>
  <c r="U66" i="28" s="1"/>
  <c r="R64" i="28"/>
  <c r="U64" i="28" s="1"/>
  <c r="AK63" i="28"/>
  <c r="AL63" i="28" s="1"/>
  <c r="AK25" i="28"/>
  <c r="AL25" i="28" s="1"/>
  <c r="AI24" i="28"/>
  <c r="AJ24" i="28" s="1"/>
  <c r="AJ25" i="28"/>
  <c r="T25" i="28" s="1"/>
  <c r="V25" i="28" s="1"/>
  <c r="U69" i="28"/>
  <c r="U80" i="28"/>
  <c r="U94" i="28"/>
  <c r="U98" i="28"/>
  <c r="U102" i="28"/>
  <c r="U71" i="28"/>
  <c r="U72" i="28"/>
  <c r="U112" i="28"/>
  <c r="U116" i="28"/>
  <c r="U147" i="28"/>
  <c r="AK26" i="28"/>
  <c r="AL26" i="28" s="1"/>
  <c r="AJ26" i="28"/>
  <c r="AK70" i="28"/>
  <c r="AL70" i="28" s="1"/>
  <c r="AJ70" i="28"/>
  <c r="T70" i="28" s="1"/>
  <c r="V70" i="28" s="1"/>
  <c r="R24" i="28"/>
  <c r="R58" i="28"/>
  <c r="U58" i="28" s="1"/>
  <c r="AK57" i="28"/>
  <c r="AL57" i="28" s="1"/>
  <c r="R60" i="28"/>
  <c r="U60" i="28" s="1"/>
  <c r="V183" i="28"/>
  <c r="U183" i="28"/>
  <c r="AH54" i="28"/>
  <c r="AH53" i="28" s="1"/>
  <c r="AH33" i="28" s="1"/>
  <c r="R65" i="28"/>
  <c r="U65" i="28" s="1"/>
  <c r="P54" i="28"/>
  <c r="Q54" i="28"/>
  <c r="R59" i="28"/>
  <c r="U59" i="28" s="1"/>
  <c r="U77" i="28"/>
  <c r="U165" i="28"/>
  <c r="U171" i="28"/>
  <c r="R215" i="28"/>
  <c r="U215" i="28" s="1"/>
  <c r="R214" i="28"/>
  <c r="U214" i="28" s="1"/>
  <c r="AK211" i="28"/>
  <c r="AL211" i="28" s="1"/>
  <c r="AJ359" i="28"/>
  <c r="T359" i="28" s="1"/>
  <c r="V359" i="28" s="1"/>
  <c r="AK359" i="28"/>
  <c r="AL359" i="28" s="1"/>
  <c r="R201" i="28"/>
  <c r="U201" i="28" s="1"/>
  <c r="R202" i="28"/>
  <c r="U202" i="28" s="1"/>
  <c r="R198" i="28"/>
  <c r="U198" i="28" s="1"/>
  <c r="R222" i="28"/>
  <c r="U222" i="28" s="1"/>
  <c r="R218" i="28"/>
  <c r="U218" i="28" s="1"/>
  <c r="R223" i="28"/>
  <c r="U223" i="28" s="1"/>
  <c r="R219" i="28"/>
  <c r="U219" i="28" s="1"/>
  <c r="R269" i="28"/>
  <c r="U269" i="28" s="1"/>
  <c r="R265" i="28"/>
  <c r="U265" i="28" s="1"/>
  <c r="R261" i="28"/>
  <c r="U261" i="28" s="1"/>
  <c r="R505" i="28"/>
  <c r="R268" i="28"/>
  <c r="U268" i="28" s="1"/>
  <c r="R264" i="28"/>
  <c r="U264" i="28" s="1"/>
  <c r="R266" i="28"/>
  <c r="U266" i="28" s="1"/>
  <c r="R263" i="28"/>
  <c r="U263" i="28" s="1"/>
  <c r="AJ259" i="28"/>
  <c r="T259" i="28" s="1"/>
  <c r="V259" i="28" s="1"/>
  <c r="R282" i="28"/>
  <c r="AK282" i="28"/>
  <c r="AL282" i="28" s="1"/>
  <c r="AJ282" i="28"/>
  <c r="T282" i="28" s="1"/>
  <c r="V282" i="28" s="1"/>
  <c r="V362" i="28"/>
  <c r="U362" i="28"/>
  <c r="R427" i="28"/>
  <c r="U427" i="28" s="1"/>
  <c r="R423" i="28"/>
  <c r="U423" i="28" s="1"/>
  <c r="AK420" i="28"/>
  <c r="AL420" i="28" s="1"/>
  <c r="R420" i="28"/>
  <c r="R430" i="28"/>
  <c r="U430" i="28" s="1"/>
  <c r="R426" i="28"/>
  <c r="U426" i="28" s="1"/>
  <c r="R422" i="28"/>
  <c r="U422" i="28" s="1"/>
  <c r="R428" i="28"/>
  <c r="U428" i="28" s="1"/>
  <c r="R424" i="28"/>
  <c r="U424" i="28" s="1"/>
  <c r="AJ420" i="28"/>
  <c r="T420" i="28" s="1"/>
  <c r="V420" i="28" s="1"/>
  <c r="R459" i="28"/>
  <c r="U459" i="28" s="1"/>
  <c r="R455" i="28"/>
  <c r="U455" i="28" s="1"/>
  <c r="AK452" i="28"/>
  <c r="AL452" i="28" s="1"/>
  <c r="R452" i="28"/>
  <c r="R458" i="28"/>
  <c r="U458" i="28" s="1"/>
  <c r="R454" i="28"/>
  <c r="U454" i="28" s="1"/>
  <c r="R456" i="28"/>
  <c r="U456" i="28" s="1"/>
  <c r="AJ452" i="28"/>
  <c r="T452" i="28" s="1"/>
  <c r="V452" i="28" s="1"/>
  <c r="R515" i="28"/>
  <c r="U515" i="28" s="1"/>
  <c r="R511" i="28"/>
  <c r="U511" i="28" s="1"/>
  <c r="R507" i="28"/>
  <c r="U507" i="28" s="1"/>
  <c r="AK505" i="28"/>
  <c r="AL505" i="28" s="1"/>
  <c r="R514" i="28"/>
  <c r="U514" i="28" s="1"/>
  <c r="R510" i="28"/>
  <c r="U510" i="28" s="1"/>
  <c r="R513" i="28"/>
  <c r="U513" i="28" s="1"/>
  <c r="R512" i="28"/>
  <c r="U512" i="28" s="1"/>
  <c r="R506" i="28"/>
  <c r="U506" i="28" s="1"/>
  <c r="R554" i="28"/>
  <c r="U554" i="28" s="1"/>
  <c r="R551" i="28"/>
  <c r="U551" i="28" s="1"/>
  <c r="R553" i="28"/>
  <c r="U553" i="28" s="1"/>
  <c r="R550" i="28"/>
  <c r="U550" i="28" s="1"/>
  <c r="AK547" i="28"/>
  <c r="AL547" i="28" s="1"/>
  <c r="R552" i="28"/>
  <c r="U552" i="28" s="1"/>
  <c r="R549" i="28"/>
  <c r="U549" i="28" s="1"/>
  <c r="R555" i="28"/>
  <c r="U555" i="28" s="1"/>
  <c r="R664" i="28"/>
  <c r="U664" i="28" s="1"/>
  <c r="R660" i="28"/>
  <c r="U660" i="28" s="1"/>
  <c r="Q657" i="28"/>
  <c r="R663" i="28"/>
  <c r="U663" i="28" s="1"/>
  <c r="R659" i="28"/>
  <c r="U659" i="28" s="1"/>
  <c r="R662" i="28"/>
  <c r="U662" i="28" s="1"/>
  <c r="R661" i="28"/>
  <c r="U661" i="28" s="1"/>
  <c r="AJ658" i="28"/>
  <c r="T658" i="28" s="1"/>
  <c r="V658" i="28" s="1"/>
  <c r="AK658" i="28"/>
  <c r="AL658" i="28" s="1"/>
  <c r="R318" i="28"/>
  <c r="U318" i="28" s="1"/>
  <c r="R314" i="28"/>
  <c r="U314" i="28" s="1"/>
  <c r="R317" i="28"/>
  <c r="U317" i="28" s="1"/>
  <c r="R313" i="28"/>
  <c r="U313" i="28" s="1"/>
  <c r="R319" i="28"/>
  <c r="U319" i="28" s="1"/>
  <c r="R315" i="28"/>
  <c r="U315" i="28" s="1"/>
  <c r="AK312" i="28"/>
  <c r="AL312" i="28" s="1"/>
  <c r="AJ312" i="28"/>
  <c r="T312" i="28" s="1"/>
  <c r="V312" i="28" s="1"/>
  <c r="R413" i="28"/>
  <c r="U413" i="28" s="1"/>
  <c r="R409" i="28"/>
  <c r="U409" i="28" s="1"/>
  <c r="R405" i="28"/>
  <c r="U405" i="28" s="1"/>
  <c r="R416" i="28"/>
  <c r="U416" i="28" s="1"/>
  <c r="R412" i="28"/>
  <c r="U412" i="28" s="1"/>
  <c r="R408" i="28"/>
  <c r="U408" i="28" s="1"/>
  <c r="R404" i="28"/>
  <c r="U404" i="28" s="1"/>
  <c r="AJ403" i="28"/>
  <c r="T403" i="28" s="1"/>
  <c r="V403" i="28" s="1"/>
  <c r="R583" i="28"/>
  <c r="U583" i="28" s="1"/>
  <c r="R586" i="28"/>
  <c r="U586" i="28" s="1"/>
  <c r="R582" i="28"/>
  <c r="U582" i="28" s="1"/>
  <c r="AK579" i="28"/>
  <c r="AL579" i="28" s="1"/>
  <c r="R585" i="28"/>
  <c r="U585" i="28" s="1"/>
  <c r="R584" i="28"/>
  <c r="U584" i="28" s="1"/>
  <c r="R579" i="28"/>
  <c r="AJ84" i="28"/>
  <c r="T84" i="28" s="1"/>
  <c r="V84" i="28" s="1"/>
  <c r="AJ122" i="28"/>
  <c r="T122" i="28" s="1"/>
  <c r="V122" i="28" s="1"/>
  <c r="R124" i="28"/>
  <c r="U124" i="28" s="1"/>
  <c r="R128" i="28"/>
  <c r="U128" i="28" s="1"/>
  <c r="R132" i="28"/>
  <c r="U132" i="28" s="1"/>
  <c r="AJ134" i="28"/>
  <c r="T134" i="28" s="1"/>
  <c r="V134" i="28" s="1"/>
  <c r="R145" i="28"/>
  <c r="U145" i="28" s="1"/>
  <c r="AK150" i="28"/>
  <c r="AL150" i="28" s="1"/>
  <c r="AJ157" i="28"/>
  <c r="T157" i="28" s="1"/>
  <c r="V157" i="28" s="1"/>
  <c r="R190" i="28"/>
  <c r="U190" i="28" s="1"/>
  <c r="AK78" i="28"/>
  <c r="AL78" i="28" s="1"/>
  <c r="R85" i="28"/>
  <c r="U85" i="28" s="1"/>
  <c r="AJ89" i="28"/>
  <c r="T89" i="28" s="1"/>
  <c r="V89" i="28" s="1"/>
  <c r="R99" i="28"/>
  <c r="U99" i="28" s="1"/>
  <c r="R103" i="28"/>
  <c r="U103" i="28" s="1"/>
  <c r="R117" i="28"/>
  <c r="U117" i="28" s="1"/>
  <c r="R123" i="28"/>
  <c r="U123" i="28" s="1"/>
  <c r="R127" i="28"/>
  <c r="U127" i="28" s="1"/>
  <c r="R133" i="28"/>
  <c r="U133" i="28" s="1"/>
  <c r="AJ136" i="28"/>
  <c r="T136" i="28" s="1"/>
  <c r="V136" i="28" s="1"/>
  <c r="R148" i="28"/>
  <c r="U148" i="28" s="1"/>
  <c r="AJ150" i="28"/>
  <c r="T150" i="28" s="1"/>
  <c r="V150" i="28" s="1"/>
  <c r="R158" i="28"/>
  <c r="U158" i="28" s="1"/>
  <c r="AI163" i="28"/>
  <c r="AJ163" i="28" s="1"/>
  <c r="T163" i="28" s="1"/>
  <c r="V163" i="28" s="1"/>
  <c r="V178" i="28"/>
  <c r="V185" i="28"/>
  <c r="R194" i="28"/>
  <c r="U194" i="28" s="1"/>
  <c r="R212" i="28"/>
  <c r="U212" i="28" s="1"/>
  <c r="R221" i="28"/>
  <c r="U221" i="28" s="1"/>
  <c r="U240" i="28"/>
  <c r="U247" i="28"/>
  <c r="U350" i="28"/>
  <c r="R429" i="28"/>
  <c r="U429" i="28" s="1"/>
  <c r="U581" i="28"/>
  <c r="Q10" i="28"/>
  <c r="Q12" i="28"/>
  <c r="R12" i="28" s="1"/>
  <c r="AH12" i="28"/>
  <c r="AK16" i="28"/>
  <c r="AL16" i="28" s="1"/>
  <c r="Q36" i="28"/>
  <c r="R56" i="28"/>
  <c r="U56" i="28" s="1"/>
  <c r="R62" i="28"/>
  <c r="U62" i="28" s="1"/>
  <c r="R68" i="28"/>
  <c r="U68" i="28" s="1"/>
  <c r="R79" i="28"/>
  <c r="U79" i="28" s="1"/>
  <c r="AJ81" i="28"/>
  <c r="T81" i="28" s="1"/>
  <c r="V81" i="28" s="1"/>
  <c r="AK84" i="28"/>
  <c r="AL84" i="28" s="1"/>
  <c r="R93" i="28"/>
  <c r="U93" i="28" s="1"/>
  <c r="R97" i="28"/>
  <c r="U97" i="28" s="1"/>
  <c r="R101" i="28"/>
  <c r="U101" i="28" s="1"/>
  <c r="R107" i="28"/>
  <c r="U107" i="28" s="1"/>
  <c r="R111" i="28"/>
  <c r="U111" i="28" s="1"/>
  <c r="R115" i="28"/>
  <c r="U115" i="28" s="1"/>
  <c r="R121" i="28"/>
  <c r="U121" i="28" s="1"/>
  <c r="AK122" i="28"/>
  <c r="AL122" i="28" s="1"/>
  <c r="R125" i="28"/>
  <c r="U125" i="28" s="1"/>
  <c r="R131" i="28"/>
  <c r="U131" i="28" s="1"/>
  <c r="AK139" i="28"/>
  <c r="AL139" i="28" s="1"/>
  <c r="R142" i="28"/>
  <c r="U142" i="28" s="1"/>
  <c r="AK143" i="28"/>
  <c r="AL143" i="28" s="1"/>
  <c r="R146" i="28"/>
  <c r="U146" i="28" s="1"/>
  <c r="R153" i="28"/>
  <c r="U153" i="28" s="1"/>
  <c r="AK157" i="28"/>
  <c r="AL157" i="28" s="1"/>
  <c r="R162" i="28"/>
  <c r="U162" i="28" s="1"/>
  <c r="AJ164" i="28"/>
  <c r="T164" i="28" s="1"/>
  <c r="V164" i="28" s="1"/>
  <c r="AJ166" i="28"/>
  <c r="T166" i="28" s="1"/>
  <c r="V166" i="28" s="1"/>
  <c r="R170" i="28"/>
  <c r="U170" i="28" s="1"/>
  <c r="R200" i="28"/>
  <c r="U200" i="28" s="1"/>
  <c r="U207" i="28"/>
  <c r="AJ217" i="28"/>
  <c r="T217" i="28" s="1"/>
  <c r="V217" i="28" s="1"/>
  <c r="U227" i="28"/>
  <c r="U230" i="28"/>
  <c r="P243" i="28"/>
  <c r="V249" i="28"/>
  <c r="U250" i="28"/>
  <c r="U251" i="28"/>
  <c r="R260" i="28"/>
  <c r="U260" i="28" s="1"/>
  <c r="U306" i="28"/>
  <c r="U330" i="28"/>
  <c r="U365" i="28"/>
  <c r="U397" i="28"/>
  <c r="AK403" i="28"/>
  <c r="AL403" i="28" s="1"/>
  <c r="R411" i="28"/>
  <c r="U411" i="28" s="1"/>
  <c r="R414" i="28"/>
  <c r="U414" i="28" s="1"/>
  <c r="R425" i="28"/>
  <c r="U425" i="28" s="1"/>
  <c r="U448" i="28"/>
  <c r="R457" i="28"/>
  <c r="U457" i="28" s="1"/>
  <c r="R508" i="28"/>
  <c r="U508" i="28" s="1"/>
  <c r="R509" i="28"/>
  <c r="U509" i="28" s="1"/>
  <c r="R193" i="28"/>
  <c r="U193" i="28" s="1"/>
  <c r="R189" i="28"/>
  <c r="U189" i="28" s="1"/>
  <c r="Q175" i="28"/>
  <c r="AK204" i="28"/>
  <c r="AL204" i="28" s="1"/>
  <c r="AJ204" i="28"/>
  <c r="T204" i="28" s="1"/>
  <c r="V204" i="28" s="1"/>
  <c r="AJ442" i="28"/>
  <c r="T442" i="28" s="1"/>
  <c r="V442" i="28" s="1"/>
  <c r="AK442" i="28"/>
  <c r="AL442" i="28" s="1"/>
  <c r="AJ304" i="28"/>
  <c r="T304" i="28" s="1"/>
  <c r="V304" i="28" s="1"/>
  <c r="AK304" i="28"/>
  <c r="AL304" i="28" s="1"/>
  <c r="AJ417" i="28"/>
  <c r="T417" i="28" s="1"/>
  <c r="V417" i="28" s="1"/>
  <c r="AK417" i="28"/>
  <c r="AL417" i="28" s="1"/>
  <c r="V445" i="28"/>
  <c r="U445" i="28"/>
  <c r="AK225" i="28"/>
  <c r="AL225" i="28" s="1"/>
  <c r="AJ225" i="28"/>
  <c r="T225" i="28" s="1"/>
  <c r="V225" i="28" s="1"/>
  <c r="V307" i="28"/>
  <c r="U307" i="28"/>
  <c r="R619" i="28"/>
  <c r="U619" i="28" s="1"/>
  <c r="R615" i="28"/>
  <c r="U615" i="28" s="1"/>
  <c r="R618" i="28"/>
  <c r="U618" i="28" s="1"/>
  <c r="R614" i="28"/>
  <c r="U614" i="28" s="1"/>
  <c r="AK611" i="28"/>
  <c r="AL611" i="28" s="1"/>
  <c r="R613" i="28"/>
  <c r="U613" i="28" s="1"/>
  <c r="R612" i="28"/>
  <c r="U612" i="28" s="1"/>
  <c r="R611" i="28"/>
  <c r="U611" i="28" s="1"/>
  <c r="R617" i="28"/>
  <c r="U617" i="28" s="1"/>
  <c r="R616" i="28"/>
  <c r="U616" i="28" s="1"/>
  <c r="AJ139" i="28"/>
  <c r="T139" i="28" s="1"/>
  <c r="R141" i="28"/>
  <c r="U141" i="28" s="1"/>
  <c r="AJ143" i="28"/>
  <c r="T143" i="28" s="1"/>
  <c r="V143" i="28" s="1"/>
  <c r="R149" i="28"/>
  <c r="U149" i="28" s="1"/>
  <c r="AK188" i="28"/>
  <c r="AL188" i="28" s="1"/>
  <c r="AJ87" i="28"/>
  <c r="T87" i="28" s="1"/>
  <c r="V87" i="28" s="1"/>
  <c r="R95" i="28"/>
  <c r="U95" i="28" s="1"/>
  <c r="R109" i="28"/>
  <c r="U109" i="28" s="1"/>
  <c r="R113" i="28"/>
  <c r="U113" i="28" s="1"/>
  <c r="Q119" i="28"/>
  <c r="R150" i="28" s="1"/>
  <c r="R129" i="28"/>
  <c r="U129" i="28" s="1"/>
  <c r="R135" i="28"/>
  <c r="U135" i="28" s="1"/>
  <c r="R140" i="28"/>
  <c r="U140" i="28" s="1"/>
  <c r="AK152" i="28"/>
  <c r="AL152" i="28" s="1"/>
  <c r="AJ160" i="28"/>
  <c r="T160" i="28" s="1"/>
  <c r="V160" i="28" s="1"/>
  <c r="U186" i="28"/>
  <c r="AJ188" i="28"/>
  <c r="R192" i="28"/>
  <c r="U192" i="28" s="1"/>
  <c r="AK196" i="28"/>
  <c r="AL196" i="28" s="1"/>
  <c r="U208" i="28"/>
  <c r="U246" i="28"/>
  <c r="U255" i="28"/>
  <c r="U277" i="28"/>
  <c r="R421" i="28"/>
  <c r="U421" i="28" s="1"/>
  <c r="R453" i="28"/>
  <c r="U453" i="28" s="1"/>
  <c r="R516" i="28"/>
  <c r="U516" i="28" s="1"/>
  <c r="U544" i="28"/>
  <c r="U546" i="28"/>
  <c r="R90" i="28"/>
  <c r="U90" i="28" s="1"/>
  <c r="R92" i="28"/>
  <c r="U92" i="28" s="1"/>
  <c r="R96" i="28"/>
  <c r="U96" i="28" s="1"/>
  <c r="R100" i="28"/>
  <c r="U100" i="28" s="1"/>
  <c r="R104" i="28"/>
  <c r="U104" i="28" s="1"/>
  <c r="R106" i="28"/>
  <c r="U106" i="28" s="1"/>
  <c r="R110" i="28"/>
  <c r="U110" i="28" s="1"/>
  <c r="R114" i="28"/>
  <c r="U114" i="28" s="1"/>
  <c r="R126" i="28"/>
  <c r="U126" i="28" s="1"/>
  <c r="Q156" i="28"/>
  <c r="R164" i="28"/>
  <c r="R191" i="28"/>
  <c r="U191" i="28" s="1"/>
  <c r="AJ196" i="28"/>
  <c r="T196" i="28" s="1"/>
  <c r="V196" i="28" s="1"/>
  <c r="AJ211" i="28"/>
  <c r="T211" i="28" s="1"/>
  <c r="V211" i="28" s="1"/>
  <c r="R213" i="28"/>
  <c r="U213" i="28" s="1"/>
  <c r="R216" i="28"/>
  <c r="U216" i="28" s="1"/>
  <c r="AK217" i="28"/>
  <c r="AL217" i="28" s="1"/>
  <c r="R220" i="28"/>
  <c r="U220" i="28" s="1"/>
  <c r="R224" i="28"/>
  <c r="U224" i="28" s="1"/>
  <c r="U231" i="28"/>
  <c r="U238" i="28"/>
  <c r="U253" i="28"/>
  <c r="R262" i="28"/>
  <c r="U262" i="28" s="1"/>
  <c r="U281" i="28"/>
  <c r="U346" i="28"/>
  <c r="U361" i="28"/>
  <c r="U415" i="28"/>
  <c r="U444" i="28"/>
  <c r="AJ505" i="28"/>
  <c r="T505" i="28" s="1"/>
  <c r="V505" i="28" s="1"/>
  <c r="R548" i="28"/>
  <c r="U548" i="28" s="1"/>
  <c r="R665" i="28"/>
  <c r="U665" i="28" s="1"/>
  <c r="R241" i="28"/>
  <c r="U241" i="28" s="1"/>
  <c r="R237" i="28"/>
  <c r="U237" i="28" s="1"/>
  <c r="R235" i="28"/>
  <c r="U235" i="28" s="1"/>
  <c r="R302" i="28"/>
  <c r="U302" i="28" s="1"/>
  <c r="R298" i="28"/>
  <c r="U298" i="28" s="1"/>
  <c r="R294" i="28"/>
  <c r="U294" i="28" s="1"/>
  <c r="R289" i="28"/>
  <c r="U289" i="28" s="1"/>
  <c r="R286" i="28"/>
  <c r="U286" i="28" s="1"/>
  <c r="R284" i="28"/>
  <c r="U284" i="28" s="1"/>
  <c r="R301" i="28"/>
  <c r="U301" i="28" s="1"/>
  <c r="R297" i="28"/>
  <c r="U297" i="28" s="1"/>
  <c r="R293" i="28"/>
  <c r="U293" i="28" s="1"/>
  <c r="R291" i="28"/>
  <c r="U291" i="28" s="1"/>
  <c r="R283" i="28"/>
  <c r="U283" i="28" s="1"/>
  <c r="R348" i="28"/>
  <c r="U348" i="28" s="1"/>
  <c r="AK345" i="28"/>
  <c r="AL345" i="28" s="1"/>
  <c r="R345" i="28"/>
  <c r="R347" i="28"/>
  <c r="U347" i="28" s="1"/>
  <c r="R357" i="28"/>
  <c r="U357" i="28" s="1"/>
  <c r="R353" i="28"/>
  <c r="U353" i="28" s="1"/>
  <c r="R356" i="28"/>
  <c r="U356" i="28" s="1"/>
  <c r="R352" i="28"/>
  <c r="U352" i="28" s="1"/>
  <c r="R520" i="28"/>
  <c r="U520" i="28" s="1"/>
  <c r="AK517" i="28"/>
  <c r="AL517" i="28" s="1"/>
  <c r="R517" i="28"/>
  <c r="R523" i="28"/>
  <c r="U523" i="28" s="1"/>
  <c r="R519" i="28"/>
  <c r="U519" i="28" s="1"/>
  <c r="R522" i="28"/>
  <c r="U522" i="28" s="1"/>
  <c r="R521" i="28"/>
  <c r="U521" i="28" s="1"/>
  <c r="AJ517" i="28"/>
  <c r="T517" i="28" s="1"/>
  <c r="V517" i="28" s="1"/>
  <c r="R180" i="28"/>
  <c r="U180" i="28" s="1"/>
  <c r="R206" i="28"/>
  <c r="U206" i="28" s="1"/>
  <c r="R229" i="28"/>
  <c r="U229" i="28" s="1"/>
  <c r="R233" i="28"/>
  <c r="U233" i="28" s="1"/>
  <c r="U258" i="28"/>
  <c r="R296" i="28"/>
  <c r="U296" i="28" s="1"/>
  <c r="R300" i="28"/>
  <c r="U300" i="28" s="1"/>
  <c r="U322" i="28"/>
  <c r="U325" i="28"/>
  <c r="AK327" i="28"/>
  <c r="AL327" i="28" s="1"/>
  <c r="U340" i="28"/>
  <c r="U344" i="28"/>
  <c r="R355" i="28"/>
  <c r="U355" i="28" s="1"/>
  <c r="U374" i="28"/>
  <c r="U378" i="28"/>
  <c r="U384" i="28"/>
  <c r="U392" i="28"/>
  <c r="U400" i="28"/>
  <c r="U434" i="28"/>
  <c r="U438" i="28"/>
  <c r="U471" i="28"/>
  <c r="U494" i="28"/>
  <c r="R518" i="28"/>
  <c r="U518" i="28" s="1"/>
  <c r="U533" i="28"/>
  <c r="R558" i="28"/>
  <c r="U599" i="28"/>
  <c r="AJ320" i="28"/>
  <c r="T320" i="28" s="1"/>
  <c r="V320" i="28" s="1"/>
  <c r="AK320" i="28"/>
  <c r="AL320" i="28" s="1"/>
  <c r="R333" i="28"/>
  <c r="U333" i="28" s="1"/>
  <c r="R329" i="28"/>
  <c r="U329" i="28" s="1"/>
  <c r="R332" i="28"/>
  <c r="U332" i="28" s="1"/>
  <c r="R328" i="28"/>
  <c r="U328" i="28" s="1"/>
  <c r="R542" i="28"/>
  <c r="U542" i="28" s="1"/>
  <c r="R538" i="28"/>
  <c r="U538" i="28" s="1"/>
  <c r="R545" i="28"/>
  <c r="U545" i="28" s="1"/>
  <c r="R541" i="28"/>
  <c r="U541" i="28" s="1"/>
  <c r="R537" i="28"/>
  <c r="U537" i="28" s="1"/>
  <c r="R540" i="28"/>
  <c r="U540" i="28" s="1"/>
  <c r="R539" i="28"/>
  <c r="U539" i="28" s="1"/>
  <c r="AJ536" i="28"/>
  <c r="T536" i="28" s="1"/>
  <c r="V536" i="28" s="1"/>
  <c r="AK536" i="28"/>
  <c r="AL536" i="28" s="1"/>
  <c r="R564" i="28"/>
  <c r="U564" i="28" s="1"/>
  <c r="R560" i="28"/>
  <c r="U560" i="28" s="1"/>
  <c r="R557" i="28"/>
  <c r="U557" i="28" s="1"/>
  <c r="R556" i="28"/>
  <c r="U556" i="28" s="1"/>
  <c r="R563" i="28"/>
  <c r="U563" i="28" s="1"/>
  <c r="R559" i="28"/>
  <c r="U559" i="28" s="1"/>
  <c r="R565" i="28"/>
  <c r="U565" i="28" s="1"/>
  <c r="R577" i="28"/>
  <c r="U577" i="28" s="1"/>
  <c r="R570" i="28"/>
  <c r="U570" i="28" s="1"/>
  <c r="AJ566" i="28"/>
  <c r="T566" i="28" s="1"/>
  <c r="V566" i="28" s="1"/>
  <c r="R566" i="28"/>
  <c r="R576" i="28"/>
  <c r="U576" i="28" s="1"/>
  <c r="R573" i="28"/>
  <c r="U573" i="28" s="1"/>
  <c r="R569" i="28"/>
  <c r="U569" i="28" s="1"/>
  <c r="AK566" i="28"/>
  <c r="AL566" i="28" s="1"/>
  <c r="R572" i="28"/>
  <c r="U572" i="28" s="1"/>
  <c r="R571" i="28"/>
  <c r="U571" i="28" s="1"/>
  <c r="R575" i="28"/>
  <c r="U575" i="28" s="1"/>
  <c r="R574" i="28"/>
  <c r="U574" i="28" s="1"/>
  <c r="AK601" i="28"/>
  <c r="AL601" i="28" s="1"/>
  <c r="AJ601" i="28"/>
  <c r="T601" i="28" s="1"/>
  <c r="V601" i="28" s="1"/>
  <c r="U239" i="28"/>
  <c r="U254" i="28"/>
  <c r="U272" i="28"/>
  <c r="U280" i="28"/>
  <c r="U305" i="28"/>
  <c r="R331" i="28"/>
  <c r="U331" i="28" s="1"/>
  <c r="U337" i="28"/>
  <c r="U341" i="28"/>
  <c r="U375" i="28"/>
  <c r="U385" i="28"/>
  <c r="U389" i="28"/>
  <c r="U393" i="28"/>
  <c r="U401" i="28"/>
  <c r="U419" i="28"/>
  <c r="U443" i="28"/>
  <c r="U462" i="28"/>
  <c r="U475" i="28"/>
  <c r="U501" i="28"/>
  <c r="R561" i="28"/>
  <c r="U561" i="28" s="1"/>
  <c r="R468" i="28"/>
  <c r="U468" i="28" s="1"/>
  <c r="R466" i="28"/>
  <c r="U466" i="28" s="1"/>
  <c r="R485" i="28"/>
  <c r="U485" i="28" s="1"/>
  <c r="R484" i="28"/>
  <c r="R488" i="28"/>
  <c r="U488" i="28" s="1"/>
  <c r="AJ484" i="28"/>
  <c r="T484" i="28" s="1"/>
  <c r="V484" i="28" s="1"/>
  <c r="AJ270" i="28"/>
  <c r="T270" i="28" s="1"/>
  <c r="V270" i="28" s="1"/>
  <c r="R274" i="28"/>
  <c r="U274" i="28" s="1"/>
  <c r="R278" i="28"/>
  <c r="U278" i="28" s="1"/>
  <c r="AJ334" i="28"/>
  <c r="T334" i="28" s="1"/>
  <c r="V334" i="28" s="1"/>
  <c r="R338" i="28"/>
  <c r="U338" i="28" s="1"/>
  <c r="R342" i="28"/>
  <c r="U342" i="28" s="1"/>
  <c r="AJ372" i="28"/>
  <c r="T372" i="28" s="1"/>
  <c r="V372" i="28" s="1"/>
  <c r="R376" i="28"/>
  <c r="U376" i="28" s="1"/>
  <c r="R380" i="28"/>
  <c r="U380" i="28" s="1"/>
  <c r="AJ382" i="28"/>
  <c r="T382" i="28" s="1"/>
  <c r="V382" i="28" s="1"/>
  <c r="R386" i="28"/>
  <c r="U386" i="28" s="1"/>
  <c r="R390" i="28"/>
  <c r="U390" i="28" s="1"/>
  <c r="R394" i="28"/>
  <c r="U394" i="28" s="1"/>
  <c r="AJ395" i="28"/>
  <c r="T395" i="28" s="1"/>
  <c r="V395" i="28" s="1"/>
  <c r="R398" i="28"/>
  <c r="U398" i="28" s="1"/>
  <c r="R402" i="28"/>
  <c r="U402" i="28" s="1"/>
  <c r="AJ431" i="28"/>
  <c r="T431" i="28" s="1"/>
  <c r="V431" i="28" s="1"/>
  <c r="R435" i="28"/>
  <c r="U435" i="28" s="1"/>
  <c r="R439" i="28"/>
  <c r="U439" i="28" s="1"/>
  <c r="AJ460" i="28"/>
  <c r="T460" i="28" s="1"/>
  <c r="V460" i="28" s="1"/>
  <c r="R465" i="28"/>
  <c r="U465" i="28" s="1"/>
  <c r="R469" i="28"/>
  <c r="U469" i="28" s="1"/>
  <c r="AK484" i="28"/>
  <c r="AL484" i="28" s="1"/>
  <c r="R486" i="28"/>
  <c r="U486" i="28" s="1"/>
  <c r="R487" i="28"/>
  <c r="U487" i="28" s="1"/>
  <c r="U496" i="28"/>
  <c r="U504" i="28"/>
  <c r="AJ547" i="28"/>
  <c r="T547" i="28" s="1"/>
  <c r="V547" i="28" s="1"/>
  <c r="AJ579" i="28"/>
  <c r="T579" i="28" s="1"/>
  <c r="V579" i="28" s="1"/>
  <c r="U594" i="28"/>
  <c r="U602" i="28"/>
  <c r="U623" i="28"/>
  <c r="U624" i="28"/>
  <c r="U633" i="28"/>
  <c r="U634" i="28"/>
  <c r="U652" i="28"/>
  <c r="U653" i="28"/>
  <c r="R473" i="28"/>
  <c r="U473" i="28" s="1"/>
  <c r="AK470" i="28"/>
  <c r="AL470" i="28" s="1"/>
  <c r="R470" i="28"/>
  <c r="R476" i="28"/>
  <c r="U476" i="28" s="1"/>
  <c r="R472" i="28"/>
  <c r="U472" i="28" s="1"/>
  <c r="R248" i="28"/>
  <c r="U248" i="28" s="1"/>
  <c r="R252" i="28"/>
  <c r="U252" i="28" s="1"/>
  <c r="R271" i="28"/>
  <c r="U271" i="28" s="1"/>
  <c r="R275" i="28"/>
  <c r="U275" i="28" s="1"/>
  <c r="R335" i="28"/>
  <c r="U335" i="28" s="1"/>
  <c r="R339" i="28"/>
  <c r="U339" i="28" s="1"/>
  <c r="R363" i="28"/>
  <c r="U363" i="28" s="1"/>
  <c r="R367" i="28"/>
  <c r="U367" i="28" s="1"/>
  <c r="R373" i="28"/>
  <c r="U373" i="28" s="1"/>
  <c r="R377" i="28"/>
  <c r="U377" i="28" s="1"/>
  <c r="R383" i="28"/>
  <c r="U383" i="28" s="1"/>
  <c r="R387" i="28"/>
  <c r="U387" i="28" s="1"/>
  <c r="R396" i="28"/>
  <c r="U396" i="28" s="1"/>
  <c r="R432" i="28"/>
  <c r="U432" i="28" s="1"/>
  <c r="R436" i="28"/>
  <c r="U436" i="28" s="1"/>
  <c r="R446" i="28"/>
  <c r="U446" i="28" s="1"/>
  <c r="R461" i="28"/>
  <c r="U461" i="28" s="1"/>
  <c r="U480" i="28"/>
  <c r="U530" i="28"/>
  <c r="U531" i="28"/>
  <c r="U605" i="28"/>
  <c r="U606" i="28"/>
  <c r="U640" i="28"/>
  <c r="U641" i="28"/>
  <c r="U649" i="28"/>
  <c r="AJ477" i="28"/>
  <c r="T477" i="28" s="1"/>
  <c r="V477" i="28" s="1"/>
  <c r="R481" i="28"/>
  <c r="U481" i="28" s="1"/>
  <c r="R493" i="28"/>
  <c r="U493" i="28" s="1"/>
  <c r="R497" i="28"/>
  <c r="U497" i="28" s="1"/>
  <c r="R502" i="28"/>
  <c r="U502" i="28" s="1"/>
  <c r="R528" i="28"/>
  <c r="U528" i="28" s="1"/>
  <c r="R532" i="28"/>
  <c r="U532" i="28" s="1"/>
  <c r="R587" i="28"/>
  <c r="U587" i="28" s="1"/>
  <c r="R588" i="28"/>
  <c r="U588" i="28" s="1"/>
  <c r="R592" i="28"/>
  <c r="U592" i="28" s="1"/>
  <c r="R596" i="28"/>
  <c r="U596" i="28" s="1"/>
  <c r="R600" i="28"/>
  <c r="U600" i="28" s="1"/>
  <c r="R603" i="28"/>
  <c r="U603" i="28" s="1"/>
  <c r="R620" i="28"/>
  <c r="U620" i="28" s="1"/>
  <c r="R621" i="28"/>
  <c r="U621" i="28" s="1"/>
  <c r="R625" i="28"/>
  <c r="U625" i="28" s="1"/>
  <c r="R629" i="28"/>
  <c r="U629" i="28" s="1"/>
  <c r="R630" i="28"/>
  <c r="R631" i="28"/>
  <c r="U631" i="28" s="1"/>
  <c r="R635" i="28"/>
  <c r="U635" i="28" s="1"/>
  <c r="R638" i="28"/>
  <c r="U638" i="28" s="1"/>
  <c r="R642" i="28"/>
  <c r="U642" i="28" s="1"/>
  <c r="R646" i="28"/>
  <c r="U646" i="28" s="1"/>
  <c r="R650" i="28"/>
  <c r="U650" i="28" s="1"/>
  <c r="AK651" i="28"/>
  <c r="AL651" i="28" s="1"/>
  <c r="R654" i="28"/>
  <c r="U654" i="28" s="1"/>
  <c r="R478" i="28"/>
  <c r="U478" i="28" s="1"/>
  <c r="R490" i="28"/>
  <c r="U490" i="28" s="1"/>
  <c r="R499" i="28"/>
  <c r="U499" i="28" s="1"/>
  <c r="R525" i="28"/>
  <c r="U525" i="28" s="1"/>
  <c r="R529" i="28"/>
  <c r="U529" i="28" s="1"/>
  <c r="R589" i="28"/>
  <c r="U589" i="28" s="1"/>
  <c r="R593" i="28"/>
  <c r="U593" i="28" s="1"/>
  <c r="R622" i="28"/>
  <c r="U622" i="28" s="1"/>
  <c r="R632" i="28"/>
  <c r="U632" i="28" s="1"/>
  <c r="R639" i="28"/>
  <c r="U639" i="28" s="1"/>
  <c r="R643" i="28"/>
  <c r="U643" i="28" s="1"/>
  <c r="R664" i="27"/>
  <c r="U664" i="27" s="1"/>
  <c r="R661" i="27"/>
  <c r="U661" i="27" s="1"/>
  <c r="R660" i="27"/>
  <c r="V661" i="27"/>
  <c r="V636" i="27"/>
  <c r="R636" i="27"/>
  <c r="U636" i="27" s="1"/>
  <c r="R633" i="27"/>
  <c r="U633" i="27" s="1"/>
  <c r="U635" i="27"/>
  <c r="V635" i="27"/>
  <c r="U628" i="27"/>
  <c r="V628" i="27"/>
  <c r="U600" i="27"/>
  <c r="V600" i="27"/>
  <c r="R544" i="27"/>
  <c r="U544" i="27" s="1"/>
  <c r="U555" i="27"/>
  <c r="V555" i="27"/>
  <c r="V544" i="27"/>
  <c r="U538" i="27"/>
  <c r="R486" i="27"/>
  <c r="U486" i="27" s="1"/>
  <c r="R516" i="27"/>
  <c r="U516" i="27" s="1"/>
  <c r="R522" i="27"/>
  <c r="U522" i="27" s="1"/>
  <c r="V522" i="27"/>
  <c r="V516" i="27"/>
  <c r="V513" i="27"/>
  <c r="R513" i="27"/>
  <c r="U513" i="27" s="1"/>
  <c r="U504" i="27"/>
  <c r="V504" i="27"/>
  <c r="R456" i="27"/>
  <c r="U456" i="27" s="1"/>
  <c r="U488" i="27"/>
  <c r="V494" i="27"/>
  <c r="R494" i="27"/>
  <c r="U494" i="27" s="1"/>
  <c r="V475" i="27"/>
  <c r="U264" i="27"/>
  <c r="R475" i="27"/>
  <c r="U475" i="27" s="1"/>
  <c r="R467" i="27"/>
  <c r="V459" i="27"/>
  <c r="U458" i="27"/>
  <c r="V458" i="27"/>
  <c r="R459" i="27"/>
  <c r="U459" i="27" s="1"/>
  <c r="R450" i="27"/>
  <c r="U450" i="27" s="1"/>
  <c r="R284" i="27"/>
  <c r="U284" i="27" s="1"/>
  <c r="V449" i="27"/>
  <c r="R449" i="27"/>
  <c r="U449" i="27" s="1"/>
  <c r="AK442" i="27"/>
  <c r="AL442" i="27" s="1"/>
  <c r="R440" i="27"/>
  <c r="U440" i="27" s="1"/>
  <c r="R439" i="27"/>
  <c r="U439" i="27" s="1"/>
  <c r="R441" i="27"/>
  <c r="U441" i="27" s="1"/>
  <c r="V441" i="27"/>
  <c r="V440" i="27"/>
  <c r="V439" i="27"/>
  <c r="AJ442" i="27"/>
  <c r="T442" i="27" s="1"/>
  <c r="V442" i="27" s="1"/>
  <c r="A452" i="27"/>
  <c r="A460" i="27" s="1"/>
  <c r="R406" i="27"/>
  <c r="U406" i="27" s="1"/>
  <c r="R402" i="27"/>
  <c r="U402" i="27" s="1"/>
  <c r="V402" i="27"/>
  <c r="U401" i="27"/>
  <c r="V401" i="27"/>
  <c r="U394" i="27"/>
  <c r="AJ236" i="27"/>
  <c r="T236" i="27" s="1"/>
  <c r="U358" i="27"/>
  <c r="V358" i="27"/>
  <c r="U326" i="27"/>
  <c r="V326" i="27"/>
  <c r="R309" i="27"/>
  <c r="U309" i="27" s="1"/>
  <c r="R306" i="27"/>
  <c r="U306" i="27" s="1"/>
  <c r="U301" i="27"/>
  <c r="V301" i="27"/>
  <c r="V295" i="27"/>
  <c r="R295" i="27"/>
  <c r="U295" i="27" s="1"/>
  <c r="R290" i="27"/>
  <c r="R288" i="27"/>
  <c r="R286" i="27"/>
  <c r="U286" i="27" s="1"/>
  <c r="U208" i="27"/>
  <c r="AI156" i="27"/>
  <c r="V266" i="27"/>
  <c r="V265" i="27"/>
  <c r="R266" i="27"/>
  <c r="U266" i="27" s="1"/>
  <c r="R265" i="27"/>
  <c r="U265" i="27" s="1"/>
  <c r="R234" i="27"/>
  <c r="U234" i="27" s="1"/>
  <c r="R239" i="27"/>
  <c r="U239" i="27" s="1"/>
  <c r="R238" i="27"/>
  <c r="U238" i="27" s="1"/>
  <c r="R240" i="27"/>
  <c r="U240" i="27" s="1"/>
  <c r="R241" i="27"/>
  <c r="U241" i="27" s="1"/>
  <c r="R237" i="27"/>
  <c r="U237" i="27" s="1"/>
  <c r="R230" i="27"/>
  <c r="U230" i="27" s="1"/>
  <c r="R201" i="27"/>
  <c r="U201" i="27" s="1"/>
  <c r="A236" i="27"/>
  <c r="A244" i="27" s="1"/>
  <c r="A259" i="27" s="1"/>
  <c r="A270" i="27" s="1"/>
  <c r="A282" i="27" s="1"/>
  <c r="A292" i="27" s="1"/>
  <c r="A304" i="27" s="1"/>
  <c r="A312" i="27" s="1"/>
  <c r="A320" i="27" s="1"/>
  <c r="A327" i="27" s="1"/>
  <c r="A334" i="27" s="1"/>
  <c r="A345" i="27" s="1"/>
  <c r="U242" i="27"/>
  <c r="V240" i="27"/>
  <c r="V237" i="27"/>
  <c r="T232" i="27"/>
  <c r="V232" i="27" s="1"/>
  <c r="V234" i="27"/>
  <c r="V235" i="27"/>
  <c r="R235" i="27"/>
  <c r="U235" i="27" s="1"/>
  <c r="R233" i="27"/>
  <c r="U233" i="27" s="1"/>
  <c r="R224" i="27"/>
  <c r="U224" i="27" s="1"/>
  <c r="R216" i="27"/>
  <c r="U216" i="27" s="1"/>
  <c r="T186" i="27"/>
  <c r="V186" i="27" s="1"/>
  <c r="AK176" i="27"/>
  <c r="AL176" i="27" s="1"/>
  <c r="R179" i="27"/>
  <c r="U179" i="27" s="1"/>
  <c r="V179" i="27"/>
  <c r="Q175" i="27"/>
  <c r="R217" i="27" s="1"/>
  <c r="R187" i="27"/>
  <c r="U187" i="27" s="1"/>
  <c r="Q163" i="27"/>
  <c r="R164" i="27" s="1"/>
  <c r="R173" i="27"/>
  <c r="U173" i="27" s="1"/>
  <c r="V173" i="27"/>
  <c r="AK134" i="27"/>
  <c r="AL134" i="27" s="1"/>
  <c r="U155" i="27"/>
  <c r="Q119" i="27"/>
  <c r="R154" i="27" s="1"/>
  <c r="AK143" i="27"/>
  <c r="AL143" i="27" s="1"/>
  <c r="Q54" i="27"/>
  <c r="AJ154" i="27"/>
  <c r="T154" i="27" s="1"/>
  <c r="V154" i="27" s="1"/>
  <c r="AK154" i="27"/>
  <c r="AL154" i="27" s="1"/>
  <c r="R135" i="27"/>
  <c r="U135" i="27" s="1"/>
  <c r="AJ143" i="27"/>
  <c r="T143" i="27" s="1"/>
  <c r="AI14" i="27"/>
  <c r="AI119" i="27"/>
  <c r="AI37" i="27"/>
  <c r="AI36" i="27" s="1"/>
  <c r="AI35" i="27" s="1"/>
  <c r="AJ134" i="27"/>
  <c r="T134" i="27" s="1"/>
  <c r="V134" i="27" s="1"/>
  <c r="AI26" i="27"/>
  <c r="AK26" i="27" s="1"/>
  <c r="AL26" i="27" s="1"/>
  <c r="R144" i="27"/>
  <c r="U144" i="27" s="1"/>
  <c r="R124" i="27"/>
  <c r="U124" i="27" s="1"/>
  <c r="R132" i="27"/>
  <c r="U132" i="27" s="1"/>
  <c r="R133" i="27"/>
  <c r="U133" i="27" s="1"/>
  <c r="U131" i="27"/>
  <c r="R127" i="27"/>
  <c r="U127" i="27" s="1"/>
  <c r="AJ120" i="27"/>
  <c r="T120" i="27" s="1"/>
  <c r="R121" i="27"/>
  <c r="U121" i="27" s="1"/>
  <c r="V121" i="27"/>
  <c r="R130" i="27"/>
  <c r="U130" i="27" s="1"/>
  <c r="R123" i="27"/>
  <c r="U123" i="27" s="1"/>
  <c r="R128" i="27"/>
  <c r="U128" i="27" s="1"/>
  <c r="R126" i="27"/>
  <c r="U126" i="27" s="1"/>
  <c r="R129" i="27"/>
  <c r="U129" i="27" s="1"/>
  <c r="R125" i="27"/>
  <c r="U125" i="27" s="1"/>
  <c r="R110" i="27"/>
  <c r="U110" i="27" s="1"/>
  <c r="AK105" i="27"/>
  <c r="AL105" i="27" s="1"/>
  <c r="AJ91" i="27"/>
  <c r="T91" i="27" s="1"/>
  <c r="V91" i="27" s="1"/>
  <c r="R114" i="27"/>
  <c r="U114" i="27" s="1"/>
  <c r="R115" i="27"/>
  <c r="U115" i="27" s="1"/>
  <c r="R93" i="27"/>
  <c r="U93" i="27" s="1"/>
  <c r="R100" i="27"/>
  <c r="U100" i="27" s="1"/>
  <c r="R101" i="27"/>
  <c r="U101" i="27" s="1"/>
  <c r="R109" i="27"/>
  <c r="U109" i="27" s="1"/>
  <c r="R111" i="27"/>
  <c r="U111" i="27" s="1"/>
  <c r="R116" i="27"/>
  <c r="U116" i="27" s="1"/>
  <c r="R96" i="27"/>
  <c r="U96" i="27" s="1"/>
  <c r="R102" i="27"/>
  <c r="U102" i="27" s="1"/>
  <c r="R103" i="27"/>
  <c r="U103" i="27" s="1"/>
  <c r="R106" i="27"/>
  <c r="U106" i="27" s="1"/>
  <c r="R112" i="27"/>
  <c r="U112" i="27" s="1"/>
  <c r="R113" i="27"/>
  <c r="U113" i="27" s="1"/>
  <c r="AJ15" i="27"/>
  <c r="AJ78" i="27"/>
  <c r="T78" i="27" s="1"/>
  <c r="V78" i="27" s="1"/>
  <c r="R97" i="27"/>
  <c r="U97" i="27" s="1"/>
  <c r="R104" i="27"/>
  <c r="U104" i="27" s="1"/>
  <c r="AJ105" i="27"/>
  <c r="T105" i="27" s="1"/>
  <c r="V105" i="27" s="1"/>
  <c r="R107" i="27"/>
  <c r="U107" i="27" s="1"/>
  <c r="R108" i="27"/>
  <c r="U108" i="27" s="1"/>
  <c r="R117" i="27"/>
  <c r="U117" i="27" s="1"/>
  <c r="R118" i="27"/>
  <c r="U118" i="27" s="1"/>
  <c r="V117" i="27"/>
  <c r="V114" i="27"/>
  <c r="V109" i="27"/>
  <c r="AJ460" i="27"/>
  <c r="T460" i="27" s="1"/>
  <c r="V460" i="27" s="1"/>
  <c r="R95" i="27"/>
  <c r="U95" i="27" s="1"/>
  <c r="R98" i="27"/>
  <c r="U98" i="27" s="1"/>
  <c r="R99" i="27"/>
  <c r="U99" i="27" s="1"/>
  <c r="R92" i="27"/>
  <c r="U92" i="27" s="1"/>
  <c r="A91" i="27"/>
  <c r="A105" i="27" s="1"/>
  <c r="U94" i="27"/>
  <c r="V100" i="27"/>
  <c r="AK91" i="27"/>
  <c r="AL91" i="27" s="1"/>
  <c r="AK460" i="27"/>
  <c r="AL460" i="27" s="1"/>
  <c r="AK20" i="27"/>
  <c r="AL20" i="27" s="1"/>
  <c r="U223" i="27"/>
  <c r="AJ46" i="27"/>
  <c r="T46" i="27" s="1"/>
  <c r="V46" i="27" s="1"/>
  <c r="AJ81" i="27"/>
  <c r="T81" i="27" s="1"/>
  <c r="V81" i="27" s="1"/>
  <c r="R423" i="27"/>
  <c r="U423" i="27" s="1"/>
  <c r="AJ44" i="27"/>
  <c r="T44" i="27" s="1"/>
  <c r="V44" i="27" s="1"/>
  <c r="P163" i="27"/>
  <c r="AI163" i="27"/>
  <c r="R415" i="27"/>
  <c r="U415" i="27" s="1"/>
  <c r="R416" i="27"/>
  <c r="U416" i="27" s="1"/>
  <c r="AK16" i="27"/>
  <c r="AL16" i="27" s="1"/>
  <c r="AK21" i="27"/>
  <c r="AL21" i="27" s="1"/>
  <c r="AJ150" i="27"/>
  <c r="T150" i="27" s="1"/>
  <c r="V150" i="27" s="1"/>
  <c r="P175" i="27"/>
  <c r="AJ452" i="27"/>
  <c r="T452" i="27" s="1"/>
  <c r="V452" i="27" s="1"/>
  <c r="U606" i="27"/>
  <c r="AK63" i="27"/>
  <c r="AL63" i="27" s="1"/>
  <c r="U350" i="27"/>
  <c r="U375" i="27"/>
  <c r="R374" i="27"/>
  <c r="U374" i="27" s="1"/>
  <c r="AJ39" i="27"/>
  <c r="T39" i="27" s="1"/>
  <c r="V39" i="27" s="1"/>
  <c r="AJ42" i="27"/>
  <c r="T42" i="27" s="1"/>
  <c r="V42" i="27" s="1"/>
  <c r="AJ57" i="27"/>
  <c r="T57" i="27" s="1"/>
  <c r="V57" i="27" s="1"/>
  <c r="P54" i="27"/>
  <c r="P119" i="27"/>
  <c r="R373" i="27"/>
  <c r="U373" i="27" s="1"/>
  <c r="U474" i="27"/>
  <c r="U493" i="27"/>
  <c r="AJ601" i="27"/>
  <c r="T601" i="27" s="1"/>
  <c r="V601" i="27" s="1"/>
  <c r="R376" i="27"/>
  <c r="U376" i="27" s="1"/>
  <c r="O53" i="27"/>
  <c r="O33" i="27" s="1"/>
  <c r="R380" i="27"/>
  <c r="U380" i="27" s="1"/>
  <c r="AJ395" i="27"/>
  <c r="T395" i="27" s="1"/>
  <c r="V395" i="27" s="1"/>
  <c r="U523" i="27"/>
  <c r="AK67" i="27"/>
  <c r="AL67" i="27" s="1"/>
  <c r="R167" i="27"/>
  <c r="U167" i="27" s="1"/>
  <c r="R485" i="27"/>
  <c r="U485" i="27" s="1"/>
  <c r="R614" i="27"/>
  <c r="U614" i="27" s="1"/>
  <c r="R615" i="27"/>
  <c r="U615" i="27" s="1"/>
  <c r="R616" i="27"/>
  <c r="U616" i="27" s="1"/>
  <c r="U75" i="27"/>
  <c r="AH243" i="27"/>
  <c r="AH163" i="27"/>
  <c r="U430" i="27"/>
  <c r="R248" i="27"/>
  <c r="U248" i="27" s="1"/>
  <c r="R256" i="27"/>
  <c r="U256" i="27" s="1"/>
  <c r="R363" i="27"/>
  <c r="U363" i="27" s="1"/>
  <c r="R365" i="27"/>
  <c r="U365" i="27" s="1"/>
  <c r="R432" i="27"/>
  <c r="U432" i="27" s="1"/>
  <c r="R642" i="27"/>
  <c r="U642" i="27" s="1"/>
  <c r="R644" i="27"/>
  <c r="U644" i="27" s="1"/>
  <c r="U86" i="27"/>
  <c r="U182" i="27"/>
  <c r="P243" i="27"/>
  <c r="R497" i="27"/>
  <c r="U497" i="27" s="1"/>
  <c r="R508" i="27"/>
  <c r="U508" i="27" s="1"/>
  <c r="R529" i="27"/>
  <c r="U529" i="27" s="1"/>
  <c r="AK17" i="27"/>
  <c r="AL17" i="27" s="1"/>
  <c r="AJ23" i="27"/>
  <c r="T23" i="27" s="1"/>
  <c r="V23" i="27" s="1"/>
  <c r="AJ27" i="27"/>
  <c r="T27" i="27" s="1"/>
  <c r="V27" i="27" s="1"/>
  <c r="AJ45" i="27"/>
  <c r="T45" i="27" s="1"/>
  <c r="V45" i="27" s="1"/>
  <c r="R183" i="27"/>
  <c r="U183" i="27" s="1"/>
  <c r="R184" i="27"/>
  <c r="U184" i="27" s="1"/>
  <c r="R185" i="27"/>
  <c r="U185" i="27" s="1"/>
  <c r="R202" i="27"/>
  <c r="U202" i="27" s="1"/>
  <c r="AJ211" i="27"/>
  <c r="T211" i="27" s="1"/>
  <c r="V211" i="27" s="1"/>
  <c r="AK282" i="27"/>
  <c r="AL282" i="27" s="1"/>
  <c r="R305" i="27"/>
  <c r="U305" i="27" s="1"/>
  <c r="R360" i="27"/>
  <c r="U360" i="27" s="1"/>
  <c r="AK372" i="27"/>
  <c r="AL372" i="27" s="1"/>
  <c r="R378" i="27"/>
  <c r="U378" i="27" s="1"/>
  <c r="R398" i="27"/>
  <c r="U398" i="27" s="1"/>
  <c r="R405" i="27"/>
  <c r="U405" i="27" s="1"/>
  <c r="R419" i="27"/>
  <c r="U419" i="27" s="1"/>
  <c r="R428" i="27"/>
  <c r="U428" i="27" s="1"/>
  <c r="R429" i="27"/>
  <c r="U429" i="27" s="1"/>
  <c r="U465" i="27"/>
  <c r="R509" i="27"/>
  <c r="U509" i="27" s="1"/>
  <c r="R510" i="27"/>
  <c r="U510" i="27" s="1"/>
  <c r="R511" i="27"/>
  <c r="U511" i="27" s="1"/>
  <c r="AJ611" i="27"/>
  <c r="T611" i="27" s="1"/>
  <c r="V611" i="27" s="1"/>
  <c r="AK637" i="27"/>
  <c r="AL637" i="27" s="1"/>
  <c r="AK359" i="27"/>
  <c r="AL359" i="27" s="1"/>
  <c r="R371" i="27"/>
  <c r="U371" i="27" s="1"/>
  <c r="R643" i="27"/>
  <c r="U643" i="27" s="1"/>
  <c r="R646" i="27"/>
  <c r="U646" i="27" s="1"/>
  <c r="R647" i="27"/>
  <c r="U647" i="27" s="1"/>
  <c r="U278" i="27"/>
  <c r="R435" i="27"/>
  <c r="U435" i="27" s="1"/>
  <c r="R496" i="27"/>
  <c r="U496" i="27" s="1"/>
  <c r="R530" i="27"/>
  <c r="U530" i="27" s="1"/>
  <c r="U565" i="27"/>
  <c r="R648" i="27"/>
  <c r="U648" i="27" s="1"/>
  <c r="R654" i="27"/>
  <c r="U654" i="27" s="1"/>
  <c r="AJ19" i="27"/>
  <c r="T19" i="27" s="1"/>
  <c r="V19" i="27" s="1"/>
  <c r="AK25" i="27"/>
  <c r="AL25" i="27" s="1"/>
  <c r="AJ38" i="27"/>
  <c r="T38" i="27" s="1"/>
  <c r="V38" i="27" s="1"/>
  <c r="AJ40" i="27"/>
  <c r="T40" i="27" s="1"/>
  <c r="V40" i="27" s="1"/>
  <c r="AJ55" i="27"/>
  <c r="T55" i="27" s="1"/>
  <c r="V55" i="27" s="1"/>
  <c r="AJ89" i="27"/>
  <c r="T89" i="27" s="1"/>
  <c r="V89" i="27" s="1"/>
  <c r="U140" i="27"/>
  <c r="AJ152" i="27"/>
  <c r="T152" i="27" s="1"/>
  <c r="V152" i="27" s="1"/>
  <c r="R161" i="27"/>
  <c r="U161" i="27" s="1"/>
  <c r="R203" i="27"/>
  <c r="U203" i="27" s="1"/>
  <c r="R213" i="27"/>
  <c r="U213" i="27" s="1"/>
  <c r="R283" i="27"/>
  <c r="U283" i="27" s="1"/>
  <c r="U343" i="27"/>
  <c r="R361" i="27"/>
  <c r="U361" i="27" s="1"/>
  <c r="R364" i="27"/>
  <c r="U364" i="27" s="1"/>
  <c r="R368" i="27"/>
  <c r="U368" i="27" s="1"/>
  <c r="R369" i="27"/>
  <c r="U369" i="27" s="1"/>
  <c r="R381" i="27"/>
  <c r="U381" i="27" s="1"/>
  <c r="AK452" i="27"/>
  <c r="AL452" i="27" s="1"/>
  <c r="AJ637" i="27"/>
  <c r="T637" i="27" s="1"/>
  <c r="V637" i="27" s="1"/>
  <c r="R69" i="27"/>
  <c r="U69" i="27" s="1"/>
  <c r="V124" i="27"/>
  <c r="R77" i="27"/>
  <c r="U77" i="27" s="1"/>
  <c r="R138" i="27"/>
  <c r="U138" i="27" s="1"/>
  <c r="AK136" i="27"/>
  <c r="AL136" i="27" s="1"/>
  <c r="AJ157" i="27"/>
  <c r="T157" i="27" s="1"/>
  <c r="V157" i="27" s="1"/>
  <c r="AK157" i="27"/>
  <c r="AL157" i="27" s="1"/>
  <c r="R598" i="27"/>
  <c r="U598" i="27" s="1"/>
  <c r="R590" i="27"/>
  <c r="U590" i="27" s="1"/>
  <c r="AJ587" i="27"/>
  <c r="T587" i="27" s="1"/>
  <c r="V587" i="27" s="1"/>
  <c r="R277" i="27"/>
  <c r="U277" i="27" s="1"/>
  <c r="R280" i="27"/>
  <c r="U280" i="27" s="1"/>
  <c r="R271" i="27"/>
  <c r="U271" i="27" s="1"/>
  <c r="V410" i="27"/>
  <c r="R541" i="27"/>
  <c r="U541" i="27" s="1"/>
  <c r="R545" i="27"/>
  <c r="U545" i="27" s="1"/>
  <c r="R543" i="27"/>
  <c r="U543" i="27" s="1"/>
  <c r="R542" i="27"/>
  <c r="U542" i="27" s="1"/>
  <c r="AK70" i="27"/>
  <c r="AL70" i="27" s="1"/>
  <c r="R74" i="27"/>
  <c r="U74" i="27" s="1"/>
  <c r="R231" i="27"/>
  <c r="U231" i="27" s="1"/>
  <c r="R232" i="27"/>
  <c r="R255" i="27"/>
  <c r="U255" i="27" s="1"/>
  <c r="R250" i="27"/>
  <c r="U250" i="27" s="1"/>
  <c r="R297" i="27"/>
  <c r="U297" i="27" s="1"/>
  <c r="R298" i="27"/>
  <c r="U298" i="27" s="1"/>
  <c r="R299" i="27"/>
  <c r="U299" i="27" s="1"/>
  <c r="R291" i="27"/>
  <c r="U291" i="27" s="1"/>
  <c r="R289" i="27"/>
  <c r="U289" i="27" s="1"/>
  <c r="R287" i="27"/>
  <c r="U287" i="27" s="1"/>
  <c r="R329" i="27"/>
  <c r="U329" i="27" s="1"/>
  <c r="R330" i="27"/>
  <c r="U330" i="27" s="1"/>
  <c r="R331" i="27"/>
  <c r="U331" i="27" s="1"/>
  <c r="Q36" i="27"/>
  <c r="AJ382" i="27"/>
  <c r="T382" i="27" s="1"/>
  <c r="V382" i="27" s="1"/>
  <c r="AJ136" i="27"/>
  <c r="T136" i="27" s="1"/>
  <c r="V136" i="27" s="1"/>
  <c r="R393" i="27"/>
  <c r="U393" i="27" s="1"/>
  <c r="R539" i="27"/>
  <c r="U539" i="27" s="1"/>
  <c r="R540" i="27"/>
  <c r="U540" i="27" s="1"/>
  <c r="AK18" i="27"/>
  <c r="AL18" i="27" s="1"/>
  <c r="AK22" i="27"/>
  <c r="AL22" i="27" s="1"/>
  <c r="AH10" i="27"/>
  <c r="P10" i="27"/>
  <c r="AJ41" i="27"/>
  <c r="T41" i="27" s="1"/>
  <c r="V41" i="27" s="1"/>
  <c r="AJ43" i="27"/>
  <c r="T43" i="27" s="1"/>
  <c r="V43" i="27" s="1"/>
  <c r="AK47" i="27"/>
  <c r="AL47" i="27" s="1"/>
  <c r="R59" i="27"/>
  <c r="U59" i="27" s="1"/>
  <c r="AJ67" i="27"/>
  <c r="T67" i="27" s="1"/>
  <c r="V67" i="27" s="1"/>
  <c r="Q156" i="27"/>
  <c r="R273" i="27"/>
  <c r="U273" i="27" s="1"/>
  <c r="R293" i="27"/>
  <c r="U293" i="27" s="1"/>
  <c r="R296" i="27"/>
  <c r="U296" i="27" s="1"/>
  <c r="AJ312" i="27"/>
  <c r="T312" i="27" s="1"/>
  <c r="V312" i="27" s="1"/>
  <c r="R387" i="27"/>
  <c r="U387" i="27" s="1"/>
  <c r="AJ403" i="27"/>
  <c r="T403" i="27" s="1"/>
  <c r="V403" i="27" s="1"/>
  <c r="R502" i="27"/>
  <c r="U502" i="27" s="1"/>
  <c r="R604" i="27"/>
  <c r="U604" i="27" s="1"/>
  <c r="R605" i="27"/>
  <c r="U605" i="27" s="1"/>
  <c r="R189" i="27"/>
  <c r="U189" i="27" s="1"/>
  <c r="R583" i="27"/>
  <c r="U583" i="27" s="1"/>
  <c r="AJ579" i="27"/>
  <c r="T579" i="27" s="1"/>
  <c r="V579" i="27" s="1"/>
  <c r="R481" i="27"/>
  <c r="U481" i="27" s="1"/>
  <c r="R479" i="27"/>
  <c r="U479" i="27" s="1"/>
  <c r="R607" i="27"/>
  <c r="U607" i="27" s="1"/>
  <c r="R602" i="27"/>
  <c r="U602" i="27" s="1"/>
  <c r="U610" i="27"/>
  <c r="R609" i="27"/>
  <c r="U609" i="27" s="1"/>
  <c r="R608" i="27"/>
  <c r="U608" i="27" s="1"/>
  <c r="AK601" i="27"/>
  <c r="AL601" i="27" s="1"/>
  <c r="R622" i="27"/>
  <c r="U622" i="27" s="1"/>
  <c r="R627" i="27"/>
  <c r="U627" i="27" s="1"/>
  <c r="R626" i="27"/>
  <c r="U626" i="27" s="1"/>
  <c r="R625" i="27"/>
  <c r="U625" i="27" s="1"/>
  <c r="R621" i="27"/>
  <c r="U621" i="27" s="1"/>
  <c r="R623" i="27"/>
  <c r="U623" i="27" s="1"/>
  <c r="R662" i="27"/>
  <c r="U662" i="27" s="1"/>
  <c r="U660" i="27"/>
  <c r="R665" i="27"/>
  <c r="U665" i="27" s="1"/>
  <c r="R68" i="27"/>
  <c r="U68" i="27" s="1"/>
  <c r="R317" i="27"/>
  <c r="U317" i="27" s="1"/>
  <c r="R314" i="27"/>
  <c r="U314" i="27" s="1"/>
  <c r="R340" i="27"/>
  <c r="U340" i="27" s="1"/>
  <c r="R414" i="27"/>
  <c r="U414" i="27" s="1"/>
  <c r="R413" i="27"/>
  <c r="U413" i="27" s="1"/>
  <c r="R412" i="27"/>
  <c r="U412" i="27" s="1"/>
  <c r="R411" i="27"/>
  <c r="U411" i="27" s="1"/>
  <c r="R404" i="27"/>
  <c r="U404" i="27" s="1"/>
  <c r="V511" i="27"/>
  <c r="R551" i="27"/>
  <c r="U551" i="27" s="1"/>
  <c r="R552" i="27"/>
  <c r="U552" i="27" s="1"/>
  <c r="R554" i="27"/>
  <c r="U554" i="27" s="1"/>
  <c r="R548" i="27"/>
  <c r="U548" i="27" s="1"/>
  <c r="R632" i="27"/>
  <c r="U632" i="27" s="1"/>
  <c r="R631" i="27"/>
  <c r="U631" i="27" s="1"/>
  <c r="R218" i="27"/>
  <c r="U218" i="27" s="1"/>
  <c r="R219" i="27"/>
  <c r="U219" i="27" s="1"/>
  <c r="R519" i="27"/>
  <c r="U519" i="27" s="1"/>
  <c r="R585" i="27"/>
  <c r="U585" i="27" s="1"/>
  <c r="R593" i="27"/>
  <c r="U593" i="27" s="1"/>
  <c r="AJ50" i="27"/>
  <c r="T50" i="27" s="1"/>
  <c r="V50" i="27" s="1"/>
  <c r="AI54" i="27"/>
  <c r="AJ76" i="27"/>
  <c r="T76" i="27" s="1"/>
  <c r="V76" i="27" s="1"/>
  <c r="AK139" i="27"/>
  <c r="AL139" i="27" s="1"/>
  <c r="R158" i="27"/>
  <c r="U158" i="27" s="1"/>
  <c r="AK270" i="27"/>
  <c r="AL270" i="27" s="1"/>
  <c r="U408" i="27"/>
  <c r="AK498" i="27"/>
  <c r="AL498" i="27" s="1"/>
  <c r="R537" i="27"/>
  <c r="U537" i="27" s="1"/>
  <c r="R596" i="27"/>
  <c r="U596" i="27" s="1"/>
  <c r="R629" i="27"/>
  <c r="U629" i="27" s="1"/>
  <c r="R85" i="27"/>
  <c r="U85" i="27" s="1"/>
  <c r="AH119" i="27"/>
  <c r="R260" i="27"/>
  <c r="U260" i="27" s="1"/>
  <c r="AJ270" i="27"/>
  <c r="T270" i="27" s="1"/>
  <c r="V270" i="27" s="1"/>
  <c r="AJ282" i="27"/>
  <c r="T282" i="27" s="1"/>
  <c r="V282" i="27" s="1"/>
  <c r="V287" i="27"/>
  <c r="R319" i="27"/>
  <c r="U319" i="27" s="1"/>
  <c r="R321" i="27"/>
  <c r="U321" i="27" s="1"/>
  <c r="R409" i="27"/>
  <c r="U409" i="27" s="1"/>
  <c r="R410" i="27"/>
  <c r="U410" i="27" s="1"/>
  <c r="AJ477" i="27"/>
  <c r="T477" i="27" s="1"/>
  <c r="V477" i="27" s="1"/>
  <c r="AJ498" i="27"/>
  <c r="T498" i="27" s="1"/>
  <c r="V498" i="27" s="1"/>
  <c r="R500" i="27"/>
  <c r="U500" i="27" s="1"/>
  <c r="R546" i="27"/>
  <c r="U546" i="27" s="1"/>
  <c r="R550" i="27"/>
  <c r="U550" i="27" s="1"/>
  <c r="AJ87" i="27"/>
  <c r="T87" i="27" s="1"/>
  <c r="V87" i="27" s="1"/>
  <c r="AK87" i="27"/>
  <c r="AL87" i="27" s="1"/>
  <c r="AK164" i="27"/>
  <c r="AL164" i="27" s="1"/>
  <c r="U214" i="27"/>
  <c r="R212" i="27"/>
  <c r="U212" i="27" s="1"/>
  <c r="U311" i="27"/>
  <c r="U370" i="27"/>
  <c r="AJ359" i="27"/>
  <c r="T359" i="27" s="1"/>
  <c r="V359" i="27" s="1"/>
  <c r="AJ372" i="27"/>
  <c r="T372" i="27" s="1"/>
  <c r="V372" i="27" s="1"/>
  <c r="R377" i="27"/>
  <c r="U377" i="27" s="1"/>
  <c r="AK420" i="27"/>
  <c r="AL420" i="27" s="1"/>
  <c r="R421" i="27"/>
  <c r="U421" i="27" s="1"/>
  <c r="R424" i="27"/>
  <c r="U424" i="27" s="1"/>
  <c r="R425" i="27"/>
  <c r="U425" i="27" s="1"/>
  <c r="R426" i="27"/>
  <c r="U426" i="27" s="1"/>
  <c r="U434" i="27"/>
  <c r="AJ431" i="27"/>
  <c r="T431" i="27" s="1"/>
  <c r="V431" i="27" s="1"/>
  <c r="R433" i="27"/>
  <c r="U433" i="27" s="1"/>
  <c r="R436" i="27"/>
  <c r="U436" i="27" s="1"/>
  <c r="R437" i="27"/>
  <c r="U437" i="27" s="1"/>
  <c r="R438" i="27"/>
  <c r="U438" i="27" s="1"/>
  <c r="R454" i="27"/>
  <c r="U454" i="27" s="1"/>
  <c r="R455" i="27"/>
  <c r="U455" i="27" s="1"/>
  <c r="R462" i="27"/>
  <c r="U462" i="27" s="1"/>
  <c r="R512" i="27"/>
  <c r="U512" i="27" s="1"/>
  <c r="R514" i="27"/>
  <c r="U514" i="27" s="1"/>
  <c r="R515" i="27"/>
  <c r="U515" i="27" s="1"/>
  <c r="R531" i="27"/>
  <c r="U531" i="27" s="1"/>
  <c r="R618" i="27"/>
  <c r="U618" i="27" s="1"/>
  <c r="U649" i="27"/>
  <c r="R639" i="27"/>
  <c r="U639" i="27" s="1"/>
  <c r="R640" i="27"/>
  <c r="U640" i="27" s="1"/>
  <c r="AJ70" i="27"/>
  <c r="T70" i="27" s="1"/>
  <c r="V70" i="27" s="1"/>
  <c r="AJ84" i="27"/>
  <c r="T84" i="27" s="1"/>
  <c r="V84" i="27" s="1"/>
  <c r="U200" i="27"/>
  <c r="AJ225" i="27"/>
  <c r="T225" i="27" s="1"/>
  <c r="V225" i="27" s="1"/>
  <c r="AJ327" i="27"/>
  <c r="T327" i="27" s="1"/>
  <c r="V327" i="27" s="1"/>
  <c r="AJ351" i="27"/>
  <c r="T351" i="27" s="1"/>
  <c r="V351" i="27" s="1"/>
  <c r="R367" i="27"/>
  <c r="U367" i="27" s="1"/>
  <c r="R427" i="27"/>
  <c r="U427" i="27" s="1"/>
  <c r="R472" i="27"/>
  <c r="U472" i="27" s="1"/>
  <c r="R487" i="27"/>
  <c r="U487" i="27" s="1"/>
  <c r="R491" i="27"/>
  <c r="U491" i="27" s="1"/>
  <c r="U507" i="27"/>
  <c r="R506" i="27"/>
  <c r="U506" i="27" s="1"/>
  <c r="U535" i="27"/>
  <c r="R525" i="27"/>
  <c r="U525" i="27" s="1"/>
  <c r="R526" i="27"/>
  <c r="U526" i="27" s="1"/>
  <c r="R527" i="27"/>
  <c r="U527" i="27" s="1"/>
  <c r="R532" i="27"/>
  <c r="U532" i="27" s="1"/>
  <c r="R533" i="27"/>
  <c r="U533" i="27" s="1"/>
  <c r="R534" i="27"/>
  <c r="U534" i="27" s="1"/>
  <c r="U612" i="27"/>
  <c r="R650" i="27"/>
  <c r="U650" i="27" s="1"/>
  <c r="U656" i="27"/>
  <c r="R652" i="27"/>
  <c r="U652" i="27" s="1"/>
  <c r="AH54" i="27"/>
  <c r="U62" i="27"/>
  <c r="AJ61" i="27"/>
  <c r="T61" i="27" s="1"/>
  <c r="V61" i="27" s="1"/>
  <c r="R56" i="27"/>
  <c r="U56" i="27" s="1"/>
  <c r="AJ47" i="27"/>
  <c r="T47" i="27" s="1"/>
  <c r="V47" i="27" s="1"/>
  <c r="AJ24" i="27"/>
  <c r="AK24" i="27"/>
  <c r="AL24" i="27" s="1"/>
  <c r="V293" i="27"/>
  <c r="V314" i="27"/>
  <c r="AK651" i="27"/>
  <c r="AL651" i="27" s="1"/>
  <c r="AJ651" i="27"/>
  <c r="T651" i="27" s="1"/>
  <c r="V651" i="27" s="1"/>
  <c r="AJ63" i="27"/>
  <c r="T63" i="27" s="1"/>
  <c r="V63" i="27" s="1"/>
  <c r="AK55" i="27"/>
  <c r="AL55" i="27" s="1"/>
  <c r="R58" i="27"/>
  <c r="U58" i="27" s="1"/>
  <c r="R60" i="27"/>
  <c r="U60" i="27" s="1"/>
  <c r="AK78" i="27"/>
  <c r="AL78" i="27" s="1"/>
  <c r="V361" i="27"/>
  <c r="AK204" i="27"/>
  <c r="AL204" i="27" s="1"/>
  <c r="R205" i="27"/>
  <c r="U205" i="27" s="1"/>
  <c r="R206" i="27"/>
  <c r="U206" i="27" s="1"/>
  <c r="R207" i="27"/>
  <c r="U207" i="27" s="1"/>
  <c r="R209" i="27"/>
  <c r="U209" i="27" s="1"/>
  <c r="V409" i="27"/>
  <c r="U151" i="27"/>
  <c r="AJ244" i="27"/>
  <c r="T244" i="27" s="1"/>
  <c r="V244" i="27" s="1"/>
  <c r="AJ292" i="27"/>
  <c r="T292" i="27" s="1"/>
  <c r="V292" i="27" s="1"/>
  <c r="AK292" i="27"/>
  <c r="AL292" i="27" s="1"/>
  <c r="R575" i="27"/>
  <c r="U575" i="27" s="1"/>
  <c r="R568" i="27"/>
  <c r="U568" i="27" s="1"/>
  <c r="AK566" i="27"/>
  <c r="AL566" i="27" s="1"/>
  <c r="R574" i="27"/>
  <c r="U574" i="27" s="1"/>
  <c r="R567" i="27"/>
  <c r="U567" i="27" s="1"/>
  <c r="R573" i="27"/>
  <c r="U573" i="27" s="1"/>
  <c r="R572" i="27"/>
  <c r="U572" i="27" s="1"/>
  <c r="R578" i="27"/>
  <c r="U578" i="27" s="1"/>
  <c r="R571" i="27"/>
  <c r="U571" i="27" s="1"/>
  <c r="R576" i="27"/>
  <c r="U576" i="27" s="1"/>
  <c r="R569" i="27"/>
  <c r="U569" i="27" s="1"/>
  <c r="AJ566" i="27"/>
  <c r="T566" i="27" s="1"/>
  <c r="V566" i="27" s="1"/>
  <c r="R570" i="27"/>
  <c r="U570" i="27" s="1"/>
  <c r="R577" i="27"/>
  <c r="U577" i="27" s="1"/>
  <c r="AJ25" i="27"/>
  <c r="T25" i="27" s="1"/>
  <c r="V25" i="27" s="1"/>
  <c r="AK50" i="27"/>
  <c r="AL50" i="27" s="1"/>
  <c r="AK57" i="27"/>
  <c r="AL57" i="27" s="1"/>
  <c r="R65" i="27"/>
  <c r="U65" i="27" s="1"/>
  <c r="R71" i="27"/>
  <c r="U71" i="27" s="1"/>
  <c r="R80" i="27"/>
  <c r="U80" i="27" s="1"/>
  <c r="R79" i="27"/>
  <c r="U79" i="27" s="1"/>
  <c r="R354" i="27"/>
  <c r="U354" i="27" s="1"/>
  <c r="R357" i="27"/>
  <c r="U357" i="27" s="1"/>
  <c r="AK351" i="27"/>
  <c r="AL351" i="27" s="1"/>
  <c r="R355" i="27"/>
  <c r="U355" i="27" s="1"/>
  <c r="R356" i="27"/>
  <c r="U356" i="27" s="1"/>
  <c r="R353" i="27"/>
  <c r="U353" i="27" s="1"/>
  <c r="R352" i="27"/>
  <c r="U352" i="27" s="1"/>
  <c r="R64" i="27"/>
  <c r="U64" i="27" s="1"/>
  <c r="R66" i="27"/>
  <c r="U66" i="27" s="1"/>
  <c r="R72" i="27"/>
  <c r="U72" i="27" s="1"/>
  <c r="AK152" i="27"/>
  <c r="AL152" i="27" s="1"/>
  <c r="W243" i="27"/>
  <c r="V413" i="27"/>
  <c r="V429" i="27"/>
  <c r="AK61" i="27"/>
  <c r="AL61" i="27" s="1"/>
  <c r="R73" i="27"/>
  <c r="U73" i="27" s="1"/>
  <c r="U258" i="27"/>
  <c r="AK89" i="27"/>
  <c r="AL89" i="27" s="1"/>
  <c r="R90" i="27"/>
  <c r="U90" i="27" s="1"/>
  <c r="V432" i="27"/>
  <c r="Q10" i="27"/>
  <c r="Q12" i="27"/>
  <c r="R12" i="27" s="1"/>
  <c r="R26" i="27"/>
  <c r="U83" i="27"/>
  <c r="AH175" i="27"/>
  <c r="AJ204" i="27"/>
  <c r="T204" i="27" s="1"/>
  <c r="V204" i="27" s="1"/>
  <c r="R210" i="27"/>
  <c r="U210" i="27" s="1"/>
  <c r="U445" i="27"/>
  <c r="AJ122" i="27"/>
  <c r="T122" i="27" s="1"/>
  <c r="V122" i="27" s="1"/>
  <c r="AK122" i="27"/>
  <c r="AL122" i="27" s="1"/>
  <c r="AJ196" i="27"/>
  <c r="T196" i="27" s="1"/>
  <c r="V196" i="27" s="1"/>
  <c r="AI175" i="27"/>
  <c r="V365" i="27"/>
  <c r="V425" i="27"/>
  <c r="V437" i="27"/>
  <c r="R418" i="27"/>
  <c r="U418" i="27" s="1"/>
  <c r="R469" i="27"/>
  <c r="U469" i="27" s="1"/>
  <c r="R466" i="27"/>
  <c r="U466" i="27" s="1"/>
  <c r="R463" i="27"/>
  <c r="U463" i="27" s="1"/>
  <c r="R461" i="27"/>
  <c r="U461" i="27" s="1"/>
  <c r="R483" i="27"/>
  <c r="U483" i="27" s="1"/>
  <c r="R482" i="27"/>
  <c r="U482" i="27" s="1"/>
  <c r="R480" i="27"/>
  <c r="U480" i="27" s="1"/>
  <c r="AK477" i="27"/>
  <c r="AL477" i="27" s="1"/>
  <c r="R478" i="27"/>
  <c r="U478" i="27" s="1"/>
  <c r="AK620" i="27"/>
  <c r="AL620" i="27" s="1"/>
  <c r="AJ620" i="27"/>
  <c r="T620" i="27" s="1"/>
  <c r="V620" i="27" s="1"/>
  <c r="AK630" i="27"/>
  <c r="AL630" i="27" s="1"/>
  <c r="AJ630" i="27"/>
  <c r="T630" i="27" s="1"/>
  <c r="V630" i="27" s="1"/>
  <c r="AJ658" i="27"/>
  <c r="T658" i="27" s="1"/>
  <c r="V658" i="27" s="1"/>
  <c r="AK658" i="27"/>
  <c r="AL658" i="27" s="1"/>
  <c r="AK76" i="27"/>
  <c r="AL76" i="27" s="1"/>
  <c r="R88" i="27"/>
  <c r="U88" i="27" s="1"/>
  <c r="R149" i="27"/>
  <c r="U149" i="27" s="1"/>
  <c r="AK150" i="27"/>
  <c r="AL150" i="27" s="1"/>
  <c r="AK160" i="27"/>
  <c r="AL160" i="27" s="1"/>
  <c r="R162" i="27"/>
  <c r="U162" i="27" s="1"/>
  <c r="AJ164" i="27"/>
  <c r="T164" i="27" s="1"/>
  <c r="V164" i="27" s="1"/>
  <c r="AK166" i="27"/>
  <c r="AL166" i="27" s="1"/>
  <c r="R168" i="27"/>
  <c r="U168" i="27" s="1"/>
  <c r="AK188" i="27"/>
  <c r="AL188" i="27" s="1"/>
  <c r="R190" i="27"/>
  <c r="U190" i="27" s="1"/>
  <c r="R249" i="27"/>
  <c r="U249" i="27" s="1"/>
  <c r="R257" i="27"/>
  <c r="U257" i="27" s="1"/>
  <c r="AK259" i="27"/>
  <c r="AL259" i="27" s="1"/>
  <c r="R261" i="27"/>
  <c r="U261" i="27" s="1"/>
  <c r="R272" i="27"/>
  <c r="U272" i="27" s="1"/>
  <c r="R279" i="27"/>
  <c r="U279" i="27" s="1"/>
  <c r="R318" i="27"/>
  <c r="U318" i="27" s="1"/>
  <c r="AK320" i="27"/>
  <c r="AL320" i="27" s="1"/>
  <c r="R322" i="27"/>
  <c r="U322" i="27" s="1"/>
  <c r="R339" i="27"/>
  <c r="U339" i="27" s="1"/>
  <c r="R346" i="27"/>
  <c r="U346" i="27" s="1"/>
  <c r="R468" i="27"/>
  <c r="U468" i="27" s="1"/>
  <c r="R448" i="27"/>
  <c r="U448" i="27" s="1"/>
  <c r="R447" i="27"/>
  <c r="U447" i="27" s="1"/>
  <c r="AJ536" i="27"/>
  <c r="T536" i="27" s="1"/>
  <c r="V536" i="27" s="1"/>
  <c r="AK536" i="27"/>
  <c r="AL536" i="27" s="1"/>
  <c r="R148" i="27"/>
  <c r="U148" i="27" s="1"/>
  <c r="AJ160" i="27"/>
  <c r="T160" i="27" s="1"/>
  <c r="V160" i="27" s="1"/>
  <c r="AJ166" i="27"/>
  <c r="T166" i="27" s="1"/>
  <c r="V166" i="27" s="1"/>
  <c r="R169" i="27"/>
  <c r="U169" i="27" s="1"/>
  <c r="AJ188" i="27"/>
  <c r="T188" i="27" s="1"/>
  <c r="V188" i="27" s="1"/>
  <c r="R191" i="27"/>
  <c r="U191" i="27" s="1"/>
  <c r="AJ259" i="27"/>
  <c r="T259" i="27" s="1"/>
  <c r="V259" i="27" s="1"/>
  <c r="R262" i="27"/>
  <c r="U262" i="27" s="1"/>
  <c r="AJ320" i="27"/>
  <c r="T320" i="27" s="1"/>
  <c r="V320" i="27" s="1"/>
  <c r="R323" i="27"/>
  <c r="U323" i="27" s="1"/>
  <c r="AJ505" i="27"/>
  <c r="T505" i="27" s="1"/>
  <c r="V505" i="27" s="1"/>
  <c r="AK505" i="27"/>
  <c r="AL505" i="27" s="1"/>
  <c r="AJ139" i="27"/>
  <c r="T139" i="27" s="1"/>
  <c r="R147" i="27"/>
  <c r="U147" i="27" s="1"/>
  <c r="R159" i="27"/>
  <c r="U159" i="27" s="1"/>
  <c r="R165" i="27"/>
  <c r="U165" i="27" s="1"/>
  <c r="R170" i="27"/>
  <c r="U170" i="27" s="1"/>
  <c r="R186" i="27"/>
  <c r="R192" i="27"/>
  <c r="U192" i="27" s="1"/>
  <c r="AK217" i="27"/>
  <c r="AL217" i="27" s="1"/>
  <c r="R220" i="27"/>
  <c r="U220" i="27" s="1"/>
  <c r="R226" i="27"/>
  <c r="U226" i="27" s="1"/>
  <c r="R251" i="27"/>
  <c r="U251" i="27" s="1"/>
  <c r="R263" i="27"/>
  <c r="U263" i="27" s="1"/>
  <c r="R274" i="27"/>
  <c r="U274" i="27" s="1"/>
  <c r="R281" i="27"/>
  <c r="U281" i="27" s="1"/>
  <c r="R300" i="27"/>
  <c r="U300" i="27" s="1"/>
  <c r="AK304" i="27"/>
  <c r="AL304" i="27" s="1"/>
  <c r="R307" i="27"/>
  <c r="U307" i="27" s="1"/>
  <c r="R313" i="27"/>
  <c r="U313" i="27" s="1"/>
  <c r="R332" i="27"/>
  <c r="U332" i="27" s="1"/>
  <c r="AK334" i="27"/>
  <c r="AL334" i="27" s="1"/>
  <c r="R335" i="27"/>
  <c r="U335" i="27" s="1"/>
  <c r="R344" i="27"/>
  <c r="U344" i="27" s="1"/>
  <c r="AK345" i="27"/>
  <c r="AL345" i="27" s="1"/>
  <c r="R347" i="27"/>
  <c r="U347" i="27" s="1"/>
  <c r="R385" i="27"/>
  <c r="U385" i="27" s="1"/>
  <c r="R391" i="27"/>
  <c r="U391" i="27" s="1"/>
  <c r="R443" i="27"/>
  <c r="U443" i="27" s="1"/>
  <c r="R451" i="27"/>
  <c r="U451" i="27" s="1"/>
  <c r="R559" i="27"/>
  <c r="U559" i="27" s="1"/>
  <c r="R457" i="27"/>
  <c r="U457" i="27" s="1"/>
  <c r="R453" i="27"/>
  <c r="U453" i="27" s="1"/>
  <c r="AJ547" i="27"/>
  <c r="T547" i="27" s="1"/>
  <c r="V547" i="27" s="1"/>
  <c r="AK547" i="27"/>
  <c r="AL547" i="27" s="1"/>
  <c r="AK84" i="27"/>
  <c r="AL84" i="27" s="1"/>
  <c r="R146" i="27"/>
  <c r="U146" i="27" s="1"/>
  <c r="R153" i="27"/>
  <c r="U153" i="27" s="1"/>
  <c r="R171" i="27"/>
  <c r="U171" i="27" s="1"/>
  <c r="R177" i="27"/>
  <c r="U177" i="27" s="1"/>
  <c r="R178" i="27"/>
  <c r="U178" i="27" s="1"/>
  <c r="R193" i="27"/>
  <c r="U193" i="27" s="1"/>
  <c r="R197" i="27"/>
  <c r="U197" i="27" s="1"/>
  <c r="AK211" i="27"/>
  <c r="AL211" i="27" s="1"/>
  <c r="AJ217" i="27"/>
  <c r="T217" i="27" s="1"/>
  <c r="V217" i="27" s="1"/>
  <c r="R221" i="27"/>
  <c r="U221" i="27" s="1"/>
  <c r="AK225" i="27"/>
  <c r="AL225" i="27" s="1"/>
  <c r="R227" i="27"/>
  <c r="U227" i="27" s="1"/>
  <c r="R252" i="27"/>
  <c r="U252" i="27" s="1"/>
  <c r="R267" i="27"/>
  <c r="U267" i="27" s="1"/>
  <c r="R275" i="27"/>
  <c r="U275" i="27" s="1"/>
  <c r="R302" i="27"/>
  <c r="U302" i="27" s="1"/>
  <c r="AJ304" i="27"/>
  <c r="T304" i="27" s="1"/>
  <c r="V304" i="27" s="1"/>
  <c r="R308" i="27"/>
  <c r="U308" i="27" s="1"/>
  <c r="AK312" i="27"/>
  <c r="AL312" i="27" s="1"/>
  <c r="R324" i="27"/>
  <c r="U324" i="27" s="1"/>
  <c r="R328" i="27"/>
  <c r="U328" i="27" s="1"/>
  <c r="R333" i="27"/>
  <c r="U333" i="27" s="1"/>
  <c r="AJ334" i="27"/>
  <c r="T334" i="27" s="1"/>
  <c r="V334" i="27" s="1"/>
  <c r="R341" i="27"/>
  <c r="U341" i="27" s="1"/>
  <c r="AJ345" i="27"/>
  <c r="T345" i="27" s="1"/>
  <c r="V345" i="27" s="1"/>
  <c r="R388" i="27"/>
  <c r="U388" i="27" s="1"/>
  <c r="R397" i="27"/>
  <c r="U397" i="27" s="1"/>
  <c r="R400" i="27"/>
  <c r="U400" i="27" s="1"/>
  <c r="R562" i="27"/>
  <c r="U562" i="27" s="1"/>
  <c r="R386" i="27"/>
  <c r="U386" i="27" s="1"/>
  <c r="R390" i="27"/>
  <c r="U390" i="27" s="1"/>
  <c r="R384" i="27"/>
  <c r="U384" i="27" s="1"/>
  <c r="AK382" i="27"/>
  <c r="AL382" i="27" s="1"/>
  <c r="R82" i="27"/>
  <c r="U82" i="27" s="1"/>
  <c r="R142" i="27"/>
  <c r="U142" i="27" s="1"/>
  <c r="R145" i="27"/>
  <c r="U145" i="27" s="1"/>
  <c r="R172" i="27"/>
  <c r="U172" i="27" s="1"/>
  <c r="R180" i="27"/>
  <c r="U180" i="27" s="1"/>
  <c r="R194" i="27"/>
  <c r="U194" i="27" s="1"/>
  <c r="AK196" i="27"/>
  <c r="AL196" i="27" s="1"/>
  <c r="R198" i="27"/>
  <c r="U198" i="27" s="1"/>
  <c r="R222" i="27"/>
  <c r="U222" i="27" s="1"/>
  <c r="R228" i="27"/>
  <c r="U228" i="27" s="1"/>
  <c r="R245" i="27"/>
  <c r="U245" i="27" s="1"/>
  <c r="R253" i="27"/>
  <c r="U253" i="27" s="1"/>
  <c r="R268" i="27"/>
  <c r="U268" i="27" s="1"/>
  <c r="R276" i="27"/>
  <c r="U276" i="27" s="1"/>
  <c r="R294" i="27"/>
  <c r="U294" i="27" s="1"/>
  <c r="R303" i="27"/>
  <c r="U303" i="27" s="1"/>
  <c r="R310" i="27"/>
  <c r="U310" i="27" s="1"/>
  <c r="R315" i="27"/>
  <c r="U315" i="27" s="1"/>
  <c r="R336" i="27"/>
  <c r="U336" i="27" s="1"/>
  <c r="R348" i="27"/>
  <c r="U348" i="27" s="1"/>
  <c r="R392" i="27"/>
  <c r="U392" i="27" s="1"/>
  <c r="AK403" i="27"/>
  <c r="AL403" i="27" s="1"/>
  <c r="AK431" i="27"/>
  <c r="AL431" i="27" s="1"/>
  <c r="R396" i="27"/>
  <c r="U396" i="27" s="1"/>
  <c r="AK395" i="27"/>
  <c r="AL395" i="27" s="1"/>
  <c r="R399" i="27"/>
  <c r="U399" i="27" s="1"/>
  <c r="AI417" i="27"/>
  <c r="AJ420" i="27"/>
  <c r="T420" i="27" s="1"/>
  <c r="V420" i="27" s="1"/>
  <c r="AK484" i="27"/>
  <c r="AL484" i="27" s="1"/>
  <c r="AJ484" i="27"/>
  <c r="T484" i="27" s="1"/>
  <c r="V484" i="27" s="1"/>
  <c r="AJ524" i="27"/>
  <c r="T524" i="27" s="1"/>
  <c r="V524" i="27" s="1"/>
  <c r="AK524" i="27"/>
  <c r="AL524" i="27" s="1"/>
  <c r="AK81" i="27"/>
  <c r="AL81" i="27" s="1"/>
  <c r="R141" i="27"/>
  <c r="U141" i="27" s="1"/>
  <c r="R174" i="27"/>
  <c r="U174" i="27" s="1"/>
  <c r="AJ176" i="27"/>
  <c r="T176" i="27" s="1"/>
  <c r="V176" i="27" s="1"/>
  <c r="R181" i="27"/>
  <c r="U181" i="27" s="1"/>
  <c r="R195" i="27"/>
  <c r="U195" i="27" s="1"/>
  <c r="R199" i="27"/>
  <c r="U199" i="27" s="1"/>
  <c r="R215" i="27"/>
  <c r="U215" i="27" s="1"/>
  <c r="R229" i="27"/>
  <c r="U229" i="27" s="1"/>
  <c r="AK244" i="27"/>
  <c r="AL244" i="27" s="1"/>
  <c r="R246" i="27"/>
  <c r="U246" i="27" s="1"/>
  <c r="R254" i="27"/>
  <c r="U254" i="27" s="1"/>
  <c r="R269" i="27"/>
  <c r="U269" i="27" s="1"/>
  <c r="R316" i="27"/>
  <c r="U316" i="27" s="1"/>
  <c r="R325" i="27"/>
  <c r="U325" i="27" s="1"/>
  <c r="AK327" i="27"/>
  <c r="AL327" i="27" s="1"/>
  <c r="R337" i="27"/>
  <c r="U337" i="27" s="1"/>
  <c r="R342" i="27"/>
  <c r="U342" i="27" s="1"/>
  <c r="R349" i="27"/>
  <c r="U349" i="27" s="1"/>
  <c r="R444" i="27"/>
  <c r="U444" i="27" s="1"/>
  <c r="R446" i="27"/>
  <c r="U446" i="27" s="1"/>
  <c r="R561" i="27"/>
  <c r="U561" i="27" s="1"/>
  <c r="R560" i="27"/>
  <c r="U560" i="27" s="1"/>
  <c r="R564" i="27"/>
  <c r="U564" i="27" s="1"/>
  <c r="AJ556" i="27"/>
  <c r="T556" i="27" s="1"/>
  <c r="V556" i="27" s="1"/>
  <c r="R563" i="27"/>
  <c r="U563" i="27" s="1"/>
  <c r="R558" i="27"/>
  <c r="AK556" i="27"/>
  <c r="AL556" i="27" s="1"/>
  <c r="Q243" i="27"/>
  <c r="R259" i="27" s="1"/>
  <c r="R247" i="27"/>
  <c r="U247" i="27" s="1"/>
  <c r="R338" i="27"/>
  <c r="U338" i="27" s="1"/>
  <c r="R383" i="27"/>
  <c r="U383" i="27" s="1"/>
  <c r="R389" i="27"/>
  <c r="U389" i="27" s="1"/>
  <c r="R557" i="27"/>
  <c r="U557" i="27" s="1"/>
  <c r="AI657" i="27"/>
  <c r="R366" i="27"/>
  <c r="U366" i="27" s="1"/>
  <c r="R379" i="27"/>
  <c r="U379" i="27" s="1"/>
  <c r="R407" i="27"/>
  <c r="U407" i="27" s="1"/>
  <c r="R422" i="27"/>
  <c r="U422" i="27" s="1"/>
  <c r="R476" i="27"/>
  <c r="U476" i="27" s="1"/>
  <c r="R495" i="27"/>
  <c r="U495" i="27" s="1"/>
  <c r="R499" i="27"/>
  <c r="U499" i="27" s="1"/>
  <c r="R518" i="27"/>
  <c r="U518" i="27" s="1"/>
  <c r="R553" i="27"/>
  <c r="U553" i="27" s="1"/>
  <c r="R584" i="27"/>
  <c r="U584" i="27" s="1"/>
  <c r="R592" i="27"/>
  <c r="U592" i="27" s="1"/>
  <c r="R599" i="27"/>
  <c r="U599" i="27" s="1"/>
  <c r="R603" i="27"/>
  <c r="U603" i="27" s="1"/>
  <c r="AK611" i="27"/>
  <c r="AL611" i="27" s="1"/>
  <c r="R613" i="27"/>
  <c r="U613" i="27" s="1"/>
  <c r="R624" i="27"/>
  <c r="U624" i="27" s="1"/>
  <c r="R634" i="27"/>
  <c r="U634" i="27" s="1"/>
  <c r="R638" i="27"/>
  <c r="U638" i="27" s="1"/>
  <c r="R645" i="27"/>
  <c r="U645" i="27" s="1"/>
  <c r="R653" i="27"/>
  <c r="U653" i="27" s="1"/>
  <c r="R501" i="27"/>
  <c r="U501" i="27" s="1"/>
  <c r="AK517" i="27"/>
  <c r="AL517" i="27" s="1"/>
  <c r="R520" i="27"/>
  <c r="U520" i="27" s="1"/>
  <c r="R549" i="27"/>
  <c r="U549" i="27" s="1"/>
  <c r="R580" i="27"/>
  <c r="U580" i="27" s="1"/>
  <c r="R586" i="27"/>
  <c r="U586" i="27" s="1"/>
  <c r="R594" i="27"/>
  <c r="U594" i="27" s="1"/>
  <c r="R655" i="27"/>
  <c r="U655" i="27" s="1"/>
  <c r="Q657" i="27"/>
  <c r="AJ517" i="27"/>
  <c r="T517" i="27" s="1"/>
  <c r="V517" i="27" s="1"/>
  <c r="R521" i="27"/>
  <c r="U521" i="27" s="1"/>
  <c r="R588" i="27"/>
  <c r="U588" i="27" s="1"/>
  <c r="R362" i="27"/>
  <c r="U362" i="27" s="1"/>
  <c r="R471" i="27"/>
  <c r="U471" i="27" s="1"/>
  <c r="R490" i="27"/>
  <c r="U490" i="27" s="1"/>
  <c r="R503" i="27"/>
  <c r="U503" i="27" s="1"/>
  <c r="R528" i="27"/>
  <c r="U528" i="27" s="1"/>
  <c r="AK579" i="27"/>
  <c r="AL579" i="27" s="1"/>
  <c r="R581" i="27"/>
  <c r="U581" i="27" s="1"/>
  <c r="AK587" i="27"/>
  <c r="AL587" i="27" s="1"/>
  <c r="R589" i="27"/>
  <c r="U589" i="27" s="1"/>
  <c r="R595" i="27"/>
  <c r="U595" i="27" s="1"/>
  <c r="R617" i="27"/>
  <c r="U617" i="27" s="1"/>
  <c r="R641" i="27"/>
  <c r="U641" i="27" s="1"/>
  <c r="R659" i="27"/>
  <c r="U659" i="27" s="1"/>
  <c r="AK470" i="27"/>
  <c r="AL470" i="27" s="1"/>
  <c r="R473" i="27"/>
  <c r="U473" i="27" s="1"/>
  <c r="AK489" i="27"/>
  <c r="AL489" i="27" s="1"/>
  <c r="R492" i="27"/>
  <c r="U492" i="27" s="1"/>
  <c r="R582" i="27"/>
  <c r="U582" i="27" s="1"/>
  <c r="R591" i="27"/>
  <c r="U591" i="27" s="1"/>
  <c r="R597" i="27"/>
  <c r="U597" i="27" s="1"/>
  <c r="R619" i="27"/>
  <c r="U619" i="27" s="1"/>
  <c r="AJ470" i="27"/>
  <c r="T470" i="27" s="1"/>
  <c r="V470" i="27" s="1"/>
  <c r="AJ489" i="27"/>
  <c r="T489" i="27" s="1"/>
  <c r="V489" i="27" s="1"/>
  <c r="AI28" i="26"/>
  <c r="AI32" i="26"/>
  <c r="AI25" i="26"/>
  <c r="AI24" i="26" s="1"/>
  <c r="AI27" i="26"/>
  <c r="AI21" i="26"/>
  <c r="AI19" i="26"/>
  <c r="AI18" i="26"/>
  <c r="AI17" i="26"/>
  <c r="AI15" i="26"/>
  <c r="U164" i="28" l="1"/>
  <c r="AI36" i="28"/>
  <c r="AI35" i="28" s="1"/>
  <c r="AK37" i="28"/>
  <c r="AL37" i="28" s="1"/>
  <c r="U470" i="28"/>
  <c r="U345" i="28"/>
  <c r="P53" i="30"/>
  <c r="P33" i="30" s="1"/>
  <c r="R359" i="30"/>
  <c r="U359" i="30" s="1"/>
  <c r="R70" i="30"/>
  <c r="U70" i="30" s="1"/>
  <c r="R78" i="30"/>
  <c r="U78" i="30" s="1"/>
  <c r="AK163" i="28"/>
  <c r="AL163" i="28" s="1"/>
  <c r="R91" i="30"/>
  <c r="U91" i="30" s="1"/>
  <c r="R19" i="27"/>
  <c r="R23" i="27"/>
  <c r="R16" i="27"/>
  <c r="R20" i="27"/>
  <c r="R15" i="27"/>
  <c r="R17" i="27"/>
  <c r="R21" i="27"/>
  <c r="R18" i="27"/>
  <c r="R22" i="27"/>
  <c r="R50" i="27"/>
  <c r="U517" i="28"/>
  <c r="AK36" i="28"/>
  <c r="AJ119" i="28"/>
  <c r="T119" i="28" s="1"/>
  <c r="V119" i="28" s="1"/>
  <c r="R37" i="27"/>
  <c r="V15" i="27"/>
  <c r="T15" i="27"/>
  <c r="R25" i="28"/>
  <c r="U25" i="28" s="1"/>
  <c r="R23" i="28"/>
  <c r="Q53" i="28"/>
  <c r="R54" i="28" s="1"/>
  <c r="R499" i="30"/>
  <c r="R622" i="30"/>
  <c r="U622" i="30" s="1"/>
  <c r="R442" i="30"/>
  <c r="U442" i="30" s="1"/>
  <c r="R420" i="30"/>
  <c r="U420" i="30" s="1"/>
  <c r="R351" i="30"/>
  <c r="U351" i="30" s="1"/>
  <c r="R312" i="30"/>
  <c r="U312" i="30" s="1"/>
  <c r="R270" i="30"/>
  <c r="U270" i="30" s="1"/>
  <c r="R603" i="30"/>
  <c r="U603" i="30" s="1"/>
  <c r="R632" i="30"/>
  <c r="U632" i="30" s="1"/>
  <c r="R327" i="30"/>
  <c r="U327" i="30" s="1"/>
  <c r="R304" i="30"/>
  <c r="U304" i="30" s="1"/>
  <c r="R490" i="30"/>
  <c r="U490" i="30" s="1"/>
  <c r="R557" i="30"/>
  <c r="U557" i="30" s="1"/>
  <c r="R567" i="30"/>
  <c r="U567" i="30" s="1"/>
  <c r="R372" i="30"/>
  <c r="U372" i="30" s="1"/>
  <c r="R320" i="30"/>
  <c r="U320" i="30" s="1"/>
  <c r="R282" i="30"/>
  <c r="R485" i="30"/>
  <c r="U485" i="30" s="1"/>
  <c r="R292" i="30"/>
  <c r="R244" i="30"/>
  <c r="U244" i="30" s="1"/>
  <c r="R478" i="30"/>
  <c r="U478" i="30" s="1"/>
  <c r="R417" i="30"/>
  <c r="R506" i="30"/>
  <c r="U506" i="30" s="1"/>
  <c r="R259" i="30"/>
  <c r="U259" i="30" s="1"/>
  <c r="R580" i="30"/>
  <c r="U580" i="30" s="1"/>
  <c r="R471" i="30"/>
  <c r="U471" i="30" s="1"/>
  <c r="R452" i="30"/>
  <c r="U452" i="30" s="1"/>
  <c r="R548" i="30"/>
  <c r="U548" i="30" s="1"/>
  <c r="R537" i="30"/>
  <c r="U537" i="30" s="1"/>
  <c r="R518" i="30"/>
  <c r="U518" i="30" s="1"/>
  <c r="R395" i="30"/>
  <c r="U395" i="30" s="1"/>
  <c r="R525" i="30"/>
  <c r="U525" i="30" s="1"/>
  <c r="R345" i="30"/>
  <c r="U345" i="30" s="1"/>
  <c r="T26" i="30"/>
  <c r="V26" i="30" s="1"/>
  <c r="U14" i="30"/>
  <c r="AJ10" i="30"/>
  <c r="U10" i="30" s="1"/>
  <c r="U282" i="30"/>
  <c r="R217" i="30"/>
  <c r="U217" i="30" s="1"/>
  <c r="U292" i="30"/>
  <c r="AI53" i="30"/>
  <c r="AI33" i="30" s="1"/>
  <c r="AK36" i="30"/>
  <c r="AK35" i="30" s="1"/>
  <c r="AL35" i="30" s="1"/>
  <c r="R176" i="30"/>
  <c r="U176" i="30" s="1"/>
  <c r="U105" i="30"/>
  <c r="R196" i="30"/>
  <c r="U196" i="30" s="1"/>
  <c r="U37" i="30"/>
  <c r="AJ36" i="30"/>
  <c r="T36" i="30" s="1"/>
  <c r="V36" i="30" s="1"/>
  <c r="AI35" i="30"/>
  <c r="AJ35" i="30" s="1"/>
  <c r="T35" i="30" s="1"/>
  <c r="V35" i="30" s="1"/>
  <c r="U334" i="30"/>
  <c r="AH53" i="30"/>
  <c r="AH33" i="30" s="1"/>
  <c r="R120" i="30"/>
  <c r="U120" i="30" s="1"/>
  <c r="R154" i="30"/>
  <c r="U154" i="30" s="1"/>
  <c r="R188" i="30"/>
  <c r="T24" i="30"/>
  <c r="V24" i="30" s="1"/>
  <c r="U24" i="30"/>
  <c r="AJ163" i="30"/>
  <c r="T163" i="30" s="1"/>
  <c r="V163" i="30" s="1"/>
  <c r="AK163" i="30"/>
  <c r="AL163" i="30" s="1"/>
  <c r="R166" i="30"/>
  <c r="U166" i="30" s="1"/>
  <c r="R28" i="30"/>
  <c r="U28" i="30" s="1"/>
  <c r="R22" i="30"/>
  <c r="U22" i="30" s="1"/>
  <c r="R29" i="30"/>
  <c r="U29" i="30" s="1"/>
  <c r="R21" i="30"/>
  <c r="U21" i="30" s="1"/>
  <c r="R25" i="30"/>
  <c r="U25" i="30" s="1"/>
  <c r="R20" i="30"/>
  <c r="U20" i="30" s="1"/>
  <c r="R19" i="30"/>
  <c r="U19" i="30" s="1"/>
  <c r="R30" i="30"/>
  <c r="U30" i="30" s="1"/>
  <c r="R18" i="30"/>
  <c r="U18" i="30" s="1"/>
  <c r="R31" i="30"/>
  <c r="U31" i="30" s="1"/>
  <c r="R17" i="30"/>
  <c r="U17" i="30" s="1"/>
  <c r="R32" i="30"/>
  <c r="U32" i="30" s="1"/>
  <c r="R27" i="30"/>
  <c r="U27" i="30" s="1"/>
  <c r="R16" i="30"/>
  <c r="U16" i="30" s="1"/>
  <c r="R15" i="30"/>
  <c r="U15" i="30" s="1"/>
  <c r="R10" i="30"/>
  <c r="R23" i="30"/>
  <c r="U23" i="30" s="1"/>
  <c r="AK54" i="30"/>
  <c r="AL54" i="30" s="1"/>
  <c r="R143" i="30"/>
  <c r="U143" i="30" s="1"/>
  <c r="R139" i="30"/>
  <c r="U139" i="30" s="1"/>
  <c r="R134" i="30"/>
  <c r="U134" i="30" s="1"/>
  <c r="R57" i="30"/>
  <c r="U57" i="30" s="1"/>
  <c r="R67" i="30"/>
  <c r="U67" i="30" s="1"/>
  <c r="R55" i="30"/>
  <c r="U55" i="30" s="1"/>
  <c r="Q53" i="30"/>
  <c r="R175" i="30" s="1"/>
  <c r="U175" i="30" s="1"/>
  <c r="R122" i="30"/>
  <c r="U122" i="30" s="1"/>
  <c r="R84" i="30"/>
  <c r="U84" i="30" s="1"/>
  <c r="R63" i="30"/>
  <c r="U63" i="30" s="1"/>
  <c r="R150" i="30"/>
  <c r="U150" i="30" s="1"/>
  <c r="R236" i="30"/>
  <c r="U236" i="30" s="1"/>
  <c r="R76" i="30"/>
  <c r="U76" i="30" s="1"/>
  <c r="AJ243" i="30"/>
  <c r="T243" i="30" s="1"/>
  <c r="V243" i="30" s="1"/>
  <c r="AK243" i="30"/>
  <c r="AL243" i="30" s="1"/>
  <c r="AK12" i="30"/>
  <c r="AL12" i="30" s="1"/>
  <c r="AK10" i="30"/>
  <c r="AL10" i="30" s="1"/>
  <c r="AL14" i="30"/>
  <c r="R12" i="30"/>
  <c r="AJ12" i="30"/>
  <c r="R164" i="30"/>
  <c r="U164" i="30" s="1"/>
  <c r="R136" i="30"/>
  <c r="U136" i="30" s="1"/>
  <c r="U417" i="30"/>
  <c r="R211" i="30"/>
  <c r="U211" i="30" s="1"/>
  <c r="AK175" i="30"/>
  <c r="AL175" i="30" s="1"/>
  <c r="R204" i="30"/>
  <c r="U204" i="30" s="1"/>
  <c r="U382" i="30"/>
  <c r="R225" i="30"/>
  <c r="U225" i="30" s="1"/>
  <c r="R89" i="30"/>
  <c r="U89" i="30" s="1"/>
  <c r="T187" i="30"/>
  <c r="V187" i="30" s="1"/>
  <c r="T188" i="30"/>
  <c r="V188" i="30" s="1"/>
  <c r="AK156" i="30"/>
  <c r="AL156" i="30" s="1"/>
  <c r="AJ156" i="30"/>
  <c r="T156" i="30" s="1"/>
  <c r="AJ54" i="30"/>
  <c r="T54" i="30" s="1"/>
  <c r="V54" i="30" s="1"/>
  <c r="AK119" i="30"/>
  <c r="AL119" i="30" s="1"/>
  <c r="R152" i="30"/>
  <c r="U152" i="30" s="1"/>
  <c r="U499" i="30"/>
  <c r="U630" i="28"/>
  <c r="U579" i="28"/>
  <c r="U505" i="28"/>
  <c r="U420" i="28"/>
  <c r="U282" i="28"/>
  <c r="T188" i="28"/>
  <c r="V188" i="28" s="1"/>
  <c r="T187" i="28"/>
  <c r="AJ14" i="28"/>
  <c r="T14" i="28" s="1"/>
  <c r="V14" i="28" s="1"/>
  <c r="AK24" i="28"/>
  <c r="AL24" i="28" s="1"/>
  <c r="R81" i="28"/>
  <c r="U81" i="28" s="1"/>
  <c r="R76" i="28"/>
  <c r="U76" i="28" s="1"/>
  <c r="R70" i="28"/>
  <c r="U70" i="28" s="1"/>
  <c r="R67" i="28"/>
  <c r="U67" i="28" s="1"/>
  <c r="R87" i="28"/>
  <c r="U87" i="28" s="1"/>
  <c r="R120" i="28"/>
  <c r="U120" i="28" s="1"/>
  <c r="R61" i="28"/>
  <c r="U61" i="28" s="1"/>
  <c r="R55" i="28"/>
  <c r="U55" i="28" s="1"/>
  <c r="R136" i="28"/>
  <c r="U136" i="28" s="1"/>
  <c r="R105" i="28"/>
  <c r="U105" i="28" s="1"/>
  <c r="R91" i="28"/>
  <c r="U91" i="28" s="1"/>
  <c r="R89" i="28"/>
  <c r="U89" i="28" s="1"/>
  <c r="R78" i="28"/>
  <c r="U78" i="28" s="1"/>
  <c r="AK54" i="28"/>
  <c r="AL54" i="28" s="1"/>
  <c r="R225" i="28"/>
  <c r="U225" i="28" s="1"/>
  <c r="R204" i="28"/>
  <c r="U204" i="28" s="1"/>
  <c r="AK175" i="28"/>
  <c r="AL175" i="28" s="1"/>
  <c r="R176" i="28"/>
  <c r="U176" i="28" s="1"/>
  <c r="R217" i="28"/>
  <c r="U217" i="28" s="1"/>
  <c r="R196" i="28"/>
  <c r="U196" i="28" s="1"/>
  <c r="T26" i="28"/>
  <c r="V26" i="28" s="1"/>
  <c r="U26" i="28"/>
  <c r="AK119" i="28"/>
  <c r="AL119" i="28" s="1"/>
  <c r="R154" i="28"/>
  <c r="U154" i="28" s="1"/>
  <c r="R152" i="28"/>
  <c r="U152" i="28" s="1"/>
  <c r="Q35" i="28"/>
  <c r="Q33" i="28" s="1"/>
  <c r="R38" i="28" s="1"/>
  <c r="R37" i="28"/>
  <c r="U37" i="28" s="1"/>
  <c r="R50" i="28"/>
  <c r="U50" i="28" s="1"/>
  <c r="R47" i="28"/>
  <c r="U47" i="28" s="1"/>
  <c r="R15" i="28"/>
  <c r="U15" i="28" s="1"/>
  <c r="R10" i="28"/>
  <c r="R32" i="28"/>
  <c r="U32" i="28" s="1"/>
  <c r="R28" i="28"/>
  <c r="U28" i="28" s="1"/>
  <c r="U23" i="28"/>
  <c r="R21" i="28"/>
  <c r="U21" i="28" s="1"/>
  <c r="R19" i="28"/>
  <c r="U19" i="28" s="1"/>
  <c r="R16" i="28"/>
  <c r="U16" i="28" s="1"/>
  <c r="R31" i="28"/>
  <c r="U31" i="28" s="1"/>
  <c r="R29" i="28"/>
  <c r="U29" i="28" s="1"/>
  <c r="R22" i="28"/>
  <c r="U22" i="28" s="1"/>
  <c r="R20" i="28"/>
  <c r="U20" i="28" s="1"/>
  <c r="R18" i="28"/>
  <c r="U18" i="28" s="1"/>
  <c r="R17" i="28"/>
  <c r="U17" i="28" s="1"/>
  <c r="R27" i="28"/>
  <c r="U27" i="28" s="1"/>
  <c r="R30" i="28"/>
  <c r="U30" i="28" s="1"/>
  <c r="AJ657" i="28"/>
  <c r="T657" i="28" s="1"/>
  <c r="V657" i="28" s="1"/>
  <c r="AK657" i="28"/>
  <c r="AL657" i="28" s="1"/>
  <c r="AL36" i="28"/>
  <c r="AK35" i="28"/>
  <c r="U150" i="28"/>
  <c r="R84" i="28"/>
  <c r="U84" i="28" s="1"/>
  <c r="R211" i="28"/>
  <c r="U211" i="28" s="1"/>
  <c r="AJ175" i="28"/>
  <c r="T175" i="28" s="1"/>
  <c r="V175" i="28" s="1"/>
  <c r="U566" i="28"/>
  <c r="R139" i="28"/>
  <c r="U139" i="28" s="1"/>
  <c r="P53" i="28"/>
  <c r="P33" i="28" s="1"/>
  <c r="R57" i="28"/>
  <c r="U57" i="28" s="1"/>
  <c r="R63" i="28"/>
  <c r="U63" i="28" s="1"/>
  <c r="AJ156" i="28"/>
  <c r="T156" i="28" s="1"/>
  <c r="V156" i="28" s="1"/>
  <c r="AK156" i="28"/>
  <c r="AL156" i="28" s="1"/>
  <c r="T24" i="28"/>
  <c r="V24" i="28" s="1"/>
  <c r="U24" i="28"/>
  <c r="AI53" i="28"/>
  <c r="AJ54" i="28"/>
  <c r="T54" i="28" s="1"/>
  <c r="V54" i="28" s="1"/>
  <c r="V139" i="28"/>
  <c r="AK243" i="28"/>
  <c r="AL243" i="28" s="1"/>
  <c r="R601" i="28"/>
  <c r="U601" i="28" s="1"/>
  <c r="R442" i="28"/>
  <c r="U442" i="28" s="1"/>
  <c r="R417" i="28"/>
  <c r="U417" i="28" s="1"/>
  <c r="R359" i="28"/>
  <c r="U359" i="28" s="1"/>
  <c r="R320" i="28"/>
  <c r="U320" i="28" s="1"/>
  <c r="R304" i="28"/>
  <c r="U304" i="28" s="1"/>
  <c r="R524" i="28"/>
  <c r="U524" i="28" s="1"/>
  <c r="R489" i="28"/>
  <c r="U489" i="28" s="1"/>
  <c r="R395" i="28"/>
  <c r="U395" i="28" s="1"/>
  <c r="R351" i="28"/>
  <c r="U351" i="28" s="1"/>
  <c r="R292" i="28"/>
  <c r="U292" i="28" s="1"/>
  <c r="R244" i="28"/>
  <c r="U244" i="28" s="1"/>
  <c r="R270" i="28"/>
  <c r="U270" i="28" s="1"/>
  <c r="R334" i="28"/>
  <c r="U334" i="28" s="1"/>
  <c r="R327" i="28"/>
  <c r="U327" i="28" s="1"/>
  <c r="R312" i="28"/>
  <c r="U312" i="28" s="1"/>
  <c r="R536" i="28"/>
  <c r="U536" i="28" s="1"/>
  <c r="R547" i="28"/>
  <c r="U547" i="28" s="1"/>
  <c r="R372" i="28"/>
  <c r="U372" i="28" s="1"/>
  <c r="R498" i="28"/>
  <c r="U498" i="28" s="1"/>
  <c r="R477" i="28"/>
  <c r="U477" i="28" s="1"/>
  <c r="R382" i="28"/>
  <c r="U382" i="28" s="1"/>
  <c r="R259" i="28"/>
  <c r="U259" i="28" s="1"/>
  <c r="AI12" i="28"/>
  <c r="AJ12" i="28" s="1"/>
  <c r="R236" i="28"/>
  <c r="U236" i="28" s="1"/>
  <c r="U166" i="28"/>
  <c r="U484" i="28"/>
  <c r="R188" i="28"/>
  <c r="R143" i="28"/>
  <c r="U143" i="28" s="1"/>
  <c r="R134" i="28"/>
  <c r="U134" i="28" s="1"/>
  <c r="R122" i="28"/>
  <c r="U122" i="28" s="1"/>
  <c r="U452" i="28"/>
  <c r="AJ35" i="28"/>
  <c r="T35" i="28" s="1"/>
  <c r="V35" i="28" s="1"/>
  <c r="AI10" i="28"/>
  <c r="AJ10" i="28" s="1"/>
  <c r="R442" i="27"/>
  <c r="U442" i="27" s="1"/>
  <c r="U259" i="27"/>
  <c r="R236" i="27"/>
  <c r="U236" i="27" s="1"/>
  <c r="U232" i="27"/>
  <c r="U186" i="27"/>
  <c r="AK175" i="27"/>
  <c r="AL175" i="27" s="1"/>
  <c r="U154" i="27"/>
  <c r="R134" i="27"/>
  <c r="U134" i="27" s="1"/>
  <c r="R143" i="27"/>
  <c r="U143" i="27" s="1"/>
  <c r="V143" i="27"/>
  <c r="AK120" i="27"/>
  <c r="AL120" i="27" s="1"/>
  <c r="R136" i="27"/>
  <c r="U136" i="27" s="1"/>
  <c r="R139" i="27"/>
  <c r="U139" i="27" s="1"/>
  <c r="A120" i="27"/>
  <c r="A122" i="27" s="1"/>
  <c r="A134" i="27" s="1"/>
  <c r="A136" i="27" s="1"/>
  <c r="A139" i="27" s="1"/>
  <c r="A143" i="27" s="1"/>
  <c r="A150" i="27" s="1"/>
  <c r="A152" i="27" s="1"/>
  <c r="R67" i="27"/>
  <c r="U67" i="27" s="1"/>
  <c r="R122" i="27"/>
  <c r="U122" i="27" s="1"/>
  <c r="R120" i="27"/>
  <c r="U120" i="27" s="1"/>
  <c r="V120" i="27"/>
  <c r="R91" i="27"/>
  <c r="U91" i="27" s="1"/>
  <c r="R105" i="27"/>
  <c r="U105" i="27" s="1"/>
  <c r="AK163" i="27"/>
  <c r="AL163" i="27" s="1"/>
  <c r="AI12" i="27"/>
  <c r="AJ12" i="27" s="1"/>
  <c r="U50" i="27"/>
  <c r="AJ37" i="27"/>
  <c r="T37" i="27" s="1"/>
  <c r="V37" i="27" s="1"/>
  <c r="P53" i="27"/>
  <c r="P33" i="27" s="1"/>
  <c r="AK37" i="27"/>
  <c r="AK36" i="27" s="1"/>
  <c r="AJ163" i="27"/>
  <c r="T163" i="27" s="1"/>
  <c r="V163" i="27" s="1"/>
  <c r="R150" i="27"/>
  <c r="U150" i="27" s="1"/>
  <c r="R152" i="27"/>
  <c r="U152" i="27" s="1"/>
  <c r="R166" i="27"/>
  <c r="U166" i="27" s="1"/>
  <c r="R382" i="27"/>
  <c r="U382" i="27" s="1"/>
  <c r="R304" i="27"/>
  <c r="U304" i="27" s="1"/>
  <c r="U611" i="27"/>
  <c r="R470" i="27"/>
  <c r="U470" i="27" s="1"/>
  <c r="R579" i="27"/>
  <c r="U579" i="27" s="1"/>
  <c r="R556" i="27"/>
  <c r="U556" i="27" s="1"/>
  <c r="AH53" i="27"/>
  <c r="AH33" i="27" s="1"/>
  <c r="AJ657" i="27"/>
  <c r="T657" i="27" s="1"/>
  <c r="V657" i="27" s="1"/>
  <c r="R395" i="27"/>
  <c r="U395" i="27" s="1"/>
  <c r="R517" i="27"/>
  <c r="U517" i="27" s="1"/>
  <c r="R320" i="27"/>
  <c r="U320" i="27" s="1"/>
  <c r="AK14" i="27"/>
  <c r="AK12" i="27" s="1"/>
  <c r="AL12" i="27" s="1"/>
  <c r="R489" i="27"/>
  <c r="U489" i="27" s="1"/>
  <c r="R587" i="27"/>
  <c r="U587" i="27" s="1"/>
  <c r="U217" i="27"/>
  <c r="R327" i="27"/>
  <c r="U327" i="27" s="1"/>
  <c r="R334" i="27"/>
  <c r="U334" i="27" s="1"/>
  <c r="R188" i="27"/>
  <c r="U188" i="27" s="1"/>
  <c r="AJ14" i="27"/>
  <c r="T14" i="27" s="1"/>
  <c r="V14" i="27" s="1"/>
  <c r="AI10" i="27"/>
  <c r="AJ10" i="27" s="1"/>
  <c r="AK156" i="27"/>
  <c r="AL156" i="27" s="1"/>
  <c r="AJ156" i="27"/>
  <c r="T156" i="27" s="1"/>
  <c r="V156" i="27" s="1"/>
  <c r="R452" i="27"/>
  <c r="U452" i="27" s="1"/>
  <c r="AJ26" i="27"/>
  <c r="R84" i="27"/>
  <c r="U84" i="27" s="1"/>
  <c r="R63" i="27"/>
  <c r="U63" i="27" s="1"/>
  <c r="R70" i="27"/>
  <c r="U70" i="27" s="1"/>
  <c r="R61" i="27"/>
  <c r="U61" i="27" s="1"/>
  <c r="R57" i="27"/>
  <c r="U57" i="27" s="1"/>
  <c r="R87" i="27"/>
  <c r="U87" i="27" s="1"/>
  <c r="R89" i="27"/>
  <c r="U89" i="27" s="1"/>
  <c r="R81" i="27"/>
  <c r="U81" i="27" s="1"/>
  <c r="R55" i="27"/>
  <c r="U55" i="27" s="1"/>
  <c r="R76" i="27"/>
  <c r="U76" i="27" s="1"/>
  <c r="AK54" i="27"/>
  <c r="AL54" i="27" s="1"/>
  <c r="R78" i="27"/>
  <c r="U78" i="27" s="1"/>
  <c r="AJ54" i="27"/>
  <c r="T54" i="27" s="1"/>
  <c r="V54" i="27" s="1"/>
  <c r="AJ36" i="27"/>
  <c r="T36" i="27" s="1"/>
  <c r="V36" i="27" s="1"/>
  <c r="R345" i="27"/>
  <c r="U345" i="27" s="1"/>
  <c r="R477" i="27"/>
  <c r="U477" i="27" s="1"/>
  <c r="AJ417" i="27"/>
  <c r="T417" i="27" s="1"/>
  <c r="V417" i="27" s="1"/>
  <c r="AK417" i="27"/>
  <c r="AL417" i="27" s="1"/>
  <c r="R204" i="27"/>
  <c r="U204" i="27" s="1"/>
  <c r="R29" i="27"/>
  <c r="U29" i="27" s="1"/>
  <c r="R30" i="27"/>
  <c r="U30" i="27" s="1"/>
  <c r="U23" i="27"/>
  <c r="U22" i="27"/>
  <c r="U21" i="27"/>
  <c r="U20" i="27"/>
  <c r="U19" i="27"/>
  <c r="U18" i="27"/>
  <c r="U17" i="27"/>
  <c r="U16" i="27"/>
  <c r="U15" i="27"/>
  <c r="R10" i="27"/>
  <c r="R27" i="27"/>
  <c r="U27" i="27" s="1"/>
  <c r="R31" i="27"/>
  <c r="U31" i="27" s="1"/>
  <c r="R32" i="27"/>
  <c r="U32" i="27" s="1"/>
  <c r="R28" i="27"/>
  <c r="U28" i="27" s="1"/>
  <c r="R25" i="27"/>
  <c r="U25" i="27" s="1"/>
  <c r="R47" i="27"/>
  <c r="U47" i="27" s="1"/>
  <c r="Q35" i="27"/>
  <c r="AJ35" i="27" s="1"/>
  <c r="T35" i="27" s="1"/>
  <c r="V35" i="27" s="1"/>
  <c r="R196" i="27"/>
  <c r="U196" i="27" s="1"/>
  <c r="AB243" i="27"/>
  <c r="AB53" i="27" s="1"/>
  <c r="AB33" i="27" s="1"/>
  <c r="V139" i="27"/>
  <c r="T24" i="27"/>
  <c r="V24" i="27" s="1"/>
  <c r="U24" i="27"/>
  <c r="R282" i="27"/>
  <c r="U282" i="27" s="1"/>
  <c r="U164" i="27"/>
  <c r="AJ119" i="27"/>
  <c r="T119" i="27" s="1"/>
  <c r="V119" i="27" s="1"/>
  <c r="AK119" i="27"/>
  <c r="AL119" i="27" s="1"/>
  <c r="AI243" i="27"/>
  <c r="R225" i="27"/>
  <c r="U225" i="27" s="1"/>
  <c r="R211" i="27"/>
  <c r="U211" i="27" s="1"/>
  <c r="AK657" i="27"/>
  <c r="AL657" i="27" s="1"/>
  <c r="R601" i="27"/>
  <c r="U601" i="27" s="1"/>
  <c r="R536" i="27"/>
  <c r="U536" i="27" s="1"/>
  <c r="R524" i="27"/>
  <c r="U524" i="27" s="1"/>
  <c r="R505" i="27"/>
  <c r="U505" i="27" s="1"/>
  <c r="R498" i="27"/>
  <c r="U498" i="27" s="1"/>
  <c r="R359" i="27"/>
  <c r="U359" i="27" s="1"/>
  <c r="R292" i="27"/>
  <c r="U292" i="27" s="1"/>
  <c r="R244" i="27"/>
  <c r="U244" i="27" s="1"/>
  <c r="R547" i="27"/>
  <c r="U547" i="27" s="1"/>
  <c r="R312" i="27"/>
  <c r="U312" i="27" s="1"/>
  <c r="R420" i="27"/>
  <c r="U420" i="27" s="1"/>
  <c r="R630" i="27"/>
  <c r="U630" i="27" s="1"/>
  <c r="R620" i="27"/>
  <c r="U620" i="27" s="1"/>
  <c r="R270" i="27"/>
  <c r="U270" i="27" s="1"/>
  <c r="R417" i="27"/>
  <c r="Q53" i="27"/>
  <c r="R175" i="27" s="1"/>
  <c r="R484" i="27"/>
  <c r="U484" i="27" s="1"/>
  <c r="R372" i="27"/>
  <c r="U372" i="27" s="1"/>
  <c r="R351" i="27"/>
  <c r="U351" i="27" s="1"/>
  <c r="R566" i="27"/>
  <c r="U566" i="27" s="1"/>
  <c r="R176" i="27"/>
  <c r="U176" i="27" s="1"/>
  <c r="AJ175" i="27"/>
  <c r="T175" i="27" s="1"/>
  <c r="V175" i="27" s="1"/>
  <c r="AJ59" i="26"/>
  <c r="T59" i="26" s="1"/>
  <c r="V59" i="26" s="1"/>
  <c r="AK59" i="26"/>
  <c r="AL59" i="26" s="1"/>
  <c r="AI46" i="26"/>
  <c r="AI45" i="26"/>
  <c r="AK45" i="26" s="1"/>
  <c r="AL45" i="26" s="1"/>
  <c r="AI44" i="26"/>
  <c r="AI43" i="26"/>
  <c r="AK43" i="26" s="1"/>
  <c r="AL43" i="26" s="1"/>
  <c r="AI42" i="26"/>
  <c r="AI41" i="26"/>
  <c r="AK41" i="26" s="1"/>
  <c r="AL41" i="26" s="1"/>
  <c r="AI40" i="26"/>
  <c r="AK40" i="26" s="1"/>
  <c r="AL40" i="26" s="1"/>
  <c r="AI39" i="26"/>
  <c r="AK39" i="26" s="1"/>
  <c r="AL39" i="26" s="1"/>
  <c r="AI38" i="26"/>
  <c r="AI31" i="26"/>
  <c r="AI26" i="26" s="1"/>
  <c r="AK28" i="26"/>
  <c r="AI23" i="26"/>
  <c r="AI22" i="26"/>
  <c r="AI20" i="26"/>
  <c r="AK18" i="26"/>
  <c r="AL18" i="26" s="1"/>
  <c r="A729" i="26"/>
  <c r="A725" i="26"/>
  <c r="A719" i="26"/>
  <c r="A716" i="26"/>
  <c r="P695" i="26"/>
  <c r="O695" i="26"/>
  <c r="O685" i="26" s="1"/>
  <c r="O216" i="26" s="1"/>
  <c r="AK694" i="26"/>
  <c r="AL694" i="26" s="1"/>
  <c r="AJ694" i="26"/>
  <c r="T694" i="26" s="1"/>
  <c r="V694" i="26" s="1"/>
  <c r="AK693" i="26"/>
  <c r="AL693" i="26" s="1"/>
  <c r="AJ693" i="26"/>
  <c r="T693" i="26" s="1"/>
  <c r="V693" i="26" s="1"/>
  <c r="AK692" i="26"/>
  <c r="AL692" i="26" s="1"/>
  <c r="AJ692" i="26"/>
  <c r="T692" i="26" s="1"/>
  <c r="V692" i="26" s="1"/>
  <c r="AK691" i="26"/>
  <c r="AL691" i="26" s="1"/>
  <c r="AJ691" i="26"/>
  <c r="T691" i="26" s="1"/>
  <c r="V691" i="26" s="1"/>
  <c r="AK690" i="26"/>
  <c r="AL690" i="26" s="1"/>
  <c r="AJ690" i="26"/>
  <c r="T690" i="26" s="1"/>
  <c r="V690" i="26" s="1"/>
  <c r="AK689" i="26"/>
  <c r="AL689" i="26" s="1"/>
  <c r="AJ689" i="26"/>
  <c r="T689" i="26" s="1"/>
  <c r="V689" i="26" s="1"/>
  <c r="AK688" i="26"/>
  <c r="AL688" i="26" s="1"/>
  <c r="AJ688" i="26"/>
  <c r="T688" i="26" s="1"/>
  <c r="V688" i="26" s="1"/>
  <c r="AK687" i="26"/>
  <c r="AL687" i="26" s="1"/>
  <c r="AJ687" i="26"/>
  <c r="T687" i="26" s="1"/>
  <c r="V687" i="26" s="1"/>
  <c r="AI686" i="26"/>
  <c r="AI685" i="26" s="1"/>
  <c r="AH686" i="26"/>
  <c r="AH685" i="26" s="1"/>
  <c r="AG686" i="26"/>
  <c r="AG685" i="26" s="1"/>
  <c r="Q686" i="26"/>
  <c r="AF685" i="26"/>
  <c r="AE685" i="26"/>
  <c r="AD685" i="26"/>
  <c r="AC685" i="26"/>
  <c r="AB685" i="26"/>
  <c r="AA685" i="26"/>
  <c r="Z685" i="26"/>
  <c r="Y685" i="26"/>
  <c r="X685" i="26"/>
  <c r="W685" i="26"/>
  <c r="P685" i="26"/>
  <c r="AK684" i="26"/>
  <c r="AL684" i="26" s="1"/>
  <c r="AJ684" i="26"/>
  <c r="T684" i="26" s="1"/>
  <c r="V684" i="26" s="1"/>
  <c r="AK683" i="26"/>
  <c r="AL683" i="26" s="1"/>
  <c r="AJ683" i="26"/>
  <c r="T683" i="26" s="1"/>
  <c r="V683" i="26" s="1"/>
  <c r="AK682" i="26"/>
  <c r="AL682" i="26" s="1"/>
  <c r="AJ682" i="26"/>
  <c r="T682" i="26" s="1"/>
  <c r="V682" i="26" s="1"/>
  <c r="AK681" i="26"/>
  <c r="AL681" i="26" s="1"/>
  <c r="AJ681" i="26"/>
  <c r="T681" i="26" s="1"/>
  <c r="V681" i="26" s="1"/>
  <c r="AK680" i="26"/>
  <c r="AL680" i="26" s="1"/>
  <c r="AJ680" i="26"/>
  <c r="T680" i="26" s="1"/>
  <c r="V680" i="26" s="1"/>
  <c r="AK679" i="26"/>
  <c r="AL679" i="26" s="1"/>
  <c r="AJ679" i="26"/>
  <c r="T679" i="26" s="1"/>
  <c r="V679" i="26" s="1"/>
  <c r="AK678" i="26"/>
  <c r="AL678" i="26" s="1"/>
  <c r="AJ678" i="26"/>
  <c r="T678" i="26" s="1"/>
  <c r="V678" i="26" s="1"/>
  <c r="AI677" i="26"/>
  <c r="AH677" i="26"/>
  <c r="AG677" i="26"/>
  <c r="Q677" i="26"/>
  <c r="R681" i="26" s="1"/>
  <c r="AK676" i="26"/>
  <c r="AL676" i="26" s="1"/>
  <c r="AJ676" i="26"/>
  <c r="T676" i="26" s="1"/>
  <c r="AK675" i="26"/>
  <c r="AL675" i="26" s="1"/>
  <c r="AJ675" i="26"/>
  <c r="T675" i="26" s="1"/>
  <c r="AK674" i="26"/>
  <c r="AL674" i="26" s="1"/>
  <c r="AJ674" i="26"/>
  <c r="T674" i="26" s="1"/>
  <c r="V674" i="26" s="1"/>
  <c r="AK673" i="26"/>
  <c r="AL673" i="26" s="1"/>
  <c r="AJ673" i="26"/>
  <c r="T673" i="26" s="1"/>
  <c r="V673" i="26" s="1"/>
  <c r="AK672" i="26"/>
  <c r="AL672" i="26" s="1"/>
  <c r="AJ672" i="26"/>
  <c r="T672" i="26" s="1"/>
  <c r="V672" i="26" s="1"/>
  <c r="AK671" i="26"/>
  <c r="AL671" i="26" s="1"/>
  <c r="AJ671" i="26"/>
  <c r="T671" i="26" s="1"/>
  <c r="V671" i="26" s="1"/>
  <c r="AK670" i="26"/>
  <c r="AL670" i="26" s="1"/>
  <c r="AJ670" i="26"/>
  <c r="T670" i="26" s="1"/>
  <c r="V670" i="26" s="1"/>
  <c r="AK669" i="26"/>
  <c r="AL669" i="26" s="1"/>
  <c r="AJ669" i="26"/>
  <c r="T669" i="26" s="1"/>
  <c r="V669" i="26" s="1"/>
  <c r="AK668" i="26"/>
  <c r="AL668" i="26" s="1"/>
  <c r="AJ668" i="26"/>
  <c r="T668" i="26" s="1"/>
  <c r="V668" i="26" s="1"/>
  <c r="AK667" i="26"/>
  <c r="AL667" i="26" s="1"/>
  <c r="AJ667" i="26"/>
  <c r="T667" i="26" s="1"/>
  <c r="V667" i="26" s="1"/>
  <c r="AK666" i="26"/>
  <c r="AL666" i="26" s="1"/>
  <c r="AJ666" i="26"/>
  <c r="T666" i="26" s="1"/>
  <c r="V666" i="26" s="1"/>
  <c r="AK665" i="26"/>
  <c r="AL665" i="26" s="1"/>
  <c r="AJ665" i="26"/>
  <c r="T665" i="26" s="1"/>
  <c r="V665" i="26" s="1"/>
  <c r="AK664" i="26"/>
  <c r="AL664" i="26" s="1"/>
  <c r="AJ664" i="26"/>
  <c r="T664" i="26" s="1"/>
  <c r="V664" i="26" s="1"/>
  <c r="AK663" i="26"/>
  <c r="AL663" i="26" s="1"/>
  <c r="AJ663" i="26"/>
  <c r="T663" i="26" s="1"/>
  <c r="V663" i="26" s="1"/>
  <c r="AK662" i="26"/>
  <c r="AL662" i="26" s="1"/>
  <c r="AJ662" i="26"/>
  <c r="T662" i="26" s="1"/>
  <c r="V662" i="26" s="1"/>
  <c r="AK661" i="26"/>
  <c r="AL661" i="26" s="1"/>
  <c r="AJ661" i="26"/>
  <c r="T661" i="26" s="1"/>
  <c r="V661" i="26" s="1"/>
  <c r="AI660" i="26"/>
  <c r="Q660" i="26"/>
  <c r="R676" i="26" s="1"/>
  <c r="AK659" i="26"/>
  <c r="AL659" i="26" s="1"/>
  <c r="AJ659" i="26"/>
  <c r="T659" i="26" s="1"/>
  <c r="V659" i="26" s="1"/>
  <c r="AK658" i="26"/>
  <c r="AL658" i="26" s="1"/>
  <c r="AJ658" i="26"/>
  <c r="T658" i="26" s="1"/>
  <c r="V658" i="26" s="1"/>
  <c r="AK657" i="26"/>
  <c r="AL657" i="26" s="1"/>
  <c r="AJ657" i="26"/>
  <c r="T657" i="26" s="1"/>
  <c r="V657" i="26" s="1"/>
  <c r="AK656" i="26"/>
  <c r="AL656" i="26" s="1"/>
  <c r="AJ656" i="26"/>
  <c r="T656" i="26" s="1"/>
  <c r="V656" i="26" s="1"/>
  <c r="AI655" i="26"/>
  <c r="Q655" i="26"/>
  <c r="AK654" i="26"/>
  <c r="AL654" i="26" s="1"/>
  <c r="AJ654" i="26"/>
  <c r="T654" i="26" s="1"/>
  <c r="AK653" i="26"/>
  <c r="AL653" i="26" s="1"/>
  <c r="AJ653" i="26"/>
  <c r="T653" i="26" s="1"/>
  <c r="AK652" i="26"/>
  <c r="AL652" i="26" s="1"/>
  <c r="AJ652" i="26"/>
  <c r="T652" i="26" s="1"/>
  <c r="V652" i="26" s="1"/>
  <c r="AK651" i="26"/>
  <c r="AL651" i="26" s="1"/>
  <c r="AJ651" i="26"/>
  <c r="T651" i="26" s="1"/>
  <c r="V651" i="26" s="1"/>
  <c r="AK650" i="26"/>
  <c r="AL650" i="26" s="1"/>
  <c r="AJ650" i="26"/>
  <c r="T650" i="26" s="1"/>
  <c r="V650" i="26" s="1"/>
  <c r="AK649" i="26"/>
  <c r="AL649" i="26" s="1"/>
  <c r="AJ649" i="26"/>
  <c r="T649" i="26" s="1"/>
  <c r="V649" i="26" s="1"/>
  <c r="AK648" i="26"/>
  <c r="AL648" i="26" s="1"/>
  <c r="AJ648" i="26"/>
  <c r="T648" i="26" s="1"/>
  <c r="V648" i="26" s="1"/>
  <c r="AK647" i="26"/>
  <c r="AL647" i="26" s="1"/>
  <c r="AJ647" i="26"/>
  <c r="T647" i="26" s="1"/>
  <c r="V647" i="26" s="1"/>
  <c r="AK646" i="26"/>
  <c r="AL646" i="26" s="1"/>
  <c r="AJ646" i="26"/>
  <c r="T646" i="26" s="1"/>
  <c r="V646" i="26" s="1"/>
  <c r="AI645" i="26"/>
  <c r="Q645" i="26"/>
  <c r="R654" i="26" s="1"/>
  <c r="AK644" i="26"/>
  <c r="AL644" i="26" s="1"/>
  <c r="AJ644" i="26"/>
  <c r="T644" i="26" s="1"/>
  <c r="V644" i="26" s="1"/>
  <c r="AK643" i="26"/>
  <c r="AL643" i="26" s="1"/>
  <c r="AJ643" i="26"/>
  <c r="T643" i="26" s="1"/>
  <c r="V643" i="26" s="1"/>
  <c r="AK642" i="26"/>
  <c r="AL642" i="26" s="1"/>
  <c r="AJ642" i="26"/>
  <c r="T642" i="26" s="1"/>
  <c r="V642" i="26" s="1"/>
  <c r="AK641" i="26"/>
  <c r="AL641" i="26" s="1"/>
  <c r="AJ641" i="26"/>
  <c r="T641" i="26" s="1"/>
  <c r="V641" i="26" s="1"/>
  <c r="AK640" i="26"/>
  <c r="AL640" i="26" s="1"/>
  <c r="AJ640" i="26"/>
  <c r="T640" i="26" s="1"/>
  <c r="V640" i="26" s="1"/>
  <c r="AK639" i="26"/>
  <c r="AL639" i="26" s="1"/>
  <c r="AJ639" i="26"/>
  <c r="T639" i="26" s="1"/>
  <c r="V639" i="26" s="1"/>
  <c r="AK638" i="26"/>
  <c r="AL638" i="26" s="1"/>
  <c r="AJ638" i="26"/>
  <c r="T638" i="26" s="1"/>
  <c r="V638" i="26" s="1"/>
  <c r="AK637" i="26"/>
  <c r="AL637" i="26" s="1"/>
  <c r="AJ637" i="26"/>
  <c r="T637" i="26" s="1"/>
  <c r="V637" i="26" s="1"/>
  <c r="AK636" i="26"/>
  <c r="AL636" i="26" s="1"/>
  <c r="AJ636" i="26"/>
  <c r="T636" i="26" s="1"/>
  <c r="V636" i="26" s="1"/>
  <c r="AI635" i="26"/>
  <c r="Q635" i="26"/>
  <c r="R639" i="26" s="1"/>
  <c r="AK634" i="26"/>
  <c r="AL634" i="26" s="1"/>
  <c r="AJ634" i="26"/>
  <c r="T634" i="26" s="1"/>
  <c r="AK633" i="26"/>
  <c r="AL633" i="26" s="1"/>
  <c r="AJ633" i="26"/>
  <c r="T633" i="26" s="1"/>
  <c r="AK632" i="26"/>
  <c r="AL632" i="26" s="1"/>
  <c r="AJ632" i="26"/>
  <c r="T632" i="26" s="1"/>
  <c r="V632" i="26" s="1"/>
  <c r="AK631" i="26"/>
  <c r="AL631" i="26" s="1"/>
  <c r="AJ631" i="26"/>
  <c r="T631" i="26" s="1"/>
  <c r="V631" i="26" s="1"/>
  <c r="AK630" i="26"/>
  <c r="AL630" i="26" s="1"/>
  <c r="AJ630" i="26"/>
  <c r="T630" i="26" s="1"/>
  <c r="V630" i="26" s="1"/>
  <c r="AK629" i="26"/>
  <c r="AL629" i="26" s="1"/>
  <c r="AJ629" i="26"/>
  <c r="T629" i="26" s="1"/>
  <c r="V629" i="26" s="1"/>
  <c r="AK628" i="26"/>
  <c r="AL628" i="26" s="1"/>
  <c r="AJ628" i="26"/>
  <c r="T628" i="26" s="1"/>
  <c r="V628" i="26" s="1"/>
  <c r="AK627" i="26"/>
  <c r="AL627" i="26" s="1"/>
  <c r="AJ627" i="26"/>
  <c r="T627" i="26" s="1"/>
  <c r="V627" i="26" s="1"/>
  <c r="AK626" i="26"/>
  <c r="AL626" i="26" s="1"/>
  <c r="AJ626" i="26"/>
  <c r="T626" i="26" s="1"/>
  <c r="V626" i="26" s="1"/>
  <c r="AI625" i="26"/>
  <c r="Q625" i="26"/>
  <c r="R633" i="26" s="1"/>
  <c r="AK624" i="26"/>
  <c r="AL624" i="26" s="1"/>
  <c r="AJ624" i="26"/>
  <c r="T624" i="26" s="1"/>
  <c r="V624" i="26" s="1"/>
  <c r="AK623" i="26"/>
  <c r="AL623" i="26" s="1"/>
  <c r="AJ623" i="26"/>
  <c r="T623" i="26" s="1"/>
  <c r="V623" i="26" s="1"/>
  <c r="AK622" i="26"/>
  <c r="AL622" i="26" s="1"/>
  <c r="AJ622" i="26"/>
  <c r="T622" i="26" s="1"/>
  <c r="V622" i="26" s="1"/>
  <c r="AK621" i="26"/>
  <c r="AL621" i="26" s="1"/>
  <c r="AJ621" i="26"/>
  <c r="T621" i="26" s="1"/>
  <c r="V621" i="26" s="1"/>
  <c r="AK620" i="26"/>
  <c r="AL620" i="26" s="1"/>
  <c r="AJ620" i="26"/>
  <c r="T620" i="26" s="1"/>
  <c r="V620" i="26" s="1"/>
  <c r="AK619" i="26"/>
  <c r="AL619" i="26" s="1"/>
  <c r="AJ619" i="26"/>
  <c r="T619" i="26" s="1"/>
  <c r="V619" i="26" s="1"/>
  <c r="AK618" i="26"/>
  <c r="AL618" i="26" s="1"/>
  <c r="AJ618" i="26"/>
  <c r="T618" i="26" s="1"/>
  <c r="V618" i="26" s="1"/>
  <c r="AK617" i="26"/>
  <c r="AL617" i="26" s="1"/>
  <c r="AJ617" i="26"/>
  <c r="T617" i="26" s="1"/>
  <c r="V617" i="26" s="1"/>
  <c r="AK616" i="26"/>
  <c r="AL616" i="26" s="1"/>
  <c r="AJ616" i="26"/>
  <c r="T616" i="26" s="1"/>
  <c r="V616" i="26" s="1"/>
  <c r="AK615" i="26"/>
  <c r="AL615" i="26" s="1"/>
  <c r="AJ615" i="26"/>
  <c r="T615" i="26" s="1"/>
  <c r="V615" i="26" s="1"/>
  <c r="AK614" i="26"/>
  <c r="AL614" i="26" s="1"/>
  <c r="AJ614" i="26"/>
  <c r="T614" i="26" s="1"/>
  <c r="V614" i="26" s="1"/>
  <c r="AK613" i="26"/>
  <c r="AL613" i="26" s="1"/>
  <c r="AJ613" i="26"/>
  <c r="T613" i="26" s="1"/>
  <c r="V613" i="26" s="1"/>
  <c r="AK612" i="26"/>
  <c r="AL612" i="26" s="1"/>
  <c r="AJ612" i="26"/>
  <c r="T612" i="26" s="1"/>
  <c r="V612" i="26" s="1"/>
  <c r="AK611" i="26"/>
  <c r="AL611" i="26" s="1"/>
  <c r="AJ611" i="26"/>
  <c r="T611" i="26" s="1"/>
  <c r="V611" i="26" s="1"/>
  <c r="AK610" i="26"/>
  <c r="AL610" i="26" s="1"/>
  <c r="AJ610" i="26"/>
  <c r="T610" i="26" s="1"/>
  <c r="V610" i="26" s="1"/>
  <c r="AI609" i="26"/>
  <c r="Q609" i="26"/>
  <c r="AK608" i="26"/>
  <c r="AL608" i="26" s="1"/>
  <c r="AJ608" i="26"/>
  <c r="T608" i="26" s="1"/>
  <c r="AK606" i="26"/>
  <c r="AL606" i="26" s="1"/>
  <c r="AJ606" i="26"/>
  <c r="T606" i="26" s="1"/>
  <c r="V606" i="26" s="1"/>
  <c r="AK605" i="26"/>
  <c r="AL605" i="26" s="1"/>
  <c r="AJ605" i="26"/>
  <c r="T605" i="26" s="1"/>
  <c r="V605" i="26" s="1"/>
  <c r="AK604" i="26"/>
  <c r="AL604" i="26" s="1"/>
  <c r="AJ604" i="26"/>
  <c r="T604" i="26" s="1"/>
  <c r="V604" i="26" s="1"/>
  <c r="AK603" i="26"/>
  <c r="AL603" i="26" s="1"/>
  <c r="AJ603" i="26"/>
  <c r="T603" i="26" s="1"/>
  <c r="V603" i="26" s="1"/>
  <c r="AK601" i="26"/>
  <c r="AL601" i="26" s="1"/>
  <c r="AJ601" i="26"/>
  <c r="T601" i="26" s="1"/>
  <c r="V601" i="26" s="1"/>
  <c r="AK600" i="26"/>
  <c r="AL600" i="26" s="1"/>
  <c r="AJ600" i="26"/>
  <c r="T600" i="26" s="1"/>
  <c r="V600" i="26" s="1"/>
  <c r="Q599" i="26"/>
  <c r="AK598" i="26"/>
  <c r="AL598" i="26" s="1"/>
  <c r="AJ598" i="26"/>
  <c r="T598" i="26" s="1"/>
  <c r="AK597" i="26"/>
  <c r="AL597" i="26" s="1"/>
  <c r="AJ597" i="26"/>
  <c r="T597" i="26" s="1"/>
  <c r="V597" i="26" s="1"/>
  <c r="AK596" i="26"/>
  <c r="AL596" i="26" s="1"/>
  <c r="AJ596" i="26"/>
  <c r="T596" i="26" s="1"/>
  <c r="AK595" i="26"/>
  <c r="AL595" i="26" s="1"/>
  <c r="AJ595" i="26"/>
  <c r="T595" i="26" s="1"/>
  <c r="V595" i="26" s="1"/>
  <c r="AK594" i="26"/>
  <c r="AL594" i="26" s="1"/>
  <c r="AJ594" i="26"/>
  <c r="T594" i="26" s="1"/>
  <c r="V594" i="26" s="1"/>
  <c r="AK593" i="26"/>
  <c r="AL593" i="26" s="1"/>
  <c r="AJ593" i="26"/>
  <c r="T593" i="26" s="1"/>
  <c r="AK592" i="26"/>
  <c r="AL592" i="26" s="1"/>
  <c r="AJ592" i="26"/>
  <c r="T592" i="26" s="1"/>
  <c r="V592" i="26" s="1"/>
  <c r="AK591" i="26"/>
  <c r="AL591" i="26" s="1"/>
  <c r="AJ591" i="26"/>
  <c r="T591" i="26" s="1"/>
  <c r="V591" i="26" s="1"/>
  <c r="AK590" i="26"/>
  <c r="AL590" i="26" s="1"/>
  <c r="AJ590" i="26"/>
  <c r="T590" i="26" s="1"/>
  <c r="V590" i="26" s="1"/>
  <c r="AK589" i="26"/>
  <c r="AL589" i="26" s="1"/>
  <c r="AJ589" i="26"/>
  <c r="T589" i="26" s="1"/>
  <c r="V589" i="26" s="1"/>
  <c r="AK588" i="26"/>
  <c r="AL588" i="26" s="1"/>
  <c r="AJ588" i="26"/>
  <c r="T588" i="26" s="1"/>
  <c r="V588" i="26" s="1"/>
  <c r="AK587" i="26"/>
  <c r="AL587" i="26" s="1"/>
  <c r="AJ587" i="26"/>
  <c r="T587" i="26" s="1"/>
  <c r="V587" i="26" s="1"/>
  <c r="AK586" i="26"/>
  <c r="AL586" i="26" s="1"/>
  <c r="AJ586" i="26"/>
  <c r="T586" i="26" s="1"/>
  <c r="V586" i="26" s="1"/>
  <c r="Q585" i="26"/>
  <c r="R598" i="26" s="1"/>
  <c r="AK584" i="26"/>
  <c r="AL584" i="26" s="1"/>
  <c r="AJ584" i="26"/>
  <c r="T584" i="26" s="1"/>
  <c r="V584" i="26" s="1"/>
  <c r="AK583" i="26"/>
  <c r="AL583" i="26" s="1"/>
  <c r="AJ583" i="26"/>
  <c r="T583" i="26" s="1"/>
  <c r="V583" i="26" s="1"/>
  <c r="AK582" i="26"/>
  <c r="AL582" i="26" s="1"/>
  <c r="AJ582" i="26"/>
  <c r="T582" i="26" s="1"/>
  <c r="V582" i="26" s="1"/>
  <c r="AK581" i="26"/>
  <c r="AL581" i="26" s="1"/>
  <c r="AJ581" i="26"/>
  <c r="T581" i="26" s="1"/>
  <c r="V581" i="26" s="1"/>
  <c r="AK580" i="26"/>
  <c r="AL580" i="26" s="1"/>
  <c r="AJ580" i="26"/>
  <c r="T580" i="26" s="1"/>
  <c r="V580" i="26" s="1"/>
  <c r="AK579" i="26"/>
  <c r="AL579" i="26" s="1"/>
  <c r="AJ579" i="26"/>
  <c r="T579" i="26" s="1"/>
  <c r="V579" i="26" s="1"/>
  <c r="AK578" i="26"/>
  <c r="AL578" i="26" s="1"/>
  <c r="AJ578" i="26"/>
  <c r="T578" i="26" s="1"/>
  <c r="V578" i="26" s="1"/>
  <c r="AK577" i="26"/>
  <c r="AL577" i="26" s="1"/>
  <c r="AJ577" i="26"/>
  <c r="T577" i="26" s="1"/>
  <c r="V577" i="26" s="1"/>
  <c r="AK576" i="26"/>
  <c r="AL576" i="26" s="1"/>
  <c r="AJ576" i="26"/>
  <c r="T576" i="26" s="1"/>
  <c r="V576" i="26" s="1"/>
  <c r="AK575" i="26"/>
  <c r="AL575" i="26" s="1"/>
  <c r="AJ575" i="26"/>
  <c r="T575" i="26" s="1"/>
  <c r="V575" i="26" s="1"/>
  <c r="AK574" i="26"/>
  <c r="AL574" i="26" s="1"/>
  <c r="AJ574" i="26"/>
  <c r="T574" i="26" s="1"/>
  <c r="V574" i="26" s="1"/>
  <c r="AK573" i="26"/>
  <c r="AL573" i="26" s="1"/>
  <c r="AJ573" i="26"/>
  <c r="T573" i="26" s="1"/>
  <c r="V573" i="26" s="1"/>
  <c r="AK572" i="26"/>
  <c r="AL572" i="26" s="1"/>
  <c r="AJ572" i="26"/>
  <c r="T572" i="26" s="1"/>
  <c r="V572" i="26" s="1"/>
  <c r="AI571" i="26"/>
  <c r="Q571" i="26"/>
  <c r="AK570" i="26"/>
  <c r="AL570" i="26" s="1"/>
  <c r="AJ570" i="26"/>
  <c r="T570" i="26" s="1"/>
  <c r="V570" i="26" s="1"/>
  <c r="AK569" i="26"/>
  <c r="AL569" i="26" s="1"/>
  <c r="AJ569" i="26"/>
  <c r="T569" i="26" s="1"/>
  <c r="AK568" i="26"/>
  <c r="AJ568" i="26"/>
  <c r="T568" i="26" s="1"/>
  <c r="AK567" i="26"/>
  <c r="AL567" i="26" s="1"/>
  <c r="AJ567" i="26"/>
  <c r="T567" i="26" s="1"/>
  <c r="V567" i="26" s="1"/>
  <c r="AK566" i="26"/>
  <c r="AL566" i="26" s="1"/>
  <c r="AJ566" i="26"/>
  <c r="T566" i="26" s="1"/>
  <c r="V566" i="26" s="1"/>
  <c r="AK565" i="26"/>
  <c r="AL565" i="26" s="1"/>
  <c r="AJ565" i="26"/>
  <c r="T565" i="26" s="1"/>
  <c r="V565" i="26" s="1"/>
  <c r="AK564" i="26"/>
  <c r="AL564" i="26" s="1"/>
  <c r="AJ564" i="26"/>
  <c r="T564" i="26" s="1"/>
  <c r="V564" i="26" s="1"/>
  <c r="AI563" i="26"/>
  <c r="Q563" i="26"/>
  <c r="AK562" i="26"/>
  <c r="AL562" i="26" s="1"/>
  <c r="AJ562" i="26"/>
  <c r="T562" i="26" s="1"/>
  <c r="V562" i="26" s="1"/>
  <c r="AK561" i="26"/>
  <c r="AJ561" i="26"/>
  <c r="T561" i="26" s="1"/>
  <c r="AK560" i="26"/>
  <c r="AL560" i="26" s="1"/>
  <c r="AJ560" i="26"/>
  <c r="T560" i="26" s="1"/>
  <c r="V560" i="26" s="1"/>
  <c r="AK559" i="26"/>
  <c r="AL559" i="26" s="1"/>
  <c r="AJ559" i="26"/>
  <c r="T559" i="26" s="1"/>
  <c r="V559" i="26" s="1"/>
  <c r="AK558" i="26"/>
  <c r="AL558" i="26" s="1"/>
  <c r="AJ558" i="26"/>
  <c r="T558" i="26" s="1"/>
  <c r="V558" i="26" s="1"/>
  <c r="AK557" i="26"/>
  <c r="AL557" i="26" s="1"/>
  <c r="AJ557" i="26"/>
  <c r="T557" i="26" s="1"/>
  <c r="V557" i="26" s="1"/>
  <c r="AK556" i="26"/>
  <c r="AL556" i="26" s="1"/>
  <c r="AJ556" i="26"/>
  <c r="T556" i="26" s="1"/>
  <c r="V556" i="26" s="1"/>
  <c r="AK555" i="26"/>
  <c r="AL555" i="26" s="1"/>
  <c r="AJ555" i="26"/>
  <c r="T555" i="26" s="1"/>
  <c r="V555" i="26" s="1"/>
  <c r="AI554" i="26"/>
  <c r="AH554" i="26"/>
  <c r="AG554" i="26"/>
  <c r="Q554" i="26"/>
  <c r="R559" i="26" s="1"/>
  <c r="AK553" i="26"/>
  <c r="AL553" i="26" s="1"/>
  <c r="AJ553" i="26"/>
  <c r="T553" i="26" s="1"/>
  <c r="V553" i="26" s="1"/>
  <c r="AK552" i="26"/>
  <c r="AL552" i="26" s="1"/>
  <c r="AJ552" i="26"/>
  <c r="T552" i="26" s="1"/>
  <c r="V552" i="26" s="1"/>
  <c r="AK551" i="26"/>
  <c r="AL551" i="26" s="1"/>
  <c r="AJ551" i="26"/>
  <c r="T551" i="26" s="1"/>
  <c r="V551" i="26" s="1"/>
  <c r="AK550" i="26"/>
  <c r="AL550" i="26" s="1"/>
  <c r="AJ550" i="26"/>
  <c r="T550" i="26" s="1"/>
  <c r="V550" i="26" s="1"/>
  <c r="AK549" i="26"/>
  <c r="AL549" i="26" s="1"/>
  <c r="AJ549" i="26"/>
  <c r="T549" i="26" s="1"/>
  <c r="V549" i="26" s="1"/>
  <c r="AK548" i="26"/>
  <c r="AL548" i="26" s="1"/>
  <c r="AJ548" i="26"/>
  <c r="T548" i="26" s="1"/>
  <c r="V548" i="26" s="1"/>
  <c r="AK547" i="26"/>
  <c r="AL547" i="26" s="1"/>
  <c r="AJ547" i="26"/>
  <c r="T547" i="26" s="1"/>
  <c r="V547" i="26" s="1"/>
  <c r="AK546" i="26"/>
  <c r="AL546" i="26" s="1"/>
  <c r="AJ546" i="26"/>
  <c r="T546" i="26" s="1"/>
  <c r="V546" i="26" s="1"/>
  <c r="AK545" i="26"/>
  <c r="AL545" i="26" s="1"/>
  <c r="AJ545" i="26"/>
  <c r="T545" i="26" s="1"/>
  <c r="V545" i="26" s="1"/>
  <c r="AK544" i="26"/>
  <c r="AL544" i="26" s="1"/>
  <c r="AJ544" i="26"/>
  <c r="T544" i="26" s="1"/>
  <c r="V544" i="26" s="1"/>
  <c r="AK543" i="26"/>
  <c r="AL543" i="26" s="1"/>
  <c r="AJ543" i="26"/>
  <c r="T543" i="26" s="1"/>
  <c r="V543" i="26" s="1"/>
  <c r="AK542" i="26"/>
  <c r="AL542" i="26" s="1"/>
  <c r="AJ542" i="26"/>
  <c r="T542" i="26" s="1"/>
  <c r="V542" i="26" s="1"/>
  <c r="AI541" i="26"/>
  <c r="AH541" i="26"/>
  <c r="AG541" i="26"/>
  <c r="Q541" i="26"/>
  <c r="R552" i="26" s="1"/>
  <c r="U552" i="26" s="1"/>
  <c r="AK540" i="26"/>
  <c r="AL540" i="26" s="1"/>
  <c r="AJ540" i="26"/>
  <c r="T540" i="26" s="1"/>
  <c r="V540" i="26" s="1"/>
  <c r="AK539" i="26"/>
  <c r="AL539" i="26" s="1"/>
  <c r="AJ539" i="26"/>
  <c r="T539" i="26" s="1"/>
  <c r="V539" i="26" s="1"/>
  <c r="AK538" i="26"/>
  <c r="AL538" i="26" s="1"/>
  <c r="AJ538" i="26"/>
  <c r="T538" i="26" s="1"/>
  <c r="V538" i="26" s="1"/>
  <c r="AK537" i="26"/>
  <c r="AL537" i="26" s="1"/>
  <c r="AJ537" i="26"/>
  <c r="T537" i="26" s="1"/>
  <c r="V537" i="26" s="1"/>
  <c r="AK536" i="26"/>
  <c r="AL536" i="26" s="1"/>
  <c r="AJ536" i="26"/>
  <c r="T536" i="26" s="1"/>
  <c r="V536" i="26" s="1"/>
  <c r="AI535" i="26"/>
  <c r="AH535" i="26"/>
  <c r="AG535" i="26"/>
  <c r="Q535" i="26"/>
  <c r="R538" i="26" s="1"/>
  <c r="U538" i="26" s="1"/>
  <c r="AK534" i="26"/>
  <c r="AL534" i="26" s="1"/>
  <c r="AJ534" i="26"/>
  <c r="T534" i="26" s="1"/>
  <c r="V534" i="26" s="1"/>
  <c r="AK533" i="26"/>
  <c r="AL533" i="26" s="1"/>
  <c r="AJ533" i="26"/>
  <c r="T533" i="26" s="1"/>
  <c r="V533" i="26" s="1"/>
  <c r="AK532" i="26"/>
  <c r="AL532" i="26" s="1"/>
  <c r="AJ532" i="26"/>
  <c r="T532" i="26" s="1"/>
  <c r="V532" i="26" s="1"/>
  <c r="AK531" i="26"/>
  <c r="AL531" i="26" s="1"/>
  <c r="AJ531" i="26"/>
  <c r="T531" i="26" s="1"/>
  <c r="V531" i="26" s="1"/>
  <c r="AK530" i="26"/>
  <c r="AL530" i="26" s="1"/>
  <c r="AJ530" i="26"/>
  <c r="T530" i="26" s="1"/>
  <c r="V530" i="26" s="1"/>
  <c r="AK529" i="26"/>
  <c r="AL529" i="26" s="1"/>
  <c r="AJ529" i="26"/>
  <c r="T529" i="26" s="1"/>
  <c r="V529" i="26" s="1"/>
  <c r="AK528" i="26"/>
  <c r="AL528" i="26" s="1"/>
  <c r="AJ528" i="26"/>
  <c r="T528" i="26" s="1"/>
  <c r="V528" i="26" s="1"/>
  <c r="AK527" i="26"/>
  <c r="AL527" i="26" s="1"/>
  <c r="AJ527" i="26"/>
  <c r="T527" i="26" s="1"/>
  <c r="V527" i="26" s="1"/>
  <c r="AK526" i="26"/>
  <c r="AL526" i="26" s="1"/>
  <c r="AJ526" i="26"/>
  <c r="T526" i="26" s="1"/>
  <c r="V526" i="26" s="1"/>
  <c r="AK525" i="26"/>
  <c r="AJ525" i="26"/>
  <c r="T525" i="26" s="1"/>
  <c r="V525" i="26" s="1"/>
  <c r="AI524" i="26"/>
  <c r="AH524" i="26"/>
  <c r="AG524" i="26"/>
  <c r="Q524" i="26"/>
  <c r="R533" i="26" s="1"/>
  <c r="AK523" i="26"/>
  <c r="AL523" i="26" s="1"/>
  <c r="AJ523" i="26"/>
  <c r="T523" i="26" s="1"/>
  <c r="V523" i="26" s="1"/>
  <c r="AK522" i="26"/>
  <c r="AL522" i="26" s="1"/>
  <c r="AJ522" i="26"/>
  <c r="T522" i="26" s="1"/>
  <c r="V522" i="26" s="1"/>
  <c r="AK521" i="26"/>
  <c r="AL521" i="26" s="1"/>
  <c r="AJ521" i="26"/>
  <c r="T521" i="26" s="1"/>
  <c r="V521" i="26" s="1"/>
  <c r="AK520" i="26"/>
  <c r="AL520" i="26" s="1"/>
  <c r="AJ520" i="26"/>
  <c r="T520" i="26" s="1"/>
  <c r="V520" i="26" s="1"/>
  <c r="AK519" i="26"/>
  <c r="AL519" i="26" s="1"/>
  <c r="AJ519" i="26"/>
  <c r="T519" i="26" s="1"/>
  <c r="V519" i="26" s="1"/>
  <c r="AK518" i="26"/>
  <c r="AL518" i="26" s="1"/>
  <c r="AJ518" i="26"/>
  <c r="T518" i="26" s="1"/>
  <c r="V518" i="26" s="1"/>
  <c r="AI517" i="26"/>
  <c r="AH517" i="26"/>
  <c r="AG517" i="26"/>
  <c r="Q517" i="26"/>
  <c r="R519" i="26" s="1"/>
  <c r="AK516" i="26"/>
  <c r="AL516" i="26" s="1"/>
  <c r="AJ516" i="26"/>
  <c r="T516" i="26" s="1"/>
  <c r="V516" i="26" s="1"/>
  <c r="AK515" i="26"/>
  <c r="AL515" i="26" s="1"/>
  <c r="AJ515" i="26"/>
  <c r="T515" i="26" s="1"/>
  <c r="V515" i="26" s="1"/>
  <c r="AK514" i="26"/>
  <c r="AL514" i="26" s="1"/>
  <c r="AJ514" i="26"/>
  <c r="T514" i="26" s="1"/>
  <c r="V514" i="26" s="1"/>
  <c r="AK513" i="26"/>
  <c r="AL513" i="26" s="1"/>
  <c r="AJ513" i="26"/>
  <c r="T513" i="26" s="1"/>
  <c r="V513" i="26" s="1"/>
  <c r="AK512" i="26"/>
  <c r="AL512" i="26" s="1"/>
  <c r="AJ512" i="26"/>
  <c r="T512" i="26" s="1"/>
  <c r="V512" i="26" s="1"/>
  <c r="AK511" i="26"/>
  <c r="AL511" i="26" s="1"/>
  <c r="AJ511" i="26"/>
  <c r="T511" i="26" s="1"/>
  <c r="V511" i="26" s="1"/>
  <c r="AK510" i="26"/>
  <c r="AL510" i="26" s="1"/>
  <c r="AJ510" i="26"/>
  <c r="T510" i="26" s="1"/>
  <c r="V510" i="26" s="1"/>
  <c r="AI509" i="26"/>
  <c r="AH509" i="26"/>
  <c r="AG509" i="26"/>
  <c r="Q509" i="26"/>
  <c r="AK508" i="26"/>
  <c r="AL508" i="26" s="1"/>
  <c r="AJ508" i="26"/>
  <c r="T508" i="26" s="1"/>
  <c r="AK507" i="26"/>
  <c r="AL507" i="26" s="1"/>
  <c r="AJ507" i="26"/>
  <c r="T507" i="26" s="1"/>
  <c r="V507" i="26" s="1"/>
  <c r="AK506" i="26"/>
  <c r="AL506" i="26" s="1"/>
  <c r="AJ506" i="26"/>
  <c r="T506" i="26" s="1"/>
  <c r="AI505" i="26"/>
  <c r="Q505" i="26"/>
  <c r="R506" i="26" s="1"/>
  <c r="A505" i="26"/>
  <c r="A509" i="26" s="1"/>
  <c r="A517" i="26" s="1"/>
  <c r="A524" i="26" s="1"/>
  <c r="A535" i="26" s="1"/>
  <c r="A541" i="26" s="1"/>
  <c r="A554" i="26" s="1"/>
  <c r="A563" i="26" s="1"/>
  <c r="A571" i="26" s="1"/>
  <c r="A585" i="26" s="1"/>
  <c r="A599" i="26" s="1"/>
  <c r="A609" i="26" s="1"/>
  <c r="A625" i="26" s="1"/>
  <c r="A635" i="26" s="1"/>
  <c r="A645" i="26" s="1"/>
  <c r="A655" i="26" s="1"/>
  <c r="A660" i="26" s="1"/>
  <c r="A677" i="26" s="1"/>
  <c r="A686" i="26" s="1"/>
  <c r="AK504" i="26"/>
  <c r="AL504" i="26" s="1"/>
  <c r="AJ504" i="26"/>
  <c r="T504" i="26" s="1"/>
  <c r="V504" i="26" s="1"/>
  <c r="AK503" i="26"/>
  <c r="AL503" i="26" s="1"/>
  <c r="AJ503" i="26"/>
  <c r="T503" i="26" s="1"/>
  <c r="V503" i="26" s="1"/>
  <c r="AK502" i="26"/>
  <c r="AL502" i="26" s="1"/>
  <c r="AJ502" i="26"/>
  <c r="T502" i="26" s="1"/>
  <c r="V502" i="26" s="1"/>
  <c r="AK501" i="26"/>
  <c r="AL501" i="26" s="1"/>
  <c r="AJ501" i="26"/>
  <c r="T501" i="26" s="1"/>
  <c r="V501" i="26" s="1"/>
  <c r="AK500" i="26"/>
  <c r="AL500" i="26" s="1"/>
  <c r="AJ500" i="26"/>
  <c r="T500" i="26" s="1"/>
  <c r="V500" i="26" s="1"/>
  <c r="AK499" i="26"/>
  <c r="AL499" i="26" s="1"/>
  <c r="AJ499" i="26"/>
  <c r="T499" i="26" s="1"/>
  <c r="V499" i="26" s="1"/>
  <c r="AK498" i="26"/>
  <c r="AL498" i="26" s="1"/>
  <c r="AJ498" i="26"/>
  <c r="T498" i="26" s="1"/>
  <c r="V498" i="26" s="1"/>
  <c r="AK497" i="26"/>
  <c r="AL497" i="26" s="1"/>
  <c r="AJ497" i="26"/>
  <c r="T497" i="26" s="1"/>
  <c r="V497" i="26" s="1"/>
  <c r="AK496" i="26"/>
  <c r="AL496" i="26" s="1"/>
  <c r="AJ496" i="26"/>
  <c r="T496" i="26" s="1"/>
  <c r="V496" i="26" s="1"/>
  <c r="AK495" i="26"/>
  <c r="AL495" i="26" s="1"/>
  <c r="AJ495" i="26"/>
  <c r="T495" i="26" s="1"/>
  <c r="V495" i="26" s="1"/>
  <c r="AI494" i="26"/>
  <c r="AH494" i="26"/>
  <c r="AG494" i="26"/>
  <c r="Q494" i="26"/>
  <c r="AK493" i="26"/>
  <c r="AL493" i="26" s="1"/>
  <c r="AJ493" i="26"/>
  <c r="T493" i="26" s="1"/>
  <c r="V493" i="26" s="1"/>
  <c r="AK492" i="26"/>
  <c r="AL492" i="26" s="1"/>
  <c r="AJ492" i="26"/>
  <c r="T492" i="26" s="1"/>
  <c r="V492" i="26" s="1"/>
  <c r="AK491" i="26"/>
  <c r="AL491" i="26" s="1"/>
  <c r="AJ491" i="26"/>
  <c r="T491" i="26" s="1"/>
  <c r="V491" i="26" s="1"/>
  <c r="AK490" i="26"/>
  <c r="AL490" i="26" s="1"/>
  <c r="AJ490" i="26"/>
  <c r="T490" i="26" s="1"/>
  <c r="V490" i="26" s="1"/>
  <c r="AK489" i="26"/>
  <c r="AL489" i="26" s="1"/>
  <c r="AJ489" i="26"/>
  <c r="T489" i="26" s="1"/>
  <c r="V489" i="26" s="1"/>
  <c r="AK488" i="26"/>
  <c r="AL488" i="26" s="1"/>
  <c r="AJ488" i="26"/>
  <c r="T488" i="26" s="1"/>
  <c r="V488" i="26" s="1"/>
  <c r="AI487" i="26"/>
  <c r="AH487" i="26"/>
  <c r="AG487" i="26"/>
  <c r="AF487" i="26"/>
  <c r="AE487" i="26"/>
  <c r="AD487" i="26"/>
  <c r="AC487" i="26"/>
  <c r="AA487" i="26"/>
  <c r="Z487" i="26"/>
  <c r="Y487" i="26"/>
  <c r="X487" i="26"/>
  <c r="Q487" i="26"/>
  <c r="R491" i="26" s="1"/>
  <c r="P487" i="26"/>
  <c r="AJ486" i="26"/>
  <c r="T486" i="26" s="1"/>
  <c r="V486" i="26" s="1"/>
  <c r="AK485" i="26"/>
  <c r="AL485" i="26" s="1"/>
  <c r="AJ485" i="26"/>
  <c r="T485" i="26" s="1"/>
  <c r="V485" i="26" s="1"/>
  <c r="AK484" i="26"/>
  <c r="AL484" i="26" s="1"/>
  <c r="AJ484" i="26"/>
  <c r="T484" i="26" s="1"/>
  <c r="V484" i="26" s="1"/>
  <c r="AK483" i="26"/>
  <c r="AL483" i="26" s="1"/>
  <c r="AJ483" i="26"/>
  <c r="T483" i="26" s="1"/>
  <c r="V483" i="26" s="1"/>
  <c r="AK482" i="26"/>
  <c r="AL482" i="26" s="1"/>
  <c r="AJ482" i="26"/>
  <c r="T482" i="26" s="1"/>
  <c r="V482" i="26" s="1"/>
  <c r="AK481" i="26"/>
  <c r="AL481" i="26" s="1"/>
  <c r="AJ481" i="26"/>
  <c r="T481" i="26" s="1"/>
  <c r="V481" i="26" s="1"/>
  <c r="AK480" i="26"/>
  <c r="AL480" i="26" s="1"/>
  <c r="AJ480" i="26"/>
  <c r="T480" i="26" s="1"/>
  <c r="V480" i="26" s="1"/>
  <c r="AK479" i="26"/>
  <c r="AL479" i="26" s="1"/>
  <c r="AJ479" i="26"/>
  <c r="T479" i="26" s="1"/>
  <c r="V479" i="26" s="1"/>
  <c r="AI478" i="26"/>
  <c r="AH478" i="26"/>
  <c r="AG478" i="26"/>
  <c r="AF478" i="26"/>
  <c r="AE478" i="26"/>
  <c r="AD478" i="26"/>
  <c r="AC478" i="26"/>
  <c r="AA478" i="26"/>
  <c r="Z478" i="26"/>
  <c r="Y478" i="26"/>
  <c r="X478" i="26"/>
  <c r="Q478" i="26"/>
  <c r="R483" i="26" s="1"/>
  <c r="P478" i="26"/>
  <c r="AK477" i="26"/>
  <c r="AL477" i="26" s="1"/>
  <c r="AJ477" i="26"/>
  <c r="T477" i="26" s="1"/>
  <c r="V477" i="26" s="1"/>
  <c r="AK476" i="26"/>
  <c r="AL476" i="26" s="1"/>
  <c r="AJ476" i="26"/>
  <c r="T476" i="26" s="1"/>
  <c r="V476" i="26" s="1"/>
  <c r="AK475" i="26"/>
  <c r="AL475" i="26" s="1"/>
  <c r="AJ475" i="26"/>
  <c r="T475" i="26" s="1"/>
  <c r="V475" i="26" s="1"/>
  <c r="AJ474" i="26"/>
  <c r="T474" i="26" s="1"/>
  <c r="V474" i="26" s="1"/>
  <c r="AJ473" i="26"/>
  <c r="T473" i="26" s="1"/>
  <c r="V473" i="26" s="1"/>
  <c r="AK472" i="26"/>
  <c r="AL472" i="26" s="1"/>
  <c r="AJ472" i="26"/>
  <c r="T472" i="26" s="1"/>
  <c r="V472" i="26" s="1"/>
  <c r="AK471" i="26"/>
  <c r="AL471" i="26" s="1"/>
  <c r="AJ471" i="26"/>
  <c r="T471" i="26" s="1"/>
  <c r="V471" i="26" s="1"/>
  <c r="AK470" i="26"/>
  <c r="AL470" i="26" s="1"/>
  <c r="AJ470" i="26"/>
  <c r="T470" i="26" s="1"/>
  <c r="V470" i="26" s="1"/>
  <c r="AK469" i="26"/>
  <c r="AL469" i="26" s="1"/>
  <c r="AJ469" i="26"/>
  <c r="T469" i="26" s="1"/>
  <c r="V469" i="26" s="1"/>
  <c r="AK468" i="26"/>
  <c r="AL468" i="26" s="1"/>
  <c r="AJ468" i="26"/>
  <c r="T468" i="26" s="1"/>
  <c r="V468" i="26" s="1"/>
  <c r="AK467" i="26"/>
  <c r="AL467" i="26" s="1"/>
  <c r="AJ467" i="26"/>
  <c r="T467" i="26" s="1"/>
  <c r="V467" i="26" s="1"/>
  <c r="AK466" i="26"/>
  <c r="AL466" i="26" s="1"/>
  <c r="AJ466" i="26"/>
  <c r="T466" i="26" s="1"/>
  <c r="V466" i="26" s="1"/>
  <c r="AI465" i="26"/>
  <c r="AH465" i="26"/>
  <c r="AG465" i="26"/>
  <c r="AF465" i="26"/>
  <c r="AE465" i="26"/>
  <c r="AD465" i="26"/>
  <c r="AC465" i="26"/>
  <c r="AA465" i="26"/>
  <c r="Z465" i="26"/>
  <c r="Y465" i="26"/>
  <c r="X465" i="26"/>
  <c r="Q465" i="26"/>
  <c r="R475" i="26" s="1"/>
  <c r="P465" i="26"/>
  <c r="AK464" i="26"/>
  <c r="AL464" i="26" s="1"/>
  <c r="AJ464" i="26"/>
  <c r="T464" i="26" s="1"/>
  <c r="V464" i="26" s="1"/>
  <c r="AK463" i="26"/>
  <c r="AL463" i="26" s="1"/>
  <c r="AJ463" i="26"/>
  <c r="T463" i="26" s="1"/>
  <c r="V463" i="26" s="1"/>
  <c r="AK462" i="26"/>
  <c r="AL462" i="26" s="1"/>
  <c r="AJ462" i="26"/>
  <c r="T462" i="26" s="1"/>
  <c r="V462" i="26" s="1"/>
  <c r="AK461" i="26"/>
  <c r="AL461" i="26" s="1"/>
  <c r="AJ461" i="26"/>
  <c r="T461" i="26" s="1"/>
  <c r="V461" i="26" s="1"/>
  <c r="AK460" i="26"/>
  <c r="AL460" i="26" s="1"/>
  <c r="AJ460" i="26"/>
  <c r="T460" i="26" s="1"/>
  <c r="V460" i="26" s="1"/>
  <c r="AI459" i="26"/>
  <c r="AH459" i="26"/>
  <c r="AG459" i="26"/>
  <c r="AF459" i="26"/>
  <c r="AE459" i="26"/>
  <c r="AD459" i="26"/>
  <c r="AC459" i="26"/>
  <c r="AA459" i="26"/>
  <c r="Z459" i="26"/>
  <c r="Y459" i="26"/>
  <c r="X459" i="26"/>
  <c r="Q459" i="26"/>
  <c r="R464" i="26" s="1"/>
  <c r="P459" i="26"/>
  <c r="AK458" i="26"/>
  <c r="AL458" i="26" s="1"/>
  <c r="AJ458" i="26"/>
  <c r="T458" i="26" s="1"/>
  <c r="AK457" i="26"/>
  <c r="AL457" i="26" s="1"/>
  <c r="AJ457" i="26"/>
  <c r="T457" i="26" s="1"/>
  <c r="V457" i="26" s="1"/>
  <c r="AK456" i="26"/>
  <c r="AL456" i="26" s="1"/>
  <c r="AJ456" i="26"/>
  <c r="T456" i="26" s="1"/>
  <c r="V456" i="26" s="1"/>
  <c r="AK455" i="26"/>
  <c r="AL455" i="26" s="1"/>
  <c r="AJ455" i="26"/>
  <c r="T455" i="26" s="1"/>
  <c r="V455" i="26" s="1"/>
  <c r="AK454" i="26"/>
  <c r="AL454" i="26" s="1"/>
  <c r="AJ454" i="26"/>
  <c r="T454" i="26" s="1"/>
  <c r="V454" i="26" s="1"/>
  <c r="AK453" i="26"/>
  <c r="AL453" i="26" s="1"/>
  <c r="AJ453" i="26"/>
  <c r="T453" i="26" s="1"/>
  <c r="V453" i="26" s="1"/>
  <c r="AK452" i="26"/>
  <c r="AL452" i="26" s="1"/>
  <c r="AJ452" i="26"/>
  <c r="T452" i="26" s="1"/>
  <c r="V452" i="26" s="1"/>
  <c r="AK451" i="26"/>
  <c r="AL451" i="26" s="1"/>
  <c r="AJ451" i="26"/>
  <c r="T451" i="26" s="1"/>
  <c r="V451" i="26" s="1"/>
  <c r="AK450" i="26"/>
  <c r="AL450" i="26" s="1"/>
  <c r="AJ450" i="26"/>
  <c r="T450" i="26" s="1"/>
  <c r="V450" i="26" s="1"/>
  <c r="AK449" i="26"/>
  <c r="AL449" i="26" s="1"/>
  <c r="AJ449" i="26"/>
  <c r="T449" i="26" s="1"/>
  <c r="V449" i="26" s="1"/>
  <c r="AK448" i="26"/>
  <c r="AL448" i="26" s="1"/>
  <c r="AJ448" i="26"/>
  <c r="T448" i="26" s="1"/>
  <c r="V448" i="26" s="1"/>
  <c r="AK447" i="26"/>
  <c r="AL447" i="26" s="1"/>
  <c r="AJ447" i="26"/>
  <c r="T447" i="26" s="1"/>
  <c r="V447" i="26" s="1"/>
  <c r="AI446" i="26"/>
  <c r="AH446" i="26"/>
  <c r="AG446" i="26"/>
  <c r="AF446" i="26"/>
  <c r="AE446" i="26"/>
  <c r="AD446" i="26"/>
  <c r="AC446" i="26"/>
  <c r="AA446" i="26"/>
  <c r="Z446" i="26"/>
  <c r="Y446" i="26"/>
  <c r="X446" i="26"/>
  <c r="Q446" i="26"/>
  <c r="R457" i="26" s="1"/>
  <c r="U457" i="26" s="1"/>
  <c r="P446" i="26"/>
  <c r="AK445" i="26"/>
  <c r="AL445" i="26" s="1"/>
  <c r="AJ445" i="26"/>
  <c r="T445" i="26" s="1"/>
  <c r="V445" i="26" s="1"/>
  <c r="AK444" i="26"/>
  <c r="AL444" i="26" s="1"/>
  <c r="AJ444" i="26"/>
  <c r="T444" i="26" s="1"/>
  <c r="V444" i="26" s="1"/>
  <c r="AK443" i="26"/>
  <c r="AL443" i="26" s="1"/>
  <c r="AJ443" i="26"/>
  <c r="T443" i="26" s="1"/>
  <c r="V443" i="26" s="1"/>
  <c r="AK442" i="26"/>
  <c r="AL442" i="26" s="1"/>
  <c r="AJ442" i="26"/>
  <c r="T442" i="26" s="1"/>
  <c r="V442" i="26" s="1"/>
  <c r="AK441" i="26"/>
  <c r="AL441" i="26" s="1"/>
  <c r="AJ441" i="26"/>
  <c r="T441" i="26" s="1"/>
  <c r="V441" i="26" s="1"/>
  <c r="AK440" i="26"/>
  <c r="AL440" i="26" s="1"/>
  <c r="AJ440" i="26"/>
  <c r="T440" i="26" s="1"/>
  <c r="V440" i="26" s="1"/>
  <c r="AK439" i="26"/>
  <c r="AL439" i="26" s="1"/>
  <c r="AJ439" i="26"/>
  <c r="T439" i="26" s="1"/>
  <c r="V439" i="26" s="1"/>
  <c r="AK438" i="26"/>
  <c r="AL438" i="26" s="1"/>
  <c r="AJ438" i="26"/>
  <c r="T438" i="26" s="1"/>
  <c r="V438" i="26" s="1"/>
  <c r="AI437" i="26"/>
  <c r="AH437" i="26"/>
  <c r="AG437" i="26"/>
  <c r="AF437" i="26"/>
  <c r="AE437" i="26"/>
  <c r="AD437" i="26"/>
  <c r="AC437" i="26"/>
  <c r="AA437" i="26"/>
  <c r="Z437" i="26"/>
  <c r="Y437" i="26"/>
  <c r="X437" i="26"/>
  <c r="Q437" i="26"/>
  <c r="R438" i="26" s="1"/>
  <c r="P437" i="26"/>
  <c r="AK436" i="26"/>
  <c r="AL436" i="26" s="1"/>
  <c r="AJ436" i="26"/>
  <c r="T436" i="26" s="1"/>
  <c r="AK435" i="26"/>
  <c r="AL435" i="26" s="1"/>
  <c r="AJ435" i="26"/>
  <c r="T435" i="26" s="1"/>
  <c r="V435" i="26" s="1"/>
  <c r="AK434" i="26"/>
  <c r="AL434" i="26" s="1"/>
  <c r="AJ434" i="26"/>
  <c r="T434" i="26" s="1"/>
  <c r="V434" i="26" s="1"/>
  <c r="AK433" i="26"/>
  <c r="AL433" i="26" s="1"/>
  <c r="AJ433" i="26"/>
  <c r="T433" i="26" s="1"/>
  <c r="V433" i="26" s="1"/>
  <c r="AK432" i="26"/>
  <c r="AL432" i="26" s="1"/>
  <c r="AJ432" i="26"/>
  <c r="T432" i="26" s="1"/>
  <c r="V432" i="26" s="1"/>
  <c r="AK431" i="26"/>
  <c r="AL431" i="26" s="1"/>
  <c r="AJ431" i="26"/>
  <c r="T431" i="26" s="1"/>
  <c r="V431" i="26" s="1"/>
  <c r="AK430" i="26"/>
  <c r="AL430" i="26" s="1"/>
  <c r="AJ430" i="26"/>
  <c r="T430" i="26" s="1"/>
  <c r="V430" i="26" s="1"/>
  <c r="AK429" i="26"/>
  <c r="AL429" i="26" s="1"/>
  <c r="AJ429" i="26"/>
  <c r="T429" i="26" s="1"/>
  <c r="V429" i="26" s="1"/>
  <c r="AK428" i="26"/>
  <c r="AL428" i="26" s="1"/>
  <c r="AJ428" i="26"/>
  <c r="T428" i="26" s="1"/>
  <c r="AK427" i="26"/>
  <c r="AL427" i="26" s="1"/>
  <c r="AJ427" i="26"/>
  <c r="T427" i="26" s="1"/>
  <c r="V427" i="26" s="1"/>
  <c r="AK426" i="26"/>
  <c r="AL426" i="26" s="1"/>
  <c r="AJ426" i="26"/>
  <c r="T426" i="26" s="1"/>
  <c r="AK425" i="26"/>
  <c r="AL425" i="26" s="1"/>
  <c r="AJ425" i="26"/>
  <c r="T425" i="26" s="1"/>
  <c r="V425" i="26" s="1"/>
  <c r="AI424" i="26"/>
  <c r="AH424" i="26"/>
  <c r="AG424" i="26"/>
  <c r="AF424" i="26"/>
  <c r="AE424" i="26"/>
  <c r="AD424" i="26"/>
  <c r="AC424" i="26"/>
  <c r="AA424" i="26"/>
  <c r="Z424" i="26"/>
  <c r="Y424" i="26"/>
  <c r="X424" i="26"/>
  <c r="Q424" i="26"/>
  <c r="R433" i="26" s="1"/>
  <c r="P424" i="26"/>
  <c r="A424" i="26"/>
  <c r="A437" i="26" s="1"/>
  <c r="A446" i="26" s="1"/>
  <c r="A459" i="26" s="1"/>
  <c r="A465" i="26" s="1"/>
  <c r="AK423" i="26"/>
  <c r="AL423" i="26" s="1"/>
  <c r="AJ423" i="26"/>
  <c r="T423" i="26" s="1"/>
  <c r="V423" i="26" s="1"/>
  <c r="AK422" i="26"/>
  <c r="AL422" i="26" s="1"/>
  <c r="AJ422" i="26"/>
  <c r="T422" i="26" s="1"/>
  <c r="V422" i="26" s="1"/>
  <c r="AK421" i="26"/>
  <c r="AL421" i="26" s="1"/>
  <c r="AJ421" i="26"/>
  <c r="T421" i="26" s="1"/>
  <c r="V421" i="26" s="1"/>
  <c r="AK420" i="26"/>
  <c r="AL420" i="26" s="1"/>
  <c r="AJ420" i="26"/>
  <c r="T420" i="26" s="1"/>
  <c r="V420" i="26" s="1"/>
  <c r="AK419" i="26"/>
  <c r="AL419" i="26" s="1"/>
  <c r="AJ419" i="26"/>
  <c r="T419" i="26" s="1"/>
  <c r="V419" i="26" s="1"/>
  <c r="AK418" i="26"/>
  <c r="AL418" i="26" s="1"/>
  <c r="AJ418" i="26"/>
  <c r="T418" i="26" s="1"/>
  <c r="V418" i="26" s="1"/>
  <c r="AK417" i="26"/>
  <c r="AL417" i="26" s="1"/>
  <c r="AJ417" i="26"/>
  <c r="T417" i="26" s="1"/>
  <c r="V417" i="26" s="1"/>
  <c r="AK416" i="26"/>
  <c r="AL416" i="26" s="1"/>
  <c r="AJ416" i="26"/>
  <c r="T416" i="26" s="1"/>
  <c r="V416" i="26" s="1"/>
  <c r="AK415" i="26"/>
  <c r="AL415" i="26" s="1"/>
  <c r="AJ415" i="26"/>
  <c r="T415" i="26" s="1"/>
  <c r="V415" i="26" s="1"/>
  <c r="AK414" i="26"/>
  <c r="AL414" i="26" s="1"/>
  <c r="AJ414" i="26"/>
  <c r="T414" i="26" s="1"/>
  <c r="V414" i="26" s="1"/>
  <c r="AH413" i="26"/>
  <c r="AG413" i="26"/>
  <c r="AF413" i="26"/>
  <c r="AE413" i="26"/>
  <c r="AD413" i="26"/>
  <c r="AC413" i="26"/>
  <c r="AA413" i="26"/>
  <c r="Z413" i="26"/>
  <c r="Y413" i="26"/>
  <c r="X413" i="26"/>
  <c r="Q413" i="26"/>
  <c r="R423" i="26" s="1"/>
  <c r="P413" i="26"/>
  <c r="AK412" i="26"/>
  <c r="AL412" i="26" s="1"/>
  <c r="AJ412" i="26"/>
  <c r="T412" i="26" s="1"/>
  <c r="AK411" i="26"/>
  <c r="AL411" i="26" s="1"/>
  <c r="AJ411" i="26"/>
  <c r="T411" i="26" s="1"/>
  <c r="V411" i="26" s="1"/>
  <c r="AK410" i="26"/>
  <c r="AL410" i="26" s="1"/>
  <c r="AJ410" i="26"/>
  <c r="T410" i="26" s="1"/>
  <c r="V410" i="26" s="1"/>
  <c r="AK409" i="26"/>
  <c r="AL409" i="26" s="1"/>
  <c r="AJ409" i="26"/>
  <c r="T409" i="26" s="1"/>
  <c r="V409" i="26" s="1"/>
  <c r="AK408" i="26"/>
  <c r="AL408" i="26" s="1"/>
  <c r="AJ408" i="26"/>
  <c r="T408" i="26" s="1"/>
  <c r="V408" i="26" s="1"/>
  <c r="AK407" i="26"/>
  <c r="AL407" i="26" s="1"/>
  <c r="AJ407" i="26"/>
  <c r="T407" i="26" s="1"/>
  <c r="V407" i="26" s="1"/>
  <c r="AK406" i="26"/>
  <c r="AL406" i="26" s="1"/>
  <c r="AJ406" i="26"/>
  <c r="T406" i="26" s="1"/>
  <c r="V406" i="26" s="1"/>
  <c r="AK405" i="26"/>
  <c r="AL405" i="26" s="1"/>
  <c r="AJ405" i="26"/>
  <c r="T405" i="26" s="1"/>
  <c r="V405" i="26" s="1"/>
  <c r="AK404" i="26"/>
  <c r="AL404" i="26" s="1"/>
  <c r="AJ404" i="26"/>
  <c r="T404" i="26" s="1"/>
  <c r="V404" i="26" s="1"/>
  <c r="AK403" i="26"/>
  <c r="AL403" i="26" s="1"/>
  <c r="AJ403" i="26"/>
  <c r="T403" i="26" s="1"/>
  <c r="V403" i="26" s="1"/>
  <c r="AK402" i="26"/>
  <c r="AL402" i="26" s="1"/>
  <c r="AJ402" i="26"/>
  <c r="T402" i="26" s="1"/>
  <c r="AK401" i="26"/>
  <c r="AL401" i="26" s="1"/>
  <c r="AJ401" i="26"/>
  <c r="T401" i="26" s="1"/>
  <c r="V401" i="26" s="1"/>
  <c r="AK400" i="26"/>
  <c r="AL400" i="26" s="1"/>
  <c r="AJ400" i="26"/>
  <c r="T400" i="26" s="1"/>
  <c r="V400" i="26" s="1"/>
  <c r="AK399" i="26"/>
  <c r="AL399" i="26" s="1"/>
  <c r="AJ399" i="26"/>
  <c r="T399" i="26" s="1"/>
  <c r="V399" i="26" s="1"/>
  <c r="AI398" i="26"/>
  <c r="AH398" i="26"/>
  <c r="AG398" i="26"/>
  <c r="AF398" i="26"/>
  <c r="AE398" i="26"/>
  <c r="AD398" i="26"/>
  <c r="AC398" i="26"/>
  <c r="AA398" i="26"/>
  <c r="Z398" i="26"/>
  <c r="Y398" i="26"/>
  <c r="X398" i="26"/>
  <c r="Q398" i="26"/>
  <c r="R407" i="26" s="1"/>
  <c r="U407" i="26" s="1"/>
  <c r="P398" i="26"/>
  <c r="AK397" i="26"/>
  <c r="AL397" i="26" s="1"/>
  <c r="AJ397" i="26"/>
  <c r="T397" i="26" s="1"/>
  <c r="V397" i="26" s="1"/>
  <c r="AK396" i="26"/>
  <c r="AL396" i="26" s="1"/>
  <c r="AJ396" i="26"/>
  <c r="T396" i="26" s="1"/>
  <c r="V396" i="26" s="1"/>
  <c r="AK395" i="26"/>
  <c r="AL395" i="26" s="1"/>
  <c r="AJ395" i="26"/>
  <c r="T395" i="26" s="1"/>
  <c r="V395" i="26" s="1"/>
  <c r="AK394" i="26"/>
  <c r="AL394" i="26" s="1"/>
  <c r="AJ394" i="26"/>
  <c r="T394" i="26" s="1"/>
  <c r="AK393" i="26"/>
  <c r="AL393" i="26" s="1"/>
  <c r="AJ393" i="26"/>
  <c r="T393" i="26" s="1"/>
  <c r="V393" i="26" s="1"/>
  <c r="AK392" i="26"/>
  <c r="AL392" i="26" s="1"/>
  <c r="AJ392" i="26"/>
  <c r="T392" i="26" s="1"/>
  <c r="V392" i="26" s="1"/>
  <c r="AK391" i="26"/>
  <c r="AL391" i="26" s="1"/>
  <c r="AJ391" i="26"/>
  <c r="T391" i="26" s="1"/>
  <c r="V391" i="26" s="1"/>
  <c r="AI390" i="26"/>
  <c r="AH390" i="26"/>
  <c r="AG390" i="26"/>
  <c r="AF390" i="26"/>
  <c r="AE390" i="26"/>
  <c r="AD390" i="26"/>
  <c r="AC390" i="26"/>
  <c r="AA390" i="26"/>
  <c r="Z390" i="26"/>
  <c r="Y390" i="26"/>
  <c r="X390" i="26"/>
  <c r="Q390" i="26"/>
  <c r="R393" i="26" s="1"/>
  <c r="P390" i="26"/>
  <c r="AK389" i="26"/>
  <c r="AL389" i="26" s="1"/>
  <c r="AJ389" i="26"/>
  <c r="T389" i="26" s="1"/>
  <c r="AK388" i="26"/>
  <c r="AL388" i="26" s="1"/>
  <c r="AJ388" i="26"/>
  <c r="T388" i="26" s="1"/>
  <c r="V388" i="26" s="1"/>
  <c r="AK387" i="26"/>
  <c r="AL387" i="26" s="1"/>
  <c r="AJ387" i="26"/>
  <c r="T387" i="26" s="1"/>
  <c r="V387" i="26" s="1"/>
  <c r="AK386" i="26"/>
  <c r="AL386" i="26" s="1"/>
  <c r="AJ386" i="26"/>
  <c r="T386" i="26" s="1"/>
  <c r="V386" i="26" s="1"/>
  <c r="AK385" i="26"/>
  <c r="AL385" i="26" s="1"/>
  <c r="AJ385" i="26"/>
  <c r="T385" i="26" s="1"/>
  <c r="V385" i="26" s="1"/>
  <c r="AK384" i="26"/>
  <c r="AL384" i="26" s="1"/>
  <c r="AJ384" i="26"/>
  <c r="T384" i="26" s="1"/>
  <c r="V384" i="26" s="1"/>
  <c r="AK383" i="26"/>
  <c r="AL383" i="26" s="1"/>
  <c r="AJ383" i="26"/>
  <c r="T383" i="26" s="1"/>
  <c r="V383" i="26" s="1"/>
  <c r="AK382" i="26"/>
  <c r="AL382" i="26" s="1"/>
  <c r="AJ382" i="26"/>
  <c r="T382" i="26" s="1"/>
  <c r="V382" i="26" s="1"/>
  <c r="AK381" i="26"/>
  <c r="AL381" i="26" s="1"/>
  <c r="AJ381" i="26"/>
  <c r="T381" i="26" s="1"/>
  <c r="V381" i="26" s="1"/>
  <c r="AK380" i="26"/>
  <c r="AL380" i="26" s="1"/>
  <c r="AJ380" i="26"/>
  <c r="T380" i="26" s="1"/>
  <c r="V380" i="26" s="1"/>
  <c r="AK379" i="26"/>
  <c r="AL379" i="26" s="1"/>
  <c r="AJ379" i="26"/>
  <c r="T379" i="26" s="1"/>
  <c r="AK378" i="26"/>
  <c r="AL378" i="26" s="1"/>
  <c r="AJ378" i="26"/>
  <c r="T378" i="26" s="1"/>
  <c r="V378" i="26" s="1"/>
  <c r="AK377" i="26"/>
  <c r="AL377" i="26" s="1"/>
  <c r="AJ377" i="26"/>
  <c r="T377" i="26" s="1"/>
  <c r="V377" i="26" s="1"/>
  <c r="AK376" i="26"/>
  <c r="AL376" i="26" s="1"/>
  <c r="AJ376" i="26"/>
  <c r="T376" i="26" s="1"/>
  <c r="V376" i="26" s="1"/>
  <c r="AK375" i="26"/>
  <c r="AL375" i="26" s="1"/>
  <c r="AJ375" i="26"/>
  <c r="T375" i="26" s="1"/>
  <c r="V375" i="26" s="1"/>
  <c r="AI374" i="26"/>
  <c r="AH374" i="26"/>
  <c r="AG374" i="26"/>
  <c r="AF374" i="26"/>
  <c r="AE374" i="26"/>
  <c r="AD374" i="26"/>
  <c r="AC374" i="26"/>
  <c r="AA374" i="26"/>
  <c r="Z374" i="26"/>
  <c r="Y374" i="26"/>
  <c r="X374" i="26"/>
  <c r="Q374" i="26"/>
  <c r="P374" i="26"/>
  <c r="AK373" i="26"/>
  <c r="AL373" i="26" s="1"/>
  <c r="AJ373" i="26"/>
  <c r="T373" i="26" s="1"/>
  <c r="AK372" i="26"/>
  <c r="AL372" i="26" s="1"/>
  <c r="AJ372" i="26"/>
  <c r="T372" i="26" s="1"/>
  <c r="V372" i="26" s="1"/>
  <c r="AK371" i="26"/>
  <c r="AL371" i="26" s="1"/>
  <c r="AJ371" i="26"/>
  <c r="T371" i="26" s="1"/>
  <c r="V371" i="26" s="1"/>
  <c r="AK370" i="26"/>
  <c r="AL370" i="26" s="1"/>
  <c r="AJ370" i="26"/>
  <c r="T370" i="26" s="1"/>
  <c r="V370" i="26" s="1"/>
  <c r="AK369" i="26"/>
  <c r="AL369" i="26" s="1"/>
  <c r="AJ369" i="26"/>
  <c r="T369" i="26" s="1"/>
  <c r="V369" i="26" s="1"/>
  <c r="AK368" i="26"/>
  <c r="AL368" i="26" s="1"/>
  <c r="AJ368" i="26"/>
  <c r="T368" i="26" s="1"/>
  <c r="V368" i="26" s="1"/>
  <c r="AK367" i="26"/>
  <c r="AL367" i="26" s="1"/>
  <c r="AJ367" i="26"/>
  <c r="T367" i="26" s="1"/>
  <c r="AK366" i="26"/>
  <c r="AL366" i="26" s="1"/>
  <c r="AJ366" i="26"/>
  <c r="T366" i="26" s="1"/>
  <c r="V366" i="26" s="1"/>
  <c r="AK365" i="26"/>
  <c r="AL365" i="26" s="1"/>
  <c r="AJ365" i="26"/>
  <c r="T365" i="26" s="1"/>
  <c r="V365" i="26" s="1"/>
  <c r="AK364" i="26"/>
  <c r="AL364" i="26" s="1"/>
  <c r="AJ364" i="26"/>
  <c r="T364" i="26" s="1"/>
  <c r="V364" i="26" s="1"/>
  <c r="AI363" i="26"/>
  <c r="AH363" i="26"/>
  <c r="AG363" i="26"/>
  <c r="AF363" i="26"/>
  <c r="AE363" i="26"/>
  <c r="AD363" i="26"/>
  <c r="AC363" i="26"/>
  <c r="AA363" i="26"/>
  <c r="Z363" i="26"/>
  <c r="Y363" i="26"/>
  <c r="X363" i="26"/>
  <c r="Q363" i="26"/>
  <c r="R371" i="26" s="1"/>
  <c r="P363" i="26"/>
  <c r="AK362" i="26"/>
  <c r="AL362" i="26" s="1"/>
  <c r="AJ362" i="26"/>
  <c r="T362" i="26" s="1"/>
  <c r="V362" i="26" s="1"/>
  <c r="AK361" i="26"/>
  <c r="AL361" i="26" s="1"/>
  <c r="AJ361" i="26"/>
  <c r="T361" i="26" s="1"/>
  <c r="V361" i="26" s="1"/>
  <c r="AK360" i="26"/>
  <c r="AL360" i="26" s="1"/>
  <c r="AJ360" i="26"/>
  <c r="T360" i="26" s="1"/>
  <c r="V360" i="26" s="1"/>
  <c r="AK359" i="26"/>
  <c r="AL359" i="26" s="1"/>
  <c r="AJ359" i="26"/>
  <c r="T359" i="26" s="1"/>
  <c r="V359" i="26" s="1"/>
  <c r="AK358" i="26"/>
  <c r="AL358" i="26" s="1"/>
  <c r="AJ358" i="26"/>
  <c r="T358" i="26" s="1"/>
  <c r="V358" i="26" s="1"/>
  <c r="AK357" i="26"/>
  <c r="AL357" i="26" s="1"/>
  <c r="AJ357" i="26"/>
  <c r="T357" i="26" s="1"/>
  <c r="V357" i="26" s="1"/>
  <c r="AK356" i="26"/>
  <c r="AL356" i="26" s="1"/>
  <c r="AJ356" i="26"/>
  <c r="T356" i="26" s="1"/>
  <c r="V356" i="26" s="1"/>
  <c r="AK355" i="26"/>
  <c r="AL355" i="26" s="1"/>
  <c r="AJ355" i="26"/>
  <c r="T355" i="26" s="1"/>
  <c r="V355" i="26" s="1"/>
  <c r="AK354" i="26"/>
  <c r="AL354" i="26" s="1"/>
  <c r="AJ354" i="26"/>
  <c r="T354" i="26" s="1"/>
  <c r="V354" i="26" s="1"/>
  <c r="AK353" i="26"/>
  <c r="AL353" i="26" s="1"/>
  <c r="AJ353" i="26"/>
  <c r="T353" i="26" s="1"/>
  <c r="V353" i="26" s="1"/>
  <c r="AK352" i="26"/>
  <c r="AL352" i="26" s="1"/>
  <c r="AJ352" i="26"/>
  <c r="T352" i="26" s="1"/>
  <c r="V352" i="26" s="1"/>
  <c r="AK351" i="26"/>
  <c r="AL351" i="26" s="1"/>
  <c r="AJ351" i="26"/>
  <c r="T351" i="26" s="1"/>
  <c r="V351" i="26" s="1"/>
  <c r="AK350" i="26"/>
  <c r="AL350" i="26" s="1"/>
  <c r="AJ350" i="26"/>
  <c r="T350" i="26" s="1"/>
  <c r="V350" i="26" s="1"/>
  <c r="AI349" i="26"/>
  <c r="AH349" i="26"/>
  <c r="AG349" i="26"/>
  <c r="AF349" i="26"/>
  <c r="AE349" i="26"/>
  <c r="AD349" i="26"/>
  <c r="AC349" i="26"/>
  <c r="AA349" i="26"/>
  <c r="Z349" i="26"/>
  <c r="Y349" i="26"/>
  <c r="X349" i="26"/>
  <c r="Q349" i="26"/>
  <c r="R356" i="26" s="1"/>
  <c r="P349" i="26"/>
  <c r="A349" i="26"/>
  <c r="A363" i="26" s="1"/>
  <c r="A374" i="26" s="1"/>
  <c r="A390" i="26" s="1"/>
  <c r="A398" i="26" s="1"/>
  <c r="AK348" i="26"/>
  <c r="AL348" i="26" s="1"/>
  <c r="AJ348" i="26"/>
  <c r="T348" i="26" s="1"/>
  <c r="V348" i="26" s="1"/>
  <c r="AK347" i="26"/>
  <c r="AL347" i="26" s="1"/>
  <c r="AJ347" i="26"/>
  <c r="T347" i="26" s="1"/>
  <c r="AK346" i="26"/>
  <c r="AL346" i="26" s="1"/>
  <c r="AJ346" i="26"/>
  <c r="T346" i="26" s="1"/>
  <c r="V346" i="26" s="1"/>
  <c r="AK345" i="26"/>
  <c r="AL345" i="26" s="1"/>
  <c r="AJ345" i="26"/>
  <c r="T345" i="26" s="1"/>
  <c r="AK344" i="26"/>
  <c r="AL344" i="26" s="1"/>
  <c r="AJ344" i="26"/>
  <c r="T344" i="26" s="1"/>
  <c r="V344" i="26" s="1"/>
  <c r="AK343" i="26"/>
  <c r="AL343" i="26" s="1"/>
  <c r="AJ343" i="26"/>
  <c r="T343" i="26" s="1"/>
  <c r="AK342" i="26"/>
  <c r="AL342" i="26" s="1"/>
  <c r="AJ342" i="26"/>
  <c r="T342" i="26" s="1"/>
  <c r="V342" i="26" s="1"/>
  <c r="AK341" i="26"/>
  <c r="AL341" i="26" s="1"/>
  <c r="AJ341" i="26"/>
  <c r="T341" i="26" s="1"/>
  <c r="AK340" i="26"/>
  <c r="AL340" i="26" s="1"/>
  <c r="AJ340" i="26"/>
  <c r="T340" i="26" s="1"/>
  <c r="V340" i="26" s="1"/>
  <c r="AK339" i="26"/>
  <c r="AL339" i="26" s="1"/>
  <c r="AJ339" i="26"/>
  <c r="T339" i="26" s="1"/>
  <c r="AK338" i="26"/>
  <c r="AL338" i="26" s="1"/>
  <c r="AJ338" i="26"/>
  <c r="T338" i="26" s="1"/>
  <c r="V338" i="26" s="1"/>
  <c r="AI337" i="26"/>
  <c r="AH337" i="26"/>
  <c r="AG337" i="26"/>
  <c r="AF337" i="26"/>
  <c r="AE337" i="26"/>
  <c r="AD337" i="26"/>
  <c r="AC337" i="26"/>
  <c r="AA337" i="26"/>
  <c r="Z337" i="26"/>
  <c r="Y337" i="26"/>
  <c r="X337" i="26"/>
  <c r="Q337" i="26"/>
  <c r="R348" i="26" s="1"/>
  <c r="P337" i="26"/>
  <c r="AK336" i="26"/>
  <c r="AL336" i="26" s="1"/>
  <c r="AJ336" i="26"/>
  <c r="T336" i="26" s="1"/>
  <c r="V336" i="26" s="1"/>
  <c r="AK335" i="26"/>
  <c r="AL335" i="26" s="1"/>
  <c r="AJ335" i="26"/>
  <c r="T335" i="26" s="1"/>
  <c r="V335" i="26" s="1"/>
  <c r="AK334" i="26"/>
  <c r="AL334" i="26" s="1"/>
  <c r="AJ334" i="26"/>
  <c r="T334" i="26" s="1"/>
  <c r="V334" i="26" s="1"/>
  <c r="AK333" i="26"/>
  <c r="AL333" i="26" s="1"/>
  <c r="AJ333" i="26"/>
  <c r="T333" i="26" s="1"/>
  <c r="V333" i="26" s="1"/>
  <c r="AK332" i="26"/>
  <c r="AL332" i="26" s="1"/>
  <c r="AJ332" i="26"/>
  <c r="T332" i="26" s="1"/>
  <c r="V332" i="26" s="1"/>
  <c r="AI331" i="26"/>
  <c r="AH331" i="26"/>
  <c r="AG331" i="26"/>
  <c r="AF331" i="26"/>
  <c r="AE331" i="26"/>
  <c r="AD331" i="26"/>
  <c r="AC331" i="26"/>
  <c r="AA331" i="26"/>
  <c r="Z331" i="26"/>
  <c r="Y331" i="26"/>
  <c r="X331" i="26"/>
  <c r="Q331" i="26"/>
  <c r="P331" i="26"/>
  <c r="AK330" i="26"/>
  <c r="AL330" i="26" s="1"/>
  <c r="AJ330" i="26"/>
  <c r="T330" i="26" s="1"/>
  <c r="AK329" i="26"/>
  <c r="AL329" i="26" s="1"/>
  <c r="AJ329" i="26"/>
  <c r="T329" i="26" s="1"/>
  <c r="AK328" i="26"/>
  <c r="AL328" i="26" s="1"/>
  <c r="AJ328" i="26"/>
  <c r="T328" i="26" s="1"/>
  <c r="V328" i="26" s="1"/>
  <c r="AK327" i="26"/>
  <c r="AL327" i="26" s="1"/>
  <c r="AK326" i="26"/>
  <c r="AL326" i="26" s="1"/>
  <c r="AJ326" i="26"/>
  <c r="T326" i="26" s="1"/>
  <c r="AK325" i="26"/>
  <c r="AL325" i="26" s="1"/>
  <c r="AJ325" i="26"/>
  <c r="T325" i="26" s="1"/>
  <c r="V325" i="26" s="1"/>
  <c r="AK324" i="26"/>
  <c r="AL324" i="26" s="1"/>
  <c r="AJ324" i="26"/>
  <c r="T324" i="26" s="1"/>
  <c r="AK323" i="26"/>
  <c r="AL323" i="26" s="1"/>
  <c r="AJ323" i="26"/>
  <c r="T323" i="26" s="1"/>
  <c r="AK322" i="26"/>
  <c r="AL322" i="26" s="1"/>
  <c r="AJ322" i="26"/>
  <c r="T322" i="26" s="1"/>
  <c r="AJ321" i="26"/>
  <c r="T321" i="26" s="1"/>
  <c r="AK320" i="26"/>
  <c r="AL320" i="26" s="1"/>
  <c r="AJ320" i="26"/>
  <c r="T320" i="26" s="1"/>
  <c r="V320" i="26" s="1"/>
  <c r="AK319" i="26"/>
  <c r="AL319" i="26" s="1"/>
  <c r="AJ319" i="26"/>
  <c r="T319" i="26" s="1"/>
  <c r="V319" i="26" s="1"/>
  <c r="AH318" i="26"/>
  <c r="AG318" i="26"/>
  <c r="AF318" i="26"/>
  <c r="AE318" i="26"/>
  <c r="AD318" i="26"/>
  <c r="AC318" i="26"/>
  <c r="AA318" i="26"/>
  <c r="Z318" i="26"/>
  <c r="Y318" i="26"/>
  <c r="X318" i="26"/>
  <c r="Q318" i="26"/>
  <c r="R330" i="26" s="1"/>
  <c r="P318" i="26"/>
  <c r="AK317" i="26"/>
  <c r="AL317" i="26" s="1"/>
  <c r="AJ317" i="26"/>
  <c r="T317" i="26" s="1"/>
  <c r="AK316" i="26"/>
  <c r="AL316" i="26" s="1"/>
  <c r="AJ316" i="26"/>
  <c r="T316" i="26" s="1"/>
  <c r="V316" i="26" s="1"/>
  <c r="AK315" i="26"/>
  <c r="AL315" i="26" s="1"/>
  <c r="AJ315" i="26"/>
  <c r="T315" i="26" s="1"/>
  <c r="V315" i="26" s="1"/>
  <c r="AK314" i="26"/>
  <c r="AL314" i="26" s="1"/>
  <c r="AJ314" i="26"/>
  <c r="T314" i="26" s="1"/>
  <c r="V314" i="26" s="1"/>
  <c r="AK313" i="26"/>
  <c r="AL313" i="26" s="1"/>
  <c r="AJ313" i="26"/>
  <c r="T313" i="26" s="1"/>
  <c r="V313" i="26" s="1"/>
  <c r="AK312" i="26"/>
  <c r="AL312" i="26" s="1"/>
  <c r="AJ312" i="26"/>
  <c r="T312" i="26" s="1"/>
  <c r="V312" i="26" s="1"/>
  <c r="AI311" i="26"/>
  <c r="AH311" i="26"/>
  <c r="AG311" i="26"/>
  <c r="AF311" i="26"/>
  <c r="AE311" i="26"/>
  <c r="AD311" i="26"/>
  <c r="AC311" i="26"/>
  <c r="AA311" i="26"/>
  <c r="Z311" i="26"/>
  <c r="Y311" i="26"/>
  <c r="X311" i="26"/>
  <c r="Q311" i="26"/>
  <c r="AK310" i="26"/>
  <c r="AL310" i="26" s="1"/>
  <c r="AJ310" i="26"/>
  <c r="T310" i="26" s="1"/>
  <c r="V310" i="26" s="1"/>
  <c r="AK309" i="26"/>
  <c r="AL309" i="26" s="1"/>
  <c r="AJ309" i="26"/>
  <c r="T309" i="26" s="1"/>
  <c r="V309" i="26" s="1"/>
  <c r="AK308" i="26"/>
  <c r="AL308" i="26" s="1"/>
  <c r="AJ308" i="26"/>
  <c r="T308" i="26" s="1"/>
  <c r="V308" i="26" s="1"/>
  <c r="AK307" i="26"/>
  <c r="AL307" i="26" s="1"/>
  <c r="AJ307" i="26"/>
  <c r="T307" i="26" s="1"/>
  <c r="V307" i="26" s="1"/>
  <c r="AK306" i="26"/>
  <c r="AL306" i="26" s="1"/>
  <c r="AJ306" i="26"/>
  <c r="T306" i="26" s="1"/>
  <c r="V306" i="26" s="1"/>
  <c r="AK305" i="26"/>
  <c r="AL305" i="26" s="1"/>
  <c r="AJ305" i="26"/>
  <c r="T305" i="26" s="1"/>
  <c r="V305" i="26" s="1"/>
  <c r="AI304" i="26"/>
  <c r="AH304" i="26"/>
  <c r="AG304" i="26"/>
  <c r="AF304" i="26"/>
  <c r="AE304" i="26"/>
  <c r="AD304" i="26"/>
  <c r="AC304" i="26"/>
  <c r="AA304" i="26"/>
  <c r="Z304" i="26"/>
  <c r="Y304" i="26"/>
  <c r="X304" i="26"/>
  <c r="Q304" i="26"/>
  <c r="R307" i="26" s="1"/>
  <c r="U307" i="26" s="1"/>
  <c r="P304" i="26"/>
  <c r="AK303" i="26"/>
  <c r="AL303" i="26" s="1"/>
  <c r="AJ303" i="26"/>
  <c r="T303" i="26" s="1"/>
  <c r="V303" i="26" s="1"/>
  <c r="AK302" i="26"/>
  <c r="AL302" i="26" s="1"/>
  <c r="AJ302" i="26"/>
  <c r="T302" i="26" s="1"/>
  <c r="V302" i="26" s="1"/>
  <c r="AK301" i="26"/>
  <c r="AL301" i="26" s="1"/>
  <c r="AJ301" i="26"/>
  <c r="T301" i="26" s="1"/>
  <c r="V301" i="26" s="1"/>
  <c r="AK300" i="26"/>
  <c r="AL300" i="26" s="1"/>
  <c r="AJ300" i="26"/>
  <c r="T300" i="26" s="1"/>
  <c r="V300" i="26" s="1"/>
  <c r="AK299" i="26"/>
  <c r="AL299" i="26" s="1"/>
  <c r="AJ299" i="26"/>
  <c r="T299" i="26" s="1"/>
  <c r="V299" i="26" s="1"/>
  <c r="AK298" i="26"/>
  <c r="AL298" i="26" s="1"/>
  <c r="AJ298" i="26"/>
  <c r="T298" i="26" s="1"/>
  <c r="V298" i="26" s="1"/>
  <c r="AK297" i="26"/>
  <c r="AL297" i="26" s="1"/>
  <c r="AJ297" i="26"/>
  <c r="T297" i="26" s="1"/>
  <c r="V297" i="26" s="1"/>
  <c r="AK296" i="26"/>
  <c r="AL296" i="26" s="1"/>
  <c r="AJ296" i="26"/>
  <c r="T296" i="26" s="1"/>
  <c r="V296" i="26" s="1"/>
  <c r="AK295" i="26"/>
  <c r="AL295" i="26" s="1"/>
  <c r="AJ295" i="26"/>
  <c r="T295" i="26" s="1"/>
  <c r="V295" i="26" s="1"/>
  <c r="AK294" i="26"/>
  <c r="AL294" i="26" s="1"/>
  <c r="AJ294" i="26"/>
  <c r="T294" i="26" s="1"/>
  <c r="V294" i="26" s="1"/>
  <c r="AI293" i="26"/>
  <c r="AH293" i="26"/>
  <c r="AG293" i="26"/>
  <c r="AF293" i="26"/>
  <c r="AE293" i="26"/>
  <c r="AD293" i="26"/>
  <c r="AC293" i="26"/>
  <c r="AA293" i="26"/>
  <c r="Z293" i="26"/>
  <c r="Y293" i="26"/>
  <c r="X293" i="26"/>
  <c r="Q293" i="26"/>
  <c r="P293" i="26"/>
  <c r="AK292" i="26"/>
  <c r="AL292" i="26" s="1"/>
  <c r="AJ292" i="26"/>
  <c r="T292" i="26" s="1"/>
  <c r="V292" i="26" s="1"/>
  <c r="AK291" i="26"/>
  <c r="AL291" i="26" s="1"/>
  <c r="AJ291" i="26"/>
  <c r="T291" i="26" s="1"/>
  <c r="V291" i="26" s="1"/>
  <c r="AK290" i="26"/>
  <c r="AL290" i="26" s="1"/>
  <c r="AJ290" i="26"/>
  <c r="T290" i="26" s="1"/>
  <c r="V290" i="26" s="1"/>
  <c r="AK289" i="26"/>
  <c r="AL289" i="26" s="1"/>
  <c r="AJ289" i="26"/>
  <c r="T289" i="26" s="1"/>
  <c r="V289" i="26" s="1"/>
  <c r="AK288" i="26"/>
  <c r="AL288" i="26" s="1"/>
  <c r="AJ288" i="26"/>
  <c r="T288" i="26" s="1"/>
  <c r="V288" i="26" s="1"/>
  <c r="AK287" i="26"/>
  <c r="AL287" i="26" s="1"/>
  <c r="AJ287" i="26"/>
  <c r="T287" i="26" s="1"/>
  <c r="V287" i="26" s="1"/>
  <c r="AI286" i="26"/>
  <c r="AH286" i="26"/>
  <c r="AG286" i="26"/>
  <c r="AF286" i="26"/>
  <c r="AE286" i="26"/>
  <c r="AD286" i="26"/>
  <c r="AC286" i="26"/>
  <c r="AA286" i="26"/>
  <c r="Z286" i="26"/>
  <c r="Y286" i="26"/>
  <c r="X286" i="26"/>
  <c r="Q286" i="26"/>
  <c r="R291" i="26" s="1"/>
  <c r="U291" i="26" s="1"/>
  <c r="P286" i="26"/>
  <c r="AK285" i="26"/>
  <c r="AL285" i="26" s="1"/>
  <c r="AJ285" i="26"/>
  <c r="T285" i="26" s="1"/>
  <c r="V285" i="26" s="1"/>
  <c r="AK284" i="26"/>
  <c r="AL284" i="26" s="1"/>
  <c r="AJ284" i="26"/>
  <c r="T284" i="26" s="1"/>
  <c r="V284" i="26" s="1"/>
  <c r="AK283" i="26"/>
  <c r="AL283" i="26" s="1"/>
  <c r="AJ283" i="26"/>
  <c r="T283" i="26" s="1"/>
  <c r="V283" i="26" s="1"/>
  <c r="AK282" i="26"/>
  <c r="AL282" i="26" s="1"/>
  <c r="AJ282" i="26"/>
  <c r="T282" i="26" s="1"/>
  <c r="V282" i="26" s="1"/>
  <c r="AK281" i="26"/>
  <c r="AL281" i="26" s="1"/>
  <c r="AJ281" i="26"/>
  <c r="T281" i="26" s="1"/>
  <c r="V281" i="26" s="1"/>
  <c r="AK280" i="26"/>
  <c r="AL280" i="26" s="1"/>
  <c r="AJ280" i="26"/>
  <c r="T280" i="26" s="1"/>
  <c r="V280" i="26" s="1"/>
  <c r="AK279" i="26"/>
  <c r="AL279" i="26" s="1"/>
  <c r="AJ279" i="26"/>
  <c r="T279" i="26" s="1"/>
  <c r="V279" i="26" s="1"/>
  <c r="AK278" i="26"/>
  <c r="AL278" i="26" s="1"/>
  <c r="AJ278" i="26"/>
  <c r="T278" i="26" s="1"/>
  <c r="V278" i="26" s="1"/>
  <c r="AK277" i="26"/>
  <c r="AL277" i="26" s="1"/>
  <c r="AJ277" i="26"/>
  <c r="T277" i="26" s="1"/>
  <c r="V277" i="26" s="1"/>
  <c r="AK276" i="26"/>
  <c r="AL276" i="26" s="1"/>
  <c r="AJ276" i="26"/>
  <c r="T276" i="26" s="1"/>
  <c r="V276" i="26" s="1"/>
  <c r="AI275" i="26"/>
  <c r="AH275" i="26"/>
  <c r="AG275" i="26"/>
  <c r="AF275" i="26"/>
  <c r="AE275" i="26"/>
  <c r="AD275" i="26"/>
  <c r="AC275" i="26"/>
  <c r="AA275" i="26"/>
  <c r="Z275" i="26"/>
  <c r="Y275" i="26"/>
  <c r="X275" i="26"/>
  <c r="Q275" i="26"/>
  <c r="R273" i="26" s="1"/>
  <c r="P275" i="26"/>
  <c r="AK274" i="26"/>
  <c r="AL274" i="26" s="1"/>
  <c r="AJ274" i="26"/>
  <c r="T274" i="26" s="1"/>
  <c r="AK273" i="26"/>
  <c r="AL273" i="26" s="1"/>
  <c r="AJ273" i="26"/>
  <c r="T273" i="26" s="1"/>
  <c r="V273" i="26" s="1"/>
  <c r="AK272" i="26"/>
  <c r="AL272" i="26" s="1"/>
  <c r="AJ272" i="26"/>
  <c r="T272" i="26" s="1"/>
  <c r="AK271" i="26"/>
  <c r="AL271" i="26" s="1"/>
  <c r="AJ271" i="26"/>
  <c r="T271" i="26" s="1"/>
  <c r="V271" i="26" s="1"/>
  <c r="AK270" i="26"/>
  <c r="AL270" i="26" s="1"/>
  <c r="AJ270" i="26"/>
  <c r="T270" i="26" s="1"/>
  <c r="V270" i="26" s="1"/>
  <c r="AK269" i="26"/>
  <c r="AL269" i="26" s="1"/>
  <c r="AJ269" i="26"/>
  <c r="T269" i="26" s="1"/>
  <c r="V269" i="26" s="1"/>
  <c r="AK268" i="26"/>
  <c r="AL268" i="26" s="1"/>
  <c r="AJ268" i="26"/>
  <c r="T268" i="26" s="1"/>
  <c r="V268" i="26" s="1"/>
  <c r="AI267" i="26"/>
  <c r="AH267" i="26"/>
  <c r="AF267" i="26"/>
  <c r="AE267" i="26"/>
  <c r="AD267" i="26"/>
  <c r="AC267" i="26"/>
  <c r="AA267" i="26"/>
  <c r="Z267" i="26"/>
  <c r="Y267" i="26"/>
  <c r="X267" i="26"/>
  <c r="Q267" i="26"/>
  <c r="P267" i="26"/>
  <c r="AK266" i="26"/>
  <c r="AL266" i="26" s="1"/>
  <c r="AJ266" i="26"/>
  <c r="T266" i="26" s="1"/>
  <c r="V266" i="26" s="1"/>
  <c r="AK265" i="26"/>
  <c r="AL265" i="26" s="1"/>
  <c r="AJ265" i="26"/>
  <c r="T265" i="26" s="1"/>
  <c r="V265" i="26" s="1"/>
  <c r="AK264" i="26"/>
  <c r="AL264" i="26" s="1"/>
  <c r="AJ264" i="26"/>
  <c r="T264" i="26" s="1"/>
  <c r="V264" i="26" s="1"/>
  <c r="AK263" i="26"/>
  <c r="AL263" i="26" s="1"/>
  <c r="AJ263" i="26"/>
  <c r="T263" i="26" s="1"/>
  <c r="V263" i="26" s="1"/>
  <c r="AK262" i="26"/>
  <c r="AL262" i="26" s="1"/>
  <c r="AJ262" i="26"/>
  <c r="T262" i="26" s="1"/>
  <c r="V262" i="26" s="1"/>
  <c r="AK261" i="26"/>
  <c r="AL261" i="26" s="1"/>
  <c r="AJ261" i="26"/>
  <c r="T261" i="26" s="1"/>
  <c r="V261" i="26" s="1"/>
  <c r="AK260" i="26"/>
  <c r="AL260" i="26" s="1"/>
  <c r="AJ260" i="26"/>
  <c r="T260" i="26" s="1"/>
  <c r="V260" i="26" s="1"/>
  <c r="AK259" i="26"/>
  <c r="AL259" i="26" s="1"/>
  <c r="AJ259" i="26"/>
  <c r="T259" i="26" s="1"/>
  <c r="V259" i="26" s="1"/>
  <c r="AK258" i="26"/>
  <c r="AL258" i="26" s="1"/>
  <c r="AJ258" i="26"/>
  <c r="T258" i="26" s="1"/>
  <c r="V258" i="26" s="1"/>
  <c r="AK257" i="26"/>
  <c r="AL257" i="26" s="1"/>
  <c r="AJ257" i="26"/>
  <c r="T257" i="26" s="1"/>
  <c r="V257" i="26" s="1"/>
  <c r="AK256" i="26"/>
  <c r="AL256" i="26" s="1"/>
  <c r="AJ256" i="26"/>
  <c r="T256" i="26" s="1"/>
  <c r="V256" i="26" s="1"/>
  <c r="AK255" i="26"/>
  <c r="AL255" i="26" s="1"/>
  <c r="AJ255" i="26"/>
  <c r="T255" i="26" s="1"/>
  <c r="V255" i="26" s="1"/>
  <c r="AI254" i="26"/>
  <c r="AH254" i="26"/>
  <c r="AG254" i="26"/>
  <c r="AF254" i="26"/>
  <c r="AE254" i="26"/>
  <c r="AD254" i="26"/>
  <c r="AC254" i="26"/>
  <c r="AA254" i="26"/>
  <c r="Z254" i="26"/>
  <c r="Y254" i="26"/>
  <c r="X254" i="26"/>
  <c r="Q254" i="26"/>
  <c r="P254" i="26"/>
  <c r="AK253" i="26"/>
  <c r="AL253" i="26" s="1"/>
  <c r="AJ253" i="26"/>
  <c r="T253" i="26" s="1"/>
  <c r="V253" i="26" s="1"/>
  <c r="AK252" i="26"/>
  <c r="AL252" i="26" s="1"/>
  <c r="AJ252" i="26"/>
  <c r="T252" i="26" s="1"/>
  <c r="V252" i="26" s="1"/>
  <c r="AK251" i="26"/>
  <c r="AL251" i="26" s="1"/>
  <c r="AJ251" i="26"/>
  <c r="T251" i="26" s="1"/>
  <c r="AK250" i="26"/>
  <c r="AL250" i="26" s="1"/>
  <c r="AJ250" i="26"/>
  <c r="T250" i="26" s="1"/>
  <c r="V250" i="26" s="1"/>
  <c r="AF250" i="26"/>
  <c r="AC250" i="26"/>
  <c r="Z250" i="26"/>
  <c r="W250" i="26"/>
  <c r="AK249" i="26"/>
  <c r="AL249" i="26" s="1"/>
  <c r="AJ249" i="26"/>
  <c r="T249" i="26" s="1"/>
  <c r="V249" i="26" s="1"/>
  <c r="AF249" i="26"/>
  <c r="AC249" i="26"/>
  <c r="Z249" i="26"/>
  <c r="W249" i="26"/>
  <c r="AK248" i="26"/>
  <c r="AL248" i="26" s="1"/>
  <c r="AJ248" i="26"/>
  <c r="T248" i="26" s="1"/>
  <c r="AF248" i="26"/>
  <c r="AC248" i="26"/>
  <c r="Z248" i="26"/>
  <c r="W248" i="26"/>
  <c r="Y248" i="26" s="1"/>
  <c r="AK247" i="26"/>
  <c r="AL247" i="26" s="1"/>
  <c r="AJ247" i="26"/>
  <c r="T247" i="26" s="1"/>
  <c r="V247" i="26" s="1"/>
  <c r="AF247" i="26"/>
  <c r="AC247" i="26"/>
  <c r="Z247" i="26"/>
  <c r="W247" i="26"/>
  <c r="AK246" i="26"/>
  <c r="AL246" i="26" s="1"/>
  <c r="AJ246" i="26"/>
  <c r="T246" i="26" s="1"/>
  <c r="V246" i="26" s="1"/>
  <c r="AF246" i="26"/>
  <c r="AC246" i="26"/>
  <c r="Z246" i="26"/>
  <c r="W246" i="26"/>
  <c r="AK245" i="26"/>
  <c r="AL245" i="26" s="1"/>
  <c r="AJ245" i="26"/>
  <c r="T245" i="26" s="1"/>
  <c r="V245" i="26" s="1"/>
  <c r="AF245" i="26"/>
  <c r="AC245" i="26"/>
  <c r="Z245" i="26"/>
  <c r="W245" i="26"/>
  <c r="AK244" i="26"/>
  <c r="AL244" i="26" s="1"/>
  <c r="AJ244" i="26"/>
  <c r="T244" i="26" s="1"/>
  <c r="V244" i="26" s="1"/>
  <c r="AF244" i="26"/>
  <c r="AC244" i="26"/>
  <c r="Z244" i="26"/>
  <c r="W244" i="26"/>
  <c r="AK243" i="26"/>
  <c r="AL243" i="26" s="1"/>
  <c r="AJ243" i="26"/>
  <c r="T243" i="26" s="1"/>
  <c r="V243" i="26" s="1"/>
  <c r="AF243" i="26"/>
  <c r="AC243" i="26"/>
  <c r="Z243" i="26"/>
  <c r="W243" i="26"/>
  <c r="AI242" i="26"/>
  <c r="AF242" i="26"/>
  <c r="AC242" i="26"/>
  <c r="Z242" i="26"/>
  <c r="W242" i="26"/>
  <c r="Q242" i="26"/>
  <c r="P242" i="26"/>
  <c r="AK241" i="26"/>
  <c r="AL241" i="26" s="1"/>
  <c r="AJ241" i="26"/>
  <c r="T241" i="26" s="1"/>
  <c r="V241" i="26" s="1"/>
  <c r="AK240" i="26"/>
  <c r="AL240" i="26" s="1"/>
  <c r="AJ240" i="26"/>
  <c r="T240" i="26" s="1"/>
  <c r="V240" i="26" s="1"/>
  <c r="AK239" i="26"/>
  <c r="AL239" i="26" s="1"/>
  <c r="AJ239" i="26"/>
  <c r="T239" i="26" s="1"/>
  <c r="V239" i="26" s="1"/>
  <c r="AK238" i="26"/>
  <c r="AL238" i="26" s="1"/>
  <c r="AJ238" i="26"/>
  <c r="T238" i="26" s="1"/>
  <c r="V238" i="26" s="1"/>
  <c r="AK237" i="26"/>
  <c r="AL237" i="26" s="1"/>
  <c r="AJ237" i="26"/>
  <c r="T237" i="26" s="1"/>
  <c r="V237" i="26" s="1"/>
  <c r="AK236" i="26"/>
  <c r="AL236" i="26" s="1"/>
  <c r="AJ236" i="26"/>
  <c r="T236" i="26" s="1"/>
  <c r="V236" i="26" s="1"/>
  <c r="AK235" i="26"/>
  <c r="AL235" i="26" s="1"/>
  <c r="AJ235" i="26"/>
  <c r="T235" i="26" s="1"/>
  <c r="V235" i="26" s="1"/>
  <c r="AK234" i="26"/>
  <c r="AL234" i="26" s="1"/>
  <c r="AJ234" i="26"/>
  <c r="T234" i="26" s="1"/>
  <c r="AI233" i="26"/>
  <c r="AH233" i="26"/>
  <c r="AG233" i="26"/>
  <c r="AF233" i="26"/>
  <c r="AE233" i="26"/>
  <c r="AD233" i="26"/>
  <c r="AC233" i="26"/>
  <c r="AA233" i="26"/>
  <c r="Z233" i="26"/>
  <c r="Y233" i="26"/>
  <c r="X233" i="26"/>
  <c r="Q233" i="26"/>
  <c r="R241" i="26" s="1"/>
  <c r="AK232" i="26"/>
  <c r="AL232" i="26" s="1"/>
  <c r="AJ232" i="26"/>
  <c r="T232" i="26" s="1"/>
  <c r="V232" i="26" s="1"/>
  <c r="AK231" i="26"/>
  <c r="AL231" i="26" s="1"/>
  <c r="AJ231" i="26"/>
  <c r="T231" i="26" s="1"/>
  <c r="V231" i="26" s="1"/>
  <c r="AK230" i="26"/>
  <c r="AL230" i="26" s="1"/>
  <c r="AJ230" i="26"/>
  <c r="T230" i="26" s="1"/>
  <c r="V230" i="26" s="1"/>
  <c r="AK229" i="26"/>
  <c r="AL229" i="26" s="1"/>
  <c r="AJ229" i="26"/>
  <c r="T229" i="26" s="1"/>
  <c r="V229" i="26" s="1"/>
  <c r="AK228" i="26"/>
  <c r="AL228" i="26" s="1"/>
  <c r="AJ228" i="26"/>
  <c r="T228" i="26" s="1"/>
  <c r="V228" i="26" s="1"/>
  <c r="AK227" i="26"/>
  <c r="AL227" i="26" s="1"/>
  <c r="AJ227" i="26"/>
  <c r="T227" i="26" s="1"/>
  <c r="V227" i="26" s="1"/>
  <c r="AK226" i="26"/>
  <c r="AL226" i="26" s="1"/>
  <c r="AJ226" i="26"/>
  <c r="T226" i="26" s="1"/>
  <c r="V226" i="26" s="1"/>
  <c r="AK225" i="26"/>
  <c r="AL225" i="26" s="1"/>
  <c r="AJ225" i="26"/>
  <c r="T225" i="26" s="1"/>
  <c r="V225" i="26" s="1"/>
  <c r="AK224" i="26"/>
  <c r="AL224" i="26" s="1"/>
  <c r="AJ224" i="26"/>
  <c r="T224" i="26" s="1"/>
  <c r="V224" i="26" s="1"/>
  <c r="AK223" i="26"/>
  <c r="AL223" i="26" s="1"/>
  <c r="AJ223" i="26"/>
  <c r="T223" i="26" s="1"/>
  <c r="V223" i="26" s="1"/>
  <c r="AK222" i="26"/>
  <c r="AL222" i="26" s="1"/>
  <c r="AJ222" i="26"/>
  <c r="T222" i="26" s="1"/>
  <c r="V222" i="26" s="1"/>
  <c r="AK221" i="26"/>
  <c r="AL221" i="26" s="1"/>
  <c r="AJ221" i="26"/>
  <c r="T221" i="26" s="1"/>
  <c r="V221" i="26" s="1"/>
  <c r="AK220" i="26"/>
  <c r="AL220" i="26" s="1"/>
  <c r="AJ220" i="26"/>
  <c r="T220" i="26" s="1"/>
  <c r="V220" i="26" s="1"/>
  <c r="AK219" i="26"/>
  <c r="AL219" i="26" s="1"/>
  <c r="AJ219" i="26"/>
  <c r="T219" i="26" s="1"/>
  <c r="V219" i="26" s="1"/>
  <c r="AK218" i="26"/>
  <c r="AL218" i="26" s="1"/>
  <c r="AJ218" i="26"/>
  <c r="T218" i="26" s="1"/>
  <c r="V218" i="26" s="1"/>
  <c r="AI217" i="26"/>
  <c r="AH217" i="26"/>
  <c r="AG217" i="26"/>
  <c r="AF217" i="26"/>
  <c r="AF216" i="26" s="1"/>
  <c r="AE217" i="26"/>
  <c r="AE216" i="26" s="1"/>
  <c r="AD217" i="26"/>
  <c r="AD216" i="26" s="1"/>
  <c r="AC217" i="26"/>
  <c r="AC216" i="26" s="1"/>
  <c r="AA217" i="26"/>
  <c r="AA216" i="26" s="1"/>
  <c r="Z217" i="26"/>
  <c r="Z216" i="26" s="1"/>
  <c r="Y217" i="26"/>
  <c r="Y216" i="26" s="1"/>
  <c r="X217" i="26"/>
  <c r="X216" i="26" s="1"/>
  <c r="Q217" i="26"/>
  <c r="P217" i="26"/>
  <c r="S216" i="26"/>
  <c r="AK215" i="26"/>
  <c r="AL215" i="26" s="1"/>
  <c r="AJ215" i="26"/>
  <c r="T215" i="26" s="1"/>
  <c r="AK214" i="26"/>
  <c r="AL214" i="26" s="1"/>
  <c r="AJ214" i="26"/>
  <c r="T214" i="26" s="1"/>
  <c r="V214" i="26" s="1"/>
  <c r="AK213" i="26"/>
  <c r="AL213" i="26" s="1"/>
  <c r="AJ213" i="26"/>
  <c r="T213" i="26" s="1"/>
  <c r="AK212" i="26"/>
  <c r="AL212" i="26" s="1"/>
  <c r="AJ212" i="26"/>
  <c r="T212" i="26" s="1"/>
  <c r="V212" i="26" s="1"/>
  <c r="AK211" i="26"/>
  <c r="AL211" i="26" s="1"/>
  <c r="AJ211" i="26"/>
  <c r="T211" i="26" s="1"/>
  <c r="V211" i="26" s="1"/>
  <c r="AK210" i="26"/>
  <c r="AL210" i="26" s="1"/>
  <c r="AJ210" i="26"/>
  <c r="T210" i="26" s="1"/>
  <c r="V210" i="26" s="1"/>
  <c r="AK209" i="26"/>
  <c r="AL209" i="26" s="1"/>
  <c r="AJ209" i="26"/>
  <c r="T209" i="26" s="1"/>
  <c r="V209" i="26" s="1"/>
  <c r="AI208" i="26"/>
  <c r="AI201" i="26" s="1"/>
  <c r="AH208" i="26"/>
  <c r="AG208" i="26"/>
  <c r="AF208" i="26"/>
  <c r="AE208" i="26"/>
  <c r="AD208" i="26"/>
  <c r="AC208" i="26"/>
  <c r="AA208" i="26"/>
  <c r="Z208" i="26"/>
  <c r="Y208" i="26"/>
  <c r="X208" i="26"/>
  <c r="Q208" i="26"/>
  <c r="P208" i="26"/>
  <c r="A208" i="26"/>
  <c r="A217" i="26" s="1"/>
  <c r="A233" i="26" s="1"/>
  <c r="A242" i="26" s="1"/>
  <c r="A254" i="26" s="1"/>
  <c r="A267" i="26" s="1"/>
  <c r="A275" i="26" s="1"/>
  <c r="A286" i="26" s="1"/>
  <c r="A293" i="26" s="1"/>
  <c r="A304" i="26" s="1"/>
  <c r="A311" i="26" s="1"/>
  <c r="A318" i="26" s="1"/>
  <c r="A331" i="26" s="1"/>
  <c r="AK207" i="26"/>
  <c r="AL207" i="26" s="1"/>
  <c r="AJ207" i="26"/>
  <c r="T207" i="26" s="1"/>
  <c r="AK206" i="26"/>
  <c r="AL206" i="26" s="1"/>
  <c r="AJ206" i="26"/>
  <c r="T206" i="26" s="1"/>
  <c r="V206" i="26" s="1"/>
  <c r="AK205" i="26"/>
  <c r="AL205" i="26" s="1"/>
  <c r="AJ205" i="26"/>
  <c r="T205" i="26" s="1"/>
  <c r="V205" i="26" s="1"/>
  <c r="AK204" i="26"/>
  <c r="AL204" i="26" s="1"/>
  <c r="AJ204" i="26"/>
  <c r="T204" i="26" s="1"/>
  <c r="V204" i="26" s="1"/>
  <c r="AK203" i="26"/>
  <c r="AL203" i="26" s="1"/>
  <c r="AJ203" i="26"/>
  <c r="T203" i="26" s="1"/>
  <c r="V203" i="26" s="1"/>
  <c r="AK202" i="26"/>
  <c r="AL202" i="26" s="1"/>
  <c r="AJ202" i="26"/>
  <c r="T202" i="26" s="1"/>
  <c r="AH201" i="26"/>
  <c r="AG201" i="26"/>
  <c r="AF201" i="26"/>
  <c r="AE201" i="26"/>
  <c r="AD201" i="26"/>
  <c r="AC201" i="26"/>
  <c r="AA201" i="26"/>
  <c r="Z201" i="26"/>
  <c r="Y201" i="26"/>
  <c r="X201" i="26"/>
  <c r="Q201" i="26"/>
  <c r="P201" i="26"/>
  <c r="AK200" i="26"/>
  <c r="AL200" i="26" s="1"/>
  <c r="AJ200" i="26"/>
  <c r="T200" i="26" s="1"/>
  <c r="V200" i="26" s="1"/>
  <c r="AH200" i="26"/>
  <c r="AG200" i="26"/>
  <c r="AF200" i="26"/>
  <c r="AE200" i="26"/>
  <c r="AD200" i="26"/>
  <c r="AC200" i="26"/>
  <c r="AA200" i="26"/>
  <c r="Z200" i="26"/>
  <c r="Y200" i="26"/>
  <c r="X200" i="26"/>
  <c r="AK199" i="26"/>
  <c r="AL199" i="26" s="1"/>
  <c r="AJ199" i="26"/>
  <c r="T199" i="26" s="1"/>
  <c r="V199" i="26" s="1"/>
  <c r="AH199" i="26"/>
  <c r="AG199" i="26"/>
  <c r="AF199" i="26"/>
  <c r="AE199" i="26"/>
  <c r="AD199" i="26"/>
  <c r="AC199" i="26"/>
  <c r="AA199" i="26"/>
  <c r="Z199" i="26"/>
  <c r="Y199" i="26"/>
  <c r="X199" i="26"/>
  <c r="AK198" i="26"/>
  <c r="AL198" i="26" s="1"/>
  <c r="AJ198" i="26"/>
  <c r="T198" i="26" s="1"/>
  <c r="V198" i="26" s="1"/>
  <c r="AH198" i="26"/>
  <c r="AG198" i="26"/>
  <c r="AF198" i="26"/>
  <c r="AE198" i="26"/>
  <c r="AD198" i="26"/>
  <c r="AC198" i="26"/>
  <c r="AA198" i="26"/>
  <c r="Z198" i="26"/>
  <c r="Y198" i="26"/>
  <c r="X198" i="26"/>
  <c r="AK197" i="26"/>
  <c r="AL197" i="26" s="1"/>
  <c r="AJ197" i="26"/>
  <c r="T197" i="26" s="1"/>
  <c r="V197" i="26" s="1"/>
  <c r="AH197" i="26"/>
  <c r="AG197" i="26"/>
  <c r="AF197" i="26"/>
  <c r="AE197" i="26"/>
  <c r="AD197" i="26"/>
  <c r="AC197" i="26"/>
  <c r="AA197" i="26"/>
  <c r="Z197" i="26"/>
  <c r="Y197" i="26"/>
  <c r="X197" i="26"/>
  <c r="AK196" i="26"/>
  <c r="AL196" i="26" s="1"/>
  <c r="AJ196" i="26"/>
  <c r="T196" i="26" s="1"/>
  <c r="V196" i="26" s="1"/>
  <c r="AH196" i="26"/>
  <c r="AG196" i="26"/>
  <c r="AF196" i="26"/>
  <c r="AE196" i="26"/>
  <c r="AD196" i="26"/>
  <c r="AC196" i="26"/>
  <c r="AA196" i="26"/>
  <c r="Z196" i="26"/>
  <c r="Y196" i="26"/>
  <c r="X196" i="26"/>
  <c r="AI195" i="26"/>
  <c r="AH195" i="26"/>
  <c r="AG195" i="26"/>
  <c r="AF195" i="26"/>
  <c r="AE195" i="26"/>
  <c r="AD195" i="26"/>
  <c r="AC195" i="26"/>
  <c r="AA195" i="26"/>
  <c r="Z195" i="26"/>
  <c r="Y195" i="26"/>
  <c r="X195" i="26"/>
  <c r="Q195" i="26"/>
  <c r="R199" i="26" s="1"/>
  <c r="P195" i="26"/>
  <c r="AK194" i="26"/>
  <c r="AL194" i="26" s="1"/>
  <c r="AJ194" i="26"/>
  <c r="T194" i="26" s="1"/>
  <c r="V194" i="26" s="1"/>
  <c r="AH194" i="26"/>
  <c r="AG194" i="26"/>
  <c r="AF194" i="26"/>
  <c r="AE194" i="26"/>
  <c r="AD194" i="26"/>
  <c r="AC194" i="26"/>
  <c r="AA194" i="26"/>
  <c r="Z194" i="26"/>
  <c r="Y194" i="26"/>
  <c r="X194" i="26"/>
  <c r="AK193" i="26"/>
  <c r="AL193" i="26" s="1"/>
  <c r="AJ193" i="26"/>
  <c r="T193" i="26" s="1"/>
  <c r="V193" i="26" s="1"/>
  <c r="AH193" i="26"/>
  <c r="AG193" i="26"/>
  <c r="AF193" i="26"/>
  <c r="AE193" i="26"/>
  <c r="AD193" i="26"/>
  <c r="AC193" i="26"/>
  <c r="AA193" i="26"/>
  <c r="Z193" i="26"/>
  <c r="Y193" i="26"/>
  <c r="X193" i="26"/>
  <c r="AK192" i="26"/>
  <c r="AL192" i="26" s="1"/>
  <c r="AJ192" i="26"/>
  <c r="T192" i="26" s="1"/>
  <c r="V192" i="26" s="1"/>
  <c r="AH192" i="26"/>
  <c r="AG192" i="26"/>
  <c r="AF192" i="26"/>
  <c r="AE192" i="26"/>
  <c r="AD192" i="26"/>
  <c r="AC192" i="26"/>
  <c r="AA192" i="26"/>
  <c r="Z192" i="26"/>
  <c r="Y192" i="26"/>
  <c r="X192" i="26"/>
  <c r="AK191" i="26"/>
  <c r="AL191" i="26" s="1"/>
  <c r="AJ191" i="26"/>
  <c r="T191" i="26" s="1"/>
  <c r="V191" i="26" s="1"/>
  <c r="AH191" i="26"/>
  <c r="AG191" i="26"/>
  <c r="AF191" i="26"/>
  <c r="AE191" i="26"/>
  <c r="AD191" i="26"/>
  <c r="AC191" i="26"/>
  <c r="AA191" i="26"/>
  <c r="Z191" i="26"/>
  <c r="Y191" i="26"/>
  <c r="X191" i="26"/>
  <c r="AK190" i="26"/>
  <c r="AL190" i="26" s="1"/>
  <c r="AJ190" i="26"/>
  <c r="T190" i="26" s="1"/>
  <c r="AH190" i="26"/>
  <c r="AG190" i="26"/>
  <c r="AF190" i="26"/>
  <c r="AE190" i="26"/>
  <c r="AD190" i="26"/>
  <c r="AC190" i="26"/>
  <c r="AA190" i="26"/>
  <c r="Z190" i="26"/>
  <c r="Y190" i="26"/>
  <c r="X190" i="26"/>
  <c r="AK189" i="26"/>
  <c r="AL189" i="26" s="1"/>
  <c r="AJ189" i="26"/>
  <c r="T189" i="26" s="1"/>
  <c r="V189" i="26" s="1"/>
  <c r="AH189" i="26"/>
  <c r="AG189" i="26"/>
  <c r="AF189" i="26"/>
  <c r="AE189" i="26"/>
  <c r="AD189" i="26"/>
  <c r="AC189" i="26"/>
  <c r="AA189" i="26"/>
  <c r="Z189" i="26"/>
  <c r="Y189" i="26"/>
  <c r="X189" i="26"/>
  <c r="AI188" i="26"/>
  <c r="AI180" i="26" s="1"/>
  <c r="AH188" i="26"/>
  <c r="AG188" i="26"/>
  <c r="AF188" i="26"/>
  <c r="AE188" i="26"/>
  <c r="AD188" i="26"/>
  <c r="AC188" i="26"/>
  <c r="AA188" i="26"/>
  <c r="Z188" i="26"/>
  <c r="Y188" i="26"/>
  <c r="X188" i="26"/>
  <c r="Q188" i="26"/>
  <c r="R192" i="26" s="1"/>
  <c r="P188" i="26"/>
  <c r="A188" i="26"/>
  <c r="A195" i="26" s="1"/>
  <c r="AK187" i="26"/>
  <c r="AL187" i="26" s="1"/>
  <c r="AJ187" i="26"/>
  <c r="T187" i="26" s="1"/>
  <c r="V187" i="26" s="1"/>
  <c r="AK186" i="26"/>
  <c r="AL186" i="26" s="1"/>
  <c r="AJ186" i="26"/>
  <c r="T186" i="26" s="1"/>
  <c r="V186" i="26" s="1"/>
  <c r="AK185" i="26"/>
  <c r="AL185" i="26" s="1"/>
  <c r="AJ185" i="26"/>
  <c r="T185" i="26" s="1"/>
  <c r="V185" i="26" s="1"/>
  <c r="AK184" i="26"/>
  <c r="AL184" i="26" s="1"/>
  <c r="AJ184" i="26"/>
  <c r="T184" i="26" s="1"/>
  <c r="V184" i="26" s="1"/>
  <c r="AK183" i="26"/>
  <c r="AL183" i="26" s="1"/>
  <c r="AJ183" i="26"/>
  <c r="T183" i="26" s="1"/>
  <c r="V183" i="26" s="1"/>
  <c r="AK182" i="26"/>
  <c r="AL182" i="26" s="1"/>
  <c r="AJ182" i="26"/>
  <c r="T182" i="26" s="1"/>
  <c r="V182" i="26" s="1"/>
  <c r="AK181" i="26"/>
  <c r="AL181" i="26" s="1"/>
  <c r="AJ181" i="26"/>
  <c r="T181" i="26" s="1"/>
  <c r="V181" i="26" s="1"/>
  <c r="AH180" i="26"/>
  <c r="AG180" i="26"/>
  <c r="AF180" i="26"/>
  <c r="AE180" i="26"/>
  <c r="AD180" i="26"/>
  <c r="AC180" i="26"/>
  <c r="AA180" i="26"/>
  <c r="Z180" i="26"/>
  <c r="Y180" i="26"/>
  <c r="X180" i="26"/>
  <c r="Q180" i="26"/>
  <c r="P180" i="26"/>
  <c r="AK179" i="26"/>
  <c r="AL179" i="26" s="1"/>
  <c r="AJ179" i="26"/>
  <c r="T179" i="26" s="1"/>
  <c r="AK178" i="26"/>
  <c r="AL178" i="26" s="1"/>
  <c r="AJ178" i="26"/>
  <c r="T178" i="26" s="1"/>
  <c r="V178" i="26" s="1"/>
  <c r="AK177" i="26"/>
  <c r="AL177" i="26" s="1"/>
  <c r="AJ177" i="26"/>
  <c r="T177" i="26" s="1"/>
  <c r="V177" i="26" s="1"/>
  <c r="AK176" i="26"/>
  <c r="AL176" i="26" s="1"/>
  <c r="AJ176" i="26"/>
  <c r="T176" i="26" s="1"/>
  <c r="V176" i="26" s="1"/>
  <c r="AK175" i="26"/>
  <c r="AL175" i="26" s="1"/>
  <c r="AJ175" i="26"/>
  <c r="T175" i="26" s="1"/>
  <c r="AK174" i="26"/>
  <c r="AL174" i="26" s="1"/>
  <c r="AJ174" i="26"/>
  <c r="T174" i="26" s="1"/>
  <c r="V174" i="26" s="1"/>
  <c r="AK173" i="26"/>
  <c r="AL173" i="26" s="1"/>
  <c r="AJ173" i="26"/>
  <c r="T173" i="26" s="1"/>
  <c r="V173" i="26" s="1"/>
  <c r="AK172" i="26"/>
  <c r="AL172" i="26" s="1"/>
  <c r="AJ172" i="26"/>
  <c r="T172" i="26" s="1"/>
  <c r="V172" i="26" s="1"/>
  <c r="AI171" i="26"/>
  <c r="AH171" i="26"/>
  <c r="AG171" i="26"/>
  <c r="AF171" i="26"/>
  <c r="AE171" i="26"/>
  <c r="AD171" i="26"/>
  <c r="AC171" i="26"/>
  <c r="AA171" i="26"/>
  <c r="Z171" i="26"/>
  <c r="Y171" i="26"/>
  <c r="X171" i="26"/>
  <c r="Q171" i="26"/>
  <c r="R172" i="26" s="1"/>
  <c r="U172" i="26" s="1"/>
  <c r="P171" i="26"/>
  <c r="AK170" i="26"/>
  <c r="AL170" i="26" s="1"/>
  <c r="AJ170" i="26"/>
  <c r="T170" i="26" s="1"/>
  <c r="V170" i="26" s="1"/>
  <c r="AK169" i="26"/>
  <c r="AL169" i="26" s="1"/>
  <c r="AJ169" i="26"/>
  <c r="T169" i="26" s="1"/>
  <c r="AK168" i="26"/>
  <c r="AL168" i="26" s="1"/>
  <c r="AJ168" i="26"/>
  <c r="T168" i="26" s="1"/>
  <c r="V168" i="26" s="1"/>
  <c r="AK167" i="26"/>
  <c r="AL167" i="26" s="1"/>
  <c r="AJ167" i="26"/>
  <c r="T167" i="26" s="1"/>
  <c r="V167" i="26" s="1"/>
  <c r="AK166" i="26"/>
  <c r="AL166" i="26" s="1"/>
  <c r="AJ166" i="26"/>
  <c r="T166" i="26" s="1"/>
  <c r="V166" i="26" s="1"/>
  <c r="AK165" i="26"/>
  <c r="AL165" i="26" s="1"/>
  <c r="AJ165" i="26"/>
  <c r="T165" i="26" s="1"/>
  <c r="V165" i="26" s="1"/>
  <c r="AK164" i="26"/>
  <c r="AL164" i="26" s="1"/>
  <c r="AJ164" i="26"/>
  <c r="T164" i="26" s="1"/>
  <c r="V164" i="26" s="1"/>
  <c r="AK163" i="26"/>
  <c r="AL163" i="26" s="1"/>
  <c r="AJ163" i="26"/>
  <c r="T163" i="26" s="1"/>
  <c r="V163" i="26" s="1"/>
  <c r="AR162" i="26"/>
  <c r="AK162" i="26"/>
  <c r="AL162" i="26" s="1"/>
  <c r="AJ162" i="26"/>
  <c r="T162" i="26" s="1"/>
  <c r="V162" i="26" s="1"/>
  <c r="AK161" i="26"/>
  <c r="AL161" i="26" s="1"/>
  <c r="AJ161" i="26"/>
  <c r="T161" i="26" s="1"/>
  <c r="V161" i="26" s="1"/>
  <c r="AI160" i="26"/>
  <c r="AH160" i="26"/>
  <c r="AG160" i="26"/>
  <c r="AG159" i="26" s="1"/>
  <c r="AF160" i="26"/>
  <c r="AF159" i="26" s="1"/>
  <c r="AE160" i="26"/>
  <c r="AE159" i="26" s="1"/>
  <c r="AD160" i="26"/>
  <c r="AD159" i="26" s="1"/>
  <c r="AC160" i="26"/>
  <c r="AC159" i="26" s="1"/>
  <c r="AA160" i="26"/>
  <c r="AA159" i="26" s="1"/>
  <c r="Z160" i="26"/>
  <c r="Z159" i="26" s="1"/>
  <c r="Y160" i="26"/>
  <c r="Y159" i="26" s="1"/>
  <c r="X160" i="26"/>
  <c r="X159" i="26" s="1"/>
  <c r="Q160" i="26"/>
  <c r="P160" i="26"/>
  <c r="AB159" i="26"/>
  <c r="W159" i="26"/>
  <c r="S159" i="26"/>
  <c r="O159" i="26"/>
  <c r="AK158" i="26"/>
  <c r="AL158" i="26" s="1"/>
  <c r="AJ158" i="26"/>
  <c r="T158" i="26" s="1"/>
  <c r="AK157" i="26"/>
  <c r="AL157" i="26" s="1"/>
  <c r="AJ157" i="26"/>
  <c r="T157" i="26" s="1"/>
  <c r="V157" i="26" s="1"/>
  <c r="AK156" i="26"/>
  <c r="AL156" i="26" s="1"/>
  <c r="AJ156" i="26"/>
  <c r="T156" i="26" s="1"/>
  <c r="V156" i="26" s="1"/>
  <c r="AK155" i="26"/>
  <c r="AL155" i="26" s="1"/>
  <c r="AJ155" i="26"/>
  <c r="T155" i="26" s="1"/>
  <c r="V155" i="26" s="1"/>
  <c r="AK154" i="26"/>
  <c r="AL154" i="26" s="1"/>
  <c r="AJ154" i="26"/>
  <c r="T154" i="26" s="1"/>
  <c r="V154" i="26" s="1"/>
  <c r="AK153" i="26"/>
  <c r="AL153" i="26" s="1"/>
  <c r="AJ153" i="26"/>
  <c r="T153" i="26" s="1"/>
  <c r="V153" i="26" s="1"/>
  <c r="AK152" i="26"/>
  <c r="AL152" i="26" s="1"/>
  <c r="AJ152" i="26"/>
  <c r="T152" i="26" s="1"/>
  <c r="V152" i="26" s="1"/>
  <c r="AK151" i="26"/>
  <c r="AL151" i="26" s="1"/>
  <c r="AJ151" i="26"/>
  <c r="T151" i="26" s="1"/>
  <c r="V151" i="26" s="1"/>
  <c r="AI150" i="26"/>
  <c r="AH150" i="26"/>
  <c r="AG150" i="26"/>
  <c r="AF150" i="26"/>
  <c r="AE150" i="26"/>
  <c r="AD150" i="26"/>
  <c r="AC150" i="26"/>
  <c r="AA150" i="26"/>
  <c r="Z150" i="26"/>
  <c r="Y150" i="26"/>
  <c r="X150" i="26"/>
  <c r="Q150" i="26"/>
  <c r="R155" i="26" s="1"/>
  <c r="P150" i="26"/>
  <c r="AK149" i="26"/>
  <c r="AL149" i="26" s="1"/>
  <c r="AJ149" i="26"/>
  <c r="T149" i="26" s="1"/>
  <c r="V149" i="26" s="1"/>
  <c r="AK148" i="26"/>
  <c r="AL148" i="26" s="1"/>
  <c r="AJ148" i="26"/>
  <c r="T148" i="26" s="1"/>
  <c r="AK147" i="26"/>
  <c r="AL147" i="26" s="1"/>
  <c r="AJ147" i="26"/>
  <c r="T147" i="26" s="1"/>
  <c r="V147" i="26" s="1"/>
  <c r="AI146" i="26"/>
  <c r="AH146" i="26"/>
  <c r="AG146" i="26"/>
  <c r="AF146" i="26"/>
  <c r="AF145" i="26" s="1"/>
  <c r="AE146" i="26"/>
  <c r="AE145" i="26" s="1"/>
  <c r="AD146" i="26"/>
  <c r="AD145" i="26" s="1"/>
  <c r="AC146" i="26"/>
  <c r="AC145" i="26" s="1"/>
  <c r="AA146" i="26"/>
  <c r="AA145" i="26" s="1"/>
  <c r="Z146" i="26"/>
  <c r="Z145" i="26" s="1"/>
  <c r="Y146" i="26"/>
  <c r="Y145" i="26" s="1"/>
  <c r="X146" i="26"/>
  <c r="X145" i="26" s="1"/>
  <c r="Q146" i="26"/>
  <c r="P146" i="26"/>
  <c r="AB145" i="26"/>
  <c r="W145" i="26"/>
  <c r="O145" i="26"/>
  <c r="AK144" i="26"/>
  <c r="AL144" i="26" s="1"/>
  <c r="AJ144" i="26"/>
  <c r="T144" i="26" s="1"/>
  <c r="V144" i="26" s="1"/>
  <c r="AK143" i="26"/>
  <c r="AL143" i="26" s="1"/>
  <c r="AJ143" i="26"/>
  <c r="T143" i="26" s="1"/>
  <c r="V143" i="26" s="1"/>
  <c r="AK142" i="26"/>
  <c r="AL142" i="26" s="1"/>
  <c r="AJ142" i="26"/>
  <c r="T142" i="26" s="1"/>
  <c r="V142" i="26" s="1"/>
  <c r="AI141" i="26"/>
  <c r="AI136" i="26" s="1"/>
  <c r="AH141" i="26"/>
  <c r="AH136" i="26" s="1"/>
  <c r="AG141" i="26"/>
  <c r="AG136" i="26" s="1"/>
  <c r="AF141" i="26"/>
  <c r="AF136" i="26" s="1"/>
  <c r="AE141" i="26"/>
  <c r="AE136" i="26" s="1"/>
  <c r="AD141" i="26"/>
  <c r="AD136" i="26" s="1"/>
  <c r="AC141" i="26"/>
  <c r="AC136" i="26" s="1"/>
  <c r="AA141" i="26"/>
  <c r="AA136" i="26" s="1"/>
  <c r="Z141" i="26"/>
  <c r="Z136" i="26" s="1"/>
  <c r="Y141" i="26"/>
  <c r="Y136" i="26" s="1"/>
  <c r="X141" i="26"/>
  <c r="X136" i="26" s="1"/>
  <c r="Q141" i="26"/>
  <c r="P141" i="26"/>
  <c r="P136" i="26" s="1"/>
  <c r="AK140" i="26"/>
  <c r="AL140" i="26" s="1"/>
  <c r="AJ140" i="26"/>
  <c r="T140" i="26" s="1"/>
  <c r="V140" i="26" s="1"/>
  <c r="AK139" i="26"/>
  <c r="AL139" i="26" s="1"/>
  <c r="AJ139" i="26"/>
  <c r="T139" i="26" s="1"/>
  <c r="V139" i="26" s="1"/>
  <c r="AK138" i="26"/>
  <c r="AL138" i="26" s="1"/>
  <c r="AJ138" i="26"/>
  <c r="T138" i="26" s="1"/>
  <c r="V138" i="26" s="1"/>
  <c r="AI137" i="26"/>
  <c r="AH137" i="26"/>
  <c r="AG137" i="26"/>
  <c r="AF137" i="26"/>
  <c r="AE137" i="26"/>
  <c r="AD137" i="26"/>
  <c r="AC137" i="26"/>
  <c r="AA137" i="26"/>
  <c r="Z137" i="26"/>
  <c r="Y137" i="26"/>
  <c r="X137" i="26"/>
  <c r="Q137" i="26"/>
  <c r="AB136" i="26"/>
  <c r="W136" i="26"/>
  <c r="O136" i="26"/>
  <c r="AK135" i="26"/>
  <c r="AL135" i="26" s="1"/>
  <c r="AJ135" i="26"/>
  <c r="T135" i="26" s="1"/>
  <c r="V135" i="26" s="1"/>
  <c r="AH135" i="26"/>
  <c r="AF135" i="26"/>
  <c r="AE135" i="26"/>
  <c r="AD135" i="26"/>
  <c r="AC135" i="26"/>
  <c r="AA135" i="26"/>
  <c r="Z135" i="26"/>
  <c r="Y135" i="26"/>
  <c r="X135" i="26"/>
  <c r="AK134" i="26"/>
  <c r="AL134" i="26" s="1"/>
  <c r="AJ134" i="26"/>
  <c r="T134" i="26" s="1"/>
  <c r="V134" i="26" s="1"/>
  <c r="AH134" i="26"/>
  <c r="AF134" i="26"/>
  <c r="AE134" i="26"/>
  <c r="AD134" i="26"/>
  <c r="AC134" i="26"/>
  <c r="AA134" i="26"/>
  <c r="Z134" i="26"/>
  <c r="Y134" i="26"/>
  <c r="X134" i="26"/>
  <c r="AI133" i="26"/>
  <c r="AH133" i="26"/>
  <c r="AF133" i="26"/>
  <c r="AE133" i="26"/>
  <c r="AD133" i="26"/>
  <c r="AC133" i="26"/>
  <c r="AA133" i="26"/>
  <c r="Z133" i="26"/>
  <c r="Y133" i="26"/>
  <c r="X133" i="26"/>
  <c r="Q133" i="26"/>
  <c r="AK132" i="26"/>
  <c r="AL132" i="26" s="1"/>
  <c r="AJ132" i="26"/>
  <c r="T132" i="26" s="1"/>
  <c r="V132" i="26" s="1"/>
  <c r="AH132" i="26"/>
  <c r="AF132" i="26"/>
  <c r="AE132" i="26"/>
  <c r="AD132" i="26"/>
  <c r="AC132" i="26"/>
  <c r="AA132" i="26"/>
  <c r="Z132" i="26"/>
  <c r="Y132" i="26"/>
  <c r="X132" i="26"/>
  <c r="AK131" i="26"/>
  <c r="AL131" i="26" s="1"/>
  <c r="AJ131" i="26"/>
  <c r="T131" i="26" s="1"/>
  <c r="V131" i="26" s="1"/>
  <c r="AH131" i="26"/>
  <c r="AF131" i="26"/>
  <c r="AE131" i="26"/>
  <c r="AD131" i="26"/>
  <c r="AC131" i="26"/>
  <c r="AA131" i="26"/>
  <c r="Z131" i="26"/>
  <c r="Y131" i="26"/>
  <c r="X131" i="26"/>
  <c r="AI130" i="26"/>
  <c r="AH130" i="26"/>
  <c r="AF130" i="26"/>
  <c r="AE130" i="26"/>
  <c r="AD130" i="26"/>
  <c r="AC130" i="26"/>
  <c r="AA130" i="26"/>
  <c r="Z130" i="26"/>
  <c r="Y130" i="26"/>
  <c r="X130" i="26"/>
  <c r="Q130" i="26"/>
  <c r="R132" i="26" s="1"/>
  <c r="P130" i="26"/>
  <c r="AK129" i="26"/>
  <c r="AL129" i="26" s="1"/>
  <c r="AJ129" i="26"/>
  <c r="T129" i="26" s="1"/>
  <c r="AK128" i="26"/>
  <c r="AL128" i="26" s="1"/>
  <c r="AJ128" i="26"/>
  <c r="T128" i="26" s="1"/>
  <c r="V128" i="26" s="1"/>
  <c r="AH128" i="26"/>
  <c r="AG128" i="26"/>
  <c r="AF128" i="26"/>
  <c r="AE128" i="26"/>
  <c r="AD128" i="26"/>
  <c r="AC128" i="26"/>
  <c r="AA128" i="26"/>
  <c r="Z128" i="26"/>
  <c r="Y128" i="26"/>
  <c r="X128" i="26"/>
  <c r="AK127" i="26"/>
  <c r="AL127" i="26" s="1"/>
  <c r="AJ127" i="26"/>
  <c r="T127" i="26" s="1"/>
  <c r="V127" i="26" s="1"/>
  <c r="AH127" i="26"/>
  <c r="AG127" i="26"/>
  <c r="AF127" i="26"/>
  <c r="AE127" i="26"/>
  <c r="AD127" i="26"/>
  <c r="AC127" i="26"/>
  <c r="AA127" i="26"/>
  <c r="Z127" i="26"/>
  <c r="Y127" i="26"/>
  <c r="X127" i="26"/>
  <c r="AK126" i="26"/>
  <c r="AL126" i="26" s="1"/>
  <c r="AJ126" i="26"/>
  <c r="T126" i="26" s="1"/>
  <c r="V126" i="26" s="1"/>
  <c r="AH126" i="26"/>
  <c r="AG126" i="26"/>
  <c r="AF126" i="26"/>
  <c r="AE126" i="26"/>
  <c r="AD126" i="26"/>
  <c r="AC126" i="26"/>
  <c r="AA126" i="26"/>
  <c r="Z126" i="26"/>
  <c r="Y126" i="26"/>
  <c r="X126" i="26"/>
  <c r="AK125" i="26"/>
  <c r="AL125" i="26" s="1"/>
  <c r="AJ125" i="26"/>
  <c r="T125" i="26" s="1"/>
  <c r="V125" i="26" s="1"/>
  <c r="AH125" i="26"/>
  <c r="AG125" i="26"/>
  <c r="AF125" i="26"/>
  <c r="AE125" i="26"/>
  <c r="AD125" i="26"/>
  <c r="AC125" i="26"/>
  <c r="AA125" i="26"/>
  <c r="Z125" i="26"/>
  <c r="Y125" i="26"/>
  <c r="X125" i="26"/>
  <c r="AK124" i="26"/>
  <c r="AL124" i="26" s="1"/>
  <c r="AJ124" i="26"/>
  <c r="T124" i="26" s="1"/>
  <c r="V124" i="26" s="1"/>
  <c r="AH124" i="26"/>
  <c r="AG124" i="26"/>
  <c r="AF124" i="26"/>
  <c r="AE124" i="26"/>
  <c r="AD124" i="26"/>
  <c r="AC124" i="26"/>
  <c r="AA124" i="26"/>
  <c r="Z124" i="26"/>
  <c r="Y124" i="26"/>
  <c r="X124" i="26"/>
  <c r="AK123" i="26"/>
  <c r="AL123" i="26" s="1"/>
  <c r="AJ123" i="26"/>
  <c r="T123" i="26" s="1"/>
  <c r="V123" i="26" s="1"/>
  <c r="AH123" i="26"/>
  <c r="AG123" i="26"/>
  <c r="AF123" i="26"/>
  <c r="AE123" i="26"/>
  <c r="AD123" i="26"/>
  <c r="AC123" i="26"/>
  <c r="AA123" i="26"/>
  <c r="Z123" i="26"/>
  <c r="Y123" i="26"/>
  <c r="X123" i="26"/>
  <c r="AI122" i="26"/>
  <c r="AH122" i="26"/>
  <c r="AG122" i="26"/>
  <c r="AF122" i="26"/>
  <c r="AE122" i="26"/>
  <c r="AD122" i="26"/>
  <c r="AC122" i="26"/>
  <c r="AA122" i="26"/>
  <c r="Z122" i="26"/>
  <c r="Y122" i="26"/>
  <c r="X122" i="26"/>
  <c r="Q122" i="26"/>
  <c r="R126" i="26" s="1"/>
  <c r="P122" i="26"/>
  <c r="AK121" i="26"/>
  <c r="AL121" i="26" s="1"/>
  <c r="AJ121" i="26"/>
  <c r="T121" i="26" s="1"/>
  <c r="AH121" i="26"/>
  <c r="AG121" i="26"/>
  <c r="AF121" i="26"/>
  <c r="AE121" i="26"/>
  <c r="AD121" i="26"/>
  <c r="AC121" i="26"/>
  <c r="AA121" i="26"/>
  <c r="Z121" i="26"/>
  <c r="Y121" i="26"/>
  <c r="X121" i="26"/>
  <c r="AK120" i="26"/>
  <c r="AL120" i="26" s="1"/>
  <c r="AJ120" i="26"/>
  <c r="T120" i="26" s="1"/>
  <c r="AH120" i="26"/>
  <c r="AG120" i="26"/>
  <c r="AF120" i="26"/>
  <c r="AE120" i="26"/>
  <c r="AD120" i="26"/>
  <c r="AC120" i="26"/>
  <c r="AA120" i="26"/>
  <c r="Z120" i="26"/>
  <c r="Y120" i="26"/>
  <c r="X120" i="26"/>
  <c r="AK119" i="26"/>
  <c r="AL119" i="26" s="1"/>
  <c r="AJ119" i="26"/>
  <c r="T119" i="26" s="1"/>
  <c r="V119" i="26" s="1"/>
  <c r="AH119" i="26"/>
  <c r="AG119" i="26"/>
  <c r="AF119" i="26"/>
  <c r="AE119" i="26"/>
  <c r="AD119" i="26"/>
  <c r="AC119" i="26"/>
  <c r="AA119" i="26"/>
  <c r="Z119" i="26"/>
  <c r="Y119" i="26"/>
  <c r="X119" i="26"/>
  <c r="AK118" i="26"/>
  <c r="AL118" i="26" s="1"/>
  <c r="AJ118" i="26"/>
  <c r="T118" i="26" s="1"/>
  <c r="V118" i="26" s="1"/>
  <c r="AH118" i="26"/>
  <c r="AG118" i="26"/>
  <c r="AF118" i="26"/>
  <c r="AE118" i="26"/>
  <c r="AD118" i="26"/>
  <c r="AC118" i="26"/>
  <c r="AA118" i="26"/>
  <c r="Z118" i="26"/>
  <c r="Y118" i="26"/>
  <c r="X118" i="26"/>
  <c r="AI117" i="26"/>
  <c r="AH117" i="26"/>
  <c r="AG117" i="26"/>
  <c r="AF117" i="26"/>
  <c r="AE117" i="26"/>
  <c r="AD117" i="26"/>
  <c r="AC117" i="26"/>
  <c r="AA117" i="26"/>
  <c r="Z117" i="26"/>
  <c r="Y117" i="26"/>
  <c r="X117" i="26"/>
  <c r="Q117" i="26"/>
  <c r="R121" i="26" s="1"/>
  <c r="P117" i="26"/>
  <c r="AK116" i="26"/>
  <c r="AL116" i="26" s="1"/>
  <c r="AJ116" i="26"/>
  <c r="T116" i="26" s="1"/>
  <c r="V116" i="26" s="1"/>
  <c r="AH116" i="26"/>
  <c r="AG116" i="26"/>
  <c r="AK115" i="26"/>
  <c r="AL115" i="26" s="1"/>
  <c r="AJ115" i="26"/>
  <c r="T115" i="26" s="1"/>
  <c r="V115" i="26" s="1"/>
  <c r="AK114" i="26"/>
  <c r="AL114" i="26" s="1"/>
  <c r="AJ114" i="26"/>
  <c r="T114" i="26" s="1"/>
  <c r="V114" i="26" s="1"/>
  <c r="AH114" i="26"/>
  <c r="AG114" i="26"/>
  <c r="AI113" i="26"/>
  <c r="AH113" i="26"/>
  <c r="AG113" i="26"/>
  <c r="Q113" i="26"/>
  <c r="AK112" i="26"/>
  <c r="AL112" i="26" s="1"/>
  <c r="AJ112" i="26"/>
  <c r="T112" i="26" s="1"/>
  <c r="AK111" i="26"/>
  <c r="AL111" i="26" s="1"/>
  <c r="AJ111" i="26"/>
  <c r="T111" i="26" s="1"/>
  <c r="V111" i="26" s="1"/>
  <c r="AH111" i="26"/>
  <c r="AG111" i="26"/>
  <c r="AF111" i="26"/>
  <c r="AE111" i="26"/>
  <c r="AD111" i="26"/>
  <c r="AC111" i="26"/>
  <c r="AA111" i="26"/>
  <c r="Z111" i="26"/>
  <c r="Y111" i="26"/>
  <c r="X111" i="26"/>
  <c r="AK110" i="26"/>
  <c r="AL110" i="26" s="1"/>
  <c r="AJ110" i="26"/>
  <c r="T110" i="26" s="1"/>
  <c r="V110" i="26" s="1"/>
  <c r="AH110" i="26"/>
  <c r="AG110" i="26"/>
  <c r="AF110" i="26"/>
  <c r="AE110" i="26"/>
  <c r="AD110" i="26"/>
  <c r="AC110" i="26"/>
  <c r="AA110" i="26"/>
  <c r="Z110" i="26"/>
  <c r="Y110" i="26"/>
  <c r="X110" i="26"/>
  <c r="AI109" i="26"/>
  <c r="AH109" i="26"/>
  <c r="AG109" i="26"/>
  <c r="AF109" i="26"/>
  <c r="AE109" i="26"/>
  <c r="AD109" i="26"/>
  <c r="AC109" i="26"/>
  <c r="AA109" i="26"/>
  <c r="Z109" i="26"/>
  <c r="Y109" i="26"/>
  <c r="X109" i="26"/>
  <c r="Q109" i="26"/>
  <c r="P109" i="26"/>
  <c r="AK108" i="26"/>
  <c r="AL108" i="26" s="1"/>
  <c r="AJ108" i="26"/>
  <c r="T108" i="26" s="1"/>
  <c r="R108" i="26"/>
  <c r="AK107" i="26"/>
  <c r="AL107" i="26" s="1"/>
  <c r="AJ107" i="26"/>
  <c r="T107" i="26" s="1"/>
  <c r="R107" i="26"/>
  <c r="AK106" i="26"/>
  <c r="AL106" i="26" s="1"/>
  <c r="AJ106" i="26"/>
  <c r="T106" i="26" s="1"/>
  <c r="R106" i="26"/>
  <c r="AK105" i="26"/>
  <c r="AL105" i="26" s="1"/>
  <c r="AJ105" i="26"/>
  <c r="T105" i="26" s="1"/>
  <c r="V105" i="26" s="1"/>
  <c r="AH105" i="26"/>
  <c r="AG105" i="26"/>
  <c r="AF105" i="26"/>
  <c r="AE105" i="26"/>
  <c r="AD105" i="26"/>
  <c r="AC105" i="26"/>
  <c r="AA105" i="26"/>
  <c r="Z105" i="26"/>
  <c r="Y105" i="26"/>
  <c r="X105" i="26"/>
  <c r="R105" i="26"/>
  <c r="AK104" i="26"/>
  <c r="AL104" i="26" s="1"/>
  <c r="AJ104" i="26"/>
  <c r="T104" i="26" s="1"/>
  <c r="V104" i="26" s="1"/>
  <c r="AH104" i="26"/>
  <c r="AG104" i="26"/>
  <c r="AF104" i="26"/>
  <c r="AE104" i="26"/>
  <c r="AD104" i="26"/>
  <c r="AC104" i="26"/>
  <c r="AA104" i="26"/>
  <c r="Z104" i="26"/>
  <c r="Y104" i="26"/>
  <c r="X104" i="26"/>
  <c r="R104" i="26"/>
  <c r="AK103" i="26"/>
  <c r="AL103" i="26" s="1"/>
  <c r="AJ103" i="26"/>
  <c r="T103" i="26" s="1"/>
  <c r="V103" i="26" s="1"/>
  <c r="AH103" i="26"/>
  <c r="AG103" i="26"/>
  <c r="AF103" i="26"/>
  <c r="AE103" i="26"/>
  <c r="AD103" i="26"/>
  <c r="AC103" i="26"/>
  <c r="AA103" i="26"/>
  <c r="Z103" i="26"/>
  <c r="Y103" i="26"/>
  <c r="X103" i="26"/>
  <c r="R103" i="26"/>
  <c r="AK102" i="26"/>
  <c r="AL102" i="26" s="1"/>
  <c r="AJ102" i="26"/>
  <c r="T102" i="26" s="1"/>
  <c r="V102" i="26" s="1"/>
  <c r="AH102" i="26"/>
  <c r="AG102" i="26"/>
  <c r="AF102" i="26"/>
  <c r="AE102" i="26"/>
  <c r="AD102" i="26"/>
  <c r="AC102" i="26"/>
  <c r="AA102" i="26"/>
  <c r="Z102" i="26"/>
  <c r="Y102" i="26"/>
  <c r="X102" i="26"/>
  <c r="R102" i="26"/>
  <c r="AK101" i="26"/>
  <c r="AL101" i="26" s="1"/>
  <c r="AJ101" i="26"/>
  <c r="T101" i="26" s="1"/>
  <c r="V101" i="26" s="1"/>
  <c r="AH101" i="26"/>
  <c r="AG101" i="26"/>
  <c r="AF101" i="26"/>
  <c r="AE101" i="26"/>
  <c r="AD101" i="26"/>
  <c r="AC101" i="26"/>
  <c r="AA101" i="26"/>
  <c r="Z101" i="26"/>
  <c r="Y101" i="26"/>
  <c r="X101" i="26"/>
  <c r="R101" i="26"/>
  <c r="AI100" i="26"/>
  <c r="AK100" i="26" s="1"/>
  <c r="AL100" i="26" s="1"/>
  <c r="AH100" i="26"/>
  <c r="AG100" i="26"/>
  <c r="AF100" i="26"/>
  <c r="AF99" i="26" s="1"/>
  <c r="AE100" i="26"/>
  <c r="AD100" i="26"/>
  <c r="AD99" i="26" s="1"/>
  <c r="AC100" i="26"/>
  <c r="AC99" i="26" s="1"/>
  <c r="AA100" i="26"/>
  <c r="AA99" i="26" s="1"/>
  <c r="Z100" i="26"/>
  <c r="Z99" i="26" s="1"/>
  <c r="Y100" i="26"/>
  <c r="Y99" i="26" s="1"/>
  <c r="X100" i="26"/>
  <c r="P100" i="26"/>
  <c r="AE99" i="26"/>
  <c r="AB99" i="26"/>
  <c r="X99" i="26"/>
  <c r="W99" i="26"/>
  <c r="O99" i="26"/>
  <c r="AK98" i="26"/>
  <c r="AL98" i="26" s="1"/>
  <c r="AJ98" i="26"/>
  <c r="T98" i="26" s="1"/>
  <c r="V98" i="26" s="1"/>
  <c r="AK97" i="26"/>
  <c r="AL97" i="26" s="1"/>
  <c r="AJ97" i="26"/>
  <c r="T97" i="26" s="1"/>
  <c r="V97" i="26" s="1"/>
  <c r="AI96" i="26"/>
  <c r="AH96" i="26"/>
  <c r="AG96" i="26"/>
  <c r="AF96" i="26"/>
  <c r="AE96" i="26"/>
  <c r="AD96" i="26"/>
  <c r="AC96" i="26"/>
  <c r="AA96" i="26"/>
  <c r="Z96" i="26"/>
  <c r="Y96" i="26"/>
  <c r="X96" i="26"/>
  <c r="Q96" i="26"/>
  <c r="P96" i="26"/>
  <c r="AK95" i="26"/>
  <c r="AL95" i="26" s="1"/>
  <c r="AJ95" i="26"/>
  <c r="T95" i="26" s="1"/>
  <c r="V95" i="26" s="1"/>
  <c r="AK94" i="26"/>
  <c r="AL94" i="26" s="1"/>
  <c r="AJ94" i="26"/>
  <c r="T94" i="26" s="1"/>
  <c r="V94" i="26" s="1"/>
  <c r="AI93" i="26"/>
  <c r="AH93" i="26"/>
  <c r="AG93" i="26"/>
  <c r="AF93" i="26"/>
  <c r="AE93" i="26"/>
  <c r="AD93" i="26"/>
  <c r="AC93" i="26"/>
  <c r="AA93" i="26"/>
  <c r="Z93" i="26"/>
  <c r="Y93" i="26"/>
  <c r="X93" i="26"/>
  <c r="Q93" i="26"/>
  <c r="R94" i="26" s="1"/>
  <c r="P93" i="26"/>
  <c r="AK92" i="26"/>
  <c r="AL92" i="26" s="1"/>
  <c r="AJ92" i="26"/>
  <c r="T92" i="26" s="1"/>
  <c r="V92" i="26" s="1"/>
  <c r="AK91" i="26"/>
  <c r="AL91" i="26" s="1"/>
  <c r="AJ91" i="26"/>
  <c r="T91" i="26" s="1"/>
  <c r="V91" i="26" s="1"/>
  <c r="AK90" i="26"/>
  <c r="AL90" i="26" s="1"/>
  <c r="AJ90" i="26"/>
  <c r="T90" i="26" s="1"/>
  <c r="V90" i="26" s="1"/>
  <c r="AI89" i="26"/>
  <c r="AH89" i="26"/>
  <c r="AG89" i="26"/>
  <c r="AF89" i="26"/>
  <c r="AE89" i="26"/>
  <c r="AD89" i="26"/>
  <c r="AC89" i="26"/>
  <c r="AA89" i="26"/>
  <c r="Z89" i="26"/>
  <c r="Y89" i="26"/>
  <c r="X89" i="26"/>
  <c r="Q89" i="26"/>
  <c r="R91" i="26" s="1"/>
  <c r="P89" i="26"/>
  <c r="AK88" i="26"/>
  <c r="AL88" i="26" s="1"/>
  <c r="AJ88" i="26"/>
  <c r="T88" i="26" s="1"/>
  <c r="V88" i="26" s="1"/>
  <c r="AK87" i="26"/>
  <c r="AL87" i="26" s="1"/>
  <c r="AJ87" i="26"/>
  <c r="T87" i="26" s="1"/>
  <c r="V87" i="26" s="1"/>
  <c r="AK86" i="26"/>
  <c r="AL86" i="26" s="1"/>
  <c r="AJ86" i="26"/>
  <c r="T86" i="26" s="1"/>
  <c r="V86" i="26" s="1"/>
  <c r="AI85" i="26"/>
  <c r="AH85" i="26"/>
  <c r="AG85" i="26"/>
  <c r="AF85" i="26"/>
  <c r="AE85" i="26"/>
  <c r="AD85" i="26"/>
  <c r="AC85" i="26"/>
  <c r="AA85" i="26"/>
  <c r="Z85" i="26"/>
  <c r="Y85" i="26"/>
  <c r="X85" i="26"/>
  <c r="Q85" i="26"/>
  <c r="R88" i="26" s="1"/>
  <c r="P85" i="26"/>
  <c r="AK84" i="26"/>
  <c r="AL84" i="26" s="1"/>
  <c r="AJ84" i="26"/>
  <c r="T84" i="26" s="1"/>
  <c r="V84" i="26" s="1"/>
  <c r="AK83" i="26"/>
  <c r="AL83" i="26" s="1"/>
  <c r="AJ83" i="26"/>
  <c r="T83" i="26" s="1"/>
  <c r="V83" i="26" s="1"/>
  <c r="AK82" i="26"/>
  <c r="AL82" i="26" s="1"/>
  <c r="AJ82" i="26"/>
  <c r="T82" i="26" s="1"/>
  <c r="V82" i="26" s="1"/>
  <c r="AI81" i="26"/>
  <c r="AH81" i="26"/>
  <c r="AF81" i="26"/>
  <c r="AE81" i="26"/>
  <c r="AD81" i="26"/>
  <c r="AC81" i="26"/>
  <c r="AA81" i="26"/>
  <c r="Z81" i="26"/>
  <c r="Y81" i="26"/>
  <c r="X81" i="26"/>
  <c r="Q81" i="26"/>
  <c r="R84" i="26" s="1"/>
  <c r="AK80" i="26"/>
  <c r="AL80" i="26" s="1"/>
  <c r="AJ80" i="26"/>
  <c r="T80" i="26" s="1"/>
  <c r="V80" i="26" s="1"/>
  <c r="AK79" i="26"/>
  <c r="AL79" i="26" s="1"/>
  <c r="AJ79" i="26"/>
  <c r="T79" i="26" s="1"/>
  <c r="V79" i="26" s="1"/>
  <c r="AI78" i="26"/>
  <c r="AH78" i="26"/>
  <c r="AF78" i="26"/>
  <c r="AE78" i="26"/>
  <c r="AD78" i="26"/>
  <c r="AC78" i="26"/>
  <c r="AA78" i="26"/>
  <c r="Z78" i="26"/>
  <c r="Y78" i="26"/>
  <c r="X78" i="26"/>
  <c r="Q78" i="26"/>
  <c r="R80" i="26" s="1"/>
  <c r="P78" i="26"/>
  <c r="AK77" i="26"/>
  <c r="AL77" i="26" s="1"/>
  <c r="AJ77" i="26"/>
  <c r="T77" i="26" s="1"/>
  <c r="V77" i="26" s="1"/>
  <c r="AK76" i="26"/>
  <c r="AL76" i="26" s="1"/>
  <c r="AJ76" i="26"/>
  <c r="T76" i="26" s="1"/>
  <c r="V76" i="26" s="1"/>
  <c r="AK75" i="26"/>
  <c r="AL75" i="26" s="1"/>
  <c r="AJ75" i="26"/>
  <c r="T75" i="26" s="1"/>
  <c r="V75" i="26" s="1"/>
  <c r="AK74" i="26"/>
  <c r="AL74" i="26" s="1"/>
  <c r="AJ74" i="26"/>
  <c r="T74" i="26" s="1"/>
  <c r="V74" i="26" s="1"/>
  <c r="AK73" i="26"/>
  <c r="AL73" i="26" s="1"/>
  <c r="AJ73" i="26"/>
  <c r="T73" i="26" s="1"/>
  <c r="V73" i="26" s="1"/>
  <c r="AH73" i="26"/>
  <c r="AG73" i="26"/>
  <c r="AF73" i="26"/>
  <c r="AE73" i="26"/>
  <c r="AD73" i="26"/>
  <c r="AC73" i="26"/>
  <c r="AA73" i="26"/>
  <c r="Z73" i="26"/>
  <c r="Y73" i="26"/>
  <c r="X73" i="26"/>
  <c r="AI72" i="26"/>
  <c r="AH72" i="26"/>
  <c r="AG72" i="26"/>
  <c r="AF72" i="26"/>
  <c r="AE72" i="26"/>
  <c r="AD72" i="26"/>
  <c r="AC72" i="26"/>
  <c r="AA72" i="26"/>
  <c r="Z72" i="26"/>
  <c r="Y72" i="26"/>
  <c r="X72" i="26"/>
  <c r="Q72" i="26"/>
  <c r="R75" i="26" s="1"/>
  <c r="P72" i="26"/>
  <c r="AK71" i="26"/>
  <c r="AL71" i="26" s="1"/>
  <c r="AJ71" i="26"/>
  <c r="T71" i="26" s="1"/>
  <c r="V71" i="26" s="1"/>
  <c r="AK70" i="26"/>
  <c r="AL70" i="26" s="1"/>
  <c r="AJ70" i="26"/>
  <c r="T70" i="26" s="1"/>
  <c r="V70" i="26" s="1"/>
  <c r="AK69" i="26"/>
  <c r="AL69" i="26" s="1"/>
  <c r="AJ69" i="26"/>
  <c r="T69" i="26" s="1"/>
  <c r="V69" i="26" s="1"/>
  <c r="AI68" i="26"/>
  <c r="AH68" i="26"/>
  <c r="AG68" i="26"/>
  <c r="AF68" i="26"/>
  <c r="AE68" i="26"/>
  <c r="AD68" i="26"/>
  <c r="AC68" i="26"/>
  <c r="AA68" i="26"/>
  <c r="Z68" i="26"/>
  <c r="Y68" i="26"/>
  <c r="X68" i="26"/>
  <c r="Q68" i="26"/>
  <c r="R71" i="26" s="1"/>
  <c r="P68" i="26"/>
  <c r="AK67" i="26"/>
  <c r="AL67" i="26" s="1"/>
  <c r="AJ67" i="26"/>
  <c r="T67" i="26" s="1"/>
  <c r="V67" i="26" s="1"/>
  <c r="AH67" i="26"/>
  <c r="AG67" i="26"/>
  <c r="AF67" i="26"/>
  <c r="AE67" i="26"/>
  <c r="AD67" i="26"/>
  <c r="AC67" i="26"/>
  <c r="AA67" i="26"/>
  <c r="Z67" i="26"/>
  <c r="Y67" i="26"/>
  <c r="X67" i="26"/>
  <c r="AK66" i="26"/>
  <c r="AL66" i="26" s="1"/>
  <c r="AJ66" i="26"/>
  <c r="T66" i="26" s="1"/>
  <c r="V66" i="26" s="1"/>
  <c r="AK65" i="26"/>
  <c r="AL65" i="26" s="1"/>
  <c r="AJ65" i="26"/>
  <c r="T65" i="26" s="1"/>
  <c r="V65" i="26" s="1"/>
  <c r="AH65" i="26"/>
  <c r="AG65" i="26"/>
  <c r="AF65" i="26"/>
  <c r="AE65" i="26"/>
  <c r="AD65" i="26"/>
  <c r="AC65" i="26"/>
  <c r="AA65" i="26"/>
  <c r="Z65" i="26"/>
  <c r="Y65" i="26"/>
  <c r="X65" i="26"/>
  <c r="AK64" i="26"/>
  <c r="AL64" i="26" s="1"/>
  <c r="AJ64" i="26"/>
  <c r="T64" i="26" s="1"/>
  <c r="V64" i="26" s="1"/>
  <c r="AH64" i="26"/>
  <c r="AG64" i="26"/>
  <c r="AF64" i="26"/>
  <c r="AE64" i="26"/>
  <c r="AD64" i="26"/>
  <c r="AC64" i="26"/>
  <c r="AA64" i="26"/>
  <c r="Z64" i="26"/>
  <c r="Y64" i="26"/>
  <c r="X64" i="26"/>
  <c r="AI63" i="26"/>
  <c r="AH63" i="26"/>
  <c r="AG63" i="26"/>
  <c r="AF63" i="26"/>
  <c r="AE63" i="26"/>
  <c r="AD63" i="26"/>
  <c r="AC63" i="26"/>
  <c r="AA63" i="26"/>
  <c r="Z63" i="26"/>
  <c r="Y63" i="26"/>
  <c r="X63" i="26"/>
  <c r="Q63" i="26"/>
  <c r="R66" i="26" s="1"/>
  <c r="P63" i="26"/>
  <c r="AK62" i="26"/>
  <c r="AL62" i="26" s="1"/>
  <c r="AJ62" i="26"/>
  <c r="T62" i="26" s="1"/>
  <c r="V62" i="26" s="1"/>
  <c r="AH62" i="26"/>
  <c r="AG62" i="26"/>
  <c r="AF62" i="26"/>
  <c r="AE62" i="26"/>
  <c r="AD62" i="26"/>
  <c r="AC62" i="26"/>
  <c r="AA62" i="26"/>
  <c r="Z62" i="26"/>
  <c r="Y62" i="26"/>
  <c r="X62" i="26"/>
  <c r="AI61" i="26"/>
  <c r="AH61" i="26"/>
  <c r="AG61" i="26"/>
  <c r="AF61" i="26"/>
  <c r="AE61" i="26"/>
  <c r="AD61" i="26"/>
  <c r="AC61" i="26"/>
  <c r="AA61" i="26"/>
  <c r="Z61" i="26"/>
  <c r="Y61" i="26"/>
  <c r="X61" i="26"/>
  <c r="Q61" i="26"/>
  <c r="P61" i="26"/>
  <c r="AK60" i="26"/>
  <c r="AL60" i="26" s="1"/>
  <c r="AJ60" i="26"/>
  <c r="T60" i="26" s="1"/>
  <c r="V60" i="26" s="1"/>
  <c r="AH60" i="26"/>
  <c r="AG60" i="26"/>
  <c r="AF60" i="26"/>
  <c r="AE60" i="26"/>
  <c r="AD60" i="26"/>
  <c r="AC60" i="26"/>
  <c r="AA60" i="26"/>
  <c r="Z60" i="26"/>
  <c r="Y60" i="26"/>
  <c r="X60" i="26"/>
  <c r="AK58" i="26"/>
  <c r="AL58" i="26" s="1"/>
  <c r="AJ58" i="26"/>
  <c r="T58" i="26" s="1"/>
  <c r="V58" i="26" s="1"/>
  <c r="AH58" i="26"/>
  <c r="AG58" i="26"/>
  <c r="AF58" i="26"/>
  <c r="AE58" i="26"/>
  <c r="AD58" i="26"/>
  <c r="AC58" i="26"/>
  <c r="AA58" i="26"/>
  <c r="Z58" i="26"/>
  <c r="Y58" i="26"/>
  <c r="X58" i="26"/>
  <c r="AI57" i="26"/>
  <c r="AH57" i="26"/>
  <c r="AG57" i="26"/>
  <c r="AF57" i="26"/>
  <c r="AE57" i="26"/>
  <c r="AD57" i="26"/>
  <c r="AC57" i="26"/>
  <c r="AA57" i="26"/>
  <c r="Z57" i="26"/>
  <c r="Y57" i="26"/>
  <c r="X57" i="26"/>
  <c r="Q57" i="26"/>
  <c r="R59" i="26" s="1"/>
  <c r="P57" i="26"/>
  <c r="A57" i="26"/>
  <c r="A61" i="26" s="1"/>
  <c r="A63" i="26" s="1"/>
  <c r="A68" i="26" s="1"/>
  <c r="A72" i="26" s="1"/>
  <c r="A78" i="26" s="1"/>
  <c r="A81" i="26" s="1"/>
  <c r="A85" i="26" s="1"/>
  <c r="A89" i="26" s="1"/>
  <c r="A93" i="26" s="1"/>
  <c r="A96" i="26" s="1"/>
  <c r="A100" i="26" s="1"/>
  <c r="A109" i="26" s="1"/>
  <c r="A113" i="26" s="1"/>
  <c r="A117" i="26" s="1"/>
  <c r="A122" i="26" s="1"/>
  <c r="A130" i="26" s="1"/>
  <c r="A133" i="26" s="1"/>
  <c r="A137" i="26" s="1"/>
  <c r="A141" i="26" s="1"/>
  <c r="A146" i="26" s="1"/>
  <c r="A150" i="26" s="1"/>
  <c r="A160" i="26" s="1"/>
  <c r="A171" i="26" s="1"/>
  <c r="AK56" i="26"/>
  <c r="AL56" i="26" s="1"/>
  <c r="AJ56" i="26"/>
  <c r="T56" i="26" s="1"/>
  <c r="V56" i="26" s="1"/>
  <c r="AH56" i="26"/>
  <c r="AG56" i="26"/>
  <c r="AF56" i="26"/>
  <c r="AE56" i="26"/>
  <c r="AD56" i="26"/>
  <c r="AC56" i="26"/>
  <c r="AA56" i="26"/>
  <c r="Z56" i="26"/>
  <c r="Y56" i="26"/>
  <c r="X56" i="26"/>
  <c r="AI55" i="26"/>
  <c r="AH55" i="26"/>
  <c r="AG55" i="26"/>
  <c r="AG54" i="26" s="1"/>
  <c r="AF55" i="26"/>
  <c r="AE55" i="26"/>
  <c r="AE54" i="26" s="1"/>
  <c r="AE53" i="26" s="1"/>
  <c r="AD55" i="26"/>
  <c r="AD54" i="26" s="1"/>
  <c r="AD53" i="26" s="1"/>
  <c r="AC55" i="26"/>
  <c r="AC54" i="26" s="1"/>
  <c r="AC53" i="26" s="1"/>
  <c r="AA55" i="26"/>
  <c r="AA54" i="26" s="1"/>
  <c r="AA53" i="26" s="1"/>
  <c r="Z55" i="26"/>
  <c r="Z54" i="26" s="1"/>
  <c r="Z53" i="26" s="1"/>
  <c r="Y55" i="26"/>
  <c r="Y54" i="26" s="1"/>
  <c r="Y53" i="26" s="1"/>
  <c r="X55" i="26"/>
  <c r="X54" i="26" s="1"/>
  <c r="X53" i="26" s="1"/>
  <c r="Q55" i="26"/>
  <c r="AB54" i="26"/>
  <c r="W54" i="26"/>
  <c r="W53" i="26" s="1"/>
  <c r="W33" i="26" s="1"/>
  <c r="S54" i="26"/>
  <c r="S53" i="26" s="1"/>
  <c r="O54" i="26"/>
  <c r="AK51" i="26"/>
  <c r="AL51" i="26" s="1"/>
  <c r="AJ51" i="26"/>
  <c r="T51" i="26" s="1"/>
  <c r="V51" i="26" s="1"/>
  <c r="AI50" i="26"/>
  <c r="Q50" i="26"/>
  <c r="AJ49" i="26"/>
  <c r="T49" i="26" s="1"/>
  <c r="V49" i="26" s="1"/>
  <c r="AK49" i="26"/>
  <c r="AL49" i="26" s="1"/>
  <c r="AJ48" i="26"/>
  <c r="T48" i="26" s="1"/>
  <c r="V48" i="26" s="1"/>
  <c r="AK48" i="26"/>
  <c r="AL48" i="26" s="1"/>
  <c r="AI47" i="26"/>
  <c r="Q47" i="26"/>
  <c r="AK46" i="26"/>
  <c r="AL46" i="26" s="1"/>
  <c r="AK44" i="26"/>
  <c r="AL44" i="26" s="1"/>
  <c r="AK42" i="26"/>
  <c r="AL42" i="26" s="1"/>
  <c r="AK38" i="26"/>
  <c r="AL38" i="26" s="1"/>
  <c r="Q37" i="26"/>
  <c r="AH35" i="26"/>
  <c r="AG35" i="26"/>
  <c r="AF35" i="26"/>
  <c r="AE35" i="26"/>
  <c r="AE33" i="26" s="1"/>
  <c r="AD35" i="26"/>
  <c r="AD33" i="26" s="1"/>
  <c r="AC35" i="26"/>
  <c r="AC33" i="26" s="1"/>
  <c r="AA35" i="26"/>
  <c r="AA33" i="26" s="1"/>
  <c r="Z35" i="26"/>
  <c r="Z33" i="26" s="1"/>
  <c r="Y35" i="26"/>
  <c r="Y33" i="26" s="1"/>
  <c r="X35" i="26"/>
  <c r="X33" i="26" s="1"/>
  <c r="P35" i="26"/>
  <c r="S33" i="26"/>
  <c r="AK31" i="26"/>
  <c r="AB31" i="26"/>
  <c r="AA31" i="26"/>
  <c r="Z31" i="26"/>
  <c r="Y31" i="26"/>
  <c r="T31" i="26"/>
  <c r="V31" i="26" s="1"/>
  <c r="AK30" i="26"/>
  <c r="AB30" i="26"/>
  <c r="AA30" i="26"/>
  <c r="Z30" i="26"/>
  <c r="Y30" i="26"/>
  <c r="T30" i="26"/>
  <c r="V30" i="26" s="1"/>
  <c r="AK29" i="26"/>
  <c r="AL29" i="26" s="1"/>
  <c r="AJ29" i="26"/>
  <c r="T29" i="26" s="1"/>
  <c r="V29" i="26" s="1"/>
  <c r="AB29" i="26"/>
  <c r="AA29" i="26"/>
  <c r="Z29" i="26"/>
  <c r="Y29" i="26"/>
  <c r="AB28" i="26"/>
  <c r="AA28" i="26"/>
  <c r="Z28" i="26"/>
  <c r="Y28" i="26"/>
  <c r="T28" i="26"/>
  <c r="V28" i="26" s="1"/>
  <c r="AK32" i="26"/>
  <c r="AB32" i="26"/>
  <c r="AB12" i="26" s="1"/>
  <c r="AA32" i="26"/>
  <c r="Z32" i="26"/>
  <c r="Y32" i="26"/>
  <c r="T32" i="26"/>
  <c r="V32" i="26" s="1"/>
  <c r="AB27" i="26"/>
  <c r="AA27" i="26"/>
  <c r="Y27" i="26"/>
  <c r="AH26" i="26"/>
  <c r="AH12" i="26" s="1"/>
  <c r="AG26" i="26"/>
  <c r="AG12" i="26" s="1"/>
  <c r="AF26" i="26"/>
  <c r="AF12" i="26" s="1"/>
  <c r="AE26" i="26"/>
  <c r="AD26" i="26"/>
  <c r="AD12" i="26" s="1"/>
  <c r="AC26" i="26"/>
  <c r="AC12" i="26" s="1"/>
  <c r="AA26" i="26"/>
  <c r="AA12" i="26" s="1"/>
  <c r="Z26" i="26"/>
  <c r="Z12" i="26" s="1"/>
  <c r="Y26" i="26"/>
  <c r="Y12" i="26" s="1"/>
  <c r="X26" i="26"/>
  <c r="X12" i="26" s="1"/>
  <c r="Q26" i="26"/>
  <c r="R26" i="26" s="1"/>
  <c r="P26" i="26"/>
  <c r="AK25" i="26"/>
  <c r="AL25" i="26" s="1"/>
  <c r="AJ25" i="26"/>
  <c r="T25" i="26" s="1"/>
  <c r="V25" i="26" s="1"/>
  <c r="AC25" i="26"/>
  <c r="AH24" i="26"/>
  <c r="AG24" i="26"/>
  <c r="AF24" i="26"/>
  <c r="AE24" i="26"/>
  <c r="AD24" i="26"/>
  <c r="AC24" i="26"/>
  <c r="AA24" i="26"/>
  <c r="Z24" i="26"/>
  <c r="Y24" i="26"/>
  <c r="X24" i="26"/>
  <c r="Q24" i="26"/>
  <c r="AJ24" i="26" s="1"/>
  <c r="T24" i="26" s="1"/>
  <c r="V24" i="26" s="1"/>
  <c r="P24" i="26"/>
  <c r="AK23" i="26"/>
  <c r="AL23" i="26" s="1"/>
  <c r="AK21" i="26"/>
  <c r="AL21" i="26" s="1"/>
  <c r="AK19" i="26"/>
  <c r="AL19" i="26" s="1"/>
  <c r="AK17" i="26"/>
  <c r="AL17" i="26" s="1"/>
  <c r="AK15" i="26"/>
  <c r="AL15" i="26" s="1"/>
  <c r="AH14" i="26"/>
  <c r="AG14" i="26"/>
  <c r="AG10" i="26" s="1"/>
  <c r="AF14" i="26"/>
  <c r="AF10" i="26" s="1"/>
  <c r="AE14" i="26"/>
  <c r="AE10" i="26" s="1"/>
  <c r="AD14" i="26"/>
  <c r="AD10" i="26" s="1"/>
  <c r="AC14" i="26"/>
  <c r="AC10" i="26" s="1"/>
  <c r="AA14" i="26"/>
  <c r="AA10" i="26" s="1"/>
  <c r="Z14" i="26"/>
  <c r="Z10" i="26" s="1"/>
  <c r="Y14" i="26"/>
  <c r="Y10" i="26" s="1"/>
  <c r="X14" i="26"/>
  <c r="X10" i="26" s="1"/>
  <c r="P14" i="26"/>
  <c r="AE12" i="26"/>
  <c r="W12" i="26"/>
  <c r="P12" i="26"/>
  <c r="O12" i="26"/>
  <c r="AB10" i="26"/>
  <c r="W10" i="26"/>
  <c r="S10" i="26"/>
  <c r="O10" i="26"/>
  <c r="AJ625" i="26"/>
  <c r="T625" i="26" s="1"/>
  <c r="V625" i="26" s="1"/>
  <c r="AH216" i="26"/>
  <c r="R77" i="26"/>
  <c r="R97" i="26"/>
  <c r="AJ15" i="26"/>
  <c r="T15" i="26" s="1"/>
  <c r="V15" i="26" s="1"/>
  <c r="AJ16" i="26"/>
  <c r="T16" i="26" s="1"/>
  <c r="V16" i="26" s="1"/>
  <c r="AJ17" i="26"/>
  <c r="T17" i="26" s="1"/>
  <c r="V17" i="26" s="1"/>
  <c r="AJ18" i="26"/>
  <c r="T18" i="26" s="1"/>
  <c r="V18" i="26" s="1"/>
  <c r="AJ19" i="26"/>
  <c r="T19" i="26" s="1"/>
  <c r="V19" i="26" s="1"/>
  <c r="AJ21" i="26"/>
  <c r="T21" i="26" s="1"/>
  <c r="V21" i="26" s="1"/>
  <c r="AJ23" i="26"/>
  <c r="T23" i="26" s="1"/>
  <c r="V23" i="26" s="1"/>
  <c r="AJ38" i="26"/>
  <c r="T38" i="26" s="1"/>
  <c r="V38" i="26" s="1"/>
  <c r="AJ39" i="26"/>
  <c r="T39" i="26" s="1"/>
  <c r="V39" i="26" s="1"/>
  <c r="AJ41" i="26"/>
  <c r="T41" i="26" s="1"/>
  <c r="V41" i="26" s="1"/>
  <c r="AJ42" i="26"/>
  <c r="T42" i="26" s="1"/>
  <c r="V42" i="26" s="1"/>
  <c r="AJ43" i="26"/>
  <c r="T43" i="26" s="1"/>
  <c r="V43" i="26" s="1"/>
  <c r="AJ44" i="26"/>
  <c r="T44" i="26" s="1"/>
  <c r="V44" i="26" s="1"/>
  <c r="AJ45" i="26"/>
  <c r="T45" i="26" s="1"/>
  <c r="V45" i="26" s="1"/>
  <c r="AJ46" i="26"/>
  <c r="T46" i="26" s="1"/>
  <c r="V46" i="26" s="1"/>
  <c r="R73" i="26"/>
  <c r="R74" i="26"/>
  <c r="R98" i="26"/>
  <c r="U98" i="26" s="1"/>
  <c r="R134" i="26"/>
  <c r="R135" i="26"/>
  <c r="R143" i="26"/>
  <c r="Q145" i="26"/>
  <c r="R150" i="26" s="1"/>
  <c r="AK146" i="26"/>
  <c r="AL146" i="26" s="1"/>
  <c r="R152" i="26"/>
  <c r="U152" i="26" s="1"/>
  <c r="R156" i="26"/>
  <c r="U156" i="26" s="1"/>
  <c r="R162" i="26"/>
  <c r="R167" i="26"/>
  <c r="R186" i="26"/>
  <c r="R190" i="26"/>
  <c r="R194" i="26"/>
  <c r="R240" i="26"/>
  <c r="U240" i="26" s="1"/>
  <c r="R119" i="26"/>
  <c r="U119" i="26" s="1"/>
  <c r="R204" i="26"/>
  <c r="R206" i="26"/>
  <c r="R120" i="26"/>
  <c r="R124" i="26"/>
  <c r="R128" i="26"/>
  <c r="U128" i="26" s="1"/>
  <c r="R154" i="26"/>
  <c r="R158" i="26"/>
  <c r="R169" i="26"/>
  <c r="U169" i="26" s="1"/>
  <c r="R202" i="26"/>
  <c r="U202" i="26" s="1"/>
  <c r="R207" i="26"/>
  <c r="U207" i="26" s="1"/>
  <c r="R237" i="26"/>
  <c r="U237" i="26" s="1"/>
  <c r="R125" i="26"/>
  <c r="R153" i="26"/>
  <c r="AK180" i="26"/>
  <c r="AL180" i="26" s="1"/>
  <c r="R189" i="26"/>
  <c r="R197" i="26"/>
  <c r="R203" i="26"/>
  <c r="U203" i="26" s="1"/>
  <c r="R205" i="26"/>
  <c r="R238" i="26"/>
  <c r="R234" i="26"/>
  <c r="U234" i="26" s="1"/>
  <c r="AK233" i="26"/>
  <c r="AL233" i="26" s="1"/>
  <c r="R235" i="26"/>
  <c r="R288" i="26"/>
  <c r="U288" i="26" s="1"/>
  <c r="R292" i="26"/>
  <c r="U292" i="26" s="1"/>
  <c r="AJ304" i="26"/>
  <c r="T304" i="26" s="1"/>
  <c r="V304" i="26" s="1"/>
  <c r="R308" i="26"/>
  <c r="R317" i="26"/>
  <c r="U317" i="26" s="1"/>
  <c r="AI318" i="26"/>
  <c r="AJ318" i="26" s="1"/>
  <c r="T318" i="26" s="1"/>
  <c r="V318" i="26" s="1"/>
  <c r="R319" i="26"/>
  <c r="U319" i="26" s="1"/>
  <c r="AK321" i="26"/>
  <c r="AL321" i="26" s="1"/>
  <c r="R324" i="26"/>
  <c r="U324" i="26" s="1"/>
  <c r="R329" i="26"/>
  <c r="R339" i="26"/>
  <c r="U339" i="26" s="1"/>
  <c r="R343" i="26"/>
  <c r="U343" i="26" s="1"/>
  <c r="R347" i="26"/>
  <c r="U347" i="26" s="1"/>
  <c r="R353" i="26"/>
  <c r="AJ363" i="26"/>
  <c r="T363" i="26" s="1"/>
  <c r="R367" i="26"/>
  <c r="R373" i="26"/>
  <c r="U373" i="26" s="1"/>
  <c r="R411" i="26"/>
  <c r="U411" i="26" s="1"/>
  <c r="AJ293" i="26"/>
  <c r="T293" i="26" s="1"/>
  <c r="V293" i="26" s="1"/>
  <c r="R323" i="26"/>
  <c r="U323" i="26" s="1"/>
  <c r="R327" i="26"/>
  <c r="R328" i="26"/>
  <c r="R290" i="26"/>
  <c r="U290" i="26" s="1"/>
  <c r="R296" i="26"/>
  <c r="U296" i="26" s="1"/>
  <c r="R315" i="26"/>
  <c r="R321" i="26"/>
  <c r="U321" i="26" s="1"/>
  <c r="R322" i="26"/>
  <c r="U322" i="26" s="1"/>
  <c r="R326" i="26"/>
  <c r="U326" i="26" s="1"/>
  <c r="AJ327" i="26"/>
  <c r="T327" i="26" s="1"/>
  <c r="V327" i="26" s="1"/>
  <c r="R341" i="26"/>
  <c r="U341" i="26" s="1"/>
  <c r="R345" i="26"/>
  <c r="R409" i="26"/>
  <c r="U409" i="26" s="1"/>
  <c r="R225" i="26"/>
  <c r="R258" i="26"/>
  <c r="R262" i="26"/>
  <c r="R295" i="26"/>
  <c r="R305" i="26"/>
  <c r="U305" i="26" s="1"/>
  <c r="R320" i="26"/>
  <c r="U320" i="26" s="1"/>
  <c r="R325" i="26"/>
  <c r="AK337" i="26"/>
  <c r="AL337" i="26" s="1"/>
  <c r="R340" i="26"/>
  <c r="R344" i="26"/>
  <c r="R364" i="26"/>
  <c r="U364" i="26" s="1"/>
  <c r="R368" i="26"/>
  <c r="R372" i="26"/>
  <c r="U372" i="26" s="1"/>
  <c r="R395" i="26"/>
  <c r="R392" i="26"/>
  <c r="R397" i="26"/>
  <c r="R439" i="26"/>
  <c r="R443" i="26"/>
  <c r="AK465" i="26"/>
  <c r="AL465" i="26" s="1"/>
  <c r="R474" i="26"/>
  <c r="R476" i="26"/>
  <c r="U476" i="26" s="1"/>
  <c r="R484" i="26"/>
  <c r="U484" i="26" s="1"/>
  <c r="R493" i="26"/>
  <c r="R490" i="26"/>
  <c r="U490" i="26" s="1"/>
  <c r="R492" i="26"/>
  <c r="U492" i="26" s="1"/>
  <c r="R441" i="26"/>
  <c r="U441" i="26" s="1"/>
  <c r="R445" i="26"/>
  <c r="AK494" i="26"/>
  <c r="AL494" i="26" s="1"/>
  <c r="AJ494" i="26"/>
  <c r="T494" i="26" s="1"/>
  <c r="V494" i="26" s="1"/>
  <c r="R417" i="26"/>
  <c r="AK437" i="26"/>
  <c r="AL437" i="26" s="1"/>
  <c r="R440" i="26"/>
  <c r="U440" i="26" s="1"/>
  <c r="R450" i="26"/>
  <c r="R454" i="26"/>
  <c r="U454" i="26" s="1"/>
  <c r="R469" i="26"/>
  <c r="R473" i="26"/>
  <c r="R482" i="26"/>
  <c r="R507" i="26"/>
  <c r="U507" i="26" s="1"/>
  <c r="R577" i="26"/>
  <c r="R581" i="26"/>
  <c r="U581" i="26" s="1"/>
  <c r="R587" i="26"/>
  <c r="R591" i="26"/>
  <c r="R594" i="26"/>
  <c r="AK607" i="26"/>
  <c r="AL607" i="26" s="1"/>
  <c r="AJ607" i="26"/>
  <c r="T607" i="26" s="1"/>
  <c r="V607" i="26" s="1"/>
  <c r="R573" i="26"/>
  <c r="U573" i="26" s="1"/>
  <c r="R576" i="26"/>
  <c r="U576" i="26" s="1"/>
  <c r="R580" i="26"/>
  <c r="U580" i="26" s="1"/>
  <c r="R584" i="26"/>
  <c r="R586" i="26"/>
  <c r="U586" i="26" s="1"/>
  <c r="R590" i="26"/>
  <c r="U590" i="26" s="1"/>
  <c r="R620" i="26"/>
  <c r="U620" i="26" s="1"/>
  <c r="R612" i="26"/>
  <c r="R621" i="26"/>
  <c r="U621" i="26" s="1"/>
  <c r="R613" i="26"/>
  <c r="U613" i="26" s="1"/>
  <c r="R498" i="26"/>
  <c r="R510" i="26"/>
  <c r="U510" i="26" s="1"/>
  <c r="R514" i="26"/>
  <c r="R523" i="26"/>
  <c r="R536" i="26"/>
  <c r="R540" i="26"/>
  <c r="U540" i="26" s="1"/>
  <c r="AJ541" i="26"/>
  <c r="T541" i="26" s="1"/>
  <c r="V541" i="26" s="1"/>
  <c r="R545" i="26"/>
  <c r="R549" i="26"/>
  <c r="U549" i="26" s="1"/>
  <c r="R553" i="26"/>
  <c r="AJ554" i="26"/>
  <c r="T554" i="26" s="1"/>
  <c r="V554" i="26" s="1"/>
  <c r="R558" i="26"/>
  <c r="U558" i="26" s="1"/>
  <c r="R572" i="26"/>
  <c r="U572" i="26" s="1"/>
  <c r="R575" i="26"/>
  <c r="R579" i="26"/>
  <c r="R583" i="26"/>
  <c r="AJ585" i="26"/>
  <c r="T585" i="26" s="1"/>
  <c r="V585" i="26" s="1"/>
  <c r="R589" i="26"/>
  <c r="U589" i="26" s="1"/>
  <c r="R593" i="26"/>
  <c r="U593" i="26" s="1"/>
  <c r="R596" i="26"/>
  <c r="AK602" i="26"/>
  <c r="AL602" i="26" s="1"/>
  <c r="AI599" i="26"/>
  <c r="AJ602" i="26"/>
  <c r="T602" i="26" s="1"/>
  <c r="V602" i="26" s="1"/>
  <c r="AK505" i="26"/>
  <c r="AL505" i="26" s="1"/>
  <c r="AJ509" i="26"/>
  <c r="T509" i="26" s="1"/>
  <c r="V509" i="26" s="1"/>
  <c r="R548" i="26"/>
  <c r="U548" i="26" s="1"/>
  <c r="R557" i="26"/>
  <c r="U557" i="26" s="1"/>
  <c r="AJ571" i="26"/>
  <c r="T571" i="26" s="1"/>
  <c r="V571" i="26" s="1"/>
  <c r="R578" i="26"/>
  <c r="AK585" i="26"/>
  <c r="AL585" i="26" s="1"/>
  <c r="R588" i="26"/>
  <c r="U588" i="26" s="1"/>
  <c r="R592" i="26"/>
  <c r="U592" i="26" s="1"/>
  <c r="R595" i="26"/>
  <c r="U595" i="26" s="1"/>
  <c r="R597" i="26"/>
  <c r="R605" i="26"/>
  <c r="R640" i="26"/>
  <c r="R653" i="26"/>
  <c r="R649" i="26"/>
  <c r="U649" i="26" s="1"/>
  <c r="R651" i="26"/>
  <c r="U651" i="26" s="1"/>
  <c r="R628" i="26"/>
  <c r="U628" i="26" s="1"/>
  <c r="R632" i="26"/>
  <c r="R648" i="26"/>
  <c r="U648" i="26" s="1"/>
  <c r="R650" i="26"/>
  <c r="AJ660" i="26"/>
  <c r="T660" i="26" s="1"/>
  <c r="V660" i="26" s="1"/>
  <c r="R627" i="26"/>
  <c r="U627" i="26" s="1"/>
  <c r="R631" i="26"/>
  <c r="U631" i="26" s="1"/>
  <c r="R646" i="26"/>
  <c r="R689" i="26"/>
  <c r="R693" i="26"/>
  <c r="R688" i="26"/>
  <c r="U688" i="26" s="1"/>
  <c r="R692" i="26"/>
  <c r="U692" i="26" s="1"/>
  <c r="R662" i="26"/>
  <c r="R666" i="26"/>
  <c r="U666" i="26" s="1"/>
  <c r="R670" i="26"/>
  <c r="U670" i="26" s="1"/>
  <c r="R690" i="26"/>
  <c r="U690" i="26" s="1"/>
  <c r="V363" i="26"/>
  <c r="V120" i="26"/>
  <c r="V121" i="26"/>
  <c r="V169" i="26"/>
  <c r="V202" i="26"/>
  <c r="V213" i="26"/>
  <c r="V215" i="26"/>
  <c r="V321" i="26"/>
  <c r="V329" i="26"/>
  <c r="U329" i="26"/>
  <c r="V339" i="26"/>
  <c r="V373" i="26"/>
  <c r="V426" i="26"/>
  <c r="V207" i="26"/>
  <c r="V234" i="26"/>
  <c r="V317" i="26"/>
  <c r="V322" i="26"/>
  <c r="V323" i="26"/>
  <c r="V324" i="26"/>
  <c r="V326" i="26"/>
  <c r="V341" i="26"/>
  <c r="V343" i="26"/>
  <c r="V345" i="26"/>
  <c r="V347" i="26"/>
  <c r="V402" i="26"/>
  <c r="V428" i="26"/>
  <c r="R65" i="26"/>
  <c r="R67" i="26"/>
  <c r="R79" i="26"/>
  <c r="U79" i="26" s="1"/>
  <c r="AJ81" i="26"/>
  <c r="T81" i="26" s="1"/>
  <c r="V81" i="26" s="1"/>
  <c r="R87" i="26"/>
  <c r="U87" i="26" s="1"/>
  <c r="R86" i="26"/>
  <c r="U86" i="26" s="1"/>
  <c r="AJ113" i="26"/>
  <c r="T113" i="26" s="1"/>
  <c r="V113" i="26" s="1"/>
  <c r="R123" i="26"/>
  <c r="R127" i="26"/>
  <c r="R139" i="26"/>
  <c r="R149" i="26"/>
  <c r="U149" i="26" s="1"/>
  <c r="R157" i="26"/>
  <c r="R196" i="26"/>
  <c r="U196" i="26" s="1"/>
  <c r="R200" i="26"/>
  <c r="U200" i="26" s="1"/>
  <c r="R218" i="26"/>
  <c r="U218" i="26" s="1"/>
  <c r="R219" i="26"/>
  <c r="R220" i="26"/>
  <c r="U220" i="26" s="1"/>
  <c r="R223" i="26"/>
  <c r="R224" i="26"/>
  <c r="U224" i="26" s="1"/>
  <c r="R227" i="26"/>
  <c r="U227" i="26" s="1"/>
  <c r="R228" i="26"/>
  <c r="U228" i="26" s="1"/>
  <c r="R232" i="26"/>
  <c r="U232" i="26" s="1"/>
  <c r="R236" i="26"/>
  <c r="U236" i="26" s="1"/>
  <c r="R243" i="26"/>
  <c r="R247" i="26"/>
  <c r="R250" i="26"/>
  <c r="U250" i="26" s="1"/>
  <c r="X250" i="26" s="1"/>
  <c r="AA250" i="26" s="1"/>
  <c r="R266" i="26"/>
  <c r="R255" i="26"/>
  <c r="U255" i="26" s="1"/>
  <c r="R256" i="26"/>
  <c r="U256" i="26" s="1"/>
  <c r="R257" i="26"/>
  <c r="U257" i="26" s="1"/>
  <c r="R259" i="26"/>
  <c r="R260" i="26"/>
  <c r="U260" i="26" s="1"/>
  <c r="R261" i="26"/>
  <c r="R263" i="26"/>
  <c r="U263" i="26" s="1"/>
  <c r="R264" i="26"/>
  <c r="U264" i="26" s="1"/>
  <c r="AK267" i="26"/>
  <c r="AL267" i="26" s="1"/>
  <c r="R282" i="26"/>
  <c r="R289" i="26"/>
  <c r="U289" i="26" s="1"/>
  <c r="R287" i="26"/>
  <c r="U287" i="26" s="1"/>
  <c r="R310" i="26"/>
  <c r="U310" i="26" s="1"/>
  <c r="R312" i="26"/>
  <c r="U312" i="26" s="1"/>
  <c r="R316" i="26"/>
  <c r="U316" i="26" s="1"/>
  <c r="AJ331" i="26"/>
  <c r="T331" i="26" s="1"/>
  <c r="R332" i="26"/>
  <c r="U332" i="26" s="1"/>
  <c r="R333" i="26"/>
  <c r="U333" i="26" s="1"/>
  <c r="R334" i="26"/>
  <c r="R338" i="26"/>
  <c r="R342" i="26"/>
  <c r="R346" i="26"/>
  <c r="R370" i="26"/>
  <c r="U370" i="26" s="1"/>
  <c r="AK363" i="26"/>
  <c r="AL363" i="26" s="1"/>
  <c r="R365" i="26"/>
  <c r="U365" i="26" s="1"/>
  <c r="R366" i="26"/>
  <c r="R377" i="26"/>
  <c r="U377" i="26" s="1"/>
  <c r="R382" i="26"/>
  <c r="U382" i="26" s="1"/>
  <c r="R389" i="26"/>
  <c r="U389" i="26" s="1"/>
  <c r="R394" i="26"/>
  <c r="R396" i="26"/>
  <c r="U396" i="26" s="1"/>
  <c r="R421" i="26"/>
  <c r="R414" i="26"/>
  <c r="U414" i="26" s="1"/>
  <c r="R415" i="26"/>
  <c r="R416" i="26"/>
  <c r="U416" i="26" s="1"/>
  <c r="R442" i="26"/>
  <c r="U442" i="26" s="1"/>
  <c r="R447" i="26"/>
  <c r="U447" i="26" s="1"/>
  <c r="R452" i="26"/>
  <c r="U452" i="26" s="1"/>
  <c r="R453" i="26"/>
  <c r="U453" i="26" s="1"/>
  <c r="R455" i="26"/>
  <c r="U455" i="26" s="1"/>
  <c r="R460" i="26"/>
  <c r="U460" i="26" s="1"/>
  <c r="R461" i="26"/>
  <c r="U461" i="26" s="1"/>
  <c r="R462" i="26"/>
  <c r="U462" i="26" s="1"/>
  <c r="R466" i="26"/>
  <c r="R471" i="26"/>
  <c r="U471" i="26" s="1"/>
  <c r="R472" i="26"/>
  <c r="U472" i="26" s="1"/>
  <c r="R24" i="26"/>
  <c r="R82" i="26"/>
  <c r="R83" i="26"/>
  <c r="AJ100" i="26"/>
  <c r="T100" i="26" s="1"/>
  <c r="V100" i="26" s="1"/>
  <c r="R114" i="26"/>
  <c r="U114" i="26" s="1"/>
  <c r="R131" i="26"/>
  <c r="R151" i="26"/>
  <c r="U151" i="26" s="1"/>
  <c r="R191" i="26"/>
  <c r="U191" i="26" s="1"/>
  <c r="R276" i="26"/>
  <c r="U276" i="26" s="1"/>
  <c r="R309" i="26"/>
  <c r="U309" i="26" s="1"/>
  <c r="AK304" i="26"/>
  <c r="AL304" i="26" s="1"/>
  <c r="R306" i="26"/>
  <c r="U306" i="26" s="1"/>
  <c r="R369" i="26"/>
  <c r="U369" i="26" s="1"/>
  <c r="R375" i="26"/>
  <c r="U375" i="26" s="1"/>
  <c r="R378" i="26"/>
  <c r="R380" i="26"/>
  <c r="U380" i="26" s="1"/>
  <c r="R384" i="26"/>
  <c r="R391" i="26"/>
  <c r="R418" i="26"/>
  <c r="U418" i="26" s="1"/>
  <c r="R419" i="26"/>
  <c r="R420" i="26"/>
  <c r="U420" i="26" s="1"/>
  <c r="R422" i="26"/>
  <c r="U422" i="26" s="1"/>
  <c r="R444" i="26"/>
  <c r="U444" i="26" s="1"/>
  <c r="R458" i="26"/>
  <c r="R448" i="26"/>
  <c r="U448" i="26" s="1"/>
  <c r="R449" i="26"/>
  <c r="U449" i="26" s="1"/>
  <c r="R451" i="26"/>
  <c r="R456" i="26"/>
  <c r="U456" i="26" s="1"/>
  <c r="R463" i="26"/>
  <c r="U463" i="26" s="1"/>
  <c r="R477" i="26"/>
  <c r="R467" i="26"/>
  <c r="U467" i="26" s="1"/>
  <c r="R468" i="26"/>
  <c r="U468" i="26" s="1"/>
  <c r="R470" i="26"/>
  <c r="R488" i="26"/>
  <c r="U488" i="26" s="1"/>
  <c r="R495" i="26"/>
  <c r="U495" i="26" s="1"/>
  <c r="R499" i="26"/>
  <c r="U499" i="26" s="1"/>
  <c r="R500" i="26"/>
  <c r="U500" i="26" s="1"/>
  <c r="R501" i="26"/>
  <c r="R511" i="26"/>
  <c r="U511" i="26" s="1"/>
  <c r="R512" i="26"/>
  <c r="U512" i="26" s="1"/>
  <c r="R515" i="26"/>
  <c r="U515" i="26" s="1"/>
  <c r="R516" i="26"/>
  <c r="U516" i="26" s="1"/>
  <c r="R522" i="26"/>
  <c r="U522" i="26" s="1"/>
  <c r="R539" i="26"/>
  <c r="U539" i="26" s="1"/>
  <c r="R537" i="26"/>
  <c r="U537" i="26" s="1"/>
  <c r="R543" i="26"/>
  <c r="U543" i="26" s="1"/>
  <c r="R544" i="26"/>
  <c r="U544" i="26" s="1"/>
  <c r="R546" i="26"/>
  <c r="U546" i="26" s="1"/>
  <c r="R551" i="26"/>
  <c r="AK554" i="26"/>
  <c r="AL554" i="26" s="1"/>
  <c r="R555" i="26"/>
  <c r="U555" i="26" s="1"/>
  <c r="R560" i="26"/>
  <c r="R562" i="26"/>
  <c r="U562" i="26" s="1"/>
  <c r="AK625" i="26"/>
  <c r="AL625" i="26" s="1"/>
  <c r="R626" i="26"/>
  <c r="U626" i="26" s="1"/>
  <c r="R629" i="26"/>
  <c r="U629" i="26" s="1"/>
  <c r="R630" i="26"/>
  <c r="U630" i="26" s="1"/>
  <c r="R656" i="26"/>
  <c r="U656" i="26" s="1"/>
  <c r="R674" i="26"/>
  <c r="U674" i="26" s="1"/>
  <c r="R661" i="26"/>
  <c r="U661" i="26" s="1"/>
  <c r="R664" i="26"/>
  <c r="U664" i="26" s="1"/>
  <c r="R665" i="26"/>
  <c r="U665" i="26" s="1"/>
  <c r="R667" i="26"/>
  <c r="R671" i="26"/>
  <c r="R672" i="26"/>
  <c r="U672" i="26" s="1"/>
  <c r="R678" i="26"/>
  <c r="U678" i="26" s="1"/>
  <c r="R687" i="26"/>
  <c r="R489" i="26"/>
  <c r="U489" i="26" s="1"/>
  <c r="R496" i="26"/>
  <c r="R497" i="26"/>
  <c r="U497" i="26" s="1"/>
  <c r="R503" i="26"/>
  <c r="U503" i="26" s="1"/>
  <c r="AJ505" i="26"/>
  <c r="T505" i="26" s="1"/>
  <c r="V505" i="26" s="1"/>
  <c r="AK541" i="26"/>
  <c r="AL541" i="26" s="1"/>
  <c r="R542" i="26"/>
  <c r="U542" i="26" s="1"/>
  <c r="R547" i="26"/>
  <c r="R556" i="26"/>
  <c r="U556" i="26" s="1"/>
  <c r="R603" i="26"/>
  <c r="U603" i="26" s="1"/>
  <c r="AK645" i="26"/>
  <c r="AL645" i="26" s="1"/>
  <c r="R647" i="26"/>
  <c r="R652" i="26"/>
  <c r="AK660" i="26"/>
  <c r="AL660" i="26" s="1"/>
  <c r="R663" i="26"/>
  <c r="R668" i="26"/>
  <c r="U668" i="26" s="1"/>
  <c r="R669" i="26"/>
  <c r="U669" i="26" s="1"/>
  <c r="R673" i="26"/>
  <c r="U673" i="26" s="1"/>
  <c r="R675" i="26"/>
  <c r="U675" i="26" s="1"/>
  <c r="V331" i="26"/>
  <c r="Q136" i="26" l="1"/>
  <c r="AJ36" i="28"/>
  <c r="T36" i="28" s="1"/>
  <c r="V36" i="28" s="1"/>
  <c r="AJ96" i="26"/>
  <c r="T96" i="26" s="1"/>
  <c r="V96" i="26" s="1"/>
  <c r="U126" i="26"/>
  <c r="U73" i="26"/>
  <c r="U80" i="26"/>
  <c r="R58" i="26"/>
  <c r="AK81" i="26"/>
  <c r="AL81" i="26" s="1"/>
  <c r="U24" i="26"/>
  <c r="AK78" i="26"/>
  <c r="AL78" i="26" s="1"/>
  <c r="P99" i="26"/>
  <c r="U121" i="26"/>
  <c r="R64" i="26"/>
  <c r="AK318" i="26"/>
  <c r="AL318" i="26" s="1"/>
  <c r="R118" i="26"/>
  <c r="AK63" i="26"/>
  <c r="AL63" i="26" s="1"/>
  <c r="U330" i="26"/>
  <c r="U654" i="26"/>
  <c r="U188" i="28"/>
  <c r="U473" i="26"/>
  <c r="AJ146" i="26"/>
  <c r="T146" i="26" s="1"/>
  <c r="V146" i="26" s="1"/>
  <c r="P54" i="26"/>
  <c r="AK57" i="26"/>
  <c r="AL57" i="26" s="1"/>
  <c r="R508" i="26"/>
  <c r="U261" i="26"/>
  <c r="U131" i="26"/>
  <c r="AJ72" i="26"/>
  <c r="T72" i="26" s="1"/>
  <c r="V72" i="26" s="1"/>
  <c r="U84" i="26"/>
  <c r="AH145" i="26"/>
  <c r="Y246" i="26"/>
  <c r="AK50" i="26"/>
  <c r="AL50" i="26" s="1"/>
  <c r="AJ85" i="26"/>
  <c r="T85" i="26" s="1"/>
  <c r="V85" i="26" s="1"/>
  <c r="U91" i="26"/>
  <c r="P145" i="26"/>
  <c r="AH159" i="26"/>
  <c r="U273" i="26"/>
  <c r="AK286" i="26"/>
  <c r="AL286" i="26" s="1"/>
  <c r="V367" i="26"/>
  <c r="U367" i="26"/>
  <c r="U652" i="26"/>
  <c r="Q10" i="26"/>
  <c r="R15" i="26" s="1"/>
  <c r="Q12" i="26"/>
  <c r="R95" i="26"/>
  <c r="U95" i="26" s="1"/>
  <c r="AJ93" i="26"/>
  <c r="T93" i="26" s="1"/>
  <c r="V93" i="26" s="1"/>
  <c r="AK136" i="26"/>
  <c r="AL136" i="26" s="1"/>
  <c r="AJ150" i="26"/>
  <c r="T150" i="26" s="1"/>
  <c r="V150" i="26" s="1"/>
  <c r="AK459" i="26"/>
  <c r="AL459" i="26" s="1"/>
  <c r="U475" i="26"/>
  <c r="AJ487" i="26"/>
  <c r="T487" i="26" s="1"/>
  <c r="V487" i="26" s="1"/>
  <c r="R550" i="26"/>
  <c r="U550" i="26" s="1"/>
  <c r="R137" i="28"/>
  <c r="AJ563" i="26"/>
  <c r="T563" i="26" s="1"/>
  <c r="V563" i="26" s="1"/>
  <c r="AI14" i="26"/>
  <c r="AI12" i="26" s="1"/>
  <c r="U687" i="26"/>
  <c r="R156" i="28"/>
  <c r="P10" i="26"/>
  <c r="Q36" i="26"/>
  <c r="AK113" i="26"/>
  <c r="AL113" i="26" s="1"/>
  <c r="R119" i="28"/>
  <c r="R657" i="27"/>
  <c r="T10" i="30"/>
  <c r="V10" i="30" s="1"/>
  <c r="AJ53" i="30"/>
  <c r="T53" i="30" s="1"/>
  <c r="V53" i="30" s="1"/>
  <c r="AL36" i="30"/>
  <c r="R119" i="30"/>
  <c r="U119" i="30" s="1"/>
  <c r="U12" i="30"/>
  <c r="T12" i="30"/>
  <c r="V12" i="30" s="1"/>
  <c r="AK53" i="30"/>
  <c r="Q33" i="30"/>
  <c r="AJ33" i="30" s="1"/>
  <c r="T33" i="30" s="1"/>
  <c r="V33" i="30" s="1"/>
  <c r="R674" i="30"/>
  <c r="U674" i="30" s="1"/>
  <c r="V156" i="30"/>
  <c r="A719" i="30"/>
  <c r="A709" i="30"/>
  <c r="R54" i="30"/>
  <c r="U54" i="30" s="1"/>
  <c r="U187" i="30"/>
  <c r="R163" i="30"/>
  <c r="U163" i="30" s="1"/>
  <c r="U188" i="30"/>
  <c r="V187" i="28"/>
  <c r="U187" i="28"/>
  <c r="A692" i="28"/>
  <c r="A693" i="28" s="1"/>
  <c r="U14" i="28"/>
  <c r="A702" i="28"/>
  <c r="AK10" i="28"/>
  <c r="AL10" i="28" s="1"/>
  <c r="AK12" i="28"/>
  <c r="AL12" i="28" s="1"/>
  <c r="AJ53" i="28"/>
  <c r="T53" i="28" s="1"/>
  <c r="V53" i="28" s="1"/>
  <c r="AI33" i="28"/>
  <c r="AJ33" i="28" s="1"/>
  <c r="T33" i="28" s="1"/>
  <c r="V33" i="28" s="1"/>
  <c r="R35" i="28"/>
  <c r="U35" i="28" s="1"/>
  <c r="U10" i="28"/>
  <c r="T10" i="28"/>
  <c r="V10" i="28" s="1"/>
  <c r="R163" i="28"/>
  <c r="U163" i="28" s="1"/>
  <c r="R53" i="28"/>
  <c r="AK53" i="28"/>
  <c r="AL35" i="28"/>
  <c r="R657" i="28"/>
  <c r="U657" i="28" s="1"/>
  <c r="T12" i="28"/>
  <c r="V12" i="28" s="1"/>
  <c r="U12" i="28"/>
  <c r="U54" i="28"/>
  <c r="U119" i="28"/>
  <c r="R175" i="28"/>
  <c r="U175" i="28" s="1"/>
  <c r="AK236" i="27"/>
  <c r="AL236" i="27" s="1"/>
  <c r="A154" i="27"/>
  <c r="A157" i="27" s="1"/>
  <c r="A160" i="27" s="1"/>
  <c r="A164" i="27" s="1"/>
  <c r="A166" i="27" s="1"/>
  <c r="A176" i="27" s="1"/>
  <c r="A188" i="27" s="1"/>
  <c r="U37" i="27"/>
  <c r="U14" i="27"/>
  <c r="AL37" i="27"/>
  <c r="AK10" i="27"/>
  <c r="AL10" i="27" s="1"/>
  <c r="AL14" i="27"/>
  <c r="U26" i="27"/>
  <c r="T26" i="27"/>
  <c r="V26" i="27" s="1"/>
  <c r="U175" i="27"/>
  <c r="U417" i="27"/>
  <c r="T10" i="27"/>
  <c r="V10" i="27" s="1"/>
  <c r="U10" i="27"/>
  <c r="R163" i="27"/>
  <c r="U163" i="27" s="1"/>
  <c r="R54" i="27"/>
  <c r="U54" i="27" s="1"/>
  <c r="R119" i="27"/>
  <c r="U119" i="27" s="1"/>
  <c r="Q33" i="27"/>
  <c r="AJ243" i="27"/>
  <c r="T243" i="27" s="1"/>
  <c r="V243" i="27" s="1"/>
  <c r="AI53" i="27"/>
  <c r="AK53" i="27" s="1"/>
  <c r="AK35" i="27"/>
  <c r="AL35" i="27" s="1"/>
  <c r="AL36" i="27"/>
  <c r="T12" i="27"/>
  <c r="V12" i="27" s="1"/>
  <c r="U12" i="27"/>
  <c r="AK243" i="27"/>
  <c r="AL243" i="27" s="1"/>
  <c r="U657" i="27"/>
  <c r="R566" i="26"/>
  <c r="U566" i="26" s="1"/>
  <c r="R679" i="26"/>
  <c r="U679" i="26" s="1"/>
  <c r="R277" i="26"/>
  <c r="U277" i="26" s="1"/>
  <c r="U219" i="26"/>
  <c r="U123" i="26"/>
  <c r="R479" i="26"/>
  <c r="U479" i="26" s="1"/>
  <c r="AK677" i="26"/>
  <c r="AL677" i="26" s="1"/>
  <c r="R644" i="26"/>
  <c r="U644" i="26" s="1"/>
  <c r="R486" i="26"/>
  <c r="U486" i="26" s="1"/>
  <c r="R405" i="26"/>
  <c r="U405" i="26" s="1"/>
  <c r="R357" i="26"/>
  <c r="AJ390" i="26"/>
  <c r="T390" i="26" s="1"/>
  <c r="V390" i="26" s="1"/>
  <c r="R564" i="26"/>
  <c r="U564" i="26" s="1"/>
  <c r="R680" i="26"/>
  <c r="U680" i="26" s="1"/>
  <c r="R568" i="26"/>
  <c r="U568" i="26" s="1"/>
  <c r="U501" i="26"/>
  <c r="U458" i="26"/>
  <c r="R278" i="26"/>
  <c r="U278" i="26" s="1"/>
  <c r="U338" i="26"/>
  <c r="U247" i="26"/>
  <c r="X247" i="26" s="1"/>
  <c r="AA247" i="26" s="1"/>
  <c r="AD247" i="26" s="1"/>
  <c r="AG247" i="26" s="1"/>
  <c r="R485" i="26"/>
  <c r="U485" i="26" s="1"/>
  <c r="AK686" i="26"/>
  <c r="AL686" i="26" s="1"/>
  <c r="U632" i="26"/>
  <c r="R643" i="26"/>
  <c r="U559" i="26"/>
  <c r="R401" i="26"/>
  <c r="U401" i="26" s="1"/>
  <c r="R361" i="26"/>
  <c r="R683" i="26"/>
  <c r="U683" i="26" s="1"/>
  <c r="R284" i="26"/>
  <c r="U284" i="26" s="1"/>
  <c r="U342" i="26"/>
  <c r="AD250" i="26"/>
  <c r="AG250" i="26" s="1"/>
  <c r="R480" i="26"/>
  <c r="U480" i="26" s="1"/>
  <c r="U689" i="26"/>
  <c r="R641" i="26"/>
  <c r="AK487" i="26"/>
  <c r="AL487" i="26" s="1"/>
  <c r="U392" i="26"/>
  <c r="R279" i="26"/>
  <c r="AK398" i="26"/>
  <c r="AL398" i="26" s="1"/>
  <c r="AK208" i="26"/>
  <c r="AL208" i="26" s="1"/>
  <c r="AJ254" i="26"/>
  <c r="T254" i="26" s="1"/>
  <c r="V254" i="26" s="1"/>
  <c r="U533" i="26"/>
  <c r="U225" i="26"/>
  <c r="R637" i="26"/>
  <c r="U637" i="26" s="1"/>
  <c r="R684" i="26"/>
  <c r="U684" i="26" s="1"/>
  <c r="U470" i="26"/>
  <c r="U391" i="26"/>
  <c r="U83" i="26"/>
  <c r="U346" i="26"/>
  <c r="AJ478" i="26"/>
  <c r="T478" i="26" s="1"/>
  <c r="V478" i="26" s="1"/>
  <c r="R636" i="26"/>
  <c r="U636" i="26" s="1"/>
  <c r="AK563" i="26"/>
  <c r="AL563" i="26" s="1"/>
  <c r="U450" i="26"/>
  <c r="U474" i="26"/>
  <c r="R350" i="26"/>
  <c r="U350" i="26" s="1"/>
  <c r="R412" i="26"/>
  <c r="U412" i="26" s="1"/>
  <c r="AK85" i="26"/>
  <c r="AL85" i="26" s="1"/>
  <c r="R60" i="26"/>
  <c r="U60" i="26" s="1"/>
  <c r="Y244" i="26"/>
  <c r="AB244" i="26" s="1"/>
  <c r="AE244" i="26" s="1"/>
  <c r="AH244" i="26" s="1"/>
  <c r="Y249" i="26"/>
  <c r="AB249" i="26" s="1"/>
  <c r="AE249" i="26" s="1"/>
  <c r="AH249" i="26" s="1"/>
  <c r="R274" i="26"/>
  <c r="U274" i="26" s="1"/>
  <c r="U433" i="26"/>
  <c r="AK655" i="26"/>
  <c r="AL655" i="26" s="1"/>
  <c r="U97" i="26"/>
  <c r="U451" i="26"/>
  <c r="R90" i="26"/>
  <c r="U90" i="26" s="1"/>
  <c r="U466" i="26"/>
  <c r="R351" i="26"/>
  <c r="U351" i="26" s="1"/>
  <c r="R146" i="26"/>
  <c r="U146" i="26" s="1"/>
  <c r="R642" i="26"/>
  <c r="U642" i="26" s="1"/>
  <c r="R567" i="26"/>
  <c r="U567" i="26" s="1"/>
  <c r="R565" i="26"/>
  <c r="R399" i="26"/>
  <c r="U399" i="26" s="1"/>
  <c r="R354" i="26"/>
  <c r="U354" i="26" s="1"/>
  <c r="R403" i="26"/>
  <c r="U403" i="26" s="1"/>
  <c r="U134" i="26"/>
  <c r="AK89" i="26"/>
  <c r="AL89" i="26" s="1"/>
  <c r="AJ349" i="26"/>
  <c r="T349" i="26" s="1"/>
  <c r="V349" i="26" s="1"/>
  <c r="AJ677" i="26"/>
  <c r="T677" i="26" s="1"/>
  <c r="V677" i="26" s="1"/>
  <c r="U647" i="26"/>
  <c r="U419" i="26"/>
  <c r="R352" i="26"/>
  <c r="U352" i="26" s="1"/>
  <c r="R280" i="26"/>
  <c r="U280" i="26" s="1"/>
  <c r="R638" i="26"/>
  <c r="AK478" i="26"/>
  <c r="AL478" i="26" s="1"/>
  <c r="R404" i="26"/>
  <c r="R358" i="26"/>
  <c r="U358" i="26" s="1"/>
  <c r="R408" i="26"/>
  <c r="R355" i="26"/>
  <c r="U355" i="26" s="1"/>
  <c r="R400" i="26"/>
  <c r="U400" i="26" s="1"/>
  <c r="U135" i="26"/>
  <c r="AH54" i="26"/>
  <c r="AJ61" i="26"/>
  <c r="T61" i="26" s="1"/>
  <c r="V61" i="26" s="1"/>
  <c r="U105" i="26"/>
  <c r="AK137" i="26"/>
  <c r="AL137" i="26" s="1"/>
  <c r="R198" i="26"/>
  <c r="AB248" i="26"/>
  <c r="AE248" i="26" s="1"/>
  <c r="AH248" i="26" s="1"/>
  <c r="AK311" i="26"/>
  <c r="AL311" i="26" s="1"/>
  <c r="AK535" i="26"/>
  <c r="AL535" i="26" s="1"/>
  <c r="R561" i="26"/>
  <c r="AJ635" i="26"/>
  <c r="T635" i="26" s="1"/>
  <c r="V635" i="26" s="1"/>
  <c r="R283" i="26"/>
  <c r="U283" i="26" s="1"/>
  <c r="R360" i="26"/>
  <c r="U360" i="26" s="1"/>
  <c r="R281" i="26"/>
  <c r="U281" i="26" s="1"/>
  <c r="AK635" i="26"/>
  <c r="AL635" i="26" s="1"/>
  <c r="R569" i="26"/>
  <c r="U569" i="26" s="1"/>
  <c r="R481" i="26"/>
  <c r="U481" i="26" s="1"/>
  <c r="R406" i="26"/>
  <c r="R410" i="26"/>
  <c r="U410" i="26" s="1"/>
  <c r="R359" i="26"/>
  <c r="U359" i="26" s="1"/>
  <c r="R402" i="26"/>
  <c r="U402" i="26" s="1"/>
  <c r="Q99" i="26"/>
  <c r="R100" i="26" s="1"/>
  <c r="U100" i="26" s="1"/>
  <c r="V653" i="26"/>
  <c r="U653" i="26"/>
  <c r="R50" i="26"/>
  <c r="R37" i="26"/>
  <c r="R47" i="26"/>
  <c r="Q35" i="26"/>
  <c r="V569" i="26"/>
  <c r="U190" i="26"/>
  <c r="V190" i="26"/>
  <c r="V596" i="26"/>
  <c r="U596" i="26"/>
  <c r="U366" i="26"/>
  <c r="U223" i="26"/>
  <c r="U547" i="26"/>
  <c r="AK524" i="26"/>
  <c r="AL524" i="26" s="1"/>
  <c r="U384" i="26"/>
  <c r="R178" i="26"/>
  <c r="U178" i="26" s="1"/>
  <c r="U64" i="26"/>
  <c r="U266" i="26"/>
  <c r="U58" i="26"/>
  <c r="U650" i="26"/>
  <c r="U638" i="26"/>
  <c r="U578" i="26"/>
  <c r="AJ524" i="26"/>
  <c r="T524" i="26" s="1"/>
  <c r="V524" i="26" s="1"/>
  <c r="U612" i="26"/>
  <c r="U417" i="26"/>
  <c r="U325" i="26"/>
  <c r="U357" i="26"/>
  <c r="AJ40" i="26"/>
  <c r="T40" i="26" s="1"/>
  <c r="V40" i="26" s="1"/>
  <c r="U88" i="26"/>
  <c r="U132" i="26"/>
  <c r="U348" i="26"/>
  <c r="U158" i="26"/>
  <c r="R525" i="26"/>
  <c r="U525" i="26" s="1"/>
  <c r="U477" i="26"/>
  <c r="R69" i="26"/>
  <c r="U69" i="26" s="1"/>
  <c r="R435" i="26"/>
  <c r="U435" i="26" s="1"/>
  <c r="R176" i="26"/>
  <c r="U176" i="26" s="1"/>
  <c r="U65" i="26"/>
  <c r="R527" i="26"/>
  <c r="U527" i="26" s="1"/>
  <c r="AK424" i="26"/>
  <c r="AL424" i="26" s="1"/>
  <c r="R428" i="26"/>
  <c r="U428" i="26" s="1"/>
  <c r="R426" i="26"/>
  <c r="U426" i="26" s="1"/>
  <c r="U262" i="26"/>
  <c r="U361" i="26"/>
  <c r="U125" i="26"/>
  <c r="R175" i="26"/>
  <c r="U175" i="26" s="1"/>
  <c r="R173" i="26"/>
  <c r="U173" i="26" s="1"/>
  <c r="R62" i="26"/>
  <c r="U62" i="26" s="1"/>
  <c r="AK68" i="26"/>
  <c r="AL68" i="26" s="1"/>
  <c r="AB246" i="26"/>
  <c r="AE246" i="26" s="1"/>
  <c r="AH246" i="26" s="1"/>
  <c r="R682" i="26"/>
  <c r="U663" i="26"/>
  <c r="AK517" i="26"/>
  <c r="AL517" i="26" s="1"/>
  <c r="U667" i="26"/>
  <c r="U551" i="26"/>
  <c r="R529" i="26"/>
  <c r="U529" i="26" s="1"/>
  <c r="R70" i="26"/>
  <c r="U70" i="26" s="1"/>
  <c r="R425" i="26"/>
  <c r="U425" i="26" s="1"/>
  <c r="U67" i="26"/>
  <c r="U579" i="26"/>
  <c r="R531" i="26"/>
  <c r="U531" i="26" s="1"/>
  <c r="R427" i="26"/>
  <c r="U427" i="26" s="1"/>
  <c r="R432" i="26"/>
  <c r="R430" i="26"/>
  <c r="U205" i="26"/>
  <c r="R179" i="26"/>
  <c r="U179" i="26" s="1"/>
  <c r="R117" i="26"/>
  <c r="R177" i="26"/>
  <c r="U177" i="26" s="1"/>
  <c r="U143" i="26"/>
  <c r="AK109" i="26"/>
  <c r="AL109" i="26" s="1"/>
  <c r="AJ122" i="26"/>
  <c r="T122" i="26" s="1"/>
  <c r="V122" i="26" s="1"/>
  <c r="U356" i="26"/>
  <c r="U404" i="26"/>
  <c r="R526" i="26"/>
  <c r="U526" i="26" s="1"/>
  <c r="U671" i="26"/>
  <c r="R530" i="26"/>
  <c r="U530" i="26" s="1"/>
  <c r="AK349" i="26"/>
  <c r="AL349" i="26" s="1"/>
  <c r="U82" i="26"/>
  <c r="U394" i="26"/>
  <c r="U583" i="26"/>
  <c r="U536" i="26"/>
  <c r="U498" i="26"/>
  <c r="U591" i="26"/>
  <c r="R431" i="26"/>
  <c r="U431" i="26" s="1"/>
  <c r="R436" i="26"/>
  <c r="R434" i="26"/>
  <c r="U434" i="26" s="1"/>
  <c r="U328" i="26"/>
  <c r="U308" i="26"/>
  <c r="R211" i="26"/>
  <c r="U211" i="26" s="1"/>
  <c r="R110" i="26"/>
  <c r="U110" i="26" s="1"/>
  <c r="U103" i="26"/>
  <c r="Y245" i="26"/>
  <c r="AB245" i="26" s="1"/>
  <c r="AE245" i="26" s="1"/>
  <c r="AH245" i="26" s="1"/>
  <c r="R362" i="26"/>
  <c r="U362" i="26" s="1"/>
  <c r="R634" i="26"/>
  <c r="U634" i="26" s="1"/>
  <c r="U415" i="26"/>
  <c r="R528" i="26"/>
  <c r="U528" i="26" s="1"/>
  <c r="U282" i="26"/>
  <c r="U259" i="26"/>
  <c r="U127" i="26"/>
  <c r="U662" i="26"/>
  <c r="U646" i="26"/>
  <c r="U584" i="26"/>
  <c r="AK390" i="26"/>
  <c r="AL390" i="26" s="1"/>
  <c r="U295" i="26"/>
  <c r="AK171" i="26"/>
  <c r="AL171" i="26" s="1"/>
  <c r="U124" i="26"/>
  <c r="R111" i="26"/>
  <c r="U111" i="26" s="1"/>
  <c r="AK61" i="26"/>
  <c r="AL61" i="26" s="1"/>
  <c r="AJ50" i="26"/>
  <c r="T50" i="26" s="1"/>
  <c r="V50" i="26" s="1"/>
  <c r="R76" i="26"/>
  <c r="U76" i="26" s="1"/>
  <c r="U199" i="26"/>
  <c r="U157" i="26"/>
  <c r="U560" i="26"/>
  <c r="U421" i="26"/>
  <c r="U334" i="26"/>
  <c r="U243" i="26"/>
  <c r="X243" i="26" s="1"/>
  <c r="AA243" i="26" s="1"/>
  <c r="AD243" i="26" s="1"/>
  <c r="AG243" i="26" s="1"/>
  <c r="U139" i="26"/>
  <c r="U514" i="26"/>
  <c r="U493" i="26"/>
  <c r="U443" i="26"/>
  <c r="R174" i="26"/>
  <c r="U174" i="26" s="1"/>
  <c r="R214" i="26"/>
  <c r="U214" i="26" s="1"/>
  <c r="U194" i="26"/>
  <c r="AJ109" i="26"/>
  <c r="T109" i="26" s="1"/>
  <c r="V109" i="26" s="1"/>
  <c r="U59" i="26"/>
  <c r="R193" i="26"/>
  <c r="U193" i="26" s="1"/>
  <c r="U235" i="26"/>
  <c r="U496" i="26"/>
  <c r="R429" i="26"/>
  <c r="U429" i="26" s="1"/>
  <c r="U378" i="26"/>
  <c r="U605" i="26"/>
  <c r="U315" i="26"/>
  <c r="U118" i="26"/>
  <c r="U77" i="26"/>
  <c r="AJ47" i="26"/>
  <c r="T47" i="26" s="1"/>
  <c r="V47" i="26" s="1"/>
  <c r="U676" i="26"/>
  <c r="AH10" i="26"/>
  <c r="AH99" i="26"/>
  <c r="AH53" i="26" s="1"/>
  <c r="AH33" i="26" s="1"/>
  <c r="AK24" i="26"/>
  <c r="AL24" i="26" s="1"/>
  <c r="V175" i="26"/>
  <c r="U153" i="26"/>
  <c r="U523" i="26"/>
  <c r="U594" i="26"/>
  <c r="U587" i="26"/>
  <c r="U577" i="26"/>
  <c r="U340" i="26"/>
  <c r="U345" i="26"/>
  <c r="U238" i="26"/>
  <c r="U167" i="26"/>
  <c r="AJ63" i="26"/>
  <c r="T63" i="26" s="1"/>
  <c r="V63" i="26" s="1"/>
  <c r="AK72" i="26"/>
  <c r="AL72" i="26" s="1"/>
  <c r="AK93" i="26"/>
  <c r="AL93" i="26" s="1"/>
  <c r="AJ171" i="26"/>
  <c r="T171" i="26" s="1"/>
  <c r="V171" i="26" s="1"/>
  <c r="U198" i="26"/>
  <c r="R239" i="26"/>
  <c r="U239" i="26" s="1"/>
  <c r="AJ337" i="26"/>
  <c r="T337" i="26" s="1"/>
  <c r="V337" i="26" s="1"/>
  <c r="U561" i="26"/>
  <c r="U639" i="26"/>
  <c r="AJ645" i="26"/>
  <c r="T645" i="26" s="1"/>
  <c r="V645" i="26" s="1"/>
  <c r="U693" i="26"/>
  <c r="U643" i="26"/>
  <c r="U519" i="26"/>
  <c r="U445" i="26"/>
  <c r="U436" i="26"/>
  <c r="U397" i="26"/>
  <c r="U408" i="26"/>
  <c r="U204" i="26"/>
  <c r="U186" i="26"/>
  <c r="U162" i="26"/>
  <c r="AJ68" i="26"/>
  <c r="T68" i="26" s="1"/>
  <c r="V68" i="26" s="1"/>
  <c r="AJ89" i="26"/>
  <c r="T89" i="26" s="1"/>
  <c r="V89" i="26" s="1"/>
  <c r="R129" i="26"/>
  <c r="U129" i="26" s="1"/>
  <c r="R147" i="26"/>
  <c r="U147" i="26" s="1"/>
  <c r="AJ275" i="26"/>
  <c r="T275" i="26" s="1"/>
  <c r="V275" i="26" s="1"/>
  <c r="AJ465" i="26"/>
  <c r="T465" i="26" s="1"/>
  <c r="V465" i="26" s="1"/>
  <c r="AJ201" i="26"/>
  <c r="T201" i="26" s="1"/>
  <c r="V201" i="26" s="1"/>
  <c r="AI159" i="26"/>
  <c r="V179" i="26"/>
  <c r="U327" i="26"/>
  <c r="U189" i="26"/>
  <c r="U206" i="26"/>
  <c r="U75" i="26"/>
  <c r="AJ57" i="26"/>
  <c r="T57" i="26" s="1"/>
  <c r="V57" i="26" s="1"/>
  <c r="AK96" i="26"/>
  <c r="AL96" i="26" s="1"/>
  <c r="AJ130" i="26"/>
  <c r="T130" i="26" s="1"/>
  <c r="V130" i="26" s="1"/>
  <c r="U192" i="26"/>
  <c r="AJ180" i="26"/>
  <c r="T180" i="26" s="1"/>
  <c r="V180" i="26" s="1"/>
  <c r="U150" i="26"/>
  <c r="U94" i="26"/>
  <c r="U107" i="26"/>
  <c r="U120" i="26"/>
  <c r="AK122" i="26"/>
  <c r="AL122" i="26" s="1"/>
  <c r="U155" i="26"/>
  <c r="AG145" i="26"/>
  <c r="AK150" i="26"/>
  <c r="AL150" i="26" s="1"/>
  <c r="AK195" i="26"/>
  <c r="AL195" i="26" s="1"/>
  <c r="V508" i="26"/>
  <c r="U508" i="26"/>
  <c r="AJ233" i="26"/>
  <c r="T233" i="26" s="1"/>
  <c r="V233" i="26" s="1"/>
  <c r="AJ286" i="26"/>
  <c r="T286" i="26" s="1"/>
  <c r="V286" i="26" s="1"/>
  <c r="AJ311" i="26"/>
  <c r="T311" i="26" s="1"/>
  <c r="V311" i="26" s="1"/>
  <c r="AJ398" i="26"/>
  <c r="T398" i="26" s="1"/>
  <c r="V398" i="26" s="1"/>
  <c r="U432" i="26"/>
  <c r="AJ437" i="26"/>
  <c r="T437" i="26" s="1"/>
  <c r="V437" i="26" s="1"/>
  <c r="AJ446" i="26"/>
  <c r="T446" i="26" s="1"/>
  <c r="V446" i="26" s="1"/>
  <c r="AJ535" i="26"/>
  <c r="T535" i="26" s="1"/>
  <c r="V535" i="26" s="1"/>
  <c r="R570" i="26"/>
  <c r="U570" i="26" s="1"/>
  <c r="Y243" i="26"/>
  <c r="AB243" i="26" s="1"/>
  <c r="AE243" i="26" s="1"/>
  <c r="AH243" i="26" s="1"/>
  <c r="Y247" i="26"/>
  <c r="AB247" i="26" s="1"/>
  <c r="AE247" i="26" s="1"/>
  <c r="AH247" i="26" s="1"/>
  <c r="U371" i="26"/>
  <c r="AJ459" i="26"/>
  <c r="T459" i="26" s="1"/>
  <c r="V459" i="26" s="1"/>
  <c r="O53" i="26"/>
  <c r="O33" i="26" s="1"/>
  <c r="P159" i="26"/>
  <c r="R14" i="26"/>
  <c r="R56" i="26"/>
  <c r="U56" i="26" s="1"/>
  <c r="Q54" i="26"/>
  <c r="R55" i="26" s="1"/>
  <c r="AJ55" i="26"/>
  <c r="T55" i="26" s="1"/>
  <c r="V55" i="26" s="1"/>
  <c r="AI54" i="26"/>
  <c r="AI99" i="26"/>
  <c r="AJ99" i="26" s="1"/>
  <c r="T99" i="26" s="1"/>
  <c r="V99" i="26" s="1"/>
  <c r="AK117" i="26"/>
  <c r="AL117" i="26" s="1"/>
  <c r="AJ133" i="26"/>
  <c r="T133" i="26" s="1"/>
  <c r="V133" i="26" s="1"/>
  <c r="AK133" i="26"/>
  <c r="AL133" i="26" s="1"/>
  <c r="R142" i="26"/>
  <c r="U142" i="26" s="1"/>
  <c r="R144" i="26"/>
  <c r="U144" i="26" s="1"/>
  <c r="AJ141" i="26"/>
  <c r="T141" i="26" s="1"/>
  <c r="V141" i="26" s="1"/>
  <c r="R170" i="26"/>
  <c r="U170" i="26" s="1"/>
  <c r="Q159" i="26"/>
  <c r="R160" i="26" s="1"/>
  <c r="AK160" i="26"/>
  <c r="AL160" i="26" s="1"/>
  <c r="R164" i="26"/>
  <c r="U164" i="26" s="1"/>
  <c r="R185" i="26"/>
  <c r="U185" i="26" s="1"/>
  <c r="R187" i="26"/>
  <c r="U187" i="26" s="1"/>
  <c r="R184" i="26"/>
  <c r="U184" i="26" s="1"/>
  <c r="R212" i="26"/>
  <c r="U212" i="26" s="1"/>
  <c r="R215" i="26"/>
  <c r="U215" i="26" s="1"/>
  <c r="R231" i="26"/>
  <c r="U231" i="26" s="1"/>
  <c r="R229" i="26"/>
  <c r="U229" i="26" s="1"/>
  <c r="Q216" i="26"/>
  <c r="R242" i="26" s="1"/>
  <c r="R251" i="26"/>
  <c r="U251" i="26" s="1"/>
  <c r="R252" i="26"/>
  <c r="U252" i="26" s="1"/>
  <c r="R249" i="26"/>
  <c r="U249" i="26" s="1"/>
  <c r="X249" i="26" s="1"/>
  <c r="AA249" i="26" s="1"/>
  <c r="AD249" i="26" s="1"/>
  <c r="AG249" i="26" s="1"/>
  <c r="R246" i="26"/>
  <c r="U246" i="26" s="1"/>
  <c r="X246" i="26" s="1"/>
  <c r="AA246" i="26" s="1"/>
  <c r="AD246" i="26" s="1"/>
  <c r="AG246" i="26" s="1"/>
  <c r="R253" i="26"/>
  <c r="U253" i="26" s="1"/>
  <c r="R245" i="26"/>
  <c r="U245" i="26" s="1"/>
  <c r="X245" i="26" s="1"/>
  <c r="AA245" i="26" s="1"/>
  <c r="AD245" i="26" s="1"/>
  <c r="AG245" i="26" s="1"/>
  <c r="AK242" i="26"/>
  <c r="AL242" i="26" s="1"/>
  <c r="R248" i="26"/>
  <c r="U248" i="26" s="1"/>
  <c r="X248" i="26" s="1"/>
  <c r="AA248" i="26" s="1"/>
  <c r="AD248" i="26" s="1"/>
  <c r="AG248" i="26" s="1"/>
  <c r="R303" i="26"/>
  <c r="U303" i="26" s="1"/>
  <c r="R294" i="26"/>
  <c r="U294" i="26" s="1"/>
  <c r="R298" i="26"/>
  <c r="U298" i="26" s="1"/>
  <c r="R302" i="26"/>
  <c r="U302" i="26" s="1"/>
  <c r="R301" i="26"/>
  <c r="U301" i="26" s="1"/>
  <c r="R336" i="26"/>
  <c r="U336" i="26" s="1"/>
  <c r="R335" i="26"/>
  <c r="U335" i="26" s="1"/>
  <c r="AK331" i="26"/>
  <c r="AL331" i="26" s="1"/>
  <c r="R604" i="26"/>
  <c r="U604" i="26" s="1"/>
  <c r="R607" i="26"/>
  <c r="U607" i="26" s="1"/>
  <c r="R606" i="26"/>
  <c r="U606" i="26" s="1"/>
  <c r="R601" i="26"/>
  <c r="U601" i="26" s="1"/>
  <c r="AJ599" i="26"/>
  <c r="T599" i="26" s="1"/>
  <c r="V599" i="26" s="1"/>
  <c r="AK599" i="26"/>
  <c r="AL599" i="26" s="1"/>
  <c r="R615" i="26"/>
  <c r="U615" i="26" s="1"/>
  <c r="R614" i="26"/>
  <c r="U614" i="26" s="1"/>
  <c r="R610" i="26"/>
  <c r="U610" i="26" s="1"/>
  <c r="R611" i="26"/>
  <c r="U611" i="26" s="1"/>
  <c r="R618" i="26"/>
  <c r="U618" i="26" s="1"/>
  <c r="R619" i="26"/>
  <c r="U619" i="26" s="1"/>
  <c r="R622" i="26"/>
  <c r="U622" i="26" s="1"/>
  <c r="V633" i="26"/>
  <c r="U633" i="26"/>
  <c r="V634" i="26"/>
  <c r="R658" i="26"/>
  <c r="U658" i="26" s="1"/>
  <c r="R659" i="26"/>
  <c r="U659" i="26" s="1"/>
  <c r="AJ655" i="26"/>
  <c r="T655" i="26" s="1"/>
  <c r="V655" i="26" s="1"/>
  <c r="AK16" i="26"/>
  <c r="AL16" i="26" s="1"/>
  <c r="AK20" i="26"/>
  <c r="AL20" i="26" s="1"/>
  <c r="AJ20" i="26"/>
  <c r="T20" i="26" s="1"/>
  <c r="V20" i="26" s="1"/>
  <c r="AK22" i="26"/>
  <c r="AL22" i="26" s="1"/>
  <c r="AJ22" i="26"/>
  <c r="T22" i="26" s="1"/>
  <c r="V22" i="26" s="1"/>
  <c r="AK27" i="26"/>
  <c r="AL27" i="26" s="1"/>
  <c r="AJ27" i="26"/>
  <c r="T27" i="26" s="1"/>
  <c r="V27" i="26" s="1"/>
  <c r="AJ208" i="26"/>
  <c r="T208" i="26" s="1"/>
  <c r="V208" i="26" s="1"/>
  <c r="AJ217" i="26"/>
  <c r="T217" i="26" s="1"/>
  <c r="V217" i="26" s="1"/>
  <c r="Y250" i="26"/>
  <c r="AB250" i="26" s="1"/>
  <c r="AE250" i="26" s="1"/>
  <c r="AH250" i="26" s="1"/>
  <c r="AJ267" i="26"/>
  <c r="T267" i="26" s="1"/>
  <c r="V267" i="26" s="1"/>
  <c r="R92" i="26"/>
  <c r="U92" i="26" s="1"/>
  <c r="R133" i="26"/>
  <c r="R130" i="26"/>
  <c r="R116" i="26"/>
  <c r="U116" i="26" s="1"/>
  <c r="R113" i="26"/>
  <c r="U113" i="26" s="1"/>
  <c r="R140" i="26"/>
  <c r="U140" i="26" s="1"/>
  <c r="R138" i="26"/>
  <c r="U138" i="26" s="1"/>
  <c r="AJ137" i="26"/>
  <c r="T137" i="26" s="1"/>
  <c r="V137" i="26" s="1"/>
  <c r="R265" i="26"/>
  <c r="U265" i="26" s="1"/>
  <c r="AK254" i="26"/>
  <c r="AL254" i="26" s="1"/>
  <c r="R285" i="26"/>
  <c r="U285" i="26" s="1"/>
  <c r="R272" i="26"/>
  <c r="U272" i="26" s="1"/>
  <c r="R271" i="26"/>
  <c r="U271" i="26" s="1"/>
  <c r="R270" i="26"/>
  <c r="U270" i="26" s="1"/>
  <c r="R269" i="26"/>
  <c r="U269" i="26" s="1"/>
  <c r="R268" i="26"/>
  <c r="U268" i="26" s="1"/>
  <c r="AK275" i="26"/>
  <c r="AL275" i="26" s="1"/>
  <c r="R314" i="26"/>
  <c r="U314" i="26" s="1"/>
  <c r="R313" i="26"/>
  <c r="U313" i="26" s="1"/>
  <c r="R385" i="26"/>
  <c r="U385" i="26" s="1"/>
  <c r="AJ374" i="26"/>
  <c r="T374" i="26" s="1"/>
  <c r="V374" i="26" s="1"/>
  <c r="R387" i="26"/>
  <c r="U387" i="26" s="1"/>
  <c r="R383" i="26"/>
  <c r="U383" i="26" s="1"/>
  <c r="R376" i="26"/>
  <c r="U376" i="26" s="1"/>
  <c r="AK374" i="26"/>
  <c r="AL374" i="26" s="1"/>
  <c r="R379" i="26"/>
  <c r="U379" i="26" s="1"/>
  <c r="R381" i="26"/>
  <c r="U381" i="26" s="1"/>
  <c r="R386" i="26"/>
  <c r="U386" i="26" s="1"/>
  <c r="R388" i="26"/>
  <c r="U388" i="26" s="1"/>
  <c r="R504" i="26"/>
  <c r="U504" i="26" s="1"/>
  <c r="R502" i="26"/>
  <c r="U502" i="26" s="1"/>
  <c r="V506" i="26"/>
  <c r="U506" i="26"/>
  <c r="R520" i="26"/>
  <c r="U520" i="26" s="1"/>
  <c r="AJ517" i="26"/>
  <c r="T517" i="26" s="1"/>
  <c r="V517" i="26" s="1"/>
  <c r="R521" i="26"/>
  <c r="U521" i="26" s="1"/>
  <c r="R518" i="26"/>
  <c r="U518" i="26" s="1"/>
  <c r="R582" i="26"/>
  <c r="U582" i="26" s="1"/>
  <c r="AK571" i="26"/>
  <c r="AL571" i="26" s="1"/>
  <c r="R574" i="26"/>
  <c r="R602" i="26"/>
  <c r="U602" i="26" s="1"/>
  <c r="R608" i="26"/>
  <c r="U608" i="26" s="1"/>
  <c r="R244" i="26"/>
  <c r="U244" i="26" s="1"/>
  <c r="X244" i="26" s="1"/>
  <c r="AA244" i="26" s="1"/>
  <c r="AD244" i="26" s="1"/>
  <c r="AG244" i="26" s="1"/>
  <c r="R230" i="26"/>
  <c r="U230" i="26" s="1"/>
  <c r="R226" i="26"/>
  <c r="U226" i="26" s="1"/>
  <c r="R222" i="26"/>
  <c r="U222" i="26" s="1"/>
  <c r="AJ195" i="26"/>
  <c r="T195" i="26" s="1"/>
  <c r="V195" i="26" s="1"/>
  <c r="AK188" i="26"/>
  <c r="AL188" i="26" s="1"/>
  <c r="R181" i="26"/>
  <c r="U181" i="26" s="1"/>
  <c r="R161" i="26"/>
  <c r="U161" i="26" s="1"/>
  <c r="R166" i="26"/>
  <c r="U166" i="26" s="1"/>
  <c r="R168" i="26"/>
  <c r="U168" i="26" s="1"/>
  <c r="U50" i="26"/>
  <c r="R657" i="26"/>
  <c r="U657" i="26" s="1"/>
  <c r="U641" i="26"/>
  <c r="U640" i="26"/>
  <c r="R600" i="26"/>
  <c r="U600" i="26" s="1"/>
  <c r="U597" i="26"/>
  <c r="U575" i="26"/>
  <c r="U553" i="26"/>
  <c r="U545" i="26"/>
  <c r="R623" i="26"/>
  <c r="U623" i="26" s="1"/>
  <c r="R617" i="26"/>
  <c r="U617" i="26" s="1"/>
  <c r="AK609" i="26"/>
  <c r="AL609" i="26" s="1"/>
  <c r="R616" i="26"/>
  <c r="U616" i="26" s="1"/>
  <c r="R624" i="26"/>
  <c r="U624" i="26" s="1"/>
  <c r="AJ609" i="26"/>
  <c r="T609" i="26" s="1"/>
  <c r="V609" i="26" s="1"/>
  <c r="U565" i="26"/>
  <c r="U482" i="26"/>
  <c r="U469" i="26"/>
  <c r="AK446" i="26"/>
  <c r="AL446" i="26" s="1"/>
  <c r="U439" i="26"/>
  <c r="U430" i="26"/>
  <c r="U406" i="26"/>
  <c r="U395" i="26"/>
  <c r="U368" i="26"/>
  <c r="U344" i="26"/>
  <c r="R299" i="26"/>
  <c r="U299" i="26" s="1"/>
  <c r="U279" i="26"/>
  <c r="U258" i="26"/>
  <c r="R221" i="26"/>
  <c r="U221" i="26" s="1"/>
  <c r="R300" i="26"/>
  <c r="U300" i="26" s="1"/>
  <c r="AK293" i="26"/>
  <c r="AL293" i="26" s="1"/>
  <c r="R297" i="26"/>
  <c r="U297" i="26" s="1"/>
  <c r="U353" i="26"/>
  <c r="AK217" i="26"/>
  <c r="AL217" i="26" s="1"/>
  <c r="R209" i="26"/>
  <c r="U209" i="26" s="1"/>
  <c r="U197" i="26"/>
  <c r="R183" i="26"/>
  <c r="U183" i="26" s="1"/>
  <c r="AK141" i="26"/>
  <c r="AL141" i="26" s="1"/>
  <c r="R213" i="26"/>
  <c r="U213" i="26" s="1"/>
  <c r="R210" i="26"/>
  <c r="U210" i="26" s="1"/>
  <c r="R165" i="26"/>
  <c r="U165" i="26" s="1"/>
  <c r="U154" i="26"/>
  <c r="AK201" i="26"/>
  <c r="AL201" i="26" s="1"/>
  <c r="AJ117" i="26"/>
  <c r="T117" i="26" s="1"/>
  <c r="AJ188" i="26"/>
  <c r="T188" i="26" s="1"/>
  <c r="V188" i="26" s="1"/>
  <c r="R182" i="26"/>
  <c r="U182" i="26" s="1"/>
  <c r="R163" i="26"/>
  <c r="U163" i="26" s="1"/>
  <c r="U74" i="26"/>
  <c r="AK55" i="26"/>
  <c r="AL55" i="26" s="1"/>
  <c r="AK47" i="26"/>
  <c r="AL47" i="26" s="1"/>
  <c r="R12" i="26"/>
  <c r="AI37" i="26"/>
  <c r="AF54" i="26"/>
  <c r="AF53" i="26" s="1"/>
  <c r="AF33" i="26" s="1"/>
  <c r="U66" i="26"/>
  <c r="U71" i="26"/>
  <c r="AJ78" i="26"/>
  <c r="T78" i="26" s="1"/>
  <c r="V78" i="26" s="1"/>
  <c r="AG99" i="26"/>
  <c r="U101" i="26"/>
  <c r="U102" i="26"/>
  <c r="U104" i="26"/>
  <c r="U106" i="26"/>
  <c r="U108" i="26"/>
  <c r="AK130" i="26"/>
  <c r="AL130" i="26" s="1"/>
  <c r="AJ136" i="26"/>
  <c r="T136" i="26" s="1"/>
  <c r="V136" i="26" s="1"/>
  <c r="AI145" i="26"/>
  <c r="AJ160" i="26"/>
  <c r="T160" i="26" s="1"/>
  <c r="V160" i="26" s="1"/>
  <c r="U241" i="26"/>
  <c r="AJ242" i="26"/>
  <c r="T242" i="26" s="1"/>
  <c r="V242" i="26" s="1"/>
  <c r="Y242" i="26" s="1"/>
  <c r="AB242" i="26" s="1"/>
  <c r="W216" i="26"/>
  <c r="P216" i="26"/>
  <c r="U393" i="26"/>
  <c r="U423" i="26"/>
  <c r="U438" i="26"/>
  <c r="U483" i="26"/>
  <c r="U491" i="26"/>
  <c r="U598" i="26"/>
  <c r="U681" i="26"/>
  <c r="AJ424" i="26"/>
  <c r="T424" i="26" s="1"/>
  <c r="V424" i="26" s="1"/>
  <c r="AI413" i="26"/>
  <c r="AK509" i="26"/>
  <c r="AL509" i="26" s="1"/>
  <c r="R513" i="26"/>
  <c r="U513" i="26" s="1"/>
  <c r="R532" i="26"/>
  <c r="U532" i="26" s="1"/>
  <c r="R534" i="26"/>
  <c r="U534" i="26" s="1"/>
  <c r="R691" i="26"/>
  <c r="U691" i="26" s="1"/>
  <c r="R694" i="26"/>
  <c r="U694" i="26" s="1"/>
  <c r="Q685" i="26"/>
  <c r="U464" i="26"/>
  <c r="U682" i="26"/>
  <c r="AJ686" i="26"/>
  <c r="T686" i="26" s="1"/>
  <c r="V686" i="26" s="1"/>
  <c r="U130" i="26" l="1"/>
  <c r="R53" i="27"/>
  <c r="R36" i="27"/>
  <c r="R53" i="30"/>
  <c r="U53" i="30" s="1"/>
  <c r="A720" i="30"/>
  <c r="A710" i="30"/>
  <c r="AL53" i="30"/>
  <c r="AK33" i="30"/>
  <c r="AL33" i="30" s="1"/>
  <c r="R431" i="30"/>
  <c r="U431" i="30" s="1"/>
  <c r="R461" i="30"/>
  <c r="U461" i="30" s="1"/>
  <c r="R137" i="30"/>
  <c r="U137" i="30" s="1"/>
  <c r="R33" i="30"/>
  <c r="U33" i="30" s="1"/>
  <c r="R654" i="30"/>
  <c r="U654" i="30" s="1"/>
  <c r="R51" i="30"/>
  <c r="U51" i="30" s="1"/>
  <c r="R49" i="30"/>
  <c r="U49" i="30" s="1"/>
  <c r="R46" i="30"/>
  <c r="U46" i="30" s="1"/>
  <c r="R45" i="30"/>
  <c r="U45" i="30" s="1"/>
  <c r="R44" i="30"/>
  <c r="U44" i="30" s="1"/>
  <c r="R43" i="30"/>
  <c r="U43" i="30" s="1"/>
  <c r="R42" i="30"/>
  <c r="U42" i="30" s="1"/>
  <c r="R41" i="30"/>
  <c r="U41" i="30" s="1"/>
  <c r="R40" i="30"/>
  <c r="U40" i="30" s="1"/>
  <c r="R39" i="30"/>
  <c r="U39" i="30" s="1"/>
  <c r="R38" i="30"/>
  <c r="U38" i="30" s="1"/>
  <c r="R48" i="30"/>
  <c r="U48" i="30" s="1"/>
  <c r="R160" i="30"/>
  <c r="U160" i="30" s="1"/>
  <c r="R36" i="30"/>
  <c r="U36" i="30" s="1"/>
  <c r="R243" i="30"/>
  <c r="U243" i="30" s="1"/>
  <c r="R675" i="30"/>
  <c r="U675" i="30" s="1"/>
  <c r="R157" i="30"/>
  <c r="U157" i="30" s="1"/>
  <c r="R403" i="30"/>
  <c r="U403" i="30" s="1"/>
  <c r="R668" i="30"/>
  <c r="U668" i="30" s="1"/>
  <c r="R35" i="30"/>
  <c r="U35" i="30" s="1"/>
  <c r="R156" i="30"/>
  <c r="U156" i="30" s="1"/>
  <c r="A703" i="28"/>
  <c r="AL53" i="28"/>
  <c r="AK33" i="28"/>
  <c r="AL33" i="28" s="1"/>
  <c r="R460" i="28"/>
  <c r="U460" i="28" s="1"/>
  <c r="U137" i="28"/>
  <c r="R431" i="28"/>
  <c r="U431" i="28" s="1"/>
  <c r="R51" i="28"/>
  <c r="U51" i="28" s="1"/>
  <c r="R45" i="28"/>
  <c r="U45" i="28" s="1"/>
  <c r="R44" i="28"/>
  <c r="U44" i="28" s="1"/>
  <c r="R43" i="28"/>
  <c r="U43" i="28" s="1"/>
  <c r="R40" i="28"/>
  <c r="U40" i="28" s="1"/>
  <c r="R39" i="28"/>
  <c r="U39" i="28" s="1"/>
  <c r="U38" i="28"/>
  <c r="R658" i="28"/>
  <c r="U658" i="28" s="1"/>
  <c r="R160" i="28"/>
  <c r="U160" i="28" s="1"/>
  <c r="R49" i="28"/>
  <c r="U49" i="28" s="1"/>
  <c r="R46" i="28"/>
  <c r="U46" i="28" s="1"/>
  <c r="R42" i="28"/>
  <c r="U42" i="28" s="1"/>
  <c r="R41" i="28"/>
  <c r="U41" i="28" s="1"/>
  <c r="R48" i="28"/>
  <c r="U48" i="28" s="1"/>
  <c r="R33" i="28"/>
  <c r="U33" i="28" s="1"/>
  <c r="R403" i="28"/>
  <c r="U403" i="28" s="1"/>
  <c r="R651" i="28"/>
  <c r="U651" i="28" s="1"/>
  <c r="R157" i="28"/>
  <c r="U157" i="28" s="1"/>
  <c r="R637" i="28"/>
  <c r="U637" i="28" s="1"/>
  <c r="U156" i="28"/>
  <c r="R36" i="28"/>
  <c r="U36" i="28" s="1"/>
  <c r="R243" i="28"/>
  <c r="U243" i="28" s="1"/>
  <c r="U53" i="28"/>
  <c r="V236" i="27"/>
  <c r="A702" i="27"/>
  <c r="A692" i="27"/>
  <c r="A693" i="27" s="1"/>
  <c r="AL53" i="27"/>
  <c r="AK33" i="27"/>
  <c r="AL33" i="27" s="1"/>
  <c r="R651" i="27"/>
  <c r="U651" i="27" s="1"/>
  <c r="R637" i="27"/>
  <c r="U637" i="27" s="1"/>
  <c r="R658" i="27"/>
  <c r="U658" i="27" s="1"/>
  <c r="R137" i="27"/>
  <c r="U137" i="27" s="1"/>
  <c r="R431" i="27"/>
  <c r="U431" i="27" s="1"/>
  <c r="R403" i="27"/>
  <c r="U403" i="27" s="1"/>
  <c r="R157" i="27"/>
  <c r="U157" i="27" s="1"/>
  <c r="R33" i="27"/>
  <c r="R460" i="27"/>
  <c r="U460" i="27" s="1"/>
  <c r="R48" i="27"/>
  <c r="U48" i="27" s="1"/>
  <c r="R51" i="27"/>
  <c r="U51" i="27" s="1"/>
  <c r="R49" i="27"/>
  <c r="U49" i="27" s="1"/>
  <c r="R46" i="27"/>
  <c r="U46" i="27" s="1"/>
  <c r="R45" i="27"/>
  <c r="U45" i="27" s="1"/>
  <c r="R44" i="27"/>
  <c r="U44" i="27" s="1"/>
  <c r="R43" i="27"/>
  <c r="U43" i="27" s="1"/>
  <c r="R42" i="27"/>
  <c r="U42" i="27" s="1"/>
  <c r="R41" i="27"/>
  <c r="U41" i="27" s="1"/>
  <c r="R40" i="27"/>
  <c r="U40" i="27" s="1"/>
  <c r="R39" i="27"/>
  <c r="U39" i="27" s="1"/>
  <c r="R38" i="27"/>
  <c r="U38" i="27" s="1"/>
  <c r="R156" i="27"/>
  <c r="U156" i="27" s="1"/>
  <c r="R160" i="27"/>
  <c r="U160" i="27" s="1"/>
  <c r="U36" i="27"/>
  <c r="R243" i="27"/>
  <c r="U243" i="27" s="1"/>
  <c r="AJ53" i="27"/>
  <c r="T53" i="27" s="1"/>
  <c r="V53" i="27" s="1"/>
  <c r="AI33" i="27"/>
  <c r="AJ33" i="27" s="1"/>
  <c r="T33" i="27" s="1"/>
  <c r="V33" i="27" s="1"/>
  <c r="R35" i="27"/>
  <c r="U35" i="27" s="1"/>
  <c r="R374" i="26"/>
  <c r="U374" i="26" s="1"/>
  <c r="U55" i="26"/>
  <c r="R109" i="26"/>
  <c r="U109" i="26" s="1"/>
  <c r="R275" i="26"/>
  <c r="U275" i="26" s="1"/>
  <c r="U133" i="26"/>
  <c r="R122" i="26"/>
  <c r="U122" i="26" s="1"/>
  <c r="R571" i="26"/>
  <c r="U571" i="26" s="1"/>
  <c r="R331" i="26"/>
  <c r="U331" i="26" s="1"/>
  <c r="R267" i="26"/>
  <c r="U267" i="26" s="1"/>
  <c r="R89" i="26"/>
  <c r="U89" i="26" s="1"/>
  <c r="R609" i="26"/>
  <c r="U47" i="26"/>
  <c r="AK99" i="26"/>
  <c r="AL99" i="26" s="1"/>
  <c r="AJ159" i="26"/>
  <c r="T159" i="26" s="1"/>
  <c r="V159" i="26" s="1"/>
  <c r="U242" i="26"/>
  <c r="X242" i="26" s="1"/>
  <c r="AA242" i="26" s="1"/>
  <c r="AD242" i="26" s="1"/>
  <c r="AG242" i="26" s="1"/>
  <c r="AG216" i="26" s="1"/>
  <c r="AG53" i="26" s="1"/>
  <c r="AG33" i="26" s="1"/>
  <c r="U160" i="26"/>
  <c r="R655" i="26"/>
  <c r="U655" i="26" s="1"/>
  <c r="R180" i="26"/>
  <c r="U180" i="26" s="1"/>
  <c r="P53" i="26"/>
  <c r="P33" i="26" s="1"/>
  <c r="AJ145" i="26"/>
  <c r="T145" i="26" s="1"/>
  <c r="V145" i="26" s="1"/>
  <c r="AK145" i="26"/>
  <c r="AL145" i="26" s="1"/>
  <c r="AK37" i="26"/>
  <c r="AI36" i="26"/>
  <c r="AJ37" i="26"/>
  <c r="T37" i="26" s="1"/>
  <c r="AJ12" i="26"/>
  <c r="AI10" i="26"/>
  <c r="AJ10" i="26" s="1"/>
  <c r="AJ14" i="26"/>
  <c r="T14" i="26" s="1"/>
  <c r="V14" i="26" s="1"/>
  <c r="AJ54" i="26"/>
  <c r="T54" i="26" s="1"/>
  <c r="V54" i="26" s="1"/>
  <c r="AJ413" i="26"/>
  <c r="T413" i="26" s="1"/>
  <c r="V413" i="26" s="1"/>
  <c r="AK413" i="26"/>
  <c r="AL413" i="26" s="1"/>
  <c r="AI216" i="26"/>
  <c r="AJ216" i="26" s="1"/>
  <c r="T216" i="26" s="1"/>
  <c r="V216" i="26" s="1"/>
  <c r="AB216" i="26"/>
  <c r="AB53" i="26" s="1"/>
  <c r="AB33" i="26" s="1"/>
  <c r="AE242" i="26"/>
  <c r="AH242" i="26" s="1"/>
  <c r="R29" i="26"/>
  <c r="U29" i="26" s="1"/>
  <c r="R32" i="26"/>
  <c r="U32" i="26" s="1"/>
  <c r="R30" i="26"/>
  <c r="U30" i="26" s="1"/>
  <c r="R21" i="26"/>
  <c r="U21" i="26" s="1"/>
  <c r="R18" i="26"/>
  <c r="U18" i="26" s="1"/>
  <c r="R17" i="26"/>
  <c r="U17" i="26" s="1"/>
  <c r="R10" i="26"/>
  <c r="R23" i="26"/>
  <c r="U23" i="26" s="1"/>
  <c r="R16" i="26"/>
  <c r="U16" i="26" s="1"/>
  <c r="U15" i="26"/>
  <c r="R27" i="26"/>
  <c r="U27" i="26" s="1"/>
  <c r="R22" i="26"/>
  <c r="U22" i="26" s="1"/>
  <c r="R19" i="26"/>
  <c r="U19" i="26" s="1"/>
  <c r="R31" i="26"/>
  <c r="U31" i="26" s="1"/>
  <c r="R25" i="26"/>
  <c r="U25" i="26" s="1"/>
  <c r="R20" i="26"/>
  <c r="U20" i="26" s="1"/>
  <c r="V117" i="26"/>
  <c r="AJ26" i="26"/>
  <c r="AK26" i="26"/>
  <c r="AL26" i="26" s="1"/>
  <c r="R625" i="26"/>
  <c r="U625" i="26" s="1"/>
  <c r="R524" i="26"/>
  <c r="U524" i="26" s="1"/>
  <c r="R535" i="26"/>
  <c r="U535" i="26" s="1"/>
  <c r="R509" i="26"/>
  <c r="U509" i="26" s="1"/>
  <c r="R505" i="26"/>
  <c r="U505" i="26" s="1"/>
  <c r="R459" i="26"/>
  <c r="U459" i="26" s="1"/>
  <c r="R413" i="26"/>
  <c r="R349" i="26"/>
  <c r="U349" i="26" s="1"/>
  <c r="R304" i="26"/>
  <c r="U304" i="26" s="1"/>
  <c r="R318" i="26"/>
  <c r="U318" i="26" s="1"/>
  <c r="R311" i="26"/>
  <c r="U311" i="26" s="1"/>
  <c r="R337" i="26"/>
  <c r="U337" i="26" s="1"/>
  <c r="R424" i="26"/>
  <c r="U424" i="26" s="1"/>
  <c r="R635" i="26"/>
  <c r="U635" i="26" s="1"/>
  <c r="R554" i="26"/>
  <c r="U554" i="26" s="1"/>
  <c r="R494" i="26"/>
  <c r="U494" i="26" s="1"/>
  <c r="R645" i="26"/>
  <c r="U645" i="26" s="1"/>
  <c r="R517" i="26"/>
  <c r="U517" i="26" s="1"/>
  <c r="R446" i="26"/>
  <c r="U446" i="26" s="1"/>
  <c r="Q53" i="26"/>
  <c r="R54" i="26" s="1"/>
  <c r="U54" i="26" s="1"/>
  <c r="R286" i="26"/>
  <c r="U286" i="26" s="1"/>
  <c r="R487" i="26"/>
  <c r="U487" i="26" s="1"/>
  <c r="R585" i="26"/>
  <c r="U585" i="26" s="1"/>
  <c r="R599" i="26"/>
  <c r="U599" i="26" s="1"/>
  <c r="R541" i="26"/>
  <c r="U541" i="26" s="1"/>
  <c r="R563" i="26"/>
  <c r="U563" i="26" s="1"/>
  <c r="R478" i="26"/>
  <c r="U478" i="26" s="1"/>
  <c r="R363" i="26"/>
  <c r="U363" i="26" s="1"/>
  <c r="R390" i="26"/>
  <c r="U390" i="26" s="1"/>
  <c r="R254" i="26"/>
  <c r="U254" i="26" s="1"/>
  <c r="R217" i="26"/>
  <c r="U217" i="26" s="1"/>
  <c r="R233" i="26"/>
  <c r="U233" i="26" s="1"/>
  <c r="R293" i="26"/>
  <c r="U293" i="26" s="1"/>
  <c r="R171" i="26"/>
  <c r="U171" i="26" s="1"/>
  <c r="AK159" i="26"/>
  <c r="AL159" i="26" s="1"/>
  <c r="R195" i="26"/>
  <c r="U195" i="26" s="1"/>
  <c r="R188" i="26"/>
  <c r="U188" i="26" s="1"/>
  <c r="R159" i="26"/>
  <c r="U159" i="26" s="1"/>
  <c r="R201" i="26"/>
  <c r="U201" i="26" s="1"/>
  <c r="R208" i="26"/>
  <c r="U208" i="26" s="1"/>
  <c r="AK54" i="26"/>
  <c r="AL54" i="26" s="1"/>
  <c r="R93" i="26"/>
  <c r="U93" i="26" s="1"/>
  <c r="R68" i="26"/>
  <c r="U68" i="26" s="1"/>
  <c r="R63" i="26"/>
  <c r="U63" i="26" s="1"/>
  <c r="R61" i="26"/>
  <c r="U61" i="26" s="1"/>
  <c r="R72" i="26"/>
  <c r="U72" i="26" s="1"/>
  <c r="R85" i="26"/>
  <c r="U85" i="26" s="1"/>
  <c r="R81" i="26"/>
  <c r="U81" i="26" s="1"/>
  <c r="R96" i="26"/>
  <c r="U96" i="26" s="1"/>
  <c r="R57" i="26"/>
  <c r="U57" i="26" s="1"/>
  <c r="R78" i="26"/>
  <c r="U78" i="26" s="1"/>
  <c r="R28" i="26"/>
  <c r="U28" i="26" s="1"/>
  <c r="U609" i="26"/>
  <c r="AK14" i="26"/>
  <c r="U117" i="26"/>
  <c r="AK685" i="26"/>
  <c r="AL685" i="26" s="1"/>
  <c r="AJ685" i="26"/>
  <c r="T685" i="26" s="1"/>
  <c r="V685" i="26" s="1"/>
  <c r="R685" i="26"/>
  <c r="U413" i="26" l="1"/>
  <c r="A703" i="27"/>
  <c r="U53" i="27"/>
  <c r="U33" i="27"/>
  <c r="AK216" i="26"/>
  <c r="AL216" i="26" s="1"/>
  <c r="U14" i="26"/>
  <c r="U26" i="26"/>
  <c r="T26" i="26"/>
  <c r="V26" i="26" s="1"/>
  <c r="T10" i="26"/>
  <c r="V10" i="26" s="1"/>
  <c r="U10" i="26"/>
  <c r="V37" i="26"/>
  <c r="U37" i="26"/>
  <c r="AK36" i="26"/>
  <c r="AL37" i="26"/>
  <c r="U685" i="26"/>
  <c r="A731" i="26"/>
  <c r="AK10" i="26"/>
  <c r="AL10" i="26" s="1"/>
  <c r="AL14" i="26"/>
  <c r="AK12" i="26"/>
  <c r="AL12" i="26" s="1"/>
  <c r="R99" i="26"/>
  <c r="U99" i="26" s="1"/>
  <c r="R145" i="26"/>
  <c r="U145" i="26" s="1"/>
  <c r="Q33" i="26"/>
  <c r="U12" i="26"/>
  <c r="T12" i="26"/>
  <c r="V12" i="26" s="1"/>
  <c r="AJ36" i="26"/>
  <c r="T36" i="26" s="1"/>
  <c r="V36" i="26" s="1"/>
  <c r="AI35" i="26"/>
  <c r="AJ35" i="26" s="1"/>
  <c r="T35" i="26" s="1"/>
  <c r="V35" i="26" s="1"/>
  <c r="A721" i="26"/>
  <c r="AI53" i="26"/>
  <c r="AJ53" i="26" s="1"/>
  <c r="T53" i="26" s="1"/>
  <c r="V53" i="26" s="1"/>
  <c r="R49" i="26" l="1"/>
  <c r="U49" i="26" s="1"/>
  <c r="R48" i="26"/>
  <c r="U48" i="26" s="1"/>
  <c r="R38" i="26"/>
  <c r="U38" i="26" s="1"/>
  <c r="AK53" i="26"/>
  <c r="AL53" i="26" s="1"/>
  <c r="R686" i="26"/>
  <c r="U686" i="26" s="1"/>
  <c r="R660" i="26"/>
  <c r="U660" i="26" s="1"/>
  <c r="R677" i="26"/>
  <c r="U677" i="26" s="1"/>
  <c r="R46" i="26"/>
  <c r="U46" i="26" s="1"/>
  <c r="R45" i="26"/>
  <c r="U45" i="26" s="1"/>
  <c r="R44" i="26"/>
  <c r="U44" i="26" s="1"/>
  <c r="R43" i="26"/>
  <c r="U43" i="26" s="1"/>
  <c r="R42" i="26"/>
  <c r="U42" i="26" s="1"/>
  <c r="R41" i="26"/>
  <c r="U41" i="26" s="1"/>
  <c r="R40" i="26"/>
  <c r="U40" i="26" s="1"/>
  <c r="R39" i="26"/>
  <c r="U39" i="26" s="1"/>
  <c r="R437" i="26"/>
  <c r="U437" i="26" s="1"/>
  <c r="R398" i="26"/>
  <c r="U398" i="26" s="1"/>
  <c r="R36" i="26"/>
  <c r="U36" i="26" s="1"/>
  <c r="R465" i="26"/>
  <c r="U465" i="26" s="1"/>
  <c r="R115" i="26"/>
  <c r="U115" i="26" s="1"/>
  <c r="R137" i="26"/>
  <c r="U137" i="26" s="1"/>
  <c r="R51" i="26"/>
  <c r="U51" i="26" s="1"/>
  <c r="R33" i="26"/>
  <c r="R35" i="26"/>
  <c r="U35" i="26" s="1"/>
  <c r="R141" i="26"/>
  <c r="U141" i="26" s="1"/>
  <c r="R136" i="26"/>
  <c r="U136" i="26" s="1"/>
  <c r="R216" i="26"/>
  <c r="U216" i="26" s="1"/>
  <c r="A732" i="26"/>
  <c r="A722" i="26"/>
  <c r="AK35" i="26"/>
  <c r="AL35" i="26" s="1"/>
  <c r="AL36" i="26"/>
  <c r="AI33" i="26"/>
  <c r="AJ33" i="26" s="1"/>
  <c r="T33" i="26" s="1"/>
  <c r="V33" i="26" s="1"/>
  <c r="R53" i="26"/>
  <c r="U53" i="26" s="1"/>
  <c r="AK33" i="26" l="1"/>
  <c r="AL33" i="26" s="1"/>
  <c r="U33" i="26"/>
</calcChain>
</file>

<file path=xl/sharedStrings.xml><?xml version="1.0" encoding="utf-8"?>
<sst xmlns="http://schemas.openxmlformats.org/spreadsheetml/2006/main" count="14977" uniqueCount="651">
  <si>
    <t>LAPORAN REKAPITULASI KEMAJUAN PELAKSANAAN PROGRAM/KEGIATAN</t>
  </si>
  <si>
    <t>NO</t>
  </si>
  <si>
    <t>URAIAN</t>
  </si>
  <si>
    <t>PAGU ANGGARAN</t>
  </si>
  <si>
    <t>BOBOT (%)</t>
  </si>
  <si>
    <t>%</t>
  </si>
  <si>
    <t>TERTIMBANG KEGIATAN</t>
  </si>
  <si>
    <t>I</t>
  </si>
  <si>
    <t>II</t>
  </si>
  <si>
    <t>BELANJA</t>
  </si>
  <si>
    <t>BELANJA TIDAK LANGSUNG</t>
  </si>
  <si>
    <t>BELANJA LANGSUNG</t>
  </si>
  <si>
    <t>Program Pelayanan Administrasi Perkantoran</t>
  </si>
  <si>
    <t>Penyediaan jasa surat menyurat</t>
  </si>
  <si>
    <t>Penyediaan jasa komunikasi, sumber daya air dan listrik</t>
  </si>
  <si>
    <t>Penyediaan jasa kebersihan kantor</t>
  </si>
  <si>
    <t>Penyediaan alat tulis kantor</t>
  </si>
  <si>
    <t>Penyediaan barang cetakan dan penggandaan</t>
  </si>
  <si>
    <t>Penyediaan komponen instalasi listrik/penerangan bangunan kantor</t>
  </si>
  <si>
    <t>Penyediaan bahan bacaan dan peraturan perundang-undangan</t>
  </si>
  <si>
    <t>Penyediaan makanan dan minuman</t>
  </si>
  <si>
    <t>Rapat-rapat koordinasi dan konsultasi ke luar daerah</t>
  </si>
  <si>
    <t>Rapat-rapat koordinasi dan konsultasi dalam daerah</t>
  </si>
  <si>
    <t>Program Peningkatan Sarana dan Prasarana Aparatur</t>
  </si>
  <si>
    <t>Pengadaan peralatan gedung kantor</t>
  </si>
  <si>
    <t>Pengadaan mebeleur</t>
  </si>
  <si>
    <t>Pemeliharaan rutin/berkala gedung kantor</t>
  </si>
  <si>
    <t>Pemeliharaan rutin/berkala kendaraan dinas/operasional</t>
  </si>
  <si>
    <t>Pemeliharaan rutin/berkala perlengkapan gedung kantor</t>
  </si>
  <si>
    <t>III</t>
  </si>
  <si>
    <t>IV</t>
  </si>
  <si>
    <t>Program Peningkatan Kapasitas Sumber Daya Aparatur</t>
  </si>
  <si>
    <t>Bimbingan teknis implementasi peraturan perundang-undangan</t>
  </si>
  <si>
    <t>Peningkatan Kemampuan Teknis Aparatur</t>
  </si>
  <si>
    <t>V</t>
  </si>
  <si>
    <t>Program peningkatan pengembangan sistem pelaporan capaian kinerja dan keuangan</t>
  </si>
  <si>
    <t>Penyusunan laporan capaian kinerja dan ikhtisar realisasi kinerja SKPD</t>
  </si>
  <si>
    <t>Penyusunan pelaporan prognosis realisasi anggaran</t>
  </si>
  <si>
    <t>VI</t>
  </si>
  <si>
    <t>Program peningkatan dan pengembangan pengelolaan keuangan daerah</t>
  </si>
  <si>
    <t>Penyusunan standar satuan harga</t>
  </si>
  <si>
    <t>Penyusunan rancangan peraturan daerah tentang APBD</t>
  </si>
  <si>
    <t>Penyusunan rancangan peraturan KDH tentang penjabaran APBD</t>
  </si>
  <si>
    <t>Penyusunan rancangan peraturan daerah tentang perubahan APBD</t>
  </si>
  <si>
    <t>Penyusunan rancangan peraturan KDH tentang Penjabaran Perubahan APBD</t>
  </si>
  <si>
    <t>Penyusunan rancangan peraturan daerah tentang pertanggungjawaban pelaksanaan APBD</t>
  </si>
  <si>
    <t>Penyusunan rancangan peraturan KDH tentang penjabaran pertanggungjawaban pelaksanaan APBD</t>
  </si>
  <si>
    <t>Sosialisasi paket regulasi tentang pengelolaan keuangan daerah</t>
  </si>
  <si>
    <t>Bimbingan teknis implementasi paket regulasi tentang pengelolaan keuangan daerah</t>
  </si>
  <si>
    <t>Pengelolaan Sistem administrasi Gaji PNS Kota Serang</t>
  </si>
  <si>
    <t>Evaluasi Pendapatan dan Belanja SKPD</t>
  </si>
  <si>
    <t>Pemeliharaan Sistem Informasi Pengelolaan Keuangan Daerah</t>
  </si>
  <si>
    <t>Penyusunan Laporan Rekapitulasi Penerimaan, Pengeluaran dan PFK</t>
  </si>
  <si>
    <t>Peningkatan Akuntabilitas Laporan Keuangan</t>
  </si>
  <si>
    <t>Penyelesaian Kerugian Daerah</t>
  </si>
  <si>
    <t>Bimbingan Teknis Perencanaan Penganggaran</t>
  </si>
  <si>
    <t>KODE REKENING</t>
  </si>
  <si>
    <t>ANGGARAN    MURNI</t>
  </si>
  <si>
    <t>ANGGARAN MENDAHULUI PERUBAHAN</t>
  </si>
  <si>
    <t>RENCANA (%)</t>
  </si>
  <si>
    <t>REALISASI</t>
  </si>
  <si>
    <t>SISA ANGGARAN</t>
  </si>
  <si>
    <t>KET</t>
  </si>
  <si>
    <t>KENDALA / MASALAH / HAMBATAN</t>
  </si>
  <si>
    <t>SOLUSI / PENYELESAIAN</t>
  </si>
  <si>
    <t>FISIK (%)</t>
  </si>
  <si>
    <t>SELISIH</t>
  </si>
  <si>
    <t>JAN</t>
  </si>
  <si>
    <t>FEB</t>
  </si>
  <si>
    <t>MAR</t>
  </si>
  <si>
    <t>APR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</si>
  <si>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</si>
  <si>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</si>
  <si>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</si>
  <si>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</si>
  <si>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</si>
  <si>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</si>
  <si>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</si>
  <si>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</si>
  <si>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REALISASI S/D BULAN INI</t>
  </si>
  <si>
    <t>TERTIMBANG FISIK</t>
  </si>
  <si>
    <t>8=5x7</t>
  </si>
  <si>
    <t>9=6-7</t>
  </si>
  <si>
    <t>11=10:4</t>
  </si>
  <si>
    <t>12=4-10</t>
  </si>
  <si>
    <t>13=12:4</t>
  </si>
  <si>
    <t>1.07.01 . 4.1</t>
  </si>
  <si>
    <t>PENDAPATAN</t>
  </si>
  <si>
    <t>1.07.01 .4.1.1</t>
  </si>
  <si>
    <t>Pendapatan Pajak Daerah</t>
  </si>
  <si>
    <t>1.07.01 .4.1.1.01</t>
  </si>
  <si>
    <t>1.07.01 .4.1.1.02</t>
  </si>
  <si>
    <t>1.07.01 .4.1.1.03</t>
  </si>
  <si>
    <t>1.07.01 .4.1.1.04</t>
  </si>
  <si>
    <t>1.07.01 .4.1.1.05</t>
  </si>
  <si>
    <t>1.07.01 .4.1.1.07</t>
  </si>
  <si>
    <t>1.07.01 .4.1.1.08</t>
  </si>
  <si>
    <t>Pajak Air Tanah</t>
  </si>
  <si>
    <t>1.07.01 .4.1.1.09</t>
  </si>
  <si>
    <t>1.07.01 .4.1.1.13</t>
  </si>
  <si>
    <t>Pajak Bea Perolehan Hak Atas Tanah dan Bangungan (BPHTB)</t>
  </si>
  <si>
    <t>1.07.01 .4.1.2</t>
  </si>
  <si>
    <t>Hasil Retribusi Daerah</t>
  </si>
  <si>
    <t>1.07.01 .4.1.2.02</t>
  </si>
  <si>
    <t>1.07.01 .4.1.4</t>
  </si>
  <si>
    <t>Lain-lain Pendapatan Asli Daerah Yang Sah</t>
  </si>
  <si>
    <t>1.07.01 .4.1.4.02</t>
  </si>
  <si>
    <t>Penerimaan Jasa Giro</t>
  </si>
  <si>
    <t>1.07.01 .4.1.4.19</t>
  </si>
  <si>
    <t>Pendapatan Denda Pajak</t>
  </si>
  <si>
    <t>Pendapatan dari Pengembalian</t>
  </si>
  <si>
    <t>1.16 . 1.16.01 . 5.1</t>
  </si>
  <si>
    <t>1.16 . 1.16.01 . 5.2</t>
  </si>
  <si>
    <t>1.20 . 1.20.05 . 01</t>
  </si>
  <si>
    <t>1.20 . 1.20.05 . 01 . 01</t>
  </si>
  <si>
    <t>1.20 . 1.20.05 . 01 . 02</t>
  </si>
  <si>
    <t>1.20 . 1.20.05 . 01 . 06</t>
  </si>
  <si>
    <t>Penyediaan jasa pemeliharaan dan perizinan kendaraan dinas/operasional</t>
  </si>
  <si>
    <t>1.20 . 1.20.05 . 01 . 08</t>
  </si>
  <si>
    <t>1.20 . 1.20.05 . 01 . 10</t>
  </si>
  <si>
    <t>1.20 . 1.20.05 . 01 . 11</t>
  </si>
  <si>
    <t>1.20 . 1.20.05 . 01 . 15</t>
  </si>
  <si>
    <t>1.20 . 1.20.05 . 01 . 17</t>
  </si>
  <si>
    <t>1.20 . 1.20.05 . 01 . 18</t>
  </si>
  <si>
    <t>1.20 . 1.20.05 . 01 . 20</t>
  </si>
  <si>
    <t>1.20 . 1.20.05 . 02</t>
  </si>
  <si>
    <t>1.20 . 1.20.05 . 02 . 09</t>
  </si>
  <si>
    <t>1.20 . 1.20.05 . 02 . 10</t>
  </si>
  <si>
    <t>1.20 . 1.20.05 . 02 . 22</t>
  </si>
  <si>
    <t>Pengadaan Rumah Dinas/Gedung Kantor</t>
  </si>
  <si>
    <t>1.20 . 1.20.05 . 02 . 24</t>
  </si>
  <si>
    <t>1.20 . 1.20.05 . 02 . 26</t>
  </si>
  <si>
    <t>1.20 . 1.20.05 . 03</t>
  </si>
  <si>
    <t>1.20 . 1.20.05 . 03 . 05</t>
  </si>
  <si>
    <t>Pengadaan pakaian khusus hari-hari tertentu</t>
  </si>
  <si>
    <t>1.20 . 1.20.05 . 05</t>
  </si>
  <si>
    <t>1.20 . 1.20.05 . 05 . 03</t>
  </si>
  <si>
    <t>1.20 . 1.20.05 . 05 . 04</t>
  </si>
  <si>
    <t>1.20 . 1.20.05 . 06</t>
  </si>
  <si>
    <t>1.20 . 1.20.05 . 06 . 01</t>
  </si>
  <si>
    <t>1.20 . 1.20.05 . 06 . 03</t>
  </si>
  <si>
    <t>1.20 . 1.20.05 . 06 . 04</t>
  </si>
  <si>
    <t>Penyusunan Rencana Kerja dan Anggaran SKPD</t>
  </si>
  <si>
    <t>Penyediaan Data, Dokumentasi, Informatika dan Komunikasi SKPD</t>
  </si>
  <si>
    <t>1.20 . 1.20.05 . 06 . 05</t>
  </si>
  <si>
    <t>1.20 . 1.20.05 . 17</t>
  </si>
  <si>
    <t>1.20 . 1.20.05 . 17 . 02</t>
  </si>
  <si>
    <t>1.20 . 1.20.05 . 17 . 03</t>
  </si>
  <si>
    <t>1.20 . 1.20.05 . 17 . 06</t>
  </si>
  <si>
    <t>Penyusunan sistem dan prosedur pengelolaan keuangan daerah</t>
  </si>
  <si>
    <t>1.20 . 1.20.05 . 17 . 07</t>
  </si>
  <si>
    <t>1.20 . 1.20.05 . 17 . 08</t>
  </si>
  <si>
    <t>1.20 . 1.20.05 . 17 . 09</t>
  </si>
  <si>
    <t>1.20 . 1.20.05 . 17 . 10</t>
  </si>
  <si>
    <t>1.20 . 1.20.05 . 17 . 11</t>
  </si>
  <si>
    <t>1.20 . 1.20.05 . 17 . 14</t>
  </si>
  <si>
    <t>1.20 . 1.20.05 . 17 . 15</t>
  </si>
  <si>
    <t>Pengelolaan Pajak Bumi dan Bangunan Perdesaan dan Perkotaan</t>
  </si>
  <si>
    <t>1.20 . 1.20.05 . 17 . 19</t>
  </si>
  <si>
    <t>Peningkatan Sumber-Sumber Pendapatan Lain</t>
  </si>
  <si>
    <t>Penagihan Pajak Daerah</t>
  </si>
  <si>
    <t>Pembinaan Aparatur Pelaksana Pemungut Pajak Daerah</t>
  </si>
  <si>
    <t>Pendataan Pajak Daerah Non PBB P2 dan BPHTB</t>
  </si>
  <si>
    <t>Verifikasi Data Objek Pajak PBB P2 dan BPHTB</t>
  </si>
  <si>
    <t>Sosialisasi Pajak Daerah Non PBB P2 dan BPHTB</t>
  </si>
  <si>
    <t>Sosialisasi Pajak Daerah PBB P2 dan BPHTB</t>
  </si>
  <si>
    <t>1.20 . 1.20.05 . 28</t>
  </si>
  <si>
    <t>Penyusunan Rencana Kerja SKPD</t>
  </si>
  <si>
    <t>Program</t>
  </si>
  <si>
    <t>Keterangan</t>
  </si>
  <si>
    <t>Kegiatan</t>
  </si>
  <si>
    <t>(1) - Angka Romawi = No urut Program</t>
  </si>
  <si>
    <t xml:space="preserve">      - Angka = No urut Kegiatan</t>
  </si>
  <si>
    <r>
      <t xml:space="preserve">Kegiatan </t>
    </r>
    <r>
      <rPr>
        <u/>
        <sz val="8"/>
        <color indexed="8"/>
        <rFont val="Tahoma"/>
        <family val="2"/>
      </rPr>
      <t>&gt;</t>
    </r>
    <r>
      <rPr>
        <sz val="8"/>
        <color indexed="8"/>
        <rFont val="Tahoma"/>
        <family val="2"/>
      </rPr>
      <t xml:space="preserve"> 95%</t>
    </r>
  </si>
  <si>
    <t>(2) &amp; (3) Data Program, Kegiatan &amp; Anggaran dari DPA SKPD (SIMDA)</t>
  </si>
  <si>
    <t>(4) Bobot masing - masing Program &amp; Kegiatan terhadap Total Anggaran SKPD</t>
  </si>
  <si>
    <t>(5) Rencana = diambil dari Rencana Penarikan Anggaran Perbulan dari masing - masing Kegiatan (SIMDA)</t>
  </si>
  <si>
    <r>
      <t xml:space="preserve">Program </t>
    </r>
    <r>
      <rPr>
        <u/>
        <sz val="8"/>
        <color indexed="8"/>
        <rFont val="Tahoma"/>
        <family val="2"/>
      </rPr>
      <t>&gt;</t>
    </r>
    <r>
      <rPr>
        <sz val="8"/>
        <color indexed="8"/>
        <rFont val="Tahoma"/>
        <family val="2"/>
      </rPr>
      <t xml:space="preserve"> 95%</t>
    </r>
  </si>
  <si>
    <t>(6) Realisasi Fisik = diambil dari progres pekerjaan/kegiatan (di input manual)</t>
  </si>
  <si>
    <t>(7) Tertimbang Kegiatan = dari hasil bobot x fisik : 100 (prosentase fisik proporsional dari total anggaran SKPD)</t>
  </si>
  <si>
    <t>(8) Selisih = Realisasi Fisik - Rencana</t>
  </si>
  <si>
    <t>Keg. BM</t>
  </si>
  <si>
    <t>(9) Realisasi Keuangan = realisasi penyerapan anggaran s/d bulan dilaporkan</t>
  </si>
  <si>
    <t>Keg. BM &lt; 95%</t>
  </si>
  <si>
    <t>(10) % = prosentase keuangan dari realisasi : anggaran x 100</t>
  </si>
  <si>
    <t>(11) Sisa Anggaran = Pagu - Realisasi</t>
  </si>
  <si>
    <t>(12) % = prosentase dari sisa anggaran : pagu x 100</t>
  </si>
  <si>
    <t>Kegiatan 0%</t>
  </si>
  <si>
    <t>(13) Keterangan = jika diperlukan</t>
  </si>
  <si>
    <t>Kegiatan &gt; 0% - 95%</t>
  </si>
  <si>
    <t>Kegiatan &lt; 50%</t>
  </si>
  <si>
    <t>Kegiatan &gt; 50% - 95%</t>
  </si>
  <si>
    <t>KORING</t>
  </si>
  <si>
    <t>1.20.05.01.4</t>
  </si>
  <si>
    <t>1.20.05.01.4.1</t>
  </si>
  <si>
    <t>PENDAPATAN ASLI DAERAH</t>
  </si>
  <si>
    <t>Penyediaan Peralatan Rumah Tangga</t>
  </si>
  <si>
    <t>Pemeliharaan rutin/berkala peralatan gedung kantor</t>
  </si>
  <si>
    <t>Penyusunan Sistem Informasi Pengelolaan Keuangan Daerah</t>
  </si>
  <si>
    <t>Penyusunan Pedoman Pelaksanaan APBD</t>
  </si>
  <si>
    <t xml:space="preserve">Pendistribusian dan Pengendalian SPT PBB </t>
  </si>
  <si>
    <t>Monitoring dan Evaluasi PBB P2 dan BPHTB</t>
  </si>
  <si>
    <t>Evaluasi Penyusunan APBD</t>
  </si>
  <si>
    <t>Pedoman Penyusunan APBD</t>
  </si>
  <si>
    <t>Pengembangan dan Fasilitasi TAPD</t>
  </si>
  <si>
    <t>Penyusunan LKPD</t>
  </si>
  <si>
    <t>Rekonsiliasi Realisasi Anggaran Belanja Daerah</t>
  </si>
  <si>
    <t>Rekonsiliasi Realisasi Anggaran Pendapatan Daerah</t>
  </si>
  <si>
    <t>Pembinaan Wajib Pajak</t>
  </si>
  <si>
    <t>Rekonsiliasi Pajak Bumi dan Bangunan</t>
  </si>
  <si>
    <t>Penghargaan Pajak Daerah</t>
  </si>
  <si>
    <t>1.20.05.01.5</t>
  </si>
  <si>
    <t>1.20.05.01.5.1</t>
  </si>
  <si>
    <t>1.20.05.01.4.1.1</t>
  </si>
  <si>
    <t>1.20.05.01.4.1.2</t>
  </si>
  <si>
    <t xml:space="preserve"> </t>
  </si>
  <si>
    <t>ADANG DARMAWAN</t>
  </si>
  <si>
    <t>NIP. 19690425 199010 1 001</t>
  </si>
  <si>
    <t>Belanja Pegawai</t>
  </si>
  <si>
    <t>1.20.05.01.5.1.1</t>
  </si>
  <si>
    <t>1.20.05.01.5.1.1.01</t>
  </si>
  <si>
    <t>Belanja Gaji dan Tunjangan</t>
  </si>
  <si>
    <t>1.20.05.01.5.1.1.01.01</t>
  </si>
  <si>
    <t>Gaji Pokok PNS/Uang Representasi</t>
  </si>
  <si>
    <t>1.20.05.01.5.1.1.01.02</t>
  </si>
  <si>
    <t>Tunjangan Keluarga</t>
  </si>
  <si>
    <t>1.20.05.01.5.1.1.01.03</t>
  </si>
  <si>
    <t xml:space="preserve">Tunjangan Jabatan </t>
  </si>
  <si>
    <t>1.20.05.01.5.1.1.01.05</t>
  </si>
  <si>
    <t>Tunjangan Fungsional Umum</t>
  </si>
  <si>
    <t>1.20.05.01.5.1.1.01.06</t>
  </si>
  <si>
    <t>Tunjangan Beras</t>
  </si>
  <si>
    <t>1.20.05.01.5.1.1.01.07</t>
  </si>
  <si>
    <t>1.20.05.01.5.1.1.01.08</t>
  </si>
  <si>
    <t>Tunjangan PPh/Tunjangan Khusus</t>
  </si>
  <si>
    <t xml:space="preserve">Pembulatan Gaji </t>
  </si>
  <si>
    <t>1.20.05.01.5.1.1.01.09</t>
  </si>
  <si>
    <t>Iuran BPJS Kesehatan</t>
  </si>
  <si>
    <t>1.20.05.01.5.1.1.01.24</t>
  </si>
  <si>
    <t>Jaminan Kecelakaan Kerja dan Jaminan Kematian</t>
  </si>
  <si>
    <t>1.20.05.01.5.1.1.02</t>
  </si>
  <si>
    <t>Belanja Tambahan Penghasilan PNS</t>
  </si>
  <si>
    <t>1.20.05.01.5.1.1.02.01</t>
  </si>
  <si>
    <t>Tambahan Penghasilan Berdasarkan Beban Kerja</t>
  </si>
  <si>
    <t>1.20.05.01.5.1.1.02.03</t>
  </si>
  <si>
    <t>Tambahan Penghasilan Berdasarkan Kondisi Kerja</t>
  </si>
  <si>
    <t>1.20.05.01.5.1.1.05</t>
  </si>
  <si>
    <t>Insentif Pemungutan Pajak Daerah</t>
  </si>
  <si>
    <t>1.20.05.01.5.1.1.05.01</t>
  </si>
  <si>
    <t>5.2.2.01.04</t>
  </si>
  <si>
    <t>Belanja Perangko, Materai dan Benda Pos Lainnya</t>
  </si>
  <si>
    <t>5.2.2.03.01</t>
  </si>
  <si>
    <t>Belanja Telepon</t>
  </si>
  <si>
    <t>5.2.2.03.06</t>
  </si>
  <si>
    <t>Belanja Kawat/Faksimili/Internet/Intranet/TV Kabel/TV Satelit</t>
  </si>
  <si>
    <t>5.2.2.05.07</t>
  </si>
  <si>
    <t>Belanja Surat Tanda Nomor Kendaraan</t>
  </si>
  <si>
    <t>5.2.1.01.01</t>
  </si>
  <si>
    <t>Honorarium Panitia Pelaksana Kegiatan</t>
  </si>
  <si>
    <t>5.2.1.01.02</t>
  </si>
  <si>
    <t xml:space="preserve">Honorarium Tim Pengadaan Barang dan Jasa </t>
  </si>
  <si>
    <t>5.2.2.01.05</t>
  </si>
  <si>
    <t>Belanja Peralatan Kebersihan dan Bahan Pembersih</t>
  </si>
  <si>
    <t>5.2.2.26.01</t>
  </si>
  <si>
    <t>Belanja Jasa Kebersihan</t>
  </si>
  <si>
    <t>5.2.2.01.01</t>
  </si>
  <si>
    <t>Belanja Alat Tulis Kantor</t>
  </si>
  <si>
    <t>5.2.2.01.10</t>
  </si>
  <si>
    <t>Belanja Vandel, plakat, cinderamata dan umbul-umbul</t>
  </si>
  <si>
    <t>5.2.2.06.01</t>
  </si>
  <si>
    <t>Belanja Cetak</t>
  </si>
  <si>
    <t>Belanja Penggandaan/Fotocopy</t>
  </si>
  <si>
    <t>5.2.2.01.03</t>
  </si>
  <si>
    <t>5.2.1.01.08</t>
  </si>
  <si>
    <t>5.2.3.28.06</t>
  </si>
  <si>
    <t>Belanja Modal Peralatan dan Mesin-Pengadaan Alat Rumah Tangga Lainnya (Home Use )</t>
  </si>
  <si>
    <t>5.2.2.03.05</t>
  </si>
  <si>
    <t xml:space="preserve">Belanja Surat Kabar/ Majalah </t>
  </si>
  <si>
    <t>5.2.2.11.01</t>
  </si>
  <si>
    <t>Belanja Makanan dan Minuman Harian Pegawai</t>
  </si>
  <si>
    <t>5.2.2.11.02</t>
  </si>
  <si>
    <t>Belanja Makanan dan Minuman Rapat</t>
  </si>
  <si>
    <t>5.2.2.15.02</t>
  </si>
  <si>
    <t>Belanja Perjalanan Dinas Luar Daerah</t>
  </si>
  <si>
    <t>5.2.2.15.01</t>
  </si>
  <si>
    <t>Belanja Perjalanan Dinas Dalam Daerah</t>
  </si>
  <si>
    <t>5.2.3.29.06</t>
  </si>
  <si>
    <t>5.2.3.30.01</t>
  </si>
  <si>
    <t>5.2.2.07.02</t>
  </si>
  <si>
    <t>Belanja Sewa Gedung/Kantor/Tempat</t>
  </si>
  <si>
    <t>5.2.1.02.01</t>
  </si>
  <si>
    <t>Honorarium Pegawai Honorer/Tidak Tetap</t>
  </si>
  <si>
    <t>5.2.2.20.05</t>
  </si>
  <si>
    <t>Belanja Pemeliharaan Gedung dan Bangunan</t>
  </si>
  <si>
    <t>5.2.2.04.02</t>
  </si>
  <si>
    <t>Belanja Premi Asuransi Barang Milik Daerah</t>
  </si>
  <si>
    <t>5.2.2.05.01</t>
  </si>
  <si>
    <t>Belanja Jasa Service</t>
  </si>
  <si>
    <t>5.2.2.05.02</t>
  </si>
  <si>
    <t>Belanja Penggantian Suku Cadang</t>
  </si>
  <si>
    <t>5.2.2.05.03</t>
  </si>
  <si>
    <t>Belanja Bahan Bakar Minyak/Gas dan pelumnas</t>
  </si>
  <si>
    <t>5.2.2.20.06</t>
  </si>
  <si>
    <t>Belanja Pemeliharaan Aset Lainnya</t>
  </si>
  <si>
    <t>5.2.2.20.04</t>
  </si>
  <si>
    <t>Belanja Pemeliharaan Peralatan dan Mesin</t>
  </si>
  <si>
    <t>5.2.2.21.02</t>
  </si>
  <si>
    <t>Belanja Jasa Konsultasi Perencanaan</t>
  </si>
  <si>
    <t>5.2.2.21.06</t>
  </si>
  <si>
    <t>5.2.2.27.02</t>
  </si>
  <si>
    <t>Belanja Jasa Tenaga Ahli</t>
  </si>
  <si>
    <t>5.2.2.14.03</t>
  </si>
  <si>
    <t>Belanja Pakaian Batik Tradisional</t>
  </si>
  <si>
    <t>5.2.2.17.01</t>
  </si>
  <si>
    <t>Belanja Kursus-kursus Singkat/Pelatihan</t>
  </si>
  <si>
    <t>5.2.2.06.02</t>
  </si>
  <si>
    <t>5.2.2.06.03</t>
  </si>
  <si>
    <t>Belanja Cetak Spanduk</t>
  </si>
  <si>
    <t>5.2.2.07.05</t>
  </si>
  <si>
    <t>Belanja Sewa Kamar Hotel/ruang hotel/tempat penginapan</t>
  </si>
  <si>
    <t>5.2.2.27.01</t>
  </si>
  <si>
    <t xml:space="preserve">Belanja Jasa Narasumber/Penceramah </t>
  </si>
  <si>
    <t>Honor Tim Internal</t>
  </si>
  <si>
    <t>5.2.1.03.01</t>
  </si>
  <si>
    <t>Uang Lembur PNS</t>
  </si>
  <si>
    <t>Belanja Jasa Konsultansi Perencanaan</t>
  </si>
  <si>
    <t>5.2.1.01.09</t>
  </si>
  <si>
    <t>Honorarium Tim Lintas SKPD</t>
  </si>
  <si>
    <t>5.2.2.07.03</t>
  </si>
  <si>
    <t>Belanja Sewa Ruang Rapat/Pertemuan</t>
  </si>
  <si>
    <t>5.2.2.08.01</t>
  </si>
  <si>
    <t>Belanja Sewa Sarana Mobilitas Darat</t>
  </si>
  <si>
    <t>5.2.2.03.13</t>
  </si>
  <si>
    <t>5.2.2.03.14</t>
  </si>
  <si>
    <t>Belanja Dekorasi</t>
  </si>
  <si>
    <t>Belaja Dokumentasi</t>
  </si>
  <si>
    <t>5.2.2.03.15</t>
  </si>
  <si>
    <t>Belanja Pemberitaan</t>
  </si>
  <si>
    <t>Penyusunan Kebijakan Akuntansi Pemerintah Daerah</t>
  </si>
  <si>
    <t>5.2.2.11.05</t>
  </si>
  <si>
    <t>Belanja Makanan dan Minuman Pelaksanaan Kegiatan</t>
  </si>
  <si>
    <t>5.2.1.03.15</t>
  </si>
  <si>
    <t>5.2.2.27.03</t>
  </si>
  <si>
    <t>5.2.2.27.05</t>
  </si>
  <si>
    <t>Belanja Jasa Konsultansi IT</t>
  </si>
  <si>
    <t>5.2.2.02.08</t>
  </si>
  <si>
    <t>Belanja Perlengkapan Sosialisasi/Bimtek/Pelatihan/Worksop ( Seminar Kit)</t>
  </si>
  <si>
    <t>5.2.1.01.10</t>
  </si>
  <si>
    <t>Honorarium Tim Lintas Instansi</t>
  </si>
  <si>
    <t>Belanja Honorarium Non PNS</t>
  </si>
  <si>
    <t>5.2.2.29.01</t>
  </si>
  <si>
    <t>Belanja Dokumentasi</t>
  </si>
  <si>
    <t>Belanja cetak</t>
  </si>
  <si>
    <t>5.2.1.03.16</t>
  </si>
  <si>
    <t>Belanja Promosi dan Publikasi</t>
  </si>
  <si>
    <t>4.1.1.01</t>
  </si>
  <si>
    <t>4.1.1.02</t>
  </si>
  <si>
    <t>4.1.1.03</t>
  </si>
  <si>
    <t>4.1.1.04</t>
  </si>
  <si>
    <t>4.1.1.05</t>
  </si>
  <si>
    <t>4.1.1.07</t>
  </si>
  <si>
    <t>4.1.1.08</t>
  </si>
  <si>
    <t>4.1.1.11</t>
  </si>
  <si>
    <t>Pajak Bumi dan Bangunan</t>
  </si>
  <si>
    <t>4.1.1.12</t>
  </si>
  <si>
    <t>4.1.2.02</t>
  </si>
  <si>
    <t>1.20.05.01.4.1.4</t>
  </si>
  <si>
    <t>4.1.4.02</t>
  </si>
  <si>
    <t>Hasil dari Pemanfaatan Kekayaan Daerah</t>
  </si>
  <si>
    <t>Pendataan Pajak Daerah PBB P2 dan BPHTB</t>
  </si>
  <si>
    <t>5.2.2.10.05</t>
  </si>
  <si>
    <t>Belanja Sewa Tenda</t>
  </si>
  <si>
    <t>5.2.2.29.02</t>
  </si>
  <si>
    <t>Uang Saku Non PNS</t>
  </si>
  <si>
    <t>5.2.2.03.16</t>
  </si>
  <si>
    <t>5.2.2.01.09</t>
  </si>
  <si>
    <t>Belanja Hadiah</t>
  </si>
  <si>
    <t>1.20.05.17.73</t>
  </si>
  <si>
    <t>Verifikasi Pelaporan dan Monitoring Kepatuhan Wajib Pajak Non PBB P2 dan BPHTB</t>
  </si>
  <si>
    <t>5.2.2..27.01</t>
  </si>
  <si>
    <t>5.2.2..27.02</t>
  </si>
  <si>
    <t>1.20.05.17.74</t>
  </si>
  <si>
    <t>4.1.4.14</t>
  </si>
  <si>
    <t>Program Peningkatan Disiplin  Aparatur</t>
  </si>
  <si>
    <t>kompensasi PT. Taspen</t>
  </si>
  <si>
    <t xml:space="preserve">Lain-lain PAD yang Syah Lainnya </t>
  </si>
  <si>
    <t xml:space="preserve">Pengadaan Pakaian Dinas Beserta Perlengkapannya </t>
  </si>
  <si>
    <t>5.2.2.12.04</t>
  </si>
  <si>
    <t>Belanja Pakaian Dinas Harian (PDH)</t>
  </si>
  <si>
    <t xml:space="preserve">Pajak Hotel </t>
  </si>
  <si>
    <t xml:space="preserve">Pajak Restoran </t>
  </si>
  <si>
    <t xml:space="preserve">Pajak Hiburan </t>
  </si>
  <si>
    <t xml:space="preserve">Pajak Reklame </t>
  </si>
  <si>
    <t xml:space="preserve">Pajak Penerangan Jalan </t>
  </si>
  <si>
    <t xml:space="preserve">Pajak Parkir </t>
  </si>
  <si>
    <t>belanja modal pengadaan pompa</t>
  </si>
  <si>
    <t>belanja modal pengadaan air conditioner (AC)</t>
  </si>
  <si>
    <t>belanja modal pengadaan peralatan personal komputer</t>
  </si>
  <si>
    <t>belanja modal pengadaan peralatan komputer Mainframe/server</t>
  </si>
  <si>
    <t>5.2.3.29.04</t>
  </si>
  <si>
    <t>5.2.3.29.02</t>
  </si>
  <si>
    <t>belanja modal pengadaan STABILIZER</t>
  </si>
  <si>
    <t>5.2.3.29.11</t>
  </si>
  <si>
    <t>belanja modal pengadaan printer/scanner</t>
  </si>
  <si>
    <t>5.2.3.32.01</t>
  </si>
  <si>
    <t>belanja modal pengadaan alat komunikasi telephone</t>
  </si>
  <si>
    <t>5.2.3.30.03</t>
  </si>
  <si>
    <t>5.2.2.27.04</t>
  </si>
  <si>
    <t>belanja cetak</t>
  </si>
  <si>
    <t>5.2.2.03.03</t>
  </si>
  <si>
    <t>Belanja Listrik</t>
  </si>
  <si>
    <t>5.2.3.28..03</t>
  </si>
  <si>
    <t>Belanja modal pengadaan Alat Pembersih</t>
  </si>
  <si>
    <t>5.2.2..27.04</t>
  </si>
  <si>
    <t>Belanja jasa penunjang Acara/Kegiatan</t>
  </si>
  <si>
    <t>5.2.1..01.02</t>
  </si>
  <si>
    <t>Belanja Sewa kamar Rapat/Pertemuan</t>
  </si>
  <si>
    <t>5.2..2.06.02</t>
  </si>
  <si>
    <t>Belanja Perjalaan Dinas Luar Daerah</t>
  </si>
  <si>
    <t>5.2.2.21.01</t>
  </si>
  <si>
    <t>Belanja Jasa Konsultasi Penelitian</t>
  </si>
  <si>
    <r>
      <t>5</t>
    </r>
    <r>
      <rPr>
        <sz val="10"/>
        <color indexed="8"/>
        <rFont val="Tahoma"/>
        <family val="2"/>
      </rPr>
      <t>5.2.1.03.01</t>
    </r>
  </si>
  <si>
    <t>belanja makan dan minuman rapat</t>
  </si>
  <si>
    <t>belanja makanan dan minuman rapat</t>
  </si>
  <si>
    <t>honorarium yim lintas instansi</t>
  </si>
  <si>
    <t>Belanja makanan dan minuman rapat</t>
  </si>
  <si>
    <t>.</t>
  </si>
  <si>
    <t>Insentif Pemungutan Pajak Daerah Pbb dan Non PBB</t>
  </si>
  <si>
    <t>belanja pengadaan/fotocopy</t>
  </si>
  <si>
    <t>Belanja Alat Listrik dan Elektronik(lampu pijar, battery kering)</t>
  </si>
  <si>
    <t>5.2.3.28..05</t>
  </si>
  <si>
    <t>Belanja modal pengadaan alat dapur</t>
  </si>
  <si>
    <t>5.2.3.83.01</t>
  </si>
  <si>
    <t>Belanja modal pengadaan Buku Ilmu Pengetahuan Umum</t>
  </si>
  <si>
    <t>5.2.3.16.05</t>
  </si>
  <si>
    <t>5.2.3.28.08</t>
  </si>
  <si>
    <t>Belanja Modal Pengadaan Meja Kerja</t>
  </si>
  <si>
    <t>Belanja Modal Pengadaan Kursi Kerja</t>
  </si>
  <si>
    <t>Belanja Honorarium Non PNS/Honorarium pegawai tidak tetap</t>
  </si>
  <si>
    <t>3.01.3.01.03.01</t>
  </si>
  <si>
    <t>3.01.3.01.03.02</t>
  </si>
  <si>
    <t>5.2</t>
  </si>
  <si>
    <t>3.01.3.01.03.01.001</t>
  </si>
  <si>
    <t>3.01.3.01.03.01.002</t>
  </si>
  <si>
    <t>3.01.3.01.03.01.006</t>
  </si>
  <si>
    <t>3.01.3.01.03.01.008</t>
  </si>
  <si>
    <t>3.01.3.01.03.01.010</t>
  </si>
  <si>
    <t>3.01.3.01.03.01.011</t>
  </si>
  <si>
    <t>3.01.3.01.03.01.012</t>
  </si>
  <si>
    <t>3.01.3.01.03.01.014</t>
  </si>
  <si>
    <t>3.01.3.01.03.01.015</t>
  </si>
  <si>
    <t>3.01.3.01.03.01.017</t>
  </si>
  <si>
    <t>3.01.3.01.03.01.018</t>
  </si>
  <si>
    <t>3.01.3.01.03.01.019</t>
  </si>
  <si>
    <t>3.01.3.01.03.03</t>
  </si>
  <si>
    <t>3.01.3.01.03.02.009</t>
  </si>
  <si>
    <t>3.01.3.01.03.02.010</t>
  </si>
  <si>
    <t>3.01.3.01.03.02.011</t>
  </si>
  <si>
    <t>3.01.3.01.03.02.022</t>
  </si>
  <si>
    <t>3.01.3.01.03.02.024</t>
  </si>
  <si>
    <t>3.01.3.01.03.02.026</t>
  </si>
  <si>
    <t>3.01.3.01.03.02.028</t>
  </si>
  <si>
    <t>3.01.3.01.03.03.002</t>
  </si>
  <si>
    <t>3.01.3.01.03.03.005</t>
  </si>
  <si>
    <t>3.01.3.01.03.05</t>
  </si>
  <si>
    <t>3.01.3.01.03.05.003</t>
  </si>
  <si>
    <t>3.01.3.01.03.05.004</t>
  </si>
  <si>
    <t>3.01.3.01.03.06</t>
  </si>
  <si>
    <t>3.01.3.01.03.06.001</t>
  </si>
  <si>
    <t>3.01.3.01.03.06.003</t>
  </si>
  <si>
    <t>Penyusunan Pelaporan Keuangan Akhir Tahun</t>
  </si>
  <si>
    <t>Honir Tim Internal</t>
  </si>
  <si>
    <t>Penyusunan Rencana Strategis SKPD</t>
  </si>
  <si>
    <t>3.01.3.01.03.17</t>
  </si>
  <si>
    <t>3.01.3.01.03.06.004</t>
  </si>
  <si>
    <t>3.01.3.01.03.06.007</t>
  </si>
  <si>
    <t>3.01.3.01.03.06.008</t>
  </si>
  <si>
    <t>3.01.3.01.03.06.009</t>
  </si>
  <si>
    <t>3.01.3.01.03.06.010</t>
  </si>
  <si>
    <t>3.01.3.01.03.17.002</t>
  </si>
  <si>
    <t>3.01.3.01.03.17.003</t>
  </si>
  <si>
    <t>3.01.3.01.03.17.004</t>
  </si>
  <si>
    <t>3.01.3.01.03.17.006</t>
  </si>
  <si>
    <t>3.01.3.01.03.17.007</t>
  </si>
  <si>
    <t>3.01.3.01.03.17.008</t>
  </si>
  <si>
    <t>3.01.3.01.03.17.009</t>
  </si>
  <si>
    <t>3.01.3.01.03.17.010</t>
  </si>
  <si>
    <t>3.01.3.01.03.17.011</t>
  </si>
  <si>
    <t>3.01.3.01.03.17.013</t>
  </si>
  <si>
    <t>3.01.3.01.03.17.014</t>
  </si>
  <si>
    <t>3.01.3.01.03.17.015</t>
  </si>
  <si>
    <t>3.01.3.01.03.17.020</t>
  </si>
  <si>
    <t>3.01.3.01.03.17.016</t>
  </si>
  <si>
    <t>Peningkatan Manajemen Aset/Barang Daerah</t>
  </si>
  <si>
    <t>Belanja Bahan Baku Bangunan</t>
  </si>
  <si>
    <t>3.01.3.01.03.17.029</t>
  </si>
  <si>
    <t>3.01.3.01.03.17.030</t>
  </si>
  <si>
    <t>3.01.3.01.03.17.031</t>
  </si>
  <si>
    <t>3.01.3.01.03.17.032</t>
  </si>
  <si>
    <t>3.01.3.01.03.17.033</t>
  </si>
  <si>
    <t>Pengelolaan dan Pemeliharaan Aset Pemerintah Daerah</t>
  </si>
  <si>
    <t>5.2.1.06.03</t>
  </si>
  <si>
    <t>5.2.1.07.05</t>
  </si>
  <si>
    <t>Belanja Perjalanan Dinas luar Daerah</t>
  </si>
  <si>
    <t>3.01.3.01.03.17.034</t>
  </si>
  <si>
    <t>3.01.3.01.03.17.035</t>
  </si>
  <si>
    <t>3.01.3.01.03.17.037</t>
  </si>
  <si>
    <t>3.01.3.01.03.17.038</t>
  </si>
  <si>
    <t>3.01.3.01.03.17.039</t>
  </si>
  <si>
    <t>3.01.3.01.03.17.040</t>
  </si>
  <si>
    <t>Penggunaan dan Pemanfaatan Aset</t>
  </si>
  <si>
    <t>3.01.3.01.03.17.042</t>
  </si>
  <si>
    <t>Penyusunan Target Penerimaan pajak Daerah</t>
  </si>
  <si>
    <t>3.01.3.01.03.17.043</t>
  </si>
  <si>
    <t>3.01.3.01.03.17.047</t>
  </si>
  <si>
    <t>3.01.3.01.03.17.048</t>
  </si>
  <si>
    <t>3.01.3.01.03.17.049</t>
  </si>
  <si>
    <t>3.01.3.01.03.17.050</t>
  </si>
  <si>
    <t>3.01.3.01.03.17.052</t>
  </si>
  <si>
    <t>3.01.3.01.03.17.053</t>
  </si>
  <si>
    <t>3.01.3.01.03.17.054</t>
  </si>
  <si>
    <t>3.01.3.01.03.17.056</t>
  </si>
  <si>
    <t>3.01.3.01.03.17.058</t>
  </si>
  <si>
    <t>3.01.3.01.03.17.059</t>
  </si>
  <si>
    <t>3.01.3.01.03.17.062</t>
  </si>
  <si>
    <t>3.01.3.01.03.17.063</t>
  </si>
  <si>
    <t>3.01.3.01.03.17.064</t>
  </si>
  <si>
    <t>3.01.3.01.03.17.065</t>
  </si>
  <si>
    <t>3.01.3.01.03.17.066</t>
  </si>
  <si>
    <t>3.01.3.01.03.17.068</t>
  </si>
  <si>
    <t>3.01.3.01.03.17.071</t>
  </si>
  <si>
    <t>3.01.3.01.03.31</t>
  </si>
  <si>
    <t>Program Pembinaan dan Pengelolaan Barang Daerah</t>
  </si>
  <si>
    <t>Penyusunan Data dan Informasi Kebutuhan BMD</t>
  </si>
  <si>
    <t>5.2.1.03.08</t>
  </si>
  <si>
    <t>Belanja Serifikasi</t>
  </si>
  <si>
    <t>5.2.1.06.02</t>
  </si>
  <si>
    <t>5.2.1.15.01</t>
  </si>
  <si>
    <t>5.2.1.15.02</t>
  </si>
  <si>
    <t>5.2.1.127.01</t>
  </si>
  <si>
    <t>Retribusi Pemakaian Kekayaan Daerah</t>
  </si>
  <si>
    <t>BADAN PENGELOLAAN KEUANGAN DAN ASET DAERAH</t>
  </si>
  <si>
    <t>Kepala Badan</t>
  </si>
  <si>
    <t>Pengelolaan Keuangan dan Aset Daerah</t>
  </si>
  <si>
    <t xml:space="preserve">  </t>
  </si>
  <si>
    <t>BULAN JANUARI TAHUN ANGGARAN 2018</t>
  </si>
  <si>
    <t>5.2.3.28..04</t>
  </si>
  <si>
    <t>3.01.3.01.03.01.021</t>
  </si>
  <si>
    <t>Penyediaan operasional UPTD Kec. Cipocok Jaya</t>
  </si>
  <si>
    <t>Belanja pemeliharaan peralatan dan mesin</t>
  </si>
  <si>
    <t>Upah Tenaga Kerja Lepas</t>
  </si>
  <si>
    <t>5.2.2.29.05</t>
  </si>
  <si>
    <t>Belanja modalpengadaan alat pembersih</t>
  </si>
  <si>
    <t>5.2.3.28.03</t>
  </si>
  <si>
    <t>5.2.3.28.05</t>
  </si>
  <si>
    <t>Belanja modal pengadaan alat rumah lainnya(home use)</t>
  </si>
  <si>
    <t>Penyediaan operasional UPTD Kec. Serang</t>
  </si>
  <si>
    <t>3.01.3.01.03.02.007</t>
  </si>
  <si>
    <t>Pengadaan perlengkapan gedung kantor</t>
  </si>
  <si>
    <t>belanja modal pengadaan alat penyimpanan perlengkapan kantor</t>
  </si>
  <si>
    <t>belanja modal pengadaaan mesin absensi</t>
  </si>
  <si>
    <t>5.2.3.27.06</t>
  </si>
  <si>
    <t>belanja modal pengadaan CCTV</t>
  </si>
  <si>
    <t>5.2.3.27.08</t>
  </si>
  <si>
    <t>5.2.3.27.09</t>
  </si>
  <si>
    <t>belanja modal pengadaan interkom (PABX)</t>
  </si>
  <si>
    <t>5.2.3.27.11</t>
  </si>
  <si>
    <t>belanja modal pengadaan mesin penghancur kertas</t>
  </si>
  <si>
    <t>belanja modal pengadaan personal komputer</t>
  </si>
  <si>
    <t>5.2.3.29.05</t>
  </si>
  <si>
    <t>belanja modal pengadaan peralatan jaringan</t>
  </si>
  <si>
    <t>belanja modal pengadaan UPS/STABILIZER</t>
  </si>
  <si>
    <t>belanja modal pengadaan printer/scaner</t>
  </si>
  <si>
    <t>5.2.3.31.08</t>
  </si>
  <si>
    <t>belanja modal pengadaan kamera</t>
  </si>
  <si>
    <t>5.2.3.31.09</t>
  </si>
  <si>
    <t>belanja modal pengadaan televisi</t>
  </si>
  <si>
    <t>5.2.3.28.01</t>
  </si>
  <si>
    <t>Belanja Modal Pengadaan meubelair</t>
  </si>
  <si>
    <t>Pengadaan meubelair</t>
  </si>
  <si>
    <t>Belanja bahan bakar minyak/gas dan pelumas</t>
  </si>
  <si>
    <t>5.2.2.25.02</t>
  </si>
  <si>
    <t>3.01.3.01.03.02.042</t>
  </si>
  <si>
    <t>Rehabilitasi sedang/berat gedung kantor</t>
  </si>
  <si>
    <t>Belanja Pemeliharaan gedung dan bangunan</t>
  </si>
  <si>
    <t>Belanja Perjalanan Dinas dalam Daerah</t>
  </si>
  <si>
    <t xml:space="preserve">Belanja Perjalanan Dinas luar Daerah </t>
  </si>
  <si>
    <t>5.2.1.01.12</t>
  </si>
  <si>
    <t>pejabat pengelola keuangan daerah</t>
  </si>
  <si>
    <t xml:space="preserve">Belanja Cetak </t>
  </si>
  <si>
    <t>Belanja perjalanan dinas luar daerah</t>
  </si>
  <si>
    <t>Belanja Jasa konsultasi perencanaan</t>
  </si>
  <si>
    <t>Honorariumtim pengadaan barang dan jasa</t>
  </si>
  <si>
    <t>5.2.1.06.01</t>
  </si>
  <si>
    <t>5.2.2.11.03</t>
  </si>
  <si>
    <t xml:space="preserve">Belanja Jasa penunjang acara/kegiatan </t>
  </si>
  <si>
    <t>3.01.3.01.03.06.012</t>
  </si>
  <si>
    <t>Pengelolaan Barabg Milik Daerah</t>
  </si>
  <si>
    <t>5.2.1.01.13</t>
  </si>
  <si>
    <t>Belanja Pengadaan/Fotocopy</t>
  </si>
  <si>
    <t>belanja perjalanan dinas dalam daerah</t>
  </si>
  <si>
    <t xml:space="preserve">Belanja Jasa konsultasi IT </t>
  </si>
  <si>
    <t>belanja sewa kamar/ruang hotel/tempat penginapan</t>
  </si>
  <si>
    <t>Belanja perjalanan dalam daerah</t>
  </si>
  <si>
    <t>5.2.1.0.01</t>
  </si>
  <si>
    <t>belanja perjalanan dinas luar daerah</t>
  </si>
  <si>
    <t>Belanja tenaga kerja ahli</t>
  </si>
  <si>
    <t>Belanja Jasa penunjang acara/kegiatan</t>
  </si>
  <si>
    <t>Belanja Makanan dan Minuman rapat</t>
  </si>
  <si>
    <t>honor tim internal</t>
  </si>
  <si>
    <t>Belanja Jasa penunjang acara/kegitan</t>
  </si>
  <si>
    <t>Belanja Jasa penunjang acara kegiatan</t>
  </si>
  <si>
    <t>Belanja cetak spanduk</t>
  </si>
  <si>
    <t>Belanja sewa rapat/pertemuan</t>
  </si>
  <si>
    <t>Belanja jasa penunjang acara/kegiatan</t>
  </si>
  <si>
    <t>honorarium tim pengadaan barang dn jasai</t>
  </si>
  <si>
    <t>Belanja perjalanan luar daerah</t>
  </si>
  <si>
    <t>Belanja tenaga kerja lepas</t>
  </si>
  <si>
    <t>5.2.1.02.08</t>
  </si>
  <si>
    <t>honorium tim pengadaan barng dan jasa</t>
  </si>
  <si>
    <t>Belanja makanan dan minuman</t>
  </si>
  <si>
    <t xml:space="preserve">Belanja perjalanan dinas dalam daerah </t>
  </si>
  <si>
    <t>honorarium tin lintas SKPD</t>
  </si>
  <si>
    <t>Belanja Jasa penunjang acara /kegiatan</t>
  </si>
  <si>
    <t>5.2.2.11.04</t>
  </si>
  <si>
    <t>5.2.1.07.06</t>
  </si>
  <si>
    <t>Belaja perjalanan dinas luar daerah</t>
  </si>
  <si>
    <t>5.2.1.127.04</t>
  </si>
  <si>
    <t>5.2.1.27.02</t>
  </si>
  <si>
    <t>5.2.1.27.01</t>
  </si>
  <si>
    <t>BULAN FEBUARI TAHUN ANGGARAN 2018</t>
  </si>
  <si>
    <t>3.01.3.01.03.17.070</t>
  </si>
  <si>
    <t>Bulan Panutan dan Evaluasi Pajak Bumi dan Bangunan</t>
  </si>
  <si>
    <t>5.2.2.01.02</t>
  </si>
  <si>
    <t>Belanja Jasa Penunjang Acara/Kegiatan</t>
  </si>
  <si>
    <t>BULAN MARET TAHUN ANGGARAN 2018</t>
  </si>
  <si>
    <t>BULAN APRIL TAHUN ANGGARAN 2018</t>
  </si>
  <si>
    <t>Denda Keterlambatan</t>
  </si>
  <si>
    <t>Denda Retribusi Panggung Reklame</t>
  </si>
  <si>
    <t>Pengelolaan Barang Milik Daerah</t>
  </si>
  <si>
    <t>BULAN MEI TAHUN ANGGARAN 2018</t>
  </si>
  <si>
    <t>1.20.05.01.5.1.1.01.26</t>
  </si>
  <si>
    <t>1.20.05.01.5.1.1.01.27</t>
  </si>
  <si>
    <t>Tunjangan Hari Raya</t>
  </si>
  <si>
    <t>Gaji Ketiga Belas</t>
  </si>
  <si>
    <t>1.20.05.01.5.1.1.02.07</t>
  </si>
  <si>
    <t>Tunjangan PPh 21</t>
  </si>
  <si>
    <t>BULAN JUNI TAHUN ANGGARAN 2018</t>
  </si>
  <si>
    <t xml:space="preserve">   </t>
  </si>
  <si>
    <t>BULAN JULI TAHUN ANGGARAN 2018</t>
  </si>
  <si>
    <t>BULAN AGUSTUS TAHUN ANGGARAN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</si>
</sst>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_);_(@_)"/>
    <numFmt numFmtId="165" formatCode="_(* #,##0.00_);_(* \(#,##0.00\);_(* &quot;-&quot;??_);_(@_)"/>
    <numFmt numFmtId="166" formatCode="0.00_);[Red]\(0.00\)"/>
    <numFmt numFmtId="167" formatCode="0.00_);\(0.00\)"/>
    <numFmt numFmtId="168" formatCode="_(* #,##0_);_(* \(#,##0\);_(* &quot;-&quot;??_);_(@_)"/>
  </numFmts>
  <fonts count="43" x14ac:knownFonts="1">
    <font>
      <sz val="11"/>
      <color theme="1"/>
      <name val="Calibri"/>
      <family val="2"/>
      <scheme val="minor"/>
    </font>
    <font>
      <b/>
      <sz val="10"/>
      <color indexed="8"/>
      <name val="Tahoma"/>
      <family val="2"/>
    </font>
    <font>
      <sz val="10"/>
      <color indexed="8"/>
      <name val="Arial"/>
      <family val="2"/>
    </font>
    <font>
      <sz val="11"/>
      <color indexed="8"/>
      <name val="Calibri"/>
      <family val="2"/>
      <charset val="1"/>
    </font>
    <font>
      <sz val="10"/>
      <color indexed="8"/>
      <name val="Arial"/>
      <family val="2"/>
    </font>
    <font>
      <sz val="8"/>
      <color indexed="8"/>
      <name val="Tahoma"/>
      <family val="2"/>
    </font>
    <font>
      <sz val="10"/>
      <color indexed="8"/>
      <name val="Tahoma"/>
      <family val="2"/>
    </font>
    <font>
      <b/>
      <sz val="8"/>
      <color indexed="8"/>
      <name val="Tahoma"/>
      <family val="2"/>
    </font>
    <font>
      <i/>
      <sz val="8"/>
      <color indexed="8"/>
      <name val="Tahoma"/>
      <family val="2"/>
    </font>
    <font>
      <b/>
      <u/>
      <sz val="8"/>
      <color indexed="8"/>
      <name val="Tahoma"/>
      <family val="2"/>
    </font>
    <font>
      <u/>
      <sz val="8"/>
      <color indexed="8"/>
      <name val="Tahoma"/>
      <family val="2"/>
    </font>
    <font>
      <sz val="8"/>
      <name val="Tahoma"/>
      <family val="2"/>
    </font>
    <font>
      <sz val="10"/>
      <name val="Arial"/>
      <family val="2"/>
    </font>
    <font>
      <b/>
      <sz val="12"/>
      <color indexed="8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b/>
      <sz val="8"/>
      <name val="Tahoma"/>
      <family val="2"/>
    </font>
    <font>
      <i/>
      <sz val="8"/>
      <name val="Tahom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8"/>
      <color theme="0"/>
      <name val="Tahoma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Tahoma"/>
      <family val="2"/>
    </font>
    <font>
      <b/>
      <sz val="12"/>
      <color theme="1"/>
      <name val="Tahoma"/>
      <family val="2"/>
    </font>
    <font>
      <b/>
      <u/>
      <sz val="11"/>
      <color theme="1"/>
      <name val="Tahoma"/>
      <family val="2"/>
    </font>
    <font>
      <b/>
      <sz val="11"/>
      <color theme="1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1" fillId="26" borderId="0" applyNumberFormat="0" applyBorder="0" applyAlignment="0" applyProtection="0"/>
    <xf numFmtId="0" fontId="22" fillId="27" borderId="23" applyNumberFormat="0" applyAlignment="0" applyProtection="0"/>
    <xf numFmtId="0" fontId="23" fillId="28" borderId="24" applyNumberFormat="0" applyAlignment="0" applyProtection="0"/>
    <xf numFmtId="164" fontId="1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9" borderId="0" applyNumberFormat="0" applyBorder="0" applyAlignment="0" applyProtection="0"/>
    <xf numFmtId="0" fontId="26" fillId="0" borderId="25" applyNumberFormat="0" applyFill="0" applyAlignment="0" applyProtection="0"/>
    <xf numFmtId="0" fontId="27" fillId="0" borderId="26" applyNumberFormat="0" applyFill="0" applyAlignment="0" applyProtection="0"/>
    <xf numFmtId="0" fontId="28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9" fillId="30" borderId="23" applyNumberFormat="0" applyAlignment="0" applyProtection="0"/>
    <xf numFmtId="0" fontId="30" fillId="0" borderId="28" applyNumberFormat="0" applyFill="0" applyAlignment="0" applyProtection="0"/>
    <xf numFmtId="0" fontId="31" fillId="31" borderId="0" applyNumberFormat="0" applyBorder="0" applyAlignment="0" applyProtection="0"/>
    <xf numFmtId="0" fontId="18" fillId="0" borderId="0"/>
    <xf numFmtId="0" fontId="2" fillId="0" borderId="0">
      <alignment vertical="top"/>
    </xf>
    <xf numFmtId="0" fontId="19" fillId="0" borderId="0"/>
    <xf numFmtId="0" fontId="4" fillId="0" borderId="0">
      <alignment vertical="top"/>
    </xf>
    <xf numFmtId="0" fontId="18" fillId="0" borderId="0"/>
    <xf numFmtId="0" fontId="19" fillId="32" borderId="29" applyNumberFormat="0" applyFont="0" applyAlignment="0" applyProtection="0"/>
    <xf numFmtId="0" fontId="32" fillId="27" borderId="30" applyNumberFormat="0" applyAlignment="0" applyProtection="0"/>
    <xf numFmtId="9" fontId="18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31" applyNumberFormat="0" applyFill="0" applyAlignment="0" applyProtection="0"/>
    <xf numFmtId="0" fontId="35" fillId="0" borderId="0" applyNumberFormat="0" applyFill="0" applyBorder="0" applyAlignment="0" applyProtection="0"/>
    <xf numFmtId="0" fontId="2" fillId="0" borderId="0">
      <alignment vertical="top"/>
    </xf>
    <xf numFmtId="165" fontId="18" fillId="0" borderId="0" applyFont="0" applyFill="0" applyBorder="0" applyAlignment="0" applyProtection="0"/>
  </cellStyleXfs>
  <cellXfs count="662">
    <xf numFmtId="0" fontId="0" fillId="0" borderId="0" xfId="0"/>
    <xf numFmtId="0" fontId="5" fillId="0" borderId="0" xfId="49" applyFont="1" applyFill="1" applyAlignment="1">
      <alignment horizontal="left" vertical="top" wrapText="1" readingOrder="1"/>
    </xf>
    <xf numFmtId="0" fontId="5" fillId="0" borderId="0" xfId="49" applyFont="1" applyFill="1">
      <alignment vertical="top"/>
    </xf>
    <xf numFmtId="0" fontId="7" fillId="0" borderId="0" xfId="49" applyFont="1" applyFill="1">
      <alignment vertical="top"/>
    </xf>
    <xf numFmtId="0" fontId="8" fillId="0" borderId="0" xfId="49" applyFont="1" applyFill="1">
      <alignment vertical="top"/>
    </xf>
    <xf numFmtId="0" fontId="5" fillId="0" borderId="1" xfId="49" applyFont="1" applyFill="1" applyBorder="1">
      <alignment vertical="top"/>
    </xf>
    <xf numFmtId="0" fontId="5" fillId="0" borderId="2" xfId="49" applyFont="1" applyFill="1" applyBorder="1">
      <alignment vertical="top"/>
    </xf>
    <xf numFmtId="0" fontId="5" fillId="0" borderId="3" xfId="49" applyFont="1" applyFill="1" applyBorder="1">
      <alignment vertical="top"/>
    </xf>
    <xf numFmtId="0" fontId="5" fillId="0" borderId="4" xfId="49" applyFont="1" applyFill="1" applyBorder="1">
      <alignment vertical="top"/>
    </xf>
    <xf numFmtId="0" fontId="5" fillId="0" borderId="5" xfId="49" applyFont="1" applyFill="1" applyBorder="1">
      <alignment vertical="top"/>
    </xf>
    <xf numFmtId="0" fontId="5" fillId="0" borderId="6" xfId="49" applyFont="1" applyFill="1" applyBorder="1">
      <alignment vertical="top"/>
    </xf>
    <xf numFmtId="0" fontId="9" fillId="0" borderId="0" xfId="49" applyFont="1" applyFill="1">
      <alignment vertical="top"/>
    </xf>
    <xf numFmtId="0" fontId="5" fillId="0" borderId="0" xfId="49" applyFont="1" applyAlignment="1">
      <alignment vertical="top"/>
    </xf>
    <xf numFmtId="0" fontId="11" fillId="0" borderId="0" xfId="49" applyFont="1" applyFill="1">
      <alignment vertical="top"/>
    </xf>
    <xf numFmtId="0" fontId="36" fillId="0" borderId="0" xfId="49" applyFont="1" applyFill="1">
      <alignment vertical="top"/>
    </xf>
    <xf numFmtId="0" fontId="1" fillId="0" borderId="0" xfId="49" applyFont="1" applyFill="1" applyAlignment="1">
      <alignment readingOrder="1"/>
    </xf>
    <xf numFmtId="0" fontId="7" fillId="0" borderId="2" xfId="49" applyFont="1" applyFill="1" applyBorder="1">
      <alignment vertical="top"/>
    </xf>
    <xf numFmtId="4" fontId="7" fillId="0" borderId="2" xfId="49" applyNumberFormat="1" applyFont="1" applyFill="1" applyBorder="1" applyAlignment="1">
      <alignment horizontal="right" vertical="top"/>
    </xf>
    <xf numFmtId="2" fontId="7" fillId="0" borderId="2" xfId="49" applyNumberFormat="1" applyFont="1" applyFill="1" applyBorder="1">
      <alignment vertical="top"/>
    </xf>
    <xf numFmtId="0" fontId="7" fillId="0" borderId="0" xfId="49" applyFont="1" applyFill="1" applyBorder="1">
      <alignment vertical="top"/>
    </xf>
    <xf numFmtId="0" fontId="0" fillId="0" borderId="0" xfId="0" applyBorder="1"/>
    <xf numFmtId="0" fontId="1" fillId="0" borderId="5" xfId="49" applyFont="1" applyFill="1" applyBorder="1">
      <alignment vertical="top"/>
    </xf>
    <xf numFmtId="0" fontId="1" fillId="0" borderId="7" xfId="49" applyFont="1" applyFill="1" applyBorder="1">
      <alignment vertical="top"/>
    </xf>
    <xf numFmtId="4" fontId="1" fillId="0" borderId="5" xfId="49" applyNumberFormat="1" applyFont="1" applyFill="1" applyBorder="1" applyAlignment="1">
      <alignment horizontal="right" vertical="top"/>
    </xf>
    <xf numFmtId="2" fontId="1" fillId="0" borderId="5" xfId="49" applyNumberFormat="1" applyFont="1" applyFill="1" applyBorder="1">
      <alignment vertical="top"/>
    </xf>
    <xf numFmtId="166" fontId="1" fillId="0" borderId="5" xfId="49" applyNumberFormat="1" applyFont="1" applyFill="1" applyBorder="1">
      <alignment vertical="top"/>
    </xf>
    <xf numFmtId="0" fontId="6" fillId="0" borderId="5" xfId="49" applyFont="1" applyFill="1" applyBorder="1">
      <alignment vertical="top"/>
    </xf>
    <xf numFmtId="0" fontId="6" fillId="0" borderId="7" xfId="49" applyFont="1" applyFill="1" applyBorder="1">
      <alignment vertical="top"/>
    </xf>
    <xf numFmtId="4" fontId="6" fillId="0" borderId="5" xfId="49" applyNumberFormat="1" applyFont="1" applyFill="1" applyBorder="1" applyAlignment="1">
      <alignment horizontal="right" vertical="top"/>
    </xf>
    <xf numFmtId="2" fontId="6" fillId="0" borderId="5" xfId="49" applyNumberFormat="1" applyFont="1" applyFill="1" applyBorder="1">
      <alignment vertical="top"/>
    </xf>
    <xf numFmtId="166" fontId="6" fillId="0" borderId="5" xfId="49" applyNumberFormat="1" applyFont="1" applyFill="1" applyBorder="1">
      <alignment vertical="top"/>
    </xf>
    <xf numFmtId="0" fontId="6" fillId="0" borderId="0" xfId="49" applyFont="1" applyFill="1" applyBorder="1">
      <alignment vertical="top"/>
    </xf>
    <xf numFmtId="0" fontId="6" fillId="0" borderId="8" xfId="49" applyFont="1" applyFill="1" applyBorder="1">
      <alignment vertical="top"/>
    </xf>
    <xf numFmtId="4" fontId="6" fillId="0" borderId="5" xfId="49" applyNumberFormat="1" applyFont="1" applyFill="1" applyBorder="1">
      <alignment vertical="top"/>
    </xf>
    <xf numFmtId="4" fontId="6" fillId="0" borderId="0" xfId="49" applyNumberFormat="1" applyFont="1" applyAlignment="1">
      <alignment vertical="top"/>
    </xf>
    <xf numFmtId="4" fontId="6" fillId="0" borderId="5" xfId="49" applyNumberFormat="1" applyFont="1" applyBorder="1" applyAlignment="1">
      <alignment vertical="top"/>
    </xf>
    <xf numFmtId="0" fontId="7" fillId="33" borderId="0" xfId="49" applyFont="1" applyFill="1">
      <alignment vertical="top"/>
    </xf>
    <xf numFmtId="0" fontId="1" fillId="33" borderId="9" xfId="49" applyFont="1" applyFill="1" applyBorder="1">
      <alignment vertical="top"/>
    </xf>
    <xf numFmtId="0" fontId="1" fillId="33" borderId="10" xfId="49" applyFont="1" applyFill="1" applyBorder="1">
      <alignment vertical="top"/>
    </xf>
    <xf numFmtId="4" fontId="1" fillId="33" borderId="9" xfId="49" applyNumberFormat="1" applyFont="1" applyFill="1" applyBorder="1" applyAlignment="1">
      <alignment horizontal="right" vertical="top"/>
    </xf>
    <xf numFmtId="2" fontId="1" fillId="33" borderId="9" xfId="49" applyNumberFormat="1" applyFont="1" applyFill="1" applyBorder="1">
      <alignment vertical="top"/>
    </xf>
    <xf numFmtId="0" fontId="37" fillId="0" borderId="0" xfId="0" applyFont="1"/>
    <xf numFmtId="4" fontId="7" fillId="0" borderId="0" xfId="49" applyNumberFormat="1" applyFont="1" applyFill="1" applyBorder="1" applyAlignment="1">
      <alignment horizontal="right" vertical="top"/>
    </xf>
    <xf numFmtId="2" fontId="7" fillId="0" borderId="0" xfId="49" applyNumberFormat="1" applyFont="1" applyFill="1" applyBorder="1">
      <alignment vertical="top"/>
    </xf>
    <xf numFmtId="0" fontId="7" fillId="0" borderId="0" xfId="49" applyFont="1" applyFill="1" applyBorder="1" applyAlignment="1">
      <alignment horizontal="left" vertical="top" wrapText="1"/>
    </xf>
    <xf numFmtId="0" fontId="7" fillId="0" borderId="0" xfId="49" applyFont="1" applyFill="1" applyBorder="1" applyAlignment="1">
      <alignment horizontal="left" vertical="top" wrapText="1" readingOrder="1"/>
    </xf>
    <xf numFmtId="0" fontId="0" fillId="33" borderId="0" xfId="0" applyFill="1"/>
    <xf numFmtId="0" fontId="1" fillId="33" borderId="11" xfId="49" applyFont="1" applyFill="1" applyBorder="1">
      <alignment vertical="top"/>
    </xf>
    <xf numFmtId="0" fontId="1" fillId="33" borderId="12" xfId="49" applyFont="1" applyFill="1" applyBorder="1">
      <alignment vertical="top"/>
    </xf>
    <xf numFmtId="0" fontId="1" fillId="33" borderId="5" xfId="49" applyFont="1" applyFill="1" applyBorder="1">
      <alignment vertical="top"/>
    </xf>
    <xf numFmtId="0" fontId="1" fillId="33" borderId="7" xfId="49" applyFont="1" applyFill="1" applyBorder="1">
      <alignment vertical="top"/>
    </xf>
    <xf numFmtId="0" fontId="1" fillId="33" borderId="13" xfId="49" applyFont="1" applyFill="1" applyBorder="1">
      <alignment vertical="top"/>
    </xf>
    <xf numFmtId="0" fontId="1" fillId="33" borderId="14" xfId="49" applyFont="1" applyFill="1" applyBorder="1">
      <alignment vertical="top"/>
    </xf>
    <xf numFmtId="4" fontId="1" fillId="33" borderId="13" xfId="49" applyNumberFormat="1" applyFont="1" applyFill="1" applyBorder="1">
      <alignment vertical="top"/>
    </xf>
    <xf numFmtId="4" fontId="1" fillId="33" borderId="14" xfId="49" applyNumberFormat="1" applyFont="1" applyFill="1" applyBorder="1">
      <alignment vertical="top"/>
    </xf>
    <xf numFmtId="4" fontId="1" fillId="33" borderId="13" xfId="49" applyNumberFormat="1" applyFont="1" applyFill="1" applyBorder="1" applyAlignment="1">
      <alignment horizontal="right" vertical="top"/>
    </xf>
    <xf numFmtId="2" fontId="1" fillId="33" borderId="5" xfId="49" applyNumberFormat="1" applyFont="1" applyFill="1" applyBorder="1">
      <alignment vertical="top"/>
    </xf>
    <xf numFmtId="2" fontId="1" fillId="33" borderId="13" xfId="49" applyNumberFormat="1" applyFont="1" applyFill="1" applyBorder="1">
      <alignment vertical="top"/>
    </xf>
    <xf numFmtId="4" fontId="1" fillId="33" borderId="5" xfId="49" applyNumberFormat="1" applyFont="1" applyFill="1" applyBorder="1" applyAlignment="1">
      <alignment horizontal="right" vertical="top"/>
    </xf>
    <xf numFmtId="4" fontId="6" fillId="0" borderId="0" xfId="49" applyNumberFormat="1" applyFont="1" applyFill="1" applyBorder="1" applyAlignment="1">
      <alignment horizontal="left" vertical="top" wrapText="1"/>
    </xf>
    <xf numFmtId="4" fontId="6" fillId="0" borderId="8" xfId="49" applyNumberFormat="1" applyFont="1" applyFill="1" applyBorder="1" applyAlignment="1">
      <alignment horizontal="left" vertical="top" wrapText="1"/>
    </xf>
    <xf numFmtId="4" fontId="6" fillId="0" borderId="7" xfId="49" applyNumberFormat="1" applyFont="1" applyFill="1" applyBorder="1">
      <alignment vertical="top"/>
    </xf>
    <xf numFmtId="4" fontId="1" fillId="33" borderId="0" xfId="49" applyNumberFormat="1" applyFont="1" applyFill="1" applyBorder="1" applyAlignment="1">
      <alignment horizontal="left" vertical="top" wrapText="1"/>
    </xf>
    <xf numFmtId="4" fontId="1" fillId="33" borderId="8" xfId="49" applyNumberFormat="1" applyFont="1" applyFill="1" applyBorder="1" applyAlignment="1">
      <alignment horizontal="left" vertical="top" wrapText="1"/>
    </xf>
    <xf numFmtId="4" fontId="1" fillId="33" borderId="14" xfId="49" applyNumberFormat="1" applyFont="1" applyFill="1" applyBorder="1" applyAlignment="1">
      <alignment horizontal="left" vertical="top" wrapText="1"/>
    </xf>
    <xf numFmtId="4" fontId="1" fillId="34" borderId="13" xfId="49" applyNumberFormat="1" applyFont="1" applyFill="1" applyBorder="1">
      <alignment vertical="top"/>
    </xf>
    <xf numFmtId="4" fontId="1" fillId="34" borderId="13" xfId="49" applyNumberFormat="1" applyFont="1" applyFill="1" applyBorder="1" applyAlignment="1">
      <alignment horizontal="left" vertical="top" wrapText="1"/>
    </xf>
    <xf numFmtId="4" fontId="1" fillId="34" borderId="13" xfId="49" applyNumberFormat="1" applyFont="1" applyFill="1" applyBorder="1" applyAlignment="1">
      <alignment horizontal="right" vertical="top"/>
    </xf>
    <xf numFmtId="2" fontId="1" fillId="34" borderId="13" xfId="49" applyNumberFormat="1" applyFont="1" applyFill="1" applyBorder="1">
      <alignment vertical="top"/>
    </xf>
    <xf numFmtId="4" fontId="1" fillId="34" borderId="15" xfId="49" applyNumberFormat="1" applyFont="1" applyFill="1" applyBorder="1" applyAlignment="1">
      <alignment horizontal="left" vertical="top" wrapText="1"/>
    </xf>
    <xf numFmtId="4" fontId="1" fillId="34" borderId="16" xfId="49" applyNumberFormat="1" applyFont="1" applyFill="1" applyBorder="1" applyAlignment="1">
      <alignment horizontal="left" vertical="top" wrapText="1"/>
    </xf>
    <xf numFmtId="4" fontId="1" fillId="34" borderId="14" xfId="49" applyNumberFormat="1" applyFont="1" applyFill="1" applyBorder="1">
      <alignment vertical="top"/>
    </xf>
    <xf numFmtId="0" fontId="1" fillId="0" borderId="0" xfId="49" applyFont="1" applyFill="1" applyBorder="1">
      <alignment vertical="top"/>
    </xf>
    <xf numFmtId="4" fontId="1" fillId="0" borderId="0" xfId="49" applyNumberFormat="1" applyFont="1" applyAlignment="1">
      <alignment vertical="top"/>
    </xf>
    <xf numFmtId="4" fontId="6" fillId="0" borderId="0" xfId="49" applyNumberFormat="1" applyFont="1" applyBorder="1" applyAlignment="1">
      <alignment vertical="top"/>
    </xf>
    <xf numFmtId="4" fontId="1" fillId="0" borderId="0" xfId="49" applyNumberFormat="1" applyFont="1" applyBorder="1" applyAlignment="1">
      <alignment vertical="top"/>
    </xf>
    <xf numFmtId="4" fontId="1" fillId="0" borderId="5" xfId="49" applyNumberFormat="1" applyFont="1" applyBorder="1" applyAlignment="1">
      <alignment vertical="top"/>
    </xf>
    <xf numFmtId="0" fontId="0" fillId="0" borderId="17" xfId="0" applyBorder="1"/>
    <xf numFmtId="0" fontId="0" fillId="0" borderId="18" xfId="0" applyBorder="1"/>
    <xf numFmtId="0" fontId="0" fillId="0" borderId="6" xfId="0" applyBorder="1"/>
    <xf numFmtId="0" fontId="0" fillId="0" borderId="17" xfId="0" applyBorder="1" applyAlignment="1">
      <alignment vertical="top"/>
    </xf>
    <xf numFmtId="4" fontId="1" fillId="33" borderId="13" xfId="49" applyNumberFormat="1" applyFont="1" applyFill="1" applyBorder="1" applyAlignment="1">
      <alignment vertical="top"/>
    </xf>
    <xf numFmtId="4" fontId="1" fillId="33" borderId="1" xfId="49" applyNumberFormat="1" applyFont="1" applyFill="1" applyBorder="1" applyAlignment="1">
      <alignment horizontal="center" vertical="top"/>
    </xf>
    <xf numFmtId="3" fontId="6" fillId="0" borderId="5" xfId="49" applyNumberFormat="1" applyFont="1" applyFill="1" applyBorder="1">
      <alignment vertical="top"/>
    </xf>
    <xf numFmtId="4" fontId="1" fillId="34" borderId="13" xfId="49" applyNumberFormat="1" applyFont="1" applyFill="1" applyBorder="1" applyAlignment="1">
      <alignment horizontal="center" vertical="top"/>
    </xf>
    <xf numFmtId="4" fontId="1" fillId="0" borderId="5" xfId="49" applyNumberFormat="1" applyFont="1" applyFill="1" applyBorder="1" applyAlignment="1">
      <alignment vertical="top"/>
    </xf>
    <xf numFmtId="0" fontId="37" fillId="0" borderId="0" xfId="0" applyFont="1" applyFill="1"/>
    <xf numFmtId="166" fontId="14" fillId="0" borderId="5" xfId="49" applyNumberFormat="1" applyFont="1" applyFill="1" applyBorder="1">
      <alignment vertical="top"/>
    </xf>
    <xf numFmtId="0" fontId="5" fillId="33" borderId="0" xfId="49" applyFont="1" applyFill="1">
      <alignment vertical="top"/>
    </xf>
    <xf numFmtId="0" fontId="0" fillId="0" borderId="0" xfId="0" applyFill="1"/>
    <xf numFmtId="166" fontId="15" fillId="0" borderId="5" xfId="49" applyNumberFormat="1" applyFont="1" applyFill="1" applyBorder="1">
      <alignment vertical="top"/>
    </xf>
    <xf numFmtId="4" fontId="6" fillId="0" borderId="1" xfId="49" applyNumberFormat="1" applyFont="1" applyFill="1" applyBorder="1" applyAlignment="1">
      <alignment horizontal="right" vertical="top"/>
    </xf>
    <xf numFmtId="4" fontId="1" fillId="33" borderId="1" xfId="49" applyNumberFormat="1" applyFont="1" applyFill="1" applyBorder="1" applyAlignment="1">
      <alignment horizontal="right" vertical="top"/>
    </xf>
    <xf numFmtId="0" fontId="0" fillId="0" borderId="0" xfId="0" applyFont="1"/>
    <xf numFmtId="167" fontId="6" fillId="0" borderId="5" xfId="49" applyNumberFormat="1" applyFont="1" applyFill="1" applyBorder="1">
      <alignment vertical="top"/>
    </xf>
    <xf numFmtId="0" fontId="7" fillId="0" borderId="1" xfId="49" applyFont="1" applyFill="1" applyBorder="1" applyAlignment="1">
      <alignment horizontal="center" vertical="center" wrapText="1" readingOrder="1"/>
    </xf>
    <xf numFmtId="0" fontId="8" fillId="0" borderId="13" xfId="49" applyFont="1" applyFill="1" applyBorder="1" applyAlignment="1">
      <alignment horizontal="center" vertical="center" wrapText="1" readingOrder="1"/>
    </xf>
    <xf numFmtId="0" fontId="6" fillId="0" borderId="0" xfId="49" applyFont="1" applyFill="1" applyBorder="1" applyAlignment="1">
      <alignment horizontal="left" vertical="top" wrapText="1"/>
    </xf>
    <xf numFmtId="0" fontId="6" fillId="0" borderId="8" xfId="49" applyFont="1" applyFill="1" applyBorder="1" applyAlignment="1">
      <alignment horizontal="left" vertical="top" wrapText="1"/>
    </xf>
    <xf numFmtId="0" fontId="1" fillId="0" borderId="0" xfId="49" applyFont="1" applyFill="1" applyBorder="1" applyAlignment="1">
      <alignment horizontal="left" vertical="top" wrapText="1"/>
    </xf>
    <xf numFmtId="0" fontId="1" fillId="0" borderId="8" xfId="49" applyFont="1" applyFill="1" applyBorder="1" applyAlignment="1">
      <alignment horizontal="left" vertical="top" wrapText="1"/>
    </xf>
    <xf numFmtId="0" fontId="1" fillId="0" borderId="0" xfId="49" applyFont="1" applyFill="1" applyBorder="1" applyAlignment="1">
      <alignment horizontal="left" vertical="top" wrapText="1" readingOrder="1"/>
    </xf>
    <xf numFmtId="0" fontId="1" fillId="0" borderId="8" xfId="49" applyFont="1" applyFill="1" applyBorder="1" applyAlignment="1">
      <alignment horizontal="left" vertical="top" wrapText="1" readingOrder="1"/>
    </xf>
    <xf numFmtId="0" fontId="7" fillId="0" borderId="2" xfId="49" applyFont="1" applyFill="1" applyBorder="1" applyAlignment="1">
      <alignment horizontal="left" vertical="top" wrapText="1"/>
    </xf>
    <xf numFmtId="0" fontId="6" fillId="0" borderId="19" xfId="49" applyFont="1" applyFill="1" applyBorder="1" applyAlignment="1">
      <alignment horizontal="left" vertical="top" wrapText="1"/>
    </xf>
    <xf numFmtId="0" fontId="6" fillId="0" borderId="20" xfId="49" applyFont="1" applyFill="1" applyBorder="1" applyAlignment="1">
      <alignment horizontal="left" vertical="top" wrapText="1"/>
    </xf>
    <xf numFmtId="0" fontId="11" fillId="0" borderId="0" xfId="49" applyFont="1" applyFill="1" applyAlignment="1">
      <alignment horizontal="left" vertical="top" wrapText="1" readingOrder="1"/>
    </xf>
    <xf numFmtId="0" fontId="17" fillId="0" borderId="13" xfId="49" applyFont="1" applyFill="1" applyBorder="1" applyAlignment="1">
      <alignment horizontal="center" vertical="center" wrapText="1" readingOrder="1"/>
    </xf>
    <xf numFmtId="0" fontId="11" fillId="0" borderId="1" xfId="49" applyFont="1" applyFill="1" applyBorder="1">
      <alignment vertical="top"/>
    </xf>
    <xf numFmtId="166" fontId="15" fillId="33" borderId="9" xfId="49" applyNumberFormat="1" applyFont="1" applyFill="1" applyBorder="1" applyAlignment="1">
      <alignment horizontal="right" vertical="top"/>
    </xf>
    <xf numFmtId="166" fontId="15" fillId="0" borderId="5" xfId="49" applyNumberFormat="1" applyFont="1" applyFill="1" applyBorder="1" applyAlignment="1">
      <alignment horizontal="right" vertical="top"/>
    </xf>
    <xf numFmtId="166" fontId="15" fillId="33" borderId="5" xfId="49" applyNumberFormat="1" applyFont="1" applyFill="1" applyBorder="1">
      <alignment vertical="top"/>
    </xf>
    <xf numFmtId="4" fontId="15" fillId="33" borderId="13" xfId="49" applyNumberFormat="1" applyFont="1" applyFill="1" applyBorder="1">
      <alignment vertical="top"/>
    </xf>
    <xf numFmtId="4" fontId="14" fillId="0" borderId="1" xfId="49" applyNumberFormat="1" applyFont="1" applyFill="1" applyBorder="1">
      <alignment vertical="top"/>
    </xf>
    <xf numFmtId="4" fontId="14" fillId="0" borderId="5" xfId="49" applyNumberFormat="1" applyFont="1" applyFill="1" applyBorder="1">
      <alignment vertical="top"/>
    </xf>
    <xf numFmtId="4" fontId="14" fillId="0" borderId="17" xfId="49" applyNumberFormat="1" applyFont="1" applyFill="1" applyBorder="1">
      <alignment vertical="top"/>
    </xf>
    <xf numFmtId="4" fontId="15" fillId="34" borderId="13" xfId="49" applyNumberFormat="1" applyFont="1" applyFill="1" applyBorder="1">
      <alignment vertical="top"/>
    </xf>
    <xf numFmtId="166" fontId="15" fillId="33" borderId="13" xfId="49" applyNumberFormat="1" applyFont="1" applyFill="1" applyBorder="1">
      <alignment vertical="top"/>
    </xf>
    <xf numFmtId="166" fontId="16" fillId="0" borderId="2" xfId="49" applyNumberFormat="1" applyFont="1" applyFill="1" applyBorder="1">
      <alignment vertical="top"/>
    </xf>
    <xf numFmtId="166" fontId="16" fillId="0" borderId="0" xfId="49" applyNumberFormat="1" applyFont="1" applyFill="1" applyBorder="1">
      <alignment vertical="top"/>
    </xf>
    <xf numFmtId="0" fontId="38" fillId="0" borderId="0" xfId="0" applyFont="1"/>
    <xf numFmtId="0" fontId="1" fillId="0" borderId="1" xfId="49" applyFont="1" applyFill="1" applyBorder="1" applyAlignment="1">
      <alignment horizontal="left" vertical="top" wrapText="1"/>
    </xf>
    <xf numFmtId="0" fontId="1" fillId="0" borderId="5" xfId="49" applyFont="1" applyFill="1" applyBorder="1" applyAlignment="1">
      <alignment horizontal="left" vertical="top" wrapText="1"/>
    </xf>
    <xf numFmtId="4" fontId="6" fillId="0" borderId="17" xfId="49" applyNumberFormat="1" applyFont="1" applyFill="1" applyBorder="1" applyAlignment="1">
      <alignment horizontal="right" vertical="top"/>
    </xf>
    <xf numFmtId="2" fontId="6" fillId="33" borderId="13" xfId="49" applyNumberFormat="1" applyFont="1" applyFill="1" applyBorder="1">
      <alignment vertical="top"/>
    </xf>
    <xf numFmtId="4" fontId="6" fillId="33" borderId="13" xfId="49" applyNumberFormat="1" applyFont="1" applyFill="1" applyBorder="1" applyAlignment="1">
      <alignment horizontal="right" vertical="top"/>
    </xf>
    <xf numFmtId="166" fontId="14" fillId="33" borderId="13" xfId="49" applyNumberFormat="1" applyFont="1" applyFill="1" applyBorder="1">
      <alignment vertical="top"/>
    </xf>
    <xf numFmtId="4" fontId="15" fillId="33" borderId="13" xfId="49" applyNumberFormat="1" applyFont="1" applyFill="1" applyBorder="1" applyAlignment="1">
      <alignment horizontal="right" vertical="top"/>
    </xf>
    <xf numFmtId="0" fontId="6" fillId="0" borderId="5" xfId="49" applyFont="1" applyFill="1" applyBorder="1" applyAlignment="1">
      <alignment horizontal="left" vertical="top" wrapText="1"/>
    </xf>
    <xf numFmtId="49" fontId="1" fillId="0" borderId="5" xfId="49" applyNumberFormat="1" applyFont="1" applyFill="1" applyBorder="1">
      <alignment vertical="top"/>
    </xf>
    <xf numFmtId="3" fontId="5" fillId="0" borderId="0" xfId="49" applyNumberFormat="1" applyFont="1" applyFill="1">
      <alignment vertical="top"/>
    </xf>
    <xf numFmtId="3" fontId="8" fillId="0" borderId="13" xfId="49" applyNumberFormat="1" applyFont="1" applyFill="1" applyBorder="1" applyAlignment="1">
      <alignment horizontal="center" vertical="center" wrapText="1" readingOrder="1"/>
    </xf>
    <xf numFmtId="3" fontId="5" fillId="0" borderId="1" xfId="49" applyNumberFormat="1" applyFont="1" applyFill="1" applyBorder="1">
      <alignment vertical="top"/>
    </xf>
    <xf numFmtId="3" fontId="1" fillId="33" borderId="9" xfId="49" applyNumberFormat="1" applyFont="1" applyFill="1" applyBorder="1" applyAlignment="1">
      <alignment horizontal="right" vertical="top"/>
    </xf>
    <xf numFmtId="3" fontId="1" fillId="0" borderId="5" xfId="49" applyNumberFormat="1" applyFont="1" applyFill="1" applyBorder="1" applyAlignment="1">
      <alignment horizontal="right" vertical="top"/>
    </xf>
    <xf numFmtId="3" fontId="1" fillId="33" borderId="5" xfId="49" applyNumberFormat="1" applyFont="1" applyFill="1" applyBorder="1" applyAlignment="1">
      <alignment horizontal="right" vertical="top"/>
    </xf>
    <xf numFmtId="3" fontId="6" fillId="0" borderId="5" xfId="49" applyNumberFormat="1" applyFont="1" applyFill="1" applyBorder="1" applyAlignment="1">
      <alignment horizontal="right" vertical="top"/>
    </xf>
    <xf numFmtId="3" fontId="1" fillId="33" borderId="13" xfId="49" applyNumberFormat="1" applyFont="1" applyFill="1" applyBorder="1" applyAlignment="1">
      <alignment horizontal="right" vertical="top"/>
    </xf>
    <xf numFmtId="3" fontId="1" fillId="34" borderId="13" xfId="49" applyNumberFormat="1" applyFont="1" applyFill="1" applyBorder="1" applyAlignment="1">
      <alignment horizontal="right" vertical="top"/>
    </xf>
    <xf numFmtId="3" fontId="7" fillId="0" borderId="2" xfId="49" applyNumberFormat="1" applyFont="1" applyFill="1" applyBorder="1" applyAlignment="1">
      <alignment horizontal="right" vertical="top"/>
    </xf>
    <xf numFmtId="3" fontId="37" fillId="0" borderId="0" xfId="0" applyNumberFormat="1" applyFont="1"/>
    <xf numFmtId="3" fontId="0" fillId="0" borderId="0" xfId="0" applyNumberFormat="1"/>
    <xf numFmtId="3" fontId="6" fillId="33" borderId="5" xfId="49" applyNumberFormat="1" applyFont="1" applyFill="1" applyBorder="1" applyAlignment="1">
      <alignment horizontal="right" vertical="top"/>
    </xf>
    <xf numFmtId="37" fontId="6" fillId="0" borderId="5" xfId="49" applyNumberFormat="1" applyFont="1" applyFill="1" applyBorder="1" applyAlignment="1">
      <alignment horizontal="right" vertical="top"/>
    </xf>
    <xf numFmtId="0" fontId="1" fillId="33" borderId="15" xfId="49" applyFont="1" applyFill="1" applyBorder="1" applyAlignment="1">
      <alignment horizontal="left" vertical="top" wrapText="1"/>
    </xf>
    <xf numFmtId="0" fontId="1" fillId="33" borderId="11" xfId="49" applyFont="1" applyFill="1" applyBorder="1" applyAlignment="1">
      <alignment horizontal="left" vertical="top" wrapText="1"/>
    </xf>
    <xf numFmtId="0" fontId="1" fillId="33" borderId="0" xfId="49" applyFont="1" applyFill="1" applyBorder="1" applyAlignment="1">
      <alignment horizontal="left" vertical="top" wrapText="1"/>
    </xf>
    <xf numFmtId="4" fontId="1" fillId="33" borderId="13" xfId="49" applyNumberFormat="1" applyFont="1" applyFill="1" applyBorder="1" applyAlignment="1">
      <alignment horizontal="left" vertical="top" wrapText="1"/>
    </xf>
    <xf numFmtId="0" fontId="1" fillId="33" borderId="13" xfId="49" applyFont="1" applyFill="1" applyBorder="1" applyAlignment="1">
      <alignment horizontal="left" vertical="top" wrapText="1"/>
    </xf>
    <xf numFmtId="0" fontId="7" fillId="0" borderId="1" xfId="49" applyFont="1" applyFill="1" applyBorder="1" applyAlignment="1">
      <alignment horizontal="center" vertical="center" wrapText="1" readingOrder="1"/>
    </xf>
    <xf numFmtId="0" fontId="8" fillId="0" borderId="13" xfId="49" applyFont="1" applyFill="1" applyBorder="1" applyAlignment="1">
      <alignment horizontal="center" vertical="center" wrapText="1" readingOrder="1"/>
    </xf>
    <xf numFmtId="0" fontId="6" fillId="0" borderId="0" xfId="49" applyFont="1" applyFill="1" applyBorder="1" applyAlignment="1">
      <alignment horizontal="left" vertical="top" wrapText="1"/>
    </xf>
    <xf numFmtId="0" fontId="6" fillId="0" borderId="8" xfId="49" applyFont="1" applyFill="1" applyBorder="1" applyAlignment="1">
      <alignment horizontal="left" vertical="top" wrapText="1"/>
    </xf>
    <xf numFmtId="0" fontId="1" fillId="33" borderId="11" xfId="49" applyFont="1" applyFill="1" applyBorder="1" applyAlignment="1">
      <alignment horizontal="left" vertical="top" wrapText="1"/>
    </xf>
    <xf numFmtId="0" fontId="1" fillId="33" borderId="0" xfId="49" applyFont="1" applyFill="1" applyBorder="1" applyAlignment="1">
      <alignment horizontal="left" vertical="top" wrapText="1"/>
    </xf>
    <xf numFmtId="4" fontId="1" fillId="33" borderId="13" xfId="49" applyNumberFormat="1" applyFont="1" applyFill="1" applyBorder="1" applyAlignment="1">
      <alignment horizontal="left" vertical="top" wrapText="1"/>
    </xf>
    <xf numFmtId="0" fontId="6" fillId="0" borderId="19" xfId="49" applyFont="1" applyFill="1" applyBorder="1" applyAlignment="1">
      <alignment horizontal="left" vertical="top" wrapText="1"/>
    </xf>
    <xf numFmtId="0" fontId="6" fillId="0" borderId="20" xfId="49" applyFont="1" applyFill="1" applyBorder="1" applyAlignment="1">
      <alignment horizontal="left" vertical="top" wrapText="1"/>
    </xf>
    <xf numFmtId="0" fontId="1" fillId="0" borderId="0" xfId="49" applyFont="1" applyFill="1" applyBorder="1" applyAlignment="1">
      <alignment horizontal="left" vertical="top" wrapText="1"/>
    </xf>
    <xf numFmtId="0" fontId="1" fillId="0" borderId="8" xfId="49" applyFont="1" applyFill="1" applyBorder="1" applyAlignment="1">
      <alignment horizontal="left" vertical="top" wrapText="1"/>
    </xf>
    <xf numFmtId="0" fontId="1" fillId="0" borderId="0" xfId="49" applyFont="1" applyFill="1" applyBorder="1" applyAlignment="1">
      <alignment horizontal="left" vertical="top" wrapText="1" readingOrder="1"/>
    </xf>
    <xf numFmtId="0" fontId="1" fillId="0" borderId="8" xfId="49" applyFont="1" applyFill="1" applyBorder="1" applyAlignment="1">
      <alignment horizontal="left" vertical="top" wrapText="1" readingOrder="1"/>
    </xf>
    <xf numFmtId="0" fontId="1" fillId="33" borderId="15" xfId="49" applyFont="1" applyFill="1" applyBorder="1" applyAlignment="1">
      <alignment horizontal="left" vertical="top" wrapText="1"/>
    </xf>
    <xf numFmtId="0" fontId="1" fillId="33" borderId="13" xfId="49" applyFont="1" applyFill="1" applyBorder="1" applyAlignment="1">
      <alignment horizontal="left" vertical="top" wrapText="1"/>
    </xf>
    <xf numFmtId="0" fontId="7" fillId="0" borderId="2" xfId="49" applyFont="1" applyFill="1" applyBorder="1" applyAlignment="1">
      <alignment horizontal="left" vertical="top" wrapText="1"/>
    </xf>
    <xf numFmtId="0" fontId="6" fillId="0" borderId="0" xfId="49" applyFont="1" applyFill="1" applyBorder="1" applyAlignment="1">
      <alignment horizontal="left" vertical="top" wrapText="1"/>
    </xf>
    <xf numFmtId="0" fontId="6" fillId="0" borderId="8" xfId="49" applyFont="1" applyFill="1" applyBorder="1" applyAlignment="1">
      <alignment horizontal="left" vertical="top" wrapText="1"/>
    </xf>
    <xf numFmtId="0" fontId="1" fillId="0" borderId="0" xfId="49" applyFont="1" applyFill="1" applyBorder="1" applyAlignment="1">
      <alignment horizontal="left" vertical="top" wrapText="1"/>
    </xf>
    <xf numFmtId="0" fontId="1" fillId="0" borderId="8" xfId="49" applyFont="1" applyFill="1" applyBorder="1" applyAlignment="1">
      <alignment horizontal="left" vertical="top" wrapText="1"/>
    </xf>
    <xf numFmtId="165" fontId="0" fillId="0" borderId="0" xfId="58" applyFont="1"/>
    <xf numFmtId="165" fontId="0" fillId="0" borderId="0" xfId="0" applyNumberFormat="1"/>
    <xf numFmtId="0" fontId="6" fillId="0" borderId="0" xfId="49" applyFont="1" applyFill="1" applyBorder="1" applyAlignment="1">
      <alignment horizontal="left" vertical="top" wrapText="1"/>
    </xf>
    <xf numFmtId="0" fontId="6" fillId="0" borderId="8" xfId="49" applyFont="1" applyFill="1" applyBorder="1" applyAlignment="1">
      <alignment horizontal="left" vertical="top" wrapText="1"/>
    </xf>
    <xf numFmtId="0" fontId="1" fillId="0" borderId="0" xfId="49" applyFont="1" applyFill="1" applyBorder="1" applyAlignment="1">
      <alignment horizontal="left" vertical="top" wrapText="1"/>
    </xf>
    <xf numFmtId="0" fontId="1" fillId="0" borderId="8" xfId="49" applyFont="1" applyFill="1" applyBorder="1" applyAlignment="1">
      <alignment horizontal="left" vertical="top" wrapText="1"/>
    </xf>
    <xf numFmtId="4" fontId="15" fillId="0" borderId="5" xfId="49" applyNumberFormat="1" applyFont="1" applyFill="1" applyBorder="1" applyAlignment="1">
      <alignment horizontal="right" vertical="top"/>
    </xf>
    <xf numFmtId="0" fontId="6" fillId="0" borderId="0" xfId="49" applyFont="1" applyFill="1" applyBorder="1" applyAlignment="1">
      <alignment horizontal="left" vertical="top" wrapText="1"/>
    </xf>
    <xf numFmtId="0" fontId="6" fillId="0" borderId="8" xfId="49" applyFont="1" applyFill="1" applyBorder="1" applyAlignment="1">
      <alignment horizontal="left" vertical="top" wrapText="1"/>
    </xf>
    <xf numFmtId="0" fontId="6" fillId="0" borderId="0" xfId="49" applyFont="1" applyFill="1" applyBorder="1" applyAlignment="1">
      <alignment horizontal="left" vertical="center" wrapText="1"/>
    </xf>
    <xf numFmtId="4" fontId="6" fillId="0" borderId="5" xfId="49" applyNumberFormat="1" applyFont="1" applyBorder="1" applyAlignment="1">
      <alignment vertical="center" readingOrder="1"/>
    </xf>
    <xf numFmtId="4" fontId="6" fillId="0" borderId="5" xfId="49" applyNumberFormat="1" applyFont="1" applyFill="1" applyBorder="1" applyAlignment="1">
      <alignment horizontal="right" vertical="center" readingOrder="1"/>
    </xf>
    <xf numFmtId="2" fontId="6" fillId="0" borderId="5" xfId="49" applyNumberFormat="1" applyFont="1" applyFill="1" applyBorder="1" applyAlignment="1">
      <alignment vertical="center" readingOrder="1"/>
    </xf>
    <xf numFmtId="166" fontId="14" fillId="0" borderId="5" xfId="49" applyNumberFormat="1" applyFont="1" applyFill="1" applyBorder="1" applyAlignment="1">
      <alignment vertical="center" readingOrder="1"/>
    </xf>
    <xf numFmtId="0" fontId="7" fillId="0" borderId="1" xfId="49" applyFont="1" applyFill="1" applyBorder="1" applyAlignment="1">
      <alignment horizontal="center" vertical="center" wrapText="1" readingOrder="1"/>
    </xf>
    <xf numFmtId="0" fontId="8" fillId="0" borderId="13" xfId="49" applyFont="1" applyFill="1" applyBorder="1" applyAlignment="1">
      <alignment horizontal="center" vertical="center" wrapText="1" readingOrder="1"/>
    </xf>
    <xf numFmtId="0" fontId="5" fillId="35" borderId="0" xfId="49" applyFont="1" applyFill="1">
      <alignment vertical="top"/>
    </xf>
    <xf numFmtId="0" fontId="8" fillId="35" borderId="13" xfId="49" applyFont="1" applyFill="1" applyBorder="1" applyAlignment="1">
      <alignment horizontal="center" vertical="center" wrapText="1" readingOrder="1"/>
    </xf>
    <xf numFmtId="0" fontId="5" fillId="35" borderId="1" xfId="49" applyFont="1" applyFill="1" applyBorder="1">
      <alignment vertical="top"/>
    </xf>
    <xf numFmtId="4" fontId="1" fillId="35" borderId="9" xfId="49" applyNumberFormat="1" applyFont="1" applyFill="1" applyBorder="1" applyAlignment="1">
      <alignment horizontal="right" vertical="top"/>
    </xf>
    <xf numFmtId="4" fontId="1" fillId="35" borderId="5" xfId="49" applyNumberFormat="1" applyFont="1" applyFill="1" applyBorder="1" applyAlignment="1">
      <alignment horizontal="right" vertical="top"/>
    </xf>
    <xf numFmtId="4" fontId="6" fillId="35" borderId="5" xfId="49" applyNumberFormat="1" applyFont="1" applyFill="1" applyBorder="1" applyAlignment="1">
      <alignment horizontal="right" vertical="top"/>
    </xf>
    <xf numFmtId="0" fontId="6" fillId="35" borderId="5" xfId="49" applyFont="1" applyFill="1" applyBorder="1">
      <alignment vertical="top"/>
    </xf>
    <xf numFmtId="4" fontId="1" fillId="35" borderId="13" xfId="49" applyNumberFormat="1" applyFont="1" applyFill="1" applyBorder="1" applyAlignment="1">
      <alignment horizontal="right" vertical="top"/>
    </xf>
    <xf numFmtId="4" fontId="1" fillId="35" borderId="0" xfId="49" applyNumberFormat="1" applyFont="1" applyFill="1" applyAlignment="1">
      <alignment vertical="top"/>
    </xf>
    <xf numFmtId="4" fontId="6" fillId="35" borderId="0" xfId="49" applyNumberFormat="1" applyFont="1" applyFill="1" applyAlignment="1">
      <alignment vertical="top"/>
    </xf>
    <xf numFmtId="4" fontId="1" fillId="35" borderId="0" xfId="49" applyNumberFormat="1" applyFont="1" applyFill="1" applyBorder="1" applyAlignment="1">
      <alignment vertical="top"/>
    </xf>
    <xf numFmtId="4" fontId="6" fillId="35" borderId="0" xfId="49" applyNumberFormat="1" applyFont="1" applyFill="1" applyBorder="1" applyAlignment="1">
      <alignment vertical="top"/>
    </xf>
    <xf numFmtId="4" fontId="1" fillId="35" borderId="5" xfId="49" applyNumberFormat="1" applyFont="1" applyFill="1" applyBorder="1" applyAlignment="1">
      <alignment vertical="top"/>
    </xf>
    <xf numFmtId="4" fontId="6" fillId="35" borderId="5" xfId="49" applyNumberFormat="1" applyFont="1" applyFill="1" applyBorder="1" applyAlignment="1">
      <alignment vertical="top"/>
    </xf>
    <xf numFmtId="0" fontId="0" fillId="35" borderId="17" xfId="0" applyFill="1" applyBorder="1"/>
    <xf numFmtId="4" fontId="7" fillId="35" borderId="2" xfId="49" applyNumberFormat="1" applyFont="1" applyFill="1" applyBorder="1" applyAlignment="1">
      <alignment horizontal="right" vertical="top"/>
    </xf>
    <xf numFmtId="4" fontId="7" fillId="35" borderId="0" xfId="49" applyNumberFormat="1" applyFont="1" applyFill="1" applyBorder="1" applyAlignment="1">
      <alignment horizontal="right" vertical="top"/>
    </xf>
    <xf numFmtId="0" fontId="0" fillId="35" borderId="0" xfId="0" applyFill="1"/>
    <xf numFmtId="0" fontId="5" fillId="0" borderId="0" xfId="49" applyFont="1" applyFill="1" applyAlignment="1">
      <alignment horizontal="left" vertical="center" wrapText="1" readingOrder="1"/>
    </xf>
    <xf numFmtId="0" fontId="5" fillId="0" borderId="0" xfId="49" applyFont="1" applyFill="1" applyAlignment="1">
      <alignment vertical="center" readingOrder="1"/>
    </xf>
    <xf numFmtId="0" fontId="0" fillId="0" borderId="0" xfId="0" applyAlignment="1">
      <alignment vertical="center" readingOrder="1"/>
    </xf>
    <xf numFmtId="0" fontId="1" fillId="0" borderId="0" xfId="49" applyFont="1" applyFill="1" applyAlignment="1">
      <alignment vertical="center" readingOrder="1"/>
    </xf>
    <xf numFmtId="0" fontId="5" fillId="33" borderId="0" xfId="49" applyFont="1" applyFill="1" applyAlignment="1">
      <alignment vertical="center" readingOrder="1"/>
    </xf>
    <xf numFmtId="0" fontId="11" fillId="0" borderId="0" xfId="49" applyFont="1" applyFill="1" applyAlignment="1">
      <alignment horizontal="left" vertical="center" wrapText="1" readingOrder="1"/>
    </xf>
    <xf numFmtId="3" fontId="5" fillId="0" borderId="0" xfId="49" applyNumberFormat="1" applyFont="1" applyFill="1" applyAlignment="1">
      <alignment vertical="center" readingOrder="1"/>
    </xf>
    <xf numFmtId="0" fontId="8" fillId="0" borderId="0" xfId="49" applyFont="1" applyFill="1" applyAlignment="1">
      <alignment vertical="center" readingOrder="1"/>
    </xf>
    <xf numFmtId="0" fontId="5" fillId="0" borderId="1" xfId="49" applyFont="1" applyFill="1" applyBorder="1" applyAlignment="1">
      <alignment vertical="center" readingOrder="1"/>
    </xf>
    <xf numFmtId="0" fontId="5" fillId="0" borderId="2" xfId="49" applyFont="1" applyFill="1" applyBorder="1" applyAlignment="1">
      <alignment vertical="center" readingOrder="1"/>
    </xf>
    <xf numFmtId="0" fontId="5" fillId="0" borderId="3" xfId="49" applyFont="1" applyFill="1" applyBorder="1" applyAlignment="1">
      <alignment vertical="center" readingOrder="1"/>
    </xf>
    <xf numFmtId="0" fontId="5" fillId="0" borderId="4" xfId="49" applyFont="1" applyFill="1" applyBorder="1" applyAlignment="1">
      <alignment vertical="center" readingOrder="1"/>
    </xf>
    <xf numFmtId="0" fontId="11" fillId="0" borderId="1" xfId="49" applyFont="1" applyFill="1" applyBorder="1" applyAlignment="1">
      <alignment vertical="center" readingOrder="1"/>
    </xf>
    <xf numFmtId="3" fontId="5" fillId="0" borderId="1" xfId="49" applyNumberFormat="1" applyFont="1" applyFill="1" applyBorder="1" applyAlignment="1">
      <alignment vertical="center" readingOrder="1"/>
    </xf>
    <xf numFmtId="0" fontId="5" fillId="0" borderId="5" xfId="49" applyFont="1" applyFill="1" applyBorder="1" applyAlignment="1">
      <alignment vertical="center" readingOrder="1"/>
    </xf>
    <xf numFmtId="0" fontId="1" fillId="33" borderId="9" xfId="49" applyFont="1" applyFill="1" applyBorder="1" applyAlignment="1">
      <alignment vertical="center" readingOrder="1"/>
    </xf>
    <xf numFmtId="0" fontId="1" fillId="33" borderId="11" xfId="49" applyFont="1" applyFill="1" applyBorder="1" applyAlignment="1">
      <alignment horizontal="left" vertical="center" wrapText="1" readingOrder="1"/>
    </xf>
    <xf numFmtId="0" fontId="1" fillId="33" borderId="10" xfId="49" applyFont="1" applyFill="1" applyBorder="1" applyAlignment="1">
      <alignment vertical="center" readingOrder="1"/>
    </xf>
    <xf numFmtId="4" fontId="1" fillId="33" borderId="9" xfId="49" applyNumberFormat="1" applyFont="1" applyFill="1" applyBorder="1" applyAlignment="1">
      <alignment horizontal="right" vertical="center" readingOrder="1"/>
    </xf>
    <xf numFmtId="2" fontId="1" fillId="33" borderId="13" xfId="49" applyNumberFormat="1" applyFont="1" applyFill="1" applyBorder="1" applyAlignment="1">
      <alignment vertical="center" readingOrder="1"/>
    </xf>
    <xf numFmtId="166" fontId="15" fillId="33" borderId="9" xfId="49" applyNumberFormat="1" applyFont="1" applyFill="1" applyBorder="1" applyAlignment="1">
      <alignment horizontal="right" vertical="center" readingOrder="1"/>
    </xf>
    <xf numFmtId="2" fontId="1" fillId="33" borderId="9" xfId="49" applyNumberFormat="1" applyFont="1" applyFill="1" applyBorder="1" applyAlignment="1">
      <alignment vertical="center" readingOrder="1"/>
    </xf>
    <xf numFmtId="3" fontId="1" fillId="33" borderId="9" xfId="49" applyNumberFormat="1" applyFont="1" applyFill="1" applyBorder="1" applyAlignment="1">
      <alignment horizontal="right" vertical="center" readingOrder="1"/>
    </xf>
    <xf numFmtId="0" fontId="7" fillId="33" borderId="0" xfId="49" applyFont="1" applyFill="1" applyAlignment="1">
      <alignment vertical="center" readingOrder="1"/>
    </xf>
    <xf numFmtId="0" fontId="1" fillId="0" borderId="5" xfId="49" applyFont="1" applyFill="1" applyBorder="1" applyAlignment="1">
      <alignment vertical="center" readingOrder="1"/>
    </xf>
    <xf numFmtId="0" fontId="1" fillId="0" borderId="0" xfId="49" applyFont="1" applyFill="1" applyBorder="1" applyAlignment="1">
      <alignment horizontal="left" vertical="center" wrapText="1" readingOrder="1"/>
    </xf>
    <xf numFmtId="0" fontId="1" fillId="0" borderId="8" xfId="49" applyFont="1" applyFill="1" applyBorder="1" applyAlignment="1">
      <alignment horizontal="left" vertical="center" wrapText="1" readingOrder="1"/>
    </xf>
    <xf numFmtId="0" fontId="1" fillId="0" borderId="7" xfId="49" applyFont="1" applyFill="1" applyBorder="1" applyAlignment="1">
      <alignment vertical="center" readingOrder="1"/>
    </xf>
    <xf numFmtId="4" fontId="1" fillId="0" borderId="5" xfId="49" applyNumberFormat="1" applyFont="1" applyFill="1" applyBorder="1" applyAlignment="1">
      <alignment horizontal="right" vertical="center" readingOrder="1"/>
    </xf>
    <xf numFmtId="166" fontId="15" fillId="0" borderId="5" xfId="49" applyNumberFormat="1" applyFont="1" applyFill="1" applyBorder="1" applyAlignment="1">
      <alignment horizontal="right" vertical="center" readingOrder="1"/>
    </xf>
    <xf numFmtId="2" fontId="1" fillId="0" borderId="5" xfId="49" applyNumberFormat="1" applyFont="1" applyFill="1" applyBorder="1" applyAlignment="1">
      <alignment vertical="center" readingOrder="1"/>
    </xf>
    <xf numFmtId="3" fontId="1" fillId="0" borderId="5" xfId="49" applyNumberFormat="1" applyFont="1" applyFill="1" applyBorder="1" applyAlignment="1">
      <alignment horizontal="right" vertical="center" readingOrder="1"/>
    </xf>
    <xf numFmtId="0" fontId="7" fillId="0" borderId="0" xfId="49" applyFont="1" applyFill="1" applyAlignment="1">
      <alignment vertical="center" readingOrder="1"/>
    </xf>
    <xf numFmtId="0" fontId="1" fillId="33" borderId="5" xfId="49" applyFont="1" applyFill="1" applyBorder="1" applyAlignment="1">
      <alignment vertical="center" readingOrder="1"/>
    </xf>
    <xf numFmtId="0" fontId="1" fillId="33" borderId="0" xfId="49" applyFont="1" applyFill="1" applyBorder="1" applyAlignment="1">
      <alignment horizontal="left" vertical="center" wrapText="1" readingOrder="1"/>
    </xf>
    <xf numFmtId="0" fontId="1" fillId="33" borderId="7" xfId="49" applyFont="1" applyFill="1" applyBorder="1" applyAlignment="1">
      <alignment vertical="center" readingOrder="1"/>
    </xf>
    <xf numFmtId="4" fontId="1" fillId="33" borderId="5" xfId="49" applyNumberFormat="1" applyFont="1" applyFill="1" applyBorder="1" applyAlignment="1">
      <alignment horizontal="right" vertical="center" readingOrder="1"/>
    </xf>
    <xf numFmtId="2" fontId="1" fillId="33" borderId="5" xfId="49" applyNumberFormat="1" applyFont="1" applyFill="1" applyBorder="1" applyAlignment="1">
      <alignment vertical="center" readingOrder="1"/>
    </xf>
    <xf numFmtId="166" fontId="15" fillId="33" borderId="5" xfId="49" applyNumberFormat="1" applyFont="1" applyFill="1" applyBorder="1" applyAlignment="1">
      <alignment vertical="center" readingOrder="1"/>
    </xf>
    <xf numFmtId="3" fontId="1" fillId="33" borderId="5" xfId="49" applyNumberFormat="1" applyFont="1" applyFill="1" applyBorder="1" applyAlignment="1">
      <alignment horizontal="right" vertical="center" readingOrder="1"/>
    </xf>
    <xf numFmtId="0" fontId="6" fillId="0" borderId="5" xfId="49" applyFont="1" applyFill="1" applyBorder="1" applyAlignment="1">
      <alignment vertical="center" readingOrder="1"/>
    </xf>
    <xf numFmtId="0" fontId="6" fillId="0" borderId="0" xfId="49" applyFont="1" applyFill="1" applyBorder="1" applyAlignment="1">
      <alignment horizontal="left" vertical="center" wrapText="1" readingOrder="1"/>
    </xf>
    <xf numFmtId="0" fontId="6" fillId="0" borderId="7" xfId="49" applyFont="1" applyFill="1" applyBorder="1" applyAlignment="1">
      <alignment vertical="center" readingOrder="1"/>
    </xf>
    <xf numFmtId="3" fontId="6" fillId="0" borderId="5" xfId="49" applyNumberFormat="1" applyFont="1" applyFill="1" applyBorder="1" applyAlignment="1">
      <alignment horizontal="right" vertical="center" readingOrder="1"/>
    </xf>
    <xf numFmtId="165" fontId="0" fillId="0" borderId="0" xfId="58" applyFont="1" applyAlignment="1">
      <alignment vertical="center" readingOrder="1"/>
    </xf>
    <xf numFmtId="165" fontId="0" fillId="0" borderId="0" xfId="0" applyNumberFormat="1" applyAlignment="1">
      <alignment vertical="center" readingOrder="1"/>
    </xf>
    <xf numFmtId="167" fontId="6" fillId="0" borderId="5" xfId="49" applyNumberFormat="1" applyFont="1" applyFill="1" applyBorder="1" applyAlignment="1">
      <alignment vertical="center" readingOrder="1"/>
    </xf>
    <xf numFmtId="3" fontId="6" fillId="33" borderId="5" xfId="49" applyNumberFormat="1" applyFont="1" applyFill="1" applyBorder="1" applyAlignment="1">
      <alignment horizontal="right" vertical="center" readingOrder="1"/>
    </xf>
    <xf numFmtId="37" fontId="6" fillId="0" borderId="5" xfId="49" applyNumberFormat="1" applyFont="1" applyFill="1" applyBorder="1" applyAlignment="1">
      <alignment horizontal="right" vertical="center" readingOrder="1"/>
    </xf>
    <xf numFmtId="0" fontId="6" fillId="0" borderId="19" xfId="49" applyFont="1" applyFill="1" applyBorder="1" applyAlignment="1">
      <alignment horizontal="left" vertical="center" wrapText="1" readingOrder="1"/>
    </xf>
    <xf numFmtId="0" fontId="6" fillId="0" borderId="20" xfId="49" applyFont="1" applyFill="1" applyBorder="1" applyAlignment="1">
      <alignment horizontal="left" vertical="center" wrapText="1" readingOrder="1"/>
    </xf>
    <xf numFmtId="0" fontId="1" fillId="33" borderId="11" xfId="49" applyFont="1" applyFill="1" applyBorder="1" applyAlignment="1">
      <alignment vertical="center" readingOrder="1"/>
    </xf>
    <xf numFmtId="0" fontId="1" fillId="33" borderId="12" xfId="49" applyFont="1" applyFill="1" applyBorder="1" applyAlignment="1">
      <alignment vertical="center" readingOrder="1"/>
    </xf>
    <xf numFmtId="0" fontId="0" fillId="33" borderId="0" xfId="0" applyFill="1" applyAlignment="1">
      <alignment vertical="center" readingOrder="1"/>
    </xf>
    <xf numFmtId="0" fontId="6" fillId="0" borderId="0" xfId="49" applyFont="1" applyFill="1" applyBorder="1" applyAlignment="1">
      <alignment vertical="center" readingOrder="1"/>
    </xf>
    <xf numFmtId="0" fontId="6" fillId="0" borderId="8" xfId="49" applyFont="1" applyFill="1" applyBorder="1" applyAlignment="1">
      <alignment vertical="center" readingOrder="1"/>
    </xf>
    <xf numFmtId="3" fontId="6" fillId="0" borderId="5" xfId="49" applyNumberFormat="1" applyFont="1" applyFill="1" applyBorder="1" applyAlignment="1">
      <alignment vertical="center" readingOrder="1"/>
    </xf>
    <xf numFmtId="4" fontId="1" fillId="33" borderId="13" xfId="49" applyNumberFormat="1" applyFont="1" applyFill="1" applyBorder="1" applyAlignment="1">
      <alignment vertical="center" readingOrder="1"/>
    </xf>
    <xf numFmtId="4" fontId="1" fillId="33" borderId="13" xfId="49" applyNumberFormat="1" applyFont="1" applyFill="1" applyBorder="1" applyAlignment="1">
      <alignment horizontal="left" vertical="center" wrapText="1" readingOrder="1"/>
    </xf>
    <xf numFmtId="4" fontId="1" fillId="33" borderId="14" xfId="49" applyNumberFormat="1" applyFont="1" applyFill="1" applyBorder="1" applyAlignment="1">
      <alignment vertical="center" readingOrder="1"/>
    </xf>
    <xf numFmtId="4" fontId="1" fillId="33" borderId="13" xfId="49" applyNumberFormat="1" applyFont="1" applyFill="1" applyBorder="1" applyAlignment="1">
      <alignment horizontal="right" vertical="center" readingOrder="1"/>
    </xf>
    <xf numFmtId="4" fontId="15" fillId="33" borderId="13" xfId="49" applyNumberFormat="1" applyFont="1" applyFill="1" applyBorder="1" applyAlignment="1">
      <alignment vertical="center" readingOrder="1"/>
    </xf>
    <xf numFmtId="3" fontId="1" fillId="33" borderId="13" xfId="49" applyNumberFormat="1" applyFont="1" applyFill="1" applyBorder="1" applyAlignment="1">
      <alignment horizontal="right" vertical="center" readingOrder="1"/>
    </xf>
    <xf numFmtId="4" fontId="1" fillId="33" borderId="0" xfId="49" applyNumberFormat="1" applyFont="1" applyFill="1" applyBorder="1" applyAlignment="1">
      <alignment horizontal="left" vertical="center" wrapText="1" readingOrder="1"/>
    </xf>
    <xf numFmtId="4" fontId="1" fillId="33" borderId="8" xfId="49" applyNumberFormat="1" applyFont="1" applyFill="1" applyBorder="1" applyAlignment="1">
      <alignment horizontal="left" vertical="center" wrapText="1" readingOrder="1"/>
    </xf>
    <xf numFmtId="4" fontId="1" fillId="33" borderId="14" xfId="49" applyNumberFormat="1" applyFont="1" applyFill="1" applyBorder="1" applyAlignment="1">
      <alignment horizontal="left" vertical="center" wrapText="1" readingOrder="1"/>
    </xf>
    <xf numFmtId="4" fontId="1" fillId="33" borderId="1" xfId="49" applyNumberFormat="1" applyFont="1" applyFill="1" applyBorder="1" applyAlignment="1">
      <alignment horizontal="center" vertical="center" readingOrder="1"/>
    </xf>
    <xf numFmtId="4" fontId="6" fillId="0" borderId="0" xfId="49" applyNumberFormat="1" applyFont="1" applyFill="1" applyBorder="1" applyAlignment="1">
      <alignment horizontal="left" vertical="center" wrapText="1" readingOrder="1"/>
    </xf>
    <xf numFmtId="4" fontId="6" fillId="0" borderId="8" xfId="49" applyNumberFormat="1" applyFont="1" applyFill="1" applyBorder="1" applyAlignment="1">
      <alignment horizontal="left" vertical="center" wrapText="1" readingOrder="1"/>
    </xf>
    <xf numFmtId="4" fontId="6" fillId="0" borderId="7" xfId="49" applyNumberFormat="1" applyFont="1" applyFill="1" applyBorder="1" applyAlignment="1">
      <alignment vertical="center" readingOrder="1"/>
    </xf>
    <xf numFmtId="4" fontId="6" fillId="0" borderId="5" xfId="49" applyNumberFormat="1" applyFont="1" applyFill="1" applyBorder="1" applyAlignment="1">
      <alignment vertical="center" readingOrder="1"/>
    </xf>
    <xf numFmtId="4" fontId="14" fillId="0" borderId="1" xfId="49" applyNumberFormat="1" applyFont="1" applyFill="1" applyBorder="1" applyAlignment="1">
      <alignment vertical="center" readingOrder="1"/>
    </xf>
    <xf numFmtId="4" fontId="14" fillId="0" borderId="5" xfId="49" applyNumberFormat="1" applyFont="1" applyFill="1" applyBorder="1" applyAlignment="1">
      <alignment vertical="center" readingOrder="1"/>
    </xf>
    <xf numFmtId="4" fontId="14" fillId="0" borderId="17" xfId="49" applyNumberFormat="1" applyFont="1" applyFill="1" applyBorder="1" applyAlignment="1">
      <alignment vertical="center" readingOrder="1"/>
    </xf>
    <xf numFmtId="4" fontId="1" fillId="34" borderId="13" xfId="49" applyNumberFormat="1" applyFont="1" applyFill="1" applyBorder="1" applyAlignment="1">
      <alignment horizontal="center" vertical="center" readingOrder="1"/>
    </xf>
    <xf numFmtId="4" fontId="1" fillId="34" borderId="13" xfId="49" applyNumberFormat="1" applyFont="1" applyFill="1" applyBorder="1" applyAlignment="1">
      <alignment horizontal="left" vertical="center" wrapText="1" readingOrder="1"/>
    </xf>
    <xf numFmtId="4" fontId="1" fillId="34" borderId="14" xfId="49" applyNumberFormat="1" applyFont="1" applyFill="1" applyBorder="1" applyAlignment="1">
      <alignment vertical="center" readingOrder="1"/>
    </xf>
    <xf numFmtId="4" fontId="1" fillId="34" borderId="13" xfId="49" applyNumberFormat="1" applyFont="1" applyFill="1" applyBorder="1" applyAlignment="1">
      <alignment horizontal="right" vertical="center" readingOrder="1"/>
    </xf>
    <xf numFmtId="4" fontId="1" fillId="34" borderId="13" xfId="49" applyNumberFormat="1" applyFont="1" applyFill="1" applyBorder="1" applyAlignment="1">
      <alignment vertical="center" readingOrder="1"/>
    </xf>
    <xf numFmtId="4" fontId="15" fillId="34" borderId="13" xfId="49" applyNumberFormat="1" applyFont="1" applyFill="1" applyBorder="1" applyAlignment="1">
      <alignment vertical="center" readingOrder="1"/>
    </xf>
    <xf numFmtId="3" fontId="1" fillId="34" borderId="13" xfId="49" applyNumberFormat="1" applyFont="1" applyFill="1" applyBorder="1" applyAlignment="1">
      <alignment horizontal="right" vertical="center" readingOrder="1"/>
    </xf>
    <xf numFmtId="2" fontId="1" fillId="34" borderId="13" xfId="49" applyNumberFormat="1" applyFont="1" applyFill="1" applyBorder="1" applyAlignment="1">
      <alignment vertical="center" readingOrder="1"/>
    </xf>
    <xf numFmtId="4" fontId="6" fillId="0" borderId="1" xfId="49" applyNumberFormat="1" applyFont="1" applyFill="1" applyBorder="1" applyAlignment="1">
      <alignment horizontal="right" vertical="center" readingOrder="1"/>
    </xf>
    <xf numFmtId="4" fontId="6" fillId="0" borderId="17" xfId="49" applyNumberFormat="1" applyFont="1" applyFill="1" applyBorder="1" applyAlignment="1">
      <alignment horizontal="right" vertical="center" readingOrder="1"/>
    </xf>
    <xf numFmtId="4" fontId="1" fillId="34" borderId="15" xfId="49" applyNumberFormat="1" applyFont="1" applyFill="1" applyBorder="1" applyAlignment="1">
      <alignment horizontal="left" vertical="center" wrapText="1" readingOrder="1"/>
    </xf>
    <xf numFmtId="4" fontId="1" fillId="34" borderId="16" xfId="49" applyNumberFormat="1" applyFont="1" applyFill="1" applyBorder="1" applyAlignment="1">
      <alignment horizontal="left" vertical="center" wrapText="1" readingOrder="1"/>
    </xf>
    <xf numFmtId="0" fontId="1" fillId="33" borderId="13" xfId="49" applyFont="1" applyFill="1" applyBorder="1" applyAlignment="1">
      <alignment vertical="center" readingOrder="1"/>
    </xf>
    <xf numFmtId="0" fontId="1" fillId="33" borderId="15" xfId="49" applyFont="1" applyFill="1" applyBorder="1" applyAlignment="1">
      <alignment horizontal="left" vertical="center" wrapText="1" readingOrder="1"/>
    </xf>
    <xf numFmtId="0" fontId="1" fillId="33" borderId="14" xfId="49" applyFont="1" applyFill="1" applyBorder="1" applyAlignment="1">
      <alignment vertical="center" readingOrder="1"/>
    </xf>
    <xf numFmtId="166" fontId="15" fillId="33" borderId="13" xfId="49" applyNumberFormat="1" applyFont="1" applyFill="1" applyBorder="1" applyAlignment="1">
      <alignment vertical="center" readingOrder="1"/>
    </xf>
    <xf numFmtId="4" fontId="1" fillId="33" borderId="1" xfId="49" applyNumberFormat="1" applyFont="1" applyFill="1" applyBorder="1" applyAlignment="1">
      <alignment horizontal="right" vertical="center" readingOrder="1"/>
    </xf>
    <xf numFmtId="0" fontId="1" fillId="0" borderId="0" xfId="49" applyFont="1" applyFill="1" applyBorder="1" applyAlignment="1">
      <alignment vertical="center" readingOrder="1"/>
    </xf>
    <xf numFmtId="4" fontId="1" fillId="0" borderId="0" xfId="49" applyNumberFormat="1" applyFont="1" applyAlignment="1">
      <alignment vertical="center" readingOrder="1"/>
    </xf>
    <xf numFmtId="166" fontId="15" fillId="0" borderId="5" xfId="49" applyNumberFormat="1" applyFont="1" applyFill="1" applyBorder="1" applyAlignment="1">
      <alignment vertical="center" readingOrder="1"/>
    </xf>
    <xf numFmtId="0" fontId="37" fillId="0" borderId="0" xfId="0" applyFont="1" applyAlignment="1">
      <alignment vertical="center" readingOrder="1"/>
    </xf>
    <xf numFmtId="0" fontId="6" fillId="0" borderId="8" xfId="49" applyFont="1" applyFill="1" applyBorder="1" applyAlignment="1">
      <alignment horizontal="left" vertical="center" wrapText="1" readingOrder="1"/>
    </xf>
    <xf numFmtId="4" fontId="6" fillId="0" borderId="0" xfId="49" applyNumberFormat="1" applyFont="1" applyAlignment="1">
      <alignment vertical="center" readingOrder="1"/>
    </xf>
    <xf numFmtId="4" fontId="1" fillId="0" borderId="0" xfId="49" applyNumberFormat="1" applyFont="1" applyBorder="1" applyAlignment="1">
      <alignment vertical="center" readingOrder="1"/>
    </xf>
    <xf numFmtId="4" fontId="6" fillId="0" borderId="0" xfId="49" applyNumberFormat="1" applyFont="1" applyBorder="1" applyAlignment="1">
      <alignment vertical="center" readingOrder="1"/>
    </xf>
    <xf numFmtId="4" fontId="15" fillId="0" borderId="5" xfId="49" applyNumberFormat="1" applyFont="1" applyFill="1" applyBorder="1" applyAlignment="1">
      <alignment horizontal="right" vertical="center" readingOrder="1"/>
    </xf>
    <xf numFmtId="0" fontId="1" fillId="33" borderId="13" xfId="49" applyFont="1" applyFill="1" applyBorder="1" applyAlignment="1">
      <alignment horizontal="left" vertical="center" wrapText="1" readingOrder="1"/>
    </xf>
    <xf numFmtId="0" fontId="1" fillId="0" borderId="5" xfId="49" applyFont="1" applyFill="1" applyBorder="1" applyAlignment="1">
      <alignment horizontal="left" vertical="center" wrapText="1" readingOrder="1"/>
    </xf>
    <xf numFmtId="2" fontId="6" fillId="33" borderId="13" xfId="49" applyNumberFormat="1" applyFont="1" applyFill="1" applyBorder="1" applyAlignment="1">
      <alignment vertical="center" readingOrder="1"/>
    </xf>
    <xf numFmtId="4" fontId="6" fillId="33" borderId="13" xfId="49" applyNumberFormat="1" applyFont="1" applyFill="1" applyBorder="1" applyAlignment="1">
      <alignment horizontal="right" vertical="center" readingOrder="1"/>
    </xf>
    <xf numFmtId="166" fontId="14" fillId="33" borderId="13" xfId="49" applyNumberFormat="1" applyFont="1" applyFill="1" applyBorder="1" applyAlignment="1">
      <alignment vertical="center" readingOrder="1"/>
    </xf>
    <xf numFmtId="4" fontId="15" fillId="33" borderId="13" xfId="49" applyNumberFormat="1" applyFont="1" applyFill="1" applyBorder="1" applyAlignment="1">
      <alignment horizontal="right" vertical="center" readingOrder="1"/>
    </xf>
    <xf numFmtId="4" fontId="1" fillId="0" borderId="5" xfId="49" applyNumberFormat="1" applyFont="1" applyBorder="1" applyAlignment="1">
      <alignment vertical="center" readingOrder="1"/>
    </xf>
    <xf numFmtId="4" fontId="1" fillId="0" borderId="5" xfId="49" applyNumberFormat="1" applyFont="1" applyFill="1" applyBorder="1" applyAlignment="1">
      <alignment vertical="center" readingOrder="1"/>
    </xf>
    <xf numFmtId="0" fontId="37" fillId="0" borderId="0" xfId="0" applyFont="1" applyFill="1" applyAlignment="1">
      <alignment vertical="center" readingOrder="1"/>
    </xf>
    <xf numFmtId="0" fontId="6" fillId="0" borderId="5" xfId="49" applyFont="1" applyFill="1" applyBorder="1" applyAlignment="1">
      <alignment horizontal="left" vertical="center" wrapText="1" readingOrder="1"/>
    </xf>
    <xf numFmtId="0" fontId="0" fillId="0" borderId="0" xfId="0" applyFont="1" applyAlignment="1">
      <alignment vertical="center" readingOrder="1"/>
    </xf>
    <xf numFmtId="0" fontId="0" fillId="0" borderId="18" xfId="0" applyBorder="1" applyAlignment="1">
      <alignment vertical="center" readingOrder="1"/>
    </xf>
    <xf numFmtId="0" fontId="0" fillId="0" borderId="6" xfId="0" applyBorder="1" applyAlignment="1">
      <alignment vertical="center" readingOrder="1"/>
    </xf>
    <xf numFmtId="0" fontId="0" fillId="0" borderId="17" xfId="0" applyBorder="1" applyAlignment="1">
      <alignment vertical="center" readingOrder="1"/>
    </xf>
    <xf numFmtId="168" fontId="0" fillId="0" borderId="17" xfId="58" applyNumberFormat="1" applyFont="1" applyBorder="1" applyAlignment="1">
      <alignment vertical="center" readingOrder="1"/>
    </xf>
    <xf numFmtId="0" fontId="0" fillId="0" borderId="0" xfId="0" applyBorder="1" applyAlignment="1">
      <alignment vertical="center" readingOrder="1"/>
    </xf>
    <xf numFmtId="0" fontId="7" fillId="0" borderId="2" xfId="49" applyFont="1" applyFill="1" applyBorder="1" applyAlignment="1">
      <alignment vertical="center" readingOrder="1"/>
    </xf>
    <xf numFmtId="0" fontId="7" fillId="0" borderId="2" xfId="49" applyFont="1" applyFill="1" applyBorder="1" applyAlignment="1">
      <alignment horizontal="left" vertical="center" wrapText="1" readingOrder="1"/>
    </xf>
    <xf numFmtId="4" fontId="7" fillId="0" borderId="2" xfId="49" applyNumberFormat="1" applyFont="1" applyFill="1" applyBorder="1" applyAlignment="1">
      <alignment horizontal="right" vertical="center" readingOrder="1"/>
    </xf>
    <xf numFmtId="2" fontId="7" fillId="0" borderId="2" xfId="49" applyNumberFormat="1" applyFont="1" applyFill="1" applyBorder="1" applyAlignment="1">
      <alignment vertical="center" readingOrder="1"/>
    </xf>
    <xf numFmtId="166" fontId="16" fillId="0" borderId="2" xfId="49" applyNumberFormat="1" applyFont="1" applyFill="1" applyBorder="1" applyAlignment="1">
      <alignment vertical="center" readingOrder="1"/>
    </xf>
    <xf numFmtId="3" fontId="7" fillId="0" borderId="2" xfId="49" applyNumberFormat="1" applyFont="1" applyFill="1" applyBorder="1" applyAlignment="1">
      <alignment horizontal="right" vertical="center" readingOrder="1"/>
    </xf>
    <xf numFmtId="0" fontId="7" fillId="0" borderId="0" xfId="49" applyFont="1" applyFill="1" applyBorder="1" applyAlignment="1">
      <alignment vertical="center" readingOrder="1"/>
    </xf>
    <xf numFmtId="0" fontId="7" fillId="0" borderId="0" xfId="49" applyFont="1" applyFill="1" applyBorder="1" applyAlignment="1">
      <alignment horizontal="left" vertical="center" wrapText="1" readingOrder="1"/>
    </xf>
    <xf numFmtId="4" fontId="7" fillId="0" borderId="0" xfId="49" applyNumberFormat="1" applyFont="1" applyFill="1" applyBorder="1" applyAlignment="1">
      <alignment horizontal="right" vertical="center" readingOrder="1"/>
    </xf>
    <xf numFmtId="2" fontId="7" fillId="0" borderId="0" xfId="49" applyNumberFormat="1" applyFont="1" applyFill="1" applyBorder="1" applyAlignment="1">
      <alignment vertical="center" readingOrder="1"/>
    </xf>
    <xf numFmtId="166" fontId="16" fillId="0" borderId="0" xfId="49" applyNumberFormat="1" applyFont="1" applyFill="1" applyBorder="1" applyAlignment="1">
      <alignment vertical="center" readingOrder="1"/>
    </xf>
    <xf numFmtId="3" fontId="37" fillId="0" borderId="0" xfId="0" applyNumberFormat="1" applyFont="1" applyAlignment="1">
      <alignment vertical="center" readingOrder="1"/>
    </xf>
    <xf numFmtId="0" fontId="38" fillId="0" borderId="0" xfId="0" applyFont="1" applyAlignment="1">
      <alignment vertical="center" readingOrder="1"/>
    </xf>
    <xf numFmtId="0" fontId="9" fillId="0" borderId="0" xfId="49" applyFont="1" applyFill="1" applyAlignment="1">
      <alignment vertical="center" readingOrder="1"/>
    </xf>
    <xf numFmtId="0" fontId="11" fillId="0" borderId="0" xfId="49" applyFont="1" applyFill="1" applyAlignment="1">
      <alignment vertical="center" readingOrder="1"/>
    </xf>
    <xf numFmtId="0" fontId="5" fillId="0" borderId="0" xfId="49" applyFont="1" applyAlignment="1">
      <alignment vertical="center" readingOrder="1"/>
    </xf>
    <xf numFmtId="0" fontId="0" fillId="0" borderId="0" xfId="0" applyFill="1" applyAlignment="1">
      <alignment vertical="center" readingOrder="1"/>
    </xf>
    <xf numFmtId="3" fontId="0" fillId="0" borderId="0" xfId="0" applyNumberFormat="1" applyAlignment="1">
      <alignment vertical="center" readingOrder="1"/>
    </xf>
    <xf numFmtId="0" fontId="5" fillId="0" borderId="6" xfId="49" applyFont="1" applyFill="1" applyBorder="1" applyAlignment="1">
      <alignment vertical="center" readingOrder="1"/>
    </xf>
    <xf numFmtId="0" fontId="36" fillId="0" borderId="0" xfId="49" applyFont="1" applyFill="1" applyAlignment="1">
      <alignment vertical="center" readingOrder="1"/>
    </xf>
    <xf numFmtId="0" fontId="7" fillId="0" borderId="1" xfId="49" applyFont="1" applyFill="1" applyBorder="1" applyAlignment="1">
      <alignment horizontal="center" vertical="center" wrapText="1" readingOrder="1"/>
    </xf>
    <xf numFmtId="0" fontId="8" fillId="0" borderId="13" xfId="49" applyFont="1" applyFill="1" applyBorder="1" applyAlignment="1">
      <alignment horizontal="center" vertical="center" wrapText="1" readingOrder="1"/>
    </xf>
    <xf numFmtId="0" fontId="6" fillId="0" borderId="0" xfId="49" applyFont="1" applyFill="1" applyBorder="1" applyAlignment="1">
      <alignment horizontal="left" vertical="center" wrapText="1" readingOrder="1"/>
    </xf>
    <xf numFmtId="0" fontId="6" fillId="0" borderId="8" xfId="49" applyFont="1" applyFill="1" applyBorder="1" applyAlignment="1">
      <alignment horizontal="left" vertical="center" wrapText="1" readingOrder="1"/>
    </xf>
    <xf numFmtId="0" fontId="7" fillId="0" borderId="2" xfId="49" applyFont="1" applyFill="1" applyBorder="1" applyAlignment="1">
      <alignment horizontal="left" vertical="center" wrapText="1" readingOrder="1"/>
    </xf>
    <xf numFmtId="0" fontId="1" fillId="33" borderId="15" xfId="49" applyFont="1" applyFill="1" applyBorder="1" applyAlignment="1">
      <alignment horizontal="left" vertical="center" wrapText="1" readingOrder="1"/>
    </xf>
    <xf numFmtId="0" fontId="1" fillId="0" borderId="8" xfId="49" applyFont="1" applyFill="1" applyBorder="1" applyAlignment="1">
      <alignment horizontal="left" vertical="center" wrapText="1" readingOrder="1"/>
    </xf>
    <xf numFmtId="0" fontId="1" fillId="0" borderId="0" xfId="49" applyFont="1" applyFill="1" applyBorder="1" applyAlignment="1">
      <alignment horizontal="left" vertical="center" wrapText="1" readingOrder="1"/>
    </xf>
    <xf numFmtId="0" fontId="1" fillId="33" borderId="13" xfId="49" applyFont="1" applyFill="1" applyBorder="1" applyAlignment="1">
      <alignment horizontal="left" vertical="center" wrapText="1" readingOrder="1"/>
    </xf>
    <xf numFmtId="0" fontId="1" fillId="33" borderId="0" xfId="49" applyFont="1" applyFill="1" applyBorder="1" applyAlignment="1">
      <alignment horizontal="left" vertical="center" wrapText="1" readingOrder="1"/>
    </xf>
    <xf numFmtId="4" fontId="6" fillId="0" borderId="0" xfId="49" applyNumberFormat="1" applyFont="1" applyFill="1" applyBorder="1" applyAlignment="1">
      <alignment horizontal="left" vertical="center" wrapText="1" readingOrder="1"/>
    </xf>
    <xf numFmtId="4" fontId="6" fillId="0" borderId="8" xfId="49" applyNumberFormat="1" applyFont="1" applyFill="1" applyBorder="1" applyAlignment="1">
      <alignment horizontal="left" vertical="center" wrapText="1" readingOrder="1"/>
    </xf>
    <xf numFmtId="4" fontId="1" fillId="34" borderId="16" xfId="49" applyNumberFormat="1" applyFont="1" applyFill="1" applyBorder="1" applyAlignment="1">
      <alignment horizontal="left" vertical="center" wrapText="1" readingOrder="1"/>
    </xf>
    <xf numFmtId="4" fontId="1" fillId="34" borderId="13" xfId="49" applyNumberFormat="1" applyFont="1" applyFill="1" applyBorder="1" applyAlignment="1">
      <alignment horizontal="left" vertical="center" wrapText="1" readingOrder="1"/>
    </xf>
    <xf numFmtId="4" fontId="1" fillId="34" borderId="15" xfId="49" applyNumberFormat="1" applyFont="1" applyFill="1" applyBorder="1" applyAlignment="1">
      <alignment horizontal="left" vertical="center" wrapText="1" readingOrder="1"/>
    </xf>
    <xf numFmtId="4" fontId="1" fillId="33" borderId="13" xfId="49" applyNumberFormat="1" applyFont="1" applyFill="1" applyBorder="1" applyAlignment="1">
      <alignment horizontal="left" vertical="center" wrapText="1" readingOrder="1"/>
    </xf>
    <xf numFmtId="0" fontId="6" fillId="0" borderId="19" xfId="49" applyFont="1" applyFill="1" applyBorder="1" applyAlignment="1">
      <alignment horizontal="left" vertical="center" wrapText="1" readingOrder="1"/>
    </xf>
    <xf numFmtId="0" fontId="6" fillId="0" borderId="20" xfId="49" applyFont="1" applyFill="1" applyBorder="1" applyAlignment="1">
      <alignment horizontal="left" vertical="center" wrapText="1" readingOrder="1"/>
    </xf>
    <xf numFmtId="0" fontId="1" fillId="33" borderId="11" xfId="49" applyFont="1" applyFill="1" applyBorder="1" applyAlignment="1">
      <alignment horizontal="left" vertical="center" wrapText="1" readingOrder="1"/>
    </xf>
    <xf numFmtId="0" fontId="6" fillId="0" borderId="0" xfId="49" applyFont="1" applyFill="1" applyBorder="1" applyAlignment="1">
      <alignment horizontal="left" vertical="center" wrapText="1" readingOrder="1"/>
    </xf>
    <xf numFmtId="0" fontId="6" fillId="0" borderId="8" xfId="49" applyFont="1" applyFill="1" applyBorder="1" applyAlignment="1">
      <alignment horizontal="left" vertical="center" wrapText="1" readingOrder="1"/>
    </xf>
    <xf numFmtId="0" fontId="7" fillId="0" borderId="1" xfId="49" applyFont="1" applyFill="1" applyBorder="1" applyAlignment="1">
      <alignment horizontal="center" vertical="center" wrapText="1" readingOrder="1"/>
    </xf>
    <xf numFmtId="0" fontId="8" fillId="0" borderId="13" xfId="49" applyFont="1" applyFill="1" applyBorder="1" applyAlignment="1">
      <alignment horizontal="center" vertical="center" wrapText="1" readingOrder="1"/>
    </xf>
    <xf numFmtId="0" fontId="6" fillId="0" borderId="0" xfId="49" applyFont="1" applyFill="1" applyBorder="1" applyAlignment="1">
      <alignment horizontal="left" vertical="center" wrapText="1" readingOrder="1"/>
    </xf>
    <xf numFmtId="0" fontId="6" fillId="0" borderId="8" xfId="49" applyFont="1" applyFill="1" applyBorder="1" applyAlignment="1">
      <alignment horizontal="left" vertical="center" wrapText="1" readingOrder="1"/>
    </xf>
    <xf numFmtId="0" fontId="7" fillId="0" borderId="2" xfId="49" applyFont="1" applyFill="1" applyBorder="1" applyAlignment="1">
      <alignment horizontal="left" vertical="center" wrapText="1" readingOrder="1"/>
    </xf>
    <xf numFmtId="0" fontId="1" fillId="33" borderId="15" xfId="49" applyFont="1" applyFill="1" applyBorder="1" applyAlignment="1">
      <alignment horizontal="left" vertical="center" wrapText="1" readingOrder="1"/>
    </xf>
    <xf numFmtId="0" fontId="1" fillId="0" borderId="8" xfId="49" applyFont="1" applyFill="1" applyBorder="1" applyAlignment="1">
      <alignment horizontal="left" vertical="center" wrapText="1" readingOrder="1"/>
    </xf>
    <xf numFmtId="0" fontId="1" fillId="0" borderId="0" xfId="49" applyFont="1" applyFill="1" applyBorder="1" applyAlignment="1">
      <alignment horizontal="left" vertical="center" wrapText="1" readingOrder="1"/>
    </xf>
    <xf numFmtId="0" fontId="1" fillId="33" borderId="13" xfId="49" applyFont="1" applyFill="1" applyBorder="1" applyAlignment="1">
      <alignment horizontal="left" vertical="center" wrapText="1" readingOrder="1"/>
    </xf>
    <xf numFmtId="0" fontId="1" fillId="33" borderId="0" xfId="49" applyFont="1" applyFill="1" applyBorder="1" applyAlignment="1">
      <alignment horizontal="left" vertical="center" wrapText="1" readingOrder="1"/>
    </xf>
    <xf numFmtId="4" fontId="6" fillId="0" borderId="0" xfId="49" applyNumberFormat="1" applyFont="1" applyFill="1" applyBorder="1" applyAlignment="1">
      <alignment horizontal="left" vertical="center" wrapText="1" readingOrder="1"/>
    </xf>
    <xf numFmtId="4" fontId="6" fillId="0" borderId="8" xfId="49" applyNumberFormat="1" applyFont="1" applyFill="1" applyBorder="1" applyAlignment="1">
      <alignment horizontal="left" vertical="center" wrapText="1" readingOrder="1"/>
    </xf>
    <xf numFmtId="4" fontId="1" fillId="34" borderId="16" xfId="49" applyNumberFormat="1" applyFont="1" applyFill="1" applyBorder="1" applyAlignment="1">
      <alignment horizontal="left" vertical="center" wrapText="1" readingOrder="1"/>
    </xf>
    <xf numFmtId="4" fontId="1" fillId="34" borderId="13" xfId="49" applyNumberFormat="1" applyFont="1" applyFill="1" applyBorder="1" applyAlignment="1">
      <alignment horizontal="left" vertical="center" wrapText="1" readingOrder="1"/>
    </xf>
    <xf numFmtId="4" fontId="1" fillId="34" borderId="15" xfId="49" applyNumberFormat="1" applyFont="1" applyFill="1" applyBorder="1" applyAlignment="1">
      <alignment horizontal="left" vertical="center" wrapText="1" readingOrder="1"/>
    </xf>
    <xf numFmtId="4" fontId="1" fillId="33" borderId="13" xfId="49" applyNumberFormat="1" applyFont="1" applyFill="1" applyBorder="1" applyAlignment="1">
      <alignment horizontal="left" vertical="center" wrapText="1" readingOrder="1"/>
    </xf>
    <xf numFmtId="0" fontId="6" fillId="0" borderId="19" xfId="49" applyFont="1" applyFill="1" applyBorder="1" applyAlignment="1">
      <alignment horizontal="left" vertical="center" wrapText="1" readingOrder="1"/>
    </xf>
    <xf numFmtId="0" fontId="6" fillId="0" borderId="20" xfId="49" applyFont="1" applyFill="1" applyBorder="1" applyAlignment="1">
      <alignment horizontal="left" vertical="center" wrapText="1" readingOrder="1"/>
    </xf>
    <xf numFmtId="0" fontId="1" fillId="33" borderId="11" xfId="49" applyFont="1" applyFill="1" applyBorder="1" applyAlignment="1">
      <alignment horizontal="left" vertical="center" wrapText="1" readingOrder="1"/>
    </xf>
    <xf numFmtId="0" fontId="8" fillId="0" borderId="13" xfId="49" applyFont="1" applyFill="1" applyBorder="1" applyAlignment="1">
      <alignment horizontal="center" vertical="center" wrapText="1" readingOrder="1"/>
    </xf>
    <xf numFmtId="0" fontId="7" fillId="0" borderId="1" xfId="49" applyFont="1" applyFill="1" applyBorder="1" applyAlignment="1">
      <alignment horizontal="center" vertical="center" wrapText="1" readingOrder="1"/>
    </xf>
    <xf numFmtId="0" fontId="6" fillId="0" borderId="0" xfId="49" applyFont="1" applyFill="1" applyBorder="1" applyAlignment="1">
      <alignment horizontal="left" vertical="center" wrapText="1" readingOrder="1"/>
    </xf>
    <xf numFmtId="0" fontId="6" fillId="0" borderId="8" xfId="49" applyFont="1" applyFill="1" applyBorder="1" applyAlignment="1">
      <alignment horizontal="left" vertical="center" wrapText="1" readingOrder="1"/>
    </xf>
    <xf numFmtId="0" fontId="1" fillId="33" borderId="11" xfId="49" applyFont="1" applyFill="1" applyBorder="1" applyAlignment="1">
      <alignment horizontal="left" vertical="center" wrapText="1" readingOrder="1"/>
    </xf>
    <xf numFmtId="0" fontId="1" fillId="33" borderId="0" xfId="49" applyFont="1" applyFill="1" applyBorder="1" applyAlignment="1">
      <alignment horizontal="left" vertical="center" wrapText="1" readingOrder="1"/>
    </xf>
    <xf numFmtId="4" fontId="1" fillId="33" borderId="13" xfId="49" applyNumberFormat="1" applyFont="1" applyFill="1" applyBorder="1" applyAlignment="1">
      <alignment horizontal="left" vertical="center" wrapText="1" readingOrder="1"/>
    </xf>
    <xf numFmtId="4" fontId="6" fillId="0" borderId="0" xfId="49" applyNumberFormat="1" applyFont="1" applyFill="1" applyBorder="1" applyAlignment="1">
      <alignment horizontal="left" vertical="center" wrapText="1" readingOrder="1"/>
    </xf>
    <xf numFmtId="4" fontId="6" fillId="0" borderId="8" xfId="49" applyNumberFormat="1" applyFont="1" applyFill="1" applyBorder="1" applyAlignment="1">
      <alignment horizontal="left" vertical="center" wrapText="1" readingOrder="1"/>
    </xf>
    <xf numFmtId="0" fontId="6" fillId="0" borderId="19" xfId="49" applyFont="1" applyFill="1" applyBorder="1" applyAlignment="1">
      <alignment horizontal="left" vertical="center" wrapText="1" readingOrder="1"/>
    </xf>
    <xf numFmtId="0" fontId="6" fillId="0" borderId="20" xfId="49" applyFont="1" applyFill="1" applyBorder="1" applyAlignment="1">
      <alignment horizontal="left" vertical="center" wrapText="1" readingOrder="1"/>
    </xf>
    <xf numFmtId="4" fontId="1" fillId="34" borderId="16" xfId="49" applyNumberFormat="1" applyFont="1" applyFill="1" applyBorder="1" applyAlignment="1">
      <alignment horizontal="left" vertical="center" wrapText="1" readingOrder="1"/>
    </xf>
    <xf numFmtId="4" fontId="1" fillId="34" borderId="13" xfId="49" applyNumberFormat="1" applyFont="1" applyFill="1" applyBorder="1" applyAlignment="1">
      <alignment horizontal="left" vertical="center" wrapText="1" readingOrder="1"/>
    </xf>
    <xf numFmtId="4" fontId="1" fillId="34" borderId="15" xfId="49" applyNumberFormat="1" applyFont="1" applyFill="1" applyBorder="1" applyAlignment="1">
      <alignment horizontal="left" vertical="center" wrapText="1" readingOrder="1"/>
    </xf>
    <xf numFmtId="0" fontId="1" fillId="0" borderId="0" xfId="49" applyFont="1" applyFill="1" applyBorder="1" applyAlignment="1">
      <alignment horizontal="left" vertical="center" wrapText="1" readingOrder="1"/>
    </xf>
    <xf numFmtId="0" fontId="1" fillId="0" borderId="8" xfId="49" applyFont="1" applyFill="1" applyBorder="1" applyAlignment="1">
      <alignment horizontal="left" vertical="center" wrapText="1" readingOrder="1"/>
    </xf>
    <xf numFmtId="0" fontId="1" fillId="33" borderId="15" xfId="49" applyFont="1" applyFill="1" applyBorder="1" applyAlignment="1">
      <alignment horizontal="left" vertical="center" wrapText="1" readingOrder="1"/>
    </xf>
    <xf numFmtId="0" fontId="1" fillId="33" borderId="13" xfId="49" applyFont="1" applyFill="1" applyBorder="1" applyAlignment="1">
      <alignment horizontal="left" vertical="center" wrapText="1" readingOrder="1"/>
    </xf>
    <xf numFmtId="0" fontId="7" fillId="0" borderId="2" xfId="49" applyFont="1" applyFill="1" applyBorder="1" applyAlignment="1">
      <alignment horizontal="left" vertical="center" wrapText="1" readingOrder="1"/>
    </xf>
    <xf numFmtId="0" fontId="6" fillId="0" borderId="7" xfId="49" applyFont="1" applyFill="1" applyBorder="1" applyAlignment="1">
      <alignment horizontal="left" vertical="center" wrapText="1" readingOrder="1"/>
    </xf>
    <xf numFmtId="0" fontId="6" fillId="0" borderId="0" xfId="49" applyFont="1" applyFill="1" applyBorder="1" applyAlignment="1">
      <alignment horizontal="left" vertical="center" wrapText="1" readingOrder="1"/>
    </xf>
    <xf numFmtId="0" fontId="6" fillId="0" borderId="8" xfId="49" applyFont="1" applyFill="1" applyBorder="1" applyAlignment="1">
      <alignment horizontal="left" vertical="center" wrapText="1" readingOrder="1"/>
    </xf>
    <xf numFmtId="4" fontId="6" fillId="35" borderId="5" xfId="49" applyNumberFormat="1" applyFont="1" applyFill="1" applyBorder="1" applyAlignment="1">
      <alignment horizontal="right" vertical="center" readingOrder="1"/>
    </xf>
    <xf numFmtId="4" fontId="5" fillId="0" borderId="0" xfId="49" applyNumberFormat="1" applyFont="1" applyFill="1" applyAlignment="1">
      <alignment vertical="center" readingOrder="1"/>
    </xf>
    <xf numFmtId="4" fontId="8" fillId="0" borderId="13" xfId="49" applyNumberFormat="1" applyFont="1" applyFill="1" applyBorder="1" applyAlignment="1">
      <alignment horizontal="center" vertical="center" wrapText="1" readingOrder="1"/>
    </xf>
    <xf numFmtId="4" fontId="5" fillId="0" borderId="1" xfId="49" applyNumberFormat="1" applyFont="1" applyFill="1" applyBorder="1" applyAlignment="1">
      <alignment vertical="center" readingOrder="1"/>
    </xf>
    <xf numFmtId="4" fontId="6" fillId="33" borderId="5" xfId="49" applyNumberFormat="1" applyFont="1" applyFill="1" applyBorder="1" applyAlignment="1">
      <alignment horizontal="right" vertical="center" readingOrder="1"/>
    </xf>
    <xf numFmtId="4" fontId="37" fillId="0" borderId="0" xfId="0" applyNumberFormat="1" applyFont="1" applyAlignment="1">
      <alignment vertical="center" readingOrder="1"/>
    </xf>
    <xf numFmtId="4" fontId="0" fillId="0" borderId="0" xfId="0" applyNumberFormat="1" applyAlignment="1">
      <alignment vertical="center" readingOrder="1"/>
    </xf>
    <xf numFmtId="0" fontId="7" fillId="0" borderId="1" xfId="49" applyFont="1" applyFill="1" applyBorder="1" applyAlignment="1">
      <alignment horizontal="center" vertical="center" wrapText="1" readingOrder="1"/>
    </xf>
    <xf numFmtId="0" fontId="8" fillId="0" borderId="13" xfId="49" applyFont="1" applyFill="1" applyBorder="1" applyAlignment="1">
      <alignment horizontal="center" vertical="center" wrapText="1" readingOrder="1"/>
    </xf>
    <xf numFmtId="0" fontId="6" fillId="0" borderId="0" xfId="49" applyFont="1" applyFill="1" applyBorder="1" applyAlignment="1">
      <alignment horizontal="left" vertical="center" wrapText="1" readingOrder="1"/>
    </xf>
    <xf numFmtId="0" fontId="6" fillId="0" borderId="8" xfId="49" applyFont="1" applyFill="1" applyBorder="1" applyAlignment="1">
      <alignment horizontal="left" vertical="center" wrapText="1" readingOrder="1"/>
    </xf>
    <xf numFmtId="0" fontId="7" fillId="0" borderId="2" xfId="49" applyFont="1" applyFill="1" applyBorder="1" applyAlignment="1">
      <alignment horizontal="left" vertical="center" wrapText="1" readingOrder="1"/>
    </xf>
    <xf numFmtId="0" fontId="1" fillId="33" borderId="15" xfId="49" applyFont="1" applyFill="1" applyBorder="1" applyAlignment="1">
      <alignment horizontal="left" vertical="center" wrapText="1" readingOrder="1"/>
    </xf>
    <xf numFmtId="0" fontId="1" fillId="0" borderId="8" xfId="49" applyFont="1" applyFill="1" applyBorder="1" applyAlignment="1">
      <alignment horizontal="left" vertical="center" wrapText="1" readingOrder="1"/>
    </xf>
    <xf numFmtId="0" fontId="1" fillId="0" borderId="0" xfId="49" applyFont="1" applyFill="1" applyBorder="1" applyAlignment="1">
      <alignment horizontal="left" vertical="center" wrapText="1" readingOrder="1"/>
    </xf>
    <xf numFmtId="0" fontId="1" fillId="33" borderId="13" xfId="49" applyFont="1" applyFill="1" applyBorder="1" applyAlignment="1">
      <alignment horizontal="left" vertical="center" wrapText="1" readingOrder="1"/>
    </xf>
    <xf numFmtId="0" fontId="1" fillId="33" borderId="0" xfId="49" applyFont="1" applyFill="1" applyBorder="1" applyAlignment="1">
      <alignment horizontal="left" vertical="center" wrapText="1" readingOrder="1"/>
    </xf>
    <xf numFmtId="4" fontId="6" fillId="0" borderId="0" xfId="49" applyNumberFormat="1" applyFont="1" applyFill="1" applyBorder="1" applyAlignment="1">
      <alignment horizontal="left" vertical="center" wrapText="1" readingOrder="1"/>
    </xf>
    <xf numFmtId="4" fontId="6" fillId="0" borderId="8" xfId="49" applyNumberFormat="1" applyFont="1" applyFill="1" applyBorder="1" applyAlignment="1">
      <alignment horizontal="left" vertical="center" wrapText="1" readingOrder="1"/>
    </xf>
    <xf numFmtId="4" fontId="1" fillId="34" borderId="16" xfId="49" applyNumberFormat="1" applyFont="1" applyFill="1" applyBorder="1" applyAlignment="1">
      <alignment horizontal="left" vertical="center" wrapText="1" readingOrder="1"/>
    </xf>
    <xf numFmtId="4" fontId="1" fillId="34" borderId="13" xfId="49" applyNumberFormat="1" applyFont="1" applyFill="1" applyBorder="1" applyAlignment="1">
      <alignment horizontal="left" vertical="center" wrapText="1" readingOrder="1"/>
    </xf>
    <xf numFmtId="4" fontId="1" fillId="34" borderId="15" xfId="49" applyNumberFormat="1" applyFont="1" applyFill="1" applyBorder="1" applyAlignment="1">
      <alignment horizontal="left" vertical="center" wrapText="1" readingOrder="1"/>
    </xf>
    <xf numFmtId="4" fontId="1" fillId="33" borderId="13" xfId="49" applyNumberFormat="1" applyFont="1" applyFill="1" applyBorder="1" applyAlignment="1">
      <alignment horizontal="left" vertical="center" wrapText="1" readingOrder="1"/>
    </xf>
    <xf numFmtId="0" fontId="6" fillId="0" borderId="19" xfId="49" applyFont="1" applyFill="1" applyBorder="1" applyAlignment="1">
      <alignment horizontal="left" vertical="center" wrapText="1" readingOrder="1"/>
    </xf>
    <xf numFmtId="0" fontId="6" fillId="0" borderId="20" xfId="49" applyFont="1" applyFill="1" applyBorder="1" applyAlignment="1">
      <alignment horizontal="left" vertical="center" wrapText="1" readingOrder="1"/>
    </xf>
    <xf numFmtId="0" fontId="6" fillId="0" borderId="7" xfId="49" applyFont="1" applyFill="1" applyBorder="1" applyAlignment="1">
      <alignment horizontal="left" vertical="center" wrapText="1" readingOrder="1"/>
    </xf>
    <xf numFmtId="0" fontId="1" fillId="33" borderId="11" xfId="49" applyFont="1" applyFill="1" applyBorder="1" applyAlignment="1">
      <alignment horizontal="left" vertical="center" wrapText="1" readingOrder="1"/>
    </xf>
    <xf numFmtId="0" fontId="0" fillId="35" borderId="0" xfId="0" applyFill="1" applyAlignment="1">
      <alignment vertical="center" readingOrder="1"/>
    </xf>
    <xf numFmtId="4" fontId="6" fillId="36" borderId="5" xfId="49" applyNumberFormat="1" applyFont="1" applyFill="1" applyBorder="1" applyAlignment="1">
      <alignment horizontal="right" vertical="center" readingOrder="1"/>
    </xf>
    <xf numFmtId="0" fontId="6" fillId="0" borderId="0" xfId="49" applyFont="1" applyFill="1" applyBorder="1" applyAlignment="1">
      <alignment horizontal="left" vertical="center" wrapText="1" readingOrder="1"/>
    </xf>
    <xf numFmtId="0" fontId="6" fillId="0" borderId="8" xfId="49" applyFont="1" applyFill="1" applyBorder="1" applyAlignment="1">
      <alignment horizontal="left" vertical="center" wrapText="1" readingOrder="1"/>
    </xf>
    <xf numFmtId="4" fontId="6" fillId="0" borderId="0" xfId="49" applyNumberFormat="1" applyFont="1" applyFill="1" applyAlignment="1">
      <alignment vertical="center" readingOrder="1"/>
    </xf>
    <xf numFmtId="4" fontId="6" fillId="0" borderId="0" xfId="49" applyNumberFormat="1" applyFont="1" applyFill="1" applyBorder="1" applyAlignment="1">
      <alignment horizontal="left" vertical="center" wrapText="1" readingOrder="1"/>
    </xf>
    <xf numFmtId="4" fontId="6" fillId="0" borderId="8" xfId="49" applyNumberFormat="1" applyFont="1" applyFill="1" applyBorder="1" applyAlignment="1">
      <alignment horizontal="left" vertical="center" wrapText="1" readingOrder="1"/>
    </xf>
    <xf numFmtId="0" fontId="7" fillId="0" borderId="1" xfId="49" applyFont="1" applyFill="1" applyBorder="1" applyAlignment="1">
      <alignment horizontal="center" vertical="center" wrapText="1" readingOrder="1"/>
    </xf>
    <xf numFmtId="0" fontId="8" fillId="0" borderId="13" xfId="49" applyFont="1" applyFill="1" applyBorder="1" applyAlignment="1">
      <alignment horizontal="center" vertical="center" wrapText="1" readingOrder="1"/>
    </xf>
    <xf numFmtId="0" fontId="6" fillId="0" borderId="0" xfId="49" applyFont="1" applyFill="1" applyBorder="1" applyAlignment="1">
      <alignment horizontal="left" vertical="center" wrapText="1" readingOrder="1"/>
    </xf>
    <xf numFmtId="0" fontId="6" fillId="0" borderId="8" xfId="49" applyFont="1" applyFill="1" applyBorder="1" applyAlignment="1">
      <alignment horizontal="left" vertical="center" wrapText="1" readingOrder="1"/>
    </xf>
    <xf numFmtId="0" fontId="7" fillId="0" borderId="2" xfId="49" applyFont="1" applyFill="1" applyBorder="1" applyAlignment="1">
      <alignment horizontal="left" vertical="center" wrapText="1" readingOrder="1"/>
    </xf>
    <xf numFmtId="0" fontId="1" fillId="33" borderId="15" xfId="49" applyFont="1" applyFill="1" applyBorder="1" applyAlignment="1">
      <alignment horizontal="left" vertical="center" wrapText="1" readingOrder="1"/>
    </xf>
    <xf numFmtId="0" fontId="1" fillId="0" borderId="8" xfId="49" applyFont="1" applyFill="1" applyBorder="1" applyAlignment="1">
      <alignment horizontal="left" vertical="center" wrapText="1" readingOrder="1"/>
    </xf>
    <xf numFmtId="0" fontId="1" fillId="0" borderId="0" xfId="49" applyFont="1" applyFill="1" applyBorder="1" applyAlignment="1">
      <alignment horizontal="left" vertical="center" wrapText="1" readingOrder="1"/>
    </xf>
    <xf numFmtId="0" fontId="1" fillId="33" borderId="13" xfId="49" applyFont="1" applyFill="1" applyBorder="1" applyAlignment="1">
      <alignment horizontal="left" vertical="center" wrapText="1" readingOrder="1"/>
    </xf>
    <xf numFmtId="0" fontId="1" fillId="33" borderId="0" xfId="49" applyFont="1" applyFill="1" applyBorder="1" applyAlignment="1">
      <alignment horizontal="left" vertical="center" wrapText="1" readingOrder="1"/>
    </xf>
    <xf numFmtId="4" fontId="6" fillId="0" borderId="0" xfId="49" applyNumberFormat="1" applyFont="1" applyFill="1" applyBorder="1" applyAlignment="1">
      <alignment horizontal="left" vertical="center" wrapText="1" readingOrder="1"/>
    </xf>
    <xf numFmtId="4" fontId="6" fillId="0" borderId="8" xfId="49" applyNumberFormat="1" applyFont="1" applyFill="1" applyBorder="1" applyAlignment="1">
      <alignment horizontal="left" vertical="center" wrapText="1" readingOrder="1"/>
    </xf>
    <xf numFmtId="4" fontId="1" fillId="34" borderId="16" xfId="49" applyNumberFormat="1" applyFont="1" applyFill="1" applyBorder="1" applyAlignment="1">
      <alignment horizontal="left" vertical="center" wrapText="1" readingOrder="1"/>
    </xf>
    <xf numFmtId="4" fontId="1" fillId="34" borderId="13" xfId="49" applyNumberFormat="1" applyFont="1" applyFill="1" applyBorder="1" applyAlignment="1">
      <alignment horizontal="left" vertical="center" wrapText="1" readingOrder="1"/>
    </xf>
    <xf numFmtId="4" fontId="1" fillId="34" borderId="15" xfId="49" applyNumberFormat="1" applyFont="1" applyFill="1" applyBorder="1" applyAlignment="1">
      <alignment horizontal="left" vertical="center" wrapText="1" readingOrder="1"/>
    </xf>
    <xf numFmtId="4" fontId="1" fillId="33" borderId="13" xfId="49" applyNumberFormat="1" applyFont="1" applyFill="1" applyBorder="1" applyAlignment="1">
      <alignment horizontal="left" vertical="center" wrapText="1" readingOrder="1"/>
    </xf>
    <xf numFmtId="0" fontId="6" fillId="0" borderId="19" xfId="49" applyFont="1" applyFill="1" applyBorder="1" applyAlignment="1">
      <alignment horizontal="left" vertical="center" wrapText="1" readingOrder="1"/>
    </xf>
    <xf numFmtId="0" fontId="6" fillId="0" borderId="20" xfId="49" applyFont="1" applyFill="1" applyBorder="1" applyAlignment="1">
      <alignment horizontal="left" vertical="center" wrapText="1" readingOrder="1"/>
    </xf>
    <xf numFmtId="0" fontId="6" fillId="0" borderId="7" xfId="49" applyFont="1" applyFill="1" applyBorder="1" applyAlignment="1">
      <alignment horizontal="left" vertical="center" wrapText="1" readingOrder="1"/>
    </xf>
    <xf numFmtId="0" fontId="1" fillId="33" borderId="11" xfId="49" applyFont="1" applyFill="1" applyBorder="1" applyAlignment="1">
      <alignment horizontal="left" vertical="center" wrapText="1" readingOrder="1"/>
    </xf>
    <xf numFmtId="0" fontId="7" fillId="0" borderId="1" xfId="49" applyFont="1" applyFill="1" applyBorder="1" applyAlignment="1">
      <alignment horizontal="center" vertical="center" wrapText="1" readingOrder="1"/>
    </xf>
    <xf numFmtId="0" fontId="8" fillId="0" borderId="13" xfId="49" applyFont="1" applyFill="1" applyBorder="1" applyAlignment="1">
      <alignment horizontal="center" vertical="center" wrapText="1" readingOrder="1"/>
    </xf>
    <xf numFmtId="0" fontId="6" fillId="0" borderId="0" xfId="49" applyFont="1" applyFill="1" applyBorder="1" applyAlignment="1">
      <alignment horizontal="left" vertical="center" wrapText="1" readingOrder="1"/>
    </xf>
    <xf numFmtId="0" fontId="6" fillId="0" borderId="8" xfId="49" applyFont="1" applyFill="1" applyBorder="1" applyAlignment="1">
      <alignment horizontal="left" vertical="center" wrapText="1" readingOrder="1"/>
    </xf>
    <xf numFmtId="0" fontId="7" fillId="0" borderId="2" xfId="49" applyFont="1" applyFill="1" applyBorder="1" applyAlignment="1">
      <alignment horizontal="left" vertical="center" wrapText="1" readingOrder="1"/>
    </xf>
    <xf numFmtId="0" fontId="1" fillId="33" borderId="15" xfId="49" applyFont="1" applyFill="1" applyBorder="1" applyAlignment="1">
      <alignment horizontal="left" vertical="center" wrapText="1" readingOrder="1"/>
    </xf>
    <xf numFmtId="0" fontId="1" fillId="0" borderId="8" xfId="49" applyFont="1" applyFill="1" applyBorder="1" applyAlignment="1">
      <alignment horizontal="left" vertical="center" wrapText="1" readingOrder="1"/>
    </xf>
    <xf numFmtId="0" fontId="1" fillId="0" borderId="0" xfId="49" applyFont="1" applyFill="1" applyBorder="1" applyAlignment="1">
      <alignment horizontal="left" vertical="center" wrapText="1" readingOrder="1"/>
    </xf>
    <xf numFmtId="0" fontId="1" fillId="33" borderId="13" xfId="49" applyFont="1" applyFill="1" applyBorder="1" applyAlignment="1">
      <alignment horizontal="left" vertical="center" wrapText="1" readingOrder="1"/>
    </xf>
    <xf numFmtId="0" fontId="1" fillId="33" borderId="0" xfId="49" applyFont="1" applyFill="1" applyBorder="1" applyAlignment="1">
      <alignment horizontal="left" vertical="center" wrapText="1" readingOrder="1"/>
    </xf>
    <xf numFmtId="4" fontId="6" fillId="0" borderId="0" xfId="49" applyNumberFormat="1" applyFont="1" applyFill="1" applyBorder="1" applyAlignment="1">
      <alignment horizontal="left" vertical="center" wrapText="1" readingOrder="1"/>
    </xf>
    <xf numFmtId="4" fontId="6" fillId="0" borderId="8" xfId="49" applyNumberFormat="1" applyFont="1" applyFill="1" applyBorder="1" applyAlignment="1">
      <alignment horizontal="left" vertical="center" wrapText="1" readingOrder="1"/>
    </xf>
    <xf numFmtId="4" fontId="1" fillId="34" borderId="16" xfId="49" applyNumberFormat="1" applyFont="1" applyFill="1" applyBorder="1" applyAlignment="1">
      <alignment horizontal="left" vertical="center" wrapText="1" readingOrder="1"/>
    </xf>
    <xf numFmtId="4" fontId="1" fillId="34" borderId="13" xfId="49" applyNumberFormat="1" applyFont="1" applyFill="1" applyBorder="1" applyAlignment="1">
      <alignment horizontal="left" vertical="center" wrapText="1" readingOrder="1"/>
    </xf>
    <xf numFmtId="4" fontId="1" fillId="34" borderId="15" xfId="49" applyNumberFormat="1" applyFont="1" applyFill="1" applyBorder="1" applyAlignment="1">
      <alignment horizontal="left" vertical="center" wrapText="1" readingOrder="1"/>
    </xf>
    <xf numFmtId="4" fontId="1" fillId="33" borderId="13" xfId="49" applyNumberFormat="1" applyFont="1" applyFill="1" applyBorder="1" applyAlignment="1">
      <alignment horizontal="left" vertical="center" wrapText="1" readingOrder="1"/>
    </xf>
    <xf numFmtId="0" fontId="6" fillId="0" borderId="19" xfId="49" applyFont="1" applyFill="1" applyBorder="1" applyAlignment="1">
      <alignment horizontal="left" vertical="center" wrapText="1" readingOrder="1"/>
    </xf>
    <xf numFmtId="0" fontId="6" fillId="0" borderId="20" xfId="49" applyFont="1" applyFill="1" applyBorder="1" applyAlignment="1">
      <alignment horizontal="left" vertical="center" wrapText="1" readingOrder="1"/>
    </xf>
    <xf numFmtId="0" fontId="6" fillId="0" borderId="7" xfId="49" applyFont="1" applyFill="1" applyBorder="1" applyAlignment="1">
      <alignment horizontal="left" vertical="center" wrapText="1" readingOrder="1"/>
    </xf>
    <xf numFmtId="0" fontId="1" fillId="33" borderId="11" xfId="49" applyFont="1" applyFill="1" applyBorder="1" applyAlignment="1">
      <alignment horizontal="left" vertical="center" wrapText="1" readingOrder="1"/>
    </xf>
    <xf numFmtId="0" fontId="7" fillId="0" borderId="1" xfId="49" applyFont="1" applyFill="1" applyBorder="1" applyAlignment="1">
      <alignment horizontal="center" vertical="center" wrapText="1" readingOrder="1"/>
    </xf>
    <xf numFmtId="0" fontId="8" fillId="0" borderId="13" xfId="49" applyFont="1" applyFill="1" applyBorder="1" applyAlignment="1">
      <alignment horizontal="center" vertical="center" wrapText="1" readingOrder="1"/>
    </xf>
    <xf numFmtId="0" fontId="6" fillId="0" borderId="0" xfId="49" applyFont="1" applyFill="1" applyBorder="1" applyAlignment="1">
      <alignment horizontal="left" vertical="center" wrapText="1" readingOrder="1"/>
    </xf>
    <xf numFmtId="0" fontId="6" fillId="0" borderId="8" xfId="49" applyFont="1" applyFill="1" applyBorder="1" applyAlignment="1">
      <alignment horizontal="left" vertical="center" wrapText="1" readingOrder="1"/>
    </xf>
    <xf numFmtId="0" fontId="7" fillId="0" borderId="2" xfId="49" applyFont="1" applyFill="1" applyBorder="1" applyAlignment="1">
      <alignment horizontal="left" vertical="center" wrapText="1" readingOrder="1"/>
    </xf>
    <xf numFmtId="0" fontId="1" fillId="33" borderId="15" xfId="49" applyFont="1" applyFill="1" applyBorder="1" applyAlignment="1">
      <alignment horizontal="left" vertical="center" wrapText="1" readingOrder="1"/>
    </xf>
    <xf numFmtId="0" fontId="1" fillId="0" borderId="8" xfId="49" applyFont="1" applyFill="1" applyBorder="1" applyAlignment="1">
      <alignment horizontal="left" vertical="center" wrapText="1" readingOrder="1"/>
    </xf>
    <xf numFmtId="0" fontId="1" fillId="0" borderId="0" xfId="49" applyFont="1" applyFill="1" applyBorder="1" applyAlignment="1">
      <alignment horizontal="left" vertical="center" wrapText="1" readingOrder="1"/>
    </xf>
    <xf numFmtId="0" fontId="1" fillId="33" borderId="13" xfId="49" applyFont="1" applyFill="1" applyBorder="1" applyAlignment="1">
      <alignment horizontal="left" vertical="center" wrapText="1" readingOrder="1"/>
    </xf>
    <xf numFmtId="0" fontId="1" fillId="33" borderId="0" xfId="49" applyFont="1" applyFill="1" applyBorder="1" applyAlignment="1">
      <alignment horizontal="left" vertical="center" wrapText="1" readingOrder="1"/>
    </xf>
    <xf numFmtId="4" fontId="6" fillId="0" borderId="0" xfId="49" applyNumberFormat="1" applyFont="1" applyFill="1" applyBorder="1" applyAlignment="1">
      <alignment horizontal="left" vertical="center" wrapText="1" readingOrder="1"/>
    </xf>
    <xf numFmtId="4" fontId="6" fillId="0" borderId="8" xfId="49" applyNumberFormat="1" applyFont="1" applyFill="1" applyBorder="1" applyAlignment="1">
      <alignment horizontal="left" vertical="center" wrapText="1" readingOrder="1"/>
    </xf>
    <xf numFmtId="4" fontId="1" fillId="34" borderId="16" xfId="49" applyNumberFormat="1" applyFont="1" applyFill="1" applyBorder="1" applyAlignment="1">
      <alignment horizontal="left" vertical="center" wrapText="1" readingOrder="1"/>
    </xf>
    <xf numFmtId="4" fontId="1" fillId="34" borderId="13" xfId="49" applyNumberFormat="1" applyFont="1" applyFill="1" applyBorder="1" applyAlignment="1">
      <alignment horizontal="left" vertical="center" wrapText="1" readingOrder="1"/>
    </xf>
    <xf numFmtId="4" fontId="1" fillId="34" borderId="15" xfId="49" applyNumberFormat="1" applyFont="1" applyFill="1" applyBorder="1" applyAlignment="1">
      <alignment horizontal="left" vertical="center" wrapText="1" readingOrder="1"/>
    </xf>
    <xf numFmtId="4" fontId="1" fillId="33" borderId="13" xfId="49" applyNumberFormat="1" applyFont="1" applyFill="1" applyBorder="1" applyAlignment="1">
      <alignment horizontal="left" vertical="center" wrapText="1" readingOrder="1"/>
    </xf>
    <xf numFmtId="0" fontId="6" fillId="0" borderId="19" xfId="49" applyFont="1" applyFill="1" applyBorder="1" applyAlignment="1">
      <alignment horizontal="left" vertical="center" wrapText="1" readingOrder="1"/>
    </xf>
    <xf numFmtId="0" fontId="6" fillId="0" borderId="20" xfId="49" applyFont="1" applyFill="1" applyBorder="1" applyAlignment="1">
      <alignment horizontal="left" vertical="center" wrapText="1" readingOrder="1"/>
    </xf>
    <xf numFmtId="0" fontId="6" fillId="0" borderId="7" xfId="49" applyFont="1" applyFill="1" applyBorder="1" applyAlignment="1">
      <alignment horizontal="left" vertical="center" wrapText="1" readingOrder="1"/>
    </xf>
    <xf numFmtId="0" fontId="1" fillId="33" borderId="11" xfId="49" applyFont="1" applyFill="1" applyBorder="1" applyAlignment="1">
      <alignment horizontal="left" vertical="center" wrapText="1" readingOrder="1"/>
    </xf>
    <xf numFmtId="0" fontId="1" fillId="0" borderId="0" xfId="49" applyFont="1" applyFill="1" applyAlignment="1">
      <alignment horizontal="center" vertical="top"/>
    </xf>
    <xf numFmtId="0" fontId="1" fillId="0" borderId="0" xfId="49" applyFont="1" applyFill="1" applyAlignment="1">
      <alignment horizontal="center" readingOrder="1"/>
    </xf>
    <xf numFmtId="0" fontId="7" fillId="0" borderId="13" xfId="49" applyFont="1" applyFill="1" applyBorder="1" applyAlignment="1">
      <alignment horizontal="center" vertical="center" wrapText="1" readingOrder="1"/>
    </xf>
    <xf numFmtId="0" fontId="7" fillId="0" borderId="1" xfId="49" applyFont="1" applyFill="1" applyBorder="1" applyAlignment="1">
      <alignment horizontal="center" vertical="center" wrapText="1" readingOrder="1"/>
    </xf>
    <xf numFmtId="0" fontId="7" fillId="0" borderId="5" xfId="49" applyFont="1" applyFill="1" applyBorder="1" applyAlignment="1">
      <alignment horizontal="center" vertical="center" wrapText="1" readingOrder="1"/>
    </xf>
    <xf numFmtId="0" fontId="7" fillId="0" borderId="17" xfId="49" applyFont="1" applyFill="1" applyBorder="1" applyAlignment="1">
      <alignment horizontal="center" vertical="center" wrapText="1" readingOrder="1"/>
    </xf>
    <xf numFmtId="0" fontId="7" fillId="35" borderId="13" xfId="49" applyFont="1" applyFill="1" applyBorder="1" applyAlignment="1">
      <alignment horizontal="center" vertical="center" wrapText="1" readingOrder="1"/>
    </xf>
    <xf numFmtId="0" fontId="7" fillId="35" borderId="1" xfId="49" applyFont="1" applyFill="1" applyBorder="1" applyAlignment="1">
      <alignment horizontal="center" vertical="center" wrapText="1" readingOrder="1"/>
    </xf>
    <xf numFmtId="0" fontId="7" fillId="35" borderId="5" xfId="49" applyFont="1" applyFill="1" applyBorder="1" applyAlignment="1">
      <alignment horizontal="center" vertical="center" wrapText="1" readingOrder="1"/>
    </xf>
    <xf numFmtId="0" fontId="7" fillId="35" borderId="17" xfId="49" applyFont="1" applyFill="1" applyBorder="1" applyAlignment="1">
      <alignment horizontal="center" vertical="center" wrapText="1" readingOrder="1"/>
    </xf>
    <xf numFmtId="0" fontId="7" fillId="0" borderId="14" xfId="49" applyFont="1" applyFill="1" applyBorder="1" applyAlignment="1">
      <alignment horizontal="center" vertical="center" wrapText="1" readingOrder="1"/>
    </xf>
    <xf numFmtId="0" fontId="7" fillId="0" borderId="16" xfId="49" applyFont="1" applyFill="1" applyBorder="1" applyAlignment="1">
      <alignment horizontal="center" vertical="center" wrapText="1" readingOrder="1"/>
    </xf>
    <xf numFmtId="0" fontId="16" fillId="0" borderId="1" xfId="49" applyFont="1" applyFill="1" applyBorder="1" applyAlignment="1">
      <alignment horizontal="center" vertical="center" wrapText="1" readingOrder="1"/>
    </xf>
    <xf numFmtId="0" fontId="16" fillId="0" borderId="17" xfId="49" applyFont="1" applyFill="1" applyBorder="1" applyAlignment="1">
      <alignment horizontal="center" vertical="center" wrapText="1" readingOrder="1"/>
    </xf>
    <xf numFmtId="0" fontId="8" fillId="0" borderId="13" xfId="49" applyFont="1" applyFill="1" applyBorder="1" applyAlignment="1">
      <alignment horizontal="center" vertical="center" wrapText="1" readingOrder="1"/>
    </xf>
    <xf numFmtId="0" fontId="7" fillId="0" borderId="15" xfId="49" applyFont="1" applyFill="1" applyBorder="1" applyAlignment="1">
      <alignment horizontal="center" vertical="center" wrapText="1" readingOrder="1"/>
    </xf>
    <xf numFmtId="3" fontId="7" fillId="0" borderId="13" xfId="49" applyNumberFormat="1" applyFont="1" applyFill="1" applyBorder="1" applyAlignment="1">
      <alignment horizontal="center" vertical="center" wrapText="1" readingOrder="1"/>
    </xf>
    <xf numFmtId="0" fontId="6" fillId="0" borderId="7" xfId="49" applyFont="1" applyFill="1" applyBorder="1" applyAlignment="1">
      <alignment horizontal="left" vertical="top" wrapText="1"/>
    </xf>
    <xf numFmtId="0" fontId="6" fillId="0" borderId="0" xfId="49" applyFont="1" applyFill="1" applyBorder="1" applyAlignment="1">
      <alignment horizontal="left" vertical="top" wrapText="1"/>
    </xf>
    <xf numFmtId="0" fontId="6" fillId="0" borderId="8" xfId="49" applyFont="1" applyFill="1" applyBorder="1" applyAlignment="1">
      <alignment horizontal="left" vertical="top" wrapText="1"/>
    </xf>
    <xf numFmtId="0" fontId="6" fillId="0" borderId="0" xfId="49" applyFont="1" applyFill="1" applyBorder="1" applyAlignment="1">
      <alignment horizontal="left" vertical="top" wrapText="1" readingOrder="1"/>
    </xf>
    <xf numFmtId="0" fontId="6" fillId="0" borderId="8" xfId="49" applyFont="1" applyFill="1" applyBorder="1" applyAlignment="1">
      <alignment horizontal="left" vertical="top" wrapText="1" readingOrder="1"/>
    </xf>
    <xf numFmtId="0" fontId="1" fillId="33" borderId="10" xfId="49" applyFont="1" applyFill="1" applyBorder="1" applyAlignment="1">
      <alignment horizontal="left" vertical="top" wrapText="1"/>
    </xf>
    <xf numFmtId="0" fontId="1" fillId="33" borderId="11" xfId="49" applyFont="1" applyFill="1" applyBorder="1" applyAlignment="1">
      <alignment horizontal="left" vertical="top" wrapText="1"/>
    </xf>
    <xf numFmtId="0" fontId="1" fillId="33" borderId="12" xfId="49" applyFont="1" applyFill="1" applyBorder="1" applyAlignment="1">
      <alignment horizontal="left" vertical="top" wrapText="1"/>
    </xf>
    <xf numFmtId="0" fontId="1" fillId="33" borderId="11" xfId="49" applyFont="1" applyFill="1" applyBorder="1" applyAlignment="1">
      <alignment horizontal="left" vertical="top" wrapText="1" readingOrder="1"/>
    </xf>
    <xf numFmtId="0" fontId="1" fillId="33" borderId="12" xfId="49" applyFont="1" applyFill="1" applyBorder="1" applyAlignment="1">
      <alignment horizontal="left" vertical="top" wrapText="1" readingOrder="1"/>
    </xf>
    <xf numFmtId="0" fontId="1" fillId="33" borderId="7" xfId="49" applyFont="1" applyFill="1" applyBorder="1" applyAlignment="1">
      <alignment horizontal="left" vertical="top" wrapText="1"/>
    </xf>
    <xf numFmtId="0" fontId="1" fillId="33" borderId="0" xfId="49" applyFont="1" applyFill="1" applyBorder="1" applyAlignment="1">
      <alignment horizontal="left" vertical="top" wrapText="1"/>
    </xf>
    <xf numFmtId="0" fontId="1" fillId="33" borderId="8" xfId="49" applyFont="1" applyFill="1" applyBorder="1" applyAlignment="1">
      <alignment horizontal="left" vertical="top" wrapText="1"/>
    </xf>
    <xf numFmtId="0" fontId="1" fillId="33" borderId="0" xfId="49" applyFont="1" applyFill="1" applyBorder="1" applyAlignment="1">
      <alignment horizontal="left" vertical="top" wrapText="1" readingOrder="1"/>
    </xf>
    <xf numFmtId="0" fontId="1" fillId="33" borderId="8" xfId="49" applyFont="1" applyFill="1" applyBorder="1" applyAlignment="1">
      <alignment horizontal="left" vertical="top" wrapText="1" readingOrder="1"/>
    </xf>
    <xf numFmtId="0" fontId="6" fillId="0" borderId="19" xfId="49" applyFont="1" applyFill="1" applyBorder="1" applyAlignment="1">
      <alignment horizontal="left" vertical="top" wrapText="1" readingOrder="1"/>
    </xf>
    <xf numFmtId="0" fontId="6" fillId="0" borderId="20" xfId="49" applyFont="1" applyFill="1" applyBorder="1" applyAlignment="1">
      <alignment horizontal="left" vertical="top" wrapText="1" readingOrder="1"/>
    </xf>
    <xf numFmtId="4" fontId="1" fillId="33" borderId="13" xfId="49" applyNumberFormat="1" applyFont="1" applyFill="1" applyBorder="1" applyAlignment="1">
      <alignment horizontal="left" vertical="top" wrapText="1"/>
    </xf>
    <xf numFmtId="4" fontId="1" fillId="33" borderId="16" xfId="49" applyNumberFormat="1" applyFont="1" applyFill="1" applyBorder="1" applyAlignment="1">
      <alignment horizontal="left" vertical="top" wrapText="1" readingOrder="1"/>
    </xf>
    <xf numFmtId="4" fontId="1" fillId="33" borderId="13" xfId="49" applyNumberFormat="1" applyFont="1" applyFill="1" applyBorder="1" applyAlignment="1">
      <alignment horizontal="left" vertical="top" wrapText="1" readingOrder="1"/>
    </xf>
    <xf numFmtId="4" fontId="1" fillId="33" borderId="15" xfId="49" applyNumberFormat="1" applyFont="1" applyFill="1" applyBorder="1" applyAlignment="1">
      <alignment horizontal="left" vertical="top" wrapText="1" readingOrder="1"/>
    </xf>
    <xf numFmtId="4" fontId="6" fillId="0" borderId="0" xfId="49" applyNumberFormat="1" applyFont="1" applyFill="1" applyBorder="1" applyAlignment="1">
      <alignment horizontal="left" vertical="top" wrapText="1" readingOrder="1"/>
    </xf>
    <xf numFmtId="4" fontId="6" fillId="0" borderId="8" xfId="49" applyNumberFormat="1" applyFont="1" applyFill="1" applyBorder="1" applyAlignment="1">
      <alignment horizontal="left" vertical="top" wrapText="1" readingOrder="1"/>
    </xf>
    <xf numFmtId="0" fontId="6" fillId="0" borderId="21" xfId="49" applyFont="1" applyFill="1" applyBorder="1" applyAlignment="1">
      <alignment horizontal="left" vertical="top" wrapText="1"/>
    </xf>
    <xf numFmtId="0" fontId="6" fillId="0" borderId="19" xfId="49" applyFont="1" applyFill="1" applyBorder="1" applyAlignment="1">
      <alignment horizontal="left" vertical="top" wrapText="1"/>
    </xf>
    <xf numFmtId="0" fontId="6" fillId="0" borderId="20" xfId="49" applyFont="1" applyFill="1" applyBorder="1" applyAlignment="1">
      <alignment horizontal="left" vertical="top" wrapText="1"/>
    </xf>
    <xf numFmtId="0" fontId="1" fillId="33" borderId="11" xfId="49" applyFont="1" applyFill="1" applyBorder="1" applyAlignment="1">
      <alignment horizontal="left" vertical="top"/>
    </xf>
    <xf numFmtId="0" fontId="1" fillId="33" borderId="12" xfId="49" applyFont="1" applyFill="1" applyBorder="1" applyAlignment="1">
      <alignment horizontal="left" vertical="top"/>
    </xf>
    <xf numFmtId="4" fontId="1" fillId="34" borderId="16" xfId="49" applyNumberFormat="1" applyFont="1" applyFill="1" applyBorder="1" applyAlignment="1">
      <alignment horizontal="left" vertical="top" wrapText="1" readingOrder="1"/>
    </xf>
    <xf numFmtId="4" fontId="1" fillId="34" borderId="13" xfId="49" applyNumberFormat="1" applyFont="1" applyFill="1" applyBorder="1" applyAlignment="1">
      <alignment horizontal="left" vertical="top" wrapText="1" readingOrder="1"/>
    </xf>
    <xf numFmtId="4" fontId="1" fillId="34" borderId="15" xfId="49" applyNumberFormat="1" applyFont="1" applyFill="1" applyBorder="1" applyAlignment="1">
      <alignment horizontal="left" vertical="top" wrapText="1" readingOrder="1"/>
    </xf>
    <xf numFmtId="0" fontId="1" fillId="0" borderId="0" xfId="49" applyFont="1" applyFill="1" applyBorder="1" applyAlignment="1">
      <alignment horizontal="left" vertical="top" wrapText="1"/>
    </xf>
    <xf numFmtId="0" fontId="1" fillId="0" borderId="8" xfId="49" applyFont="1" applyFill="1" applyBorder="1" applyAlignment="1">
      <alignment horizontal="left" vertical="top" wrapText="1"/>
    </xf>
    <xf numFmtId="0" fontId="1" fillId="0" borderId="0" xfId="49" applyFont="1" applyFill="1" applyBorder="1" applyAlignment="1">
      <alignment horizontal="left" vertical="top" wrapText="1" readingOrder="1"/>
    </xf>
    <xf numFmtId="0" fontId="1" fillId="0" borderId="8" xfId="49" applyFont="1" applyFill="1" applyBorder="1" applyAlignment="1">
      <alignment horizontal="left" vertical="top" wrapText="1" readingOrder="1"/>
    </xf>
    <xf numFmtId="0" fontId="1" fillId="33" borderId="15" xfId="49" applyFont="1" applyFill="1" applyBorder="1" applyAlignment="1">
      <alignment horizontal="left" vertical="top" wrapText="1"/>
    </xf>
    <xf numFmtId="0" fontId="1" fillId="33" borderId="16" xfId="49" applyFont="1" applyFill="1" applyBorder="1" applyAlignment="1">
      <alignment horizontal="left" vertical="top" wrapText="1"/>
    </xf>
    <xf numFmtId="0" fontId="1" fillId="33" borderId="15" xfId="49" applyFont="1" applyFill="1" applyBorder="1" applyAlignment="1">
      <alignment horizontal="left" vertical="top" wrapText="1" readingOrder="1"/>
    </xf>
    <xf numFmtId="0" fontId="1" fillId="33" borderId="16" xfId="49" applyFont="1" applyFill="1" applyBorder="1" applyAlignment="1">
      <alignment horizontal="left" vertical="top" wrapText="1" readingOrder="1"/>
    </xf>
    <xf numFmtId="0" fontId="6" fillId="0" borderId="6" xfId="49" applyFont="1" applyFill="1" applyBorder="1" applyAlignment="1">
      <alignment horizontal="left" vertical="top" wrapText="1" readingOrder="1"/>
    </xf>
    <xf numFmtId="0" fontId="6" fillId="0" borderId="22" xfId="49" applyFont="1" applyFill="1" applyBorder="1" applyAlignment="1">
      <alignment horizontal="left" vertical="top" wrapText="1" readingOrder="1"/>
    </xf>
    <xf numFmtId="0" fontId="1" fillId="33" borderId="13" xfId="49" applyFont="1" applyFill="1" applyBorder="1" applyAlignment="1">
      <alignment horizontal="left" vertical="top" wrapText="1"/>
    </xf>
    <xf numFmtId="0" fontId="1" fillId="33" borderId="13" xfId="49" applyFont="1" applyFill="1" applyBorder="1" applyAlignment="1">
      <alignment horizontal="left" vertical="top" wrapText="1" readingOrder="1"/>
    </xf>
    <xf numFmtId="0" fontId="6" fillId="0" borderId="0" xfId="49" applyFont="1" applyFill="1" applyBorder="1" applyAlignment="1">
      <alignment vertical="top" wrapText="1" readingOrder="1"/>
    </xf>
    <xf numFmtId="0" fontId="6" fillId="0" borderId="8" xfId="49" applyFont="1" applyFill="1" applyBorder="1" applyAlignment="1">
      <alignment vertical="top" wrapText="1" readingOrder="1"/>
    </xf>
    <xf numFmtId="0" fontId="6" fillId="0" borderId="0" xfId="49" applyFont="1" applyFill="1" applyBorder="1" applyAlignment="1">
      <alignment horizontal="center" vertical="top" wrapText="1" readingOrder="1"/>
    </xf>
    <xf numFmtId="0" fontId="6" fillId="0" borderId="8" xfId="49" applyFont="1" applyFill="1" applyBorder="1" applyAlignment="1">
      <alignment horizontal="center" vertical="top" wrapText="1" readingOrder="1"/>
    </xf>
    <xf numFmtId="0" fontId="6" fillId="0" borderId="0" xfId="49" applyFont="1" applyAlignment="1">
      <alignment horizontal="left" vertical="top" wrapText="1"/>
    </xf>
    <xf numFmtId="0" fontId="6" fillId="0" borderId="8" xfId="49" applyFont="1" applyBorder="1" applyAlignment="1">
      <alignment horizontal="left" vertical="top" wrapText="1"/>
    </xf>
    <xf numFmtId="0" fontId="1" fillId="0" borderId="0" xfId="49" applyFont="1" applyAlignment="1">
      <alignment horizontal="left" vertical="top" wrapText="1"/>
    </xf>
    <xf numFmtId="0" fontId="1" fillId="0" borderId="8" xfId="49" applyFont="1" applyBorder="1" applyAlignment="1">
      <alignment horizontal="left" vertical="top" wrapText="1"/>
    </xf>
    <xf numFmtId="0" fontId="6" fillId="0" borderId="0" xfId="49" applyFont="1" applyAlignment="1">
      <alignment horizontal="left" vertical="top" wrapText="1" readingOrder="1"/>
    </xf>
    <xf numFmtId="0" fontId="6" fillId="0" borderId="8" xfId="49" applyFont="1" applyBorder="1" applyAlignment="1">
      <alignment horizontal="left" vertical="top" wrapText="1" readingOrder="1"/>
    </xf>
    <xf numFmtId="0" fontId="1" fillId="0" borderId="0" xfId="49" applyFont="1" applyFill="1" applyAlignment="1">
      <alignment horizontal="left" vertical="top" wrapText="1"/>
    </xf>
    <xf numFmtId="0" fontId="1" fillId="0" borderId="0" xfId="49" applyFont="1" applyAlignment="1">
      <alignment horizontal="left" vertical="top" wrapText="1" readingOrder="1"/>
    </xf>
    <xf numFmtId="0" fontId="1" fillId="0" borderId="8" xfId="49" applyFont="1" applyBorder="1" applyAlignment="1">
      <alignment horizontal="left" vertical="top" wrapText="1" readingOrder="1"/>
    </xf>
    <xf numFmtId="0" fontId="1" fillId="0" borderId="0" xfId="49" applyFont="1" applyFill="1" applyAlignment="1">
      <alignment horizontal="left" vertical="top" wrapText="1" readingOrder="1"/>
    </xf>
    <xf numFmtId="0" fontId="6" fillId="0" borderId="0" xfId="49" applyFont="1" applyFill="1" applyAlignment="1">
      <alignment horizontal="left" vertical="top" wrapText="1" readingOrder="1"/>
    </xf>
    <xf numFmtId="0" fontId="39" fillId="0" borderId="0" xfId="0" applyFont="1" applyAlignment="1">
      <alignment horizontal="left" vertical="top"/>
    </xf>
    <xf numFmtId="0" fontId="39" fillId="0" borderId="8" xfId="0" applyFont="1" applyBorder="1" applyAlignment="1">
      <alignment horizontal="left" vertical="top"/>
    </xf>
    <xf numFmtId="0" fontId="39" fillId="0" borderId="0" xfId="0" applyFont="1" applyAlignment="1">
      <alignment horizontal="left" wrapText="1"/>
    </xf>
    <xf numFmtId="0" fontId="39" fillId="0" borderId="8" xfId="0" applyFont="1" applyBorder="1" applyAlignment="1">
      <alignment horizontal="left" wrapText="1"/>
    </xf>
    <xf numFmtId="0" fontId="1" fillId="0" borderId="0" xfId="49" applyFont="1" applyBorder="1" applyAlignment="1">
      <alignment horizontal="left" vertical="top" wrapText="1" readingOrder="1"/>
    </xf>
    <xf numFmtId="0" fontId="39" fillId="0" borderId="0" xfId="0" applyFont="1" applyAlignment="1">
      <alignment horizontal="left" vertical="top" wrapText="1"/>
    </xf>
    <xf numFmtId="0" fontId="39" fillId="0" borderId="8" xfId="0" applyFont="1" applyBorder="1" applyAlignment="1">
      <alignment horizontal="left" vertical="top" wrapText="1"/>
    </xf>
    <xf numFmtId="0" fontId="6" fillId="0" borderId="0" xfId="49" applyFont="1" applyBorder="1" applyAlignment="1">
      <alignment horizontal="left" vertical="top" wrapText="1" readingOrder="1"/>
    </xf>
    <xf numFmtId="0" fontId="6" fillId="0" borderId="0" xfId="49" applyFont="1" applyAlignment="1">
      <alignment horizontal="left" vertical="top" readingOrder="1"/>
    </xf>
    <xf numFmtId="0" fontId="6" fillId="0" borderId="8" xfId="49" applyFont="1" applyBorder="1" applyAlignment="1">
      <alignment horizontal="left" vertical="top" readingOrder="1"/>
    </xf>
    <xf numFmtId="0" fontId="7" fillId="0" borderId="2" xfId="49" applyFont="1" applyFill="1" applyBorder="1" applyAlignment="1">
      <alignment horizontal="left" vertical="top" wrapText="1"/>
    </xf>
    <xf numFmtId="0" fontId="7" fillId="0" borderId="2" xfId="49" applyFont="1" applyFill="1" applyBorder="1" applyAlignment="1">
      <alignment horizontal="left" vertical="top" wrapText="1" readingOrder="1"/>
    </xf>
    <xf numFmtId="0" fontId="40" fillId="0" borderId="0" xfId="0" applyFont="1" applyAlignment="1">
      <alignment horizontal="center"/>
    </xf>
    <xf numFmtId="0" fontId="13" fillId="0" borderId="0" xfId="49" applyFont="1" applyFill="1" applyAlignment="1">
      <alignment horizontal="center" vertical="top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6" fillId="0" borderId="0" xfId="49" applyFont="1" applyBorder="1" applyAlignment="1">
      <alignment horizontal="center" vertical="top" wrapText="1" readingOrder="1"/>
    </xf>
    <xf numFmtId="0" fontId="6" fillId="0" borderId="8" xfId="49" applyFont="1" applyBorder="1" applyAlignment="1">
      <alignment horizontal="center" vertical="top" wrapText="1" readingOrder="1"/>
    </xf>
    <xf numFmtId="0" fontId="39" fillId="0" borderId="6" xfId="0" applyFont="1" applyBorder="1" applyAlignment="1">
      <alignment horizontal="left" vertical="top"/>
    </xf>
    <xf numFmtId="0" fontId="39" fillId="0" borderId="22" xfId="0" applyFont="1" applyBorder="1" applyAlignment="1">
      <alignment horizontal="left" vertical="top"/>
    </xf>
    <xf numFmtId="0" fontId="1" fillId="0" borderId="7" xfId="49" applyFont="1" applyFill="1" applyBorder="1" applyAlignment="1">
      <alignment horizontal="left" vertical="top" wrapText="1"/>
    </xf>
    <xf numFmtId="0" fontId="6" fillId="0" borderId="0" xfId="49" applyFont="1" applyAlignment="1">
      <alignment horizontal="left" vertical="center" wrapText="1" readingOrder="1"/>
    </xf>
    <xf numFmtId="0" fontId="6" fillId="0" borderId="8" xfId="49" applyFont="1" applyBorder="1" applyAlignment="1">
      <alignment horizontal="left" vertical="center" wrapText="1" readingOrder="1"/>
    </xf>
    <xf numFmtId="0" fontId="39" fillId="0" borderId="0" xfId="0" applyFont="1" applyAlignment="1">
      <alignment horizontal="left" vertical="center" wrapText="1"/>
    </xf>
    <xf numFmtId="0" fontId="39" fillId="0" borderId="8" xfId="0" applyFont="1" applyBorder="1" applyAlignment="1">
      <alignment horizontal="left" vertical="center" wrapText="1"/>
    </xf>
    <xf numFmtId="0" fontId="41" fillId="0" borderId="0" xfId="0" applyFont="1" applyAlignment="1">
      <alignment horizontal="center" vertical="center" readingOrder="1"/>
    </xf>
    <xf numFmtId="0" fontId="42" fillId="0" borderId="0" xfId="0" applyFont="1" applyAlignment="1">
      <alignment horizontal="center" vertical="center" readingOrder="1"/>
    </xf>
    <xf numFmtId="0" fontId="6" fillId="0" borderId="0" xfId="49" applyFont="1" applyFill="1" applyBorder="1" applyAlignment="1">
      <alignment horizontal="left" vertical="center" wrapText="1" readingOrder="1"/>
    </xf>
    <xf numFmtId="0" fontId="6" fillId="0" borderId="8" xfId="49" applyFont="1" applyFill="1" applyBorder="1" applyAlignment="1">
      <alignment horizontal="left" vertical="center" wrapText="1" readingOrder="1"/>
    </xf>
    <xf numFmtId="0" fontId="39" fillId="0" borderId="6" xfId="0" applyFont="1" applyBorder="1" applyAlignment="1">
      <alignment horizontal="left" vertical="center" readingOrder="1"/>
    </xf>
    <xf numFmtId="0" fontId="39" fillId="0" borderId="22" xfId="0" applyFont="1" applyBorder="1" applyAlignment="1">
      <alignment horizontal="left" vertical="center" readingOrder="1"/>
    </xf>
    <xf numFmtId="0" fontId="7" fillId="0" borderId="2" xfId="49" applyFont="1" applyFill="1" applyBorder="1" applyAlignment="1">
      <alignment horizontal="left" vertical="center" wrapText="1" readingOrder="1"/>
    </xf>
    <xf numFmtId="0" fontId="40" fillId="0" borderId="0" xfId="0" applyFont="1" applyAlignment="1">
      <alignment horizontal="center" vertical="center" readingOrder="1"/>
    </xf>
    <xf numFmtId="0" fontId="13" fillId="0" borderId="0" xfId="49" applyFont="1" applyFill="1" applyAlignment="1">
      <alignment horizontal="center" vertical="center" readingOrder="1"/>
    </xf>
    <xf numFmtId="0" fontId="6" fillId="0" borderId="0" xfId="49" applyFont="1" applyBorder="1" applyAlignment="1">
      <alignment horizontal="left" vertical="center" wrapText="1" readingOrder="1"/>
    </xf>
    <xf numFmtId="0" fontId="6" fillId="0" borderId="0" xfId="49" applyFont="1" applyBorder="1" applyAlignment="1">
      <alignment horizontal="center" vertical="center" wrapText="1" readingOrder="1"/>
    </xf>
    <xf numFmtId="0" fontId="6" fillId="0" borderId="8" xfId="49" applyFont="1" applyBorder="1" applyAlignment="1">
      <alignment horizontal="center" vertical="center" wrapText="1" readingOrder="1"/>
    </xf>
    <xf numFmtId="0" fontId="1" fillId="33" borderId="15" xfId="49" applyFont="1" applyFill="1" applyBorder="1" applyAlignment="1">
      <alignment horizontal="left" vertical="center" wrapText="1" readingOrder="1"/>
    </xf>
    <xf numFmtId="0" fontId="1" fillId="33" borderId="16" xfId="49" applyFont="1" applyFill="1" applyBorder="1" applyAlignment="1">
      <alignment horizontal="left" vertical="center" wrapText="1" readingOrder="1"/>
    </xf>
    <xf numFmtId="0" fontId="1" fillId="0" borderId="0" xfId="49" applyFont="1" applyFill="1" applyAlignment="1">
      <alignment horizontal="left" vertical="center" wrapText="1" readingOrder="1"/>
    </xf>
    <xf numFmtId="0" fontId="1" fillId="0" borderId="0" xfId="49" applyFont="1" applyAlignment="1">
      <alignment horizontal="left" vertical="center" wrapText="1" readingOrder="1"/>
    </xf>
    <xf numFmtId="0" fontId="6" fillId="0" borderId="0" xfId="49" applyFont="1" applyFill="1" applyAlignment="1">
      <alignment horizontal="left" vertical="center" wrapText="1" readingOrder="1"/>
    </xf>
    <xf numFmtId="0" fontId="1" fillId="0" borderId="8" xfId="49" applyFont="1" applyBorder="1" applyAlignment="1">
      <alignment horizontal="left" vertical="center" wrapText="1" readingOrder="1"/>
    </xf>
    <xf numFmtId="0" fontId="1" fillId="0" borderId="0" xfId="49" applyFont="1" applyBorder="1" applyAlignment="1">
      <alignment horizontal="left" vertical="center" wrapText="1" readingOrder="1"/>
    </xf>
    <xf numFmtId="0" fontId="1" fillId="0" borderId="8" xfId="49" applyFont="1" applyFill="1" applyBorder="1" applyAlignment="1">
      <alignment horizontal="left" vertical="center" wrapText="1" readingOrder="1"/>
    </xf>
    <xf numFmtId="0" fontId="1" fillId="0" borderId="0" xfId="49" applyFont="1" applyFill="1" applyBorder="1" applyAlignment="1">
      <alignment horizontal="left" vertical="center" wrapText="1" readingOrder="1"/>
    </xf>
    <xf numFmtId="0" fontId="39" fillId="0" borderId="0" xfId="0" applyFont="1" applyAlignment="1">
      <alignment horizontal="left" vertical="center" readingOrder="1"/>
    </xf>
    <xf numFmtId="0" fontId="39" fillId="0" borderId="8" xfId="0" applyFont="1" applyBorder="1" applyAlignment="1">
      <alignment horizontal="left" vertical="center" readingOrder="1"/>
    </xf>
    <xf numFmtId="0" fontId="1" fillId="0" borderId="7" xfId="49" applyFont="1" applyFill="1" applyBorder="1" applyAlignment="1">
      <alignment horizontal="left" vertical="center" wrapText="1" readingOrder="1"/>
    </xf>
    <xf numFmtId="0" fontId="39" fillId="0" borderId="0" xfId="0" applyFont="1" applyAlignment="1">
      <alignment horizontal="left" vertical="center" wrapText="1" readingOrder="1"/>
    </xf>
    <xf numFmtId="0" fontId="39" fillId="0" borderId="8" xfId="0" applyFont="1" applyBorder="1" applyAlignment="1">
      <alignment horizontal="left" vertical="center" wrapText="1" readingOrder="1"/>
    </xf>
    <xf numFmtId="0" fontId="6" fillId="0" borderId="6" xfId="49" applyFont="1" applyFill="1" applyBorder="1" applyAlignment="1">
      <alignment horizontal="left" vertical="center" wrapText="1" readingOrder="1"/>
    </xf>
    <xf numFmtId="0" fontId="6" fillId="0" borderId="22" xfId="49" applyFont="1" applyFill="1" applyBorder="1" applyAlignment="1">
      <alignment horizontal="left" vertical="center" wrapText="1" readingOrder="1"/>
    </xf>
    <xf numFmtId="0" fontId="6" fillId="0" borderId="0" xfId="49" applyFont="1" applyFill="1" applyBorder="1" applyAlignment="1">
      <alignment vertical="center" wrapText="1" readingOrder="1"/>
    </xf>
    <xf numFmtId="0" fontId="6" fillId="0" borderId="8" xfId="49" applyFont="1" applyFill="1" applyBorder="1" applyAlignment="1">
      <alignment vertical="center" wrapText="1" readingOrder="1"/>
    </xf>
    <xf numFmtId="0" fontId="1" fillId="33" borderId="13" xfId="49" applyFont="1" applyFill="1" applyBorder="1" applyAlignment="1">
      <alignment horizontal="left" vertical="center" wrapText="1" readingOrder="1"/>
    </xf>
    <xf numFmtId="0" fontId="1" fillId="33" borderId="0" xfId="49" applyFont="1" applyFill="1" applyBorder="1" applyAlignment="1">
      <alignment horizontal="left" vertical="center" wrapText="1" readingOrder="1"/>
    </xf>
    <xf numFmtId="0" fontId="1" fillId="33" borderId="8" xfId="49" applyFont="1" applyFill="1" applyBorder="1" applyAlignment="1">
      <alignment horizontal="left" vertical="center" wrapText="1" readingOrder="1"/>
    </xf>
    <xf numFmtId="4" fontId="6" fillId="0" borderId="0" xfId="49" applyNumberFormat="1" applyFont="1" applyFill="1" applyBorder="1" applyAlignment="1">
      <alignment horizontal="left" vertical="center" wrapText="1" readingOrder="1"/>
    </xf>
    <xf numFmtId="4" fontId="6" fillId="0" borderId="8" xfId="49" applyNumberFormat="1" applyFont="1" applyFill="1" applyBorder="1" applyAlignment="1">
      <alignment horizontal="left" vertical="center" wrapText="1" readingOrder="1"/>
    </xf>
    <xf numFmtId="4" fontId="1" fillId="34" borderId="16" xfId="49" applyNumberFormat="1" applyFont="1" applyFill="1" applyBorder="1" applyAlignment="1">
      <alignment horizontal="left" vertical="center" wrapText="1" readingOrder="1"/>
    </xf>
    <xf numFmtId="4" fontId="1" fillId="34" borderId="13" xfId="49" applyNumberFormat="1" applyFont="1" applyFill="1" applyBorder="1" applyAlignment="1">
      <alignment horizontal="left" vertical="center" wrapText="1" readingOrder="1"/>
    </xf>
    <xf numFmtId="4" fontId="1" fillId="34" borderId="15" xfId="49" applyNumberFormat="1" applyFont="1" applyFill="1" applyBorder="1" applyAlignment="1">
      <alignment horizontal="left" vertical="center" wrapText="1" readingOrder="1"/>
    </xf>
    <xf numFmtId="4" fontId="1" fillId="33" borderId="13" xfId="49" applyNumberFormat="1" applyFont="1" applyFill="1" applyBorder="1" applyAlignment="1">
      <alignment horizontal="left" vertical="center" wrapText="1" readingOrder="1"/>
    </xf>
    <xf numFmtId="4" fontId="1" fillId="33" borderId="16" xfId="49" applyNumberFormat="1" applyFont="1" applyFill="1" applyBorder="1" applyAlignment="1">
      <alignment horizontal="left" vertical="center" wrapText="1" readingOrder="1"/>
    </xf>
    <xf numFmtId="4" fontId="1" fillId="33" borderId="15" xfId="49" applyNumberFormat="1" applyFont="1" applyFill="1" applyBorder="1" applyAlignment="1">
      <alignment horizontal="left" vertical="center" wrapText="1" readingOrder="1"/>
    </xf>
    <xf numFmtId="0" fontId="6" fillId="0" borderId="21" xfId="49" applyFont="1" applyFill="1" applyBorder="1" applyAlignment="1">
      <alignment horizontal="left" vertical="center" wrapText="1" readingOrder="1"/>
    </xf>
    <xf numFmtId="0" fontId="6" fillId="0" borderId="19" xfId="49" applyFont="1" applyFill="1" applyBorder="1" applyAlignment="1">
      <alignment horizontal="left" vertical="center" wrapText="1" readingOrder="1"/>
    </xf>
    <xf numFmtId="0" fontId="6" fillId="0" borderId="20" xfId="49" applyFont="1" applyFill="1" applyBorder="1" applyAlignment="1">
      <alignment horizontal="left" vertical="center" wrapText="1" readingOrder="1"/>
    </xf>
    <xf numFmtId="0" fontId="6" fillId="0" borderId="7" xfId="49" applyFont="1" applyFill="1" applyBorder="1" applyAlignment="1">
      <alignment horizontal="left" vertical="center" wrapText="1" readingOrder="1"/>
    </xf>
    <xf numFmtId="0" fontId="1" fillId="33" borderId="11" xfId="49" applyFont="1" applyFill="1" applyBorder="1" applyAlignment="1">
      <alignment horizontal="left" vertical="center" readingOrder="1"/>
    </xf>
    <xf numFmtId="0" fontId="1" fillId="33" borderId="12" xfId="49" applyFont="1" applyFill="1" applyBorder="1" applyAlignment="1">
      <alignment horizontal="left" vertical="center" readingOrder="1"/>
    </xf>
    <xf numFmtId="0" fontId="1" fillId="33" borderId="7" xfId="49" applyFont="1" applyFill="1" applyBorder="1" applyAlignment="1">
      <alignment horizontal="left" vertical="center" wrapText="1" readingOrder="1"/>
    </xf>
    <xf numFmtId="0" fontId="1" fillId="33" borderId="10" xfId="49" applyFont="1" applyFill="1" applyBorder="1" applyAlignment="1">
      <alignment horizontal="left" vertical="center" wrapText="1" readingOrder="1"/>
    </xf>
    <xf numFmtId="0" fontId="1" fillId="33" borderId="11" xfId="49" applyFont="1" applyFill="1" applyBorder="1" applyAlignment="1">
      <alignment horizontal="left" vertical="center" wrapText="1" readingOrder="1"/>
    </xf>
    <xf numFmtId="0" fontId="1" fillId="33" borderId="12" xfId="49" applyFont="1" applyFill="1" applyBorder="1" applyAlignment="1">
      <alignment horizontal="left" vertical="center" wrapText="1" readingOrder="1"/>
    </xf>
    <xf numFmtId="0" fontId="1" fillId="0" borderId="0" xfId="49" applyFont="1" applyFill="1" applyAlignment="1">
      <alignment horizontal="center" vertical="center" readingOrder="1"/>
    </xf>
    <xf numFmtId="4" fontId="7" fillId="0" borderId="13" xfId="49" applyNumberFormat="1" applyFont="1" applyFill="1" applyBorder="1" applyAlignment="1">
      <alignment horizontal="center" vertical="center" wrapText="1" readingOrder="1"/>
    </xf>
    <xf numFmtId="0" fontId="39" fillId="35" borderId="0" xfId="0" applyFont="1" applyFill="1" applyAlignment="1">
      <alignment horizontal="left" vertical="center" readingOrder="1"/>
    </xf>
    <xf numFmtId="0" fontId="39" fillId="35" borderId="8" xfId="0" applyFont="1" applyFill="1" applyBorder="1" applyAlignment="1">
      <alignment horizontal="left" vertical="center" readingOrder="1"/>
    </xf>
    <xf numFmtId="0" fontId="6" fillId="35" borderId="0" xfId="49" applyFont="1" applyFill="1" applyAlignment="1">
      <alignment horizontal="left" vertical="center" wrapText="1" readingOrder="1"/>
    </xf>
    <xf numFmtId="0" fontId="6" fillId="35" borderId="8" xfId="49" applyFont="1" applyFill="1" applyBorder="1" applyAlignment="1">
      <alignment horizontal="left" vertical="center" wrapText="1" readingOrder="1"/>
    </xf>
    <xf numFmtId="0" fontId="6" fillId="0" borderId="11" xfId="49" applyFont="1" applyFill="1" applyBorder="1" applyAlignment="1">
      <alignment horizontal="left" vertical="center" wrapText="1" readingOrder="1"/>
    </xf>
    <xf numFmtId="0" fontId="6" fillId="0" borderId="12" xfId="49" applyFont="1" applyFill="1" applyBorder="1" applyAlignment="1">
      <alignment horizontal="left" vertical="center" wrapText="1" readingOrder="1"/>
    </xf>
    <xf numFmtId="4" fontId="6" fillId="0" borderId="6" xfId="49" applyNumberFormat="1" applyFont="1" applyFill="1" applyBorder="1" applyAlignment="1">
      <alignment horizontal="left" vertical="center" wrapText="1" readingOrder="1"/>
    </xf>
    <xf numFmtId="4" fontId="6" fillId="0" borderId="22" xfId="49" applyNumberFormat="1" applyFont="1" applyFill="1" applyBorder="1" applyAlignment="1">
      <alignment horizontal="left" vertical="center" wrapText="1" readingOrder="1"/>
    </xf>
    <xf numFmtId="0" fontId="6" fillId="36" borderId="0" xfId="49" applyFont="1" applyFill="1" applyAlignment="1">
      <alignment horizontal="left" vertical="center" wrapText="1" readingOrder="1"/>
    </xf>
    <xf numFmtId="0" fontId="6" fillId="36" borderId="8" xfId="49" applyFont="1" applyFill="1" applyBorder="1" applyAlignment="1">
      <alignment horizontal="left" vertical="center" wrapText="1" readingOrder="1"/>
    </xf>
    <xf numFmtId="0" fontId="39" fillId="36" borderId="0" xfId="0" applyFont="1" applyFill="1" applyAlignment="1">
      <alignment horizontal="left" vertical="center" readingOrder="1"/>
    </xf>
    <xf numFmtId="0" fontId="39" fillId="36" borderId="8" xfId="0" applyFont="1" applyFill="1" applyBorder="1" applyAlignment="1">
      <alignment horizontal="left" vertical="center" readingOrder="1"/>
    </xf>
    <xf numFmtId="0" fontId="39" fillId="36" borderId="0" xfId="49" applyFont="1" applyFill="1" applyBorder="1" applyAlignment="1">
      <alignment horizontal="left" vertical="center" wrapText="1" readingOrder="1"/>
    </xf>
    <xf numFmtId="0" fontId="39" fillId="36" borderId="8" xfId="49" applyFont="1" applyFill="1" applyBorder="1" applyAlignment="1">
      <alignment horizontal="left" vertical="center" wrapText="1" readingOrder="1"/>
    </xf>
  </cellXfs>
  <cellStyles count="59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 2" xfId="19" xr:uid="{00000000-0005-0000-0000-000012000000}"/>
    <cellStyle name="Accent2 2" xfId="20" xr:uid="{00000000-0005-0000-0000-000013000000}"/>
    <cellStyle name="Accent3 2" xfId="21" xr:uid="{00000000-0005-0000-0000-000014000000}"/>
    <cellStyle name="Accent4 2" xfId="22" xr:uid="{00000000-0005-0000-0000-000015000000}"/>
    <cellStyle name="Accent5 2" xfId="23" xr:uid="{00000000-0005-0000-0000-000016000000}"/>
    <cellStyle name="Accent6 2" xfId="24" xr:uid="{00000000-0005-0000-0000-000017000000}"/>
    <cellStyle name="Bad 2" xfId="25" xr:uid="{00000000-0005-0000-0000-000018000000}"/>
    <cellStyle name="Calculation 2" xfId="26" xr:uid="{00000000-0005-0000-0000-000019000000}"/>
    <cellStyle name="Check Cell 2" xfId="27" xr:uid="{00000000-0005-0000-0000-00001A000000}"/>
    <cellStyle name="Comma" xfId="58" builtinId="3"/>
    <cellStyle name="Comma [0] 2" xfId="28" xr:uid="{00000000-0005-0000-0000-00001C000000}"/>
    <cellStyle name="Comma [0] 3" xfId="29" xr:uid="{00000000-0005-0000-0000-00001D000000}"/>
    <cellStyle name="Comma [0] 4" xfId="30" xr:uid="{00000000-0005-0000-0000-00001E000000}"/>
    <cellStyle name="Comma 2" xfId="31" xr:uid="{00000000-0005-0000-0000-00001F000000}"/>
    <cellStyle name="Comma 2 2" xfId="32" xr:uid="{00000000-0005-0000-0000-000020000000}"/>
    <cellStyle name="Comma 3" xfId="33" xr:uid="{00000000-0005-0000-0000-000021000000}"/>
    <cellStyle name="Comma 4" xfId="34" xr:uid="{00000000-0005-0000-0000-000022000000}"/>
    <cellStyle name="Comma 5" xfId="35" xr:uid="{00000000-0005-0000-0000-000023000000}"/>
    <cellStyle name="Comma 6" xfId="36" xr:uid="{00000000-0005-0000-0000-000024000000}"/>
    <cellStyle name="Explanatory Text 2" xfId="37" xr:uid="{00000000-0005-0000-0000-000025000000}"/>
    <cellStyle name="Good 2" xfId="38" xr:uid="{00000000-0005-0000-0000-000026000000}"/>
    <cellStyle name="Heading 1 2" xfId="39" xr:uid="{00000000-0005-0000-0000-000027000000}"/>
    <cellStyle name="Heading 2 2" xfId="40" xr:uid="{00000000-0005-0000-0000-000028000000}"/>
    <cellStyle name="Heading 3 2" xfId="41" xr:uid="{00000000-0005-0000-0000-000029000000}"/>
    <cellStyle name="Heading 4 2" xfId="42" xr:uid="{00000000-0005-0000-0000-00002A000000}"/>
    <cellStyle name="Input 2" xfId="43" xr:uid="{00000000-0005-0000-0000-00002B000000}"/>
    <cellStyle name="Linked Cell 2" xfId="44" xr:uid="{00000000-0005-0000-0000-00002C000000}"/>
    <cellStyle name="Neutral 2" xfId="45" xr:uid="{00000000-0005-0000-0000-00002D000000}"/>
    <cellStyle name="Normal" xfId="0" builtinId="0"/>
    <cellStyle name="Normal 2" xfId="46" xr:uid="{00000000-0005-0000-0000-00002F000000}"/>
    <cellStyle name="Normal 2 2" xfId="47" xr:uid="{00000000-0005-0000-0000-000030000000}"/>
    <cellStyle name="Normal 3" xfId="48" xr:uid="{00000000-0005-0000-0000-000031000000}"/>
    <cellStyle name="Normal 4" xfId="49" xr:uid="{00000000-0005-0000-0000-000032000000}"/>
    <cellStyle name="Normal 4 2" xfId="57" xr:uid="{00000000-0005-0000-0000-000033000000}"/>
    <cellStyle name="Normal 5" xfId="50" xr:uid="{00000000-0005-0000-0000-000034000000}"/>
    <cellStyle name="Note 2" xfId="51" xr:uid="{00000000-0005-0000-0000-000035000000}"/>
    <cellStyle name="Output 2" xfId="52" xr:uid="{00000000-0005-0000-0000-000036000000}"/>
    <cellStyle name="Percent 2" xfId="53" xr:uid="{00000000-0005-0000-0000-000037000000}"/>
    <cellStyle name="Title 2" xfId="54" xr:uid="{00000000-0005-0000-0000-000038000000}"/>
    <cellStyle name="Total 2" xfId="55" xr:uid="{00000000-0005-0000-0000-000039000000}"/>
    <cellStyle name="Warning Text 2" xfId="56" xr:uid="{00000000-0005-0000-0000-00003A000000}"/>
  </cellStyles>
  <dxfs count="0"/>
  <tableStyles count="0" defaultTableStyle="TableStyleMedium9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DPKD/Downloads/WAHID/2014/Lapbul%20dari%20SKPD/10.Oktober/LAPORAN%20ADPEM%202014%20DPK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DPKD/Downloads/WAHID/2014/LAPBUL/DARI%20SKPD/11.november/LAPORAN%20ADPEM%202014%20dpkd%20novemb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DPKD/Downloads/WAHID/LAPORAN%20PEP/LAPORAN%20ADPEM%202014%20(new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DPKD/Downloads/WAHID/adpem/2014/lapbul/12.%20des/dr%20skpd/dpkd%20&amp;%20skpkd/rekap%20skpd%20201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DPKD/Downloads/WAHID/adpem/2014/lapbul/12.%20des/dr%20skpd/dpkd%20&amp;%20skpkd%20terbaru/LRA%20SKP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DPKD/Downloads/WAHID/adpem/2014/lapbul/12.%20des/dr%20skpd/dpkd%20&amp;%20skpkd/LRA%20SKP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DPKD/Downloads/WAHID/adpem/2014/lapbul/12.%20des/dr%20skpd/dpkd%20&amp;%20skpkd/LRA%20PENDAPATAN%20S.D%20maret%20201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DPKD/Downloads/WAHID/adpem/2014/lapbul/12.%20des/dr%20skpd/DPKD%20APRIL/LRA%20PENDAPATAN%20BUAT%20LAPnRAN%20ADPEM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DPKD/Downloads/WAHID/denk/adpem/2014/lapbul/dpa/amp%20II/dpkd/dppa_skpd_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 SKPKD"/>
      <sheetName val="Januari"/>
      <sheetName val="Januari (2)"/>
      <sheetName val="feb 2"/>
      <sheetName val="feb"/>
      <sheetName val="maret"/>
      <sheetName val="maret (2)"/>
      <sheetName val="April"/>
      <sheetName val="April (2)"/>
      <sheetName val="Mei"/>
      <sheetName val="Juni"/>
      <sheetName val="Juli"/>
      <sheetName val="SEPT SKPD"/>
      <sheetName val="OKT SKPD"/>
      <sheetName val="OKT SKPKD"/>
      <sheetName val="J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 SKPKD"/>
      <sheetName val="DPKD versi ekbang"/>
      <sheetName val="SEPT SKPD"/>
      <sheetName val="OKT SKPD"/>
      <sheetName val="OKT SKPKD"/>
      <sheetName val="NOV SKPKD "/>
      <sheetName val="NOV SKPD "/>
      <sheetName val="Jan"/>
      <sheetName val="Feb"/>
      <sheetName val="maret"/>
      <sheetName val="apr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 SKPKD"/>
      <sheetName val="SEPT SKPD"/>
      <sheetName val="OKT SKPD"/>
      <sheetName val="OKT SKPKD"/>
      <sheetName val="NOV SKPKD "/>
      <sheetName val="NOV SKPD "/>
      <sheetName val="DES SKPD"/>
      <sheetName val="DES SKPKD "/>
      <sheetName val="DPKD versi ekba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N12">
            <v>67029484443</v>
          </cell>
        </row>
        <row r="13">
          <cell r="N13">
            <v>75000000</v>
          </cell>
        </row>
        <row r="14">
          <cell r="N14">
            <v>11081028822</v>
          </cell>
        </row>
        <row r="17">
          <cell r="N17">
            <v>8257610364</v>
          </cell>
        </row>
        <row r="21">
          <cell r="N21">
            <v>14378000</v>
          </cell>
        </row>
        <row r="22">
          <cell r="N22">
            <v>238296148</v>
          </cell>
        </row>
        <row r="23">
          <cell r="N23">
            <v>24482700</v>
          </cell>
        </row>
        <row r="24">
          <cell r="N24">
            <v>201339002</v>
          </cell>
        </row>
        <row r="25">
          <cell r="N25">
            <v>229473500</v>
          </cell>
        </row>
        <row r="26">
          <cell r="N26">
            <v>449102800</v>
          </cell>
        </row>
        <row r="27">
          <cell r="N27">
            <v>35785800</v>
          </cell>
        </row>
        <row r="28">
          <cell r="N28">
            <v>46904000</v>
          </cell>
        </row>
        <row r="29">
          <cell r="N29">
            <v>138020848</v>
          </cell>
        </row>
        <row r="30">
          <cell r="N30">
            <v>660543350</v>
          </cell>
        </row>
        <row r="31">
          <cell r="N31">
            <v>27445000</v>
          </cell>
        </row>
        <row r="35">
          <cell r="N35">
            <v>979532000</v>
          </cell>
        </row>
        <row r="36">
          <cell r="N36">
            <v>157884800</v>
          </cell>
        </row>
        <row r="37">
          <cell r="N37">
            <v>0</v>
          </cell>
        </row>
        <row r="38">
          <cell r="N38">
            <v>322038365</v>
          </cell>
        </row>
        <row r="39">
          <cell r="N39">
            <v>676934270</v>
          </cell>
        </row>
        <row r="40">
          <cell r="N40">
            <v>140440000</v>
          </cell>
        </row>
        <row r="41">
          <cell r="N41">
            <v>231767600</v>
          </cell>
        </row>
        <row r="43">
          <cell r="N43">
            <v>38085000</v>
          </cell>
        </row>
        <row r="45">
          <cell r="N45">
            <v>320566100</v>
          </cell>
        </row>
        <row r="46">
          <cell r="N46">
            <v>343399074</v>
          </cell>
        </row>
        <row r="48">
          <cell r="N48">
            <v>531334050</v>
          </cell>
        </row>
        <row r="49">
          <cell r="N49">
            <v>143100490</v>
          </cell>
        </row>
        <row r="50">
          <cell r="N50">
            <v>221288650</v>
          </cell>
        </row>
        <row r="51">
          <cell r="N51">
            <v>317812000</v>
          </cell>
        </row>
        <row r="52">
          <cell r="N52">
            <v>73668000</v>
          </cell>
        </row>
        <row r="54">
          <cell r="N54">
            <v>508172500</v>
          </cell>
        </row>
        <row r="56">
          <cell r="N56">
            <v>260098500</v>
          </cell>
        </row>
        <row r="57">
          <cell r="N57">
            <v>371775000</v>
          </cell>
        </row>
        <row r="58">
          <cell r="N58">
            <v>133587000</v>
          </cell>
        </row>
        <row r="59">
          <cell r="N59">
            <v>395224250</v>
          </cell>
        </row>
        <row r="60">
          <cell r="N60">
            <v>90196500</v>
          </cell>
        </row>
        <row r="61">
          <cell r="N61">
            <v>541082490</v>
          </cell>
        </row>
        <row r="62">
          <cell r="N62">
            <v>58437000</v>
          </cell>
        </row>
        <row r="63">
          <cell r="N63">
            <v>174573000</v>
          </cell>
        </row>
        <row r="64">
          <cell r="N64">
            <v>571546340</v>
          </cell>
        </row>
        <row r="66">
          <cell r="N66">
            <v>558385000</v>
          </cell>
        </row>
        <row r="68">
          <cell r="N68">
            <v>375022000</v>
          </cell>
        </row>
        <row r="69">
          <cell r="N69">
            <v>642713500</v>
          </cell>
        </row>
        <row r="70">
          <cell r="N70">
            <v>293250450</v>
          </cell>
        </row>
        <row r="71">
          <cell r="N71">
            <v>205056925</v>
          </cell>
        </row>
        <row r="73">
          <cell r="N73">
            <v>192051900</v>
          </cell>
        </row>
        <row r="74">
          <cell r="N74">
            <v>327019800</v>
          </cell>
        </row>
        <row r="75">
          <cell r="N75">
            <v>574563894</v>
          </cell>
        </row>
        <row r="76">
          <cell r="N76">
            <v>1083037500</v>
          </cell>
        </row>
        <row r="77">
          <cell r="N77">
            <v>318242454</v>
          </cell>
        </row>
        <row r="78">
          <cell r="N78">
            <v>0</v>
          </cell>
        </row>
        <row r="79">
          <cell r="N79">
            <v>0</v>
          </cell>
        </row>
        <row r="82">
          <cell r="N82">
            <v>34370000</v>
          </cell>
        </row>
        <row r="83">
          <cell r="N83">
            <v>33663000</v>
          </cell>
        </row>
        <row r="84">
          <cell r="N84">
            <v>52275000</v>
          </cell>
        </row>
        <row r="85">
          <cell r="N85">
            <v>78380000</v>
          </cell>
        </row>
        <row r="86">
          <cell r="N86">
            <v>126710000</v>
          </cell>
        </row>
        <row r="87">
          <cell r="N87">
            <v>0</v>
          </cell>
        </row>
      </sheetData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jan 1"/>
      <sheetName val="peb"/>
      <sheetName val="PEB 1"/>
      <sheetName val="MAR 1"/>
      <sheetName val="MARET"/>
      <sheetName val="APRIL"/>
      <sheetName val="APRIL 2"/>
      <sheetName val="mei 1"/>
      <sheetName val="mei 1 (2)"/>
      <sheetName val="mei"/>
      <sheetName val="april 1"/>
      <sheetName val="juni"/>
      <sheetName val="Sheet1"/>
      <sheetName val="Fe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4">
          <cell r="N14">
            <v>1079679809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 SKPKD"/>
      <sheetName val="DPKD versi ekbang"/>
      <sheetName val="MEI"/>
      <sheetName val="juni"/>
      <sheetName val="Jan"/>
      <sheetName val="Feb"/>
      <sheetName val="maret"/>
      <sheetName val="apr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I"/>
      <sheetName val="JUNI"/>
    </sheetNames>
    <sheetDataSet>
      <sheetData sheetId="0" refreshError="1"/>
      <sheetData sheetId="1" refreshError="1">
        <row r="166">
          <cell r="S166">
            <v>2116323666</v>
          </cell>
        </row>
        <row r="198">
          <cell r="S198">
            <v>16694136</v>
          </cell>
        </row>
        <row r="224">
          <cell r="S224">
            <v>1216233073</v>
          </cell>
        </row>
        <row r="265">
          <cell r="S265">
            <v>727292590</v>
          </cell>
        </row>
        <row r="269">
          <cell r="S269">
            <v>319903749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A RINCIAN OBJEK"/>
      <sheetName val="LRA RINCIAN nBJEK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 SKPKD"/>
      <sheetName val="DPKD versi ekbang"/>
      <sheetName val="S.D APRI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35">
          <cell r="U35">
            <v>320500000</v>
          </cell>
        </row>
        <row r="80">
          <cell r="U80">
            <v>804390000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outlinePr summaryBelow="0" summaryRight="0"/>
    <pageSetUpPr autoPageBreaks="0"/>
  </sheetPr>
  <dimension ref="A1:CE732"/>
  <sheetViews>
    <sheetView showOutlineSymbols="0" zoomScale="80" zoomScaleNormal="80" workbookViewId="0">
      <pane ySplit="8" topLeftCell="A511" activePane="bottomLeft" state="frozen"/>
      <selection activeCell="Q553" sqref="Q553"/>
      <selection pane="bottomLeft" activeCell="AI514" sqref="AI514"/>
    </sheetView>
  </sheetViews>
  <sheetFormatPr defaultRowHeight="13.5" customHeight="1" x14ac:dyDescent="0.25"/>
  <cols>
    <col min="1" max="1" width="5" customWidth="1"/>
    <col min="2" max="2" width="1.140625" hidden="1" customWidth="1"/>
    <col min="3" max="3" width="1.7109375" hidden="1" customWidth="1"/>
    <col min="4" max="5" width="1.140625" hidden="1" customWidth="1"/>
    <col min="6" max="6" width="1.7109375" hidden="1" customWidth="1"/>
    <col min="7" max="7" width="2" hidden="1" customWidth="1"/>
    <col min="8" max="8" width="8.5703125" hidden="1" customWidth="1"/>
    <col min="9" max="9" width="1.140625" hidden="1" customWidth="1"/>
    <col min="10" max="10" width="22.5703125" customWidth="1"/>
    <col min="11" max="11" width="2.28515625" customWidth="1"/>
    <col min="12" max="12" width="1.7109375" customWidth="1"/>
    <col min="13" max="13" width="5.85546875" customWidth="1"/>
    <col min="14" max="14" width="30.7109375" customWidth="1"/>
    <col min="15" max="15" width="22" style="202" hidden="1" customWidth="1"/>
    <col min="16" max="16" width="40.5703125" style="202" hidden="1" customWidth="1"/>
    <col min="17" max="17" width="21.85546875" customWidth="1"/>
    <col min="18" max="18" width="8.28515625" customWidth="1"/>
    <col min="19" max="19" width="8" customWidth="1"/>
    <col min="20" max="20" width="11" bestFit="1" customWidth="1"/>
    <col min="21" max="21" width="11" customWidth="1"/>
    <col min="22" max="22" width="11" style="120" customWidth="1"/>
    <col min="23" max="31" width="15.85546875" hidden="1" customWidth="1"/>
    <col min="32" max="32" width="18.28515625" hidden="1" customWidth="1"/>
    <col min="33" max="34" width="15.85546875" hidden="1" customWidth="1"/>
    <col min="35" max="35" width="22.42578125" style="89" customWidth="1"/>
    <col min="36" max="36" width="8" customWidth="1"/>
    <col min="37" max="37" width="24.28515625" style="141" customWidth="1"/>
    <col min="38" max="38" width="9.5703125" customWidth="1"/>
    <col min="39" max="39" width="6.85546875" customWidth="1"/>
    <col min="40" max="42" width="0" hidden="1" customWidth="1"/>
  </cols>
  <sheetData>
    <row r="1" spans="1:42" ht="13.5" customHeight="1" x14ac:dyDescent="0.25">
      <c r="A1" s="1"/>
      <c r="B1" s="495" t="s">
        <v>0</v>
      </c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495"/>
      <c r="AK1" s="495"/>
      <c r="AL1" s="495"/>
      <c r="AM1" s="495"/>
      <c r="AN1" s="2"/>
      <c r="AO1" s="2"/>
      <c r="AP1" s="2"/>
    </row>
    <row r="2" spans="1:42" s="15" customFormat="1" ht="13.5" customHeight="1" x14ac:dyDescent="0.2">
      <c r="A2" s="496" t="s">
        <v>541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  <c r="Z2" s="496"/>
      <c r="AA2" s="496"/>
      <c r="AB2" s="496"/>
      <c r="AC2" s="496"/>
      <c r="AD2" s="496"/>
      <c r="AE2" s="496"/>
      <c r="AF2" s="496"/>
      <c r="AG2" s="496"/>
      <c r="AH2" s="496"/>
      <c r="AI2" s="496"/>
      <c r="AJ2" s="496"/>
      <c r="AK2" s="496"/>
      <c r="AL2" s="496"/>
      <c r="AM2" s="496"/>
    </row>
    <row r="3" spans="1:42" ht="13.5" customHeight="1" x14ac:dyDescent="0.25">
      <c r="A3" s="495" t="s">
        <v>545</v>
      </c>
      <c r="B3" s="495"/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  <c r="N3" s="495"/>
      <c r="O3" s="495"/>
      <c r="P3" s="495"/>
      <c r="Q3" s="495"/>
      <c r="R3" s="495"/>
      <c r="S3" s="495"/>
      <c r="T3" s="495"/>
      <c r="U3" s="495"/>
      <c r="V3" s="495"/>
      <c r="W3" s="495"/>
      <c r="X3" s="495"/>
      <c r="Y3" s="495"/>
      <c r="Z3" s="495"/>
      <c r="AA3" s="495"/>
      <c r="AB3" s="495"/>
      <c r="AC3" s="495"/>
      <c r="AD3" s="495"/>
      <c r="AE3" s="495"/>
      <c r="AF3" s="495"/>
      <c r="AG3" s="495"/>
      <c r="AH3" s="495"/>
      <c r="AI3" s="495"/>
      <c r="AJ3" s="495"/>
      <c r="AK3" s="495"/>
      <c r="AL3" s="495"/>
      <c r="AM3" s="495"/>
      <c r="AN3" s="495"/>
      <c r="AO3" s="495"/>
      <c r="AP3" s="2"/>
    </row>
    <row r="4" spans="1:42" ht="13.5" customHeight="1" x14ac:dyDescent="0.25">
      <c r="A4" s="1" t="s">
        <v>426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88"/>
      <c r="O4" s="185"/>
      <c r="P4" s="185"/>
      <c r="Q4" s="2"/>
      <c r="R4" s="1"/>
      <c r="S4" s="1"/>
      <c r="T4" s="2"/>
      <c r="U4" s="2"/>
      <c r="V4" s="106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130"/>
      <c r="AL4" s="2"/>
      <c r="AM4" s="2"/>
      <c r="AN4" s="2"/>
      <c r="AO4" s="2"/>
      <c r="AP4" s="2"/>
    </row>
    <row r="5" spans="1:42" ht="13.5" customHeight="1" x14ac:dyDescent="0.25">
      <c r="A5" s="497" t="s">
        <v>1</v>
      </c>
      <c r="B5" s="497" t="s">
        <v>56</v>
      </c>
      <c r="C5" s="497"/>
      <c r="D5" s="497"/>
      <c r="E5" s="497"/>
      <c r="F5" s="497"/>
      <c r="G5" s="497"/>
      <c r="H5" s="497"/>
      <c r="I5" s="497"/>
      <c r="J5" s="498" t="s">
        <v>192</v>
      </c>
      <c r="K5" s="497" t="s">
        <v>2</v>
      </c>
      <c r="L5" s="497"/>
      <c r="M5" s="497"/>
      <c r="N5" s="497"/>
      <c r="O5" s="501" t="s">
        <v>57</v>
      </c>
      <c r="P5" s="502" t="s">
        <v>58</v>
      </c>
      <c r="Q5" s="497" t="s">
        <v>3</v>
      </c>
      <c r="R5" s="497" t="s">
        <v>4</v>
      </c>
      <c r="S5" s="497" t="s">
        <v>59</v>
      </c>
      <c r="T5" s="505" t="s">
        <v>60</v>
      </c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0"/>
      <c r="AI5" s="506"/>
      <c r="AJ5" s="497" t="s">
        <v>5</v>
      </c>
      <c r="AK5" s="511" t="s">
        <v>61</v>
      </c>
      <c r="AL5" s="497" t="s">
        <v>5</v>
      </c>
      <c r="AM5" s="497" t="s">
        <v>62</v>
      </c>
      <c r="AN5" s="497" t="s">
        <v>63</v>
      </c>
      <c r="AO5" s="497" t="s">
        <v>64</v>
      </c>
      <c r="AP5" s="497" t="s">
        <v>62</v>
      </c>
    </row>
    <row r="6" spans="1:42" ht="13.5" customHeight="1" x14ac:dyDescent="0.25">
      <c r="A6" s="497"/>
      <c r="B6" s="497"/>
      <c r="C6" s="497"/>
      <c r="D6" s="497"/>
      <c r="E6" s="497"/>
      <c r="F6" s="497"/>
      <c r="G6" s="497"/>
      <c r="H6" s="497"/>
      <c r="I6" s="497"/>
      <c r="J6" s="499"/>
      <c r="K6" s="497"/>
      <c r="L6" s="497"/>
      <c r="M6" s="497"/>
      <c r="N6" s="497"/>
      <c r="O6" s="501"/>
      <c r="P6" s="503"/>
      <c r="Q6" s="497"/>
      <c r="R6" s="497"/>
      <c r="S6" s="497"/>
      <c r="T6" s="505" t="s">
        <v>65</v>
      </c>
      <c r="U6" s="506"/>
      <c r="V6" s="507" t="s">
        <v>66</v>
      </c>
      <c r="W6" s="498" t="s">
        <v>67</v>
      </c>
      <c r="X6" s="498" t="s">
        <v>68</v>
      </c>
      <c r="Y6" s="498" t="s">
        <v>69</v>
      </c>
      <c r="Z6" s="498" t="s">
        <v>70</v>
      </c>
      <c r="AA6" s="498" t="s">
        <v>71</v>
      </c>
      <c r="AB6" s="498" t="s">
        <v>72</v>
      </c>
      <c r="AC6" s="498" t="s">
        <v>73</v>
      </c>
      <c r="AD6" s="498" t="s">
        <v>74</v>
      </c>
      <c r="AE6" s="498" t="s">
        <v>75</v>
      </c>
      <c r="AF6" s="498" t="s">
        <v>76</v>
      </c>
      <c r="AG6" s="498" t="s">
        <v>77</v>
      </c>
      <c r="AH6" s="498" t="s">
        <v>78</v>
      </c>
      <c r="AI6" s="498" t="s">
        <v>79</v>
      </c>
      <c r="AJ6" s="497"/>
      <c r="AK6" s="511"/>
      <c r="AL6" s="497"/>
      <c r="AM6" s="497"/>
      <c r="AN6" s="497"/>
      <c r="AO6" s="497"/>
      <c r="AP6" s="497"/>
    </row>
    <row r="7" spans="1:42" ht="34.5" customHeight="1" x14ac:dyDescent="0.25">
      <c r="A7" s="497"/>
      <c r="B7" s="497"/>
      <c r="C7" s="497"/>
      <c r="D7" s="497"/>
      <c r="E7" s="497"/>
      <c r="F7" s="497"/>
      <c r="G7" s="497"/>
      <c r="H7" s="497"/>
      <c r="I7" s="497"/>
      <c r="J7" s="500"/>
      <c r="K7" s="497"/>
      <c r="L7" s="497"/>
      <c r="M7" s="497"/>
      <c r="N7" s="497"/>
      <c r="O7" s="501"/>
      <c r="P7" s="504"/>
      <c r="Q7" s="497"/>
      <c r="R7" s="497"/>
      <c r="S7" s="497"/>
      <c r="T7" s="95" t="s">
        <v>80</v>
      </c>
      <c r="U7" s="95" t="s">
        <v>6</v>
      </c>
      <c r="V7" s="508"/>
      <c r="W7" s="500"/>
      <c r="X7" s="500"/>
      <c r="Y7" s="500"/>
      <c r="Z7" s="500"/>
      <c r="AA7" s="500"/>
      <c r="AB7" s="500"/>
      <c r="AC7" s="500"/>
      <c r="AD7" s="500"/>
      <c r="AE7" s="500"/>
      <c r="AF7" s="500"/>
      <c r="AG7" s="500"/>
      <c r="AH7" s="500"/>
      <c r="AI7" s="500"/>
      <c r="AJ7" s="497"/>
      <c r="AK7" s="511"/>
      <c r="AL7" s="497"/>
      <c r="AM7" s="497"/>
      <c r="AN7" s="497"/>
      <c r="AO7" s="497"/>
      <c r="AP7" s="497"/>
    </row>
    <row r="8" spans="1:42" s="4" customFormat="1" ht="13.5" customHeight="1" x14ac:dyDescent="0.25">
      <c r="A8" s="96">
        <v>1</v>
      </c>
      <c r="B8" s="509">
        <v>2</v>
      </c>
      <c r="C8" s="509"/>
      <c r="D8" s="509"/>
      <c r="E8" s="509"/>
      <c r="F8" s="509"/>
      <c r="G8" s="509"/>
      <c r="H8" s="509"/>
      <c r="I8" s="509"/>
      <c r="J8" s="96"/>
      <c r="K8" s="509">
        <v>2</v>
      </c>
      <c r="L8" s="509"/>
      <c r="M8" s="509"/>
      <c r="N8" s="509"/>
      <c r="O8" s="186">
        <v>3</v>
      </c>
      <c r="P8" s="186">
        <v>3</v>
      </c>
      <c r="Q8" s="96">
        <v>4</v>
      </c>
      <c r="R8" s="96">
        <v>5</v>
      </c>
      <c r="S8" s="96">
        <v>6</v>
      </c>
      <c r="T8" s="96">
        <v>7</v>
      </c>
      <c r="U8" s="96" t="s">
        <v>81</v>
      </c>
      <c r="V8" s="107" t="s">
        <v>82</v>
      </c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>
        <v>10</v>
      </c>
      <c r="AJ8" s="96" t="s">
        <v>83</v>
      </c>
      <c r="AK8" s="131" t="s">
        <v>84</v>
      </c>
      <c r="AL8" s="96" t="s">
        <v>85</v>
      </c>
      <c r="AM8" s="96">
        <v>14</v>
      </c>
      <c r="AN8" s="96"/>
      <c r="AO8" s="96"/>
      <c r="AP8" s="96">
        <v>12</v>
      </c>
    </row>
    <row r="9" spans="1:42" ht="13.5" customHeight="1" thickBot="1" x14ac:dyDescent="0.3">
      <c r="A9" s="5" t="s">
        <v>544</v>
      </c>
      <c r="B9" s="6"/>
      <c r="C9" s="6"/>
      <c r="D9" s="6"/>
      <c r="E9" s="6"/>
      <c r="F9" s="6"/>
      <c r="G9" s="6"/>
      <c r="H9" s="6"/>
      <c r="I9" s="7"/>
      <c r="J9" s="6"/>
      <c r="K9" s="8"/>
      <c r="L9" s="6"/>
      <c r="M9" s="6"/>
      <c r="N9" s="7"/>
      <c r="O9" s="187"/>
      <c r="P9" s="187"/>
      <c r="Q9" s="5"/>
      <c r="R9" s="5"/>
      <c r="S9" s="5"/>
      <c r="T9" s="5"/>
      <c r="U9" s="5"/>
      <c r="V9" s="108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 t="s">
        <v>215</v>
      </c>
      <c r="AJ9" s="5"/>
      <c r="AK9" s="132"/>
      <c r="AL9" s="5"/>
      <c r="AM9" s="5"/>
      <c r="AN9" s="9"/>
      <c r="AO9" s="9"/>
      <c r="AP9" s="9"/>
    </row>
    <row r="10" spans="1:42" s="36" customFormat="1" ht="29.25" customHeight="1" thickTop="1" thickBot="1" x14ac:dyDescent="0.3">
      <c r="A10" s="37"/>
      <c r="B10" s="517" t="s">
        <v>86</v>
      </c>
      <c r="C10" s="518"/>
      <c r="D10" s="518"/>
      <c r="E10" s="518"/>
      <c r="F10" s="518"/>
      <c r="G10" s="518"/>
      <c r="H10" s="518"/>
      <c r="I10" s="519"/>
      <c r="J10" s="145" t="s">
        <v>193</v>
      </c>
      <c r="K10" s="38"/>
      <c r="L10" s="520" t="s">
        <v>87</v>
      </c>
      <c r="M10" s="520"/>
      <c r="N10" s="521"/>
      <c r="O10" s="188">
        <f>SUM(O14,O24,O26)</f>
        <v>57230250000</v>
      </c>
      <c r="P10" s="188">
        <f>SUM(P14,P24,P26)</f>
        <v>57230250000</v>
      </c>
      <c r="Q10" s="39">
        <f>SUM(Q14,Q24,Q26)</f>
        <v>106703461208</v>
      </c>
      <c r="R10" s="57">
        <f>Q10/Q10*100</f>
        <v>100</v>
      </c>
      <c r="S10" s="39">
        <f>S14</f>
        <v>100</v>
      </c>
      <c r="T10" s="39">
        <f>SUM(AJ10)</f>
        <v>7.1491373772119671</v>
      </c>
      <c r="U10" s="39">
        <f>AJ10</f>
        <v>7.1491373772119671</v>
      </c>
      <c r="V10" s="109">
        <f>S10-T10</f>
        <v>92.850862622788028</v>
      </c>
      <c r="W10" s="39">
        <f t="shared" ref="W10:AI10" si="0">SUM(W14,W24,W26)</f>
        <v>0</v>
      </c>
      <c r="X10" s="39" t="e">
        <f t="shared" si="0"/>
        <v>#REF!</v>
      </c>
      <c r="Y10" s="39" t="e">
        <f t="shared" si="0"/>
        <v>#REF!</v>
      </c>
      <c r="Z10" s="39" t="e">
        <f t="shared" si="0"/>
        <v>#REF!</v>
      </c>
      <c r="AA10" s="39" t="e">
        <f t="shared" si="0"/>
        <v>#REF!</v>
      </c>
      <c r="AB10" s="39">
        <f t="shared" si="0"/>
        <v>33313624753</v>
      </c>
      <c r="AC10" s="39" t="e">
        <f t="shared" si="0"/>
        <v>#REF!</v>
      </c>
      <c r="AD10" s="39" t="e">
        <f t="shared" si="0"/>
        <v>#REF!</v>
      </c>
      <c r="AE10" s="39" t="e">
        <f t="shared" si="0"/>
        <v>#REF!</v>
      </c>
      <c r="AF10" s="39" t="e">
        <f t="shared" si="0"/>
        <v>#REF!</v>
      </c>
      <c r="AG10" s="39" t="e">
        <f t="shared" si="0"/>
        <v>#REF!</v>
      </c>
      <c r="AH10" s="39">
        <f t="shared" si="0"/>
        <v>78185513265</v>
      </c>
      <c r="AI10" s="39">
        <f t="shared" si="0"/>
        <v>7628377028</v>
      </c>
      <c r="AJ10" s="40">
        <f>AI10/Q10*100</f>
        <v>7.1491373772119671</v>
      </c>
      <c r="AK10" s="133">
        <f>SUM(AK14,AK24,AK26)</f>
        <v>99075084180</v>
      </c>
      <c r="AL10" s="40">
        <f>AK10/Q10*100</f>
        <v>92.850862622788028</v>
      </c>
      <c r="AM10" s="40"/>
    </row>
    <row r="11" spans="1:42" s="3" customFormat="1" ht="13.5" customHeight="1" thickTop="1" thickBot="1" x14ac:dyDescent="0.3">
      <c r="A11" s="21"/>
      <c r="B11" s="99"/>
      <c r="C11" s="99"/>
      <c r="D11" s="99"/>
      <c r="E11" s="99"/>
      <c r="F11" s="99"/>
      <c r="G11" s="99"/>
      <c r="H11" s="99"/>
      <c r="I11" s="100"/>
      <c r="J11" s="99"/>
      <c r="K11" s="22"/>
      <c r="L11" s="101"/>
      <c r="M11" s="101"/>
      <c r="N11" s="102"/>
      <c r="O11" s="189"/>
      <c r="P11" s="189"/>
      <c r="Q11" s="23"/>
      <c r="R11" s="23"/>
      <c r="S11" s="23"/>
      <c r="T11" s="23"/>
      <c r="U11" s="23"/>
      <c r="V11" s="110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4"/>
      <c r="AK11" s="134"/>
      <c r="AL11" s="24"/>
      <c r="AM11" s="24"/>
    </row>
    <row r="12" spans="1:42" s="36" customFormat="1" ht="29.25" customHeight="1" thickTop="1" thickBot="1" x14ac:dyDescent="0.3">
      <c r="A12" s="37"/>
      <c r="B12" s="517" t="s">
        <v>86</v>
      </c>
      <c r="C12" s="518"/>
      <c r="D12" s="518"/>
      <c r="E12" s="518"/>
      <c r="F12" s="518"/>
      <c r="G12" s="518"/>
      <c r="H12" s="518"/>
      <c r="I12" s="519"/>
      <c r="J12" s="145" t="s">
        <v>194</v>
      </c>
      <c r="K12" s="38"/>
      <c r="L12" s="520" t="s">
        <v>195</v>
      </c>
      <c r="M12" s="520"/>
      <c r="N12" s="521"/>
      <c r="O12" s="188" t="e">
        <f>SUM(#REF!,O26,O32)</f>
        <v>#REF!</v>
      </c>
      <c r="P12" s="188" t="e">
        <f>SUM(#REF!,P26,P32)</f>
        <v>#REF!</v>
      </c>
      <c r="Q12" s="39">
        <f>SUM(Q14+Q24+Q26)</f>
        <v>106703461208</v>
      </c>
      <c r="R12" s="57">
        <f>Q12/Q12*100</f>
        <v>100</v>
      </c>
      <c r="S12" s="39">
        <v>100</v>
      </c>
      <c r="T12" s="39">
        <f>SUM(AJ12)</f>
        <v>7.1491373772119671</v>
      </c>
      <c r="U12" s="39">
        <f>AJ12</f>
        <v>7.1491373772119671</v>
      </c>
      <c r="V12" s="109">
        <f>S12-T12</f>
        <v>92.850862622788028</v>
      </c>
      <c r="W12" s="39">
        <f t="shared" ref="W12:AH12" si="1">SUM(W16,W26,W32)</f>
        <v>0</v>
      </c>
      <c r="X12" s="39" t="e">
        <f t="shared" si="1"/>
        <v>#REF!</v>
      </c>
      <c r="Y12" s="39" t="e">
        <f t="shared" si="1"/>
        <v>#REF!</v>
      </c>
      <c r="Z12" s="39" t="e">
        <f t="shared" si="1"/>
        <v>#REF!</v>
      </c>
      <c r="AA12" s="39" t="e">
        <f t="shared" si="1"/>
        <v>#REF!</v>
      </c>
      <c r="AB12" s="39">
        <f t="shared" si="1"/>
        <v>5549197752</v>
      </c>
      <c r="AC12" s="39" t="e">
        <f t="shared" si="1"/>
        <v>#REF!</v>
      </c>
      <c r="AD12" s="39" t="e">
        <f t="shared" si="1"/>
        <v>#REF!</v>
      </c>
      <c r="AE12" s="39" t="e">
        <f t="shared" si="1"/>
        <v>#REF!</v>
      </c>
      <c r="AF12" s="39" t="e">
        <f t="shared" si="1"/>
        <v>#REF!</v>
      </c>
      <c r="AG12" s="39" t="e">
        <f t="shared" si="1"/>
        <v>#REF!</v>
      </c>
      <c r="AH12" s="39">
        <f t="shared" si="1"/>
        <v>11081028822</v>
      </c>
      <c r="AI12" s="39">
        <f>SUM(AI14+AI24+AI26)</f>
        <v>7628377028</v>
      </c>
      <c r="AJ12" s="40">
        <f>AI12/Q12*100</f>
        <v>7.1491373772119671</v>
      </c>
      <c r="AK12" s="133">
        <f>SUM(AK14+AK24+AK26)</f>
        <v>99075084180</v>
      </c>
      <c r="AL12" s="40">
        <f>AK12/Q12*100</f>
        <v>92.850862622788028</v>
      </c>
      <c r="AM12" s="40"/>
    </row>
    <row r="13" spans="1:42" s="3" customFormat="1" ht="13.5" customHeight="1" thickTop="1" x14ac:dyDescent="0.25">
      <c r="A13" s="21"/>
      <c r="B13" s="99"/>
      <c r="C13" s="99"/>
      <c r="D13" s="99"/>
      <c r="E13" s="99"/>
      <c r="F13" s="99"/>
      <c r="G13" s="99"/>
      <c r="H13" s="99"/>
      <c r="I13" s="100"/>
      <c r="J13" s="99"/>
      <c r="K13" s="22"/>
      <c r="L13" s="101"/>
      <c r="M13" s="101"/>
      <c r="N13" s="102"/>
      <c r="O13" s="189"/>
      <c r="P13" s="189"/>
      <c r="Q13" s="23"/>
      <c r="R13" s="23"/>
      <c r="S13" s="23"/>
      <c r="T13" s="23"/>
      <c r="U13" s="23"/>
      <c r="V13" s="110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4"/>
      <c r="AK13" s="134"/>
      <c r="AL13" s="24"/>
      <c r="AM13" s="24"/>
    </row>
    <row r="14" spans="1:42" s="36" customFormat="1" ht="28.5" customHeight="1" x14ac:dyDescent="0.25">
      <c r="A14" s="49" t="s">
        <v>7</v>
      </c>
      <c r="B14" s="522" t="s">
        <v>88</v>
      </c>
      <c r="C14" s="523"/>
      <c r="D14" s="523"/>
      <c r="E14" s="523"/>
      <c r="F14" s="523"/>
      <c r="G14" s="523"/>
      <c r="H14" s="523"/>
      <c r="I14" s="524"/>
      <c r="J14" s="146" t="s">
        <v>213</v>
      </c>
      <c r="K14" s="50"/>
      <c r="L14" s="525" t="s">
        <v>89</v>
      </c>
      <c r="M14" s="525"/>
      <c r="N14" s="526"/>
      <c r="O14" s="189">
        <v>53000250000</v>
      </c>
      <c r="P14" s="189">
        <f>O14</f>
        <v>53000250000</v>
      </c>
      <c r="Q14" s="58">
        <f>SUM(Q15:Q23)</f>
        <v>97554000000</v>
      </c>
      <c r="R14" s="56">
        <f>Q14/Q14*100</f>
        <v>100</v>
      </c>
      <c r="S14" s="56">
        <v>100</v>
      </c>
      <c r="T14" s="58">
        <f>AJ14</f>
        <v>6.7914105213522769</v>
      </c>
      <c r="U14" s="58">
        <f>SUM(R14*T14)</f>
        <v>679.14105213522771</v>
      </c>
      <c r="V14" s="111">
        <f>S14-T14</f>
        <v>93.208589478647724</v>
      </c>
      <c r="W14" s="58"/>
      <c r="X14" s="58" t="e">
        <f>#REF!</f>
        <v>#REF!</v>
      </c>
      <c r="Y14" s="58" t="e">
        <f>#REF!</f>
        <v>#REF!</v>
      </c>
      <c r="Z14" s="58" t="e">
        <f>#REF!</f>
        <v>#REF!</v>
      </c>
      <c r="AA14" s="58" t="e">
        <f>#REF!</f>
        <v>#REF!</v>
      </c>
      <c r="AB14" s="58">
        <v>27766121137</v>
      </c>
      <c r="AC14" s="58" t="e">
        <f>#REF!</f>
        <v>#REF!</v>
      </c>
      <c r="AD14" s="58" t="e">
        <f>#REF!</f>
        <v>#REF!</v>
      </c>
      <c r="AE14" s="58" t="e">
        <f>#REF!</f>
        <v>#REF!</v>
      </c>
      <c r="AF14" s="58" t="e">
        <f>[1]April!$N$12</f>
        <v>#REF!</v>
      </c>
      <c r="AG14" s="58" t="e">
        <f>[2]april!$N$12</f>
        <v>#REF!</v>
      </c>
      <c r="AH14" s="58">
        <f>'[3]DES SKPD'!$N$12</f>
        <v>67029484443</v>
      </c>
      <c r="AI14" s="58">
        <f>SUM(AI15:AI23)</f>
        <v>6625292620</v>
      </c>
      <c r="AJ14" s="56">
        <f t="shared" ref="AJ14:AJ27" si="2">AI14/Q14*100</f>
        <v>6.7914105213522769</v>
      </c>
      <c r="AK14" s="135">
        <f>Q14-AI14</f>
        <v>90928707380</v>
      </c>
      <c r="AL14" s="56">
        <f t="shared" ref="AL14:AL27" si="3">AK14/Q14*100</f>
        <v>93.208589478647724</v>
      </c>
      <c r="AM14" s="49"/>
    </row>
    <row r="15" spans="1:42" ht="28.5" customHeight="1" x14ac:dyDescent="0.25">
      <c r="A15" s="26">
        <v>1</v>
      </c>
      <c r="B15" s="512" t="s">
        <v>90</v>
      </c>
      <c r="C15" s="513"/>
      <c r="D15" s="513"/>
      <c r="E15" s="513"/>
      <c r="F15" s="513"/>
      <c r="G15" s="513"/>
      <c r="H15" s="513"/>
      <c r="I15" s="514"/>
      <c r="J15" s="97" t="s">
        <v>355</v>
      </c>
      <c r="K15" s="27"/>
      <c r="L15" s="515" t="s">
        <v>389</v>
      </c>
      <c r="M15" s="515"/>
      <c r="N15" s="516"/>
      <c r="O15" s="190"/>
      <c r="P15" s="190"/>
      <c r="Q15" s="28">
        <v>4000000000</v>
      </c>
      <c r="R15" s="29">
        <f>Q15/Q$10*100</f>
        <v>3.7487068879637278</v>
      </c>
      <c r="S15" s="29">
        <v>100</v>
      </c>
      <c r="T15" s="28">
        <f>AJ15</f>
        <v>5.5971858999999995</v>
      </c>
      <c r="U15" s="28">
        <f>R15*T15/100</f>
        <v>0.20982209336543456</v>
      </c>
      <c r="V15" s="87">
        <f t="shared" ref="V15:V26" si="4">S15-T15</f>
        <v>94.402814100000001</v>
      </c>
      <c r="W15" s="28"/>
      <c r="X15" s="28"/>
      <c r="Y15" s="28"/>
      <c r="Z15" s="28"/>
      <c r="AA15" s="28"/>
      <c r="AB15" s="28">
        <v>0</v>
      </c>
      <c r="AC15" s="28"/>
      <c r="AD15" s="28"/>
      <c r="AE15" s="28"/>
      <c r="AF15" s="28"/>
      <c r="AG15" s="28"/>
      <c r="AH15" s="28"/>
      <c r="AI15" s="28">
        <f>(223887436)</f>
        <v>223887436</v>
      </c>
      <c r="AJ15" s="29">
        <f t="shared" si="2"/>
        <v>5.5971858999999995</v>
      </c>
      <c r="AK15" s="136">
        <f>SUM(Q15-AI15)</f>
        <v>3776112564</v>
      </c>
      <c r="AL15" s="29">
        <f t="shared" si="3"/>
        <v>94.402814100000001</v>
      </c>
      <c r="AM15" s="26"/>
    </row>
    <row r="16" spans="1:42" ht="28.5" customHeight="1" x14ac:dyDescent="0.25">
      <c r="A16" s="26">
        <v>2</v>
      </c>
      <c r="B16" s="512" t="s">
        <v>91</v>
      </c>
      <c r="C16" s="513"/>
      <c r="D16" s="513"/>
      <c r="E16" s="513"/>
      <c r="F16" s="513"/>
      <c r="G16" s="513"/>
      <c r="H16" s="513"/>
      <c r="I16" s="514"/>
      <c r="J16" s="97" t="s">
        <v>356</v>
      </c>
      <c r="K16" s="27"/>
      <c r="L16" s="515" t="s">
        <v>390</v>
      </c>
      <c r="M16" s="515"/>
      <c r="N16" s="516"/>
      <c r="O16" s="190"/>
      <c r="P16" s="190"/>
      <c r="Q16" s="28">
        <v>14200000000</v>
      </c>
      <c r="R16" s="29">
        <f t="shared" ref="R16:R27" si="5">Q16/Q$10*100</f>
        <v>13.307909452271232</v>
      </c>
      <c r="S16" s="29">
        <v>100</v>
      </c>
      <c r="T16" s="28">
        <f>AJ16</f>
        <v>10.109149711267605</v>
      </c>
      <c r="U16" s="28">
        <f>R16*T16/100</f>
        <v>1.3453164899700318</v>
      </c>
      <c r="V16" s="87">
        <f t="shared" si="4"/>
        <v>89.890850288732395</v>
      </c>
      <c r="W16" s="28"/>
      <c r="X16" s="28"/>
      <c r="Y16" s="28"/>
      <c r="Z16" s="28"/>
      <c r="AA16" s="28"/>
      <c r="AB16" s="28">
        <v>0</v>
      </c>
      <c r="AC16" s="28"/>
      <c r="AD16" s="28"/>
      <c r="AE16" s="28"/>
      <c r="AF16" s="28"/>
      <c r="AG16" s="28"/>
      <c r="AH16" s="28"/>
      <c r="AI16" s="28">
        <f>(1435499259)</f>
        <v>1435499259</v>
      </c>
      <c r="AJ16" s="29">
        <f t="shared" si="2"/>
        <v>10.109149711267605</v>
      </c>
      <c r="AK16" s="136">
        <f t="shared" ref="AK16:AK31" si="6">SUM(Q16-AI16)</f>
        <v>12764500741</v>
      </c>
      <c r="AL16" s="94">
        <f t="shared" si="3"/>
        <v>89.890850288732395</v>
      </c>
      <c r="AM16" s="26"/>
    </row>
    <row r="17" spans="1:39" ht="28.5" customHeight="1" x14ac:dyDescent="0.25">
      <c r="A17" s="26">
        <v>3</v>
      </c>
      <c r="B17" s="512" t="s">
        <v>92</v>
      </c>
      <c r="C17" s="513"/>
      <c r="D17" s="513"/>
      <c r="E17" s="513"/>
      <c r="F17" s="513"/>
      <c r="G17" s="513"/>
      <c r="H17" s="513"/>
      <c r="I17" s="514"/>
      <c r="J17" s="97" t="s">
        <v>357</v>
      </c>
      <c r="K17" s="27"/>
      <c r="L17" s="515" t="s">
        <v>391</v>
      </c>
      <c r="M17" s="515"/>
      <c r="N17" s="516"/>
      <c r="O17" s="190"/>
      <c r="P17" s="190"/>
      <c r="Q17" s="28">
        <v>510000000</v>
      </c>
      <c r="R17" s="29">
        <f t="shared" si="5"/>
        <v>0.4779601282153752</v>
      </c>
      <c r="S17" s="29">
        <v>100</v>
      </c>
      <c r="T17" s="28">
        <f>AJ17</f>
        <v>11.241886274509802</v>
      </c>
      <c r="U17" s="28">
        <f>R17*T17/100</f>
        <v>5.3731734051473717E-2</v>
      </c>
      <c r="V17" s="87">
        <f t="shared" si="4"/>
        <v>88.758113725490205</v>
      </c>
      <c r="W17" s="28"/>
      <c r="X17" s="28"/>
      <c r="Y17" s="28"/>
      <c r="Z17" s="28"/>
      <c r="AA17" s="28"/>
      <c r="AB17" s="28">
        <v>0</v>
      </c>
      <c r="AC17" s="28"/>
      <c r="AD17" s="28"/>
      <c r="AE17" s="28"/>
      <c r="AF17" s="28"/>
      <c r="AG17" s="28"/>
      <c r="AH17" s="28"/>
      <c r="AI17" s="28">
        <f>(57333620)</f>
        <v>57333620</v>
      </c>
      <c r="AJ17" s="29">
        <f t="shared" si="2"/>
        <v>11.241886274509802</v>
      </c>
      <c r="AK17" s="136">
        <f t="shared" si="6"/>
        <v>452666380</v>
      </c>
      <c r="AL17" s="29">
        <f t="shared" si="3"/>
        <v>88.75811372549019</v>
      </c>
      <c r="AM17" s="26"/>
    </row>
    <row r="18" spans="1:39" ht="28.5" customHeight="1" x14ac:dyDescent="0.25">
      <c r="A18" s="26">
        <v>4</v>
      </c>
      <c r="B18" s="512" t="s">
        <v>93</v>
      </c>
      <c r="C18" s="513"/>
      <c r="D18" s="513"/>
      <c r="E18" s="513"/>
      <c r="F18" s="513"/>
      <c r="G18" s="513"/>
      <c r="H18" s="513"/>
      <c r="I18" s="514"/>
      <c r="J18" s="97" t="s">
        <v>358</v>
      </c>
      <c r="K18" s="27"/>
      <c r="L18" s="515" t="s">
        <v>392</v>
      </c>
      <c r="M18" s="515"/>
      <c r="N18" s="516"/>
      <c r="O18" s="190"/>
      <c r="P18" s="190"/>
      <c r="Q18" s="28">
        <v>4200000000</v>
      </c>
      <c r="R18" s="29">
        <f t="shared" si="5"/>
        <v>3.936142232361914</v>
      </c>
      <c r="S18" s="29">
        <v>100</v>
      </c>
      <c r="T18" s="28">
        <f t="shared" ref="T18:T31" si="7">AJ18</f>
        <v>12.976232523809525</v>
      </c>
      <c r="U18" s="28">
        <f t="shared" ref="U18:U23" si="8">R18*T18/100</f>
        <v>0.51076296853914893</v>
      </c>
      <c r="V18" s="87">
        <f t="shared" si="4"/>
        <v>87.023767476190471</v>
      </c>
      <c r="W18" s="28"/>
      <c r="X18" s="28"/>
      <c r="Y18" s="28"/>
      <c r="Z18" s="28"/>
      <c r="AA18" s="28"/>
      <c r="AB18" s="28">
        <v>0</v>
      </c>
      <c r="AC18" s="28"/>
      <c r="AD18" s="28"/>
      <c r="AE18" s="28"/>
      <c r="AF18" s="28"/>
      <c r="AG18" s="28"/>
      <c r="AH18" s="28"/>
      <c r="AI18" s="28">
        <f>(545001766)</f>
        <v>545001766</v>
      </c>
      <c r="AJ18" s="29">
        <f t="shared" si="2"/>
        <v>12.976232523809525</v>
      </c>
      <c r="AK18" s="136">
        <f t="shared" si="6"/>
        <v>3654998234</v>
      </c>
      <c r="AL18" s="94">
        <f t="shared" si="3"/>
        <v>87.023767476190471</v>
      </c>
      <c r="AM18" s="26"/>
    </row>
    <row r="19" spans="1:39" ht="28.5" customHeight="1" x14ac:dyDescent="0.25">
      <c r="A19" s="26">
        <v>5</v>
      </c>
      <c r="B19" s="512" t="s">
        <v>94</v>
      </c>
      <c r="C19" s="513"/>
      <c r="D19" s="513"/>
      <c r="E19" s="513"/>
      <c r="F19" s="513"/>
      <c r="G19" s="513"/>
      <c r="H19" s="513"/>
      <c r="I19" s="514"/>
      <c r="J19" s="97" t="s">
        <v>359</v>
      </c>
      <c r="K19" s="27"/>
      <c r="L19" s="515" t="s">
        <v>393</v>
      </c>
      <c r="M19" s="515"/>
      <c r="N19" s="516"/>
      <c r="O19" s="190"/>
      <c r="P19" s="190"/>
      <c r="Q19" s="28">
        <v>23500000000</v>
      </c>
      <c r="R19" s="29">
        <f t="shared" si="5"/>
        <v>22.023652966786898</v>
      </c>
      <c r="S19" s="29">
        <v>100</v>
      </c>
      <c r="T19" s="28">
        <f t="shared" si="7"/>
        <v>8.3174128255319157</v>
      </c>
      <c r="U19" s="28">
        <f t="shared" si="8"/>
        <v>1.8317981365101739</v>
      </c>
      <c r="V19" s="87">
        <f t="shared" si="4"/>
        <v>91.682587174468082</v>
      </c>
      <c r="W19" s="28"/>
      <c r="X19" s="28"/>
      <c r="Y19" s="28"/>
      <c r="Z19" s="28"/>
      <c r="AA19" s="28"/>
      <c r="AB19" s="28">
        <v>0</v>
      </c>
      <c r="AC19" s="28"/>
      <c r="AD19" s="28"/>
      <c r="AE19" s="28"/>
      <c r="AF19" s="28"/>
      <c r="AG19" s="28"/>
      <c r="AH19" s="28"/>
      <c r="AI19" s="28">
        <f>(1954592014)</f>
        <v>1954592014</v>
      </c>
      <c r="AJ19" s="29">
        <f t="shared" si="2"/>
        <v>8.3174128255319157</v>
      </c>
      <c r="AK19" s="136">
        <f t="shared" si="6"/>
        <v>21545407986</v>
      </c>
      <c r="AL19" s="94">
        <f t="shared" si="3"/>
        <v>91.682587174468082</v>
      </c>
      <c r="AM19" s="26"/>
    </row>
    <row r="20" spans="1:39" ht="28.5" customHeight="1" x14ac:dyDescent="0.25">
      <c r="A20" s="26">
        <v>6</v>
      </c>
      <c r="B20" s="512" t="s">
        <v>95</v>
      </c>
      <c r="C20" s="513"/>
      <c r="D20" s="513"/>
      <c r="E20" s="513"/>
      <c r="F20" s="513"/>
      <c r="G20" s="513"/>
      <c r="H20" s="513"/>
      <c r="I20" s="514"/>
      <c r="J20" s="97" t="s">
        <v>360</v>
      </c>
      <c r="K20" s="27"/>
      <c r="L20" s="515" t="s">
        <v>394</v>
      </c>
      <c r="M20" s="515"/>
      <c r="N20" s="516"/>
      <c r="O20" s="190"/>
      <c r="P20" s="190"/>
      <c r="Q20" s="28">
        <v>700000000</v>
      </c>
      <c r="R20" s="29">
        <f t="shared" si="5"/>
        <v>0.65602370539365229</v>
      </c>
      <c r="S20" s="29">
        <v>100</v>
      </c>
      <c r="T20" s="28">
        <f t="shared" si="7"/>
        <v>10.771731428571428</v>
      </c>
      <c r="U20" s="28">
        <f t="shared" si="8"/>
        <v>7.0665111652766871E-2</v>
      </c>
      <c r="V20" s="87">
        <f t="shared" si="4"/>
        <v>89.228268571428572</v>
      </c>
      <c r="W20" s="28"/>
      <c r="X20" s="28"/>
      <c r="Y20" s="28"/>
      <c r="Z20" s="28"/>
      <c r="AA20" s="28"/>
      <c r="AB20" s="28">
        <v>0</v>
      </c>
      <c r="AC20" s="28"/>
      <c r="AD20" s="28"/>
      <c r="AE20" s="28"/>
      <c r="AF20" s="28"/>
      <c r="AG20" s="28"/>
      <c r="AH20" s="28"/>
      <c r="AI20" s="28">
        <f>(75402120)</f>
        <v>75402120</v>
      </c>
      <c r="AJ20" s="29">
        <f t="shared" si="2"/>
        <v>10.771731428571428</v>
      </c>
      <c r="AK20" s="136">
        <f t="shared" si="6"/>
        <v>624597880</v>
      </c>
      <c r="AL20" s="29">
        <f t="shared" si="3"/>
        <v>89.228268571428572</v>
      </c>
      <c r="AM20" s="26"/>
    </row>
    <row r="21" spans="1:39" ht="28.5" customHeight="1" x14ac:dyDescent="0.25">
      <c r="A21" s="26">
        <v>7</v>
      </c>
      <c r="B21" s="512" t="s">
        <v>96</v>
      </c>
      <c r="C21" s="513"/>
      <c r="D21" s="513"/>
      <c r="E21" s="513"/>
      <c r="F21" s="513"/>
      <c r="G21" s="513"/>
      <c r="H21" s="513"/>
      <c r="I21" s="514"/>
      <c r="J21" s="97" t="s">
        <v>361</v>
      </c>
      <c r="K21" s="27"/>
      <c r="L21" s="515" t="s">
        <v>97</v>
      </c>
      <c r="M21" s="515"/>
      <c r="N21" s="516"/>
      <c r="O21" s="190"/>
      <c r="P21" s="190"/>
      <c r="Q21" s="28">
        <v>280000000</v>
      </c>
      <c r="R21" s="29">
        <f t="shared" si="5"/>
        <v>0.2624094821574609</v>
      </c>
      <c r="S21" s="29">
        <v>100</v>
      </c>
      <c r="T21" s="28">
        <f t="shared" si="7"/>
        <v>9.7573482142857149</v>
      </c>
      <c r="U21" s="28">
        <f t="shared" si="8"/>
        <v>2.5604206921407403E-2</v>
      </c>
      <c r="V21" s="87">
        <f t="shared" si="4"/>
        <v>90.242651785714287</v>
      </c>
      <c r="W21" s="28"/>
      <c r="X21" s="28"/>
      <c r="Y21" s="28"/>
      <c r="Z21" s="28"/>
      <c r="AA21" s="28"/>
      <c r="AB21" s="28">
        <v>0</v>
      </c>
      <c r="AC21" s="28"/>
      <c r="AD21" s="28"/>
      <c r="AE21" s="28"/>
      <c r="AF21" s="28"/>
      <c r="AG21" s="28"/>
      <c r="AH21" s="28"/>
      <c r="AI21" s="28">
        <f>(27320575)</f>
        <v>27320575</v>
      </c>
      <c r="AJ21" s="29">
        <f t="shared" si="2"/>
        <v>9.7573482142857149</v>
      </c>
      <c r="AK21" s="136">
        <f t="shared" si="6"/>
        <v>252679425</v>
      </c>
      <c r="AL21" s="29">
        <f t="shared" si="3"/>
        <v>90.242651785714287</v>
      </c>
      <c r="AM21" s="26"/>
    </row>
    <row r="22" spans="1:39" ht="28.5" customHeight="1" x14ac:dyDescent="0.25">
      <c r="A22" s="26">
        <v>8</v>
      </c>
      <c r="B22" s="512" t="s">
        <v>98</v>
      </c>
      <c r="C22" s="513"/>
      <c r="D22" s="513"/>
      <c r="E22" s="513"/>
      <c r="F22" s="513"/>
      <c r="G22" s="513"/>
      <c r="H22" s="513"/>
      <c r="I22" s="514"/>
      <c r="J22" s="97" t="s">
        <v>362</v>
      </c>
      <c r="K22" s="27"/>
      <c r="L22" s="515" t="s">
        <v>363</v>
      </c>
      <c r="M22" s="515"/>
      <c r="N22" s="516"/>
      <c r="O22" s="190"/>
      <c r="P22" s="190"/>
      <c r="Q22" s="28">
        <v>16000000000</v>
      </c>
      <c r="R22" s="29">
        <f t="shared" si="5"/>
        <v>14.994827551854911</v>
      </c>
      <c r="S22" s="29">
        <v>100</v>
      </c>
      <c r="T22" s="28">
        <f t="shared" si="7"/>
        <v>2.3407466937499999</v>
      </c>
      <c r="U22" s="28">
        <f t="shared" si="8"/>
        <v>0.35099093015355792</v>
      </c>
      <c r="V22" s="87">
        <f t="shared" si="4"/>
        <v>97.659253306249994</v>
      </c>
      <c r="W22" s="28"/>
      <c r="X22" s="28"/>
      <c r="Y22" s="28"/>
      <c r="Z22" s="28"/>
      <c r="AA22" s="28"/>
      <c r="AB22" s="28">
        <v>0</v>
      </c>
      <c r="AC22" s="28"/>
      <c r="AD22" s="28"/>
      <c r="AE22" s="28"/>
      <c r="AF22" s="28"/>
      <c r="AG22" s="28"/>
      <c r="AH22" s="28"/>
      <c r="AI22" s="28">
        <f>(374519471)</f>
        <v>374519471</v>
      </c>
      <c r="AJ22" s="29">
        <f t="shared" si="2"/>
        <v>2.3407466937499999</v>
      </c>
      <c r="AK22" s="136">
        <f t="shared" si="6"/>
        <v>15625480529</v>
      </c>
      <c r="AL22" s="94">
        <f t="shared" si="3"/>
        <v>97.659253306250008</v>
      </c>
      <c r="AM22" s="26"/>
    </row>
    <row r="23" spans="1:39" ht="32.25" customHeight="1" x14ac:dyDescent="0.25">
      <c r="A23" s="26">
        <v>9</v>
      </c>
      <c r="B23" s="512" t="s">
        <v>99</v>
      </c>
      <c r="C23" s="513"/>
      <c r="D23" s="513"/>
      <c r="E23" s="513"/>
      <c r="F23" s="513"/>
      <c r="G23" s="513"/>
      <c r="H23" s="513"/>
      <c r="I23" s="514"/>
      <c r="J23" s="97" t="s">
        <v>364</v>
      </c>
      <c r="K23" s="27"/>
      <c r="L23" s="515" t="s">
        <v>100</v>
      </c>
      <c r="M23" s="515"/>
      <c r="N23" s="516"/>
      <c r="O23" s="190"/>
      <c r="P23" s="190"/>
      <c r="Q23" s="28">
        <v>34164000000</v>
      </c>
      <c r="R23" s="29">
        <f t="shared" si="5"/>
        <v>32.017705530098198</v>
      </c>
      <c r="S23" s="29">
        <v>100</v>
      </c>
      <c r="T23" s="28">
        <f t="shared" si="7"/>
        <v>5.6543038256644422</v>
      </c>
      <c r="U23" s="28">
        <f t="shared" si="8"/>
        <v>1.810378348678318</v>
      </c>
      <c r="V23" s="87">
        <f>S23-T23</f>
        <v>94.345696174335558</v>
      </c>
      <c r="W23" s="28"/>
      <c r="X23" s="28"/>
      <c r="Y23" s="28"/>
      <c r="Z23" s="28"/>
      <c r="AA23" s="28"/>
      <c r="AB23" s="28">
        <v>0</v>
      </c>
      <c r="AC23" s="28"/>
      <c r="AD23" s="28"/>
      <c r="AE23" s="28"/>
      <c r="AF23" s="28"/>
      <c r="AG23" s="28"/>
      <c r="AH23" s="28"/>
      <c r="AI23" s="28">
        <f>(1931736359)</f>
        <v>1931736359</v>
      </c>
      <c r="AJ23" s="29">
        <f t="shared" si="2"/>
        <v>5.6543038256644422</v>
      </c>
      <c r="AK23" s="136">
        <f t="shared" si="6"/>
        <v>32232263641</v>
      </c>
      <c r="AL23" s="29">
        <f t="shared" si="3"/>
        <v>94.345696174335558</v>
      </c>
      <c r="AM23" s="26"/>
    </row>
    <row r="24" spans="1:39" s="36" customFormat="1" ht="27.75" customHeight="1" x14ac:dyDescent="0.25">
      <c r="A24" s="49" t="s">
        <v>8</v>
      </c>
      <c r="B24" s="522" t="s">
        <v>101</v>
      </c>
      <c r="C24" s="523"/>
      <c r="D24" s="523"/>
      <c r="E24" s="523"/>
      <c r="F24" s="523"/>
      <c r="G24" s="523"/>
      <c r="H24" s="523"/>
      <c r="I24" s="524"/>
      <c r="J24" s="146" t="s">
        <v>214</v>
      </c>
      <c r="K24" s="50"/>
      <c r="L24" s="525" t="s">
        <v>102</v>
      </c>
      <c r="M24" s="525"/>
      <c r="N24" s="526"/>
      <c r="O24" s="189">
        <v>80000000</v>
      </c>
      <c r="P24" s="189">
        <f>O24</f>
        <v>80000000</v>
      </c>
      <c r="Q24" s="58">
        <f>SUM(Q25)</f>
        <v>161362180</v>
      </c>
      <c r="R24" s="57">
        <f>Q24/Q24*100</f>
        <v>100</v>
      </c>
      <c r="S24" s="56">
        <v>100</v>
      </c>
      <c r="T24" s="58">
        <f t="shared" si="7"/>
        <v>8.9240242044325377</v>
      </c>
      <c r="U24" s="58">
        <f>AJ24</f>
        <v>8.9240242044325377</v>
      </c>
      <c r="V24" s="111">
        <f t="shared" si="4"/>
        <v>91.075975795567459</v>
      </c>
      <c r="W24" s="58"/>
      <c r="X24" s="58" t="e">
        <f>#REF!</f>
        <v>#REF!</v>
      </c>
      <c r="Y24" s="58" t="e">
        <f>#REF!</f>
        <v>#REF!</v>
      </c>
      <c r="Z24" s="58" t="e">
        <f>#REF!</f>
        <v>#REF!</v>
      </c>
      <c r="AA24" s="58" t="e">
        <f>#REF!</f>
        <v>#REF!</v>
      </c>
      <c r="AB24" s="58">
        <v>15000000</v>
      </c>
      <c r="AC24" s="58" t="e">
        <f>#REF!</f>
        <v>#REF!</v>
      </c>
      <c r="AD24" s="58" t="e">
        <f>#REF!</f>
        <v>#REF!</v>
      </c>
      <c r="AE24" s="58" t="e">
        <f>#REF!</f>
        <v>#REF!</v>
      </c>
      <c r="AF24" s="58" t="e">
        <f>[1]April!$N$13</f>
        <v>#REF!</v>
      </c>
      <c r="AG24" s="58" t="e">
        <f>[2]april!$N$13</f>
        <v>#REF!</v>
      </c>
      <c r="AH24" s="58">
        <f>'[3]DES SKPD'!$N$13</f>
        <v>75000000</v>
      </c>
      <c r="AI24" s="58">
        <f>SUM(AI25)</f>
        <v>14400000</v>
      </c>
      <c r="AJ24" s="56">
        <f t="shared" si="2"/>
        <v>8.9240242044325377</v>
      </c>
      <c r="AK24" s="135">
        <f t="shared" si="6"/>
        <v>146962180</v>
      </c>
      <c r="AL24" s="56">
        <f t="shared" si="3"/>
        <v>91.075975795567459</v>
      </c>
      <c r="AM24" s="49"/>
    </row>
    <row r="25" spans="1:39" ht="21" customHeight="1" x14ac:dyDescent="0.25">
      <c r="A25" s="26">
        <v>10</v>
      </c>
      <c r="B25" s="512" t="s">
        <v>103</v>
      </c>
      <c r="C25" s="513"/>
      <c r="D25" s="513"/>
      <c r="E25" s="513"/>
      <c r="F25" s="513"/>
      <c r="G25" s="513"/>
      <c r="H25" s="513"/>
      <c r="I25" s="514"/>
      <c r="J25" s="97" t="s">
        <v>365</v>
      </c>
      <c r="K25" s="27"/>
      <c r="L25" s="515" t="s">
        <v>540</v>
      </c>
      <c r="M25" s="515"/>
      <c r="N25" s="516"/>
      <c r="O25" s="190"/>
      <c r="P25" s="190"/>
      <c r="Q25" s="28">
        <v>161362180</v>
      </c>
      <c r="R25" s="29">
        <f t="shared" si="5"/>
        <v>0.15122487890571071</v>
      </c>
      <c r="S25" s="29">
        <v>100</v>
      </c>
      <c r="T25" s="28">
        <f t="shared" si="7"/>
        <v>8.9240242044325377</v>
      </c>
      <c r="U25" s="28">
        <f>R25*T25/100</f>
        <v>1.3495344796669419E-2</v>
      </c>
      <c r="V25" s="87">
        <f t="shared" si="4"/>
        <v>91.075975795567459</v>
      </c>
      <c r="W25" s="28"/>
      <c r="X25" s="28"/>
      <c r="Y25" s="28"/>
      <c r="Z25" s="28"/>
      <c r="AA25" s="28"/>
      <c r="AB25" s="28">
        <v>0</v>
      </c>
      <c r="AC25" s="23" t="e">
        <f>#REF!</f>
        <v>#REF!</v>
      </c>
      <c r="AD25" s="28"/>
      <c r="AE25" s="28"/>
      <c r="AF25" s="28"/>
      <c r="AG25" s="28"/>
      <c r="AH25" s="28"/>
      <c r="AI25" s="28">
        <f>(14400000)</f>
        <v>14400000</v>
      </c>
      <c r="AJ25" s="29">
        <f t="shared" si="2"/>
        <v>8.9240242044325377</v>
      </c>
      <c r="AK25" s="136">
        <f t="shared" si="6"/>
        <v>146962180</v>
      </c>
      <c r="AL25" s="29">
        <f t="shared" si="3"/>
        <v>91.075975795567459</v>
      </c>
      <c r="AM25" s="26"/>
    </row>
    <row r="26" spans="1:39" s="36" customFormat="1" ht="27.75" customHeight="1" x14ac:dyDescent="0.25">
      <c r="A26" s="49" t="s">
        <v>29</v>
      </c>
      <c r="B26" s="522" t="s">
        <v>104</v>
      </c>
      <c r="C26" s="523"/>
      <c r="D26" s="523"/>
      <c r="E26" s="523"/>
      <c r="F26" s="523"/>
      <c r="G26" s="523"/>
      <c r="H26" s="523"/>
      <c r="I26" s="524"/>
      <c r="J26" s="146" t="s">
        <v>366</v>
      </c>
      <c r="K26" s="50"/>
      <c r="L26" s="525" t="s">
        <v>105</v>
      </c>
      <c r="M26" s="525"/>
      <c r="N26" s="526"/>
      <c r="O26" s="189">
        <v>4150000000</v>
      </c>
      <c r="P26" s="189">
        <f>O26</f>
        <v>4150000000</v>
      </c>
      <c r="Q26" s="58">
        <f>SUM(Q27:Q29)</f>
        <v>8988099028</v>
      </c>
      <c r="R26" s="57">
        <f>Q26/Q26*100</f>
        <v>100</v>
      </c>
      <c r="S26" s="56">
        <v>100</v>
      </c>
      <c r="T26" s="58">
        <f t="shared" si="7"/>
        <v>10.99992784814698</v>
      </c>
      <c r="U26" s="58">
        <f>AJ26</f>
        <v>10.99992784814698</v>
      </c>
      <c r="V26" s="111">
        <f t="shared" si="4"/>
        <v>89.000072151853018</v>
      </c>
      <c r="W26" s="58"/>
      <c r="X26" s="58" t="e">
        <f>#REF!</f>
        <v>#REF!</v>
      </c>
      <c r="Y26" s="58" t="e">
        <f>#REF!</f>
        <v>#REF!</v>
      </c>
      <c r="Z26" s="58" t="e">
        <f>#REF!</f>
        <v>#REF!</v>
      </c>
      <c r="AA26" s="58" t="e">
        <f>#REF!</f>
        <v>#REF!</v>
      </c>
      <c r="AB26" s="58">
        <v>5532503616</v>
      </c>
      <c r="AC26" s="58" t="e">
        <f>#REF!</f>
        <v>#REF!</v>
      </c>
      <c r="AD26" s="58" t="e">
        <f>#REF!</f>
        <v>#REF!</v>
      </c>
      <c r="AE26" s="58" t="e">
        <f>#REF!</f>
        <v>#REF!</v>
      </c>
      <c r="AF26" s="58" t="e">
        <f>[1]April!$N$14</f>
        <v>#REF!</v>
      </c>
      <c r="AG26" s="58" t="e">
        <f>[2]april!$N$14</f>
        <v>#REF!</v>
      </c>
      <c r="AH26" s="58">
        <f>'[3]DES SKPD'!$N$14</f>
        <v>11081028822</v>
      </c>
      <c r="AI26" s="58">
        <f>SUM(AI27:AI32)</f>
        <v>988684408</v>
      </c>
      <c r="AJ26" s="56">
        <f t="shared" si="2"/>
        <v>10.99992784814698</v>
      </c>
      <c r="AK26" s="142">
        <f>SUM(Q26-AI26)</f>
        <v>7999414620</v>
      </c>
      <c r="AL26" s="56">
        <f t="shared" si="3"/>
        <v>89.000072151853018</v>
      </c>
      <c r="AM26" s="49"/>
    </row>
    <row r="27" spans="1:39" ht="24.95" customHeight="1" x14ac:dyDescent="0.25">
      <c r="A27" s="26">
        <v>11</v>
      </c>
      <c r="B27" s="512" t="s">
        <v>106</v>
      </c>
      <c r="C27" s="513"/>
      <c r="D27" s="513"/>
      <c r="E27" s="513"/>
      <c r="F27" s="513"/>
      <c r="G27" s="513"/>
      <c r="H27" s="513"/>
      <c r="I27" s="514"/>
      <c r="J27" s="97" t="s">
        <v>367</v>
      </c>
      <c r="K27" s="27"/>
      <c r="L27" s="515" t="s">
        <v>107</v>
      </c>
      <c r="M27" s="515"/>
      <c r="N27" s="516"/>
      <c r="O27" s="190">
        <v>2869514353</v>
      </c>
      <c r="P27" s="190"/>
      <c r="Q27" s="28">
        <v>8299099028</v>
      </c>
      <c r="R27" s="29">
        <f t="shared" si="5"/>
        <v>7.7777224225391688</v>
      </c>
      <c r="S27" s="29">
        <v>100</v>
      </c>
      <c r="T27" s="28">
        <f t="shared" si="7"/>
        <v>6.6214943471090244</v>
      </c>
      <c r="U27" s="28">
        <f t="shared" ref="U27:U31" si="9">R27*T27/100</f>
        <v>0.51500145054226221</v>
      </c>
      <c r="V27" s="87">
        <f t="shared" ref="V27:V31" si="10">T27-S27</f>
        <v>-93.378505652890979</v>
      </c>
      <c r="W27" s="28">
        <v>0</v>
      </c>
      <c r="X27" s="28">
        <v>0</v>
      </c>
      <c r="Y27" s="28">
        <f>[4]MARET!$N$14</f>
        <v>1079679809</v>
      </c>
      <c r="Z27" s="28">
        <v>3345735931</v>
      </c>
      <c r="AA27" s="28" t="e">
        <f>[5]maret!$Q$166</f>
        <v>#REF!</v>
      </c>
      <c r="AB27" s="28">
        <f>[6]JUNI!$S$166</f>
        <v>2116323666</v>
      </c>
      <c r="AC27" s="28"/>
      <c r="AD27" s="28"/>
      <c r="AE27" s="28"/>
      <c r="AF27" s="28"/>
      <c r="AG27" s="28"/>
      <c r="AH27" s="28"/>
      <c r="AI27" s="28">
        <f>(549524373)</f>
        <v>549524373</v>
      </c>
      <c r="AJ27" s="29">
        <f t="shared" si="2"/>
        <v>6.6214943471090244</v>
      </c>
      <c r="AK27" s="136">
        <f t="shared" si="6"/>
        <v>7749574655</v>
      </c>
      <c r="AL27" s="29">
        <f t="shared" si="3"/>
        <v>93.378505652890979</v>
      </c>
      <c r="AM27" s="26"/>
    </row>
    <row r="28" spans="1:39" ht="24.95" customHeight="1" x14ac:dyDescent="0.25">
      <c r="A28" s="26">
        <v>12</v>
      </c>
      <c r="B28" s="512" t="s">
        <v>108</v>
      </c>
      <c r="C28" s="513"/>
      <c r="D28" s="513"/>
      <c r="E28" s="513"/>
      <c r="F28" s="513"/>
      <c r="G28" s="513"/>
      <c r="H28" s="513"/>
      <c r="I28" s="514"/>
      <c r="J28" s="97"/>
      <c r="K28" s="27"/>
      <c r="L28" s="515" t="s">
        <v>110</v>
      </c>
      <c r="M28" s="515"/>
      <c r="N28" s="516"/>
      <c r="O28" s="190"/>
      <c r="P28" s="190"/>
      <c r="Q28" s="28"/>
      <c r="R28" s="29">
        <f>AI28/Q$10*100</f>
        <v>0.38518739724741469</v>
      </c>
      <c r="S28" s="29">
        <v>0</v>
      </c>
      <c r="T28" s="28">
        <f>AJ28</f>
        <v>0</v>
      </c>
      <c r="U28" s="28">
        <f>R28*T28/100</f>
        <v>0</v>
      </c>
      <c r="V28" s="87">
        <f>T28-S28</f>
        <v>0</v>
      </c>
      <c r="W28" s="28">
        <v>0</v>
      </c>
      <c r="X28" s="28">
        <v>0</v>
      </c>
      <c r="Y28" s="28" t="e">
        <f>'[7]LRA RINCIAN nBJEK'!$N$334</f>
        <v>#REF!</v>
      </c>
      <c r="Z28" s="28" t="e">
        <f>'[8]DPKD versi ekbang'!$P$334</f>
        <v>#REF!</v>
      </c>
      <c r="AA28" s="28" t="e">
        <f>[5]maret!$Q$224</f>
        <v>#REF!</v>
      </c>
      <c r="AB28" s="28">
        <f>[6]JUNI!$S$224</f>
        <v>1216233073</v>
      </c>
      <c r="AC28" s="28"/>
      <c r="AD28" s="28"/>
      <c r="AE28" s="28"/>
      <c r="AF28" s="28"/>
      <c r="AG28" s="28"/>
      <c r="AH28" s="28"/>
      <c r="AI28" s="28">
        <f>(411008285)</f>
        <v>411008285</v>
      </c>
      <c r="AJ28" s="29">
        <v>0</v>
      </c>
      <c r="AK28" s="143">
        <f>SUM(Q28-AI28)</f>
        <v>-411008285</v>
      </c>
      <c r="AL28" s="29">
        <v>0</v>
      </c>
      <c r="AM28" s="26"/>
    </row>
    <row r="29" spans="1:39" ht="24.95" customHeight="1" x14ac:dyDescent="0.25">
      <c r="A29" s="26">
        <v>13</v>
      </c>
      <c r="B29" s="512" t="s">
        <v>108</v>
      </c>
      <c r="C29" s="513"/>
      <c r="D29" s="513"/>
      <c r="E29" s="513"/>
      <c r="F29" s="513"/>
      <c r="G29" s="513"/>
      <c r="H29" s="513"/>
      <c r="I29" s="514"/>
      <c r="J29" s="97" t="s">
        <v>382</v>
      </c>
      <c r="K29" s="27"/>
      <c r="L29" s="515" t="s">
        <v>368</v>
      </c>
      <c r="M29" s="515"/>
      <c r="N29" s="516"/>
      <c r="O29" s="190"/>
      <c r="P29" s="190"/>
      <c r="Q29" s="28">
        <v>689000000</v>
      </c>
      <c r="R29" s="29">
        <f>AI29/Q$10*100</f>
        <v>0</v>
      </c>
      <c r="S29" s="29">
        <v>0</v>
      </c>
      <c r="T29" s="28">
        <f t="shared" si="7"/>
        <v>0</v>
      </c>
      <c r="U29" s="28">
        <f t="shared" si="9"/>
        <v>0</v>
      </c>
      <c r="V29" s="87">
        <f t="shared" si="10"/>
        <v>0</v>
      </c>
      <c r="W29" s="28">
        <v>0</v>
      </c>
      <c r="X29" s="28">
        <v>0</v>
      </c>
      <c r="Y29" s="28" t="e">
        <f>'[7]LRA RINCIAN nBJEK'!$N$334</f>
        <v>#REF!</v>
      </c>
      <c r="Z29" s="28" t="e">
        <f>'[8]DPKD versi ekbang'!$P$334</f>
        <v>#REF!</v>
      </c>
      <c r="AA29" s="28" t="e">
        <f>[5]maret!$Q$265</f>
        <v>#REF!</v>
      </c>
      <c r="AB29" s="28">
        <f>[6]JUNI!$S$265</f>
        <v>727292590</v>
      </c>
      <c r="AC29" s="28"/>
      <c r="AD29" s="28"/>
      <c r="AE29" s="28"/>
      <c r="AF29" s="28"/>
      <c r="AG29" s="28"/>
      <c r="AH29" s="28"/>
      <c r="AI29" s="28">
        <v>0</v>
      </c>
      <c r="AJ29" s="29">
        <f>AI29/Q29*100</f>
        <v>0</v>
      </c>
      <c r="AK29" s="136">
        <f t="shared" si="6"/>
        <v>689000000</v>
      </c>
      <c r="AL29" s="29">
        <f>AK29/Q29*100</f>
        <v>100</v>
      </c>
      <c r="AM29" s="26"/>
    </row>
    <row r="30" spans="1:39" ht="24.95" customHeight="1" thickBot="1" x14ac:dyDescent="0.3">
      <c r="A30" s="26">
        <v>14</v>
      </c>
      <c r="B30" s="535" t="s">
        <v>108</v>
      </c>
      <c r="C30" s="536"/>
      <c r="D30" s="536"/>
      <c r="E30" s="536"/>
      <c r="F30" s="536"/>
      <c r="G30" s="536"/>
      <c r="H30" s="536"/>
      <c r="I30" s="537"/>
      <c r="J30" s="97"/>
      <c r="K30" s="27"/>
      <c r="L30" s="515" t="s">
        <v>385</v>
      </c>
      <c r="M30" s="515"/>
      <c r="N30" s="516"/>
      <c r="O30" s="190"/>
      <c r="P30" s="190"/>
      <c r="Q30" s="28"/>
      <c r="R30" s="29">
        <f>Q30/Q$10*100</f>
        <v>0</v>
      </c>
      <c r="S30" s="29">
        <v>0</v>
      </c>
      <c r="T30" s="28">
        <f t="shared" si="7"/>
        <v>0</v>
      </c>
      <c r="U30" s="28">
        <f t="shared" si="9"/>
        <v>0</v>
      </c>
      <c r="V30" s="87">
        <f t="shared" si="10"/>
        <v>0</v>
      </c>
      <c r="W30" s="28">
        <v>0</v>
      </c>
      <c r="X30" s="28">
        <v>0</v>
      </c>
      <c r="Y30" s="28" t="e">
        <f>'[7]LRA RINCIAN nBJEK'!$N$334</f>
        <v>#REF!</v>
      </c>
      <c r="Z30" s="28" t="e">
        <f>'[8]DPKD versi ekbang'!$P$334</f>
        <v>#REF!</v>
      </c>
      <c r="AA30" s="28" t="e">
        <f>[5]maret!$Q$269</f>
        <v>#REF!</v>
      </c>
      <c r="AB30" s="28">
        <f>[6]JUNI!$S$269</f>
        <v>319903749</v>
      </c>
      <c r="AC30" s="28"/>
      <c r="AD30" s="28"/>
      <c r="AE30" s="28"/>
      <c r="AF30" s="28"/>
      <c r="AG30" s="28"/>
      <c r="AH30" s="28"/>
      <c r="AI30" s="28">
        <v>21</v>
      </c>
      <c r="AJ30" s="29">
        <v>0</v>
      </c>
      <c r="AK30" s="143">
        <f t="shared" si="6"/>
        <v>-21</v>
      </c>
      <c r="AL30" s="29">
        <v>0</v>
      </c>
      <c r="AM30" s="26"/>
    </row>
    <row r="31" spans="1:39" ht="24.95" customHeight="1" thickTop="1" thickBot="1" x14ac:dyDescent="0.3">
      <c r="A31" s="26">
        <v>15</v>
      </c>
      <c r="B31" s="104"/>
      <c r="C31" s="104"/>
      <c r="D31" s="104"/>
      <c r="E31" s="104"/>
      <c r="F31" s="104"/>
      <c r="G31" s="104"/>
      <c r="H31" s="104"/>
      <c r="I31" s="105"/>
      <c r="J31" s="97"/>
      <c r="K31" s="27"/>
      <c r="L31" s="515" t="s">
        <v>384</v>
      </c>
      <c r="M31" s="515"/>
      <c r="N31" s="516"/>
      <c r="O31" s="190">
        <v>599994905</v>
      </c>
      <c r="P31" s="190"/>
      <c r="Q31" s="28"/>
      <c r="R31" s="29">
        <f>Q31/Q$10*100</f>
        <v>0</v>
      </c>
      <c r="S31" s="29">
        <v>0</v>
      </c>
      <c r="T31" s="28">
        <f t="shared" si="7"/>
        <v>0</v>
      </c>
      <c r="U31" s="28">
        <f t="shared" si="9"/>
        <v>0</v>
      </c>
      <c r="V31" s="87">
        <f t="shared" si="10"/>
        <v>0</v>
      </c>
      <c r="W31" s="28">
        <v>0</v>
      </c>
      <c r="X31" s="28">
        <v>0</v>
      </c>
      <c r="Y31" s="28" t="e">
        <f>'[7]LRA RINCIAN nBJEK'!$N$334</f>
        <v>#REF!</v>
      </c>
      <c r="Z31" s="28" t="e">
        <f>'[8]DPKD versi ekbang'!$P$334</f>
        <v>#REF!</v>
      </c>
      <c r="AA31" s="28" t="e">
        <f>[5]maret!$Q$269</f>
        <v>#REF!</v>
      </c>
      <c r="AB31" s="28">
        <f>[6]JUNI!$S$269</f>
        <v>319903749</v>
      </c>
      <c r="AC31" s="28"/>
      <c r="AD31" s="28"/>
      <c r="AE31" s="28"/>
      <c r="AF31" s="28"/>
      <c r="AG31" s="28"/>
      <c r="AH31" s="28"/>
      <c r="AI31" s="28">
        <f>(1600000)</f>
        <v>1600000</v>
      </c>
      <c r="AJ31" s="29">
        <v>0</v>
      </c>
      <c r="AK31" s="143">
        <f t="shared" si="6"/>
        <v>-1600000</v>
      </c>
      <c r="AL31" s="29">
        <v>0</v>
      </c>
      <c r="AM31" s="26"/>
    </row>
    <row r="32" spans="1:39" ht="24.95" customHeight="1" thickTop="1" thickBot="1" x14ac:dyDescent="0.3">
      <c r="A32" s="26">
        <v>16</v>
      </c>
      <c r="B32" s="512" t="s">
        <v>108</v>
      </c>
      <c r="C32" s="513"/>
      <c r="D32" s="513"/>
      <c r="E32" s="513"/>
      <c r="F32" s="513"/>
      <c r="G32" s="513"/>
      <c r="H32" s="513"/>
      <c r="I32" s="514"/>
      <c r="J32" s="97"/>
      <c r="K32" s="27"/>
      <c r="L32" s="527" t="s">
        <v>109</v>
      </c>
      <c r="M32" s="527"/>
      <c r="N32" s="528"/>
      <c r="O32" s="190"/>
      <c r="P32" s="190"/>
      <c r="Q32" s="28"/>
      <c r="R32" s="29">
        <f>AI32/Q$10*100</f>
        <v>2.4883662347411566E-2</v>
      </c>
      <c r="S32" s="29">
        <v>0</v>
      </c>
      <c r="T32" s="28">
        <f>AJ32</f>
        <v>0</v>
      </c>
      <c r="U32" s="28">
        <f>R32*T32/100</f>
        <v>0</v>
      </c>
      <c r="V32" s="87">
        <f>T32-S32</f>
        <v>0</v>
      </c>
      <c r="W32" s="28">
        <v>0</v>
      </c>
      <c r="X32" s="28">
        <v>0</v>
      </c>
      <c r="Y32" s="28" t="e">
        <f>'[7]LRA RINCIAN nBJEK'!$N$334</f>
        <v>#REF!</v>
      </c>
      <c r="Z32" s="28" t="e">
        <f>'[8]DPKD versi ekbang'!$P$334</f>
        <v>#REF!</v>
      </c>
      <c r="AA32" s="28" t="e">
        <f>[5]maret!$Q$198</f>
        <v>#REF!</v>
      </c>
      <c r="AB32" s="28">
        <f>[6]JUNI!$S$198</f>
        <v>16694136</v>
      </c>
      <c r="AC32" s="28"/>
      <c r="AD32" s="28"/>
      <c r="AE32" s="28"/>
      <c r="AF32" s="28"/>
      <c r="AG32" s="28"/>
      <c r="AH32" s="28"/>
      <c r="AI32" s="28">
        <f>(26551729)</f>
        <v>26551729</v>
      </c>
      <c r="AJ32" s="29">
        <v>0</v>
      </c>
      <c r="AK32" s="143">
        <f>SUM(Q32-AI32)</f>
        <v>-26551729</v>
      </c>
      <c r="AL32" s="29">
        <v>0</v>
      </c>
      <c r="AM32" s="26"/>
    </row>
    <row r="33" spans="1:39" s="46" customFormat="1" ht="27.75" customHeight="1" thickTop="1" thickBot="1" x14ac:dyDescent="0.3">
      <c r="A33" s="37"/>
      <c r="B33" s="47"/>
      <c r="C33" s="47"/>
      <c r="D33" s="47"/>
      <c r="E33" s="47"/>
      <c r="F33" s="47"/>
      <c r="G33" s="47"/>
      <c r="H33" s="47"/>
      <c r="I33" s="48"/>
      <c r="J33" s="47" t="s">
        <v>211</v>
      </c>
      <c r="K33" s="38"/>
      <c r="L33" s="538" t="s">
        <v>9</v>
      </c>
      <c r="M33" s="538"/>
      <c r="N33" s="539"/>
      <c r="O33" s="188" t="e">
        <f>SUM(O35:O53)</f>
        <v>#REF!</v>
      </c>
      <c r="P33" s="188" t="e">
        <f>SUM(P35:P53)</f>
        <v>#REF!</v>
      </c>
      <c r="Q33" s="39">
        <f>SUM(Q35+Q53)</f>
        <v>34210769785</v>
      </c>
      <c r="R33" s="57">
        <f>Q33/Q33*100</f>
        <v>100</v>
      </c>
      <c r="S33" s="39">
        <f>S35</f>
        <v>100</v>
      </c>
      <c r="T33" s="39">
        <f>AJ33</f>
        <v>3.85696108357826</v>
      </c>
      <c r="U33" s="39">
        <f>SUM(R33*T33/100)</f>
        <v>3.85696108357826</v>
      </c>
      <c r="V33" s="109">
        <f>S33-T33</f>
        <v>96.143038916421744</v>
      </c>
      <c r="W33" s="39">
        <f t="shared" ref="W33:AH33" si="11">SUM(W35:W53)</f>
        <v>0</v>
      </c>
      <c r="X33" s="39" t="e">
        <f t="shared" si="11"/>
        <v>#REF!</v>
      </c>
      <c r="Y33" s="39" t="e">
        <f t="shared" si="11"/>
        <v>#REF!</v>
      </c>
      <c r="Z33" s="39" t="e">
        <f t="shared" si="11"/>
        <v>#REF!</v>
      </c>
      <c r="AA33" s="39" t="e">
        <f t="shared" si="11"/>
        <v>#REF!</v>
      </c>
      <c r="AB33" s="39">
        <f t="shared" si="11"/>
        <v>14432412261</v>
      </c>
      <c r="AC33" s="39" t="e">
        <f t="shared" si="11"/>
        <v>#REF!</v>
      </c>
      <c r="AD33" s="39" t="e">
        <f t="shared" si="11"/>
        <v>#REF!</v>
      </c>
      <c r="AE33" s="39" t="e">
        <f t="shared" si="11"/>
        <v>#REF!</v>
      </c>
      <c r="AF33" s="39" t="e">
        <f t="shared" si="11"/>
        <v>#REF!</v>
      </c>
      <c r="AG33" s="39" t="e">
        <f t="shared" si="11"/>
        <v>#REF!</v>
      </c>
      <c r="AH33" s="39" t="e">
        <f t="shared" si="11"/>
        <v>#REF!</v>
      </c>
      <c r="AI33" s="39">
        <f>SUM(AI36+AI53)</f>
        <v>1319496077</v>
      </c>
      <c r="AJ33" s="40">
        <f>AI33/Q33*100</f>
        <v>3.85696108357826</v>
      </c>
      <c r="AK33" s="133">
        <f>SUM(AK36+AK53)</f>
        <v>32891273708</v>
      </c>
      <c r="AL33" s="40">
        <f>AK33/Q33*100</f>
        <v>96.143038916421744</v>
      </c>
      <c r="AM33" s="37"/>
    </row>
    <row r="34" spans="1:39" ht="13.5" customHeight="1" thickTop="1" x14ac:dyDescent="0.25">
      <c r="A34" s="26"/>
      <c r="B34" s="31"/>
      <c r="C34" s="31"/>
      <c r="D34" s="31"/>
      <c r="E34" s="31"/>
      <c r="F34" s="31"/>
      <c r="G34" s="31"/>
      <c r="H34" s="31"/>
      <c r="I34" s="32"/>
      <c r="J34" s="31"/>
      <c r="K34" s="27"/>
      <c r="L34" s="31"/>
      <c r="M34" s="31"/>
      <c r="N34" s="32"/>
      <c r="O34" s="191"/>
      <c r="P34" s="191"/>
      <c r="Q34" s="26"/>
      <c r="R34" s="26"/>
      <c r="S34" s="26"/>
      <c r="T34" s="26"/>
      <c r="U34" s="26"/>
      <c r="V34" s="87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83"/>
      <c r="AL34" s="26"/>
      <c r="AM34" s="26"/>
    </row>
    <row r="35" spans="1:39" s="36" customFormat="1" ht="28.5" customHeight="1" x14ac:dyDescent="0.25">
      <c r="A35" s="53"/>
      <c r="B35" s="529" t="s">
        <v>111</v>
      </c>
      <c r="C35" s="529"/>
      <c r="D35" s="529"/>
      <c r="E35" s="529"/>
      <c r="F35" s="529"/>
      <c r="G35" s="529"/>
      <c r="H35" s="529"/>
      <c r="I35" s="529"/>
      <c r="J35" s="147" t="s">
        <v>212</v>
      </c>
      <c r="K35" s="54"/>
      <c r="L35" s="530" t="s">
        <v>10</v>
      </c>
      <c r="M35" s="531"/>
      <c r="N35" s="531"/>
      <c r="O35" s="192">
        <v>6663803304</v>
      </c>
      <c r="P35" s="192">
        <f>O35</f>
        <v>6663803304</v>
      </c>
      <c r="Q35" s="55">
        <f>SUM(Q36)</f>
        <v>11224268034</v>
      </c>
      <c r="R35" s="57">
        <f>Q35/Q33*100</f>
        <v>32.809165372599644</v>
      </c>
      <c r="S35" s="53">
        <v>100</v>
      </c>
      <c r="T35" s="55">
        <f>AJ35</f>
        <v>11.755742762049582</v>
      </c>
      <c r="U35" s="55">
        <f>R35*T35/100</f>
        <v>3.8569610835782608</v>
      </c>
      <c r="V35" s="112">
        <f>S35-T35</f>
        <v>88.244257237950421</v>
      </c>
      <c r="W35" s="55"/>
      <c r="X35" s="55" t="e">
        <f>#REF!</f>
        <v>#REF!</v>
      </c>
      <c r="Y35" s="55" t="e">
        <f>#REF!</f>
        <v>#REF!</v>
      </c>
      <c r="Z35" s="55" t="e">
        <f>#REF!</f>
        <v>#REF!</v>
      </c>
      <c r="AA35" s="55" t="e">
        <f>#REF!</f>
        <v>#REF!</v>
      </c>
      <c r="AB35" s="55">
        <v>2898050817</v>
      </c>
      <c r="AC35" s="55" t="e">
        <f>#REF!</f>
        <v>#REF!</v>
      </c>
      <c r="AD35" s="55" t="e">
        <f>#REF!</f>
        <v>#REF!</v>
      </c>
      <c r="AE35" s="55" t="e">
        <f>#REF!</f>
        <v>#REF!</v>
      </c>
      <c r="AF35" s="55" t="e">
        <f>[1]April!$N$17</f>
        <v>#REF!</v>
      </c>
      <c r="AG35" s="55" t="e">
        <f>[2]april!$N$17</f>
        <v>#REF!</v>
      </c>
      <c r="AH35" s="55">
        <f>'[3]DES SKPD'!$N$17</f>
        <v>8257610364</v>
      </c>
      <c r="AI35" s="55">
        <f>SUM(AI36)</f>
        <v>1319496077</v>
      </c>
      <c r="AJ35" s="53">
        <f>AI35/Q35*100</f>
        <v>11.755742762049582</v>
      </c>
      <c r="AK35" s="137">
        <f>SUM(AK36)</f>
        <v>9904771957</v>
      </c>
      <c r="AL35" s="53">
        <f>AK35/Q35*100</f>
        <v>88.244257237950421</v>
      </c>
      <c r="AM35" s="57"/>
    </row>
    <row r="36" spans="1:39" s="36" customFormat="1" ht="28.5" customHeight="1" x14ac:dyDescent="0.25">
      <c r="A36" s="81"/>
      <c r="B36" s="62"/>
      <c r="C36" s="62"/>
      <c r="D36" s="62"/>
      <c r="E36" s="62"/>
      <c r="F36" s="62"/>
      <c r="G36" s="62"/>
      <c r="H36" s="62"/>
      <c r="I36" s="63"/>
      <c r="J36" s="64" t="s">
        <v>219</v>
      </c>
      <c r="K36" s="54"/>
      <c r="L36" s="532" t="s">
        <v>218</v>
      </c>
      <c r="M36" s="532"/>
      <c r="N36" s="530"/>
      <c r="O36" s="192"/>
      <c r="P36" s="192"/>
      <c r="Q36" s="55">
        <f>SUM(Q37+Q47+Q50)</f>
        <v>11224268034</v>
      </c>
      <c r="R36" s="57">
        <f>Q36/Q33*100</f>
        <v>32.809165372599644</v>
      </c>
      <c r="S36" s="53">
        <v>100</v>
      </c>
      <c r="T36" s="55">
        <f t="shared" ref="T36:T51" si="12">AJ36</f>
        <v>11.755742762049582</v>
      </c>
      <c r="U36" s="55">
        <f>R36*T36/100</f>
        <v>3.8569610835782608</v>
      </c>
      <c r="V36" s="112">
        <f t="shared" ref="V36:V51" si="13">S36-T36</f>
        <v>88.244257237950421</v>
      </c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>
        <f>SUM(AI37+AI47+AI50)</f>
        <v>1319496077</v>
      </c>
      <c r="AJ36" s="53">
        <f t="shared" ref="AJ36:AJ51" si="14">AI36/Q36*100</f>
        <v>11.755742762049582</v>
      </c>
      <c r="AK36" s="137">
        <f>SUM(AK37+AK47+AK50)</f>
        <v>9904771957</v>
      </c>
      <c r="AL36" s="53">
        <f t="shared" ref="AL36:AL51" si="15">AK36/Q36*100</f>
        <v>88.244257237950421</v>
      </c>
      <c r="AM36" s="57"/>
    </row>
    <row r="37" spans="1:39" s="36" customFormat="1" ht="28.5" customHeight="1" x14ac:dyDescent="0.25">
      <c r="A37" s="82" t="s">
        <v>7</v>
      </c>
      <c r="B37" s="62"/>
      <c r="C37" s="62"/>
      <c r="D37" s="62"/>
      <c r="E37" s="62"/>
      <c r="F37" s="62"/>
      <c r="G37" s="62"/>
      <c r="H37" s="62"/>
      <c r="I37" s="63"/>
      <c r="J37" s="64" t="s">
        <v>220</v>
      </c>
      <c r="K37" s="54"/>
      <c r="L37" s="532" t="s">
        <v>221</v>
      </c>
      <c r="M37" s="532"/>
      <c r="N37" s="530"/>
      <c r="O37" s="192"/>
      <c r="P37" s="192"/>
      <c r="Q37" s="55">
        <f>SUM(Q38:Q46)</f>
        <v>4490702905</v>
      </c>
      <c r="R37" s="57">
        <f>Q37/Q36*100</f>
        <v>40.008870880461728</v>
      </c>
      <c r="S37" s="53">
        <v>100</v>
      </c>
      <c r="T37" s="55">
        <f t="shared" si="12"/>
        <v>6.6802377121405225</v>
      </c>
      <c r="U37" s="55">
        <f>R37*T37/100</f>
        <v>2.6726876807582123</v>
      </c>
      <c r="V37" s="112">
        <f t="shared" si="13"/>
        <v>93.319762287859476</v>
      </c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>
        <f>SUM(AI38:AI46)</f>
        <v>299989629</v>
      </c>
      <c r="AJ37" s="53">
        <f t="shared" si="14"/>
        <v>6.6802377121405225</v>
      </c>
      <c r="AK37" s="137">
        <f t="shared" ref="AK37:AK51" si="16">Q37-AI37</f>
        <v>4190713276</v>
      </c>
      <c r="AL37" s="53">
        <f t="shared" si="15"/>
        <v>93.319762287859476</v>
      </c>
      <c r="AM37" s="57"/>
    </row>
    <row r="38" spans="1:39" s="3" customFormat="1" ht="28.5" customHeight="1" x14ac:dyDescent="0.25">
      <c r="A38" s="83">
        <v>1</v>
      </c>
      <c r="B38" s="59"/>
      <c r="C38" s="59"/>
      <c r="D38" s="59"/>
      <c r="E38" s="59"/>
      <c r="F38" s="59"/>
      <c r="G38" s="59"/>
      <c r="H38" s="59"/>
      <c r="I38" s="60"/>
      <c r="J38" s="59" t="s">
        <v>222</v>
      </c>
      <c r="K38" s="61"/>
      <c r="L38" s="533" t="s">
        <v>223</v>
      </c>
      <c r="M38" s="533"/>
      <c r="N38" s="534"/>
      <c r="O38" s="190"/>
      <c r="P38" s="190"/>
      <c r="Q38" s="28">
        <v>3379453700</v>
      </c>
      <c r="R38" s="29">
        <f>Q38/Q$33*100</f>
        <v>9.8783328210338883</v>
      </c>
      <c r="S38" s="33">
        <v>100</v>
      </c>
      <c r="T38" s="28">
        <f t="shared" si="12"/>
        <v>6.6845241880366641</v>
      </c>
      <c r="U38" s="28">
        <f t="shared" ref="U38:U46" si="17">SUM(R38*T38)</f>
        <v>66.031954679677483</v>
      </c>
      <c r="V38" s="113">
        <f t="shared" si="13"/>
        <v>93.315475811963339</v>
      </c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>
        <f>(225900400)</f>
        <v>225900400</v>
      </c>
      <c r="AJ38" s="29">
        <f t="shared" si="14"/>
        <v>6.6845241880366641</v>
      </c>
      <c r="AK38" s="136">
        <f t="shared" si="16"/>
        <v>3153553300</v>
      </c>
      <c r="AL38" s="29">
        <f t="shared" si="15"/>
        <v>93.315475811963339</v>
      </c>
      <c r="AM38" s="29"/>
    </row>
    <row r="39" spans="1:39" s="3" customFormat="1" ht="28.5" customHeight="1" x14ac:dyDescent="0.25">
      <c r="A39" s="83">
        <v>2</v>
      </c>
      <c r="B39" s="59"/>
      <c r="C39" s="59"/>
      <c r="D39" s="59"/>
      <c r="E39" s="59"/>
      <c r="F39" s="59"/>
      <c r="G39" s="59"/>
      <c r="H39" s="59"/>
      <c r="I39" s="60"/>
      <c r="J39" s="59" t="s">
        <v>224</v>
      </c>
      <c r="K39" s="61"/>
      <c r="L39" s="533" t="s">
        <v>225</v>
      </c>
      <c r="M39" s="533"/>
      <c r="N39" s="534"/>
      <c r="O39" s="190"/>
      <c r="P39" s="190"/>
      <c r="Q39" s="28">
        <v>331439769</v>
      </c>
      <c r="R39" s="29">
        <f t="shared" ref="R39:R51" si="18">Q39/Q$33*100</f>
        <v>0.96881704528415069</v>
      </c>
      <c r="S39" s="33">
        <v>100</v>
      </c>
      <c r="T39" s="28">
        <f t="shared" si="12"/>
        <v>6.7784822768205588</v>
      </c>
      <c r="U39" s="28">
        <f t="shared" si="17"/>
        <v>6.5671091709402765</v>
      </c>
      <c r="V39" s="114">
        <f t="shared" si="13"/>
        <v>93.221517723179446</v>
      </c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>
        <f>(22466586)</f>
        <v>22466586</v>
      </c>
      <c r="AJ39" s="29">
        <f t="shared" si="14"/>
        <v>6.7784822768205588</v>
      </c>
      <c r="AK39" s="136">
        <f t="shared" si="16"/>
        <v>308973183</v>
      </c>
      <c r="AL39" s="29">
        <f t="shared" si="15"/>
        <v>93.221517723179431</v>
      </c>
      <c r="AM39" s="29"/>
    </row>
    <row r="40" spans="1:39" s="3" customFormat="1" ht="28.5" customHeight="1" x14ac:dyDescent="0.25">
      <c r="A40" s="83">
        <v>3</v>
      </c>
      <c r="B40" s="59"/>
      <c r="C40" s="59"/>
      <c r="D40" s="59"/>
      <c r="E40" s="59"/>
      <c r="F40" s="59"/>
      <c r="G40" s="59"/>
      <c r="H40" s="59"/>
      <c r="I40" s="60"/>
      <c r="J40" s="59" t="s">
        <v>226</v>
      </c>
      <c r="K40" s="61"/>
      <c r="L40" s="533" t="s">
        <v>227</v>
      </c>
      <c r="M40" s="533"/>
      <c r="N40" s="534"/>
      <c r="O40" s="190"/>
      <c r="P40" s="190"/>
      <c r="Q40" s="28">
        <v>286497750</v>
      </c>
      <c r="R40" s="29">
        <f t="shared" si="18"/>
        <v>0.83744900158784896</v>
      </c>
      <c r="S40" s="33">
        <v>100</v>
      </c>
      <c r="T40" s="28">
        <f t="shared" si="12"/>
        <v>6.4031916481019486</v>
      </c>
      <c r="U40" s="28">
        <f t="shared" si="17"/>
        <v>5.3623464526786302</v>
      </c>
      <c r="V40" s="114">
        <f t="shared" si="13"/>
        <v>93.596808351898048</v>
      </c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>
        <f>(18345000)</f>
        <v>18345000</v>
      </c>
      <c r="AJ40" s="29">
        <f>AI40/Q40*100</f>
        <v>6.4031916481019486</v>
      </c>
      <c r="AK40" s="136">
        <f t="shared" si="16"/>
        <v>268152750</v>
      </c>
      <c r="AL40" s="29">
        <f t="shared" si="15"/>
        <v>93.596808351898048</v>
      </c>
      <c r="AM40" s="29"/>
    </row>
    <row r="41" spans="1:39" s="3" customFormat="1" ht="28.5" customHeight="1" x14ac:dyDescent="0.25">
      <c r="A41" s="83">
        <v>4</v>
      </c>
      <c r="B41" s="59"/>
      <c r="C41" s="59"/>
      <c r="D41" s="59"/>
      <c r="E41" s="59"/>
      <c r="F41" s="59"/>
      <c r="G41" s="59"/>
      <c r="H41" s="59"/>
      <c r="I41" s="60"/>
      <c r="J41" s="59" t="s">
        <v>228</v>
      </c>
      <c r="K41" s="61"/>
      <c r="L41" s="533" t="s">
        <v>229</v>
      </c>
      <c r="M41" s="533"/>
      <c r="N41" s="534"/>
      <c r="O41" s="190"/>
      <c r="P41" s="190"/>
      <c r="Q41" s="28">
        <v>129508750</v>
      </c>
      <c r="R41" s="29">
        <f t="shared" si="18"/>
        <v>0.37856134431907523</v>
      </c>
      <c r="S41" s="33">
        <v>100</v>
      </c>
      <c r="T41" s="28">
        <f t="shared" si="12"/>
        <v>6.8257936239829355</v>
      </c>
      <c r="U41" s="28">
        <f t="shared" si="17"/>
        <v>2.5839816103395523</v>
      </c>
      <c r="V41" s="114">
        <f t="shared" si="13"/>
        <v>93.174206376017068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>
        <f>(8840000)</f>
        <v>8840000</v>
      </c>
      <c r="AJ41" s="29">
        <f t="shared" si="14"/>
        <v>6.8257936239829355</v>
      </c>
      <c r="AK41" s="136">
        <f t="shared" si="16"/>
        <v>120668750</v>
      </c>
      <c r="AL41" s="29">
        <f t="shared" si="15"/>
        <v>93.174206376017068</v>
      </c>
      <c r="AM41" s="29"/>
    </row>
    <row r="42" spans="1:39" s="3" customFormat="1" ht="28.5" customHeight="1" x14ac:dyDescent="0.25">
      <c r="A42" s="83">
        <v>5</v>
      </c>
      <c r="B42" s="59"/>
      <c r="C42" s="59"/>
      <c r="D42" s="59"/>
      <c r="E42" s="59"/>
      <c r="F42" s="59"/>
      <c r="G42" s="59"/>
      <c r="H42" s="59"/>
      <c r="I42" s="60"/>
      <c r="J42" s="59" t="s">
        <v>230</v>
      </c>
      <c r="K42" s="61"/>
      <c r="L42" s="533" t="s">
        <v>231</v>
      </c>
      <c r="M42" s="533"/>
      <c r="N42" s="534"/>
      <c r="O42" s="190"/>
      <c r="P42" s="190"/>
      <c r="Q42" s="28">
        <v>232786848</v>
      </c>
      <c r="R42" s="33">
        <f t="shared" si="18"/>
        <v>0.68044902077025859</v>
      </c>
      <c r="S42" s="33">
        <v>100</v>
      </c>
      <c r="T42" s="28">
        <f t="shared" si="12"/>
        <v>6.7508710801393725</v>
      </c>
      <c r="U42" s="28">
        <f t="shared" si="17"/>
        <v>4.5936236158270942</v>
      </c>
      <c r="V42" s="114">
        <f t="shared" si="13"/>
        <v>93.249128919860624</v>
      </c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>
        <f>(15715140)</f>
        <v>15715140</v>
      </c>
      <c r="AJ42" s="33">
        <f t="shared" si="14"/>
        <v>6.7508710801393725</v>
      </c>
      <c r="AK42" s="136">
        <f t="shared" si="16"/>
        <v>217071708</v>
      </c>
      <c r="AL42" s="33">
        <f t="shared" si="15"/>
        <v>93.249128919860624</v>
      </c>
      <c r="AM42" s="29"/>
    </row>
    <row r="43" spans="1:39" s="3" customFormat="1" ht="28.5" customHeight="1" x14ac:dyDescent="0.25">
      <c r="A43" s="83">
        <v>6</v>
      </c>
      <c r="B43" s="59"/>
      <c r="C43" s="59"/>
      <c r="D43" s="59"/>
      <c r="E43" s="59"/>
      <c r="F43" s="59"/>
      <c r="G43" s="59"/>
      <c r="H43" s="59"/>
      <c r="I43" s="60"/>
      <c r="J43" s="59" t="s">
        <v>232</v>
      </c>
      <c r="K43" s="61"/>
      <c r="L43" s="533" t="s">
        <v>234</v>
      </c>
      <c r="M43" s="533"/>
      <c r="N43" s="534"/>
      <c r="O43" s="190"/>
      <c r="P43" s="190"/>
      <c r="Q43" s="28">
        <v>1390515</v>
      </c>
      <c r="R43" s="33">
        <f t="shared" si="18"/>
        <v>4.0645533811100708E-3</v>
      </c>
      <c r="S43" s="33">
        <v>100</v>
      </c>
      <c r="T43" s="28">
        <f t="shared" si="12"/>
        <v>3.484320557491289</v>
      </c>
      <c r="U43" s="28">
        <f t="shared" si="17"/>
        <v>1.4162206902822546E-2</v>
      </c>
      <c r="V43" s="114">
        <f t="shared" si="13"/>
        <v>96.515679442508713</v>
      </c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>
        <f>(48450)</f>
        <v>48450</v>
      </c>
      <c r="AJ43" s="33">
        <f t="shared" si="14"/>
        <v>3.484320557491289</v>
      </c>
      <c r="AK43" s="136">
        <f t="shared" si="16"/>
        <v>1342065</v>
      </c>
      <c r="AL43" s="33">
        <f t="shared" si="15"/>
        <v>96.515679442508713</v>
      </c>
      <c r="AM43" s="29"/>
    </row>
    <row r="44" spans="1:39" s="3" customFormat="1" ht="28.5" customHeight="1" x14ac:dyDescent="0.25">
      <c r="A44" s="83">
        <v>7</v>
      </c>
      <c r="B44" s="59"/>
      <c r="C44" s="59"/>
      <c r="D44" s="59"/>
      <c r="E44" s="59"/>
      <c r="F44" s="59"/>
      <c r="G44" s="59"/>
      <c r="H44" s="59"/>
      <c r="I44" s="60"/>
      <c r="J44" s="59" t="s">
        <v>233</v>
      </c>
      <c r="K44" s="61"/>
      <c r="L44" s="533" t="s">
        <v>235</v>
      </c>
      <c r="M44" s="533"/>
      <c r="N44" s="534"/>
      <c r="O44" s="190"/>
      <c r="P44" s="190"/>
      <c r="Q44" s="28">
        <v>49579</v>
      </c>
      <c r="R44" s="33">
        <f t="shared" si="18"/>
        <v>1.4492219938803694E-4</v>
      </c>
      <c r="S44" s="33">
        <v>100</v>
      </c>
      <c r="T44" s="28">
        <f t="shared" si="12"/>
        <v>6.395853082958511</v>
      </c>
      <c r="U44" s="28">
        <f t="shared" si="17"/>
        <v>9.2690109574510417E-4</v>
      </c>
      <c r="V44" s="114">
        <f t="shared" si="13"/>
        <v>93.60414691704149</v>
      </c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>
        <f>(3171)</f>
        <v>3171</v>
      </c>
      <c r="AJ44" s="33">
        <f t="shared" si="14"/>
        <v>6.395853082958511</v>
      </c>
      <c r="AK44" s="136">
        <f t="shared" si="16"/>
        <v>46408</v>
      </c>
      <c r="AL44" s="33">
        <f t="shared" si="15"/>
        <v>93.60414691704149</v>
      </c>
      <c r="AM44" s="29"/>
    </row>
    <row r="45" spans="1:39" s="3" customFormat="1" ht="28.5" customHeight="1" x14ac:dyDescent="0.25">
      <c r="A45" s="83">
        <v>8</v>
      </c>
      <c r="B45" s="59"/>
      <c r="C45" s="59"/>
      <c r="D45" s="59"/>
      <c r="E45" s="59"/>
      <c r="F45" s="59"/>
      <c r="G45" s="59"/>
      <c r="H45" s="59"/>
      <c r="I45" s="60"/>
      <c r="J45" s="59" t="s">
        <v>236</v>
      </c>
      <c r="K45" s="61"/>
      <c r="L45" s="533" t="s">
        <v>237</v>
      </c>
      <c r="M45" s="533"/>
      <c r="N45" s="534"/>
      <c r="O45" s="190"/>
      <c r="P45" s="190"/>
      <c r="Q45" s="28">
        <v>111326841</v>
      </c>
      <c r="R45" s="33">
        <f t="shared" si="18"/>
        <v>0.32541460393800375</v>
      </c>
      <c r="S45" s="33">
        <v>100</v>
      </c>
      <c r="T45" s="28">
        <f t="shared" si="12"/>
        <v>6.6929160416938442</v>
      </c>
      <c r="U45" s="28">
        <f t="shared" si="17"/>
        <v>2.177972622898114</v>
      </c>
      <c r="V45" s="114">
        <f t="shared" si="13"/>
        <v>93.307083958306151</v>
      </c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>
        <f>(7451012)</f>
        <v>7451012</v>
      </c>
      <c r="AJ45" s="33">
        <f t="shared" si="14"/>
        <v>6.6929160416938442</v>
      </c>
      <c r="AK45" s="136">
        <f t="shared" si="16"/>
        <v>103875829</v>
      </c>
      <c r="AL45" s="33">
        <f t="shared" si="15"/>
        <v>93.307083958306151</v>
      </c>
      <c r="AM45" s="29"/>
    </row>
    <row r="46" spans="1:39" s="3" customFormat="1" ht="28.5" customHeight="1" x14ac:dyDescent="0.25">
      <c r="A46" s="83">
        <v>9</v>
      </c>
      <c r="B46" s="59"/>
      <c r="C46" s="59"/>
      <c r="D46" s="59"/>
      <c r="E46" s="59"/>
      <c r="F46" s="59"/>
      <c r="G46" s="59"/>
      <c r="H46" s="59"/>
      <c r="I46" s="60"/>
      <c r="J46" s="59" t="s">
        <v>238</v>
      </c>
      <c r="K46" s="61"/>
      <c r="L46" s="533" t="s">
        <v>239</v>
      </c>
      <c r="M46" s="533"/>
      <c r="N46" s="534"/>
      <c r="O46" s="190"/>
      <c r="P46" s="190"/>
      <c r="Q46" s="28">
        <v>18249153</v>
      </c>
      <c r="R46" s="33">
        <f t="shared" si="18"/>
        <v>5.3343298366824519E-2</v>
      </c>
      <c r="S46" s="33">
        <v>100</v>
      </c>
      <c r="T46" s="28">
        <f t="shared" si="12"/>
        <v>6.6845294135020952</v>
      </c>
      <c r="U46" s="28">
        <f t="shared" si="17"/>
        <v>0.3565748469462568</v>
      </c>
      <c r="V46" s="115">
        <f t="shared" si="13"/>
        <v>93.315470586497909</v>
      </c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>
        <f>(1219870)</f>
        <v>1219870</v>
      </c>
      <c r="AJ46" s="33">
        <f t="shared" si="14"/>
        <v>6.6845294135020952</v>
      </c>
      <c r="AK46" s="136">
        <f t="shared" si="16"/>
        <v>17029283</v>
      </c>
      <c r="AL46" s="33">
        <f t="shared" si="15"/>
        <v>93.315470586497909</v>
      </c>
      <c r="AM46" s="29"/>
    </row>
    <row r="47" spans="1:39" s="3" customFormat="1" ht="28.5" customHeight="1" x14ac:dyDescent="0.25">
      <c r="A47" s="84" t="s">
        <v>8</v>
      </c>
      <c r="B47" s="66"/>
      <c r="C47" s="66"/>
      <c r="D47" s="66"/>
      <c r="E47" s="66"/>
      <c r="F47" s="66"/>
      <c r="G47" s="66"/>
      <c r="H47" s="66"/>
      <c r="I47" s="66"/>
      <c r="J47" s="66" t="s">
        <v>240</v>
      </c>
      <c r="K47" s="71"/>
      <c r="L47" s="540" t="s">
        <v>241</v>
      </c>
      <c r="M47" s="541"/>
      <c r="N47" s="541"/>
      <c r="O47" s="192"/>
      <c r="P47" s="192"/>
      <c r="Q47" s="67">
        <f>SUM(Q48:Q49)</f>
        <v>1847797020</v>
      </c>
      <c r="R47" s="57">
        <f>Q47/Q36*100</f>
        <v>16.462516882194407</v>
      </c>
      <c r="S47" s="65">
        <v>100</v>
      </c>
      <c r="T47" s="67">
        <f t="shared" si="12"/>
        <v>0</v>
      </c>
      <c r="U47" s="67">
        <f>R47*T47/100</f>
        <v>0</v>
      </c>
      <c r="V47" s="116">
        <f t="shared" si="13"/>
        <v>100</v>
      </c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>
        <f>SUM(AI48:AI49)</f>
        <v>0</v>
      </c>
      <c r="AJ47" s="65">
        <f t="shared" si="14"/>
        <v>0</v>
      </c>
      <c r="AK47" s="138">
        <f t="shared" si="16"/>
        <v>1847797020</v>
      </c>
      <c r="AL47" s="65">
        <f t="shared" si="15"/>
        <v>100</v>
      </c>
      <c r="AM47" s="68"/>
    </row>
    <row r="48" spans="1:39" s="3" customFormat="1" ht="28.5" customHeight="1" x14ac:dyDescent="0.25">
      <c r="A48" s="83">
        <v>1</v>
      </c>
      <c r="B48" s="59"/>
      <c r="C48" s="59"/>
      <c r="D48" s="59"/>
      <c r="E48" s="59"/>
      <c r="F48" s="59"/>
      <c r="G48" s="59"/>
      <c r="H48" s="59"/>
      <c r="I48" s="60"/>
      <c r="J48" s="59" t="s">
        <v>242</v>
      </c>
      <c r="K48" s="61"/>
      <c r="L48" s="533" t="s">
        <v>243</v>
      </c>
      <c r="M48" s="533"/>
      <c r="N48" s="534"/>
      <c r="O48" s="190"/>
      <c r="P48" s="190"/>
      <c r="Q48" s="28">
        <v>1661452020</v>
      </c>
      <c r="R48" s="33">
        <f>Q48/Q$33*100</f>
        <v>4.8565174956351838</v>
      </c>
      <c r="S48" s="33">
        <v>100</v>
      </c>
      <c r="T48" s="28">
        <f t="shared" si="12"/>
        <v>0</v>
      </c>
      <c r="U48" s="91">
        <f>R48*T48/100</f>
        <v>0</v>
      </c>
      <c r="V48" s="114">
        <f t="shared" si="13"/>
        <v>100</v>
      </c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>
        <v>0</v>
      </c>
      <c r="AJ48" s="33">
        <f t="shared" si="14"/>
        <v>0</v>
      </c>
      <c r="AK48" s="136">
        <f t="shared" si="16"/>
        <v>1661452020</v>
      </c>
      <c r="AL48" s="33">
        <f t="shared" si="15"/>
        <v>100</v>
      </c>
      <c r="AM48" s="29"/>
    </row>
    <row r="49" spans="1:39" s="3" customFormat="1" ht="28.5" customHeight="1" x14ac:dyDescent="0.25">
      <c r="A49" s="83">
        <v>2</v>
      </c>
      <c r="B49" s="59"/>
      <c r="C49" s="59"/>
      <c r="D49" s="59"/>
      <c r="E49" s="59"/>
      <c r="F49" s="59"/>
      <c r="G49" s="59"/>
      <c r="H49" s="59"/>
      <c r="I49" s="60"/>
      <c r="J49" s="59" t="s">
        <v>244</v>
      </c>
      <c r="K49" s="61"/>
      <c r="L49" s="533" t="s">
        <v>245</v>
      </c>
      <c r="M49" s="533"/>
      <c r="N49" s="534"/>
      <c r="O49" s="190"/>
      <c r="P49" s="190"/>
      <c r="Q49" s="28">
        <v>186345000</v>
      </c>
      <c r="R49" s="33">
        <f>Q49/Q$33*100</f>
        <v>0.54469689273611299</v>
      </c>
      <c r="S49" s="33">
        <v>100</v>
      </c>
      <c r="T49" s="28">
        <f t="shared" si="12"/>
        <v>0</v>
      </c>
      <c r="U49" s="123">
        <f>R49*T49/100</f>
        <v>0</v>
      </c>
      <c r="V49" s="115">
        <f t="shared" si="13"/>
        <v>100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>
        <v>0</v>
      </c>
      <c r="AJ49" s="33">
        <f t="shared" si="14"/>
        <v>0</v>
      </c>
      <c r="AK49" s="136">
        <f t="shared" si="16"/>
        <v>186345000</v>
      </c>
      <c r="AL49" s="33">
        <f t="shared" si="15"/>
        <v>100</v>
      </c>
      <c r="AM49" s="29"/>
    </row>
    <row r="50" spans="1:39" s="3" customFormat="1" ht="28.5" customHeight="1" x14ac:dyDescent="0.25">
      <c r="A50" s="84" t="s">
        <v>29</v>
      </c>
      <c r="B50" s="69"/>
      <c r="C50" s="69"/>
      <c r="D50" s="69"/>
      <c r="E50" s="69"/>
      <c r="F50" s="69"/>
      <c r="G50" s="69"/>
      <c r="H50" s="69"/>
      <c r="I50" s="70"/>
      <c r="J50" s="69" t="s">
        <v>246</v>
      </c>
      <c r="K50" s="71"/>
      <c r="L50" s="542" t="s">
        <v>247</v>
      </c>
      <c r="M50" s="542"/>
      <c r="N50" s="540"/>
      <c r="O50" s="192"/>
      <c r="P50" s="192"/>
      <c r="Q50" s="67">
        <f>SUM(Q51)</f>
        <v>4885768109</v>
      </c>
      <c r="R50" s="57">
        <f>Q50/Q36*100</f>
        <v>43.528612237343864</v>
      </c>
      <c r="S50" s="65">
        <v>100</v>
      </c>
      <c r="T50" s="67">
        <f t="shared" si="12"/>
        <v>20.866861161952865</v>
      </c>
      <c r="U50" s="67">
        <f>R50*T50/100</f>
        <v>9.08305508129137</v>
      </c>
      <c r="V50" s="116">
        <f t="shared" si="13"/>
        <v>79.133138838047131</v>
      </c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55">
        <f>SUM(AI51)</f>
        <v>1019506448</v>
      </c>
      <c r="AJ50" s="65">
        <f t="shared" si="14"/>
        <v>20.866861161952865</v>
      </c>
      <c r="AK50" s="138">
        <f t="shared" si="16"/>
        <v>3866261661</v>
      </c>
      <c r="AL50" s="65">
        <f t="shared" si="15"/>
        <v>79.133138838047131</v>
      </c>
      <c r="AM50" s="68"/>
    </row>
    <row r="51" spans="1:39" s="3" customFormat="1" ht="28.5" customHeight="1" x14ac:dyDescent="0.25">
      <c r="A51" s="83">
        <v>1</v>
      </c>
      <c r="B51" s="59"/>
      <c r="C51" s="59"/>
      <c r="D51" s="59"/>
      <c r="E51" s="59"/>
      <c r="F51" s="59"/>
      <c r="G51" s="59"/>
      <c r="H51" s="59"/>
      <c r="I51" s="60"/>
      <c r="J51" s="59" t="s">
        <v>248</v>
      </c>
      <c r="K51" s="61"/>
      <c r="L51" s="533" t="s">
        <v>427</v>
      </c>
      <c r="M51" s="533"/>
      <c r="N51" s="534"/>
      <c r="O51" s="190"/>
      <c r="P51" s="190"/>
      <c r="Q51" s="28">
        <v>4885768109</v>
      </c>
      <c r="R51" s="33">
        <f t="shared" si="18"/>
        <v>14.281374373347793</v>
      </c>
      <c r="S51" s="33">
        <v>100</v>
      </c>
      <c r="T51" s="28">
        <f t="shared" si="12"/>
        <v>20.866861161952865</v>
      </c>
      <c r="U51" s="91">
        <f>R51*T51/100</f>
        <v>2.9800745625052003</v>
      </c>
      <c r="V51" s="113">
        <f t="shared" si="13"/>
        <v>79.133138838047131</v>
      </c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>
        <v>1019506448</v>
      </c>
      <c r="AJ51" s="33">
        <f t="shared" si="14"/>
        <v>20.866861161952865</v>
      </c>
      <c r="AK51" s="136">
        <f t="shared" si="16"/>
        <v>3866261661</v>
      </c>
      <c r="AL51" s="33">
        <f t="shared" si="15"/>
        <v>79.133138838047131</v>
      </c>
      <c r="AM51" s="29"/>
    </row>
    <row r="52" spans="1:39" ht="13.5" customHeight="1" x14ac:dyDescent="0.25">
      <c r="A52" s="26"/>
      <c r="B52" s="31"/>
      <c r="C52" s="31"/>
      <c r="D52" s="31"/>
      <c r="E52" s="31"/>
      <c r="F52" s="31"/>
      <c r="G52" s="31"/>
      <c r="H52" s="31"/>
      <c r="I52" s="32"/>
      <c r="J52" s="31"/>
      <c r="K52" s="27"/>
      <c r="L52" s="31"/>
      <c r="M52" s="31"/>
      <c r="N52" s="32"/>
      <c r="O52" s="191"/>
      <c r="P52" s="191"/>
      <c r="Q52" s="26"/>
      <c r="R52" s="26"/>
      <c r="S52" s="26"/>
      <c r="T52" s="26"/>
      <c r="U52" s="26"/>
      <c r="V52" s="87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83"/>
      <c r="AL52" s="26"/>
      <c r="AM52" s="26"/>
    </row>
    <row r="53" spans="1:39" s="36" customFormat="1" ht="24.75" customHeight="1" x14ac:dyDescent="0.25">
      <c r="A53" s="51"/>
      <c r="B53" s="547" t="s">
        <v>112</v>
      </c>
      <c r="C53" s="547"/>
      <c r="D53" s="547"/>
      <c r="E53" s="547"/>
      <c r="F53" s="547"/>
      <c r="G53" s="547"/>
      <c r="H53" s="547"/>
      <c r="I53" s="548"/>
      <c r="J53" s="144" t="s">
        <v>441</v>
      </c>
      <c r="K53" s="52"/>
      <c r="L53" s="549" t="s">
        <v>11</v>
      </c>
      <c r="M53" s="549"/>
      <c r="N53" s="550"/>
      <c r="O53" s="192" t="e">
        <f>SUM(O54,O99,O136,O145,O159,O216,O695)</f>
        <v>#REF!</v>
      </c>
      <c r="P53" s="192" t="e">
        <f>SUM(P54,P99,P136,P145,P159,P216,P695)</f>
        <v>#REF!</v>
      </c>
      <c r="Q53" s="55">
        <f>SUM(Q54,Q99,Q136,Q145,Q159,Q216+Q685)</f>
        <v>22986501751</v>
      </c>
      <c r="R53" s="57">
        <f>Q53/Q33*100</f>
        <v>67.190834627400363</v>
      </c>
      <c r="S53" s="57">
        <f>S54</f>
        <v>100</v>
      </c>
      <c r="T53" s="55">
        <f t="shared" ref="T53:T61" si="19">AJ53</f>
        <v>0</v>
      </c>
      <c r="U53" s="55">
        <f t="shared" ref="U53:U61" si="20">R53*T53/100</f>
        <v>0</v>
      </c>
      <c r="V53" s="117">
        <f t="shared" ref="V53:V61" si="21">S53-T53</f>
        <v>100</v>
      </c>
      <c r="W53" s="55">
        <f>SUM(W54:W93)</f>
        <v>0</v>
      </c>
      <c r="X53" s="55" t="e">
        <f t="shared" ref="X53:AH53" si="22">SUM(X54,X99,X136,X145,X159,X216,X695)</f>
        <v>#REF!</v>
      </c>
      <c r="Y53" s="55" t="e">
        <f t="shared" si="22"/>
        <v>#REF!</v>
      </c>
      <c r="Z53" s="55" t="e">
        <f t="shared" si="22"/>
        <v>#REF!</v>
      </c>
      <c r="AA53" s="55" t="e">
        <f t="shared" si="22"/>
        <v>#REF!</v>
      </c>
      <c r="AB53" s="55">
        <f t="shared" si="22"/>
        <v>11534361444</v>
      </c>
      <c r="AC53" s="55" t="e">
        <f t="shared" si="22"/>
        <v>#REF!</v>
      </c>
      <c r="AD53" s="55" t="e">
        <f t="shared" si="22"/>
        <v>#REF!</v>
      </c>
      <c r="AE53" s="55" t="e">
        <f t="shared" si="22"/>
        <v>#REF!</v>
      </c>
      <c r="AF53" s="55" t="e">
        <f t="shared" si="22"/>
        <v>#REF!</v>
      </c>
      <c r="AG53" s="55" t="e">
        <f t="shared" si="22"/>
        <v>#REF!</v>
      </c>
      <c r="AH53" s="55" t="e">
        <f t="shared" si="22"/>
        <v>#REF!</v>
      </c>
      <c r="AI53" s="55">
        <f>SUM(AI54,AI99,AI136,AI145,AI159,AI216)</f>
        <v>0</v>
      </c>
      <c r="AJ53" s="57">
        <f t="shared" ref="AJ53:AJ116" si="23">AI53/Q53*100</f>
        <v>0</v>
      </c>
      <c r="AK53" s="137">
        <f>SUM(Q53-AI53)</f>
        <v>22986501751</v>
      </c>
      <c r="AL53" s="57">
        <f t="shared" ref="AL53:AL116" si="24">AK53/Q53*100</f>
        <v>100</v>
      </c>
      <c r="AM53" s="56"/>
    </row>
    <row r="54" spans="1:39" s="36" customFormat="1" ht="28.5" customHeight="1" x14ac:dyDescent="0.25">
      <c r="A54" s="49" t="s">
        <v>7</v>
      </c>
      <c r="B54" s="523" t="s">
        <v>113</v>
      </c>
      <c r="C54" s="523"/>
      <c r="D54" s="523"/>
      <c r="E54" s="523"/>
      <c r="F54" s="523"/>
      <c r="G54" s="523"/>
      <c r="H54" s="523"/>
      <c r="I54" s="524"/>
      <c r="J54" s="146" t="s">
        <v>439</v>
      </c>
      <c r="K54" s="50"/>
      <c r="L54" s="525" t="s">
        <v>12</v>
      </c>
      <c r="M54" s="525"/>
      <c r="N54" s="526"/>
      <c r="O54" s="189">
        <f>SUM(O55:O96)</f>
        <v>1502806500</v>
      </c>
      <c r="P54" s="189">
        <f>SUM(P55:P96)</f>
        <v>1794406500</v>
      </c>
      <c r="Q54" s="58">
        <f>SUM(Q55+Q57+Q61+Q63+Q68+Q72+Q78+Q81+Q85+Q89+Q93+Q96)</f>
        <v>2367801856</v>
      </c>
      <c r="R54" s="56">
        <f>Q54/Q$53*100</f>
        <v>10.300836036944993</v>
      </c>
      <c r="S54" s="56">
        <f>S55</f>
        <v>100</v>
      </c>
      <c r="T54" s="92">
        <f t="shared" si="19"/>
        <v>0</v>
      </c>
      <c r="U54" s="92">
        <f t="shared" si="20"/>
        <v>0</v>
      </c>
      <c r="V54" s="111">
        <f t="shared" si="21"/>
        <v>100</v>
      </c>
      <c r="W54" s="58">
        <f t="shared" ref="W54:AH54" si="25">SUM(W55:W96)</f>
        <v>0</v>
      </c>
      <c r="X54" s="58" t="e">
        <f t="shared" si="25"/>
        <v>#REF!</v>
      </c>
      <c r="Y54" s="58" t="e">
        <f t="shared" si="25"/>
        <v>#REF!</v>
      </c>
      <c r="Z54" s="58" t="e">
        <f t="shared" si="25"/>
        <v>#REF!</v>
      </c>
      <c r="AA54" s="58" t="e">
        <f t="shared" si="25"/>
        <v>#REF!</v>
      </c>
      <c r="AB54" s="58">
        <f t="shared" si="25"/>
        <v>1502759561</v>
      </c>
      <c r="AC54" s="58" t="e">
        <f t="shared" si="25"/>
        <v>#REF!</v>
      </c>
      <c r="AD54" s="58" t="e">
        <f t="shared" si="25"/>
        <v>#REF!</v>
      </c>
      <c r="AE54" s="58" t="e">
        <f t="shared" si="25"/>
        <v>#REF!</v>
      </c>
      <c r="AF54" s="58" t="e">
        <f t="shared" si="25"/>
        <v>#REF!</v>
      </c>
      <c r="AG54" s="58" t="e">
        <f t="shared" si="25"/>
        <v>#REF!</v>
      </c>
      <c r="AH54" s="58">
        <f t="shared" si="25"/>
        <v>3941596900</v>
      </c>
      <c r="AI54" s="58">
        <f>SUM(AI55+AI57+AI61+AI63+AI68+AI72+AI78+AI81+AI85+AI89+AI93+AI96)</f>
        <v>0</v>
      </c>
      <c r="AJ54" s="56">
        <f t="shared" si="23"/>
        <v>0</v>
      </c>
      <c r="AK54" s="135">
        <f>SUM(Q54-AI54)</f>
        <v>2367801856</v>
      </c>
      <c r="AL54" s="56">
        <f t="shared" si="24"/>
        <v>100</v>
      </c>
      <c r="AM54" s="49"/>
    </row>
    <row r="55" spans="1:39" s="41" customFormat="1" ht="24.75" customHeight="1" x14ac:dyDescent="0.25">
      <c r="A55" s="21">
        <v>1</v>
      </c>
      <c r="B55" s="543" t="s">
        <v>114</v>
      </c>
      <c r="C55" s="543"/>
      <c r="D55" s="543"/>
      <c r="E55" s="543"/>
      <c r="F55" s="543"/>
      <c r="G55" s="543"/>
      <c r="H55" s="543"/>
      <c r="I55" s="544"/>
      <c r="J55" s="99" t="s">
        <v>442</v>
      </c>
      <c r="K55" s="22"/>
      <c r="L55" s="72"/>
      <c r="M55" s="543" t="s">
        <v>13</v>
      </c>
      <c r="N55" s="544"/>
      <c r="O55" s="193">
        <v>26300000</v>
      </c>
      <c r="P55" s="189">
        <v>28400000</v>
      </c>
      <c r="Q55" s="23">
        <f>SUM(Q56)</f>
        <v>29400000</v>
      </c>
      <c r="R55" s="24">
        <f>Q55/Q$54*100</f>
        <v>1.2416579506220304</v>
      </c>
      <c r="S55" s="24">
        <v>100</v>
      </c>
      <c r="T55" s="23">
        <f t="shared" si="19"/>
        <v>0</v>
      </c>
      <c r="U55" s="23">
        <f t="shared" si="20"/>
        <v>0</v>
      </c>
      <c r="V55" s="90">
        <f t="shared" si="21"/>
        <v>100</v>
      </c>
      <c r="W55" s="23"/>
      <c r="X55" s="23" t="e">
        <f>#REF!</f>
        <v>#REF!</v>
      </c>
      <c r="Y55" s="23" t="e">
        <f>#REF!</f>
        <v>#REF!</v>
      </c>
      <c r="Z55" s="23" t="e">
        <f>#REF!</f>
        <v>#REF!</v>
      </c>
      <c r="AA55" s="23" t="e">
        <f>#REF!</f>
        <v>#REF!</v>
      </c>
      <c r="AB55" s="23">
        <v>5828000</v>
      </c>
      <c r="AC55" s="23" t="e">
        <f>#REF!</f>
        <v>#REF!</v>
      </c>
      <c r="AD55" s="23" t="e">
        <f>#REF!</f>
        <v>#REF!</v>
      </c>
      <c r="AE55" s="23" t="e">
        <f>#REF!</f>
        <v>#REF!</v>
      </c>
      <c r="AF55" s="23" t="e">
        <f>[1]April!N21</f>
        <v>#REF!</v>
      </c>
      <c r="AG55" s="23" t="e">
        <f>[2]april!N21</f>
        <v>#REF!</v>
      </c>
      <c r="AH55" s="23">
        <f>'[3]DES SKPD'!$N21</f>
        <v>14378000</v>
      </c>
      <c r="AI55" s="23">
        <f>SUM(AI56)</f>
        <v>0</v>
      </c>
      <c r="AJ55" s="24">
        <f>AI55/Q55*100</f>
        <v>0</v>
      </c>
      <c r="AK55" s="134">
        <f>Q55-AI55</f>
        <v>29400000</v>
      </c>
      <c r="AL55" s="24">
        <f>AK55/Q55*100</f>
        <v>100</v>
      </c>
      <c r="AM55" s="21"/>
    </row>
    <row r="56" spans="1:39" ht="29.25" customHeight="1" x14ac:dyDescent="0.25">
      <c r="A56" s="26"/>
      <c r="B56" s="97"/>
      <c r="C56" s="97"/>
      <c r="D56" s="97"/>
      <c r="E56" s="97"/>
      <c r="F56" s="97"/>
      <c r="G56" s="97"/>
      <c r="H56" s="97"/>
      <c r="I56" s="98"/>
      <c r="J56" s="97" t="s">
        <v>249</v>
      </c>
      <c r="K56" s="27"/>
      <c r="L56" s="31"/>
      <c r="M56" s="513" t="s">
        <v>250</v>
      </c>
      <c r="N56" s="514"/>
      <c r="O56" s="194"/>
      <c r="P56" s="190"/>
      <c r="Q56" s="28">
        <v>29400000</v>
      </c>
      <c r="R56" s="29">
        <f>Q56/Q$55*100</f>
        <v>100</v>
      </c>
      <c r="S56" s="29">
        <v>100</v>
      </c>
      <c r="T56" s="28">
        <f t="shared" si="19"/>
        <v>0</v>
      </c>
      <c r="U56" s="28">
        <f t="shared" si="20"/>
        <v>0</v>
      </c>
      <c r="V56" s="87">
        <f t="shared" si="21"/>
        <v>100</v>
      </c>
      <c r="W56" s="28"/>
      <c r="X56" s="28" t="e">
        <f>#REF!</f>
        <v>#REF!</v>
      </c>
      <c r="Y56" s="28" t="e">
        <f>#REF!</f>
        <v>#REF!</v>
      </c>
      <c r="Z56" s="28" t="e">
        <f>#REF!</f>
        <v>#REF!</v>
      </c>
      <c r="AA56" s="28" t="e">
        <f>#REF!</f>
        <v>#REF!</v>
      </c>
      <c r="AB56" s="28">
        <v>5828001</v>
      </c>
      <c r="AC56" s="28" t="e">
        <f>#REF!</f>
        <v>#REF!</v>
      </c>
      <c r="AD56" s="28" t="e">
        <f>#REF!</f>
        <v>#REF!</v>
      </c>
      <c r="AE56" s="28" t="e">
        <f>#REF!</f>
        <v>#REF!</v>
      </c>
      <c r="AF56" s="28" t="e">
        <f>[1]April!N22</f>
        <v>#REF!</v>
      </c>
      <c r="AG56" s="28" t="e">
        <f>[2]april!N22</f>
        <v>#REF!</v>
      </c>
      <c r="AH56" s="28">
        <f>'[3]DES SKPD'!$N22</f>
        <v>238296148</v>
      </c>
      <c r="AI56" s="28">
        <v>0</v>
      </c>
      <c r="AJ56" s="29">
        <f>AI56/Q56*100</f>
        <v>0</v>
      </c>
      <c r="AK56" s="136">
        <f>Q56-AI56</f>
        <v>29400000</v>
      </c>
      <c r="AL56" s="29">
        <f>AK56/Q56*100</f>
        <v>100</v>
      </c>
      <c r="AM56" s="26"/>
    </row>
    <row r="57" spans="1:39" s="41" customFormat="1" ht="29.25" customHeight="1" x14ac:dyDescent="0.25">
      <c r="A57" s="21">
        <f>A55+1</f>
        <v>2</v>
      </c>
      <c r="B57" s="543" t="s">
        <v>115</v>
      </c>
      <c r="C57" s="543"/>
      <c r="D57" s="543"/>
      <c r="E57" s="543"/>
      <c r="F57" s="543"/>
      <c r="G57" s="543"/>
      <c r="H57" s="543"/>
      <c r="I57" s="544"/>
      <c r="J57" s="99" t="s">
        <v>443</v>
      </c>
      <c r="K57" s="22"/>
      <c r="L57" s="72"/>
      <c r="M57" s="545" t="s">
        <v>14</v>
      </c>
      <c r="N57" s="546"/>
      <c r="O57" s="193">
        <v>31000000</v>
      </c>
      <c r="P57" s="189">
        <f>[9]Sheet1!$U$35</f>
        <v>320500000</v>
      </c>
      <c r="Q57" s="23">
        <f>SUM(Q58:Q60)</f>
        <v>445050000</v>
      </c>
      <c r="R57" s="24">
        <f>Q57/Q$54*100</f>
        <v>18.795913977018188</v>
      </c>
      <c r="S57" s="24">
        <v>100</v>
      </c>
      <c r="T57" s="23">
        <f t="shared" si="19"/>
        <v>0</v>
      </c>
      <c r="U57" s="23">
        <f t="shared" si="20"/>
        <v>0</v>
      </c>
      <c r="V57" s="90">
        <f t="shared" si="21"/>
        <v>100</v>
      </c>
      <c r="W57" s="23"/>
      <c r="X57" s="23" t="e">
        <f>#REF!</f>
        <v>#REF!</v>
      </c>
      <c r="Y57" s="23" t="e">
        <f>#REF!</f>
        <v>#REF!</v>
      </c>
      <c r="Z57" s="23" t="e">
        <f>#REF!</f>
        <v>#REF!</v>
      </c>
      <c r="AA57" s="23" t="e">
        <f>#REF!</f>
        <v>#REF!</v>
      </c>
      <c r="AB57" s="23">
        <v>61516789</v>
      </c>
      <c r="AC57" s="23" t="e">
        <f>#REF!</f>
        <v>#REF!</v>
      </c>
      <c r="AD57" s="23" t="e">
        <f>#REF!</f>
        <v>#REF!</v>
      </c>
      <c r="AE57" s="23" t="e">
        <f>#REF!</f>
        <v>#REF!</v>
      </c>
      <c r="AF57" s="23" t="e">
        <f>[1]April!N22</f>
        <v>#REF!</v>
      </c>
      <c r="AG57" s="23" t="e">
        <f>[2]april!N22</f>
        <v>#REF!</v>
      </c>
      <c r="AH57" s="23">
        <f>'[3]DES SKPD'!$N22</f>
        <v>238296148</v>
      </c>
      <c r="AI57" s="23">
        <f>SUM(AI58:AI60)</f>
        <v>0</v>
      </c>
      <c r="AJ57" s="24">
        <f t="shared" si="23"/>
        <v>0</v>
      </c>
      <c r="AK57" s="134">
        <f t="shared" ref="AK57:AK98" si="26">Q57-AI57</f>
        <v>445050000</v>
      </c>
      <c r="AL57" s="24">
        <f t="shared" si="24"/>
        <v>100</v>
      </c>
      <c r="AM57" s="21"/>
    </row>
    <row r="58" spans="1:39" ht="23.25" customHeight="1" x14ac:dyDescent="0.25">
      <c r="A58" s="26"/>
      <c r="B58" s="97"/>
      <c r="C58" s="97"/>
      <c r="D58" s="97"/>
      <c r="E58" s="97"/>
      <c r="F58" s="97"/>
      <c r="G58" s="97"/>
      <c r="H58" s="97"/>
      <c r="I58" s="98"/>
      <c r="J58" s="97" t="s">
        <v>251</v>
      </c>
      <c r="K58" s="27"/>
      <c r="L58" s="31"/>
      <c r="M58" s="515" t="s">
        <v>252</v>
      </c>
      <c r="N58" s="516"/>
      <c r="O58" s="194"/>
      <c r="P58" s="190"/>
      <c r="Q58" s="28">
        <v>8100000</v>
      </c>
      <c r="R58" s="29">
        <f>Q58/Q$57*100</f>
        <v>1.820020222446916</v>
      </c>
      <c r="S58" s="29">
        <v>101</v>
      </c>
      <c r="T58" s="28">
        <f t="shared" si="19"/>
        <v>0</v>
      </c>
      <c r="U58" s="28">
        <f t="shared" si="20"/>
        <v>0</v>
      </c>
      <c r="V58" s="87">
        <f t="shared" si="21"/>
        <v>101</v>
      </c>
      <c r="W58" s="28"/>
      <c r="X58" s="28" t="e">
        <f>#REF!</f>
        <v>#REF!</v>
      </c>
      <c r="Y58" s="28" t="e">
        <f>#REF!</f>
        <v>#REF!</v>
      </c>
      <c r="Z58" s="28" t="e">
        <f>#REF!</f>
        <v>#REF!</v>
      </c>
      <c r="AA58" s="28" t="e">
        <f>#REF!</f>
        <v>#REF!</v>
      </c>
      <c r="AB58" s="28">
        <v>61516790</v>
      </c>
      <c r="AC58" s="28" t="e">
        <f>#REF!</f>
        <v>#REF!</v>
      </c>
      <c r="AD58" s="28" t="e">
        <f>#REF!</f>
        <v>#REF!</v>
      </c>
      <c r="AE58" s="28" t="e">
        <f>#REF!</f>
        <v>#REF!</v>
      </c>
      <c r="AF58" s="28" t="e">
        <f>[1]April!N23</f>
        <v>#REF!</v>
      </c>
      <c r="AG58" s="28" t="e">
        <f>[2]april!N23</f>
        <v>#REF!</v>
      </c>
      <c r="AH58" s="28">
        <f>'[3]DES SKPD'!$N23</f>
        <v>24482700</v>
      </c>
      <c r="AI58" s="28">
        <v>0</v>
      </c>
      <c r="AJ58" s="29">
        <f t="shared" si="23"/>
        <v>0</v>
      </c>
      <c r="AK58" s="136">
        <f t="shared" si="26"/>
        <v>8100000</v>
      </c>
      <c r="AL58" s="29">
        <f t="shared" si="24"/>
        <v>100</v>
      </c>
      <c r="AM58" s="26"/>
    </row>
    <row r="59" spans="1:39" ht="23.25" customHeight="1" x14ac:dyDescent="0.25">
      <c r="A59" s="26"/>
      <c r="B59" s="97"/>
      <c r="C59" s="97"/>
      <c r="D59" s="97"/>
      <c r="E59" s="97"/>
      <c r="F59" s="97"/>
      <c r="G59" s="97"/>
      <c r="H59" s="97"/>
      <c r="I59" s="98"/>
      <c r="J59" s="97" t="s">
        <v>409</v>
      </c>
      <c r="K59" s="27"/>
      <c r="L59" s="31"/>
      <c r="M59" s="515" t="s">
        <v>410</v>
      </c>
      <c r="N59" s="516"/>
      <c r="O59" s="194"/>
      <c r="P59" s="190"/>
      <c r="Q59" s="28">
        <v>2250000</v>
      </c>
      <c r="R59" s="29">
        <f>Q59/Q$57*100</f>
        <v>0.50556117290192115</v>
      </c>
      <c r="S59" s="29">
        <v>102</v>
      </c>
      <c r="T59" s="28">
        <f t="shared" si="19"/>
        <v>0</v>
      </c>
      <c r="U59" s="28">
        <f t="shared" si="20"/>
        <v>0</v>
      </c>
      <c r="V59" s="87">
        <f t="shared" si="21"/>
        <v>102</v>
      </c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>
        <v>0</v>
      </c>
      <c r="AJ59" s="29">
        <f>AI59/Q59*100</f>
        <v>0</v>
      </c>
      <c r="AK59" s="136">
        <f>Q59-AI59</f>
        <v>2250000</v>
      </c>
      <c r="AL59" s="29">
        <f>AK59/Q59*100</f>
        <v>100</v>
      </c>
      <c r="AM59" s="26"/>
    </row>
    <row r="60" spans="1:39" ht="48.75" customHeight="1" x14ac:dyDescent="0.25">
      <c r="A60" s="26"/>
      <c r="B60" s="97"/>
      <c r="C60" s="97"/>
      <c r="D60" s="97"/>
      <c r="E60" s="97"/>
      <c r="F60" s="97"/>
      <c r="G60" s="97"/>
      <c r="H60" s="97"/>
      <c r="I60" s="98"/>
      <c r="J60" s="97" t="s">
        <v>253</v>
      </c>
      <c r="K60" s="27"/>
      <c r="L60" s="31"/>
      <c r="M60" s="515" t="s">
        <v>254</v>
      </c>
      <c r="N60" s="516"/>
      <c r="O60" s="194"/>
      <c r="P60" s="190"/>
      <c r="Q60" s="28">
        <v>434700000</v>
      </c>
      <c r="R60" s="29">
        <f>Q60/Q$57*100</f>
        <v>97.674418604651152</v>
      </c>
      <c r="S60" s="29">
        <v>102</v>
      </c>
      <c r="T60" s="28">
        <f t="shared" si="19"/>
        <v>0</v>
      </c>
      <c r="U60" s="28">
        <f t="shared" si="20"/>
        <v>0</v>
      </c>
      <c r="V60" s="87">
        <f t="shared" si="21"/>
        <v>102</v>
      </c>
      <c r="W60" s="28"/>
      <c r="X60" s="28" t="e">
        <f>#REF!</f>
        <v>#REF!</v>
      </c>
      <c r="Y60" s="28" t="e">
        <f>#REF!</f>
        <v>#REF!</v>
      </c>
      <c r="Z60" s="28" t="e">
        <f>#REF!</f>
        <v>#REF!</v>
      </c>
      <c r="AA60" s="28" t="e">
        <f>#REF!</f>
        <v>#REF!</v>
      </c>
      <c r="AB60" s="28">
        <v>61516791</v>
      </c>
      <c r="AC60" s="28" t="e">
        <f>#REF!</f>
        <v>#REF!</v>
      </c>
      <c r="AD60" s="28" t="e">
        <f>#REF!</f>
        <v>#REF!</v>
      </c>
      <c r="AE60" s="28" t="e">
        <f>#REF!</f>
        <v>#REF!</v>
      </c>
      <c r="AF60" s="28" t="e">
        <f>[1]April!N24</f>
        <v>#REF!</v>
      </c>
      <c r="AG60" s="28" t="e">
        <f>[2]april!N24</f>
        <v>#REF!</v>
      </c>
      <c r="AH60" s="28">
        <f>'[3]DES SKPD'!$N24</f>
        <v>201339002</v>
      </c>
      <c r="AI60" s="28">
        <v>0</v>
      </c>
      <c r="AJ60" s="29">
        <f t="shared" si="23"/>
        <v>0</v>
      </c>
      <c r="AK60" s="136">
        <f t="shared" si="26"/>
        <v>434700000</v>
      </c>
      <c r="AL60" s="29">
        <f t="shared" si="24"/>
        <v>100</v>
      </c>
      <c r="AM60" s="26"/>
    </row>
    <row r="61" spans="1:39" s="41" customFormat="1" ht="45.75" customHeight="1" x14ac:dyDescent="0.25">
      <c r="A61" s="21">
        <f>A57+1</f>
        <v>3</v>
      </c>
      <c r="B61" s="543" t="s">
        <v>116</v>
      </c>
      <c r="C61" s="543"/>
      <c r="D61" s="543"/>
      <c r="E61" s="543"/>
      <c r="F61" s="543"/>
      <c r="G61" s="543"/>
      <c r="H61" s="543"/>
      <c r="I61" s="544"/>
      <c r="J61" s="99" t="s">
        <v>444</v>
      </c>
      <c r="K61" s="22"/>
      <c r="L61" s="72"/>
      <c r="M61" s="545" t="s">
        <v>117</v>
      </c>
      <c r="N61" s="546"/>
      <c r="O61" s="193">
        <v>32800000</v>
      </c>
      <c r="P61" s="189">
        <f>O61</f>
        <v>32800000</v>
      </c>
      <c r="Q61" s="23">
        <f>SUM(Q62)</f>
        <v>34660000</v>
      </c>
      <c r="R61" s="24">
        <f>Q61/Q$54*100</f>
        <v>1.4638049172979446</v>
      </c>
      <c r="S61" s="24">
        <v>100</v>
      </c>
      <c r="T61" s="23">
        <f t="shared" si="19"/>
        <v>0</v>
      </c>
      <c r="U61" s="23">
        <f t="shared" si="20"/>
        <v>0</v>
      </c>
      <c r="V61" s="90">
        <f t="shared" si="21"/>
        <v>100</v>
      </c>
      <c r="W61" s="23"/>
      <c r="X61" s="23" t="e">
        <f>#REF!</f>
        <v>#REF!</v>
      </c>
      <c r="Y61" s="23" t="e">
        <f>#REF!</f>
        <v>#REF!</v>
      </c>
      <c r="Z61" s="23" t="e">
        <f>#REF!</f>
        <v>#REF!</v>
      </c>
      <c r="AA61" s="23" t="e">
        <f>#REF!</f>
        <v>#REF!</v>
      </c>
      <c r="AB61" s="23">
        <v>9127800</v>
      </c>
      <c r="AC61" s="23" t="e">
        <f>#REF!</f>
        <v>#REF!</v>
      </c>
      <c r="AD61" s="23" t="e">
        <f>#REF!</f>
        <v>#REF!</v>
      </c>
      <c r="AE61" s="23" t="e">
        <f>#REF!</f>
        <v>#REF!</v>
      </c>
      <c r="AF61" s="23" t="e">
        <f>[1]April!N23</f>
        <v>#REF!</v>
      </c>
      <c r="AG61" s="23" t="e">
        <f>[2]april!N23</f>
        <v>#REF!</v>
      </c>
      <c r="AH61" s="23">
        <f>'[3]DES SKPD'!$N23</f>
        <v>24482700</v>
      </c>
      <c r="AI61" s="23">
        <f>SUM(AI62)</f>
        <v>0</v>
      </c>
      <c r="AJ61" s="24">
        <f t="shared" si="23"/>
        <v>0</v>
      </c>
      <c r="AK61" s="134">
        <f t="shared" si="26"/>
        <v>34660000</v>
      </c>
      <c r="AL61" s="24">
        <f t="shared" si="24"/>
        <v>100</v>
      </c>
      <c r="AM61" s="21"/>
    </row>
    <row r="62" spans="1:39" s="41" customFormat="1" ht="28.5" customHeight="1" x14ac:dyDescent="0.25">
      <c r="A62" s="21"/>
      <c r="B62" s="99"/>
      <c r="C62" s="99"/>
      <c r="D62" s="99"/>
      <c r="E62" s="99"/>
      <c r="F62" s="99"/>
      <c r="G62" s="99"/>
      <c r="H62" s="99"/>
      <c r="I62" s="100"/>
      <c r="J62" s="97" t="s">
        <v>255</v>
      </c>
      <c r="K62" s="27"/>
      <c r="L62" s="31"/>
      <c r="M62" s="515" t="s">
        <v>256</v>
      </c>
      <c r="N62" s="516"/>
      <c r="O62" s="194"/>
      <c r="P62" s="190"/>
      <c r="Q62" s="28">
        <v>34660000</v>
      </c>
      <c r="R62" s="29">
        <f>Q62/Q$61*100</f>
        <v>100</v>
      </c>
      <c r="S62" s="29">
        <v>100</v>
      </c>
      <c r="T62" s="28">
        <f t="shared" ref="T62:T125" si="27">AJ62</f>
        <v>0</v>
      </c>
      <c r="U62" s="28">
        <f t="shared" ref="U62:U96" si="28">R62*T62/100</f>
        <v>0</v>
      </c>
      <c r="V62" s="87">
        <f t="shared" ref="V62:V105" si="29">S62-T62</f>
        <v>100</v>
      </c>
      <c r="W62" s="28"/>
      <c r="X62" s="28" t="e">
        <f>#REF!</f>
        <v>#REF!</v>
      </c>
      <c r="Y62" s="28" t="e">
        <f>#REF!</f>
        <v>#REF!</v>
      </c>
      <c r="Z62" s="28" t="e">
        <f>#REF!</f>
        <v>#REF!</v>
      </c>
      <c r="AA62" s="28" t="e">
        <f>#REF!</f>
        <v>#REF!</v>
      </c>
      <c r="AB62" s="28">
        <v>9127801</v>
      </c>
      <c r="AC62" s="28" t="e">
        <f>#REF!</f>
        <v>#REF!</v>
      </c>
      <c r="AD62" s="28" t="e">
        <f>#REF!</f>
        <v>#REF!</v>
      </c>
      <c r="AE62" s="28" t="e">
        <f>#REF!</f>
        <v>#REF!</v>
      </c>
      <c r="AF62" s="28" t="e">
        <f>[1]April!N24</f>
        <v>#REF!</v>
      </c>
      <c r="AG62" s="28" t="e">
        <f>[2]april!N24</f>
        <v>#REF!</v>
      </c>
      <c r="AH62" s="28">
        <f>'[3]DES SKPD'!$N24</f>
        <v>201339002</v>
      </c>
      <c r="AI62" s="28">
        <v>0</v>
      </c>
      <c r="AJ62" s="29">
        <f t="shared" si="23"/>
        <v>0</v>
      </c>
      <c r="AK62" s="136">
        <f t="shared" si="26"/>
        <v>34660000</v>
      </c>
      <c r="AL62" s="29">
        <f t="shared" si="24"/>
        <v>100</v>
      </c>
      <c r="AM62" s="21"/>
    </row>
    <row r="63" spans="1:39" s="41" customFormat="1" ht="24.75" customHeight="1" x14ac:dyDescent="0.25">
      <c r="A63" s="21">
        <f>A61+1</f>
        <v>4</v>
      </c>
      <c r="B63" s="543" t="s">
        <v>118</v>
      </c>
      <c r="C63" s="543"/>
      <c r="D63" s="543"/>
      <c r="E63" s="543"/>
      <c r="F63" s="543"/>
      <c r="G63" s="543"/>
      <c r="H63" s="543"/>
      <c r="I63" s="544"/>
      <c r="J63" s="99" t="s">
        <v>445</v>
      </c>
      <c r="K63" s="22"/>
      <c r="L63" s="72"/>
      <c r="M63" s="543" t="s">
        <v>15</v>
      </c>
      <c r="N63" s="544"/>
      <c r="O63" s="193">
        <v>218550000</v>
      </c>
      <c r="P63" s="189">
        <f>O63</f>
        <v>218550000</v>
      </c>
      <c r="Q63" s="23">
        <f>SUM(Q64:Q67)</f>
        <v>181632000</v>
      </c>
      <c r="R63" s="24">
        <f>Q63/Q$54*100</f>
        <v>7.6709121390265516</v>
      </c>
      <c r="S63" s="24">
        <v>100</v>
      </c>
      <c r="T63" s="23">
        <f t="shared" si="27"/>
        <v>0</v>
      </c>
      <c r="U63" s="23">
        <f t="shared" si="28"/>
        <v>0</v>
      </c>
      <c r="V63" s="90">
        <f t="shared" si="29"/>
        <v>100</v>
      </c>
      <c r="W63" s="23"/>
      <c r="X63" s="23" t="e">
        <f>#REF!</f>
        <v>#REF!</v>
      </c>
      <c r="Y63" s="23" t="e">
        <f>#REF!</f>
        <v>#REF!</v>
      </c>
      <c r="Z63" s="23" t="e">
        <f>#REF!</f>
        <v>#REF!</v>
      </c>
      <c r="AA63" s="23" t="e">
        <f>#REF!</f>
        <v>#REF!</v>
      </c>
      <c r="AB63" s="23">
        <v>103406334</v>
      </c>
      <c r="AC63" s="23" t="e">
        <f>#REF!</f>
        <v>#REF!</v>
      </c>
      <c r="AD63" s="23" t="e">
        <f>#REF!</f>
        <v>#REF!</v>
      </c>
      <c r="AE63" s="23" t="e">
        <f>#REF!</f>
        <v>#REF!</v>
      </c>
      <c r="AF63" s="23" t="e">
        <f>[1]April!N24</f>
        <v>#REF!</v>
      </c>
      <c r="AG63" s="23" t="e">
        <f>[2]april!N24</f>
        <v>#REF!</v>
      </c>
      <c r="AH63" s="23">
        <f>'[3]DES SKPD'!$N24</f>
        <v>201339002</v>
      </c>
      <c r="AI63" s="23">
        <f>SUM(AI64:AI67)</f>
        <v>0</v>
      </c>
      <c r="AJ63" s="24">
        <f t="shared" si="23"/>
        <v>0</v>
      </c>
      <c r="AK63" s="134">
        <f t="shared" si="26"/>
        <v>181632000</v>
      </c>
      <c r="AL63" s="24">
        <f t="shared" si="24"/>
        <v>100</v>
      </c>
      <c r="AM63" s="21"/>
    </row>
    <row r="64" spans="1:39" ht="24.75" customHeight="1" x14ac:dyDescent="0.25">
      <c r="A64" s="26"/>
      <c r="B64" s="97"/>
      <c r="C64" s="97"/>
      <c r="D64" s="97"/>
      <c r="E64" s="97"/>
      <c r="F64" s="97"/>
      <c r="G64" s="97"/>
      <c r="H64" s="97"/>
      <c r="I64" s="98"/>
      <c r="J64" s="97" t="s">
        <v>257</v>
      </c>
      <c r="K64" s="27"/>
      <c r="L64" s="31"/>
      <c r="M64" s="513" t="s">
        <v>258</v>
      </c>
      <c r="N64" s="514"/>
      <c r="O64" s="194"/>
      <c r="P64" s="190"/>
      <c r="Q64" s="28">
        <v>3360000</v>
      </c>
      <c r="R64" s="29">
        <f>Q64/Q$63*100</f>
        <v>1.8498942917547569</v>
      </c>
      <c r="S64" s="29">
        <v>100</v>
      </c>
      <c r="T64" s="28">
        <f t="shared" si="27"/>
        <v>0</v>
      </c>
      <c r="U64" s="28">
        <f t="shared" si="28"/>
        <v>0</v>
      </c>
      <c r="V64" s="87">
        <f t="shared" si="29"/>
        <v>100</v>
      </c>
      <c r="W64" s="28"/>
      <c r="X64" s="28" t="e">
        <f>#REF!</f>
        <v>#REF!</v>
      </c>
      <c r="Y64" s="28" t="e">
        <f>#REF!</f>
        <v>#REF!</v>
      </c>
      <c r="Z64" s="28" t="e">
        <f>#REF!</f>
        <v>#REF!</v>
      </c>
      <c r="AA64" s="28" t="e">
        <f>#REF!</f>
        <v>#REF!</v>
      </c>
      <c r="AB64" s="28">
        <v>103406335</v>
      </c>
      <c r="AC64" s="28" t="e">
        <f>#REF!</f>
        <v>#REF!</v>
      </c>
      <c r="AD64" s="28" t="e">
        <f>#REF!</f>
        <v>#REF!</v>
      </c>
      <c r="AE64" s="28" t="e">
        <f>#REF!</f>
        <v>#REF!</v>
      </c>
      <c r="AF64" s="28" t="e">
        <f>[1]April!N25</f>
        <v>#REF!</v>
      </c>
      <c r="AG64" s="28" t="e">
        <f>[2]april!N25</f>
        <v>#REF!</v>
      </c>
      <c r="AH64" s="28">
        <f>'[3]DES SKPD'!$N25</f>
        <v>229473500</v>
      </c>
      <c r="AI64" s="28">
        <v>0</v>
      </c>
      <c r="AJ64" s="29">
        <f t="shared" si="23"/>
        <v>0</v>
      </c>
      <c r="AK64" s="136">
        <f t="shared" si="26"/>
        <v>3360000</v>
      </c>
      <c r="AL64" s="29">
        <f t="shared" si="24"/>
        <v>100</v>
      </c>
      <c r="AM64" s="26"/>
    </row>
    <row r="65" spans="1:39" ht="24.75" customHeight="1" x14ac:dyDescent="0.25">
      <c r="A65" s="26"/>
      <c r="B65" s="97"/>
      <c r="C65" s="97"/>
      <c r="D65" s="97"/>
      <c r="E65" s="97"/>
      <c r="F65" s="97"/>
      <c r="G65" s="97"/>
      <c r="H65" s="97"/>
      <c r="I65" s="98"/>
      <c r="J65" s="97" t="s">
        <v>259</v>
      </c>
      <c r="K65" s="27"/>
      <c r="L65" s="31"/>
      <c r="M65" s="513" t="s">
        <v>260</v>
      </c>
      <c r="N65" s="514"/>
      <c r="O65" s="194"/>
      <c r="P65" s="190"/>
      <c r="Q65" s="28">
        <v>1500000</v>
      </c>
      <c r="R65" s="29">
        <f>Q65/Q$63*100</f>
        <v>0.82584566596194497</v>
      </c>
      <c r="S65" s="29">
        <v>100</v>
      </c>
      <c r="T65" s="28">
        <f t="shared" si="27"/>
        <v>0</v>
      </c>
      <c r="U65" s="28">
        <f t="shared" si="28"/>
        <v>0</v>
      </c>
      <c r="V65" s="87">
        <f t="shared" si="29"/>
        <v>100</v>
      </c>
      <c r="W65" s="28"/>
      <c r="X65" s="28" t="e">
        <f>#REF!</f>
        <v>#REF!</v>
      </c>
      <c r="Y65" s="28" t="e">
        <f>#REF!</f>
        <v>#REF!</v>
      </c>
      <c r="Z65" s="28" t="e">
        <f>#REF!</f>
        <v>#REF!</v>
      </c>
      <c r="AA65" s="28" t="e">
        <f>#REF!</f>
        <v>#REF!</v>
      </c>
      <c r="AB65" s="28">
        <v>103406335</v>
      </c>
      <c r="AC65" s="28" t="e">
        <f>#REF!</f>
        <v>#REF!</v>
      </c>
      <c r="AD65" s="28" t="e">
        <f>#REF!</f>
        <v>#REF!</v>
      </c>
      <c r="AE65" s="28" t="e">
        <f>#REF!</f>
        <v>#REF!</v>
      </c>
      <c r="AF65" s="28" t="e">
        <f>[1]April!N26</f>
        <v>#REF!</v>
      </c>
      <c r="AG65" s="28" t="e">
        <f>[2]april!N26</f>
        <v>#REF!</v>
      </c>
      <c r="AH65" s="28">
        <f>'[3]DES SKPD'!$N26</f>
        <v>449102800</v>
      </c>
      <c r="AI65" s="28">
        <v>0</v>
      </c>
      <c r="AJ65" s="29">
        <f t="shared" si="23"/>
        <v>0</v>
      </c>
      <c r="AK65" s="136">
        <f t="shared" si="26"/>
        <v>1500000</v>
      </c>
      <c r="AL65" s="29">
        <f t="shared" si="24"/>
        <v>100</v>
      </c>
      <c r="AM65" s="26"/>
    </row>
    <row r="66" spans="1:39" ht="26.25" customHeight="1" x14ac:dyDescent="0.25">
      <c r="A66" s="26"/>
      <c r="B66" s="97"/>
      <c r="C66" s="97"/>
      <c r="D66" s="97"/>
      <c r="E66" s="97"/>
      <c r="F66" s="97"/>
      <c r="G66" s="97"/>
      <c r="H66" s="97"/>
      <c r="I66" s="98"/>
      <c r="J66" s="97" t="s">
        <v>261</v>
      </c>
      <c r="K66" s="27"/>
      <c r="L66" s="31"/>
      <c r="M66" s="513" t="s">
        <v>262</v>
      </c>
      <c r="N66" s="514"/>
      <c r="O66" s="194"/>
      <c r="P66" s="190"/>
      <c r="Q66" s="28">
        <v>31572000</v>
      </c>
      <c r="R66" s="29">
        <f>Q66/Q$63*100</f>
        <v>17.382399577167018</v>
      </c>
      <c r="S66" s="29">
        <v>100</v>
      </c>
      <c r="T66" s="28">
        <f t="shared" si="27"/>
        <v>0</v>
      </c>
      <c r="U66" s="28">
        <f t="shared" si="28"/>
        <v>0</v>
      </c>
      <c r="V66" s="87">
        <f t="shared" si="29"/>
        <v>100</v>
      </c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>
        <v>0</v>
      </c>
      <c r="AJ66" s="29">
        <f t="shared" si="23"/>
        <v>0</v>
      </c>
      <c r="AK66" s="136">
        <f t="shared" si="26"/>
        <v>31572000</v>
      </c>
      <c r="AL66" s="29">
        <f t="shared" si="24"/>
        <v>100</v>
      </c>
      <c r="AM66" s="26"/>
    </row>
    <row r="67" spans="1:39" ht="24.75" customHeight="1" x14ac:dyDescent="0.25">
      <c r="A67" s="26"/>
      <c r="B67" s="97"/>
      <c r="C67" s="97"/>
      <c r="D67" s="97"/>
      <c r="E67" s="97"/>
      <c r="F67" s="97"/>
      <c r="G67" s="97"/>
      <c r="H67" s="97"/>
      <c r="I67" s="98"/>
      <c r="J67" s="97" t="s">
        <v>263</v>
      </c>
      <c r="K67" s="27"/>
      <c r="L67" s="31"/>
      <c r="M67" s="513" t="s">
        <v>264</v>
      </c>
      <c r="N67" s="514"/>
      <c r="O67" s="194"/>
      <c r="P67" s="190"/>
      <c r="Q67" s="28">
        <v>145200000</v>
      </c>
      <c r="R67" s="29">
        <f>Q67/Q$63*100</f>
        <v>79.941860465116278</v>
      </c>
      <c r="S67" s="29">
        <v>100</v>
      </c>
      <c r="T67" s="28">
        <f t="shared" si="27"/>
        <v>0</v>
      </c>
      <c r="U67" s="28">
        <f t="shared" si="28"/>
        <v>0</v>
      </c>
      <c r="V67" s="87">
        <f t="shared" si="29"/>
        <v>100</v>
      </c>
      <c r="W67" s="28"/>
      <c r="X67" s="28" t="e">
        <f>#REF!</f>
        <v>#REF!</v>
      </c>
      <c r="Y67" s="28" t="e">
        <f>#REF!</f>
        <v>#REF!</v>
      </c>
      <c r="Z67" s="28" t="e">
        <f>#REF!</f>
        <v>#REF!</v>
      </c>
      <c r="AA67" s="28" t="e">
        <f>#REF!</f>
        <v>#REF!</v>
      </c>
      <c r="AB67" s="28">
        <v>103406335</v>
      </c>
      <c r="AC67" s="28" t="e">
        <f>#REF!</f>
        <v>#REF!</v>
      </c>
      <c r="AD67" s="28" t="e">
        <f>#REF!</f>
        <v>#REF!</v>
      </c>
      <c r="AE67" s="28" t="e">
        <f>#REF!</f>
        <v>#REF!</v>
      </c>
      <c r="AF67" s="28" t="e">
        <f>[1]April!N26</f>
        <v>#REF!</v>
      </c>
      <c r="AG67" s="28" t="e">
        <f>[2]april!N26</f>
        <v>#REF!</v>
      </c>
      <c r="AH67" s="28">
        <f>'[3]DES SKPD'!$N26</f>
        <v>449102800</v>
      </c>
      <c r="AI67" s="28">
        <v>0</v>
      </c>
      <c r="AJ67" s="29">
        <f t="shared" si="23"/>
        <v>0</v>
      </c>
      <c r="AK67" s="136">
        <f t="shared" si="26"/>
        <v>145200000</v>
      </c>
      <c r="AL67" s="29">
        <f t="shared" si="24"/>
        <v>100</v>
      </c>
      <c r="AM67" s="26"/>
    </row>
    <row r="68" spans="1:39" s="41" customFormat="1" ht="24.75" customHeight="1" x14ac:dyDescent="0.25">
      <c r="A68" s="21">
        <f>A63+1</f>
        <v>5</v>
      </c>
      <c r="B68" s="543" t="s">
        <v>119</v>
      </c>
      <c r="C68" s="543"/>
      <c r="D68" s="543"/>
      <c r="E68" s="543"/>
      <c r="F68" s="543"/>
      <c r="G68" s="543"/>
      <c r="H68" s="543"/>
      <c r="I68" s="544"/>
      <c r="J68" s="99" t="s">
        <v>446</v>
      </c>
      <c r="K68" s="22"/>
      <c r="L68" s="72"/>
      <c r="M68" s="543" t="s">
        <v>16</v>
      </c>
      <c r="N68" s="544"/>
      <c r="O68" s="193">
        <v>201527500</v>
      </c>
      <c r="P68" s="189">
        <f>O68</f>
        <v>201527500</v>
      </c>
      <c r="Q68" s="23">
        <f>SUM(Q69:Q71)</f>
        <v>330462710</v>
      </c>
      <c r="R68" s="24">
        <f>Q68/Q$54*100</f>
        <v>13.956518750190556</v>
      </c>
      <c r="S68" s="24">
        <v>100</v>
      </c>
      <c r="T68" s="23">
        <f t="shared" si="27"/>
        <v>0</v>
      </c>
      <c r="U68" s="23">
        <f t="shared" si="28"/>
        <v>0</v>
      </c>
      <c r="V68" s="90">
        <f t="shared" si="29"/>
        <v>100</v>
      </c>
      <c r="W68" s="23"/>
      <c r="X68" s="23" t="e">
        <f>#REF!</f>
        <v>#REF!</v>
      </c>
      <c r="Y68" s="23" t="e">
        <f>#REF!</f>
        <v>#REF!</v>
      </c>
      <c r="Z68" s="23" t="e">
        <f>#REF!</f>
        <v>#REF!</v>
      </c>
      <c r="AA68" s="23" t="e">
        <f>#REF!</f>
        <v>#REF!</v>
      </c>
      <c r="AB68" s="23">
        <v>99905000</v>
      </c>
      <c r="AC68" s="23" t="e">
        <f>#REF!</f>
        <v>#REF!</v>
      </c>
      <c r="AD68" s="23" t="e">
        <f>#REF!</f>
        <v>#REF!</v>
      </c>
      <c r="AE68" s="23" t="e">
        <f>#REF!</f>
        <v>#REF!</v>
      </c>
      <c r="AF68" s="23" t="e">
        <f>[1]April!N25</f>
        <v>#REF!</v>
      </c>
      <c r="AG68" s="23" t="e">
        <f>[2]april!N25</f>
        <v>#REF!</v>
      </c>
      <c r="AH68" s="23">
        <f>'[3]DES SKPD'!$N25</f>
        <v>229473500</v>
      </c>
      <c r="AI68" s="23">
        <f>SUM(AI69:AI71)</f>
        <v>0</v>
      </c>
      <c r="AJ68" s="24">
        <f>AI68/Q68*100</f>
        <v>0</v>
      </c>
      <c r="AK68" s="134">
        <f>Q68-AI68</f>
        <v>330462710</v>
      </c>
      <c r="AL68" s="24">
        <f>AK68/Q68*100</f>
        <v>100</v>
      </c>
      <c r="AM68" s="21"/>
    </row>
    <row r="69" spans="1:39" ht="24.75" customHeight="1" x14ac:dyDescent="0.25">
      <c r="A69" s="26"/>
      <c r="B69" s="97"/>
      <c r="C69" s="97"/>
      <c r="D69" s="97"/>
      <c r="E69" s="97"/>
      <c r="F69" s="97"/>
      <c r="G69" s="97"/>
      <c r="H69" s="97"/>
      <c r="I69" s="98"/>
      <c r="J69" s="97" t="s">
        <v>257</v>
      </c>
      <c r="K69" s="27"/>
      <c r="L69" s="31"/>
      <c r="M69" s="513" t="s">
        <v>258</v>
      </c>
      <c r="N69" s="514"/>
      <c r="O69" s="194"/>
      <c r="P69" s="190"/>
      <c r="Q69" s="28">
        <v>3900000</v>
      </c>
      <c r="R69" s="29">
        <f>Q69/Q$68*100</f>
        <v>1.1801634138992565</v>
      </c>
      <c r="S69" s="29">
        <v>100</v>
      </c>
      <c r="T69" s="28">
        <f t="shared" si="27"/>
        <v>0</v>
      </c>
      <c r="U69" s="28">
        <f t="shared" si="28"/>
        <v>0</v>
      </c>
      <c r="V69" s="87">
        <f t="shared" si="29"/>
        <v>100</v>
      </c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>
        <v>0</v>
      </c>
      <c r="AJ69" s="29">
        <f t="shared" si="23"/>
        <v>0</v>
      </c>
      <c r="AK69" s="136">
        <f t="shared" si="26"/>
        <v>3900000</v>
      </c>
      <c r="AL69" s="29">
        <f t="shared" si="24"/>
        <v>100</v>
      </c>
      <c r="AM69" s="26"/>
    </row>
    <row r="70" spans="1:39" ht="29.25" customHeight="1" x14ac:dyDescent="0.25">
      <c r="A70" s="26"/>
      <c r="B70" s="97"/>
      <c r="C70" s="97"/>
      <c r="D70" s="97"/>
      <c r="E70" s="97"/>
      <c r="F70" s="97"/>
      <c r="G70" s="97"/>
      <c r="H70" s="97"/>
      <c r="I70" s="98"/>
      <c r="J70" s="97" t="s">
        <v>259</v>
      </c>
      <c r="K70" s="27"/>
      <c r="L70" s="31"/>
      <c r="M70" s="513" t="s">
        <v>260</v>
      </c>
      <c r="N70" s="514"/>
      <c r="O70" s="194"/>
      <c r="P70" s="190"/>
      <c r="Q70" s="28">
        <v>2400000</v>
      </c>
      <c r="R70" s="29">
        <f>Q70/Q$68*100</f>
        <v>0.72625440855338863</v>
      </c>
      <c r="S70" s="29">
        <v>100</v>
      </c>
      <c r="T70" s="28">
        <f t="shared" si="27"/>
        <v>0</v>
      </c>
      <c r="U70" s="28">
        <f t="shared" si="28"/>
        <v>0</v>
      </c>
      <c r="V70" s="87">
        <f t="shared" si="29"/>
        <v>100</v>
      </c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>
        <v>0</v>
      </c>
      <c r="AJ70" s="29">
        <f t="shared" si="23"/>
        <v>0</v>
      </c>
      <c r="AK70" s="136">
        <f t="shared" si="26"/>
        <v>2400000</v>
      </c>
      <c r="AL70" s="29">
        <f t="shared" si="24"/>
        <v>100</v>
      </c>
      <c r="AM70" s="26"/>
    </row>
    <row r="71" spans="1:39" ht="24.75" customHeight="1" x14ac:dyDescent="0.25">
      <c r="A71" s="26"/>
      <c r="B71" s="97"/>
      <c r="C71" s="97"/>
      <c r="D71" s="97"/>
      <c r="E71" s="97"/>
      <c r="F71" s="97"/>
      <c r="G71" s="97"/>
      <c r="H71" s="97"/>
      <c r="I71" s="98"/>
      <c r="J71" s="97" t="s">
        <v>265</v>
      </c>
      <c r="K71" s="27"/>
      <c r="L71" s="31"/>
      <c r="M71" s="513" t="s">
        <v>266</v>
      </c>
      <c r="N71" s="514"/>
      <c r="O71" s="194"/>
      <c r="P71" s="190"/>
      <c r="Q71" s="28">
        <v>324162710</v>
      </c>
      <c r="R71" s="29">
        <f>Q71/Q$68*100</f>
        <v>98.093582177547361</v>
      </c>
      <c r="S71" s="29">
        <v>100</v>
      </c>
      <c r="T71" s="28">
        <f t="shared" si="27"/>
        <v>0</v>
      </c>
      <c r="U71" s="28">
        <f t="shared" si="28"/>
        <v>0</v>
      </c>
      <c r="V71" s="87">
        <f t="shared" si="29"/>
        <v>100</v>
      </c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>
        <v>0</v>
      </c>
      <c r="AJ71" s="29">
        <f t="shared" si="23"/>
        <v>0</v>
      </c>
      <c r="AK71" s="136">
        <f t="shared" si="26"/>
        <v>324162710</v>
      </c>
      <c r="AL71" s="29">
        <f t="shared" si="24"/>
        <v>100</v>
      </c>
      <c r="AM71" s="26"/>
    </row>
    <row r="72" spans="1:39" s="41" customFormat="1" ht="27.75" customHeight="1" x14ac:dyDescent="0.25">
      <c r="A72" s="21">
        <f>A68+1</f>
        <v>6</v>
      </c>
      <c r="B72" s="543" t="s">
        <v>120</v>
      </c>
      <c r="C72" s="543"/>
      <c r="D72" s="543"/>
      <c r="E72" s="543"/>
      <c r="F72" s="543"/>
      <c r="G72" s="543"/>
      <c r="H72" s="543"/>
      <c r="I72" s="544"/>
      <c r="J72" s="99" t="s">
        <v>447</v>
      </c>
      <c r="K72" s="22"/>
      <c r="L72" s="72"/>
      <c r="M72" s="545" t="s">
        <v>17</v>
      </c>
      <c r="N72" s="546"/>
      <c r="O72" s="193">
        <v>261210000</v>
      </c>
      <c r="P72" s="189">
        <f>O72</f>
        <v>261210000</v>
      </c>
      <c r="Q72" s="23">
        <f>SUM(Q73:Q77)</f>
        <v>491625000</v>
      </c>
      <c r="R72" s="24">
        <f>Q72/Q$54*100</f>
        <v>20.762928230427065</v>
      </c>
      <c r="S72" s="24">
        <v>100</v>
      </c>
      <c r="T72" s="23">
        <f t="shared" si="27"/>
        <v>0</v>
      </c>
      <c r="U72" s="23">
        <f t="shared" si="28"/>
        <v>0</v>
      </c>
      <c r="V72" s="90">
        <f t="shared" si="29"/>
        <v>100</v>
      </c>
      <c r="W72" s="23"/>
      <c r="X72" s="23" t="e">
        <f>#REF!</f>
        <v>#REF!</v>
      </c>
      <c r="Y72" s="23" t="e">
        <f>#REF!</f>
        <v>#REF!</v>
      </c>
      <c r="Z72" s="23" t="e">
        <f>#REF!</f>
        <v>#REF!</v>
      </c>
      <c r="AA72" s="23" t="e">
        <f>#REF!</f>
        <v>#REF!</v>
      </c>
      <c r="AB72" s="23">
        <v>171140000</v>
      </c>
      <c r="AC72" s="23" t="e">
        <f>#REF!</f>
        <v>#REF!</v>
      </c>
      <c r="AD72" s="23" t="e">
        <f>#REF!</f>
        <v>#REF!</v>
      </c>
      <c r="AE72" s="23" t="e">
        <f>#REF!</f>
        <v>#REF!</v>
      </c>
      <c r="AF72" s="23" t="e">
        <f>[1]April!N26</f>
        <v>#REF!</v>
      </c>
      <c r="AG72" s="23" t="e">
        <f>[2]april!N26</f>
        <v>#REF!</v>
      </c>
      <c r="AH72" s="23">
        <f>'[3]DES SKPD'!$N26</f>
        <v>449102800</v>
      </c>
      <c r="AI72" s="23">
        <f>SUM(AI73:AI77)</f>
        <v>0</v>
      </c>
      <c r="AJ72" s="24">
        <f t="shared" si="23"/>
        <v>0</v>
      </c>
      <c r="AK72" s="134">
        <f t="shared" si="26"/>
        <v>491625000</v>
      </c>
      <c r="AL72" s="24">
        <f t="shared" si="24"/>
        <v>100</v>
      </c>
      <c r="AM72" s="21"/>
    </row>
    <row r="73" spans="1:39" s="41" customFormat="1" ht="27.75" customHeight="1" x14ac:dyDescent="0.25">
      <c r="A73" s="21"/>
      <c r="B73" s="99"/>
      <c r="C73" s="99"/>
      <c r="D73" s="99"/>
      <c r="E73" s="99"/>
      <c r="F73" s="99"/>
      <c r="G73" s="99"/>
      <c r="H73" s="99"/>
      <c r="I73" s="100"/>
      <c r="J73" s="97" t="s">
        <v>257</v>
      </c>
      <c r="K73" s="27"/>
      <c r="L73" s="31"/>
      <c r="M73" s="515" t="s">
        <v>258</v>
      </c>
      <c r="N73" s="516"/>
      <c r="O73" s="194"/>
      <c r="P73" s="190"/>
      <c r="Q73" s="28">
        <v>4500000</v>
      </c>
      <c r="R73" s="29">
        <f>Q73/Q$72*100</f>
        <v>0.91533180778032042</v>
      </c>
      <c r="S73" s="29">
        <v>100</v>
      </c>
      <c r="T73" s="28">
        <f t="shared" si="27"/>
        <v>0</v>
      </c>
      <c r="U73" s="28">
        <f t="shared" si="28"/>
        <v>0</v>
      </c>
      <c r="V73" s="87">
        <f t="shared" si="29"/>
        <v>100</v>
      </c>
      <c r="W73" s="28"/>
      <c r="X73" s="28" t="e">
        <f>#REF!</f>
        <v>#REF!</v>
      </c>
      <c r="Y73" s="28" t="e">
        <f>#REF!</f>
        <v>#REF!</v>
      </c>
      <c r="Z73" s="28" t="e">
        <f>#REF!</f>
        <v>#REF!</v>
      </c>
      <c r="AA73" s="28" t="e">
        <f>#REF!</f>
        <v>#REF!</v>
      </c>
      <c r="AB73" s="28">
        <v>171140000</v>
      </c>
      <c r="AC73" s="28" t="e">
        <f>#REF!</f>
        <v>#REF!</v>
      </c>
      <c r="AD73" s="28" t="e">
        <f>#REF!</f>
        <v>#REF!</v>
      </c>
      <c r="AE73" s="28" t="e">
        <f>#REF!</f>
        <v>#REF!</v>
      </c>
      <c r="AF73" s="28" t="e">
        <f>[1]April!N27</f>
        <v>#REF!</v>
      </c>
      <c r="AG73" s="28" t="e">
        <f>[2]april!N27</f>
        <v>#REF!</v>
      </c>
      <c r="AH73" s="28">
        <f>'[3]DES SKPD'!$N27</f>
        <v>35785800</v>
      </c>
      <c r="AI73" s="28">
        <v>0</v>
      </c>
      <c r="AJ73" s="29">
        <f t="shared" si="23"/>
        <v>0</v>
      </c>
      <c r="AK73" s="136">
        <f t="shared" si="26"/>
        <v>4500000</v>
      </c>
      <c r="AL73" s="29">
        <f t="shared" si="24"/>
        <v>100</v>
      </c>
      <c r="AM73" s="21"/>
    </row>
    <row r="74" spans="1:39" s="41" customFormat="1" ht="27.75" customHeight="1" x14ac:dyDescent="0.25">
      <c r="A74" s="21"/>
      <c r="B74" s="99"/>
      <c r="C74" s="99"/>
      <c r="D74" s="99"/>
      <c r="E74" s="99"/>
      <c r="F74" s="99"/>
      <c r="G74" s="99"/>
      <c r="H74" s="99"/>
      <c r="I74" s="100"/>
      <c r="J74" s="97" t="s">
        <v>259</v>
      </c>
      <c r="K74" s="27"/>
      <c r="L74" s="31"/>
      <c r="M74" s="515" t="s">
        <v>260</v>
      </c>
      <c r="N74" s="516"/>
      <c r="O74" s="194"/>
      <c r="P74" s="190"/>
      <c r="Q74" s="28">
        <v>2400000</v>
      </c>
      <c r="R74" s="29">
        <f>Q74/Q$72*100</f>
        <v>0.48817696414950423</v>
      </c>
      <c r="S74" s="29">
        <v>100</v>
      </c>
      <c r="T74" s="28">
        <f t="shared" si="27"/>
        <v>0</v>
      </c>
      <c r="U74" s="28">
        <f t="shared" si="28"/>
        <v>0</v>
      </c>
      <c r="V74" s="87">
        <f t="shared" si="29"/>
        <v>100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>
        <v>0</v>
      </c>
      <c r="AJ74" s="29">
        <f t="shared" si="23"/>
        <v>0</v>
      </c>
      <c r="AK74" s="136">
        <f t="shared" si="26"/>
        <v>2400000</v>
      </c>
      <c r="AL74" s="29">
        <f t="shared" si="24"/>
        <v>100</v>
      </c>
      <c r="AM74" s="21"/>
    </row>
    <row r="75" spans="1:39" s="41" customFormat="1" ht="27.75" customHeight="1" x14ac:dyDescent="0.25">
      <c r="A75" s="21"/>
      <c r="B75" s="99"/>
      <c r="C75" s="99"/>
      <c r="D75" s="99"/>
      <c r="E75" s="99"/>
      <c r="F75" s="99"/>
      <c r="G75" s="99"/>
      <c r="H75" s="99"/>
      <c r="I75" s="100"/>
      <c r="J75" s="97" t="s">
        <v>267</v>
      </c>
      <c r="K75" s="27"/>
      <c r="L75" s="31"/>
      <c r="M75" s="515" t="s">
        <v>268</v>
      </c>
      <c r="N75" s="516"/>
      <c r="O75" s="194"/>
      <c r="P75" s="190"/>
      <c r="Q75" s="28">
        <v>4000000</v>
      </c>
      <c r="R75" s="29">
        <f>Q75/Q$72*100</f>
        <v>0.81362827358250689</v>
      </c>
      <c r="S75" s="29">
        <v>100</v>
      </c>
      <c r="T75" s="28">
        <f t="shared" si="27"/>
        <v>0</v>
      </c>
      <c r="U75" s="28">
        <f t="shared" si="28"/>
        <v>0</v>
      </c>
      <c r="V75" s="87">
        <f t="shared" si="29"/>
        <v>100</v>
      </c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>
        <v>0</v>
      </c>
      <c r="AJ75" s="29">
        <f t="shared" si="23"/>
        <v>0</v>
      </c>
      <c r="AK75" s="136">
        <f t="shared" si="26"/>
        <v>4000000</v>
      </c>
      <c r="AL75" s="29">
        <f t="shared" si="24"/>
        <v>100</v>
      </c>
      <c r="AM75" s="21"/>
    </row>
    <row r="76" spans="1:39" s="41" customFormat="1" ht="27.75" customHeight="1" x14ac:dyDescent="0.25">
      <c r="A76" s="21"/>
      <c r="B76" s="99"/>
      <c r="C76" s="99"/>
      <c r="D76" s="99"/>
      <c r="E76" s="99"/>
      <c r="F76" s="99"/>
      <c r="G76" s="99"/>
      <c r="H76" s="99"/>
      <c r="I76" s="100"/>
      <c r="J76" s="97" t="s">
        <v>269</v>
      </c>
      <c r="K76" s="27"/>
      <c r="L76" s="31"/>
      <c r="M76" s="515" t="s">
        <v>270</v>
      </c>
      <c r="N76" s="516"/>
      <c r="O76" s="194"/>
      <c r="P76" s="190"/>
      <c r="Q76" s="28">
        <v>460725000</v>
      </c>
      <c r="R76" s="29">
        <f>Q76/Q$72*100</f>
        <v>93.714721586575138</v>
      </c>
      <c r="S76" s="29">
        <v>100</v>
      </c>
      <c r="T76" s="28">
        <f t="shared" si="27"/>
        <v>0</v>
      </c>
      <c r="U76" s="28">
        <f t="shared" si="28"/>
        <v>0</v>
      </c>
      <c r="V76" s="87">
        <f t="shared" si="29"/>
        <v>100</v>
      </c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>
        <v>0</v>
      </c>
      <c r="AJ76" s="29">
        <f t="shared" si="23"/>
        <v>0</v>
      </c>
      <c r="AK76" s="136">
        <f t="shared" si="26"/>
        <v>460725000</v>
      </c>
      <c r="AL76" s="29">
        <f t="shared" si="24"/>
        <v>100</v>
      </c>
      <c r="AM76" s="21"/>
    </row>
    <row r="77" spans="1:39" s="41" customFormat="1" ht="27.75" customHeight="1" x14ac:dyDescent="0.25">
      <c r="A77" s="21"/>
      <c r="B77" s="99"/>
      <c r="C77" s="99"/>
      <c r="D77" s="99"/>
      <c r="E77" s="99"/>
      <c r="F77" s="99"/>
      <c r="G77" s="99"/>
      <c r="H77" s="99"/>
      <c r="I77" s="100"/>
      <c r="J77" s="97" t="s">
        <v>315</v>
      </c>
      <c r="K77" s="27"/>
      <c r="L77" s="31"/>
      <c r="M77" s="515" t="s">
        <v>271</v>
      </c>
      <c r="N77" s="516"/>
      <c r="O77" s="194"/>
      <c r="P77" s="190"/>
      <c r="Q77" s="28">
        <v>20000000</v>
      </c>
      <c r="R77" s="29">
        <f>Q77/Q$72*100</f>
        <v>4.0681413679125349</v>
      </c>
      <c r="S77" s="29">
        <v>100</v>
      </c>
      <c r="T77" s="28">
        <f t="shared" si="27"/>
        <v>0</v>
      </c>
      <c r="U77" s="28">
        <f t="shared" si="28"/>
        <v>0</v>
      </c>
      <c r="V77" s="87">
        <f t="shared" si="29"/>
        <v>100</v>
      </c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>
        <v>0</v>
      </c>
      <c r="AJ77" s="29">
        <f t="shared" si="23"/>
        <v>0</v>
      </c>
      <c r="AK77" s="136">
        <f t="shared" si="26"/>
        <v>20000000</v>
      </c>
      <c r="AL77" s="29">
        <f t="shared" si="24"/>
        <v>100</v>
      </c>
      <c r="AM77" s="21"/>
    </row>
    <row r="78" spans="1:39" s="41" customFormat="1" ht="28.5" customHeight="1" x14ac:dyDescent="0.25">
      <c r="A78" s="21">
        <f>A72+1</f>
        <v>7</v>
      </c>
      <c r="B78" s="543" t="s">
        <v>121</v>
      </c>
      <c r="C78" s="543"/>
      <c r="D78" s="543"/>
      <c r="E78" s="543"/>
      <c r="F78" s="543"/>
      <c r="G78" s="543"/>
      <c r="H78" s="543"/>
      <c r="I78" s="544"/>
      <c r="J78" s="99" t="s">
        <v>448</v>
      </c>
      <c r="K78" s="22"/>
      <c r="L78" s="72"/>
      <c r="M78" s="545" t="s">
        <v>18</v>
      </c>
      <c r="N78" s="546"/>
      <c r="O78" s="193">
        <v>20900000</v>
      </c>
      <c r="P78" s="189">
        <f>O78</f>
        <v>20900000</v>
      </c>
      <c r="Q78" s="23">
        <f>SUM(Q79:Q80)</f>
        <v>26200000</v>
      </c>
      <c r="R78" s="24">
        <f>Q78/Q$54*100</f>
        <v>1.1065115070169114</v>
      </c>
      <c r="S78" s="24">
        <v>100</v>
      </c>
      <c r="T78" s="23">
        <f t="shared" si="27"/>
        <v>0</v>
      </c>
      <c r="U78" s="23">
        <f t="shared" si="28"/>
        <v>0</v>
      </c>
      <c r="V78" s="90">
        <f t="shared" si="29"/>
        <v>100</v>
      </c>
      <c r="W78" s="23"/>
      <c r="X78" s="23" t="e">
        <f>#REF!</f>
        <v>#REF!</v>
      </c>
      <c r="Y78" s="23" t="e">
        <f>#REF!</f>
        <v>#REF!</v>
      </c>
      <c r="Z78" s="23" t="e">
        <f>#REF!</f>
        <v>#REF!</v>
      </c>
      <c r="AA78" s="23" t="e">
        <f>#REF!</f>
        <v>#REF!</v>
      </c>
      <c r="AB78" s="23">
        <v>12597300</v>
      </c>
      <c r="AC78" s="23" t="e">
        <f>#REF!</f>
        <v>#REF!</v>
      </c>
      <c r="AD78" s="23" t="e">
        <f>#REF!</f>
        <v>#REF!</v>
      </c>
      <c r="AE78" s="23" t="e">
        <f>#REF!</f>
        <v>#REF!</v>
      </c>
      <c r="AF78" s="23" t="e">
        <f>[1]April!N27</f>
        <v>#REF!</v>
      </c>
      <c r="AG78" s="23">
        <v>27808300</v>
      </c>
      <c r="AH78" s="23">
        <f>'[3]DES SKPD'!$N27</f>
        <v>35785800</v>
      </c>
      <c r="AI78" s="23">
        <f>SUM(AI79:AI80)</f>
        <v>0</v>
      </c>
      <c r="AJ78" s="24">
        <f t="shared" si="23"/>
        <v>0</v>
      </c>
      <c r="AK78" s="134">
        <f t="shared" si="26"/>
        <v>26200000</v>
      </c>
      <c r="AL78" s="24">
        <f t="shared" si="24"/>
        <v>100</v>
      </c>
      <c r="AM78" s="21"/>
    </row>
    <row r="79" spans="1:39" ht="28.5" customHeight="1" x14ac:dyDescent="0.25">
      <c r="A79" s="26"/>
      <c r="B79" s="97"/>
      <c r="C79" s="97"/>
      <c r="D79" s="97"/>
      <c r="E79" s="97"/>
      <c r="F79" s="97"/>
      <c r="G79" s="97"/>
      <c r="H79" s="97"/>
      <c r="I79" s="98"/>
      <c r="J79" s="97" t="s">
        <v>257</v>
      </c>
      <c r="K79" s="27"/>
      <c r="L79" s="31"/>
      <c r="M79" s="515" t="s">
        <v>258</v>
      </c>
      <c r="N79" s="516"/>
      <c r="O79" s="194"/>
      <c r="P79" s="190"/>
      <c r="Q79" s="28">
        <v>1200000</v>
      </c>
      <c r="R79" s="29">
        <f>Q79/Q$78*100</f>
        <v>4.5801526717557248</v>
      </c>
      <c r="S79" s="29">
        <v>100</v>
      </c>
      <c r="T79" s="28">
        <f t="shared" si="27"/>
        <v>0</v>
      </c>
      <c r="U79" s="28">
        <f t="shared" si="28"/>
        <v>0</v>
      </c>
      <c r="V79" s="87">
        <f t="shared" si="29"/>
        <v>100</v>
      </c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3"/>
      <c r="AH79" s="28"/>
      <c r="AI79" s="28">
        <v>0</v>
      </c>
      <c r="AJ79" s="29">
        <f t="shared" si="23"/>
        <v>0</v>
      </c>
      <c r="AK79" s="136">
        <f t="shared" si="26"/>
        <v>1200000</v>
      </c>
      <c r="AL79" s="29">
        <f t="shared" si="24"/>
        <v>100</v>
      </c>
      <c r="AM79" s="26"/>
    </row>
    <row r="80" spans="1:39" ht="36" customHeight="1" x14ac:dyDescent="0.25">
      <c r="A80" s="26"/>
      <c r="B80" s="97"/>
      <c r="C80" s="97"/>
      <c r="D80" s="97"/>
      <c r="E80" s="97"/>
      <c r="F80" s="97"/>
      <c r="G80" s="97"/>
      <c r="H80" s="97"/>
      <c r="I80" s="98"/>
      <c r="J80" s="97" t="s">
        <v>272</v>
      </c>
      <c r="K80" s="27"/>
      <c r="L80" s="31"/>
      <c r="M80" s="515" t="s">
        <v>429</v>
      </c>
      <c r="N80" s="516"/>
      <c r="O80" s="194"/>
      <c r="P80" s="190"/>
      <c r="Q80" s="28">
        <v>25000000</v>
      </c>
      <c r="R80" s="29">
        <f>Q80/Q$78*100</f>
        <v>95.419847328244273</v>
      </c>
      <c r="S80" s="29">
        <v>100</v>
      </c>
      <c r="T80" s="28">
        <f t="shared" si="27"/>
        <v>0</v>
      </c>
      <c r="U80" s="28">
        <f t="shared" si="28"/>
        <v>0</v>
      </c>
      <c r="V80" s="87">
        <f t="shared" si="29"/>
        <v>100</v>
      </c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3"/>
      <c r="AH80" s="28"/>
      <c r="AI80" s="28">
        <v>0</v>
      </c>
      <c r="AJ80" s="29">
        <f t="shared" si="23"/>
        <v>0</v>
      </c>
      <c r="AK80" s="136">
        <f t="shared" si="26"/>
        <v>25000000</v>
      </c>
      <c r="AL80" s="29">
        <f t="shared" si="24"/>
        <v>100</v>
      </c>
      <c r="AM80" s="26"/>
    </row>
    <row r="81" spans="1:39" s="41" customFormat="1" ht="29.25" customHeight="1" x14ac:dyDescent="0.25">
      <c r="A81" s="21">
        <f>A78+1</f>
        <v>8</v>
      </c>
      <c r="B81" s="99"/>
      <c r="C81" s="99"/>
      <c r="D81" s="99"/>
      <c r="E81" s="99"/>
      <c r="F81" s="99"/>
      <c r="G81" s="99"/>
      <c r="H81" s="99"/>
      <c r="I81" s="100"/>
      <c r="J81" s="99" t="s">
        <v>449</v>
      </c>
      <c r="K81" s="22"/>
      <c r="L81" s="72"/>
      <c r="M81" s="545" t="s">
        <v>196</v>
      </c>
      <c r="N81" s="546"/>
      <c r="O81" s="195"/>
      <c r="P81" s="189"/>
      <c r="Q81" s="23">
        <f>SUM(Q82:Q84)</f>
        <v>27232500</v>
      </c>
      <c r="R81" s="24">
        <f>Q81/Q$54*100</f>
        <v>1.1501173517113756</v>
      </c>
      <c r="S81" s="24">
        <v>100</v>
      </c>
      <c r="T81" s="23">
        <f t="shared" si="27"/>
        <v>0</v>
      </c>
      <c r="U81" s="23">
        <f t="shared" si="28"/>
        <v>0</v>
      </c>
      <c r="V81" s="90">
        <f t="shared" si="29"/>
        <v>100</v>
      </c>
      <c r="W81" s="23"/>
      <c r="X81" s="23" t="e">
        <f>#REF!</f>
        <v>#REF!</v>
      </c>
      <c r="Y81" s="23" t="e">
        <f>#REF!</f>
        <v>#REF!</v>
      </c>
      <c r="Z81" s="23" t="e">
        <f>#REF!</f>
        <v>#REF!</v>
      </c>
      <c r="AA81" s="23" t="e">
        <f>#REF!</f>
        <v>#REF!</v>
      </c>
      <c r="AB81" s="23">
        <v>12597300</v>
      </c>
      <c r="AC81" s="23" t="e">
        <f>#REF!</f>
        <v>#REF!</v>
      </c>
      <c r="AD81" s="23" t="e">
        <f>#REF!</f>
        <v>#REF!</v>
      </c>
      <c r="AE81" s="23" t="e">
        <f>#REF!</f>
        <v>#REF!</v>
      </c>
      <c r="AF81" s="23" t="e">
        <f>[1]April!N28</f>
        <v>#REF!</v>
      </c>
      <c r="AG81" s="23">
        <v>27808300</v>
      </c>
      <c r="AH81" s="23">
        <f>'[3]DES SKPD'!$N28</f>
        <v>46904000</v>
      </c>
      <c r="AI81" s="23">
        <f>SUM(AI83:AI84)</f>
        <v>0</v>
      </c>
      <c r="AJ81" s="24">
        <f t="shared" si="23"/>
        <v>0</v>
      </c>
      <c r="AK81" s="134">
        <f t="shared" si="26"/>
        <v>27232500</v>
      </c>
      <c r="AL81" s="24">
        <f t="shared" si="24"/>
        <v>100</v>
      </c>
      <c r="AM81" s="21"/>
    </row>
    <row r="82" spans="1:39" s="41" customFormat="1" ht="24.75" customHeight="1" x14ac:dyDescent="0.25">
      <c r="A82" s="21"/>
      <c r="B82" s="99"/>
      <c r="C82" s="99"/>
      <c r="D82" s="99"/>
      <c r="E82" s="99"/>
      <c r="F82" s="99"/>
      <c r="G82" s="99"/>
      <c r="H82" s="99"/>
      <c r="I82" s="100"/>
      <c r="J82" s="97" t="s">
        <v>411</v>
      </c>
      <c r="K82" s="22"/>
      <c r="L82" s="72"/>
      <c r="M82" s="515" t="s">
        <v>412</v>
      </c>
      <c r="N82" s="516"/>
      <c r="O82" s="195"/>
      <c r="P82" s="189"/>
      <c r="Q82" s="28">
        <v>3200000</v>
      </c>
      <c r="R82" s="29">
        <f>Q82/Q$81*100</f>
        <v>11.75066556504177</v>
      </c>
      <c r="S82" s="29">
        <v>100</v>
      </c>
      <c r="T82" s="28">
        <f t="shared" si="27"/>
        <v>0</v>
      </c>
      <c r="U82" s="28">
        <f t="shared" si="28"/>
        <v>0</v>
      </c>
      <c r="V82" s="87">
        <f t="shared" si="29"/>
        <v>100</v>
      </c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3"/>
      <c r="AH82" s="28"/>
      <c r="AI82" s="28">
        <v>0</v>
      </c>
      <c r="AJ82" s="29">
        <f t="shared" si="23"/>
        <v>0</v>
      </c>
      <c r="AK82" s="136">
        <f t="shared" si="26"/>
        <v>3200000</v>
      </c>
      <c r="AL82" s="29">
        <f t="shared" si="24"/>
        <v>100</v>
      </c>
      <c r="AM82" s="21"/>
    </row>
    <row r="83" spans="1:39" ht="24.75" customHeight="1" x14ac:dyDescent="0.25">
      <c r="A83" s="26"/>
      <c r="B83" s="97"/>
      <c r="C83" s="97"/>
      <c r="D83" s="97"/>
      <c r="E83" s="97"/>
      <c r="F83" s="97"/>
      <c r="G83" s="97"/>
      <c r="H83" s="97"/>
      <c r="I83" s="98"/>
      <c r="J83" s="97" t="s">
        <v>430</v>
      </c>
      <c r="K83" s="27"/>
      <c r="L83" s="31"/>
      <c r="M83" s="515" t="s">
        <v>431</v>
      </c>
      <c r="N83" s="516"/>
      <c r="O83" s="196"/>
      <c r="P83" s="190"/>
      <c r="Q83" s="28">
        <v>8700000</v>
      </c>
      <c r="R83" s="29">
        <f>Q83/Q$81*100</f>
        <v>31.947122004957311</v>
      </c>
      <c r="S83" s="29">
        <v>100</v>
      </c>
      <c r="T83" s="28">
        <f t="shared" si="27"/>
        <v>0</v>
      </c>
      <c r="U83" s="28">
        <f t="shared" si="28"/>
        <v>0</v>
      </c>
      <c r="V83" s="87">
        <f t="shared" si="29"/>
        <v>100</v>
      </c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3"/>
      <c r="AH83" s="28"/>
      <c r="AI83" s="28">
        <v>0</v>
      </c>
      <c r="AJ83" s="29">
        <f t="shared" si="23"/>
        <v>0</v>
      </c>
      <c r="AK83" s="136">
        <f t="shared" si="26"/>
        <v>8700000</v>
      </c>
      <c r="AL83" s="29">
        <f t="shared" si="24"/>
        <v>100</v>
      </c>
      <c r="AM83" s="26"/>
    </row>
    <row r="84" spans="1:39" ht="40.5" customHeight="1" x14ac:dyDescent="0.25">
      <c r="A84" s="26"/>
      <c r="B84" s="97"/>
      <c r="C84" s="97"/>
      <c r="D84" s="97"/>
      <c r="E84" s="97"/>
      <c r="F84" s="97"/>
      <c r="G84" s="97"/>
      <c r="H84" s="97"/>
      <c r="I84" s="98"/>
      <c r="J84" s="97" t="s">
        <v>274</v>
      </c>
      <c r="K84" s="27"/>
      <c r="L84" s="31"/>
      <c r="M84" s="515" t="s">
        <v>275</v>
      </c>
      <c r="N84" s="516"/>
      <c r="O84" s="196"/>
      <c r="P84" s="190"/>
      <c r="Q84" s="28">
        <v>15332500</v>
      </c>
      <c r="R84" s="29">
        <f>Q84/Q$81*100</f>
        <v>56.302212430000921</v>
      </c>
      <c r="S84" s="29">
        <v>100</v>
      </c>
      <c r="T84" s="28">
        <f t="shared" si="27"/>
        <v>0</v>
      </c>
      <c r="U84" s="28">
        <f t="shared" si="28"/>
        <v>0</v>
      </c>
      <c r="V84" s="87">
        <f t="shared" si="29"/>
        <v>100</v>
      </c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3"/>
      <c r="AH84" s="28"/>
      <c r="AI84" s="28">
        <v>0</v>
      </c>
      <c r="AJ84" s="29">
        <f t="shared" si="23"/>
        <v>0</v>
      </c>
      <c r="AK84" s="136">
        <f t="shared" si="26"/>
        <v>15332500</v>
      </c>
      <c r="AL84" s="29">
        <f t="shared" si="24"/>
        <v>100</v>
      </c>
      <c r="AM84" s="26"/>
    </row>
    <row r="85" spans="1:39" s="41" customFormat="1" ht="31.5" customHeight="1" x14ac:dyDescent="0.25">
      <c r="A85" s="21">
        <f>A81+1</f>
        <v>9</v>
      </c>
      <c r="B85" s="543" t="s">
        <v>121</v>
      </c>
      <c r="C85" s="543"/>
      <c r="D85" s="543"/>
      <c r="E85" s="543"/>
      <c r="F85" s="543"/>
      <c r="G85" s="543"/>
      <c r="H85" s="543"/>
      <c r="I85" s="544"/>
      <c r="J85" s="99" t="s">
        <v>450</v>
      </c>
      <c r="K85" s="22"/>
      <c r="L85" s="72"/>
      <c r="M85" s="545" t="s">
        <v>19</v>
      </c>
      <c r="N85" s="546"/>
      <c r="O85" s="193">
        <v>50800000</v>
      </c>
      <c r="P85" s="189">
        <f>O85</f>
        <v>50800000</v>
      </c>
      <c r="Q85" s="23">
        <f>SUM(Q86:Q88)</f>
        <v>43745000</v>
      </c>
      <c r="R85" s="24">
        <f>Q85/Q$54*100</f>
        <v>1.847494117345603</v>
      </c>
      <c r="S85" s="24">
        <v>100</v>
      </c>
      <c r="T85" s="23">
        <f t="shared" si="27"/>
        <v>0</v>
      </c>
      <c r="U85" s="23">
        <f t="shared" si="28"/>
        <v>0</v>
      </c>
      <c r="V85" s="90">
        <f t="shared" si="29"/>
        <v>100</v>
      </c>
      <c r="W85" s="23"/>
      <c r="X85" s="23" t="e">
        <f>#REF!</f>
        <v>#REF!</v>
      </c>
      <c r="Y85" s="23" t="e">
        <f>#REF!</f>
        <v>#REF!</v>
      </c>
      <c r="Z85" s="23" t="e">
        <f>#REF!</f>
        <v>#REF!</v>
      </c>
      <c r="AA85" s="23" t="e">
        <f>#REF!</f>
        <v>#REF!</v>
      </c>
      <c r="AB85" s="23">
        <v>23113500</v>
      </c>
      <c r="AC85" s="23" t="e">
        <f>#REF!</f>
        <v>#REF!</v>
      </c>
      <c r="AD85" s="23" t="e">
        <f>#REF!</f>
        <v>#REF!</v>
      </c>
      <c r="AE85" s="23" t="e">
        <f>#REF!</f>
        <v>#REF!</v>
      </c>
      <c r="AF85" s="23" t="e">
        <f>[1]April!N28</f>
        <v>#REF!</v>
      </c>
      <c r="AG85" s="23" t="e">
        <f>[2]april!N28</f>
        <v>#REF!</v>
      </c>
      <c r="AH85" s="23">
        <f>'[3]DES SKPD'!$N28</f>
        <v>46904000</v>
      </c>
      <c r="AI85" s="23">
        <f>SUM(AI86:AI88)</f>
        <v>0</v>
      </c>
      <c r="AJ85" s="24">
        <f t="shared" si="23"/>
        <v>0</v>
      </c>
      <c r="AK85" s="134">
        <f t="shared" si="26"/>
        <v>43745000</v>
      </c>
      <c r="AL85" s="24">
        <f t="shared" si="24"/>
        <v>100</v>
      </c>
      <c r="AM85" s="21"/>
    </row>
    <row r="86" spans="1:39" ht="31.5" customHeight="1" x14ac:dyDescent="0.25">
      <c r="A86" s="26"/>
      <c r="B86" s="97"/>
      <c r="C86" s="97"/>
      <c r="D86" s="97"/>
      <c r="E86" s="97"/>
      <c r="F86" s="97"/>
      <c r="G86" s="97"/>
      <c r="H86" s="97"/>
      <c r="I86" s="98"/>
      <c r="J86" s="97" t="s">
        <v>257</v>
      </c>
      <c r="K86" s="27"/>
      <c r="L86" s="31"/>
      <c r="M86" s="515" t="s">
        <v>258</v>
      </c>
      <c r="N86" s="516"/>
      <c r="O86" s="194"/>
      <c r="P86" s="190"/>
      <c r="Q86" s="28">
        <v>1480000</v>
      </c>
      <c r="R86" s="29">
        <f>Q86/Q$85*100</f>
        <v>3.3832437992913476</v>
      </c>
      <c r="S86" s="29">
        <v>100</v>
      </c>
      <c r="T86" s="28">
        <f t="shared" si="27"/>
        <v>0</v>
      </c>
      <c r="U86" s="28">
        <f t="shared" si="28"/>
        <v>0</v>
      </c>
      <c r="V86" s="87">
        <f t="shared" si="29"/>
        <v>100</v>
      </c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>
        <v>0</v>
      </c>
      <c r="AJ86" s="29">
        <f t="shared" si="23"/>
        <v>0</v>
      </c>
      <c r="AK86" s="136">
        <f t="shared" si="26"/>
        <v>1480000</v>
      </c>
      <c r="AL86" s="29">
        <f t="shared" si="24"/>
        <v>100</v>
      </c>
      <c r="AM86" s="26"/>
    </row>
    <row r="87" spans="1:39" ht="31.5" customHeight="1" x14ac:dyDescent="0.25">
      <c r="A87" s="26"/>
      <c r="B87" s="97"/>
      <c r="C87" s="97"/>
      <c r="D87" s="97"/>
      <c r="E87" s="97"/>
      <c r="F87" s="97"/>
      <c r="G87" s="97"/>
      <c r="H87" s="97"/>
      <c r="I87" s="98"/>
      <c r="J87" s="97" t="s">
        <v>276</v>
      </c>
      <c r="K87" s="27"/>
      <c r="L87" s="31"/>
      <c r="M87" s="515" t="s">
        <v>277</v>
      </c>
      <c r="N87" s="516"/>
      <c r="O87" s="194"/>
      <c r="P87" s="190"/>
      <c r="Q87" s="28">
        <v>37600000</v>
      </c>
      <c r="R87" s="29">
        <f>Q87/Q$85*100</f>
        <v>85.95268030632073</v>
      </c>
      <c r="S87" s="29">
        <v>100</v>
      </c>
      <c r="T87" s="28">
        <f t="shared" si="27"/>
        <v>0</v>
      </c>
      <c r="U87" s="28">
        <f t="shared" si="28"/>
        <v>0</v>
      </c>
      <c r="V87" s="87">
        <f t="shared" si="29"/>
        <v>100</v>
      </c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>
        <v>0</v>
      </c>
      <c r="AJ87" s="29">
        <f t="shared" si="23"/>
        <v>0</v>
      </c>
      <c r="AK87" s="136">
        <f t="shared" si="26"/>
        <v>37600000</v>
      </c>
      <c r="AL87" s="29">
        <f t="shared" si="24"/>
        <v>100</v>
      </c>
      <c r="AM87" s="26"/>
    </row>
    <row r="88" spans="1:39" ht="39.75" customHeight="1" x14ac:dyDescent="0.25">
      <c r="A88" s="26"/>
      <c r="B88" s="97"/>
      <c r="C88" s="97"/>
      <c r="D88" s="97"/>
      <c r="E88" s="97"/>
      <c r="F88" s="97"/>
      <c r="G88" s="97"/>
      <c r="H88" s="97"/>
      <c r="I88" s="98"/>
      <c r="J88" s="97" t="s">
        <v>432</v>
      </c>
      <c r="K88" s="27"/>
      <c r="L88" s="31"/>
      <c r="M88" s="515" t="s">
        <v>433</v>
      </c>
      <c r="N88" s="516"/>
      <c r="O88" s="194"/>
      <c r="P88" s="190"/>
      <c r="Q88" s="28">
        <v>4665000</v>
      </c>
      <c r="R88" s="29">
        <f>Q88/Q$85*100</f>
        <v>10.664075894387929</v>
      </c>
      <c r="S88" s="29">
        <v>100</v>
      </c>
      <c r="T88" s="28">
        <f t="shared" si="27"/>
        <v>0</v>
      </c>
      <c r="U88" s="28">
        <f t="shared" si="28"/>
        <v>0</v>
      </c>
      <c r="V88" s="87">
        <f t="shared" si="29"/>
        <v>100</v>
      </c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>
        <v>0</v>
      </c>
      <c r="AJ88" s="29">
        <f t="shared" si="23"/>
        <v>0</v>
      </c>
      <c r="AK88" s="136">
        <f t="shared" si="26"/>
        <v>4665000</v>
      </c>
      <c r="AL88" s="29">
        <f t="shared" si="24"/>
        <v>100</v>
      </c>
      <c r="AM88" s="26"/>
    </row>
    <row r="89" spans="1:39" s="41" customFormat="1" ht="30.75" customHeight="1" x14ac:dyDescent="0.25">
      <c r="A89" s="21">
        <f>A85+1</f>
        <v>10</v>
      </c>
      <c r="B89" s="543" t="s">
        <v>122</v>
      </c>
      <c r="C89" s="543"/>
      <c r="D89" s="543"/>
      <c r="E89" s="543"/>
      <c r="F89" s="543"/>
      <c r="G89" s="543"/>
      <c r="H89" s="543"/>
      <c r="I89" s="544"/>
      <c r="J89" s="99" t="s">
        <v>451</v>
      </c>
      <c r="K89" s="22"/>
      <c r="L89" s="72"/>
      <c r="M89" s="543" t="s">
        <v>20</v>
      </c>
      <c r="N89" s="544"/>
      <c r="O89" s="193">
        <v>124190000</v>
      </c>
      <c r="P89" s="189">
        <f>O89</f>
        <v>124190000</v>
      </c>
      <c r="Q89" s="23">
        <f>SUM(Q90:Q92)</f>
        <v>124160000</v>
      </c>
      <c r="R89" s="24">
        <f>Q89/Q$54*100</f>
        <v>5.243682011878616</v>
      </c>
      <c r="S89" s="24">
        <v>100</v>
      </c>
      <c r="T89" s="23">
        <f>AJ89</f>
        <v>0</v>
      </c>
      <c r="U89" s="23">
        <f t="shared" si="28"/>
        <v>0</v>
      </c>
      <c r="V89" s="90">
        <f t="shared" si="29"/>
        <v>100</v>
      </c>
      <c r="W89" s="23"/>
      <c r="X89" s="23" t="e">
        <f>#REF!</f>
        <v>#REF!</v>
      </c>
      <c r="Y89" s="23" t="e">
        <f>#REF!</f>
        <v>#REF!</v>
      </c>
      <c r="Z89" s="23" t="e">
        <f>#REF!</f>
        <v>#REF!</v>
      </c>
      <c r="AA89" s="23" t="e">
        <f>#REF!</f>
        <v>#REF!</v>
      </c>
      <c r="AB89" s="23">
        <v>53635000</v>
      </c>
      <c r="AC89" s="23" t="e">
        <f>#REF!</f>
        <v>#REF!</v>
      </c>
      <c r="AD89" s="23" t="e">
        <f>#REF!</f>
        <v>#REF!</v>
      </c>
      <c r="AE89" s="23" t="e">
        <f>#REF!</f>
        <v>#REF!</v>
      </c>
      <c r="AF89" s="23" t="e">
        <f>[1]April!N29</f>
        <v>#REF!</v>
      </c>
      <c r="AG89" s="23" t="e">
        <f>[2]april!N29</f>
        <v>#REF!</v>
      </c>
      <c r="AH89" s="23">
        <f>'[3]DES SKPD'!$N29</f>
        <v>138020848</v>
      </c>
      <c r="AI89" s="23">
        <f>SUM(AI90:AI92)</f>
        <v>0</v>
      </c>
      <c r="AJ89" s="24">
        <f t="shared" si="23"/>
        <v>0</v>
      </c>
      <c r="AK89" s="134">
        <f t="shared" si="26"/>
        <v>124160000</v>
      </c>
      <c r="AL89" s="24">
        <f t="shared" si="24"/>
        <v>100</v>
      </c>
      <c r="AM89" s="21"/>
    </row>
    <row r="90" spans="1:39" ht="24.75" customHeight="1" x14ac:dyDescent="0.25">
      <c r="A90" s="26"/>
      <c r="B90" s="97"/>
      <c r="C90" s="97"/>
      <c r="D90" s="97"/>
      <c r="E90" s="97"/>
      <c r="F90" s="97"/>
      <c r="G90" s="97"/>
      <c r="H90" s="97"/>
      <c r="I90" s="98"/>
      <c r="J90" s="97" t="s">
        <v>257</v>
      </c>
      <c r="K90" s="27"/>
      <c r="L90" s="31"/>
      <c r="M90" s="513" t="s">
        <v>258</v>
      </c>
      <c r="N90" s="514"/>
      <c r="O90" s="194"/>
      <c r="P90" s="190"/>
      <c r="Q90" s="28">
        <v>3360000</v>
      </c>
      <c r="R90" s="29">
        <f>Q90/Q$89*100</f>
        <v>2.7061855670103094</v>
      </c>
      <c r="S90" s="29">
        <v>100</v>
      </c>
      <c r="T90" s="28">
        <f>AJ90</f>
        <v>0</v>
      </c>
      <c r="U90" s="28">
        <f t="shared" si="28"/>
        <v>0</v>
      </c>
      <c r="V90" s="87">
        <f t="shared" si="29"/>
        <v>100</v>
      </c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>
        <v>0</v>
      </c>
      <c r="AJ90" s="29">
        <f t="shared" si="23"/>
        <v>0</v>
      </c>
      <c r="AK90" s="136">
        <f t="shared" si="26"/>
        <v>3360000</v>
      </c>
      <c r="AL90" s="29">
        <f t="shared" si="24"/>
        <v>100</v>
      </c>
      <c r="AM90" s="26"/>
    </row>
    <row r="91" spans="1:39" ht="32.25" customHeight="1" x14ac:dyDescent="0.25">
      <c r="A91" s="26"/>
      <c r="B91" s="97"/>
      <c r="C91" s="97"/>
      <c r="D91" s="97"/>
      <c r="E91" s="97"/>
      <c r="F91" s="97"/>
      <c r="G91" s="97"/>
      <c r="H91" s="97"/>
      <c r="I91" s="98"/>
      <c r="J91" s="97" t="s">
        <v>278</v>
      </c>
      <c r="K91" s="27"/>
      <c r="L91" s="31"/>
      <c r="M91" s="513" t="s">
        <v>279</v>
      </c>
      <c r="N91" s="514"/>
      <c r="O91" s="194"/>
      <c r="P91" s="190"/>
      <c r="Q91" s="28">
        <v>64800000</v>
      </c>
      <c r="R91" s="29">
        <f>Q91/Q$89*100</f>
        <v>52.190721649484537</v>
      </c>
      <c r="S91" s="29">
        <v>100</v>
      </c>
      <c r="T91" s="28">
        <f>AJ91</f>
        <v>0</v>
      </c>
      <c r="U91" s="28">
        <f t="shared" si="28"/>
        <v>0</v>
      </c>
      <c r="V91" s="87">
        <f t="shared" si="29"/>
        <v>100</v>
      </c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>
        <v>0</v>
      </c>
      <c r="AJ91" s="29">
        <f t="shared" si="23"/>
        <v>0</v>
      </c>
      <c r="AK91" s="136">
        <f t="shared" si="26"/>
        <v>64800000</v>
      </c>
      <c r="AL91" s="29">
        <f t="shared" si="24"/>
        <v>100</v>
      </c>
      <c r="AM91" s="26"/>
    </row>
    <row r="92" spans="1:39" ht="24.75" customHeight="1" x14ac:dyDescent="0.25">
      <c r="A92" s="26"/>
      <c r="B92" s="97"/>
      <c r="C92" s="97"/>
      <c r="D92" s="97"/>
      <c r="E92" s="97"/>
      <c r="F92" s="97"/>
      <c r="G92" s="97"/>
      <c r="H92" s="97"/>
      <c r="I92" s="98"/>
      <c r="J92" s="97" t="s">
        <v>280</v>
      </c>
      <c r="K92" s="27"/>
      <c r="L92" s="31"/>
      <c r="M92" s="513" t="s">
        <v>281</v>
      </c>
      <c r="N92" s="514"/>
      <c r="O92" s="194"/>
      <c r="P92" s="190"/>
      <c r="Q92" s="28">
        <v>56000000</v>
      </c>
      <c r="R92" s="29">
        <f>Q92/Q$89*100</f>
        <v>45.103092783505154</v>
      </c>
      <c r="S92" s="29">
        <v>100</v>
      </c>
      <c r="T92" s="28">
        <f>AJ92</f>
        <v>0</v>
      </c>
      <c r="U92" s="28">
        <f t="shared" si="28"/>
        <v>0</v>
      </c>
      <c r="V92" s="87">
        <f t="shared" si="29"/>
        <v>100</v>
      </c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>
        <v>0</v>
      </c>
      <c r="AJ92" s="29">
        <f t="shared" si="23"/>
        <v>0</v>
      </c>
      <c r="AK92" s="136">
        <f t="shared" si="26"/>
        <v>56000000</v>
      </c>
      <c r="AL92" s="29">
        <f t="shared" si="24"/>
        <v>100</v>
      </c>
      <c r="AM92" s="26"/>
    </row>
    <row r="93" spans="1:39" s="41" customFormat="1" ht="31.5" customHeight="1" x14ac:dyDescent="0.25">
      <c r="A93" s="21">
        <f>A89+1</f>
        <v>11</v>
      </c>
      <c r="B93" s="543" t="s">
        <v>123</v>
      </c>
      <c r="C93" s="543"/>
      <c r="D93" s="543"/>
      <c r="E93" s="543"/>
      <c r="F93" s="543"/>
      <c r="G93" s="543"/>
      <c r="H93" s="543"/>
      <c r="I93" s="544"/>
      <c r="J93" s="99" t="s">
        <v>452</v>
      </c>
      <c r="K93" s="22"/>
      <c r="L93" s="72"/>
      <c r="M93" s="545" t="s">
        <v>21</v>
      </c>
      <c r="N93" s="546"/>
      <c r="O93" s="193">
        <v>517929000</v>
      </c>
      <c r="P93" s="189">
        <f>O93</f>
        <v>517929000</v>
      </c>
      <c r="Q93" s="23">
        <f>SUM(Q94:Q95)</f>
        <v>603889646</v>
      </c>
      <c r="R93" s="24">
        <f>Q93/Q$54*100</f>
        <v>25.504230620891953</v>
      </c>
      <c r="S93" s="24">
        <v>100</v>
      </c>
      <c r="T93" s="23">
        <f t="shared" si="27"/>
        <v>0</v>
      </c>
      <c r="U93" s="23">
        <f>R93*T93/100</f>
        <v>0</v>
      </c>
      <c r="V93" s="90">
        <f t="shared" si="29"/>
        <v>100</v>
      </c>
      <c r="W93" s="23"/>
      <c r="X93" s="23" t="e">
        <f>#REF!</f>
        <v>#REF!</v>
      </c>
      <c r="Y93" s="23" t="e">
        <f>#REF!</f>
        <v>#REF!</v>
      </c>
      <c r="Z93" s="23" t="e">
        <f>#REF!</f>
        <v>#REF!</v>
      </c>
      <c r="AA93" s="23" t="e">
        <f>#REF!</f>
        <v>#REF!</v>
      </c>
      <c r="AB93" s="23">
        <v>317394150</v>
      </c>
      <c r="AC93" s="23" t="e">
        <f>#REF!</f>
        <v>#REF!</v>
      </c>
      <c r="AD93" s="23" t="e">
        <f>#REF!</f>
        <v>#REF!</v>
      </c>
      <c r="AE93" s="23" t="e">
        <f>#REF!</f>
        <v>#REF!</v>
      </c>
      <c r="AF93" s="23" t="e">
        <f>[1]April!N30</f>
        <v>#REF!</v>
      </c>
      <c r="AG93" s="23" t="e">
        <f>[2]april!N30</f>
        <v>#REF!</v>
      </c>
      <c r="AH93" s="23">
        <f>'[3]DES SKPD'!$N30</f>
        <v>660543350</v>
      </c>
      <c r="AI93" s="23">
        <f>SUM(AI94:AI95)</f>
        <v>0</v>
      </c>
      <c r="AJ93" s="24">
        <f t="shared" si="23"/>
        <v>0</v>
      </c>
      <c r="AK93" s="134">
        <f t="shared" si="26"/>
        <v>603889646</v>
      </c>
      <c r="AL93" s="24">
        <f t="shared" si="24"/>
        <v>100</v>
      </c>
      <c r="AM93" s="21"/>
    </row>
    <row r="94" spans="1:39" ht="26.25" customHeight="1" x14ac:dyDescent="0.25">
      <c r="A94" s="26"/>
      <c r="B94" s="97"/>
      <c r="C94" s="97"/>
      <c r="D94" s="97"/>
      <c r="E94" s="97"/>
      <c r="F94" s="97"/>
      <c r="G94" s="97"/>
      <c r="H94" s="97"/>
      <c r="I94" s="98"/>
      <c r="J94" s="97" t="s">
        <v>257</v>
      </c>
      <c r="K94" s="27"/>
      <c r="L94" s="31"/>
      <c r="M94" s="515" t="s">
        <v>258</v>
      </c>
      <c r="N94" s="516"/>
      <c r="O94" s="194"/>
      <c r="P94" s="190"/>
      <c r="Q94" s="28">
        <v>4500000</v>
      </c>
      <c r="R94" s="29">
        <f>Q94/Q$93*100</f>
        <v>0.74516925895430897</v>
      </c>
      <c r="S94" s="29">
        <v>100</v>
      </c>
      <c r="T94" s="28">
        <f t="shared" si="27"/>
        <v>0</v>
      </c>
      <c r="U94" s="28">
        <f>R94*T94/100</f>
        <v>0</v>
      </c>
      <c r="V94" s="87">
        <f t="shared" si="29"/>
        <v>100</v>
      </c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>
        <v>0</v>
      </c>
      <c r="AJ94" s="29">
        <f t="shared" si="23"/>
        <v>0</v>
      </c>
      <c r="AK94" s="136">
        <f t="shared" si="26"/>
        <v>4500000</v>
      </c>
      <c r="AL94" s="29">
        <f t="shared" si="24"/>
        <v>100</v>
      </c>
      <c r="AM94" s="26"/>
    </row>
    <row r="95" spans="1:39" ht="26.25" customHeight="1" x14ac:dyDescent="0.25">
      <c r="A95" s="26"/>
      <c r="B95" s="97"/>
      <c r="C95" s="97"/>
      <c r="D95" s="97"/>
      <c r="E95" s="97"/>
      <c r="F95" s="97"/>
      <c r="G95" s="97"/>
      <c r="H95" s="97"/>
      <c r="I95" s="98"/>
      <c r="J95" s="97" t="s">
        <v>282</v>
      </c>
      <c r="K95" s="27"/>
      <c r="L95" s="31"/>
      <c r="M95" s="515" t="s">
        <v>283</v>
      </c>
      <c r="N95" s="516"/>
      <c r="O95" s="194"/>
      <c r="P95" s="190"/>
      <c r="Q95" s="28">
        <v>599389646</v>
      </c>
      <c r="R95" s="29">
        <f>Q95/Q$93*100</f>
        <v>99.254830741045694</v>
      </c>
      <c r="S95" s="29">
        <v>100</v>
      </c>
      <c r="T95" s="28">
        <f t="shared" si="27"/>
        <v>0</v>
      </c>
      <c r="U95" s="28">
        <f>R95*T95/100</f>
        <v>0</v>
      </c>
      <c r="V95" s="87">
        <f t="shared" si="29"/>
        <v>100</v>
      </c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>
        <v>0</v>
      </c>
      <c r="AJ95" s="29">
        <f t="shared" si="23"/>
        <v>0</v>
      </c>
      <c r="AK95" s="136">
        <f t="shared" si="26"/>
        <v>599389646</v>
      </c>
      <c r="AL95" s="29">
        <f t="shared" si="24"/>
        <v>100</v>
      </c>
      <c r="AM95" s="26"/>
    </row>
    <row r="96" spans="1:39" s="41" customFormat="1" ht="30.75" customHeight="1" x14ac:dyDescent="0.25">
      <c r="A96" s="21">
        <f>A93+1</f>
        <v>12</v>
      </c>
      <c r="B96" s="543" t="s">
        <v>124</v>
      </c>
      <c r="C96" s="543"/>
      <c r="D96" s="543"/>
      <c r="E96" s="543"/>
      <c r="F96" s="543"/>
      <c r="G96" s="543"/>
      <c r="H96" s="543"/>
      <c r="I96" s="544"/>
      <c r="J96" s="99" t="s">
        <v>453</v>
      </c>
      <c r="K96" s="22"/>
      <c r="L96" s="72"/>
      <c r="M96" s="545" t="s">
        <v>22</v>
      </c>
      <c r="N96" s="546"/>
      <c r="O96" s="193">
        <v>17600000</v>
      </c>
      <c r="P96" s="189">
        <f>O96</f>
        <v>17600000</v>
      </c>
      <c r="Q96" s="23">
        <f>SUM(Q97:Q98)</f>
        <v>29745000</v>
      </c>
      <c r="R96" s="24">
        <f>Q96/Q$54*100</f>
        <v>1.2562284265732073</v>
      </c>
      <c r="S96" s="24">
        <v>100</v>
      </c>
      <c r="T96" s="23">
        <f t="shared" si="27"/>
        <v>0</v>
      </c>
      <c r="U96" s="23">
        <f t="shared" si="28"/>
        <v>0</v>
      </c>
      <c r="V96" s="90">
        <f t="shared" si="29"/>
        <v>100</v>
      </c>
      <c r="W96" s="23"/>
      <c r="X96" s="23" t="e">
        <f>#REF!</f>
        <v>#REF!</v>
      </c>
      <c r="Y96" s="23" t="e">
        <f>#REF!</f>
        <v>#REF!</v>
      </c>
      <c r="Z96" s="23" t="e">
        <f>#REF!</f>
        <v>#REF!</v>
      </c>
      <c r="AA96" s="23" t="e">
        <f>#REF!</f>
        <v>#REF!</v>
      </c>
      <c r="AB96" s="23">
        <v>13150000</v>
      </c>
      <c r="AC96" s="23" t="e">
        <f>#REF!</f>
        <v>#REF!</v>
      </c>
      <c r="AD96" s="23" t="e">
        <f>#REF!</f>
        <v>#REF!</v>
      </c>
      <c r="AE96" s="23" t="e">
        <f>#REF!</f>
        <v>#REF!</v>
      </c>
      <c r="AF96" s="23" t="e">
        <f>[1]April!N31</f>
        <v>#REF!</v>
      </c>
      <c r="AG96" s="23" t="e">
        <f>[2]april!N31</f>
        <v>#REF!</v>
      </c>
      <c r="AH96" s="23">
        <f>'[3]DES SKPD'!$N31</f>
        <v>27445000</v>
      </c>
      <c r="AI96" s="23">
        <f>SUM(AI97:AI98)</f>
        <v>0</v>
      </c>
      <c r="AJ96" s="24">
        <f t="shared" si="23"/>
        <v>0</v>
      </c>
      <c r="AK96" s="134">
        <f t="shared" si="26"/>
        <v>29745000</v>
      </c>
      <c r="AL96" s="24">
        <f t="shared" si="24"/>
        <v>100</v>
      </c>
      <c r="AM96" s="21"/>
    </row>
    <row r="97" spans="1:39" ht="26.25" customHeight="1" x14ac:dyDescent="0.25">
      <c r="A97" s="26"/>
      <c r="B97" s="97"/>
      <c r="C97" s="97"/>
      <c r="D97" s="97"/>
      <c r="E97" s="97"/>
      <c r="F97" s="97"/>
      <c r="G97" s="97"/>
      <c r="H97" s="97"/>
      <c r="I97" s="98"/>
      <c r="J97" s="97" t="s">
        <v>257</v>
      </c>
      <c r="K97" s="27"/>
      <c r="L97" s="31"/>
      <c r="M97" s="515" t="s">
        <v>258</v>
      </c>
      <c r="N97" s="516"/>
      <c r="O97" s="194"/>
      <c r="P97" s="190"/>
      <c r="Q97" s="28">
        <v>2220000</v>
      </c>
      <c r="R97" s="29">
        <f>Q97/Q$96*100</f>
        <v>7.4634392334846185</v>
      </c>
      <c r="S97" s="29">
        <v>100</v>
      </c>
      <c r="T97" s="28">
        <f t="shared" si="27"/>
        <v>0</v>
      </c>
      <c r="U97" s="28">
        <f>R97*T97/100</f>
        <v>0</v>
      </c>
      <c r="V97" s="87">
        <f t="shared" si="29"/>
        <v>100</v>
      </c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>
        <v>0</v>
      </c>
      <c r="AJ97" s="29">
        <f t="shared" si="23"/>
        <v>0</v>
      </c>
      <c r="AK97" s="136">
        <f t="shared" si="26"/>
        <v>2220000</v>
      </c>
      <c r="AL97" s="29">
        <f t="shared" si="24"/>
        <v>100</v>
      </c>
      <c r="AM97" s="26"/>
    </row>
    <row r="98" spans="1:39" ht="26.25" customHeight="1" x14ac:dyDescent="0.25">
      <c r="A98" s="26"/>
      <c r="B98" s="97"/>
      <c r="C98" s="97"/>
      <c r="D98" s="97"/>
      <c r="E98" s="97"/>
      <c r="F98" s="97"/>
      <c r="G98" s="97"/>
      <c r="H98" s="97"/>
      <c r="I98" s="98"/>
      <c r="J98" s="97" t="s">
        <v>284</v>
      </c>
      <c r="K98" s="27"/>
      <c r="L98" s="31"/>
      <c r="M98" s="551" t="s">
        <v>285</v>
      </c>
      <c r="N98" s="552"/>
      <c r="O98" s="194"/>
      <c r="P98" s="190"/>
      <c r="Q98" s="28">
        <v>27525000</v>
      </c>
      <c r="R98" s="29">
        <f>Q98/Q$96*100</f>
        <v>92.536560766515379</v>
      </c>
      <c r="S98" s="29">
        <v>100</v>
      </c>
      <c r="T98" s="28">
        <f t="shared" si="27"/>
        <v>0</v>
      </c>
      <c r="U98" s="28">
        <f>R98*T98/100</f>
        <v>0</v>
      </c>
      <c r="V98" s="87">
        <f t="shared" si="29"/>
        <v>100</v>
      </c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>
        <v>0</v>
      </c>
      <c r="AJ98" s="29">
        <f t="shared" si="23"/>
        <v>0</v>
      </c>
      <c r="AK98" s="136">
        <f t="shared" si="26"/>
        <v>27525000</v>
      </c>
      <c r="AL98" s="29">
        <f t="shared" si="24"/>
        <v>100</v>
      </c>
      <c r="AM98" s="26"/>
    </row>
    <row r="99" spans="1:39" s="36" customFormat="1" ht="27" customHeight="1" x14ac:dyDescent="0.25">
      <c r="A99" s="51" t="s">
        <v>8</v>
      </c>
      <c r="B99" s="553" t="s">
        <v>125</v>
      </c>
      <c r="C99" s="553"/>
      <c r="D99" s="553"/>
      <c r="E99" s="553"/>
      <c r="F99" s="553"/>
      <c r="G99" s="553"/>
      <c r="H99" s="553"/>
      <c r="I99" s="553"/>
      <c r="J99" s="148" t="s">
        <v>440</v>
      </c>
      <c r="K99" s="52"/>
      <c r="L99" s="550" t="s">
        <v>23</v>
      </c>
      <c r="M99" s="554"/>
      <c r="N99" s="554"/>
      <c r="O99" s="192">
        <f>SUM(O100:O135)</f>
        <v>2275595000</v>
      </c>
      <c r="P99" s="192">
        <f>SUM(P100:P135)</f>
        <v>1979635000</v>
      </c>
      <c r="Q99" s="55">
        <f>SUM(Q100+Q109+Q113+Q117+Q122+Q130+Q133)</f>
        <v>3045396500</v>
      </c>
      <c r="R99" s="57">
        <f>Q99/Q$53*100</f>
        <v>13.248629708813841</v>
      </c>
      <c r="S99" s="57">
        <v>100</v>
      </c>
      <c r="T99" s="55">
        <f t="shared" si="27"/>
        <v>0</v>
      </c>
      <c r="U99" s="55">
        <f>SUM(R99*T99/100)</f>
        <v>0</v>
      </c>
      <c r="V99" s="117">
        <f>SUM(S99-T99)</f>
        <v>100</v>
      </c>
      <c r="W99" s="55">
        <f t="shared" ref="W99:AH99" si="30">SUM(W100:W135)</f>
        <v>0</v>
      </c>
      <c r="X99" s="55" t="e">
        <f t="shared" si="30"/>
        <v>#REF!</v>
      </c>
      <c r="Y99" s="55" t="e">
        <f t="shared" si="30"/>
        <v>#REF!</v>
      </c>
      <c r="Z99" s="55" t="e">
        <f t="shared" si="30"/>
        <v>#REF!</v>
      </c>
      <c r="AA99" s="55" t="e">
        <f t="shared" si="30"/>
        <v>#REF!</v>
      </c>
      <c r="AB99" s="55">
        <f t="shared" si="30"/>
        <v>4167720287</v>
      </c>
      <c r="AC99" s="55" t="e">
        <f t="shared" si="30"/>
        <v>#REF!</v>
      </c>
      <c r="AD99" s="55" t="e">
        <f t="shared" si="30"/>
        <v>#REF!</v>
      </c>
      <c r="AE99" s="55" t="e">
        <f t="shared" si="30"/>
        <v>#REF!</v>
      </c>
      <c r="AF99" s="55" t="e">
        <f t="shared" si="30"/>
        <v>#REF!</v>
      </c>
      <c r="AG99" s="55" t="e">
        <f t="shared" si="30"/>
        <v>#REF!</v>
      </c>
      <c r="AH99" s="55" t="e">
        <f t="shared" si="30"/>
        <v>#REF!</v>
      </c>
      <c r="AI99" s="55">
        <f>SUM(AI100+AI109+AI113+AI117+AI122+AI130+AI133)</f>
        <v>0</v>
      </c>
      <c r="AJ99" s="57">
        <f t="shared" si="23"/>
        <v>0</v>
      </c>
      <c r="AK99" s="137">
        <f>SUM(Q99-AI99)</f>
        <v>3045396500</v>
      </c>
      <c r="AL99" s="57">
        <f t="shared" si="24"/>
        <v>100</v>
      </c>
      <c r="AM99" s="49"/>
    </row>
    <row r="100" spans="1:39" s="41" customFormat="1" ht="33" customHeight="1" x14ac:dyDescent="0.25">
      <c r="A100" s="21">
        <f>A96+1</f>
        <v>13</v>
      </c>
      <c r="B100" s="543" t="s">
        <v>126</v>
      </c>
      <c r="C100" s="543"/>
      <c r="D100" s="543"/>
      <c r="E100" s="543"/>
      <c r="F100" s="543"/>
      <c r="G100" s="543"/>
      <c r="H100" s="543"/>
      <c r="I100" s="544"/>
      <c r="J100" s="121" t="s">
        <v>455</v>
      </c>
      <c r="K100" s="22"/>
      <c r="L100" s="72"/>
      <c r="M100" s="543" t="s">
        <v>24</v>
      </c>
      <c r="N100" s="544"/>
      <c r="O100" s="193">
        <v>833155000</v>
      </c>
      <c r="P100" s="189">
        <f>O100</f>
        <v>833155000</v>
      </c>
      <c r="Q100" s="23">
        <v>1320140000</v>
      </c>
      <c r="R100" s="24">
        <f>Q100/Q$99*100</f>
        <v>43.348706810426819</v>
      </c>
      <c r="S100" s="24">
        <v>100</v>
      </c>
      <c r="T100" s="23">
        <f t="shared" si="27"/>
        <v>0</v>
      </c>
      <c r="U100" s="23">
        <f t="shared" ref="U100:U111" si="31">R100*T100/100</f>
        <v>0</v>
      </c>
      <c r="V100" s="90">
        <f t="shared" si="29"/>
        <v>100</v>
      </c>
      <c r="W100" s="23"/>
      <c r="X100" s="23" t="e">
        <f>#REF!</f>
        <v>#REF!</v>
      </c>
      <c r="Y100" s="23" t="e">
        <f>#REF!</f>
        <v>#REF!</v>
      </c>
      <c r="Z100" s="23" t="e">
        <f>#REF!</f>
        <v>#REF!</v>
      </c>
      <c r="AA100" s="23" t="e">
        <f>#REF!</f>
        <v>#REF!</v>
      </c>
      <c r="AB100" s="23">
        <v>139212000</v>
      </c>
      <c r="AC100" s="23" t="e">
        <f>#REF!</f>
        <v>#REF!</v>
      </c>
      <c r="AD100" s="23" t="e">
        <f>#REF!</f>
        <v>#REF!</v>
      </c>
      <c r="AE100" s="23" t="e">
        <f>#REF!</f>
        <v>#REF!</v>
      </c>
      <c r="AF100" s="23" t="e">
        <f>[1]April!N35</f>
        <v>#REF!</v>
      </c>
      <c r="AG100" s="23" t="e">
        <f>[2]april!N35</f>
        <v>#REF!</v>
      </c>
      <c r="AH100" s="23">
        <f>'[3]DES SKPD'!$N35</f>
        <v>979532000</v>
      </c>
      <c r="AI100" s="23">
        <f>SUM(AI101:AI105)</f>
        <v>0</v>
      </c>
      <c r="AJ100" s="24">
        <f t="shared" si="23"/>
        <v>0</v>
      </c>
      <c r="AK100" s="134">
        <f t="shared" ref="AK100:AK135" si="32">Q100-AI100</f>
        <v>1320140000</v>
      </c>
      <c r="AL100" s="24">
        <f t="shared" si="24"/>
        <v>100</v>
      </c>
      <c r="AM100" s="21"/>
    </row>
    <row r="101" spans="1:39" ht="24.75" customHeight="1" x14ac:dyDescent="0.25">
      <c r="A101" s="26"/>
      <c r="B101" s="97"/>
      <c r="C101" s="97"/>
      <c r="D101" s="97"/>
      <c r="E101" s="97"/>
      <c r="F101" s="97"/>
      <c r="G101" s="97"/>
      <c r="H101" s="97"/>
      <c r="I101" s="98"/>
      <c r="J101" s="97" t="s">
        <v>257</v>
      </c>
      <c r="K101" s="27"/>
      <c r="L101" s="31"/>
      <c r="M101" s="513" t="s">
        <v>258</v>
      </c>
      <c r="N101" s="514"/>
      <c r="O101" s="194"/>
      <c r="P101" s="190"/>
      <c r="Q101" s="28">
        <v>3600000</v>
      </c>
      <c r="R101" s="29">
        <f t="shared" ref="R101:R108" si="33">Q101/Q$100*100</f>
        <v>0.27269835017498145</v>
      </c>
      <c r="S101" s="29">
        <v>100</v>
      </c>
      <c r="T101" s="28">
        <f t="shared" si="27"/>
        <v>0</v>
      </c>
      <c r="U101" s="28">
        <f t="shared" si="31"/>
        <v>0</v>
      </c>
      <c r="V101" s="87">
        <f t="shared" si="29"/>
        <v>100</v>
      </c>
      <c r="W101" s="28"/>
      <c r="X101" s="28" t="e">
        <f>#REF!</f>
        <v>#REF!</v>
      </c>
      <c r="Y101" s="28" t="e">
        <f>#REF!</f>
        <v>#REF!</v>
      </c>
      <c r="Z101" s="28" t="e">
        <f>#REF!</f>
        <v>#REF!</v>
      </c>
      <c r="AA101" s="28" t="e">
        <f>#REF!</f>
        <v>#REF!</v>
      </c>
      <c r="AB101" s="28">
        <v>139212001</v>
      </c>
      <c r="AC101" s="28" t="e">
        <f>#REF!</f>
        <v>#REF!</v>
      </c>
      <c r="AD101" s="28" t="e">
        <f>#REF!</f>
        <v>#REF!</v>
      </c>
      <c r="AE101" s="28" t="e">
        <f>#REF!</f>
        <v>#REF!</v>
      </c>
      <c r="AF101" s="28" t="e">
        <f>[1]April!N36</f>
        <v>#REF!</v>
      </c>
      <c r="AG101" s="28" t="e">
        <f>[2]april!N36</f>
        <v>#REF!</v>
      </c>
      <c r="AH101" s="28">
        <f>'[3]DES SKPD'!$N36</f>
        <v>157884800</v>
      </c>
      <c r="AI101" s="28">
        <v>0</v>
      </c>
      <c r="AJ101" s="29">
        <f t="shared" si="23"/>
        <v>0</v>
      </c>
      <c r="AK101" s="136">
        <f t="shared" si="32"/>
        <v>3600000</v>
      </c>
      <c r="AL101" s="29">
        <f t="shared" si="24"/>
        <v>100</v>
      </c>
      <c r="AM101" s="26"/>
    </row>
    <row r="102" spans="1:39" ht="24.75" customHeight="1" x14ac:dyDescent="0.25">
      <c r="A102" s="26"/>
      <c r="B102" s="97"/>
      <c r="C102" s="97"/>
      <c r="D102" s="97"/>
      <c r="E102" s="97"/>
      <c r="F102" s="97"/>
      <c r="G102" s="97"/>
      <c r="H102" s="97"/>
      <c r="I102" s="98"/>
      <c r="J102" s="97" t="s">
        <v>434</v>
      </c>
      <c r="K102" s="27"/>
      <c r="L102" s="31"/>
      <c r="M102" s="513" t="s">
        <v>395</v>
      </c>
      <c r="N102" s="514"/>
      <c r="O102" s="194"/>
      <c r="P102" s="190"/>
      <c r="Q102" s="28">
        <v>5000000</v>
      </c>
      <c r="R102" s="29">
        <f t="shared" si="33"/>
        <v>0.37874770857636308</v>
      </c>
      <c r="S102" s="29">
        <v>100</v>
      </c>
      <c r="T102" s="28">
        <f t="shared" si="27"/>
        <v>0</v>
      </c>
      <c r="U102" s="28">
        <f t="shared" si="31"/>
        <v>0</v>
      </c>
      <c r="V102" s="87">
        <f t="shared" si="29"/>
        <v>100</v>
      </c>
      <c r="W102" s="28"/>
      <c r="X102" s="28" t="e">
        <f>#REF!</f>
        <v>#REF!</v>
      </c>
      <c r="Y102" s="28" t="e">
        <f>#REF!</f>
        <v>#REF!</v>
      </c>
      <c r="Z102" s="28" t="e">
        <f>#REF!</f>
        <v>#REF!</v>
      </c>
      <c r="AA102" s="28" t="e">
        <f>#REF!</f>
        <v>#REF!</v>
      </c>
      <c r="AB102" s="28">
        <v>139212001</v>
      </c>
      <c r="AC102" s="28" t="e">
        <f>#REF!</f>
        <v>#REF!</v>
      </c>
      <c r="AD102" s="28" t="e">
        <f>#REF!</f>
        <v>#REF!</v>
      </c>
      <c r="AE102" s="28" t="e">
        <f>#REF!</f>
        <v>#REF!</v>
      </c>
      <c r="AF102" s="28" t="e">
        <f>[1]April!N37</f>
        <v>#REF!</v>
      </c>
      <c r="AG102" s="28" t="e">
        <f>[2]april!N37</f>
        <v>#REF!</v>
      </c>
      <c r="AH102" s="28">
        <f>'[3]DES SKPD'!$N37</f>
        <v>0</v>
      </c>
      <c r="AI102" s="28">
        <v>0</v>
      </c>
      <c r="AJ102" s="29">
        <f t="shared" si="23"/>
        <v>0</v>
      </c>
      <c r="AK102" s="136">
        <f t="shared" si="32"/>
        <v>5000000</v>
      </c>
      <c r="AL102" s="29">
        <f t="shared" si="24"/>
        <v>100</v>
      </c>
      <c r="AM102" s="26"/>
    </row>
    <row r="103" spans="1:39" ht="33" customHeight="1" x14ac:dyDescent="0.25">
      <c r="A103" s="26"/>
      <c r="B103" s="97"/>
      <c r="C103" s="97"/>
      <c r="D103" s="97"/>
      <c r="E103" s="97"/>
      <c r="F103" s="97"/>
      <c r="G103" s="97"/>
      <c r="H103" s="97"/>
      <c r="I103" s="98"/>
      <c r="J103" s="97" t="s">
        <v>435</v>
      </c>
      <c r="K103" s="27"/>
      <c r="L103" s="31"/>
      <c r="M103" s="513" t="s">
        <v>396</v>
      </c>
      <c r="N103" s="514"/>
      <c r="O103" s="194"/>
      <c r="P103" s="190"/>
      <c r="Q103" s="28">
        <v>44000000</v>
      </c>
      <c r="R103" s="29">
        <f t="shared" si="33"/>
        <v>3.3329798354719955</v>
      </c>
      <c r="S103" s="29">
        <v>100</v>
      </c>
      <c r="T103" s="28">
        <f t="shared" si="27"/>
        <v>0</v>
      </c>
      <c r="U103" s="28">
        <f t="shared" si="31"/>
        <v>0</v>
      </c>
      <c r="V103" s="87">
        <f t="shared" si="29"/>
        <v>100</v>
      </c>
      <c r="W103" s="28"/>
      <c r="X103" s="28" t="e">
        <f>#REF!</f>
        <v>#REF!</v>
      </c>
      <c r="Y103" s="28" t="e">
        <f>#REF!</f>
        <v>#REF!</v>
      </c>
      <c r="Z103" s="28" t="e">
        <f>#REF!</f>
        <v>#REF!</v>
      </c>
      <c r="AA103" s="28" t="e">
        <f>#REF!</f>
        <v>#REF!</v>
      </c>
      <c r="AB103" s="28">
        <v>139212002</v>
      </c>
      <c r="AC103" s="28" t="e">
        <f>#REF!</f>
        <v>#REF!</v>
      </c>
      <c r="AD103" s="28" t="e">
        <f>#REF!</f>
        <v>#REF!</v>
      </c>
      <c r="AE103" s="28" t="e">
        <f>#REF!</f>
        <v>#REF!</v>
      </c>
      <c r="AF103" s="28" t="e">
        <f>[1]April!N37</f>
        <v>#REF!</v>
      </c>
      <c r="AG103" s="28" t="e">
        <f>[2]april!N37</f>
        <v>#REF!</v>
      </c>
      <c r="AH103" s="28">
        <f>'[3]DES SKPD'!$N37</f>
        <v>0</v>
      </c>
      <c r="AI103" s="28">
        <v>0</v>
      </c>
      <c r="AJ103" s="29">
        <f t="shared" si="23"/>
        <v>0</v>
      </c>
      <c r="AK103" s="136">
        <f t="shared" si="32"/>
        <v>44000000</v>
      </c>
      <c r="AL103" s="29">
        <f t="shared" si="24"/>
        <v>100</v>
      </c>
      <c r="AM103" s="26"/>
    </row>
    <row r="104" spans="1:39" ht="27" customHeight="1" x14ac:dyDescent="0.25">
      <c r="A104" s="26"/>
      <c r="B104" s="97"/>
      <c r="C104" s="97"/>
      <c r="D104" s="97"/>
      <c r="E104" s="97"/>
      <c r="F104" s="97"/>
      <c r="G104" s="97"/>
      <c r="H104" s="97"/>
      <c r="I104" s="98"/>
      <c r="J104" s="97" t="s">
        <v>400</v>
      </c>
      <c r="K104" s="27"/>
      <c r="L104" s="31"/>
      <c r="M104" s="513" t="s">
        <v>397</v>
      </c>
      <c r="N104" s="514"/>
      <c r="O104" s="194"/>
      <c r="P104" s="190"/>
      <c r="Q104" s="28">
        <v>308770000</v>
      </c>
      <c r="R104" s="29">
        <f t="shared" si="33"/>
        <v>23.389185995424729</v>
      </c>
      <c r="S104" s="29">
        <v>100</v>
      </c>
      <c r="T104" s="28">
        <f t="shared" si="27"/>
        <v>0</v>
      </c>
      <c r="U104" s="28">
        <f t="shared" si="31"/>
        <v>0</v>
      </c>
      <c r="V104" s="87">
        <f t="shared" si="29"/>
        <v>100</v>
      </c>
      <c r="W104" s="28"/>
      <c r="X104" s="28" t="e">
        <f>#REF!</f>
        <v>#REF!</v>
      </c>
      <c r="Y104" s="28" t="e">
        <f>#REF!</f>
        <v>#REF!</v>
      </c>
      <c r="Z104" s="28" t="e">
        <f>#REF!</f>
        <v>#REF!</v>
      </c>
      <c r="AA104" s="28" t="e">
        <f>#REF!</f>
        <v>#REF!</v>
      </c>
      <c r="AB104" s="28">
        <v>139212003</v>
      </c>
      <c r="AC104" s="28" t="e">
        <f>#REF!</f>
        <v>#REF!</v>
      </c>
      <c r="AD104" s="28" t="e">
        <f>#REF!</f>
        <v>#REF!</v>
      </c>
      <c r="AE104" s="28" t="e">
        <f>#REF!</f>
        <v>#REF!</v>
      </c>
      <c r="AF104" s="28" t="e">
        <f>[1]April!N38</f>
        <v>#REF!</v>
      </c>
      <c r="AG104" s="28" t="e">
        <f>[2]april!N38</f>
        <v>#REF!</v>
      </c>
      <c r="AH104" s="28">
        <f>'[3]DES SKPD'!$N38</f>
        <v>322038365</v>
      </c>
      <c r="AI104" s="28">
        <v>0</v>
      </c>
      <c r="AJ104" s="29">
        <f t="shared" si="23"/>
        <v>0</v>
      </c>
      <c r="AK104" s="136">
        <f t="shared" si="32"/>
        <v>308770000</v>
      </c>
      <c r="AL104" s="29">
        <f t="shared" si="24"/>
        <v>100</v>
      </c>
      <c r="AM104" s="26"/>
    </row>
    <row r="105" spans="1:39" ht="27.75" customHeight="1" x14ac:dyDescent="0.25">
      <c r="A105" s="26"/>
      <c r="B105" s="97"/>
      <c r="C105" s="97"/>
      <c r="D105" s="97"/>
      <c r="E105" s="97"/>
      <c r="F105" s="97"/>
      <c r="G105" s="97"/>
      <c r="H105" s="97"/>
      <c r="I105" s="98"/>
      <c r="J105" s="97" t="s">
        <v>399</v>
      </c>
      <c r="K105" s="27"/>
      <c r="L105" s="31"/>
      <c r="M105" s="513" t="s">
        <v>398</v>
      </c>
      <c r="N105" s="514"/>
      <c r="O105" s="194"/>
      <c r="P105" s="190"/>
      <c r="Q105" s="28">
        <v>698270000</v>
      </c>
      <c r="R105" s="29">
        <f t="shared" si="33"/>
        <v>52.893632493523413</v>
      </c>
      <c r="S105" s="29">
        <v>100</v>
      </c>
      <c r="T105" s="28">
        <f t="shared" si="27"/>
        <v>0</v>
      </c>
      <c r="U105" s="28">
        <f t="shared" si="31"/>
        <v>0</v>
      </c>
      <c r="V105" s="87">
        <f t="shared" si="29"/>
        <v>100</v>
      </c>
      <c r="W105" s="28"/>
      <c r="X105" s="28" t="e">
        <f>#REF!</f>
        <v>#REF!</v>
      </c>
      <c r="Y105" s="28" t="e">
        <f>#REF!</f>
        <v>#REF!</v>
      </c>
      <c r="Z105" s="28" t="e">
        <f>#REF!</f>
        <v>#REF!</v>
      </c>
      <c r="AA105" s="28" t="e">
        <f>#REF!</f>
        <v>#REF!</v>
      </c>
      <c r="AB105" s="28">
        <v>139212004</v>
      </c>
      <c r="AC105" s="28" t="e">
        <f>#REF!</f>
        <v>#REF!</v>
      </c>
      <c r="AD105" s="28" t="e">
        <f>#REF!</f>
        <v>#REF!</v>
      </c>
      <c r="AE105" s="28" t="e">
        <f>#REF!</f>
        <v>#REF!</v>
      </c>
      <c r="AF105" s="28" t="e">
        <f>[1]April!N39</f>
        <v>#REF!</v>
      </c>
      <c r="AG105" s="28" t="e">
        <f>[2]april!N39</f>
        <v>#REF!</v>
      </c>
      <c r="AH105" s="28">
        <f>'[3]DES SKPD'!$N39</f>
        <v>676934270</v>
      </c>
      <c r="AI105" s="28">
        <v>0</v>
      </c>
      <c r="AJ105" s="29">
        <f t="shared" si="23"/>
        <v>0</v>
      </c>
      <c r="AK105" s="136">
        <f t="shared" si="32"/>
        <v>698270000</v>
      </c>
      <c r="AL105" s="29">
        <f t="shared" si="24"/>
        <v>100</v>
      </c>
      <c r="AM105" s="26"/>
    </row>
    <row r="106" spans="1:39" ht="27.75" customHeight="1" x14ac:dyDescent="0.25">
      <c r="A106" s="26"/>
      <c r="B106" s="97"/>
      <c r="C106" s="97"/>
      <c r="D106" s="97"/>
      <c r="E106" s="97"/>
      <c r="F106" s="97"/>
      <c r="G106" s="97"/>
      <c r="H106" s="97"/>
      <c r="I106" s="98"/>
      <c r="J106" s="97" t="s">
        <v>286</v>
      </c>
      <c r="K106" s="27"/>
      <c r="L106" s="31"/>
      <c r="M106" s="513" t="s">
        <v>401</v>
      </c>
      <c r="N106" s="514"/>
      <c r="O106" s="194"/>
      <c r="P106" s="190"/>
      <c r="Q106" s="28">
        <v>14000000</v>
      </c>
      <c r="R106" s="29">
        <f t="shared" si="33"/>
        <v>1.0604935840138168</v>
      </c>
      <c r="S106" s="29"/>
      <c r="T106" s="28">
        <f t="shared" si="27"/>
        <v>0</v>
      </c>
      <c r="U106" s="28">
        <f t="shared" si="31"/>
        <v>0</v>
      </c>
      <c r="V106" s="87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>
        <v>0</v>
      </c>
      <c r="AJ106" s="29">
        <f t="shared" si="23"/>
        <v>0</v>
      </c>
      <c r="AK106" s="136">
        <f t="shared" si="32"/>
        <v>14000000</v>
      </c>
      <c r="AL106" s="29">
        <f t="shared" si="24"/>
        <v>100</v>
      </c>
      <c r="AM106" s="26"/>
    </row>
    <row r="107" spans="1:39" ht="27.75" customHeight="1" x14ac:dyDescent="0.25">
      <c r="A107" s="26"/>
      <c r="B107" s="97"/>
      <c r="C107" s="97"/>
      <c r="D107" s="97"/>
      <c r="E107" s="97"/>
      <c r="F107" s="97"/>
      <c r="G107" s="97"/>
      <c r="H107" s="97"/>
      <c r="I107" s="98"/>
      <c r="J107" s="97" t="s">
        <v>402</v>
      </c>
      <c r="K107" s="27"/>
      <c r="L107" s="31"/>
      <c r="M107" s="513" t="s">
        <v>403</v>
      </c>
      <c r="N107" s="514"/>
      <c r="O107" s="194"/>
      <c r="P107" s="190"/>
      <c r="Q107" s="28">
        <v>245000000</v>
      </c>
      <c r="R107" s="29">
        <f t="shared" si="33"/>
        <v>18.558637720241791</v>
      </c>
      <c r="S107" s="29"/>
      <c r="T107" s="28">
        <f t="shared" si="27"/>
        <v>0</v>
      </c>
      <c r="U107" s="28">
        <f t="shared" si="31"/>
        <v>0</v>
      </c>
      <c r="V107" s="87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>
        <v>0</v>
      </c>
      <c r="AJ107" s="29">
        <f t="shared" si="23"/>
        <v>0</v>
      </c>
      <c r="AK107" s="136">
        <f t="shared" si="32"/>
        <v>245000000</v>
      </c>
      <c r="AL107" s="29">
        <f t="shared" si="24"/>
        <v>100</v>
      </c>
      <c r="AM107" s="26"/>
    </row>
    <row r="108" spans="1:39" ht="27.75" customHeight="1" x14ac:dyDescent="0.25">
      <c r="A108" s="26"/>
      <c r="B108" s="97"/>
      <c r="C108" s="97"/>
      <c r="D108" s="97"/>
      <c r="E108" s="97"/>
      <c r="F108" s="97"/>
      <c r="G108" s="97"/>
      <c r="H108" s="97"/>
      <c r="I108" s="98"/>
      <c r="J108" s="97" t="s">
        <v>404</v>
      </c>
      <c r="K108" s="27"/>
      <c r="L108" s="31"/>
      <c r="M108" s="513" t="s">
        <v>405</v>
      </c>
      <c r="N108" s="514"/>
      <c r="O108" s="194"/>
      <c r="P108" s="190"/>
      <c r="Q108" s="28">
        <v>1500000</v>
      </c>
      <c r="R108" s="29">
        <f t="shared" si="33"/>
        <v>0.11362431257290893</v>
      </c>
      <c r="S108" s="29"/>
      <c r="T108" s="28">
        <f t="shared" si="27"/>
        <v>0</v>
      </c>
      <c r="U108" s="28">
        <f t="shared" si="31"/>
        <v>0</v>
      </c>
      <c r="V108" s="87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>
        <v>0</v>
      </c>
      <c r="AJ108" s="29">
        <f t="shared" si="23"/>
        <v>0</v>
      </c>
      <c r="AK108" s="136">
        <f t="shared" si="32"/>
        <v>1500000</v>
      </c>
      <c r="AL108" s="29">
        <f t="shared" si="24"/>
        <v>100</v>
      </c>
      <c r="AM108" s="26"/>
    </row>
    <row r="109" spans="1:39" s="41" customFormat="1" ht="24.75" customHeight="1" x14ac:dyDescent="0.25">
      <c r="A109" s="21">
        <f>A100+1</f>
        <v>14</v>
      </c>
      <c r="B109" s="543" t="s">
        <v>127</v>
      </c>
      <c r="C109" s="543"/>
      <c r="D109" s="543"/>
      <c r="E109" s="543"/>
      <c r="F109" s="543"/>
      <c r="G109" s="543"/>
      <c r="H109" s="543"/>
      <c r="I109" s="544"/>
      <c r="J109" s="122" t="s">
        <v>456</v>
      </c>
      <c r="K109" s="22"/>
      <c r="L109" s="72"/>
      <c r="M109" s="543" t="s">
        <v>25</v>
      </c>
      <c r="N109" s="544"/>
      <c r="O109" s="193">
        <v>68210000</v>
      </c>
      <c r="P109" s="189">
        <f>O109</f>
        <v>68210000</v>
      </c>
      <c r="Q109" s="23">
        <f>SUM(Q110:Q112)</f>
        <v>133994500</v>
      </c>
      <c r="R109" s="24">
        <f>Q109/Q$99*100</f>
        <v>4.3999032638278788</v>
      </c>
      <c r="S109" s="24">
        <v>100</v>
      </c>
      <c r="T109" s="23">
        <f t="shared" si="27"/>
        <v>0</v>
      </c>
      <c r="U109" s="23">
        <f t="shared" si="31"/>
        <v>0</v>
      </c>
      <c r="V109" s="90">
        <f>S109-T109</f>
        <v>100</v>
      </c>
      <c r="W109" s="23"/>
      <c r="X109" s="23" t="e">
        <f>#REF!</f>
        <v>#REF!</v>
      </c>
      <c r="Y109" s="23" t="e">
        <f>#REF!</f>
        <v>#REF!</v>
      </c>
      <c r="Z109" s="23" t="e">
        <f>#REF!</f>
        <v>#REF!</v>
      </c>
      <c r="AA109" s="23" t="e">
        <f>#REF!</f>
        <v>#REF!</v>
      </c>
      <c r="AB109" s="23">
        <v>64634800</v>
      </c>
      <c r="AC109" s="23" t="e">
        <f>#REF!</f>
        <v>#REF!</v>
      </c>
      <c r="AD109" s="23" t="e">
        <f>#REF!</f>
        <v>#REF!</v>
      </c>
      <c r="AE109" s="23" t="e">
        <f>#REF!</f>
        <v>#REF!</v>
      </c>
      <c r="AF109" s="23" t="e">
        <f>[1]April!N36</f>
        <v>#REF!</v>
      </c>
      <c r="AG109" s="23" t="e">
        <f>[2]april!N36</f>
        <v>#REF!</v>
      </c>
      <c r="AH109" s="23">
        <f>'[3]DES SKPD'!$N36</f>
        <v>157884800</v>
      </c>
      <c r="AI109" s="23">
        <f>SUM(AI110:AI111)</f>
        <v>0</v>
      </c>
      <c r="AJ109" s="24">
        <f t="shared" si="23"/>
        <v>0</v>
      </c>
      <c r="AK109" s="134">
        <f t="shared" si="32"/>
        <v>133994500</v>
      </c>
      <c r="AL109" s="24">
        <f t="shared" si="24"/>
        <v>100</v>
      </c>
      <c r="AM109" s="21"/>
    </row>
    <row r="110" spans="1:39" ht="24.75" customHeight="1" x14ac:dyDescent="0.25">
      <c r="A110" s="26"/>
      <c r="B110" s="97"/>
      <c r="C110" s="97"/>
      <c r="D110" s="97"/>
      <c r="E110" s="97"/>
      <c r="F110" s="97"/>
      <c r="G110" s="97"/>
      <c r="H110" s="97"/>
      <c r="I110" s="98"/>
      <c r="J110" s="97" t="s">
        <v>257</v>
      </c>
      <c r="K110" s="27"/>
      <c r="L110" s="31"/>
      <c r="M110" s="513" t="s">
        <v>258</v>
      </c>
      <c r="N110" s="514"/>
      <c r="O110" s="194"/>
      <c r="P110" s="190"/>
      <c r="Q110" s="28">
        <v>740000</v>
      </c>
      <c r="R110" s="29">
        <f>Q110/Q$109*100</f>
        <v>0.55226147341868503</v>
      </c>
      <c r="S110" s="29">
        <v>100</v>
      </c>
      <c r="T110" s="28">
        <f t="shared" si="27"/>
        <v>0</v>
      </c>
      <c r="U110" s="28">
        <f t="shared" si="31"/>
        <v>0</v>
      </c>
      <c r="V110" s="87">
        <f>S110-T110</f>
        <v>100</v>
      </c>
      <c r="W110" s="28"/>
      <c r="X110" s="28" t="e">
        <f>#REF!</f>
        <v>#REF!</v>
      </c>
      <c r="Y110" s="28" t="e">
        <f>#REF!</f>
        <v>#REF!</v>
      </c>
      <c r="Z110" s="28" t="e">
        <f>#REF!</f>
        <v>#REF!</v>
      </c>
      <c r="AA110" s="28" t="e">
        <f>#REF!</f>
        <v>#REF!</v>
      </c>
      <c r="AB110" s="28">
        <v>64634801</v>
      </c>
      <c r="AC110" s="28" t="e">
        <f>#REF!</f>
        <v>#REF!</v>
      </c>
      <c r="AD110" s="28" t="e">
        <f>#REF!</f>
        <v>#REF!</v>
      </c>
      <c r="AE110" s="28" t="e">
        <f>#REF!</f>
        <v>#REF!</v>
      </c>
      <c r="AF110" s="28" t="e">
        <f>[1]April!N37</f>
        <v>#REF!</v>
      </c>
      <c r="AG110" s="28" t="e">
        <f>[2]april!N37</f>
        <v>#REF!</v>
      </c>
      <c r="AH110" s="28">
        <f>'[3]DES SKPD'!$N37</f>
        <v>0</v>
      </c>
      <c r="AI110" s="28">
        <v>0</v>
      </c>
      <c r="AJ110" s="29">
        <f t="shared" si="23"/>
        <v>0</v>
      </c>
      <c r="AK110" s="136">
        <f t="shared" si="32"/>
        <v>740000</v>
      </c>
      <c r="AL110" s="29">
        <f t="shared" si="24"/>
        <v>100</v>
      </c>
      <c r="AM110" s="26"/>
    </row>
    <row r="111" spans="1:39" ht="29.25" customHeight="1" x14ac:dyDescent="0.25">
      <c r="A111" s="26"/>
      <c r="B111" s="97"/>
      <c r="C111" s="97"/>
      <c r="D111" s="97"/>
      <c r="E111" s="97"/>
      <c r="F111" s="97"/>
      <c r="G111" s="97"/>
      <c r="H111" s="97"/>
      <c r="I111" s="98"/>
      <c r="J111" s="97" t="s">
        <v>287</v>
      </c>
      <c r="K111" s="27"/>
      <c r="L111" s="31"/>
      <c r="M111" s="513" t="s">
        <v>436</v>
      </c>
      <c r="N111" s="514"/>
      <c r="O111" s="194"/>
      <c r="P111" s="190"/>
      <c r="Q111" s="28">
        <v>28600000</v>
      </c>
      <c r="R111" s="29">
        <f>Q111/Q$109*100</f>
        <v>21.344159648343776</v>
      </c>
      <c r="S111" s="29">
        <v>100</v>
      </c>
      <c r="T111" s="28">
        <f t="shared" si="27"/>
        <v>0</v>
      </c>
      <c r="U111" s="28">
        <f t="shared" si="31"/>
        <v>0</v>
      </c>
      <c r="V111" s="87">
        <f>S111-T111</f>
        <v>100</v>
      </c>
      <c r="W111" s="28"/>
      <c r="X111" s="28" t="e">
        <f>#REF!</f>
        <v>#REF!</v>
      </c>
      <c r="Y111" s="28" t="e">
        <f>#REF!</f>
        <v>#REF!</v>
      </c>
      <c r="Z111" s="28" t="e">
        <f>#REF!</f>
        <v>#REF!</v>
      </c>
      <c r="AA111" s="28" t="e">
        <f>#REF!</f>
        <v>#REF!</v>
      </c>
      <c r="AB111" s="28">
        <v>64634802</v>
      </c>
      <c r="AC111" s="28" t="e">
        <f>#REF!</f>
        <v>#REF!</v>
      </c>
      <c r="AD111" s="28" t="e">
        <f>#REF!</f>
        <v>#REF!</v>
      </c>
      <c r="AE111" s="28" t="e">
        <f>#REF!</f>
        <v>#REF!</v>
      </c>
      <c r="AF111" s="28" t="e">
        <f>[1]April!N38</f>
        <v>#REF!</v>
      </c>
      <c r="AG111" s="28" t="e">
        <f>[2]april!N38</f>
        <v>#REF!</v>
      </c>
      <c r="AH111" s="28">
        <f>'[3]DES SKPD'!$N38</f>
        <v>322038365</v>
      </c>
      <c r="AI111" s="28">
        <v>0</v>
      </c>
      <c r="AJ111" s="29">
        <f t="shared" si="23"/>
        <v>0</v>
      </c>
      <c r="AK111" s="136">
        <f t="shared" si="32"/>
        <v>28600000</v>
      </c>
      <c r="AL111" s="29">
        <f t="shared" si="24"/>
        <v>100</v>
      </c>
      <c r="AM111" s="26"/>
    </row>
    <row r="112" spans="1:39" ht="29.25" customHeight="1" x14ac:dyDescent="0.25">
      <c r="A112" s="26"/>
      <c r="B112" s="97"/>
      <c r="C112" s="97"/>
      <c r="D112" s="97"/>
      <c r="E112" s="97"/>
      <c r="F112" s="97"/>
      <c r="G112" s="97"/>
      <c r="H112" s="97"/>
      <c r="I112" s="98"/>
      <c r="J112" s="97" t="s">
        <v>406</v>
      </c>
      <c r="K112" s="27"/>
      <c r="L112" s="31"/>
      <c r="M112" s="513" t="s">
        <v>437</v>
      </c>
      <c r="N112" s="514"/>
      <c r="O112" s="194"/>
      <c r="P112" s="190"/>
      <c r="Q112" s="28">
        <v>104654500</v>
      </c>
      <c r="R112" s="29"/>
      <c r="S112" s="29"/>
      <c r="T112" s="28">
        <f t="shared" si="27"/>
        <v>0</v>
      </c>
      <c r="U112" s="28"/>
      <c r="V112" s="87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>
        <v>0</v>
      </c>
      <c r="AJ112" s="29">
        <f t="shared" si="23"/>
        <v>0</v>
      </c>
      <c r="AK112" s="136">
        <f t="shared" si="32"/>
        <v>104654500</v>
      </c>
      <c r="AL112" s="29">
        <f t="shared" si="24"/>
        <v>100</v>
      </c>
      <c r="AM112" s="26"/>
    </row>
    <row r="113" spans="1:39" s="41" customFormat="1" ht="31.5" customHeight="1" x14ac:dyDescent="0.25">
      <c r="A113" s="21">
        <f>A109+1</f>
        <v>15</v>
      </c>
      <c r="B113" s="543" t="s">
        <v>128</v>
      </c>
      <c r="C113" s="543"/>
      <c r="D113" s="543"/>
      <c r="E113" s="543"/>
      <c r="F113" s="543"/>
      <c r="G113" s="543"/>
      <c r="H113" s="543"/>
      <c r="I113" s="544"/>
      <c r="J113" s="122" t="s">
        <v>457</v>
      </c>
      <c r="K113" s="22"/>
      <c r="L113" s="72"/>
      <c r="M113" s="545" t="s">
        <v>129</v>
      </c>
      <c r="N113" s="546"/>
      <c r="O113" s="193">
        <v>295960000</v>
      </c>
      <c r="P113" s="189">
        <v>0</v>
      </c>
      <c r="Q113" s="23">
        <f>SUM(Q114:Q116)</f>
        <v>101330000</v>
      </c>
      <c r="R113" s="24">
        <f>Q113/Q$99*100</f>
        <v>3.3273171490149149</v>
      </c>
      <c r="S113" s="24">
        <v>100</v>
      </c>
      <c r="T113" s="23">
        <f t="shared" si="27"/>
        <v>0</v>
      </c>
      <c r="U113" s="23">
        <f>R113*T113/100</f>
        <v>0</v>
      </c>
      <c r="V113" s="90">
        <f t="shared" ref="V113:V128" si="34">S113-T113</f>
        <v>100</v>
      </c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 t="e">
        <f>[2]april!N37</f>
        <v>#REF!</v>
      </c>
      <c r="AH113" s="23">
        <f>'[3]DES SKPD'!$N37</f>
        <v>0</v>
      </c>
      <c r="AI113" s="23">
        <f>SUM(AI114:AI116)</f>
        <v>0</v>
      </c>
      <c r="AJ113" s="24">
        <f t="shared" si="23"/>
        <v>0</v>
      </c>
      <c r="AK113" s="134">
        <f t="shared" si="32"/>
        <v>101330000</v>
      </c>
      <c r="AL113" s="24">
        <f t="shared" si="24"/>
        <v>100</v>
      </c>
      <c r="AM113" s="21"/>
    </row>
    <row r="114" spans="1:39" ht="24.75" customHeight="1" x14ac:dyDescent="0.25">
      <c r="A114" s="26"/>
      <c r="B114" s="97"/>
      <c r="C114" s="97"/>
      <c r="D114" s="97"/>
      <c r="E114" s="97"/>
      <c r="F114" s="97"/>
      <c r="G114" s="97"/>
      <c r="H114" s="97"/>
      <c r="I114" s="98"/>
      <c r="J114" s="97" t="s">
        <v>257</v>
      </c>
      <c r="K114" s="27"/>
      <c r="L114" s="31"/>
      <c r="M114" s="515" t="s">
        <v>258</v>
      </c>
      <c r="N114" s="516"/>
      <c r="O114" s="194"/>
      <c r="P114" s="190"/>
      <c r="Q114" s="28">
        <v>560000</v>
      </c>
      <c r="R114" s="29">
        <f>Q114/Q$113*100</f>
        <v>0.55264975821573081</v>
      </c>
      <c r="S114" s="29">
        <v>100</v>
      </c>
      <c r="T114" s="28">
        <f t="shared" si="27"/>
        <v>0</v>
      </c>
      <c r="U114" s="28">
        <f>R114*T114/100</f>
        <v>0</v>
      </c>
      <c r="V114" s="87">
        <f t="shared" si="34"/>
        <v>100</v>
      </c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 t="e">
        <f>[2]april!N38</f>
        <v>#REF!</v>
      </c>
      <c r="AH114" s="28">
        <f>'[3]DES SKPD'!$N38</f>
        <v>322038365</v>
      </c>
      <c r="AI114" s="28">
        <v>0</v>
      </c>
      <c r="AJ114" s="29">
        <f t="shared" si="23"/>
        <v>0</v>
      </c>
      <c r="AK114" s="136">
        <f t="shared" si="32"/>
        <v>560000</v>
      </c>
      <c r="AL114" s="29">
        <f t="shared" si="24"/>
        <v>100</v>
      </c>
      <c r="AM114" s="26"/>
    </row>
    <row r="115" spans="1:39" ht="24.75" customHeight="1" x14ac:dyDescent="0.25">
      <c r="A115" s="26"/>
      <c r="B115" s="97"/>
      <c r="C115" s="97"/>
      <c r="D115" s="97"/>
      <c r="E115" s="97"/>
      <c r="F115" s="97"/>
      <c r="G115" s="97"/>
      <c r="H115" s="97"/>
      <c r="I115" s="98"/>
      <c r="J115" s="97" t="s">
        <v>259</v>
      </c>
      <c r="K115" s="27"/>
      <c r="L115" s="31"/>
      <c r="M115" s="555" t="s">
        <v>260</v>
      </c>
      <c r="N115" s="556"/>
      <c r="O115" s="194"/>
      <c r="P115" s="190"/>
      <c r="Q115" s="28">
        <v>770000</v>
      </c>
      <c r="R115" s="29">
        <f>Q115/Q$33*100</f>
        <v>2.2507532126260807E-3</v>
      </c>
      <c r="S115" s="29">
        <v>100</v>
      </c>
      <c r="T115" s="28">
        <f t="shared" si="27"/>
        <v>0</v>
      </c>
      <c r="U115" s="28">
        <f>R115*T115/100</f>
        <v>0</v>
      </c>
      <c r="V115" s="87">
        <f t="shared" si="34"/>
        <v>100</v>
      </c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>
        <v>0</v>
      </c>
      <c r="AJ115" s="29">
        <f t="shared" si="23"/>
        <v>0</v>
      </c>
      <c r="AK115" s="136">
        <f t="shared" si="32"/>
        <v>770000</v>
      </c>
      <c r="AL115" s="29">
        <f t="shared" si="24"/>
        <v>100</v>
      </c>
      <c r="AM115" s="26"/>
    </row>
    <row r="116" spans="1:39" ht="24.75" customHeight="1" x14ac:dyDescent="0.25">
      <c r="A116" s="26"/>
      <c r="B116" s="97"/>
      <c r="C116" s="97"/>
      <c r="D116" s="97"/>
      <c r="E116" s="97"/>
      <c r="F116" s="97"/>
      <c r="G116" s="97"/>
      <c r="H116" s="97"/>
      <c r="I116" s="98"/>
      <c r="J116" s="97" t="s">
        <v>288</v>
      </c>
      <c r="K116" s="27"/>
      <c r="L116" s="31"/>
      <c r="M116" s="515" t="s">
        <v>289</v>
      </c>
      <c r="N116" s="516"/>
      <c r="O116" s="194"/>
      <c r="P116" s="190"/>
      <c r="Q116" s="28">
        <v>100000000</v>
      </c>
      <c r="R116" s="29">
        <f>Q116/Q$113*100</f>
        <v>98.687456824237643</v>
      </c>
      <c r="S116" s="29">
        <v>100</v>
      </c>
      <c r="T116" s="28">
        <f t="shared" si="27"/>
        <v>0</v>
      </c>
      <c r="U116" s="28">
        <f>R116*T116/100</f>
        <v>0</v>
      </c>
      <c r="V116" s="87">
        <f t="shared" si="34"/>
        <v>100</v>
      </c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 t="e">
        <f>[2]april!N39</f>
        <v>#REF!</v>
      </c>
      <c r="AH116" s="28">
        <f>'[3]DES SKPD'!$N39</f>
        <v>676934270</v>
      </c>
      <c r="AI116" s="28">
        <v>0</v>
      </c>
      <c r="AJ116" s="29">
        <f t="shared" si="23"/>
        <v>0</v>
      </c>
      <c r="AK116" s="136">
        <f t="shared" si="32"/>
        <v>100000000</v>
      </c>
      <c r="AL116" s="29">
        <f t="shared" si="24"/>
        <v>100</v>
      </c>
      <c r="AM116" s="26"/>
    </row>
    <row r="117" spans="1:39" s="41" customFormat="1" ht="31.5" customHeight="1" x14ac:dyDescent="0.25">
      <c r="A117" s="21">
        <f>A113+1</f>
        <v>16</v>
      </c>
      <c r="B117" s="543" t="s">
        <v>128</v>
      </c>
      <c r="C117" s="543"/>
      <c r="D117" s="543"/>
      <c r="E117" s="543"/>
      <c r="F117" s="543"/>
      <c r="G117" s="543"/>
      <c r="H117" s="543"/>
      <c r="I117" s="544"/>
      <c r="J117" s="122" t="s">
        <v>458</v>
      </c>
      <c r="K117" s="22"/>
      <c r="L117" s="72"/>
      <c r="M117" s="545" t="s">
        <v>26</v>
      </c>
      <c r="N117" s="546"/>
      <c r="O117" s="193">
        <v>295960000</v>
      </c>
      <c r="P117" s="189">
        <f>O117</f>
        <v>295960000</v>
      </c>
      <c r="Q117" s="23">
        <f>SUM(Q118:Q121)</f>
        <v>284900000</v>
      </c>
      <c r="R117" s="24">
        <f>Q117/Q$99*100</f>
        <v>9.3551036786178745</v>
      </c>
      <c r="S117" s="24">
        <v>100</v>
      </c>
      <c r="T117" s="23">
        <f t="shared" si="27"/>
        <v>0</v>
      </c>
      <c r="U117" s="23">
        <f>R117*T117/100</f>
        <v>0</v>
      </c>
      <c r="V117" s="90">
        <f t="shared" si="34"/>
        <v>100</v>
      </c>
      <c r="W117" s="23"/>
      <c r="X117" s="23" t="e">
        <f>#REF!</f>
        <v>#REF!</v>
      </c>
      <c r="Y117" s="23" t="e">
        <f>#REF!</f>
        <v>#REF!</v>
      </c>
      <c r="Z117" s="23" t="e">
        <f>#REF!</f>
        <v>#REF!</v>
      </c>
      <c r="AA117" s="23" t="e">
        <f>#REF!</f>
        <v>#REF!</v>
      </c>
      <c r="AB117" s="23">
        <v>91844000</v>
      </c>
      <c r="AC117" s="23" t="e">
        <f>#REF!</f>
        <v>#REF!</v>
      </c>
      <c r="AD117" s="23" t="e">
        <f>#REF!</f>
        <v>#REF!</v>
      </c>
      <c r="AE117" s="23" t="e">
        <f>#REF!</f>
        <v>#REF!</v>
      </c>
      <c r="AF117" s="23" t="e">
        <f>[1]April!N38</f>
        <v>#REF!</v>
      </c>
      <c r="AG117" s="23" t="e">
        <f>[2]april!N38</f>
        <v>#REF!</v>
      </c>
      <c r="AH117" s="23">
        <f>'[3]DES SKPD'!$N38</f>
        <v>322038365</v>
      </c>
      <c r="AI117" s="23">
        <f>SUM(AI118:AI121)</f>
        <v>0</v>
      </c>
      <c r="AJ117" s="24">
        <f t="shared" ref="AJ117:AJ180" si="35">AI117/Q117*100</f>
        <v>0</v>
      </c>
      <c r="AK117" s="134">
        <f t="shared" si="32"/>
        <v>284900000</v>
      </c>
      <c r="AL117" s="24">
        <f t="shared" ref="AL117:AL180" si="36">AK117/Q117*100</f>
        <v>100</v>
      </c>
      <c r="AM117" s="21"/>
    </row>
    <row r="118" spans="1:39" ht="24.75" customHeight="1" x14ac:dyDescent="0.25">
      <c r="A118" s="26"/>
      <c r="B118" s="97"/>
      <c r="C118" s="97"/>
      <c r="D118" s="97"/>
      <c r="E118" s="97"/>
      <c r="F118" s="97"/>
      <c r="G118" s="97"/>
      <c r="H118" s="97"/>
      <c r="I118" s="98"/>
      <c r="J118" s="97" t="s">
        <v>257</v>
      </c>
      <c r="K118" s="27"/>
      <c r="L118" s="31"/>
      <c r="M118" s="515" t="s">
        <v>258</v>
      </c>
      <c r="N118" s="516"/>
      <c r="O118" s="194"/>
      <c r="P118" s="190"/>
      <c r="Q118" s="28">
        <v>3900000</v>
      </c>
      <c r="R118" s="29">
        <f>Q118/Q$117*100</f>
        <v>1.3689013689013689</v>
      </c>
      <c r="S118" s="29">
        <v>100</v>
      </c>
      <c r="T118" s="28">
        <f t="shared" si="27"/>
        <v>0</v>
      </c>
      <c r="U118" s="28">
        <f t="shared" ref="U118:U135" si="37">R118*T118/100</f>
        <v>0</v>
      </c>
      <c r="V118" s="87">
        <f t="shared" si="34"/>
        <v>100</v>
      </c>
      <c r="W118" s="28"/>
      <c r="X118" s="28" t="e">
        <f>#REF!</f>
        <v>#REF!</v>
      </c>
      <c r="Y118" s="28" t="e">
        <f>#REF!</f>
        <v>#REF!</v>
      </c>
      <c r="Z118" s="28" t="e">
        <f>#REF!</f>
        <v>#REF!</v>
      </c>
      <c r="AA118" s="28" t="e">
        <f>#REF!</f>
        <v>#REF!</v>
      </c>
      <c r="AB118" s="28">
        <v>91844001</v>
      </c>
      <c r="AC118" s="28" t="e">
        <f>#REF!</f>
        <v>#REF!</v>
      </c>
      <c r="AD118" s="28" t="e">
        <f>#REF!</f>
        <v>#REF!</v>
      </c>
      <c r="AE118" s="28" t="e">
        <f>#REF!</f>
        <v>#REF!</v>
      </c>
      <c r="AF118" s="28" t="e">
        <f>[1]April!N39</f>
        <v>#REF!</v>
      </c>
      <c r="AG118" s="28" t="e">
        <f>[2]april!N39</f>
        <v>#REF!</v>
      </c>
      <c r="AH118" s="28">
        <f>'[3]DES SKPD'!$N39</f>
        <v>676934270</v>
      </c>
      <c r="AI118" s="28">
        <v>0</v>
      </c>
      <c r="AJ118" s="29">
        <f t="shared" si="35"/>
        <v>0</v>
      </c>
      <c r="AK118" s="136">
        <f t="shared" si="32"/>
        <v>3900000</v>
      </c>
      <c r="AL118" s="29">
        <f t="shared" si="36"/>
        <v>100</v>
      </c>
      <c r="AM118" s="26"/>
    </row>
    <row r="119" spans="1:39" ht="30.75" customHeight="1" x14ac:dyDescent="0.25">
      <c r="A119" s="26"/>
      <c r="B119" s="97"/>
      <c r="C119" s="97"/>
      <c r="D119" s="97"/>
      <c r="E119" s="97"/>
      <c r="F119" s="97"/>
      <c r="G119" s="97"/>
      <c r="H119" s="97"/>
      <c r="I119" s="98"/>
      <c r="J119" s="97" t="s">
        <v>259</v>
      </c>
      <c r="K119" s="27"/>
      <c r="L119" s="31"/>
      <c r="M119" s="515" t="s">
        <v>260</v>
      </c>
      <c r="N119" s="516"/>
      <c r="O119" s="194"/>
      <c r="P119" s="190"/>
      <c r="Q119" s="28">
        <v>800000</v>
      </c>
      <c r="R119" s="29">
        <f>Q119/Q$117*100</f>
        <v>0.2808002808002808</v>
      </c>
      <c r="S119" s="29">
        <v>100</v>
      </c>
      <c r="T119" s="28">
        <f t="shared" si="27"/>
        <v>0</v>
      </c>
      <c r="U119" s="28">
        <f t="shared" si="37"/>
        <v>0</v>
      </c>
      <c r="V119" s="87">
        <f t="shared" si="34"/>
        <v>100</v>
      </c>
      <c r="W119" s="28"/>
      <c r="X119" s="28" t="e">
        <f>#REF!</f>
        <v>#REF!</v>
      </c>
      <c r="Y119" s="28" t="e">
        <f>#REF!</f>
        <v>#REF!</v>
      </c>
      <c r="Z119" s="28" t="e">
        <f>#REF!</f>
        <v>#REF!</v>
      </c>
      <c r="AA119" s="28" t="e">
        <f>#REF!</f>
        <v>#REF!</v>
      </c>
      <c r="AB119" s="28">
        <v>91844002</v>
      </c>
      <c r="AC119" s="28" t="e">
        <f>#REF!</f>
        <v>#REF!</v>
      </c>
      <c r="AD119" s="28" t="e">
        <f>#REF!</f>
        <v>#REF!</v>
      </c>
      <c r="AE119" s="28" t="e">
        <f>#REF!</f>
        <v>#REF!</v>
      </c>
      <c r="AF119" s="28" t="e">
        <f>[1]April!N40</f>
        <v>#REF!</v>
      </c>
      <c r="AG119" s="28" t="e">
        <f>[2]april!N40</f>
        <v>#REF!</v>
      </c>
      <c r="AH119" s="28">
        <f>'[3]DES SKPD'!$N40</f>
        <v>140440000</v>
      </c>
      <c r="AI119" s="28">
        <v>0</v>
      </c>
      <c r="AJ119" s="29">
        <f t="shared" si="35"/>
        <v>0</v>
      </c>
      <c r="AK119" s="136">
        <f t="shared" si="32"/>
        <v>800000</v>
      </c>
      <c r="AL119" s="29">
        <f t="shared" si="36"/>
        <v>100</v>
      </c>
      <c r="AM119" s="26"/>
    </row>
    <row r="120" spans="1:39" ht="24.75" customHeight="1" x14ac:dyDescent="0.25">
      <c r="A120" s="26"/>
      <c r="B120" s="97"/>
      <c r="C120" s="97"/>
      <c r="D120" s="97"/>
      <c r="E120" s="97"/>
      <c r="F120" s="97"/>
      <c r="G120" s="97"/>
      <c r="H120" s="97"/>
      <c r="I120" s="98"/>
      <c r="J120" s="97" t="s">
        <v>290</v>
      </c>
      <c r="K120" s="27"/>
      <c r="L120" s="31"/>
      <c r="M120" s="515" t="s">
        <v>291</v>
      </c>
      <c r="N120" s="516"/>
      <c r="O120" s="194"/>
      <c r="P120" s="190"/>
      <c r="Q120" s="28">
        <v>85200000</v>
      </c>
      <c r="R120" s="29">
        <f>Q120/Q$117*100</f>
        <v>29.905229905229909</v>
      </c>
      <c r="S120" s="29">
        <v>100</v>
      </c>
      <c r="T120" s="28">
        <f t="shared" si="27"/>
        <v>0</v>
      </c>
      <c r="U120" s="28">
        <f t="shared" si="37"/>
        <v>0</v>
      </c>
      <c r="V120" s="87">
        <f t="shared" si="34"/>
        <v>100</v>
      </c>
      <c r="W120" s="28"/>
      <c r="X120" s="28" t="e">
        <f>#REF!</f>
        <v>#REF!</v>
      </c>
      <c r="Y120" s="28" t="e">
        <f>#REF!</f>
        <v>#REF!</v>
      </c>
      <c r="Z120" s="28" t="e">
        <f>#REF!</f>
        <v>#REF!</v>
      </c>
      <c r="AA120" s="28" t="e">
        <f>#REF!</f>
        <v>#REF!</v>
      </c>
      <c r="AB120" s="28">
        <v>91844003</v>
      </c>
      <c r="AC120" s="28" t="e">
        <f>#REF!</f>
        <v>#REF!</v>
      </c>
      <c r="AD120" s="28" t="e">
        <f>#REF!</f>
        <v>#REF!</v>
      </c>
      <c r="AE120" s="28" t="e">
        <f>#REF!</f>
        <v>#REF!</v>
      </c>
      <c r="AF120" s="28" t="e">
        <f>[1]April!N41</f>
        <v>#REF!</v>
      </c>
      <c r="AG120" s="28" t="e">
        <f>[2]april!N41</f>
        <v>#REF!</v>
      </c>
      <c r="AH120" s="28">
        <f>'[3]DES SKPD'!$N41</f>
        <v>231767600</v>
      </c>
      <c r="AI120" s="28">
        <v>0</v>
      </c>
      <c r="AJ120" s="29">
        <f t="shared" si="35"/>
        <v>0</v>
      </c>
      <c r="AK120" s="136">
        <f t="shared" si="32"/>
        <v>85200000</v>
      </c>
      <c r="AL120" s="29">
        <f t="shared" si="36"/>
        <v>100</v>
      </c>
      <c r="AM120" s="26"/>
    </row>
    <row r="121" spans="1:39" ht="36" customHeight="1" x14ac:dyDescent="0.25">
      <c r="A121" s="26"/>
      <c r="B121" s="97"/>
      <c r="C121" s="97"/>
      <c r="D121" s="97"/>
      <c r="E121" s="97"/>
      <c r="F121" s="97"/>
      <c r="G121" s="97"/>
      <c r="H121" s="97"/>
      <c r="I121" s="98"/>
      <c r="J121" s="97" t="s">
        <v>292</v>
      </c>
      <c r="K121" s="27"/>
      <c r="L121" s="31"/>
      <c r="M121" s="515" t="s">
        <v>293</v>
      </c>
      <c r="N121" s="516"/>
      <c r="O121" s="194"/>
      <c r="P121" s="190"/>
      <c r="Q121" s="28">
        <v>195000000</v>
      </c>
      <c r="R121" s="29">
        <f>Q121/Q$117*100</f>
        <v>68.445068445068443</v>
      </c>
      <c r="S121" s="29">
        <v>100</v>
      </c>
      <c r="T121" s="28">
        <f t="shared" si="27"/>
        <v>0</v>
      </c>
      <c r="U121" s="28">
        <f t="shared" si="37"/>
        <v>0</v>
      </c>
      <c r="V121" s="87">
        <f t="shared" si="34"/>
        <v>100</v>
      </c>
      <c r="W121" s="28"/>
      <c r="X121" s="28" t="e">
        <f>#REF!</f>
        <v>#REF!</v>
      </c>
      <c r="Y121" s="28" t="e">
        <f>#REF!</f>
        <v>#REF!</v>
      </c>
      <c r="Z121" s="28" t="e">
        <f>#REF!</f>
        <v>#REF!</v>
      </c>
      <c r="AA121" s="28" t="e">
        <f>#REF!</f>
        <v>#REF!</v>
      </c>
      <c r="AB121" s="28">
        <v>91844004</v>
      </c>
      <c r="AC121" s="28" t="e">
        <f>#REF!</f>
        <v>#REF!</v>
      </c>
      <c r="AD121" s="28" t="e">
        <f>#REF!</f>
        <v>#REF!</v>
      </c>
      <c r="AE121" s="28" t="e">
        <f>#REF!</f>
        <v>#REF!</v>
      </c>
      <c r="AF121" s="28" t="e">
        <f>[1]April!N42</f>
        <v>#REF!</v>
      </c>
      <c r="AG121" s="28" t="e">
        <f>[2]april!N42</f>
        <v>#REF!</v>
      </c>
      <c r="AH121" s="28" t="e">
        <f>'[3]DES SKPD'!$N42</f>
        <v>#REF!</v>
      </c>
      <c r="AI121" s="28">
        <v>0</v>
      </c>
      <c r="AJ121" s="29">
        <f t="shared" si="35"/>
        <v>0</v>
      </c>
      <c r="AK121" s="136">
        <f t="shared" si="32"/>
        <v>195000000</v>
      </c>
      <c r="AL121" s="29">
        <f t="shared" si="36"/>
        <v>100</v>
      </c>
      <c r="AM121" s="26"/>
    </row>
    <row r="122" spans="1:39" s="41" customFormat="1" ht="32.25" customHeight="1" x14ac:dyDescent="0.25">
      <c r="A122" s="21">
        <f>A117+1</f>
        <v>17</v>
      </c>
      <c r="B122" s="543" t="s">
        <v>130</v>
      </c>
      <c r="C122" s="543"/>
      <c r="D122" s="543"/>
      <c r="E122" s="543"/>
      <c r="F122" s="543"/>
      <c r="G122" s="543"/>
      <c r="H122" s="543"/>
      <c r="I122" s="544"/>
      <c r="J122" s="122" t="s">
        <v>459</v>
      </c>
      <c r="K122" s="22"/>
      <c r="L122" s="72"/>
      <c r="M122" s="545" t="s">
        <v>27</v>
      </c>
      <c r="N122" s="546"/>
      <c r="O122" s="193">
        <v>641710000</v>
      </c>
      <c r="P122" s="189">
        <f>O122</f>
        <v>641710000</v>
      </c>
      <c r="Q122" s="23">
        <f>SUM(Q123:Q129)</f>
        <v>809652000</v>
      </c>
      <c r="R122" s="24">
        <f>Q122/Q$99*100</f>
        <v>26.586094782731905</v>
      </c>
      <c r="S122" s="24">
        <v>100</v>
      </c>
      <c r="T122" s="23">
        <f t="shared" si="27"/>
        <v>0</v>
      </c>
      <c r="U122" s="23">
        <f t="shared" si="37"/>
        <v>0</v>
      </c>
      <c r="V122" s="90">
        <f t="shared" si="34"/>
        <v>100</v>
      </c>
      <c r="W122" s="23"/>
      <c r="X122" s="23" t="e">
        <f>#REF!</f>
        <v>#REF!</v>
      </c>
      <c r="Y122" s="23" t="e">
        <f>#REF!</f>
        <v>#REF!</v>
      </c>
      <c r="Z122" s="23" t="e">
        <f>#REF!</f>
        <v>#REF!</v>
      </c>
      <c r="AA122" s="23" t="e">
        <f>#REF!</f>
        <v>#REF!</v>
      </c>
      <c r="AB122" s="23">
        <v>335806263</v>
      </c>
      <c r="AC122" s="23" t="e">
        <f>#REF!</f>
        <v>#REF!</v>
      </c>
      <c r="AD122" s="23" t="e">
        <f>#REF!</f>
        <v>#REF!</v>
      </c>
      <c r="AE122" s="23" t="e">
        <f>#REF!</f>
        <v>#REF!</v>
      </c>
      <c r="AF122" s="23" t="e">
        <f>[1]April!N39</f>
        <v>#REF!</v>
      </c>
      <c r="AG122" s="23" t="e">
        <f>[2]april!N39</f>
        <v>#REF!</v>
      </c>
      <c r="AH122" s="23">
        <f>'[3]DES SKPD'!$N39</f>
        <v>676934270</v>
      </c>
      <c r="AI122" s="23">
        <f>SUM(AI123:AI129)</f>
        <v>0</v>
      </c>
      <c r="AJ122" s="24">
        <f t="shared" si="35"/>
        <v>0</v>
      </c>
      <c r="AK122" s="134">
        <f t="shared" si="32"/>
        <v>809652000</v>
      </c>
      <c r="AL122" s="24">
        <f t="shared" si="36"/>
        <v>100</v>
      </c>
      <c r="AM122" s="21"/>
    </row>
    <row r="123" spans="1:39" ht="28.5" customHeight="1" x14ac:dyDescent="0.25">
      <c r="A123" s="26"/>
      <c r="B123" s="97"/>
      <c r="C123" s="97"/>
      <c r="D123" s="97"/>
      <c r="E123" s="97"/>
      <c r="F123" s="97"/>
      <c r="G123" s="97"/>
      <c r="H123" s="97"/>
      <c r="I123" s="98"/>
      <c r="J123" s="97" t="s">
        <v>257</v>
      </c>
      <c r="K123" s="27"/>
      <c r="L123" s="31"/>
      <c r="M123" s="515" t="s">
        <v>258</v>
      </c>
      <c r="N123" s="516"/>
      <c r="O123" s="194"/>
      <c r="P123" s="190"/>
      <c r="Q123" s="28">
        <v>4500000</v>
      </c>
      <c r="R123" s="29">
        <f t="shared" ref="R123:R129" si="38">Q123/Q$122*100</f>
        <v>0.55579434127254679</v>
      </c>
      <c r="S123" s="29">
        <v>100</v>
      </c>
      <c r="T123" s="28">
        <f t="shared" si="27"/>
        <v>0</v>
      </c>
      <c r="U123" s="28">
        <f t="shared" si="37"/>
        <v>0</v>
      </c>
      <c r="V123" s="87">
        <f t="shared" si="34"/>
        <v>100</v>
      </c>
      <c r="W123" s="28"/>
      <c r="X123" s="28" t="e">
        <f>#REF!</f>
        <v>#REF!</v>
      </c>
      <c r="Y123" s="28" t="e">
        <f>#REF!</f>
        <v>#REF!</v>
      </c>
      <c r="Z123" s="28" t="e">
        <f>#REF!</f>
        <v>#REF!</v>
      </c>
      <c r="AA123" s="28" t="e">
        <f>#REF!</f>
        <v>#REF!</v>
      </c>
      <c r="AB123" s="28">
        <v>335806264</v>
      </c>
      <c r="AC123" s="28" t="e">
        <f>#REF!</f>
        <v>#REF!</v>
      </c>
      <c r="AD123" s="28" t="e">
        <f>#REF!</f>
        <v>#REF!</v>
      </c>
      <c r="AE123" s="28" t="e">
        <f>#REF!</f>
        <v>#REF!</v>
      </c>
      <c r="AF123" s="28" t="e">
        <f>[1]April!N40</f>
        <v>#REF!</v>
      </c>
      <c r="AG123" s="28" t="e">
        <f>[2]april!N40</f>
        <v>#REF!</v>
      </c>
      <c r="AH123" s="28">
        <f>'[3]DES SKPD'!$N40</f>
        <v>140440000</v>
      </c>
      <c r="AI123" s="28">
        <v>0</v>
      </c>
      <c r="AJ123" s="29">
        <f t="shared" si="35"/>
        <v>0</v>
      </c>
      <c r="AK123" s="136">
        <f t="shared" si="32"/>
        <v>4500000</v>
      </c>
      <c r="AL123" s="29">
        <f t="shared" si="36"/>
        <v>100</v>
      </c>
      <c r="AM123" s="26"/>
    </row>
    <row r="124" spans="1:39" ht="28.5" customHeight="1" x14ac:dyDescent="0.25">
      <c r="A124" s="26"/>
      <c r="B124" s="97"/>
      <c r="C124" s="97"/>
      <c r="D124" s="97"/>
      <c r="E124" s="97"/>
      <c r="F124" s="97"/>
      <c r="G124" s="97"/>
      <c r="H124" s="97"/>
      <c r="I124" s="98"/>
      <c r="J124" s="97" t="s">
        <v>259</v>
      </c>
      <c r="K124" s="27"/>
      <c r="L124" s="31"/>
      <c r="M124" s="557" t="s">
        <v>291</v>
      </c>
      <c r="N124" s="558"/>
      <c r="O124" s="194"/>
      <c r="P124" s="190"/>
      <c r="Q124" s="28">
        <v>800000</v>
      </c>
      <c r="R124" s="29">
        <f t="shared" si="38"/>
        <v>9.88078828928972E-2</v>
      </c>
      <c r="S124" s="29">
        <v>100</v>
      </c>
      <c r="T124" s="28">
        <f t="shared" si="27"/>
        <v>0</v>
      </c>
      <c r="U124" s="28">
        <f t="shared" si="37"/>
        <v>0</v>
      </c>
      <c r="V124" s="87">
        <f t="shared" si="34"/>
        <v>100</v>
      </c>
      <c r="W124" s="28"/>
      <c r="X124" s="28" t="e">
        <f>#REF!</f>
        <v>#REF!</v>
      </c>
      <c r="Y124" s="28" t="e">
        <f>#REF!</f>
        <v>#REF!</v>
      </c>
      <c r="Z124" s="28" t="e">
        <f>#REF!</f>
        <v>#REF!</v>
      </c>
      <c r="AA124" s="28" t="e">
        <f>#REF!</f>
        <v>#REF!</v>
      </c>
      <c r="AB124" s="28">
        <v>335806264</v>
      </c>
      <c r="AC124" s="28" t="e">
        <f>#REF!</f>
        <v>#REF!</v>
      </c>
      <c r="AD124" s="28" t="e">
        <f>#REF!</f>
        <v>#REF!</v>
      </c>
      <c r="AE124" s="28" t="e">
        <f>#REF!</f>
        <v>#REF!</v>
      </c>
      <c r="AF124" s="28" t="e">
        <f>[1]April!N41</f>
        <v>#REF!</v>
      </c>
      <c r="AG124" s="28" t="e">
        <f>[2]april!N41</f>
        <v>#REF!</v>
      </c>
      <c r="AH124" s="28">
        <f>'[3]DES SKPD'!$N41</f>
        <v>231767600</v>
      </c>
      <c r="AI124" s="28">
        <v>0</v>
      </c>
      <c r="AJ124" s="29">
        <f t="shared" si="35"/>
        <v>0</v>
      </c>
      <c r="AK124" s="136">
        <f t="shared" si="32"/>
        <v>800000</v>
      </c>
      <c r="AL124" s="29">
        <f t="shared" si="36"/>
        <v>100</v>
      </c>
      <c r="AM124" s="26"/>
    </row>
    <row r="125" spans="1:39" ht="28.5" customHeight="1" x14ac:dyDescent="0.25">
      <c r="A125" s="26"/>
      <c r="B125" s="97"/>
      <c r="C125" s="97"/>
      <c r="D125" s="97"/>
      <c r="E125" s="97"/>
      <c r="F125" s="97"/>
      <c r="G125" s="97"/>
      <c r="H125" s="97"/>
      <c r="I125" s="98"/>
      <c r="J125" s="97" t="s">
        <v>294</v>
      </c>
      <c r="K125" s="27"/>
      <c r="L125" s="31"/>
      <c r="M125" s="515" t="s">
        <v>295</v>
      </c>
      <c r="N125" s="516"/>
      <c r="O125" s="194"/>
      <c r="P125" s="190"/>
      <c r="Q125" s="28">
        <v>133992000</v>
      </c>
      <c r="R125" s="29">
        <f t="shared" si="38"/>
        <v>16.549332305731351</v>
      </c>
      <c r="S125" s="29">
        <v>100</v>
      </c>
      <c r="T125" s="28">
        <f t="shared" si="27"/>
        <v>0</v>
      </c>
      <c r="U125" s="28">
        <f t="shared" si="37"/>
        <v>0</v>
      </c>
      <c r="V125" s="87">
        <f t="shared" si="34"/>
        <v>100</v>
      </c>
      <c r="W125" s="28"/>
      <c r="X125" s="28" t="e">
        <f>#REF!</f>
        <v>#REF!</v>
      </c>
      <c r="Y125" s="28" t="e">
        <f>#REF!</f>
        <v>#REF!</v>
      </c>
      <c r="Z125" s="28" t="e">
        <f>#REF!</f>
        <v>#REF!</v>
      </c>
      <c r="AA125" s="28" t="e">
        <f>#REF!</f>
        <v>#REF!</v>
      </c>
      <c r="AB125" s="28">
        <v>335806265</v>
      </c>
      <c r="AC125" s="28" t="e">
        <f>#REF!</f>
        <v>#REF!</v>
      </c>
      <c r="AD125" s="28" t="e">
        <f>#REF!</f>
        <v>#REF!</v>
      </c>
      <c r="AE125" s="28" t="e">
        <f>#REF!</f>
        <v>#REF!</v>
      </c>
      <c r="AF125" s="28" t="e">
        <f>[1]April!N41</f>
        <v>#REF!</v>
      </c>
      <c r="AG125" s="28" t="e">
        <f>[2]april!N41</f>
        <v>#REF!</v>
      </c>
      <c r="AH125" s="28">
        <f>'[3]DES SKPD'!$N41</f>
        <v>231767600</v>
      </c>
      <c r="AI125" s="28">
        <v>0</v>
      </c>
      <c r="AJ125" s="29">
        <f t="shared" si="35"/>
        <v>0</v>
      </c>
      <c r="AK125" s="136">
        <f t="shared" si="32"/>
        <v>133992000</v>
      </c>
      <c r="AL125" s="29">
        <f t="shared" si="36"/>
        <v>100</v>
      </c>
      <c r="AM125" s="26"/>
    </row>
    <row r="126" spans="1:39" ht="28.5" customHeight="1" x14ac:dyDescent="0.25">
      <c r="A126" s="26"/>
      <c r="B126" s="97"/>
      <c r="C126" s="97"/>
      <c r="D126" s="97"/>
      <c r="E126" s="97"/>
      <c r="F126" s="97"/>
      <c r="G126" s="97"/>
      <c r="H126" s="97"/>
      <c r="I126" s="98"/>
      <c r="J126" s="97" t="s">
        <v>296</v>
      </c>
      <c r="K126" s="27"/>
      <c r="L126" s="31"/>
      <c r="M126" s="515" t="s">
        <v>297</v>
      </c>
      <c r="N126" s="516"/>
      <c r="O126" s="194"/>
      <c r="P126" s="190"/>
      <c r="Q126" s="28">
        <v>87600000</v>
      </c>
      <c r="R126" s="29">
        <f t="shared" si="38"/>
        <v>10.819463176772242</v>
      </c>
      <c r="S126" s="29">
        <v>100</v>
      </c>
      <c r="T126" s="28">
        <f t="shared" ref="T126:T189" si="39">AJ126</f>
        <v>0</v>
      </c>
      <c r="U126" s="28">
        <f t="shared" si="37"/>
        <v>0</v>
      </c>
      <c r="V126" s="87">
        <f t="shared" si="34"/>
        <v>100</v>
      </c>
      <c r="W126" s="28"/>
      <c r="X126" s="28" t="e">
        <f>#REF!</f>
        <v>#REF!</v>
      </c>
      <c r="Y126" s="28" t="e">
        <f>#REF!</f>
        <v>#REF!</v>
      </c>
      <c r="Z126" s="28" t="e">
        <f>#REF!</f>
        <v>#REF!</v>
      </c>
      <c r="AA126" s="28" t="e">
        <f>#REF!</f>
        <v>#REF!</v>
      </c>
      <c r="AB126" s="28">
        <v>335806266</v>
      </c>
      <c r="AC126" s="28" t="e">
        <f>#REF!</f>
        <v>#REF!</v>
      </c>
      <c r="AD126" s="28" t="e">
        <f>#REF!</f>
        <v>#REF!</v>
      </c>
      <c r="AE126" s="28" t="e">
        <f>#REF!</f>
        <v>#REF!</v>
      </c>
      <c r="AF126" s="28" t="e">
        <f>[1]April!N42</f>
        <v>#REF!</v>
      </c>
      <c r="AG126" s="28" t="e">
        <f>[2]april!N42</f>
        <v>#REF!</v>
      </c>
      <c r="AH126" s="28" t="e">
        <f>'[3]DES SKPD'!$N42</f>
        <v>#REF!</v>
      </c>
      <c r="AI126" s="28">
        <v>0</v>
      </c>
      <c r="AJ126" s="29">
        <f t="shared" si="35"/>
        <v>0</v>
      </c>
      <c r="AK126" s="136">
        <f t="shared" si="32"/>
        <v>87600000</v>
      </c>
      <c r="AL126" s="29">
        <f t="shared" si="36"/>
        <v>100</v>
      </c>
      <c r="AM126" s="26"/>
    </row>
    <row r="127" spans="1:39" ht="28.5" customHeight="1" x14ac:dyDescent="0.25">
      <c r="A127" s="26"/>
      <c r="B127" s="97"/>
      <c r="C127" s="97"/>
      <c r="D127" s="97"/>
      <c r="E127" s="97"/>
      <c r="F127" s="97"/>
      <c r="G127" s="97"/>
      <c r="H127" s="97"/>
      <c r="I127" s="98"/>
      <c r="J127" s="97" t="s">
        <v>298</v>
      </c>
      <c r="K127" s="27"/>
      <c r="L127" s="31"/>
      <c r="M127" s="515" t="s">
        <v>299</v>
      </c>
      <c r="N127" s="516"/>
      <c r="O127" s="194"/>
      <c r="P127" s="190"/>
      <c r="Q127" s="28">
        <v>88300000</v>
      </c>
      <c r="R127" s="29">
        <f t="shared" si="38"/>
        <v>10.905920074303529</v>
      </c>
      <c r="S127" s="29">
        <v>100</v>
      </c>
      <c r="T127" s="28">
        <f t="shared" si="39"/>
        <v>0</v>
      </c>
      <c r="U127" s="28">
        <f t="shared" si="37"/>
        <v>0</v>
      </c>
      <c r="V127" s="87">
        <f t="shared" si="34"/>
        <v>100</v>
      </c>
      <c r="W127" s="28"/>
      <c r="X127" s="28" t="e">
        <f>#REF!</f>
        <v>#REF!</v>
      </c>
      <c r="Y127" s="28" t="e">
        <f>#REF!</f>
        <v>#REF!</v>
      </c>
      <c r="Z127" s="28" t="e">
        <f>#REF!</f>
        <v>#REF!</v>
      </c>
      <c r="AA127" s="28" t="e">
        <f>#REF!</f>
        <v>#REF!</v>
      </c>
      <c r="AB127" s="28">
        <v>335806267</v>
      </c>
      <c r="AC127" s="28" t="e">
        <f>#REF!</f>
        <v>#REF!</v>
      </c>
      <c r="AD127" s="28" t="e">
        <f>#REF!</f>
        <v>#REF!</v>
      </c>
      <c r="AE127" s="28" t="e">
        <f>#REF!</f>
        <v>#REF!</v>
      </c>
      <c r="AF127" s="28" t="e">
        <f>[1]April!N43</f>
        <v>#REF!</v>
      </c>
      <c r="AG127" s="28" t="e">
        <f>[2]april!N43</f>
        <v>#REF!</v>
      </c>
      <c r="AH127" s="28">
        <f>'[3]DES SKPD'!$N43</f>
        <v>38085000</v>
      </c>
      <c r="AI127" s="28">
        <v>0</v>
      </c>
      <c r="AJ127" s="29">
        <f t="shared" si="35"/>
        <v>0</v>
      </c>
      <c r="AK127" s="136">
        <f t="shared" si="32"/>
        <v>88300000</v>
      </c>
      <c r="AL127" s="29">
        <f t="shared" si="36"/>
        <v>100</v>
      </c>
      <c r="AM127" s="26"/>
    </row>
    <row r="128" spans="1:39" ht="28.5" customHeight="1" x14ac:dyDescent="0.25">
      <c r="A128" s="26"/>
      <c r="B128" s="97"/>
      <c r="C128" s="97"/>
      <c r="D128" s="97"/>
      <c r="E128" s="97"/>
      <c r="F128" s="97"/>
      <c r="G128" s="97"/>
      <c r="H128" s="97"/>
      <c r="I128" s="98"/>
      <c r="J128" s="97" t="s">
        <v>300</v>
      </c>
      <c r="K128" s="27"/>
      <c r="L128" s="31"/>
      <c r="M128" s="515" t="s">
        <v>301</v>
      </c>
      <c r="N128" s="516"/>
      <c r="O128" s="194"/>
      <c r="P128" s="190"/>
      <c r="Q128" s="28">
        <v>482460000</v>
      </c>
      <c r="R128" s="29">
        <f t="shared" si="38"/>
        <v>59.588563975633981</v>
      </c>
      <c r="S128" s="29">
        <v>100</v>
      </c>
      <c r="T128" s="28">
        <f t="shared" si="39"/>
        <v>0</v>
      </c>
      <c r="U128" s="28">
        <f t="shared" si="37"/>
        <v>0</v>
      </c>
      <c r="V128" s="87">
        <f t="shared" si="34"/>
        <v>100</v>
      </c>
      <c r="W128" s="28"/>
      <c r="X128" s="28" t="e">
        <f>#REF!</f>
        <v>#REF!</v>
      </c>
      <c r="Y128" s="28" t="e">
        <f>#REF!</f>
        <v>#REF!</v>
      </c>
      <c r="Z128" s="28" t="e">
        <f>#REF!</f>
        <v>#REF!</v>
      </c>
      <c r="AA128" s="28" t="e">
        <f>#REF!</f>
        <v>#REF!</v>
      </c>
      <c r="AB128" s="28">
        <v>335806268</v>
      </c>
      <c r="AC128" s="28" t="e">
        <f>#REF!</f>
        <v>#REF!</v>
      </c>
      <c r="AD128" s="28" t="e">
        <f>#REF!</f>
        <v>#REF!</v>
      </c>
      <c r="AE128" s="28" t="e">
        <f>#REF!</f>
        <v>#REF!</v>
      </c>
      <c r="AF128" s="28" t="e">
        <f>[1]April!N44</f>
        <v>#REF!</v>
      </c>
      <c r="AG128" s="28" t="e">
        <f>[2]april!N44</f>
        <v>#REF!</v>
      </c>
      <c r="AH128" s="28" t="e">
        <f>'[3]DES SKPD'!$N44</f>
        <v>#REF!</v>
      </c>
      <c r="AI128" s="28">
        <v>0</v>
      </c>
      <c r="AJ128" s="29">
        <f t="shared" si="35"/>
        <v>0</v>
      </c>
      <c r="AK128" s="136">
        <f t="shared" si="32"/>
        <v>482460000</v>
      </c>
      <c r="AL128" s="29">
        <f t="shared" si="36"/>
        <v>100</v>
      </c>
      <c r="AM128" s="26"/>
    </row>
    <row r="129" spans="1:39" ht="32.25" customHeight="1" x14ac:dyDescent="0.25">
      <c r="A129" s="26"/>
      <c r="B129" s="97"/>
      <c r="C129" s="97"/>
      <c r="D129" s="97"/>
      <c r="E129" s="97"/>
      <c r="F129" s="97"/>
      <c r="G129" s="97"/>
      <c r="H129" s="97"/>
      <c r="I129" s="98"/>
      <c r="J129" s="97" t="s">
        <v>350</v>
      </c>
      <c r="K129" s="27"/>
      <c r="L129" s="31"/>
      <c r="M129" s="515" t="s">
        <v>438</v>
      </c>
      <c r="N129" s="516"/>
      <c r="O129" s="194"/>
      <c r="P129" s="190"/>
      <c r="Q129" s="28">
        <v>12000000</v>
      </c>
      <c r="R129" s="29">
        <f t="shared" si="38"/>
        <v>1.4821182433934579</v>
      </c>
      <c r="S129" s="29"/>
      <c r="T129" s="28">
        <f t="shared" si="39"/>
        <v>0</v>
      </c>
      <c r="U129" s="28">
        <f t="shared" si="37"/>
        <v>0</v>
      </c>
      <c r="V129" s="87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>
        <v>0</v>
      </c>
      <c r="AJ129" s="29">
        <f t="shared" si="35"/>
        <v>0</v>
      </c>
      <c r="AK129" s="136">
        <f t="shared" si="32"/>
        <v>12000000</v>
      </c>
      <c r="AL129" s="29">
        <f t="shared" si="36"/>
        <v>100</v>
      </c>
      <c r="AM129" s="26"/>
    </row>
    <row r="130" spans="1:39" s="41" customFormat="1" ht="33.75" customHeight="1" x14ac:dyDescent="0.25">
      <c r="A130" s="21">
        <f>A122+1</f>
        <v>18</v>
      </c>
      <c r="B130" s="543" t="s">
        <v>131</v>
      </c>
      <c r="C130" s="543"/>
      <c r="D130" s="543"/>
      <c r="E130" s="543"/>
      <c r="F130" s="543"/>
      <c r="G130" s="543"/>
      <c r="H130" s="543"/>
      <c r="I130" s="544"/>
      <c r="J130" s="122" t="s">
        <v>460</v>
      </c>
      <c r="K130" s="22"/>
      <c r="L130" s="72"/>
      <c r="M130" s="545" t="s">
        <v>28</v>
      </c>
      <c r="N130" s="546"/>
      <c r="O130" s="193">
        <v>140600000</v>
      </c>
      <c r="P130" s="189">
        <f>O130</f>
        <v>140600000</v>
      </c>
      <c r="Q130" s="23">
        <f>SUM(Q131:Q132)</f>
        <v>76200000</v>
      </c>
      <c r="R130" s="24">
        <f>Q130/Q$99*100</f>
        <v>2.5021372422277364</v>
      </c>
      <c r="S130" s="24">
        <v>100</v>
      </c>
      <c r="T130" s="23">
        <f t="shared" si="39"/>
        <v>0</v>
      </c>
      <c r="U130" s="23">
        <f t="shared" si="37"/>
        <v>0</v>
      </c>
      <c r="V130" s="90">
        <f>S130-T130</f>
        <v>100</v>
      </c>
      <c r="W130" s="23"/>
      <c r="X130" s="23" t="e">
        <f>#REF!</f>
        <v>#REF!</v>
      </c>
      <c r="Y130" s="23" t="e">
        <f>#REF!</f>
        <v>#REF!</v>
      </c>
      <c r="Z130" s="23" t="e">
        <f>#REF!</f>
        <v>#REF!</v>
      </c>
      <c r="AA130" s="23" t="e">
        <f>#REF!</f>
        <v>#REF!</v>
      </c>
      <c r="AB130" s="23">
        <v>54780000</v>
      </c>
      <c r="AC130" s="23" t="e">
        <f>#REF!</f>
        <v>#REF!</v>
      </c>
      <c r="AD130" s="23" t="e">
        <f>#REF!</f>
        <v>#REF!</v>
      </c>
      <c r="AE130" s="23" t="e">
        <f>#REF!</f>
        <v>#REF!</v>
      </c>
      <c r="AF130" s="23" t="e">
        <f>[1]April!N40</f>
        <v>#REF!</v>
      </c>
      <c r="AG130" s="23">
        <v>140440000</v>
      </c>
      <c r="AH130" s="23">
        <f>'[3]DES SKPD'!$N40</f>
        <v>140440000</v>
      </c>
      <c r="AI130" s="23">
        <f>SUM(AI131:AI132)</f>
        <v>0</v>
      </c>
      <c r="AJ130" s="24">
        <f t="shared" si="35"/>
        <v>0</v>
      </c>
      <c r="AK130" s="134">
        <f t="shared" si="32"/>
        <v>76200000</v>
      </c>
      <c r="AL130" s="24">
        <f t="shared" si="36"/>
        <v>100</v>
      </c>
      <c r="AM130" s="21"/>
    </row>
    <row r="131" spans="1:39" ht="29.25" customHeight="1" x14ac:dyDescent="0.25">
      <c r="A131" s="26"/>
      <c r="B131" s="97"/>
      <c r="C131" s="97"/>
      <c r="D131" s="97"/>
      <c r="E131" s="97"/>
      <c r="F131" s="97"/>
      <c r="G131" s="97"/>
      <c r="H131" s="97"/>
      <c r="I131" s="98"/>
      <c r="J131" s="97" t="s">
        <v>257</v>
      </c>
      <c r="K131" s="27"/>
      <c r="L131" s="31"/>
      <c r="M131" s="515" t="s">
        <v>258</v>
      </c>
      <c r="N131" s="516"/>
      <c r="O131" s="194"/>
      <c r="P131" s="190"/>
      <c r="Q131" s="28">
        <v>1200000</v>
      </c>
      <c r="R131" s="29">
        <f>Q131/Q$130*100</f>
        <v>1.5748031496062991</v>
      </c>
      <c r="S131" s="29">
        <v>100</v>
      </c>
      <c r="T131" s="28">
        <f t="shared" si="39"/>
        <v>0</v>
      </c>
      <c r="U131" s="28">
        <f t="shared" si="37"/>
        <v>0</v>
      </c>
      <c r="V131" s="87">
        <f>S131-T131</f>
        <v>100</v>
      </c>
      <c r="W131" s="28"/>
      <c r="X131" s="28" t="e">
        <f>#REF!</f>
        <v>#REF!</v>
      </c>
      <c r="Y131" s="28" t="e">
        <f>#REF!</f>
        <v>#REF!</v>
      </c>
      <c r="Z131" s="28" t="e">
        <f>#REF!</f>
        <v>#REF!</v>
      </c>
      <c r="AA131" s="28" t="e">
        <f>#REF!</f>
        <v>#REF!</v>
      </c>
      <c r="AB131" s="28">
        <v>54780001</v>
      </c>
      <c r="AC131" s="28" t="e">
        <f>#REF!</f>
        <v>#REF!</v>
      </c>
      <c r="AD131" s="28" t="e">
        <f>#REF!</f>
        <v>#REF!</v>
      </c>
      <c r="AE131" s="28" t="e">
        <f>#REF!</f>
        <v>#REF!</v>
      </c>
      <c r="AF131" s="28" t="e">
        <f>[1]April!N41</f>
        <v>#REF!</v>
      </c>
      <c r="AG131" s="23">
        <v>140440001</v>
      </c>
      <c r="AH131" s="28">
        <f>'[3]DES SKPD'!$N41</f>
        <v>231767600</v>
      </c>
      <c r="AI131" s="28">
        <v>0</v>
      </c>
      <c r="AJ131" s="29">
        <f t="shared" si="35"/>
        <v>0</v>
      </c>
      <c r="AK131" s="136">
        <f t="shared" si="32"/>
        <v>1200000</v>
      </c>
      <c r="AL131" s="29">
        <f t="shared" si="36"/>
        <v>100</v>
      </c>
      <c r="AM131" s="26"/>
    </row>
    <row r="132" spans="1:39" ht="29.25" customHeight="1" x14ac:dyDescent="0.25">
      <c r="A132" s="26"/>
      <c r="B132" s="97"/>
      <c r="C132" s="97"/>
      <c r="D132" s="97"/>
      <c r="E132" s="97"/>
      <c r="F132" s="97"/>
      <c r="G132" s="97"/>
      <c r="H132" s="97"/>
      <c r="I132" s="98"/>
      <c r="J132" s="97" t="s">
        <v>302</v>
      </c>
      <c r="K132" s="27"/>
      <c r="L132" s="31"/>
      <c r="M132" s="515" t="s">
        <v>303</v>
      </c>
      <c r="N132" s="516"/>
      <c r="O132" s="194"/>
      <c r="P132" s="190"/>
      <c r="Q132" s="28">
        <v>75000000</v>
      </c>
      <c r="R132" s="29">
        <f>Q132/Q$130*100</f>
        <v>98.425196850393704</v>
      </c>
      <c r="S132" s="29">
        <v>100</v>
      </c>
      <c r="T132" s="28">
        <f t="shared" si="39"/>
        <v>0</v>
      </c>
      <c r="U132" s="28">
        <f t="shared" si="37"/>
        <v>0</v>
      </c>
      <c r="V132" s="87">
        <f t="shared" ref="V132:V196" si="40">S132-T132</f>
        <v>100</v>
      </c>
      <c r="W132" s="28"/>
      <c r="X132" s="28" t="e">
        <f>#REF!</f>
        <v>#REF!</v>
      </c>
      <c r="Y132" s="28" t="e">
        <f>#REF!</f>
        <v>#REF!</v>
      </c>
      <c r="Z132" s="28" t="e">
        <f>#REF!</f>
        <v>#REF!</v>
      </c>
      <c r="AA132" s="28" t="e">
        <f>#REF!</f>
        <v>#REF!</v>
      </c>
      <c r="AB132" s="28">
        <v>54780002</v>
      </c>
      <c r="AC132" s="28" t="e">
        <f>#REF!</f>
        <v>#REF!</v>
      </c>
      <c r="AD132" s="28" t="e">
        <f>#REF!</f>
        <v>#REF!</v>
      </c>
      <c r="AE132" s="28" t="e">
        <f>#REF!</f>
        <v>#REF!</v>
      </c>
      <c r="AF132" s="28" t="e">
        <f>[1]April!N42</f>
        <v>#REF!</v>
      </c>
      <c r="AG132" s="23">
        <v>140440002</v>
      </c>
      <c r="AH132" s="28" t="e">
        <f>'[3]DES SKPD'!$N42</f>
        <v>#REF!</v>
      </c>
      <c r="AI132" s="28">
        <v>0</v>
      </c>
      <c r="AJ132" s="29">
        <f t="shared" si="35"/>
        <v>0</v>
      </c>
      <c r="AK132" s="136">
        <f t="shared" si="32"/>
        <v>75000000</v>
      </c>
      <c r="AL132" s="29">
        <f t="shared" si="36"/>
        <v>100</v>
      </c>
      <c r="AM132" s="26"/>
    </row>
    <row r="133" spans="1:39" s="41" customFormat="1" ht="33" customHeight="1" x14ac:dyDescent="0.25">
      <c r="A133" s="21">
        <f>SUM(A130+1)</f>
        <v>19</v>
      </c>
      <c r="B133" s="99"/>
      <c r="C133" s="99"/>
      <c r="D133" s="99"/>
      <c r="E133" s="99"/>
      <c r="F133" s="99"/>
      <c r="G133" s="99"/>
      <c r="H133" s="99"/>
      <c r="I133" s="100"/>
      <c r="J133" s="122" t="s">
        <v>461</v>
      </c>
      <c r="K133" s="22"/>
      <c r="L133" s="72"/>
      <c r="M133" s="545" t="s">
        <v>197</v>
      </c>
      <c r="N133" s="546"/>
      <c r="O133" s="193"/>
      <c r="P133" s="189"/>
      <c r="Q133" s="23">
        <f>SUM(Q134:Q135)</f>
        <v>319180000</v>
      </c>
      <c r="R133" s="24">
        <f>Q133/Q$99*100</f>
        <v>10.480737073152872</v>
      </c>
      <c r="S133" s="24">
        <v>100</v>
      </c>
      <c r="T133" s="23">
        <f t="shared" si="39"/>
        <v>0</v>
      </c>
      <c r="U133" s="23">
        <f t="shared" si="37"/>
        <v>0</v>
      </c>
      <c r="V133" s="90">
        <f t="shared" si="40"/>
        <v>100</v>
      </c>
      <c r="W133" s="23"/>
      <c r="X133" s="23" t="e">
        <f>#REF!</f>
        <v>#REF!</v>
      </c>
      <c r="Y133" s="23" t="e">
        <f>#REF!</f>
        <v>#REF!</v>
      </c>
      <c r="Z133" s="23" t="e">
        <f>#REF!</f>
        <v>#REF!</v>
      </c>
      <c r="AA133" s="23" t="e">
        <f>#REF!</f>
        <v>#REF!</v>
      </c>
      <c r="AB133" s="23">
        <v>54780000</v>
      </c>
      <c r="AC133" s="23" t="e">
        <f>#REF!</f>
        <v>#REF!</v>
      </c>
      <c r="AD133" s="23" t="e">
        <f>#REF!</f>
        <v>#REF!</v>
      </c>
      <c r="AE133" s="23" t="e">
        <f>#REF!</f>
        <v>#REF!</v>
      </c>
      <c r="AF133" s="23" t="e">
        <f>[1]April!N41</f>
        <v>#REF!</v>
      </c>
      <c r="AG133" s="23">
        <v>140440000</v>
      </c>
      <c r="AH133" s="23">
        <f>'[3]DES SKPD'!$N41</f>
        <v>231767600</v>
      </c>
      <c r="AI133" s="23">
        <f>SUM(AI134:AI135)</f>
        <v>0</v>
      </c>
      <c r="AJ133" s="24">
        <f t="shared" si="35"/>
        <v>0</v>
      </c>
      <c r="AK133" s="134">
        <f t="shared" si="32"/>
        <v>319180000</v>
      </c>
      <c r="AL133" s="24">
        <f t="shared" si="36"/>
        <v>100</v>
      </c>
      <c r="AM133" s="21"/>
    </row>
    <row r="134" spans="1:39" ht="28.5" customHeight="1" x14ac:dyDescent="0.25">
      <c r="A134" s="26"/>
      <c r="B134" s="97"/>
      <c r="C134" s="97"/>
      <c r="D134" s="97"/>
      <c r="E134" s="97"/>
      <c r="F134" s="97"/>
      <c r="G134" s="97"/>
      <c r="H134" s="97"/>
      <c r="I134" s="98"/>
      <c r="J134" s="97" t="s">
        <v>257</v>
      </c>
      <c r="K134" s="27"/>
      <c r="L134" s="31"/>
      <c r="M134" s="515" t="s">
        <v>258</v>
      </c>
      <c r="N134" s="516"/>
      <c r="O134" s="194"/>
      <c r="P134" s="190"/>
      <c r="Q134" s="28">
        <v>3900000</v>
      </c>
      <c r="R134" s="29">
        <f>Q134/Q$133*100</f>
        <v>1.2218810702424965</v>
      </c>
      <c r="S134" s="29">
        <v>100</v>
      </c>
      <c r="T134" s="28">
        <f t="shared" si="39"/>
        <v>0</v>
      </c>
      <c r="U134" s="28">
        <f t="shared" si="37"/>
        <v>0</v>
      </c>
      <c r="V134" s="87">
        <f t="shared" si="40"/>
        <v>100</v>
      </c>
      <c r="W134" s="28"/>
      <c r="X134" s="28" t="e">
        <f>#REF!</f>
        <v>#REF!</v>
      </c>
      <c r="Y134" s="28" t="e">
        <f>#REF!</f>
        <v>#REF!</v>
      </c>
      <c r="Z134" s="28" t="e">
        <f>#REF!</f>
        <v>#REF!</v>
      </c>
      <c r="AA134" s="28" t="e">
        <f>#REF!</f>
        <v>#REF!</v>
      </c>
      <c r="AB134" s="28">
        <v>54780001</v>
      </c>
      <c r="AC134" s="28" t="e">
        <f>#REF!</f>
        <v>#REF!</v>
      </c>
      <c r="AD134" s="28" t="e">
        <f>#REF!</f>
        <v>#REF!</v>
      </c>
      <c r="AE134" s="28" t="e">
        <f>#REF!</f>
        <v>#REF!</v>
      </c>
      <c r="AF134" s="28" t="e">
        <f>[1]April!N42</f>
        <v>#REF!</v>
      </c>
      <c r="AG134" s="23">
        <v>140440001</v>
      </c>
      <c r="AH134" s="28" t="e">
        <f>'[3]DES SKPD'!$N42</f>
        <v>#REF!</v>
      </c>
      <c r="AI134" s="28">
        <v>0</v>
      </c>
      <c r="AJ134" s="29">
        <f t="shared" si="35"/>
        <v>0</v>
      </c>
      <c r="AK134" s="136">
        <f t="shared" si="32"/>
        <v>3900000</v>
      </c>
      <c r="AL134" s="29">
        <f t="shared" si="36"/>
        <v>100</v>
      </c>
      <c r="AM134" s="26"/>
    </row>
    <row r="135" spans="1:39" ht="28.5" customHeight="1" x14ac:dyDescent="0.25">
      <c r="A135" s="26"/>
      <c r="B135" s="97"/>
      <c r="C135" s="97"/>
      <c r="D135" s="97"/>
      <c r="E135" s="97"/>
      <c r="F135" s="97"/>
      <c r="G135" s="97"/>
      <c r="H135" s="97"/>
      <c r="I135" s="98"/>
      <c r="J135" s="97" t="s">
        <v>304</v>
      </c>
      <c r="K135" s="27"/>
      <c r="L135" s="31"/>
      <c r="M135" s="515" t="s">
        <v>305</v>
      </c>
      <c r="N135" s="516"/>
      <c r="O135" s="194"/>
      <c r="P135" s="190"/>
      <c r="Q135" s="28">
        <v>315280000</v>
      </c>
      <c r="R135" s="29">
        <f>Q135/Q$133*100</f>
        <v>98.778118929757511</v>
      </c>
      <c r="S135" s="29">
        <v>100</v>
      </c>
      <c r="T135" s="28">
        <f t="shared" si="39"/>
        <v>0</v>
      </c>
      <c r="U135" s="28">
        <f t="shared" si="37"/>
        <v>0</v>
      </c>
      <c r="V135" s="87">
        <f t="shared" si="40"/>
        <v>100</v>
      </c>
      <c r="W135" s="28"/>
      <c r="X135" s="28" t="e">
        <f>#REF!</f>
        <v>#REF!</v>
      </c>
      <c r="Y135" s="28" t="e">
        <f>#REF!</f>
        <v>#REF!</v>
      </c>
      <c r="Z135" s="28" t="e">
        <f>#REF!</f>
        <v>#REF!</v>
      </c>
      <c r="AA135" s="28" t="e">
        <f>#REF!</f>
        <v>#REF!</v>
      </c>
      <c r="AB135" s="28">
        <v>54780002</v>
      </c>
      <c r="AC135" s="28" t="e">
        <f>#REF!</f>
        <v>#REF!</v>
      </c>
      <c r="AD135" s="28" t="e">
        <f>#REF!</f>
        <v>#REF!</v>
      </c>
      <c r="AE135" s="28" t="e">
        <f>#REF!</f>
        <v>#REF!</v>
      </c>
      <c r="AF135" s="28" t="e">
        <f>[1]April!N43</f>
        <v>#REF!</v>
      </c>
      <c r="AG135" s="23">
        <v>140440002</v>
      </c>
      <c r="AH135" s="28">
        <f>'[3]DES SKPD'!$N43</f>
        <v>38085000</v>
      </c>
      <c r="AI135" s="28">
        <v>0</v>
      </c>
      <c r="AJ135" s="29">
        <f t="shared" si="35"/>
        <v>0</v>
      </c>
      <c r="AK135" s="136">
        <f t="shared" si="32"/>
        <v>315280000</v>
      </c>
      <c r="AL135" s="29">
        <f t="shared" si="36"/>
        <v>100</v>
      </c>
      <c r="AM135" s="26"/>
    </row>
    <row r="136" spans="1:39" s="36" customFormat="1" ht="29.25" customHeight="1" x14ac:dyDescent="0.25">
      <c r="A136" s="51" t="s">
        <v>29</v>
      </c>
      <c r="B136" s="547" t="s">
        <v>132</v>
      </c>
      <c r="C136" s="547"/>
      <c r="D136" s="547"/>
      <c r="E136" s="547"/>
      <c r="F136" s="547"/>
      <c r="G136" s="547"/>
      <c r="H136" s="547"/>
      <c r="I136" s="548"/>
      <c r="J136" s="148" t="s">
        <v>454</v>
      </c>
      <c r="K136" s="52"/>
      <c r="L136" s="549" t="s">
        <v>383</v>
      </c>
      <c r="M136" s="549"/>
      <c r="N136" s="550"/>
      <c r="O136" s="192">
        <f>SUM(O141)</f>
        <v>39710000</v>
      </c>
      <c r="P136" s="192">
        <f>SUM(P141)</f>
        <v>39710000</v>
      </c>
      <c r="Q136" s="55">
        <f>SUM(Q137+Q141)</f>
        <v>130040000</v>
      </c>
      <c r="R136" s="57">
        <f>Q136/Q$33*100</f>
        <v>0.38011421788298122</v>
      </c>
      <c r="S136" s="57">
        <v>100</v>
      </c>
      <c r="T136" s="55">
        <f t="shared" si="39"/>
        <v>0</v>
      </c>
      <c r="U136" s="55">
        <f>SUM(R136*T136/100)</f>
        <v>0</v>
      </c>
      <c r="V136" s="117">
        <f t="shared" si="40"/>
        <v>100</v>
      </c>
      <c r="W136" s="55">
        <f>SUM(W141)</f>
        <v>0</v>
      </c>
      <c r="X136" s="55" t="e">
        <f>SUM(X141)</f>
        <v>#REF!</v>
      </c>
      <c r="Y136" s="55" t="e">
        <f t="shared" ref="Y136:AI136" si="41">SUM(Y141)</f>
        <v>#REF!</v>
      </c>
      <c r="Z136" s="55" t="e">
        <f t="shared" si="41"/>
        <v>#REF!</v>
      </c>
      <c r="AA136" s="55" t="e">
        <f t="shared" si="41"/>
        <v>#REF!</v>
      </c>
      <c r="AB136" s="55">
        <f t="shared" si="41"/>
        <v>38085000</v>
      </c>
      <c r="AC136" s="55" t="e">
        <f t="shared" si="41"/>
        <v>#REF!</v>
      </c>
      <c r="AD136" s="55" t="e">
        <f t="shared" si="41"/>
        <v>#REF!</v>
      </c>
      <c r="AE136" s="55" t="e">
        <f t="shared" si="41"/>
        <v>#REF!</v>
      </c>
      <c r="AF136" s="55" t="e">
        <f t="shared" si="41"/>
        <v>#REF!</v>
      </c>
      <c r="AG136" s="55" t="e">
        <f t="shared" si="41"/>
        <v>#REF!</v>
      </c>
      <c r="AH136" s="55">
        <f t="shared" si="41"/>
        <v>38085000</v>
      </c>
      <c r="AI136" s="55">
        <f t="shared" si="41"/>
        <v>0</v>
      </c>
      <c r="AJ136" s="57">
        <f t="shared" si="35"/>
        <v>0</v>
      </c>
      <c r="AK136" s="137">
        <f>SUM(Q136-AI136)</f>
        <v>130040000</v>
      </c>
      <c r="AL136" s="57">
        <f t="shared" si="36"/>
        <v>100</v>
      </c>
      <c r="AM136" s="51"/>
    </row>
    <row r="137" spans="1:39" s="3" customFormat="1" ht="29.25" customHeight="1" x14ac:dyDescent="0.25">
      <c r="A137" s="21">
        <f>A133+1</f>
        <v>20</v>
      </c>
      <c r="B137" s="99"/>
      <c r="C137" s="99"/>
      <c r="D137" s="99"/>
      <c r="E137" s="99"/>
      <c r="F137" s="99"/>
      <c r="G137" s="99"/>
      <c r="H137" s="99"/>
      <c r="I137" s="100"/>
      <c r="J137" s="122" t="s">
        <v>462</v>
      </c>
      <c r="K137" s="22"/>
      <c r="L137" s="101"/>
      <c r="M137" s="545" t="s">
        <v>386</v>
      </c>
      <c r="N137" s="546"/>
      <c r="O137" s="189"/>
      <c r="P137" s="189"/>
      <c r="Q137" s="23">
        <f>SUM(Q138:Q140)</f>
        <v>86270000</v>
      </c>
      <c r="R137" s="24">
        <f>Q137/Q$33*100</f>
        <v>0.25217205149772987</v>
      </c>
      <c r="S137" s="24">
        <v>100</v>
      </c>
      <c r="T137" s="23">
        <f t="shared" si="39"/>
        <v>0</v>
      </c>
      <c r="U137" s="23">
        <f t="shared" ref="U137:U144" si="42">R137*T137/100</f>
        <v>0</v>
      </c>
      <c r="V137" s="90">
        <f t="shared" si="40"/>
        <v>100</v>
      </c>
      <c r="W137" s="23"/>
      <c r="X137" s="23" t="e">
        <f>#REF!</f>
        <v>#REF!</v>
      </c>
      <c r="Y137" s="23" t="e">
        <f>#REF!</f>
        <v>#REF!</v>
      </c>
      <c r="Z137" s="23" t="e">
        <f>#REF!</f>
        <v>#REF!</v>
      </c>
      <c r="AA137" s="23" t="e">
        <f>#REF!</f>
        <v>#REF!</v>
      </c>
      <c r="AB137" s="23">
        <v>38085000</v>
      </c>
      <c r="AC137" s="23" t="e">
        <f>#REF!</f>
        <v>#REF!</v>
      </c>
      <c r="AD137" s="23" t="e">
        <f>#REF!</f>
        <v>#REF!</v>
      </c>
      <c r="AE137" s="23" t="e">
        <f>#REF!</f>
        <v>#REF!</v>
      </c>
      <c r="AF137" s="23" t="e">
        <f>[1]April!$N$43</f>
        <v>#REF!</v>
      </c>
      <c r="AG137" s="23" t="e">
        <f>[2]april!$N$43</f>
        <v>#REF!</v>
      </c>
      <c r="AH137" s="23">
        <f>'[3]DES SKPD'!$N39</f>
        <v>676934270</v>
      </c>
      <c r="AI137" s="23">
        <f>SUM(AI138:AI140)</f>
        <v>0</v>
      </c>
      <c r="AJ137" s="24">
        <f t="shared" si="35"/>
        <v>0</v>
      </c>
      <c r="AK137" s="134">
        <f t="shared" ref="AK137:AK144" si="43">Q137-AI137</f>
        <v>86270000</v>
      </c>
      <c r="AL137" s="24">
        <f t="shared" si="36"/>
        <v>100</v>
      </c>
      <c r="AM137" s="21"/>
    </row>
    <row r="138" spans="1:39" s="3" customFormat="1" ht="29.25" customHeight="1" x14ac:dyDescent="0.25">
      <c r="A138" s="21"/>
      <c r="B138" s="99"/>
      <c r="C138" s="99"/>
      <c r="D138" s="99"/>
      <c r="E138" s="99"/>
      <c r="F138" s="99"/>
      <c r="G138" s="99"/>
      <c r="H138" s="99"/>
      <c r="I138" s="100"/>
      <c r="J138" s="97" t="s">
        <v>257</v>
      </c>
      <c r="K138" s="27"/>
      <c r="L138" s="31"/>
      <c r="M138" s="515" t="s">
        <v>258</v>
      </c>
      <c r="N138" s="516"/>
      <c r="O138" s="189"/>
      <c r="P138" s="189"/>
      <c r="Q138" s="28">
        <v>470000</v>
      </c>
      <c r="R138" s="29">
        <f>Q138/Q$137*100</f>
        <v>0.54480120551756117</v>
      </c>
      <c r="S138" s="29">
        <v>100</v>
      </c>
      <c r="T138" s="28">
        <f t="shared" si="39"/>
        <v>0</v>
      </c>
      <c r="U138" s="28">
        <f t="shared" si="42"/>
        <v>0</v>
      </c>
      <c r="V138" s="87">
        <f t="shared" si="40"/>
        <v>100</v>
      </c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>
        <v>0</v>
      </c>
      <c r="AJ138" s="29">
        <f t="shared" si="35"/>
        <v>0</v>
      </c>
      <c r="AK138" s="136">
        <f t="shared" si="43"/>
        <v>470000</v>
      </c>
      <c r="AL138" s="29">
        <f t="shared" si="36"/>
        <v>100</v>
      </c>
      <c r="AM138" s="26"/>
    </row>
    <row r="139" spans="1:39" s="3" customFormat="1" ht="29.25" customHeight="1" x14ac:dyDescent="0.25">
      <c r="A139" s="21"/>
      <c r="B139" s="99"/>
      <c r="C139" s="99"/>
      <c r="D139" s="99"/>
      <c r="E139" s="99"/>
      <c r="F139" s="99"/>
      <c r="G139" s="99"/>
      <c r="H139" s="99"/>
      <c r="I139" s="100"/>
      <c r="J139" s="97" t="s">
        <v>259</v>
      </c>
      <c r="K139" s="27"/>
      <c r="L139" s="31"/>
      <c r="M139" s="515" t="s">
        <v>260</v>
      </c>
      <c r="N139" s="516"/>
      <c r="O139" s="189"/>
      <c r="P139" s="189"/>
      <c r="Q139" s="28">
        <v>800000</v>
      </c>
      <c r="R139" s="29">
        <f>Q139/Q$137*100</f>
        <v>0.92732120088095515</v>
      </c>
      <c r="S139" s="29">
        <v>100</v>
      </c>
      <c r="T139" s="28">
        <f t="shared" si="39"/>
        <v>0</v>
      </c>
      <c r="U139" s="28">
        <f t="shared" si="42"/>
        <v>0</v>
      </c>
      <c r="V139" s="87">
        <f t="shared" si="40"/>
        <v>100</v>
      </c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>
        <v>0</v>
      </c>
      <c r="AJ139" s="29">
        <f t="shared" si="35"/>
        <v>0</v>
      </c>
      <c r="AK139" s="136">
        <f t="shared" si="43"/>
        <v>800000</v>
      </c>
      <c r="AL139" s="29">
        <f t="shared" si="36"/>
        <v>100</v>
      </c>
      <c r="AM139" s="26"/>
    </row>
    <row r="140" spans="1:39" s="3" customFormat="1" ht="29.25" customHeight="1" x14ac:dyDescent="0.25">
      <c r="A140" s="21"/>
      <c r="B140" s="99"/>
      <c r="C140" s="99"/>
      <c r="D140" s="99"/>
      <c r="E140" s="99"/>
      <c r="F140" s="99"/>
      <c r="G140" s="99"/>
      <c r="H140" s="99"/>
      <c r="I140" s="100"/>
      <c r="J140" s="97" t="s">
        <v>387</v>
      </c>
      <c r="K140" s="22"/>
      <c r="L140" s="101"/>
      <c r="M140" s="515" t="s">
        <v>388</v>
      </c>
      <c r="N140" s="516"/>
      <c r="O140" s="189"/>
      <c r="P140" s="189"/>
      <c r="Q140" s="28">
        <v>85000000</v>
      </c>
      <c r="R140" s="29">
        <f>Q140/Q$137*100</f>
        <v>98.527877593601488</v>
      </c>
      <c r="S140" s="29">
        <v>100</v>
      </c>
      <c r="T140" s="28">
        <f t="shared" si="39"/>
        <v>0</v>
      </c>
      <c r="U140" s="28">
        <f t="shared" si="42"/>
        <v>0</v>
      </c>
      <c r="V140" s="87">
        <f t="shared" si="40"/>
        <v>100</v>
      </c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>
        <v>0</v>
      </c>
      <c r="AJ140" s="29">
        <f t="shared" si="35"/>
        <v>0</v>
      </c>
      <c r="AK140" s="136">
        <f t="shared" si="43"/>
        <v>85000000</v>
      </c>
      <c r="AL140" s="29">
        <f t="shared" si="36"/>
        <v>100</v>
      </c>
      <c r="AM140" s="26"/>
    </row>
    <row r="141" spans="1:39" s="41" customFormat="1" ht="28.5" customHeight="1" x14ac:dyDescent="0.25">
      <c r="A141" s="21">
        <f>A137+1</f>
        <v>21</v>
      </c>
      <c r="B141" s="543" t="s">
        <v>133</v>
      </c>
      <c r="C141" s="543"/>
      <c r="D141" s="543"/>
      <c r="E141" s="543"/>
      <c r="F141" s="543"/>
      <c r="G141" s="543"/>
      <c r="H141" s="543"/>
      <c r="I141" s="544"/>
      <c r="J141" s="122" t="s">
        <v>463</v>
      </c>
      <c r="K141" s="22"/>
      <c r="L141" s="72"/>
      <c r="M141" s="545" t="s">
        <v>134</v>
      </c>
      <c r="N141" s="546"/>
      <c r="O141" s="189">
        <v>39710000</v>
      </c>
      <c r="P141" s="189">
        <f>O141</f>
        <v>39710000</v>
      </c>
      <c r="Q141" s="23">
        <f>SUM(Q142:Q144)</f>
        <v>43770000</v>
      </c>
      <c r="R141" s="24">
        <f>Q141/Q$33*100</f>
        <v>0.12794216638525135</v>
      </c>
      <c r="S141" s="24">
        <v>100</v>
      </c>
      <c r="T141" s="23">
        <f t="shared" si="39"/>
        <v>0</v>
      </c>
      <c r="U141" s="23">
        <f t="shared" si="42"/>
        <v>0</v>
      </c>
      <c r="V141" s="90">
        <f t="shared" si="40"/>
        <v>100</v>
      </c>
      <c r="W141" s="23"/>
      <c r="X141" s="23" t="e">
        <f>#REF!</f>
        <v>#REF!</v>
      </c>
      <c r="Y141" s="23" t="e">
        <f>#REF!</f>
        <v>#REF!</v>
      </c>
      <c r="Z141" s="23" t="e">
        <f>#REF!</f>
        <v>#REF!</v>
      </c>
      <c r="AA141" s="23" t="e">
        <f>#REF!</f>
        <v>#REF!</v>
      </c>
      <c r="AB141" s="23">
        <v>38085000</v>
      </c>
      <c r="AC141" s="23" t="e">
        <f>#REF!</f>
        <v>#REF!</v>
      </c>
      <c r="AD141" s="23" t="e">
        <f>#REF!</f>
        <v>#REF!</v>
      </c>
      <c r="AE141" s="23" t="e">
        <f>#REF!</f>
        <v>#REF!</v>
      </c>
      <c r="AF141" s="23" t="e">
        <f>[1]April!$N$43</f>
        <v>#REF!</v>
      </c>
      <c r="AG141" s="23" t="e">
        <f>[2]april!$N$43</f>
        <v>#REF!</v>
      </c>
      <c r="AH141" s="23">
        <f>'[3]DES SKPD'!$N43</f>
        <v>38085000</v>
      </c>
      <c r="AI141" s="23">
        <f>SUM(AI142:AI144)</f>
        <v>0</v>
      </c>
      <c r="AJ141" s="24">
        <f t="shared" si="35"/>
        <v>0</v>
      </c>
      <c r="AK141" s="134">
        <f t="shared" si="43"/>
        <v>43770000</v>
      </c>
      <c r="AL141" s="24">
        <f t="shared" si="36"/>
        <v>100</v>
      </c>
      <c r="AM141" s="21"/>
    </row>
    <row r="142" spans="1:39" ht="24.75" customHeight="1" x14ac:dyDescent="0.25">
      <c r="A142" s="26"/>
      <c r="B142" s="97"/>
      <c r="C142" s="97"/>
      <c r="D142" s="97"/>
      <c r="E142" s="97"/>
      <c r="F142" s="97"/>
      <c r="G142" s="97"/>
      <c r="H142" s="97"/>
      <c r="I142" s="98"/>
      <c r="J142" s="97" t="s">
        <v>257</v>
      </c>
      <c r="K142" s="27"/>
      <c r="L142" s="31"/>
      <c r="M142" s="515" t="s">
        <v>258</v>
      </c>
      <c r="N142" s="516"/>
      <c r="O142" s="190"/>
      <c r="P142" s="190"/>
      <c r="Q142" s="28">
        <v>470000</v>
      </c>
      <c r="R142" s="29">
        <f>Q142/Q$141*100</f>
        <v>1.0737948366461045</v>
      </c>
      <c r="S142" s="29">
        <v>100</v>
      </c>
      <c r="T142" s="28">
        <f t="shared" si="39"/>
        <v>0</v>
      </c>
      <c r="U142" s="28">
        <f t="shared" si="42"/>
        <v>0</v>
      </c>
      <c r="V142" s="87">
        <f t="shared" si="40"/>
        <v>100</v>
      </c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>
        <v>0</v>
      </c>
      <c r="AJ142" s="29">
        <f t="shared" si="35"/>
        <v>0</v>
      </c>
      <c r="AK142" s="136">
        <f t="shared" si="43"/>
        <v>470000</v>
      </c>
      <c r="AL142" s="29">
        <f t="shared" si="36"/>
        <v>100</v>
      </c>
      <c r="AM142" s="26"/>
    </row>
    <row r="143" spans="1:39" ht="24.75" customHeight="1" x14ac:dyDescent="0.25">
      <c r="A143" s="26"/>
      <c r="B143" s="97"/>
      <c r="C143" s="97"/>
      <c r="D143" s="97"/>
      <c r="E143" s="97"/>
      <c r="F143" s="97"/>
      <c r="G143" s="97"/>
      <c r="H143" s="97"/>
      <c r="I143" s="98"/>
      <c r="J143" s="97" t="s">
        <v>259</v>
      </c>
      <c r="K143" s="27"/>
      <c r="L143" s="31"/>
      <c r="M143" s="515" t="s">
        <v>260</v>
      </c>
      <c r="N143" s="516"/>
      <c r="O143" s="190"/>
      <c r="P143" s="190"/>
      <c r="Q143" s="28">
        <v>800000</v>
      </c>
      <c r="R143" s="29">
        <f>Q143/Q$141*100</f>
        <v>1.8277358921635825</v>
      </c>
      <c r="S143" s="29">
        <v>100</v>
      </c>
      <c r="T143" s="28">
        <f t="shared" si="39"/>
        <v>0</v>
      </c>
      <c r="U143" s="28">
        <f t="shared" si="42"/>
        <v>0</v>
      </c>
      <c r="V143" s="87">
        <f t="shared" si="40"/>
        <v>100</v>
      </c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>
        <v>0</v>
      </c>
      <c r="AJ143" s="29">
        <f t="shared" si="35"/>
        <v>0</v>
      </c>
      <c r="AK143" s="136">
        <f t="shared" si="43"/>
        <v>800000</v>
      </c>
      <c r="AL143" s="29">
        <f t="shared" si="36"/>
        <v>100</v>
      </c>
      <c r="AM143" s="26"/>
    </row>
    <row r="144" spans="1:39" ht="24.75" customHeight="1" x14ac:dyDescent="0.25">
      <c r="A144" s="26"/>
      <c r="B144" s="97"/>
      <c r="C144" s="97"/>
      <c r="D144" s="97"/>
      <c r="E144" s="97"/>
      <c r="F144" s="97"/>
      <c r="G144" s="97"/>
      <c r="H144" s="97"/>
      <c r="I144" s="98"/>
      <c r="J144" s="97" t="s">
        <v>311</v>
      </c>
      <c r="K144" s="27"/>
      <c r="L144" s="31"/>
      <c r="M144" s="515" t="s">
        <v>312</v>
      </c>
      <c r="N144" s="516"/>
      <c r="O144" s="190"/>
      <c r="P144" s="190"/>
      <c r="Q144" s="28">
        <v>42500000</v>
      </c>
      <c r="R144" s="29">
        <f>Q144/Q$141*100</f>
        <v>97.098469271190311</v>
      </c>
      <c r="S144" s="29">
        <v>100</v>
      </c>
      <c r="T144" s="28">
        <f t="shared" si="39"/>
        <v>0</v>
      </c>
      <c r="U144" s="28">
        <f t="shared" si="42"/>
        <v>0</v>
      </c>
      <c r="V144" s="87">
        <f t="shared" si="40"/>
        <v>100</v>
      </c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>
        <v>0</v>
      </c>
      <c r="AJ144" s="29">
        <f t="shared" si="35"/>
        <v>0</v>
      </c>
      <c r="AK144" s="136">
        <f t="shared" si="43"/>
        <v>42500000</v>
      </c>
      <c r="AL144" s="29">
        <f t="shared" si="36"/>
        <v>100</v>
      </c>
      <c r="AM144" s="26"/>
    </row>
    <row r="145" spans="1:39" s="36" customFormat="1" ht="28.5" customHeight="1" x14ac:dyDescent="0.25">
      <c r="A145" s="51" t="s">
        <v>30</v>
      </c>
      <c r="B145" s="547" t="s">
        <v>135</v>
      </c>
      <c r="C145" s="547"/>
      <c r="D145" s="547"/>
      <c r="E145" s="547"/>
      <c r="F145" s="547"/>
      <c r="G145" s="547"/>
      <c r="H145" s="547"/>
      <c r="I145" s="548"/>
      <c r="J145" s="148" t="s">
        <v>464</v>
      </c>
      <c r="K145" s="52"/>
      <c r="L145" s="549" t="s">
        <v>31</v>
      </c>
      <c r="M145" s="549"/>
      <c r="N145" s="550"/>
      <c r="O145" s="192">
        <f>SUM(O146:O150)</f>
        <v>789320000</v>
      </c>
      <c r="P145" s="192">
        <f>SUM(P146:P150)</f>
        <v>789320000</v>
      </c>
      <c r="Q145" s="55">
        <f>SUM(Q146+Q150)</f>
        <v>226540000</v>
      </c>
      <c r="R145" s="57">
        <f>Q145/Q$53*100</f>
        <v>0.98553491285443051</v>
      </c>
      <c r="S145" s="124">
        <v>100</v>
      </c>
      <c r="T145" s="125">
        <f t="shared" si="39"/>
        <v>0</v>
      </c>
      <c r="U145" s="55">
        <f>SUM(R145*T145/100)</f>
        <v>0</v>
      </c>
      <c r="V145" s="126">
        <f t="shared" si="40"/>
        <v>100</v>
      </c>
      <c r="W145" s="55">
        <f t="shared" ref="W145:AH145" si="44">SUM(W146:W150)</f>
        <v>0</v>
      </c>
      <c r="X145" s="55" t="e">
        <f t="shared" si="44"/>
        <v>#REF!</v>
      </c>
      <c r="Y145" s="55" t="e">
        <f t="shared" si="44"/>
        <v>#REF!</v>
      </c>
      <c r="Z145" s="55" t="e">
        <f t="shared" si="44"/>
        <v>#REF!</v>
      </c>
      <c r="AA145" s="55" t="e">
        <f t="shared" si="44"/>
        <v>#REF!</v>
      </c>
      <c r="AB145" s="55">
        <f t="shared" si="44"/>
        <v>189087374</v>
      </c>
      <c r="AC145" s="55" t="e">
        <f t="shared" si="44"/>
        <v>#REF!</v>
      </c>
      <c r="AD145" s="55" t="e">
        <f t="shared" si="44"/>
        <v>#REF!</v>
      </c>
      <c r="AE145" s="55" t="e">
        <f t="shared" si="44"/>
        <v>#REF!</v>
      </c>
      <c r="AF145" s="55" t="e">
        <f t="shared" si="44"/>
        <v>#REF!</v>
      </c>
      <c r="AG145" s="55" t="e">
        <f t="shared" si="44"/>
        <v>#REF!</v>
      </c>
      <c r="AH145" s="55">
        <f t="shared" si="44"/>
        <v>663965174</v>
      </c>
      <c r="AI145" s="55">
        <f>SUM(AI146+AI150)</f>
        <v>0</v>
      </c>
      <c r="AJ145" s="57">
        <f t="shared" si="35"/>
        <v>0</v>
      </c>
      <c r="AK145" s="137">
        <f>SUM(Q145-AI145)</f>
        <v>226540000</v>
      </c>
      <c r="AL145" s="57">
        <f t="shared" si="36"/>
        <v>100</v>
      </c>
      <c r="AM145" s="51"/>
    </row>
    <row r="146" spans="1:39" s="41" customFormat="1" ht="29.25" customHeight="1" x14ac:dyDescent="0.25">
      <c r="A146" s="21">
        <f>A141+1</f>
        <v>22</v>
      </c>
      <c r="B146" s="543" t="s">
        <v>136</v>
      </c>
      <c r="C146" s="543"/>
      <c r="D146" s="543"/>
      <c r="E146" s="543"/>
      <c r="F146" s="543"/>
      <c r="G146" s="543"/>
      <c r="H146" s="543"/>
      <c r="I146" s="544"/>
      <c r="J146" s="122" t="s">
        <v>465</v>
      </c>
      <c r="K146" s="22"/>
      <c r="L146" s="72"/>
      <c r="M146" s="545" t="s">
        <v>32</v>
      </c>
      <c r="N146" s="546"/>
      <c r="O146" s="193">
        <v>350000000</v>
      </c>
      <c r="P146" s="189">
        <f>O146</f>
        <v>350000000</v>
      </c>
      <c r="Q146" s="23">
        <f>SUM(Q147:Q149)</f>
        <v>82820000</v>
      </c>
      <c r="R146" s="24">
        <f>Q146/Q$145*100</f>
        <v>36.558665136399753</v>
      </c>
      <c r="S146" s="24">
        <v>100</v>
      </c>
      <c r="T146" s="23">
        <f t="shared" si="39"/>
        <v>0</v>
      </c>
      <c r="U146" s="23">
        <f>R146*T146/100</f>
        <v>0</v>
      </c>
      <c r="V146" s="90">
        <f t="shared" si="40"/>
        <v>100</v>
      </c>
      <c r="W146" s="23"/>
      <c r="X146" s="23" t="e">
        <f>#REF!</f>
        <v>#REF!</v>
      </c>
      <c r="Y146" s="23" t="e">
        <f>#REF!</f>
        <v>#REF!</v>
      </c>
      <c r="Z146" s="23" t="e">
        <f>#REF!</f>
        <v>#REF!</v>
      </c>
      <c r="AA146" s="23" t="e">
        <f>#REF!</f>
        <v>#REF!</v>
      </c>
      <c r="AB146" s="23">
        <v>112882300</v>
      </c>
      <c r="AC146" s="23" t="e">
        <f>#REF!</f>
        <v>#REF!</v>
      </c>
      <c r="AD146" s="23" t="e">
        <f>#REF!</f>
        <v>#REF!</v>
      </c>
      <c r="AE146" s="23" t="e">
        <f>#REF!</f>
        <v>#REF!</v>
      </c>
      <c r="AF146" s="23" t="e">
        <f>[1]April!N45</f>
        <v>#REF!</v>
      </c>
      <c r="AG146" s="23" t="e">
        <f>[2]april!N45</f>
        <v>#REF!</v>
      </c>
      <c r="AH146" s="23">
        <f>'[3]DES SKPD'!$N45</f>
        <v>320566100</v>
      </c>
      <c r="AI146" s="23">
        <f>SUM(AI147:AI149)</f>
        <v>0</v>
      </c>
      <c r="AJ146" s="24">
        <f t="shared" si="35"/>
        <v>0</v>
      </c>
      <c r="AK146" s="134">
        <f t="shared" ref="AK146:AK158" si="45">Q146-AI146</f>
        <v>82820000</v>
      </c>
      <c r="AL146" s="24">
        <f t="shared" si="36"/>
        <v>100</v>
      </c>
      <c r="AM146" s="21"/>
    </row>
    <row r="147" spans="1:39" ht="29.25" customHeight="1" x14ac:dyDescent="0.25">
      <c r="A147" s="26"/>
      <c r="B147" s="97"/>
      <c r="C147" s="97"/>
      <c r="D147" s="97"/>
      <c r="E147" s="97"/>
      <c r="F147" s="97"/>
      <c r="G147" s="97"/>
      <c r="H147" s="97"/>
      <c r="I147" s="98"/>
      <c r="J147" s="97" t="s">
        <v>257</v>
      </c>
      <c r="K147" s="27"/>
      <c r="L147" s="31"/>
      <c r="M147" s="515" t="s">
        <v>258</v>
      </c>
      <c r="N147" s="516"/>
      <c r="O147" s="194"/>
      <c r="P147" s="190"/>
      <c r="Q147" s="28">
        <v>2820000</v>
      </c>
      <c r="R147" s="29">
        <f>Q147/Q$146*100</f>
        <v>3.4049746438058444</v>
      </c>
      <c r="S147" s="29">
        <v>100</v>
      </c>
      <c r="T147" s="28">
        <f t="shared" si="39"/>
        <v>0</v>
      </c>
      <c r="U147" s="28">
        <f>R147*T147/100</f>
        <v>0</v>
      </c>
      <c r="V147" s="87">
        <f t="shared" si="40"/>
        <v>100</v>
      </c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>
        <v>0</v>
      </c>
      <c r="AJ147" s="29">
        <f t="shared" si="35"/>
        <v>0</v>
      </c>
      <c r="AK147" s="136">
        <f t="shared" si="45"/>
        <v>2820000</v>
      </c>
      <c r="AL147" s="29">
        <f t="shared" si="36"/>
        <v>100</v>
      </c>
      <c r="AM147" s="26"/>
    </row>
    <row r="148" spans="1:39" ht="29.25" customHeight="1" x14ac:dyDescent="0.25">
      <c r="A148" s="26"/>
      <c r="B148" s="97"/>
      <c r="C148" s="97"/>
      <c r="D148" s="97"/>
      <c r="E148" s="97"/>
      <c r="F148" s="97"/>
      <c r="G148" s="97"/>
      <c r="H148" s="97"/>
      <c r="I148" s="98"/>
      <c r="J148" s="97" t="s">
        <v>282</v>
      </c>
      <c r="K148" s="27"/>
      <c r="L148" s="31"/>
      <c r="M148" s="515" t="s">
        <v>283</v>
      </c>
      <c r="N148" s="516"/>
      <c r="O148" s="194"/>
      <c r="P148" s="190"/>
      <c r="Q148" s="28">
        <v>20000000</v>
      </c>
      <c r="R148" s="29"/>
      <c r="S148" s="29"/>
      <c r="T148" s="28">
        <f t="shared" si="39"/>
        <v>0</v>
      </c>
      <c r="U148" s="28"/>
      <c r="V148" s="87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>
        <v>0</v>
      </c>
      <c r="AJ148" s="29">
        <f t="shared" si="35"/>
        <v>0</v>
      </c>
      <c r="AK148" s="136">
        <f t="shared" si="45"/>
        <v>20000000</v>
      </c>
      <c r="AL148" s="29">
        <f t="shared" si="36"/>
        <v>100</v>
      </c>
      <c r="AM148" s="26"/>
    </row>
    <row r="149" spans="1:39" ht="29.25" customHeight="1" x14ac:dyDescent="0.25">
      <c r="A149" s="26"/>
      <c r="B149" s="97"/>
      <c r="C149" s="97"/>
      <c r="D149" s="97"/>
      <c r="E149" s="97"/>
      <c r="F149" s="97"/>
      <c r="G149" s="97"/>
      <c r="H149" s="97"/>
      <c r="I149" s="98"/>
      <c r="J149" s="97" t="s">
        <v>313</v>
      </c>
      <c r="K149" s="27"/>
      <c r="L149" s="31"/>
      <c r="M149" s="515" t="s">
        <v>314</v>
      </c>
      <c r="N149" s="516"/>
      <c r="O149" s="194"/>
      <c r="P149" s="190"/>
      <c r="Q149" s="28">
        <v>60000000</v>
      </c>
      <c r="R149" s="29">
        <f>Q149/Q$146*100</f>
        <v>72.44626901714561</v>
      </c>
      <c r="S149" s="29">
        <v>100</v>
      </c>
      <c r="T149" s="28">
        <f t="shared" si="39"/>
        <v>0</v>
      </c>
      <c r="U149" s="28">
        <f>R149*T149/100</f>
        <v>0</v>
      </c>
      <c r="V149" s="87">
        <f t="shared" si="40"/>
        <v>100</v>
      </c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>
        <v>0</v>
      </c>
      <c r="AJ149" s="29">
        <f t="shared" si="35"/>
        <v>0</v>
      </c>
      <c r="AK149" s="136">
        <f t="shared" si="45"/>
        <v>60000000</v>
      </c>
      <c r="AL149" s="29">
        <f t="shared" si="36"/>
        <v>100</v>
      </c>
      <c r="AM149" s="26"/>
    </row>
    <row r="150" spans="1:39" s="41" customFormat="1" ht="33.75" customHeight="1" x14ac:dyDescent="0.25">
      <c r="A150" s="21">
        <f>A146+1</f>
        <v>23</v>
      </c>
      <c r="B150" s="543" t="s">
        <v>137</v>
      </c>
      <c r="C150" s="543"/>
      <c r="D150" s="543"/>
      <c r="E150" s="543"/>
      <c r="F150" s="543"/>
      <c r="G150" s="543"/>
      <c r="H150" s="543"/>
      <c r="I150" s="544"/>
      <c r="J150" s="122" t="s">
        <v>466</v>
      </c>
      <c r="K150" s="22"/>
      <c r="L150" s="72"/>
      <c r="M150" s="545" t="s">
        <v>33</v>
      </c>
      <c r="N150" s="546"/>
      <c r="O150" s="193">
        <v>439320000</v>
      </c>
      <c r="P150" s="189">
        <f>O150</f>
        <v>439320000</v>
      </c>
      <c r="Q150" s="23">
        <f>SUM(Q151:Q158)</f>
        <v>143720000</v>
      </c>
      <c r="R150" s="24">
        <f>Q150/Q$145*100</f>
        <v>63.441334863600254</v>
      </c>
      <c r="S150" s="24">
        <v>100</v>
      </c>
      <c r="T150" s="23">
        <f t="shared" si="39"/>
        <v>0</v>
      </c>
      <c r="U150" s="23">
        <f>R150*T150/100</f>
        <v>0</v>
      </c>
      <c r="V150" s="90">
        <f t="shared" si="40"/>
        <v>100</v>
      </c>
      <c r="W150" s="23"/>
      <c r="X150" s="23" t="e">
        <f>#REF!</f>
        <v>#REF!</v>
      </c>
      <c r="Y150" s="23" t="e">
        <f>#REF!</f>
        <v>#REF!</v>
      </c>
      <c r="Z150" s="23" t="e">
        <f>#REF!</f>
        <v>#REF!</v>
      </c>
      <c r="AA150" s="23" t="e">
        <f>#REF!</f>
        <v>#REF!</v>
      </c>
      <c r="AB150" s="23">
        <v>76205074</v>
      </c>
      <c r="AC150" s="23" t="e">
        <f>#REF!</f>
        <v>#REF!</v>
      </c>
      <c r="AD150" s="23" t="e">
        <f>#REF!</f>
        <v>#REF!</v>
      </c>
      <c r="AE150" s="23" t="e">
        <f>#REF!</f>
        <v>#REF!</v>
      </c>
      <c r="AF150" s="23" t="e">
        <f>[1]April!N46</f>
        <v>#REF!</v>
      </c>
      <c r="AG150" s="23" t="e">
        <f>[2]april!N46</f>
        <v>#REF!</v>
      </c>
      <c r="AH150" s="23">
        <f>'[3]DES SKPD'!$N46</f>
        <v>343399074</v>
      </c>
      <c r="AI150" s="23">
        <f>SUM(AI151:AI157)</f>
        <v>0</v>
      </c>
      <c r="AJ150" s="24">
        <f t="shared" si="35"/>
        <v>0</v>
      </c>
      <c r="AK150" s="134">
        <f t="shared" si="45"/>
        <v>143720000</v>
      </c>
      <c r="AL150" s="24">
        <f t="shared" si="36"/>
        <v>100</v>
      </c>
      <c r="AM150" s="21"/>
    </row>
    <row r="151" spans="1:39" ht="24.75" customHeight="1" x14ac:dyDescent="0.25">
      <c r="A151" s="26"/>
      <c r="B151" s="97"/>
      <c r="C151" s="97"/>
      <c r="D151" s="97"/>
      <c r="E151" s="97"/>
      <c r="F151" s="97"/>
      <c r="G151" s="97"/>
      <c r="H151" s="97"/>
      <c r="I151" s="98"/>
      <c r="J151" s="97" t="s">
        <v>257</v>
      </c>
      <c r="K151" s="27"/>
      <c r="L151" s="31"/>
      <c r="M151" s="515" t="s">
        <v>258</v>
      </c>
      <c r="N151" s="516"/>
      <c r="O151" s="194"/>
      <c r="P151" s="190"/>
      <c r="Q151" s="28">
        <v>790000</v>
      </c>
      <c r="R151" s="29">
        <f t="shared" ref="R151:R158" si="46">Q151/Q$150*100</f>
        <v>0.5496799332034511</v>
      </c>
      <c r="S151" s="29">
        <v>100</v>
      </c>
      <c r="T151" s="28">
        <f t="shared" si="39"/>
        <v>0</v>
      </c>
      <c r="U151" s="28">
        <f t="shared" ref="U151:U159" si="47">R151*T151/100</f>
        <v>0</v>
      </c>
      <c r="V151" s="87">
        <f t="shared" si="40"/>
        <v>100</v>
      </c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>
        <v>0</v>
      </c>
      <c r="AJ151" s="29">
        <f t="shared" si="35"/>
        <v>0</v>
      </c>
      <c r="AK151" s="136">
        <f t="shared" si="45"/>
        <v>790000</v>
      </c>
      <c r="AL151" s="29">
        <f t="shared" si="36"/>
        <v>100</v>
      </c>
      <c r="AM151" s="26"/>
    </row>
    <row r="152" spans="1:39" ht="28.5" customHeight="1" x14ac:dyDescent="0.25">
      <c r="A152" s="26"/>
      <c r="B152" s="97"/>
      <c r="C152" s="97"/>
      <c r="D152" s="97"/>
      <c r="E152" s="97"/>
      <c r="F152" s="97"/>
      <c r="G152" s="97"/>
      <c r="H152" s="97"/>
      <c r="I152" s="98"/>
      <c r="J152" s="97" t="s">
        <v>259</v>
      </c>
      <c r="K152" s="27"/>
      <c r="L152" s="31"/>
      <c r="M152" s="515" t="s">
        <v>260</v>
      </c>
      <c r="N152" s="516"/>
      <c r="O152" s="194"/>
      <c r="P152" s="190"/>
      <c r="Q152" s="28">
        <v>770000</v>
      </c>
      <c r="R152" s="29">
        <f t="shared" si="46"/>
        <v>0.53576398552741444</v>
      </c>
      <c r="S152" s="29">
        <v>100</v>
      </c>
      <c r="T152" s="28">
        <f t="shared" si="39"/>
        <v>0</v>
      </c>
      <c r="U152" s="28">
        <f t="shared" si="47"/>
        <v>0</v>
      </c>
      <c r="V152" s="87">
        <f t="shared" si="40"/>
        <v>100</v>
      </c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>
        <v>0</v>
      </c>
      <c r="AJ152" s="29">
        <f t="shared" si="35"/>
        <v>0</v>
      </c>
      <c r="AK152" s="136">
        <f t="shared" si="45"/>
        <v>770000</v>
      </c>
      <c r="AL152" s="29">
        <f t="shared" si="36"/>
        <v>100</v>
      </c>
      <c r="AM152" s="26"/>
    </row>
    <row r="153" spans="1:39" ht="32.25" customHeight="1" x14ac:dyDescent="0.25">
      <c r="A153" s="26"/>
      <c r="B153" s="97"/>
      <c r="C153" s="97"/>
      <c r="D153" s="97"/>
      <c r="E153" s="97"/>
      <c r="F153" s="97"/>
      <c r="G153" s="97"/>
      <c r="H153" s="97"/>
      <c r="I153" s="98"/>
      <c r="J153" s="97" t="s">
        <v>315</v>
      </c>
      <c r="K153" s="27"/>
      <c r="L153" s="31"/>
      <c r="M153" s="515" t="s">
        <v>428</v>
      </c>
      <c r="N153" s="516"/>
      <c r="O153" s="194"/>
      <c r="P153" s="190"/>
      <c r="Q153" s="28">
        <v>1000000</v>
      </c>
      <c r="R153" s="29">
        <f t="shared" si="46"/>
        <v>0.69579738380183698</v>
      </c>
      <c r="S153" s="29">
        <v>100</v>
      </c>
      <c r="T153" s="28">
        <f t="shared" si="39"/>
        <v>0</v>
      </c>
      <c r="U153" s="28">
        <f t="shared" si="47"/>
        <v>0</v>
      </c>
      <c r="V153" s="87">
        <f t="shared" si="40"/>
        <v>100</v>
      </c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>
        <v>0</v>
      </c>
      <c r="AJ153" s="29">
        <f t="shared" si="35"/>
        <v>0</v>
      </c>
      <c r="AK153" s="136">
        <f t="shared" si="45"/>
        <v>1000000</v>
      </c>
      <c r="AL153" s="29">
        <f t="shared" si="36"/>
        <v>100</v>
      </c>
      <c r="AM153" s="26"/>
    </row>
    <row r="154" spans="1:39" ht="32.25" customHeight="1" x14ac:dyDescent="0.25">
      <c r="A154" s="26"/>
      <c r="B154" s="97"/>
      <c r="C154" s="97"/>
      <c r="D154" s="97"/>
      <c r="E154" s="97"/>
      <c r="F154" s="97"/>
      <c r="G154" s="97"/>
      <c r="H154" s="97"/>
      <c r="I154" s="98"/>
      <c r="J154" s="97" t="s">
        <v>316</v>
      </c>
      <c r="K154" s="27"/>
      <c r="L154" s="31"/>
      <c r="M154" s="515" t="s">
        <v>317</v>
      </c>
      <c r="N154" s="516"/>
      <c r="O154" s="194"/>
      <c r="P154" s="190"/>
      <c r="Q154" s="28">
        <v>450000</v>
      </c>
      <c r="R154" s="29">
        <f t="shared" si="46"/>
        <v>0.31310882271082657</v>
      </c>
      <c r="S154" s="29">
        <v>100</v>
      </c>
      <c r="T154" s="28">
        <f t="shared" si="39"/>
        <v>0</v>
      </c>
      <c r="U154" s="28">
        <f t="shared" si="47"/>
        <v>0</v>
      </c>
      <c r="V154" s="87">
        <f t="shared" si="40"/>
        <v>100</v>
      </c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>
        <v>0</v>
      </c>
      <c r="AJ154" s="29">
        <f t="shared" si="35"/>
        <v>0</v>
      </c>
      <c r="AK154" s="136">
        <f t="shared" si="45"/>
        <v>450000</v>
      </c>
      <c r="AL154" s="29">
        <f t="shared" si="36"/>
        <v>100</v>
      </c>
      <c r="AM154" s="26"/>
    </row>
    <row r="155" spans="1:39" ht="30.75" customHeight="1" x14ac:dyDescent="0.25">
      <c r="A155" s="26"/>
      <c r="B155" s="97"/>
      <c r="C155" s="97"/>
      <c r="D155" s="97"/>
      <c r="E155" s="97"/>
      <c r="F155" s="97"/>
      <c r="G155" s="97"/>
      <c r="H155" s="97"/>
      <c r="I155" s="98"/>
      <c r="J155" s="97" t="s">
        <v>318</v>
      </c>
      <c r="K155" s="27"/>
      <c r="L155" s="31"/>
      <c r="M155" s="515" t="s">
        <v>319</v>
      </c>
      <c r="N155" s="516"/>
      <c r="O155" s="194"/>
      <c r="P155" s="190"/>
      <c r="Q155" s="28">
        <v>58500000</v>
      </c>
      <c r="R155" s="29">
        <f t="shared" si="46"/>
        <v>40.704146952407463</v>
      </c>
      <c r="S155" s="29">
        <v>100</v>
      </c>
      <c r="T155" s="28">
        <f t="shared" si="39"/>
        <v>0</v>
      </c>
      <c r="U155" s="28">
        <f t="shared" si="47"/>
        <v>0</v>
      </c>
      <c r="V155" s="87">
        <f t="shared" si="40"/>
        <v>100</v>
      </c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>
        <v>0</v>
      </c>
      <c r="AJ155" s="29">
        <f t="shared" si="35"/>
        <v>0</v>
      </c>
      <c r="AK155" s="136">
        <f t="shared" si="45"/>
        <v>58500000</v>
      </c>
      <c r="AL155" s="29">
        <f t="shared" si="36"/>
        <v>100</v>
      </c>
      <c r="AM155" s="26"/>
    </row>
    <row r="156" spans="1:39" ht="24.75" customHeight="1" x14ac:dyDescent="0.25">
      <c r="A156" s="26"/>
      <c r="B156" s="97"/>
      <c r="C156" s="97"/>
      <c r="D156" s="97"/>
      <c r="E156" s="97"/>
      <c r="F156" s="97"/>
      <c r="G156" s="97"/>
      <c r="H156" s="97"/>
      <c r="I156" s="98"/>
      <c r="J156" s="97" t="s">
        <v>282</v>
      </c>
      <c r="K156" s="27"/>
      <c r="L156" s="31"/>
      <c r="M156" s="515" t="s">
        <v>283</v>
      </c>
      <c r="N156" s="516"/>
      <c r="O156" s="194"/>
      <c r="P156" s="190"/>
      <c r="Q156" s="28">
        <v>52910000</v>
      </c>
      <c r="R156" s="29">
        <f t="shared" si="46"/>
        <v>36.814639576955187</v>
      </c>
      <c r="S156" s="29">
        <v>100</v>
      </c>
      <c r="T156" s="28">
        <f t="shared" si="39"/>
        <v>0</v>
      </c>
      <c r="U156" s="28">
        <f t="shared" si="47"/>
        <v>0</v>
      </c>
      <c r="V156" s="87">
        <f t="shared" si="40"/>
        <v>100</v>
      </c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>
        <v>0</v>
      </c>
      <c r="AJ156" s="29">
        <f t="shared" si="35"/>
        <v>0</v>
      </c>
      <c r="AK156" s="136">
        <f t="shared" si="45"/>
        <v>52910000</v>
      </c>
      <c r="AL156" s="29">
        <f t="shared" si="36"/>
        <v>100</v>
      </c>
      <c r="AM156" s="26"/>
    </row>
    <row r="157" spans="1:39" ht="24.75" customHeight="1" x14ac:dyDescent="0.25">
      <c r="A157" s="26"/>
      <c r="B157" s="97"/>
      <c r="C157" s="97"/>
      <c r="D157" s="97"/>
      <c r="E157" s="97"/>
      <c r="F157" s="97"/>
      <c r="G157" s="97"/>
      <c r="H157" s="97"/>
      <c r="I157" s="98"/>
      <c r="J157" s="97" t="s">
        <v>320</v>
      </c>
      <c r="K157" s="27"/>
      <c r="L157" s="31"/>
      <c r="M157" s="515" t="s">
        <v>321</v>
      </c>
      <c r="N157" s="516"/>
      <c r="O157" s="194"/>
      <c r="P157" s="190"/>
      <c r="Q157" s="28">
        <v>28000000</v>
      </c>
      <c r="R157" s="29">
        <f t="shared" si="46"/>
        <v>19.482326746451434</v>
      </c>
      <c r="S157" s="29">
        <v>100</v>
      </c>
      <c r="T157" s="28">
        <f t="shared" si="39"/>
        <v>0</v>
      </c>
      <c r="U157" s="28">
        <f t="shared" si="47"/>
        <v>0</v>
      </c>
      <c r="V157" s="87">
        <f t="shared" si="40"/>
        <v>100</v>
      </c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>
        <v>0</v>
      </c>
      <c r="AJ157" s="29">
        <f t="shared" si="35"/>
        <v>0</v>
      </c>
      <c r="AK157" s="136">
        <f t="shared" si="45"/>
        <v>28000000</v>
      </c>
      <c r="AL157" s="29">
        <f t="shared" si="36"/>
        <v>100</v>
      </c>
      <c r="AM157" s="26"/>
    </row>
    <row r="158" spans="1:39" ht="24.75" customHeight="1" x14ac:dyDescent="0.25">
      <c r="A158" s="26"/>
      <c r="B158" s="97"/>
      <c r="C158" s="97"/>
      <c r="D158" s="97"/>
      <c r="E158" s="97"/>
      <c r="F158" s="97"/>
      <c r="G158" s="97"/>
      <c r="H158" s="97"/>
      <c r="I158" s="98"/>
      <c r="J158" s="97" t="s">
        <v>407</v>
      </c>
      <c r="K158" s="27"/>
      <c r="L158" s="31"/>
      <c r="M158" s="515" t="s">
        <v>414</v>
      </c>
      <c r="N158" s="516"/>
      <c r="O158" s="194"/>
      <c r="P158" s="190"/>
      <c r="Q158" s="28">
        <v>1300000</v>
      </c>
      <c r="R158" s="29">
        <f t="shared" si="46"/>
        <v>0.90453659894238791</v>
      </c>
      <c r="S158" s="29"/>
      <c r="T158" s="28">
        <f t="shared" si="39"/>
        <v>0</v>
      </c>
      <c r="U158" s="28">
        <f t="shared" si="47"/>
        <v>0</v>
      </c>
      <c r="V158" s="87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>
        <v>0</v>
      </c>
      <c r="AJ158" s="29">
        <f t="shared" si="35"/>
        <v>0</v>
      </c>
      <c r="AK158" s="136">
        <f t="shared" si="45"/>
        <v>1300000</v>
      </c>
      <c r="AL158" s="29">
        <f t="shared" si="36"/>
        <v>100</v>
      </c>
      <c r="AM158" s="26"/>
    </row>
    <row r="159" spans="1:39" s="36" customFormat="1" ht="36.75" customHeight="1" x14ac:dyDescent="0.25">
      <c r="A159" s="51" t="s">
        <v>34</v>
      </c>
      <c r="B159" s="547" t="s">
        <v>138</v>
      </c>
      <c r="C159" s="547"/>
      <c r="D159" s="547"/>
      <c r="E159" s="547"/>
      <c r="F159" s="547"/>
      <c r="G159" s="547"/>
      <c r="H159" s="547"/>
      <c r="I159" s="548"/>
      <c r="J159" s="148" t="s">
        <v>467</v>
      </c>
      <c r="K159" s="52"/>
      <c r="L159" s="549" t="s">
        <v>35</v>
      </c>
      <c r="M159" s="549"/>
      <c r="N159" s="550"/>
      <c r="O159" s="192">
        <f>SUM(O160:O208)</f>
        <v>2212865000</v>
      </c>
      <c r="P159" s="192">
        <f>SUM(P160:P208)</f>
        <v>1923365000</v>
      </c>
      <c r="Q159" s="55">
        <f>SUM(Q160+Q171+Q180+Q188+Q195+Q201+Q208)</f>
        <v>1243988000</v>
      </c>
      <c r="R159" s="57">
        <f>Q159/Q$53*100</f>
        <v>5.4118195690472204</v>
      </c>
      <c r="S159" s="57">
        <f>S160</f>
        <v>100</v>
      </c>
      <c r="T159" s="55">
        <f t="shared" si="39"/>
        <v>0</v>
      </c>
      <c r="U159" s="55">
        <f t="shared" si="47"/>
        <v>0</v>
      </c>
      <c r="V159" s="117">
        <f t="shared" si="40"/>
        <v>100</v>
      </c>
      <c r="W159" s="55">
        <f t="shared" ref="W159:AH159" si="48">SUM(W160:W208)</f>
        <v>0</v>
      </c>
      <c r="X159" s="55" t="e">
        <f t="shared" si="48"/>
        <v>#REF!</v>
      </c>
      <c r="Y159" s="55" t="e">
        <f t="shared" si="48"/>
        <v>#REF!</v>
      </c>
      <c r="Z159" s="55" t="e">
        <f t="shared" si="48"/>
        <v>#REF!</v>
      </c>
      <c r="AA159" s="55" t="e">
        <f t="shared" si="48"/>
        <v>#REF!</v>
      </c>
      <c r="AB159" s="55">
        <f t="shared" si="48"/>
        <v>1334048087</v>
      </c>
      <c r="AC159" s="55" t="e">
        <f t="shared" si="48"/>
        <v>#REF!</v>
      </c>
      <c r="AD159" s="55" t="e">
        <f t="shared" si="48"/>
        <v>#REF!</v>
      </c>
      <c r="AE159" s="55" t="e">
        <f t="shared" si="48"/>
        <v>#REF!</v>
      </c>
      <c r="AF159" s="55" t="e">
        <f t="shared" si="48"/>
        <v>#REF!</v>
      </c>
      <c r="AG159" s="55" t="e">
        <f t="shared" si="48"/>
        <v>#REF!</v>
      </c>
      <c r="AH159" s="55" t="e">
        <f t="shared" si="48"/>
        <v>#REF!</v>
      </c>
      <c r="AI159" s="55">
        <f>SUM(AI160+AI171+AI180+AI188+AI195+AI201+AI208)</f>
        <v>0</v>
      </c>
      <c r="AJ159" s="57">
        <f t="shared" si="35"/>
        <v>0</v>
      </c>
      <c r="AK159" s="137">
        <f>SUM(Q159-AI159)</f>
        <v>1243988000</v>
      </c>
      <c r="AL159" s="57">
        <f t="shared" si="36"/>
        <v>100</v>
      </c>
      <c r="AM159" s="51"/>
    </row>
    <row r="160" spans="1:39" s="41" customFormat="1" ht="28.5" customHeight="1" x14ac:dyDescent="0.25">
      <c r="A160" s="21">
        <f>A150+1</f>
        <v>24</v>
      </c>
      <c r="B160" s="543" t="s">
        <v>139</v>
      </c>
      <c r="C160" s="543"/>
      <c r="D160" s="543"/>
      <c r="E160" s="543"/>
      <c r="F160" s="543"/>
      <c r="G160" s="543"/>
      <c r="H160" s="543"/>
      <c r="I160" s="544"/>
      <c r="J160" s="122" t="s">
        <v>468</v>
      </c>
      <c r="K160" s="22"/>
      <c r="L160" s="72"/>
      <c r="M160" s="545" t="s">
        <v>36</v>
      </c>
      <c r="N160" s="546"/>
      <c r="O160" s="195">
        <v>1093890000</v>
      </c>
      <c r="P160" s="189">
        <f>[9]Sheet1!$U$80</f>
        <v>804390000</v>
      </c>
      <c r="Q160" s="23">
        <f>SUM(Q161:Q170)</f>
        <v>506180000</v>
      </c>
      <c r="R160" s="24">
        <f>Q160/Q$159*100</f>
        <v>40.690103119965784</v>
      </c>
      <c r="S160" s="24">
        <v>100</v>
      </c>
      <c r="T160" s="23">
        <f t="shared" si="39"/>
        <v>0</v>
      </c>
      <c r="U160" s="23">
        <f>R160*T160/100</f>
        <v>0</v>
      </c>
      <c r="V160" s="90">
        <f t="shared" si="40"/>
        <v>100</v>
      </c>
      <c r="W160" s="23"/>
      <c r="X160" s="23" t="e">
        <f>#REF!</f>
        <v>#REF!</v>
      </c>
      <c r="Y160" s="23" t="e">
        <f>#REF!</f>
        <v>#REF!</v>
      </c>
      <c r="Z160" s="23" t="e">
        <f>#REF!</f>
        <v>#REF!</v>
      </c>
      <c r="AA160" s="23" t="e">
        <f>#REF!</f>
        <v>#REF!</v>
      </c>
      <c r="AB160" s="23">
        <v>258208050</v>
      </c>
      <c r="AC160" s="23" t="e">
        <f>#REF!</f>
        <v>#REF!</v>
      </c>
      <c r="AD160" s="23" t="e">
        <f>#REF!</f>
        <v>#REF!</v>
      </c>
      <c r="AE160" s="23" t="e">
        <f>#REF!</f>
        <v>#REF!</v>
      </c>
      <c r="AF160" s="23" t="e">
        <f>[1]April!N48</f>
        <v>#REF!</v>
      </c>
      <c r="AG160" s="23" t="e">
        <f>[2]april!N48</f>
        <v>#REF!</v>
      </c>
      <c r="AH160" s="23">
        <f>'[3]DES SKPD'!$N48</f>
        <v>531334050</v>
      </c>
      <c r="AI160" s="23">
        <f>SUM(AI161:AI170)</f>
        <v>0</v>
      </c>
      <c r="AJ160" s="24">
        <f t="shared" si="35"/>
        <v>0</v>
      </c>
      <c r="AK160" s="134">
        <f t="shared" ref="AK160:AK215" si="49">Q160-AI160</f>
        <v>506180000</v>
      </c>
      <c r="AL160" s="24">
        <f t="shared" si="36"/>
        <v>100</v>
      </c>
      <c r="AM160" s="21"/>
    </row>
    <row r="161" spans="1:44" ht="28.5" customHeight="1" x14ac:dyDescent="0.25">
      <c r="A161" s="26"/>
      <c r="B161" s="97"/>
      <c r="C161" s="97"/>
      <c r="D161" s="97"/>
      <c r="E161" s="97"/>
      <c r="F161" s="97"/>
      <c r="G161" s="97"/>
      <c r="H161" s="97"/>
      <c r="I161" s="98"/>
      <c r="J161" s="97" t="s">
        <v>257</v>
      </c>
      <c r="K161" s="27"/>
      <c r="L161" s="31"/>
      <c r="M161" s="515" t="s">
        <v>258</v>
      </c>
      <c r="N161" s="516"/>
      <c r="O161" s="196"/>
      <c r="P161" s="190"/>
      <c r="Q161" s="28">
        <v>116820000</v>
      </c>
      <c r="R161" s="29">
        <f t="shared" ref="R161:R170" si="50">Q161/Q$160*100</f>
        <v>23.07874669090047</v>
      </c>
      <c r="S161" s="29">
        <v>100</v>
      </c>
      <c r="T161" s="28">
        <f t="shared" si="39"/>
        <v>0</v>
      </c>
      <c r="U161" s="28">
        <f t="shared" ref="U161:U170" si="51">R161*T161/100</f>
        <v>0</v>
      </c>
      <c r="V161" s="87">
        <f t="shared" si="40"/>
        <v>100</v>
      </c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>
        <v>0</v>
      </c>
      <c r="AJ161" s="29">
        <f t="shared" si="35"/>
        <v>0</v>
      </c>
      <c r="AK161" s="136">
        <f t="shared" si="49"/>
        <v>116820000</v>
      </c>
      <c r="AL161" s="29">
        <f t="shared" si="36"/>
        <v>100</v>
      </c>
      <c r="AM161" s="26"/>
    </row>
    <row r="162" spans="1:44" ht="28.5" customHeight="1" x14ac:dyDescent="0.25">
      <c r="A162" s="26"/>
      <c r="B162" s="97"/>
      <c r="C162" s="97"/>
      <c r="D162" s="97"/>
      <c r="E162" s="97"/>
      <c r="F162" s="97"/>
      <c r="G162" s="97"/>
      <c r="H162" s="97"/>
      <c r="I162" s="98"/>
      <c r="J162" s="97" t="s">
        <v>259</v>
      </c>
      <c r="K162" s="27"/>
      <c r="L162" s="31"/>
      <c r="M162" s="515" t="s">
        <v>260</v>
      </c>
      <c r="N162" s="516"/>
      <c r="O162" s="196"/>
      <c r="P162" s="190"/>
      <c r="Q162" s="28">
        <v>1540000</v>
      </c>
      <c r="R162" s="29">
        <f t="shared" si="50"/>
        <v>0.3042395985617764</v>
      </c>
      <c r="S162" s="29">
        <v>100</v>
      </c>
      <c r="T162" s="28">
        <f t="shared" si="39"/>
        <v>0</v>
      </c>
      <c r="U162" s="28">
        <f t="shared" si="51"/>
        <v>0</v>
      </c>
      <c r="V162" s="87">
        <f t="shared" si="40"/>
        <v>100</v>
      </c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>
        <v>0</v>
      </c>
      <c r="AJ162" s="29">
        <f t="shared" si="35"/>
        <v>0</v>
      </c>
      <c r="AK162" s="136">
        <f t="shared" si="49"/>
        <v>1540000</v>
      </c>
      <c r="AL162" s="29">
        <f t="shared" si="36"/>
        <v>100</v>
      </c>
      <c r="AM162" s="26"/>
      <c r="AR162">
        <f>SUM(69300000-48250000)</f>
        <v>21050000</v>
      </c>
    </row>
    <row r="163" spans="1:44" ht="28.5" customHeight="1" x14ac:dyDescent="0.25">
      <c r="A163" s="26"/>
      <c r="B163" s="97"/>
      <c r="C163" s="97"/>
      <c r="D163" s="97"/>
      <c r="E163" s="97"/>
      <c r="F163" s="97"/>
      <c r="G163" s="97"/>
      <c r="H163" s="97"/>
      <c r="I163" s="98"/>
      <c r="J163" s="97" t="s">
        <v>273</v>
      </c>
      <c r="K163" s="27"/>
      <c r="L163" s="31"/>
      <c r="M163" s="515" t="s">
        <v>322</v>
      </c>
      <c r="N163" s="516"/>
      <c r="O163" s="196"/>
      <c r="P163" s="190"/>
      <c r="Q163" s="28">
        <v>38500000</v>
      </c>
      <c r="R163" s="29">
        <f t="shared" si="50"/>
        <v>7.6059899640444115</v>
      </c>
      <c r="S163" s="29">
        <v>100</v>
      </c>
      <c r="T163" s="28">
        <f t="shared" si="39"/>
        <v>0</v>
      </c>
      <c r="U163" s="28">
        <f t="shared" si="51"/>
        <v>0</v>
      </c>
      <c r="V163" s="87">
        <f t="shared" si="40"/>
        <v>100</v>
      </c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>
        <v>0</v>
      </c>
      <c r="AJ163" s="29">
        <f t="shared" si="35"/>
        <v>0</v>
      </c>
      <c r="AK163" s="136">
        <f t="shared" si="49"/>
        <v>38500000</v>
      </c>
      <c r="AL163" s="29">
        <f t="shared" si="36"/>
        <v>100</v>
      </c>
      <c r="AM163" s="26"/>
    </row>
    <row r="164" spans="1:44" ht="28.5" customHeight="1" x14ac:dyDescent="0.25">
      <c r="A164" s="26"/>
      <c r="B164" s="97"/>
      <c r="C164" s="97"/>
      <c r="D164" s="97"/>
      <c r="E164" s="97"/>
      <c r="F164" s="97"/>
      <c r="G164" s="97"/>
      <c r="H164" s="97"/>
      <c r="I164" s="98"/>
      <c r="J164" s="97" t="s">
        <v>323</v>
      </c>
      <c r="K164" s="27"/>
      <c r="L164" s="31"/>
      <c r="M164" s="515" t="s">
        <v>324</v>
      </c>
      <c r="N164" s="516"/>
      <c r="O164" s="196"/>
      <c r="P164" s="190"/>
      <c r="Q164" s="28">
        <v>31570000</v>
      </c>
      <c r="R164" s="29">
        <f t="shared" si="50"/>
        <v>6.236911770516417</v>
      </c>
      <c r="S164" s="29">
        <v>100</v>
      </c>
      <c r="T164" s="28">
        <f t="shared" si="39"/>
        <v>0</v>
      </c>
      <c r="U164" s="28">
        <f t="shared" si="51"/>
        <v>0</v>
      </c>
      <c r="V164" s="87">
        <f t="shared" si="40"/>
        <v>100</v>
      </c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>
        <v>0</v>
      </c>
      <c r="AJ164" s="29">
        <f t="shared" si="35"/>
        <v>0</v>
      </c>
      <c r="AK164" s="136">
        <f t="shared" si="49"/>
        <v>31570000</v>
      </c>
      <c r="AL164" s="29">
        <f t="shared" si="36"/>
        <v>100</v>
      </c>
      <c r="AM164" s="26"/>
    </row>
    <row r="165" spans="1:44" ht="28.5" customHeight="1" x14ac:dyDescent="0.25">
      <c r="A165" s="26"/>
      <c r="B165" s="97"/>
      <c r="C165" s="97"/>
      <c r="D165" s="97"/>
      <c r="E165" s="97"/>
      <c r="F165" s="97"/>
      <c r="G165" s="97"/>
      <c r="H165" s="97"/>
      <c r="I165" s="98"/>
      <c r="J165" s="97" t="s">
        <v>269</v>
      </c>
      <c r="K165" s="27"/>
      <c r="L165" s="31"/>
      <c r="M165" s="515" t="s">
        <v>270</v>
      </c>
      <c r="N165" s="516"/>
      <c r="O165" s="196"/>
      <c r="P165" s="190"/>
      <c r="Q165" s="28">
        <v>30750000</v>
      </c>
      <c r="R165" s="29">
        <f t="shared" si="50"/>
        <v>6.0749140621913149</v>
      </c>
      <c r="S165" s="29">
        <v>100</v>
      </c>
      <c r="T165" s="28">
        <f t="shared" si="39"/>
        <v>0</v>
      </c>
      <c r="U165" s="28">
        <f t="shared" si="51"/>
        <v>0</v>
      </c>
      <c r="V165" s="87">
        <f t="shared" si="40"/>
        <v>100</v>
      </c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>
        <v>0</v>
      </c>
      <c r="AJ165" s="29">
        <f t="shared" si="35"/>
        <v>0</v>
      </c>
      <c r="AK165" s="136">
        <f t="shared" si="49"/>
        <v>30750000</v>
      </c>
      <c r="AL165" s="29">
        <f t="shared" si="36"/>
        <v>100</v>
      </c>
      <c r="AM165" s="26"/>
    </row>
    <row r="166" spans="1:44" ht="28.5" customHeight="1" x14ac:dyDescent="0.25">
      <c r="A166" s="26"/>
      <c r="B166" s="97"/>
      <c r="C166" s="97"/>
      <c r="D166" s="97"/>
      <c r="E166" s="97"/>
      <c r="F166" s="97"/>
      <c r="G166" s="97"/>
      <c r="H166" s="97"/>
      <c r="I166" s="98"/>
      <c r="J166" s="97" t="s">
        <v>315</v>
      </c>
      <c r="K166" s="27"/>
      <c r="L166" s="31"/>
      <c r="M166" s="515" t="s">
        <v>271</v>
      </c>
      <c r="N166" s="516"/>
      <c r="O166" s="196"/>
      <c r="P166" s="190"/>
      <c r="Q166" s="28">
        <v>5200000</v>
      </c>
      <c r="R166" s="29">
        <f t="shared" si="50"/>
        <v>1.0273025405982061</v>
      </c>
      <c r="S166" s="29">
        <v>100</v>
      </c>
      <c r="T166" s="28">
        <f t="shared" si="39"/>
        <v>0</v>
      </c>
      <c r="U166" s="28">
        <f t="shared" si="51"/>
        <v>0</v>
      </c>
      <c r="V166" s="87">
        <f t="shared" si="40"/>
        <v>100</v>
      </c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>
        <v>0</v>
      </c>
      <c r="AJ166" s="29">
        <f t="shared" si="35"/>
        <v>0</v>
      </c>
      <c r="AK166" s="136">
        <f t="shared" si="49"/>
        <v>5200000</v>
      </c>
      <c r="AL166" s="29">
        <f t="shared" si="36"/>
        <v>100</v>
      </c>
      <c r="AM166" s="26"/>
    </row>
    <row r="167" spans="1:44" ht="28.5" customHeight="1" x14ac:dyDescent="0.25">
      <c r="A167" s="26"/>
      <c r="B167" s="97"/>
      <c r="C167" s="97"/>
      <c r="D167" s="97"/>
      <c r="E167" s="97"/>
      <c r="F167" s="97"/>
      <c r="G167" s="97"/>
      <c r="H167" s="97"/>
      <c r="I167" s="98"/>
      <c r="J167" s="97" t="s">
        <v>280</v>
      </c>
      <c r="K167" s="27"/>
      <c r="L167" s="31"/>
      <c r="M167" s="515" t="s">
        <v>281</v>
      </c>
      <c r="N167" s="516"/>
      <c r="O167" s="196"/>
      <c r="P167" s="190"/>
      <c r="Q167" s="28">
        <v>35000000</v>
      </c>
      <c r="R167" s="29">
        <f t="shared" si="50"/>
        <v>6.9145363309494643</v>
      </c>
      <c r="S167" s="29">
        <v>100</v>
      </c>
      <c r="T167" s="28">
        <f t="shared" si="39"/>
        <v>0</v>
      </c>
      <c r="U167" s="28">
        <f t="shared" si="51"/>
        <v>0</v>
      </c>
      <c r="V167" s="87">
        <f t="shared" si="40"/>
        <v>100</v>
      </c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>
        <v>0</v>
      </c>
      <c r="AJ167" s="29">
        <f t="shared" si="35"/>
        <v>0</v>
      </c>
      <c r="AK167" s="136">
        <f t="shared" si="49"/>
        <v>35000000</v>
      </c>
      <c r="AL167" s="29">
        <f t="shared" si="36"/>
        <v>100</v>
      </c>
      <c r="AM167" s="26"/>
    </row>
    <row r="168" spans="1:44" ht="28.5" customHeight="1" x14ac:dyDescent="0.25">
      <c r="A168" s="26"/>
      <c r="B168" s="97"/>
      <c r="C168" s="97"/>
      <c r="D168" s="97"/>
      <c r="E168" s="97"/>
      <c r="F168" s="97"/>
      <c r="G168" s="97"/>
      <c r="H168" s="97"/>
      <c r="I168" s="98"/>
      <c r="J168" s="97" t="s">
        <v>282</v>
      </c>
      <c r="K168" s="27"/>
      <c r="L168" s="31"/>
      <c r="M168" s="515" t="s">
        <v>283</v>
      </c>
      <c r="N168" s="516"/>
      <c r="O168" s="196"/>
      <c r="P168" s="190"/>
      <c r="Q168" s="28">
        <v>50000000</v>
      </c>
      <c r="R168" s="29">
        <f t="shared" si="50"/>
        <v>9.8779090442135207</v>
      </c>
      <c r="S168" s="29">
        <v>100</v>
      </c>
      <c r="T168" s="28">
        <f t="shared" si="39"/>
        <v>0</v>
      </c>
      <c r="U168" s="28">
        <f t="shared" si="51"/>
        <v>0</v>
      </c>
      <c r="V168" s="87">
        <f t="shared" si="40"/>
        <v>100</v>
      </c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>
        <v>0</v>
      </c>
      <c r="AJ168" s="29">
        <f t="shared" si="35"/>
        <v>0</v>
      </c>
      <c r="AK168" s="136">
        <f t="shared" si="49"/>
        <v>50000000</v>
      </c>
      <c r="AL168" s="29">
        <f t="shared" si="36"/>
        <v>100</v>
      </c>
      <c r="AM168" s="26"/>
    </row>
    <row r="169" spans="1:44" ht="28.5" customHeight="1" x14ac:dyDescent="0.25">
      <c r="A169" s="26"/>
      <c r="B169" s="97"/>
      <c r="C169" s="97"/>
      <c r="D169" s="97"/>
      <c r="E169" s="97"/>
      <c r="F169" s="97"/>
      <c r="G169" s="97"/>
      <c r="H169" s="97"/>
      <c r="I169" s="98"/>
      <c r="J169" s="97" t="s">
        <v>306</v>
      </c>
      <c r="K169" s="27"/>
      <c r="L169" s="31"/>
      <c r="M169" s="515" t="s">
        <v>325</v>
      </c>
      <c r="N169" s="516"/>
      <c r="O169" s="196"/>
      <c r="P169" s="190"/>
      <c r="Q169" s="28">
        <v>80000000</v>
      </c>
      <c r="R169" s="29">
        <f t="shared" si="50"/>
        <v>15.804654470741633</v>
      </c>
      <c r="S169" s="29">
        <v>100</v>
      </c>
      <c r="T169" s="28">
        <f t="shared" si="39"/>
        <v>0</v>
      </c>
      <c r="U169" s="28">
        <f t="shared" si="51"/>
        <v>0</v>
      </c>
      <c r="V169" s="87">
        <f t="shared" si="40"/>
        <v>100</v>
      </c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>
        <v>0</v>
      </c>
      <c r="AJ169" s="29">
        <f t="shared" si="35"/>
        <v>0</v>
      </c>
      <c r="AK169" s="136">
        <f t="shared" si="49"/>
        <v>80000000</v>
      </c>
      <c r="AL169" s="29">
        <f t="shared" si="36"/>
        <v>100</v>
      </c>
      <c r="AM169" s="26"/>
    </row>
    <row r="170" spans="1:44" ht="28.5" customHeight="1" x14ac:dyDescent="0.25">
      <c r="A170" s="26"/>
      <c r="B170" s="97"/>
      <c r="C170" s="97"/>
      <c r="D170" s="97"/>
      <c r="E170" s="97"/>
      <c r="F170" s="97"/>
      <c r="G170" s="97"/>
      <c r="H170" s="97"/>
      <c r="I170" s="98"/>
      <c r="J170" s="97" t="s">
        <v>309</v>
      </c>
      <c r="K170" s="27"/>
      <c r="L170" s="31"/>
      <c r="M170" s="515" t="s">
        <v>310</v>
      </c>
      <c r="N170" s="516"/>
      <c r="O170" s="196"/>
      <c r="P170" s="190"/>
      <c r="Q170" s="28">
        <v>116800000</v>
      </c>
      <c r="R170" s="29">
        <f t="shared" si="50"/>
        <v>23.074795527282784</v>
      </c>
      <c r="S170" s="29">
        <v>100</v>
      </c>
      <c r="T170" s="28">
        <f t="shared" si="39"/>
        <v>0</v>
      </c>
      <c r="U170" s="28">
        <f t="shared" si="51"/>
        <v>0</v>
      </c>
      <c r="V170" s="87">
        <f t="shared" si="40"/>
        <v>100</v>
      </c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>
        <v>0</v>
      </c>
      <c r="AJ170" s="29">
        <f t="shared" si="35"/>
        <v>0</v>
      </c>
      <c r="AK170" s="136">
        <f t="shared" si="49"/>
        <v>116800000</v>
      </c>
      <c r="AL170" s="29">
        <f t="shared" si="36"/>
        <v>100</v>
      </c>
      <c r="AM170" s="26"/>
    </row>
    <row r="171" spans="1:44" s="41" customFormat="1" ht="28.5" customHeight="1" x14ac:dyDescent="0.25">
      <c r="A171" s="21">
        <f>A160+1</f>
        <v>25</v>
      </c>
      <c r="B171" s="543" t="s">
        <v>140</v>
      </c>
      <c r="C171" s="543"/>
      <c r="D171" s="543"/>
      <c r="E171" s="543"/>
      <c r="F171" s="543"/>
      <c r="G171" s="543"/>
      <c r="H171" s="543"/>
      <c r="I171" s="544"/>
      <c r="J171" s="122" t="s">
        <v>469</v>
      </c>
      <c r="K171" s="22"/>
      <c r="L171" s="72"/>
      <c r="M171" s="545" t="s">
        <v>37</v>
      </c>
      <c r="N171" s="546"/>
      <c r="O171" s="193">
        <v>144225000</v>
      </c>
      <c r="P171" s="189">
        <f>O171</f>
        <v>144225000</v>
      </c>
      <c r="Q171" s="23">
        <f>SUM(Q172:Q179)</f>
        <v>90620000</v>
      </c>
      <c r="R171" s="24">
        <f>Q171/Q$159*100</f>
        <v>7.2846361862011531</v>
      </c>
      <c r="S171" s="24">
        <v>100</v>
      </c>
      <c r="T171" s="23">
        <f t="shared" si="39"/>
        <v>0</v>
      </c>
      <c r="U171" s="23">
        <f>R171*T171/100</f>
        <v>0</v>
      </c>
      <c r="V171" s="90">
        <f t="shared" si="40"/>
        <v>100</v>
      </c>
      <c r="W171" s="23"/>
      <c r="X171" s="23" t="e">
        <f>#REF!</f>
        <v>#REF!</v>
      </c>
      <c r="Y171" s="23" t="e">
        <f>#REF!</f>
        <v>#REF!</v>
      </c>
      <c r="Z171" s="23" t="e">
        <f>#REF!</f>
        <v>#REF!</v>
      </c>
      <c r="AA171" s="23" t="e">
        <f>#REF!</f>
        <v>#REF!</v>
      </c>
      <c r="AB171" s="23">
        <v>0</v>
      </c>
      <c r="AC171" s="23" t="e">
        <f>#REF!</f>
        <v>#REF!</v>
      </c>
      <c r="AD171" s="23" t="e">
        <f>#REF!</f>
        <v>#REF!</v>
      </c>
      <c r="AE171" s="23" t="e">
        <f>#REF!</f>
        <v>#REF!</v>
      </c>
      <c r="AF171" s="23" t="e">
        <f>[1]April!N49</f>
        <v>#REF!</v>
      </c>
      <c r="AG171" s="23" t="e">
        <f>[2]april!N49</f>
        <v>#REF!</v>
      </c>
      <c r="AH171" s="23">
        <f>'[3]DES SKPD'!$N49</f>
        <v>143100490</v>
      </c>
      <c r="AI171" s="23">
        <f>SUM(AI172:AI179)</f>
        <v>0</v>
      </c>
      <c r="AJ171" s="24">
        <f t="shared" si="35"/>
        <v>0</v>
      </c>
      <c r="AK171" s="134">
        <f t="shared" si="49"/>
        <v>90620000</v>
      </c>
      <c r="AL171" s="24">
        <f t="shared" si="36"/>
        <v>100</v>
      </c>
      <c r="AM171" s="21"/>
    </row>
    <row r="172" spans="1:44" ht="28.5" customHeight="1" x14ac:dyDescent="0.25">
      <c r="A172" s="26"/>
      <c r="B172" s="97"/>
      <c r="C172" s="97"/>
      <c r="D172" s="97"/>
      <c r="E172" s="97"/>
      <c r="F172" s="97"/>
      <c r="G172" s="97"/>
      <c r="H172" s="97"/>
      <c r="I172" s="98"/>
      <c r="J172" s="97" t="s">
        <v>257</v>
      </c>
      <c r="K172" s="27"/>
      <c r="L172" s="31"/>
      <c r="M172" s="515" t="s">
        <v>258</v>
      </c>
      <c r="N172" s="516"/>
      <c r="O172" s="194"/>
      <c r="P172" s="190"/>
      <c r="Q172" s="28">
        <v>1410000</v>
      </c>
      <c r="R172" s="29">
        <f t="shared" ref="R172:R179" si="52">Q172/Q$171*100</f>
        <v>1.5559479143676893</v>
      </c>
      <c r="S172" s="29">
        <v>100</v>
      </c>
      <c r="T172" s="28">
        <f t="shared" si="39"/>
        <v>0</v>
      </c>
      <c r="U172" s="28">
        <f t="shared" ref="U172:U179" si="53">R172*T172/100</f>
        <v>0</v>
      </c>
      <c r="V172" s="87">
        <f t="shared" si="40"/>
        <v>100</v>
      </c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>
        <v>0</v>
      </c>
      <c r="AJ172" s="29">
        <f t="shared" si="35"/>
        <v>0</v>
      </c>
      <c r="AK172" s="136">
        <f t="shared" si="49"/>
        <v>1410000</v>
      </c>
      <c r="AL172" s="29">
        <f t="shared" si="36"/>
        <v>100</v>
      </c>
      <c r="AM172" s="26"/>
    </row>
    <row r="173" spans="1:44" ht="28.5" customHeight="1" x14ac:dyDescent="0.25">
      <c r="A173" s="26"/>
      <c r="B173" s="97"/>
      <c r="C173" s="97"/>
      <c r="D173" s="97"/>
      <c r="E173" s="97"/>
      <c r="F173" s="97"/>
      <c r="G173" s="97"/>
      <c r="H173" s="97"/>
      <c r="I173" s="98"/>
      <c r="J173" s="97" t="s">
        <v>326</v>
      </c>
      <c r="K173" s="27"/>
      <c r="L173" s="31"/>
      <c r="M173" s="515" t="s">
        <v>327</v>
      </c>
      <c r="N173" s="516"/>
      <c r="O173" s="194"/>
      <c r="P173" s="190"/>
      <c r="Q173" s="28">
        <v>16750000</v>
      </c>
      <c r="R173" s="29">
        <f t="shared" si="52"/>
        <v>18.483778415360845</v>
      </c>
      <c r="S173" s="29">
        <v>100</v>
      </c>
      <c r="T173" s="28">
        <f t="shared" si="39"/>
        <v>0</v>
      </c>
      <c r="U173" s="28">
        <f t="shared" si="53"/>
        <v>0</v>
      </c>
      <c r="V173" s="87">
        <f t="shared" si="40"/>
        <v>100</v>
      </c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>
        <v>0</v>
      </c>
      <c r="AJ173" s="29">
        <f t="shared" si="35"/>
        <v>0</v>
      </c>
      <c r="AK173" s="136">
        <f t="shared" si="49"/>
        <v>16750000</v>
      </c>
      <c r="AL173" s="29">
        <f t="shared" si="36"/>
        <v>100</v>
      </c>
      <c r="AM173" s="26"/>
    </row>
    <row r="174" spans="1:44" ht="28.5" customHeight="1" x14ac:dyDescent="0.25">
      <c r="A174" s="26"/>
      <c r="B174" s="97"/>
      <c r="C174" s="97"/>
      <c r="D174" s="97"/>
      <c r="E174" s="97"/>
      <c r="F174" s="97"/>
      <c r="G174" s="97"/>
      <c r="H174" s="97"/>
      <c r="I174" s="98"/>
      <c r="J174" s="97" t="s">
        <v>323</v>
      </c>
      <c r="K174" s="27"/>
      <c r="L174" s="31"/>
      <c r="M174" s="515" t="s">
        <v>324</v>
      </c>
      <c r="N174" s="516"/>
      <c r="O174" s="194"/>
      <c r="P174" s="190"/>
      <c r="Q174" s="28">
        <v>9132000</v>
      </c>
      <c r="R174" s="29">
        <f t="shared" si="52"/>
        <v>10.077245641138822</v>
      </c>
      <c r="S174" s="29">
        <v>100</v>
      </c>
      <c r="T174" s="28">
        <f t="shared" si="39"/>
        <v>0</v>
      </c>
      <c r="U174" s="28">
        <f t="shared" si="53"/>
        <v>0</v>
      </c>
      <c r="V174" s="87">
        <f t="shared" si="40"/>
        <v>100</v>
      </c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>
        <v>0</v>
      </c>
      <c r="AJ174" s="29">
        <f t="shared" si="35"/>
        <v>0</v>
      </c>
      <c r="AK174" s="136">
        <f t="shared" si="49"/>
        <v>9132000</v>
      </c>
      <c r="AL174" s="29">
        <f t="shared" si="36"/>
        <v>100</v>
      </c>
      <c r="AM174" s="26"/>
    </row>
    <row r="175" spans="1:44" ht="28.5" customHeight="1" x14ac:dyDescent="0.25">
      <c r="A175" s="26"/>
      <c r="B175" s="97"/>
      <c r="C175" s="97"/>
      <c r="D175" s="97"/>
      <c r="E175" s="97"/>
      <c r="F175" s="97"/>
      <c r="G175" s="97"/>
      <c r="H175" s="97"/>
      <c r="I175" s="98"/>
      <c r="J175" s="97" t="s">
        <v>269</v>
      </c>
      <c r="K175" s="27"/>
      <c r="L175" s="31"/>
      <c r="M175" s="515" t="s">
        <v>270</v>
      </c>
      <c r="N175" s="516"/>
      <c r="O175" s="194"/>
      <c r="P175" s="190"/>
      <c r="Q175" s="28">
        <v>11050000</v>
      </c>
      <c r="R175" s="29">
        <f t="shared" si="52"/>
        <v>12.193776208342529</v>
      </c>
      <c r="S175" s="29">
        <v>100</v>
      </c>
      <c r="T175" s="28">
        <f t="shared" si="39"/>
        <v>0</v>
      </c>
      <c r="U175" s="28">
        <f t="shared" si="53"/>
        <v>0</v>
      </c>
      <c r="V175" s="87">
        <f t="shared" si="40"/>
        <v>100</v>
      </c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>
        <v>0</v>
      </c>
      <c r="AJ175" s="29">
        <f t="shared" si="35"/>
        <v>0</v>
      </c>
      <c r="AK175" s="136">
        <f t="shared" si="49"/>
        <v>11050000</v>
      </c>
      <c r="AL175" s="29">
        <f t="shared" si="36"/>
        <v>100</v>
      </c>
      <c r="AM175" s="26"/>
    </row>
    <row r="176" spans="1:44" ht="28.5" customHeight="1" x14ac:dyDescent="0.25">
      <c r="A176" s="26"/>
      <c r="B176" s="97"/>
      <c r="C176" s="97"/>
      <c r="D176" s="97"/>
      <c r="E176" s="97"/>
      <c r="F176" s="97"/>
      <c r="G176" s="97"/>
      <c r="H176" s="97"/>
      <c r="I176" s="98"/>
      <c r="J176" s="97" t="s">
        <v>315</v>
      </c>
      <c r="K176" s="27"/>
      <c r="L176" s="31"/>
      <c r="M176" s="515" t="s">
        <v>271</v>
      </c>
      <c r="N176" s="516"/>
      <c r="O176" s="194"/>
      <c r="P176" s="190"/>
      <c r="Q176" s="28">
        <v>958000</v>
      </c>
      <c r="R176" s="29">
        <f t="shared" si="52"/>
        <v>1.057161774442728</v>
      </c>
      <c r="S176" s="29">
        <v>100</v>
      </c>
      <c r="T176" s="28">
        <f t="shared" si="39"/>
        <v>0</v>
      </c>
      <c r="U176" s="28">
        <f t="shared" si="53"/>
        <v>0</v>
      </c>
      <c r="V176" s="87">
        <f t="shared" si="40"/>
        <v>100</v>
      </c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>
        <v>0</v>
      </c>
      <c r="AJ176" s="29">
        <f t="shared" si="35"/>
        <v>0</v>
      </c>
      <c r="AK176" s="136">
        <f t="shared" si="49"/>
        <v>958000</v>
      </c>
      <c r="AL176" s="29">
        <f t="shared" si="36"/>
        <v>100</v>
      </c>
      <c r="AM176" s="26"/>
    </row>
    <row r="177" spans="1:39" ht="28.5" customHeight="1" x14ac:dyDescent="0.25">
      <c r="A177" s="26"/>
      <c r="B177" s="97"/>
      <c r="C177" s="97"/>
      <c r="D177" s="97"/>
      <c r="E177" s="97"/>
      <c r="F177" s="97"/>
      <c r="G177" s="97"/>
      <c r="H177" s="97"/>
      <c r="I177" s="98"/>
      <c r="J177" s="97" t="s">
        <v>328</v>
      </c>
      <c r="K177" s="27"/>
      <c r="L177" s="31"/>
      <c r="M177" s="515" t="s">
        <v>329</v>
      </c>
      <c r="N177" s="516"/>
      <c r="O177" s="194"/>
      <c r="P177" s="190"/>
      <c r="Q177" s="28">
        <v>41200000</v>
      </c>
      <c r="R177" s="29">
        <f t="shared" si="52"/>
        <v>45.464577355992056</v>
      </c>
      <c r="S177" s="29">
        <v>100</v>
      </c>
      <c r="T177" s="28">
        <f t="shared" si="39"/>
        <v>0</v>
      </c>
      <c r="U177" s="28">
        <f t="shared" si="53"/>
        <v>0</v>
      </c>
      <c r="V177" s="87">
        <f t="shared" si="40"/>
        <v>100</v>
      </c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>
        <v>0</v>
      </c>
      <c r="AJ177" s="29">
        <f t="shared" si="35"/>
        <v>0</v>
      </c>
      <c r="AK177" s="136">
        <f t="shared" si="49"/>
        <v>41200000</v>
      </c>
      <c r="AL177" s="29">
        <f t="shared" si="36"/>
        <v>100</v>
      </c>
      <c r="AM177" s="26"/>
    </row>
    <row r="178" spans="1:39" ht="28.5" customHeight="1" x14ac:dyDescent="0.25">
      <c r="A178" s="26"/>
      <c r="B178" s="97"/>
      <c r="C178" s="97"/>
      <c r="D178" s="97"/>
      <c r="E178" s="97"/>
      <c r="F178" s="97"/>
      <c r="G178" s="97"/>
      <c r="H178" s="97"/>
      <c r="I178" s="98"/>
      <c r="J178" s="97" t="s">
        <v>284</v>
      </c>
      <c r="K178" s="27"/>
      <c r="L178" s="31"/>
      <c r="M178" s="515" t="s">
        <v>285</v>
      </c>
      <c r="N178" s="516"/>
      <c r="O178" s="194"/>
      <c r="P178" s="190"/>
      <c r="Q178" s="28">
        <v>2120000</v>
      </c>
      <c r="R178" s="29">
        <f t="shared" si="52"/>
        <v>2.339439417347164</v>
      </c>
      <c r="S178" s="29">
        <v>100</v>
      </c>
      <c r="T178" s="28">
        <f t="shared" si="39"/>
        <v>0</v>
      </c>
      <c r="U178" s="28">
        <f t="shared" si="53"/>
        <v>0</v>
      </c>
      <c r="V178" s="87">
        <f t="shared" si="40"/>
        <v>100</v>
      </c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>
        <v>0</v>
      </c>
      <c r="AJ178" s="29">
        <f t="shared" si="35"/>
        <v>0</v>
      </c>
      <c r="AK178" s="136">
        <f t="shared" si="49"/>
        <v>2120000</v>
      </c>
      <c r="AL178" s="29">
        <f t="shared" si="36"/>
        <v>100</v>
      </c>
      <c r="AM178" s="26"/>
    </row>
    <row r="179" spans="1:39" ht="28.5" customHeight="1" x14ac:dyDescent="0.25">
      <c r="A179" s="26"/>
      <c r="B179" s="97"/>
      <c r="C179" s="97"/>
      <c r="D179" s="97"/>
      <c r="E179" s="97"/>
      <c r="F179" s="97"/>
      <c r="G179" s="97"/>
      <c r="H179" s="97"/>
      <c r="I179" s="98"/>
      <c r="J179" s="97" t="s">
        <v>282</v>
      </c>
      <c r="K179" s="27"/>
      <c r="L179" s="31"/>
      <c r="M179" s="515" t="s">
        <v>283</v>
      </c>
      <c r="N179" s="516"/>
      <c r="O179" s="194"/>
      <c r="P179" s="190"/>
      <c r="Q179" s="28">
        <v>8000000</v>
      </c>
      <c r="R179" s="29">
        <f t="shared" si="52"/>
        <v>8.828073273008167</v>
      </c>
      <c r="S179" s="29">
        <v>100</v>
      </c>
      <c r="T179" s="28">
        <f t="shared" si="39"/>
        <v>0</v>
      </c>
      <c r="U179" s="28">
        <f t="shared" si="53"/>
        <v>0</v>
      </c>
      <c r="V179" s="87">
        <f t="shared" si="40"/>
        <v>100</v>
      </c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>
        <v>0</v>
      </c>
      <c r="AJ179" s="29">
        <f t="shared" si="35"/>
        <v>0</v>
      </c>
      <c r="AK179" s="136">
        <f t="shared" si="49"/>
        <v>8000000</v>
      </c>
      <c r="AL179" s="29">
        <f t="shared" si="36"/>
        <v>100</v>
      </c>
      <c r="AM179" s="26"/>
    </row>
    <row r="180" spans="1:39" ht="28.5" customHeight="1" x14ac:dyDescent="0.25">
      <c r="A180" s="21">
        <v>26</v>
      </c>
      <c r="B180" s="97"/>
      <c r="C180" s="97"/>
      <c r="D180" s="97"/>
      <c r="E180" s="97"/>
      <c r="F180" s="97"/>
      <c r="G180" s="97"/>
      <c r="H180" s="97"/>
      <c r="I180" s="98"/>
      <c r="J180" s="122" t="s">
        <v>474</v>
      </c>
      <c r="K180" s="22"/>
      <c r="L180" s="72"/>
      <c r="M180" s="545" t="s">
        <v>470</v>
      </c>
      <c r="N180" s="546"/>
      <c r="O180" s="193">
        <v>144225000</v>
      </c>
      <c r="P180" s="189">
        <f>O180</f>
        <v>144225000</v>
      </c>
      <c r="Q180" s="23">
        <f>SUM(Q181:Q187)</f>
        <v>174180000</v>
      </c>
      <c r="R180" s="24">
        <f>Q180/Q$159*100</f>
        <v>14.001742782084714</v>
      </c>
      <c r="S180" s="24">
        <v>100</v>
      </c>
      <c r="T180" s="23">
        <f t="shared" si="39"/>
        <v>0</v>
      </c>
      <c r="U180" s="23">
        <f>R180*T180/100</f>
        <v>0</v>
      </c>
      <c r="V180" s="90">
        <f t="shared" si="40"/>
        <v>100</v>
      </c>
      <c r="W180" s="23"/>
      <c r="X180" s="23" t="e">
        <f>#REF!</f>
        <v>#REF!</v>
      </c>
      <c r="Y180" s="23" t="e">
        <f>#REF!</f>
        <v>#REF!</v>
      </c>
      <c r="Z180" s="23" t="e">
        <f>#REF!</f>
        <v>#REF!</v>
      </c>
      <c r="AA180" s="23" t="e">
        <f>#REF!</f>
        <v>#REF!</v>
      </c>
      <c r="AB180" s="23">
        <v>0</v>
      </c>
      <c r="AC180" s="23" t="e">
        <f>#REF!</f>
        <v>#REF!</v>
      </c>
      <c r="AD180" s="23" t="e">
        <f>#REF!</f>
        <v>#REF!</v>
      </c>
      <c r="AE180" s="23" t="e">
        <f>#REF!</f>
        <v>#REF!</v>
      </c>
      <c r="AF180" s="23" t="e">
        <f>[1]April!N58</f>
        <v>#REF!</v>
      </c>
      <c r="AG180" s="23" t="e">
        <f>[2]april!N58</f>
        <v>#REF!</v>
      </c>
      <c r="AH180" s="23">
        <f>'[3]DES SKPD'!$N58</f>
        <v>133587000</v>
      </c>
      <c r="AI180" s="23">
        <f>SUM(AI181:AI188)</f>
        <v>0</v>
      </c>
      <c r="AJ180" s="24">
        <f t="shared" si="35"/>
        <v>0</v>
      </c>
      <c r="AK180" s="134">
        <f t="shared" si="49"/>
        <v>174180000</v>
      </c>
      <c r="AL180" s="24">
        <f t="shared" si="36"/>
        <v>100</v>
      </c>
      <c r="AM180" s="26"/>
    </row>
    <row r="181" spans="1:39" ht="28.5" customHeight="1" x14ac:dyDescent="0.25">
      <c r="A181" s="26"/>
      <c r="B181" s="97"/>
      <c r="C181" s="97"/>
      <c r="D181" s="97"/>
      <c r="E181" s="97"/>
      <c r="F181" s="97"/>
      <c r="G181" s="97"/>
      <c r="H181" s="97"/>
      <c r="I181" s="98"/>
      <c r="J181" s="97" t="s">
        <v>257</v>
      </c>
      <c r="K181" s="27"/>
      <c r="L181" s="31"/>
      <c r="M181" s="515" t="s">
        <v>258</v>
      </c>
      <c r="N181" s="516"/>
      <c r="O181" s="194"/>
      <c r="P181" s="190"/>
      <c r="Q181" s="28">
        <v>3360000</v>
      </c>
      <c r="R181" s="29">
        <f t="shared" ref="R181:R187" si="54">Q181/Q$180*100</f>
        <v>1.9290389252497417</v>
      </c>
      <c r="S181" s="29">
        <v>100</v>
      </c>
      <c r="T181" s="28">
        <f t="shared" si="39"/>
        <v>0</v>
      </c>
      <c r="U181" s="28">
        <f t="shared" ref="U181:U187" si="55">R181*T181/100</f>
        <v>0</v>
      </c>
      <c r="V181" s="87">
        <f t="shared" si="40"/>
        <v>100</v>
      </c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>
        <v>0</v>
      </c>
      <c r="AJ181" s="29">
        <f t="shared" ref="AJ181:AJ244" si="56">AI181/Q181*100</f>
        <v>0</v>
      </c>
      <c r="AK181" s="136">
        <f t="shared" si="49"/>
        <v>3360000</v>
      </c>
      <c r="AL181" s="29">
        <f t="shared" ref="AL181:AL244" si="57">AK181/Q181*100</f>
        <v>100</v>
      </c>
      <c r="AM181" s="26"/>
    </row>
    <row r="182" spans="1:39" ht="28.5" customHeight="1" x14ac:dyDescent="0.25">
      <c r="A182" s="26"/>
      <c r="B182" s="97"/>
      <c r="C182" s="97"/>
      <c r="D182" s="97"/>
      <c r="E182" s="97"/>
      <c r="F182" s="97"/>
      <c r="G182" s="97"/>
      <c r="H182" s="97"/>
      <c r="I182" s="98"/>
      <c r="J182" s="97" t="s">
        <v>273</v>
      </c>
      <c r="K182" s="27"/>
      <c r="L182" s="31"/>
      <c r="M182" s="515" t="s">
        <v>471</v>
      </c>
      <c r="N182" s="516"/>
      <c r="O182" s="194"/>
      <c r="P182" s="190"/>
      <c r="Q182" s="28">
        <v>45600000</v>
      </c>
      <c r="R182" s="29">
        <f t="shared" si="54"/>
        <v>26.179813985532206</v>
      </c>
      <c r="S182" s="29">
        <v>100</v>
      </c>
      <c r="T182" s="28">
        <f t="shared" si="39"/>
        <v>0</v>
      </c>
      <c r="U182" s="28">
        <f t="shared" si="55"/>
        <v>0</v>
      </c>
      <c r="V182" s="87">
        <f t="shared" si="40"/>
        <v>100</v>
      </c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>
        <v>0</v>
      </c>
      <c r="AJ182" s="29">
        <f t="shared" si="56"/>
        <v>0</v>
      </c>
      <c r="AK182" s="136">
        <f t="shared" si="49"/>
        <v>45600000</v>
      </c>
      <c r="AL182" s="29">
        <f t="shared" si="57"/>
        <v>100</v>
      </c>
      <c r="AM182" s="26"/>
    </row>
    <row r="183" spans="1:39" ht="28.5" customHeight="1" x14ac:dyDescent="0.25">
      <c r="A183" s="26"/>
      <c r="B183" s="97"/>
      <c r="C183" s="97"/>
      <c r="D183" s="97"/>
      <c r="E183" s="97"/>
      <c r="F183" s="97"/>
      <c r="G183" s="97"/>
      <c r="H183" s="97"/>
      <c r="I183" s="98"/>
      <c r="J183" s="97" t="s">
        <v>323</v>
      </c>
      <c r="K183" s="27"/>
      <c r="L183" s="31"/>
      <c r="M183" s="515" t="s">
        <v>324</v>
      </c>
      <c r="N183" s="516"/>
      <c r="O183" s="194"/>
      <c r="P183" s="190"/>
      <c r="Q183" s="28">
        <v>90000000</v>
      </c>
      <c r="R183" s="29">
        <f t="shared" si="54"/>
        <v>51.670685497760935</v>
      </c>
      <c r="S183" s="29">
        <v>100</v>
      </c>
      <c r="T183" s="28">
        <f t="shared" si="39"/>
        <v>0</v>
      </c>
      <c r="U183" s="28">
        <f t="shared" si="55"/>
        <v>0</v>
      </c>
      <c r="V183" s="87">
        <f t="shared" si="40"/>
        <v>100</v>
      </c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>
        <v>0</v>
      </c>
      <c r="AJ183" s="29">
        <f t="shared" si="56"/>
        <v>0</v>
      </c>
      <c r="AK183" s="136">
        <f t="shared" si="49"/>
        <v>90000000</v>
      </c>
      <c r="AL183" s="29">
        <f t="shared" si="57"/>
        <v>100</v>
      </c>
      <c r="AM183" s="26"/>
    </row>
    <row r="184" spans="1:39" ht="28.5" customHeight="1" x14ac:dyDescent="0.25">
      <c r="A184" s="26"/>
      <c r="B184" s="97"/>
      <c r="C184" s="97"/>
      <c r="D184" s="97"/>
      <c r="E184" s="97"/>
      <c r="F184" s="97"/>
      <c r="G184" s="97"/>
      <c r="H184" s="97"/>
      <c r="I184" s="98"/>
      <c r="J184" s="97" t="s">
        <v>269</v>
      </c>
      <c r="K184" s="27"/>
      <c r="L184" s="31"/>
      <c r="M184" s="515" t="s">
        <v>270</v>
      </c>
      <c r="N184" s="516"/>
      <c r="O184" s="194"/>
      <c r="P184" s="190"/>
      <c r="Q184" s="28">
        <v>7300000</v>
      </c>
      <c r="R184" s="29">
        <f t="shared" si="54"/>
        <v>4.1910667125961654</v>
      </c>
      <c r="S184" s="29">
        <v>100</v>
      </c>
      <c r="T184" s="28">
        <f t="shared" si="39"/>
        <v>0</v>
      </c>
      <c r="U184" s="28">
        <f t="shared" si="55"/>
        <v>0</v>
      </c>
      <c r="V184" s="87">
        <f t="shared" si="40"/>
        <v>100</v>
      </c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>
        <v>0</v>
      </c>
      <c r="AJ184" s="29">
        <f t="shared" si="56"/>
        <v>0</v>
      </c>
      <c r="AK184" s="136">
        <f t="shared" si="49"/>
        <v>7300000</v>
      </c>
      <c r="AL184" s="29">
        <f t="shared" si="57"/>
        <v>100</v>
      </c>
      <c r="AM184" s="26"/>
    </row>
    <row r="185" spans="1:39" ht="28.5" customHeight="1" x14ac:dyDescent="0.25">
      <c r="A185" s="26"/>
      <c r="B185" s="97"/>
      <c r="C185" s="97"/>
      <c r="D185" s="97"/>
      <c r="E185" s="97"/>
      <c r="F185" s="97"/>
      <c r="G185" s="97"/>
      <c r="H185" s="97"/>
      <c r="I185" s="98"/>
      <c r="J185" s="97" t="s">
        <v>315</v>
      </c>
      <c r="K185" s="27"/>
      <c r="L185" s="31"/>
      <c r="M185" s="515" t="s">
        <v>271</v>
      </c>
      <c r="N185" s="516"/>
      <c r="O185" s="194"/>
      <c r="P185" s="190"/>
      <c r="Q185" s="28">
        <v>220000</v>
      </c>
      <c r="R185" s="29">
        <f t="shared" si="54"/>
        <v>0.12630612010563783</v>
      </c>
      <c r="S185" s="29">
        <v>100</v>
      </c>
      <c r="T185" s="28">
        <f t="shared" si="39"/>
        <v>0</v>
      </c>
      <c r="U185" s="28">
        <f t="shared" si="55"/>
        <v>0</v>
      </c>
      <c r="V185" s="87">
        <f t="shared" si="40"/>
        <v>100</v>
      </c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>
        <v>0</v>
      </c>
      <c r="AJ185" s="29">
        <f t="shared" si="56"/>
        <v>0</v>
      </c>
      <c r="AK185" s="136">
        <f t="shared" si="49"/>
        <v>220000</v>
      </c>
      <c r="AL185" s="29">
        <f t="shared" si="57"/>
        <v>100</v>
      </c>
      <c r="AM185" s="26"/>
    </row>
    <row r="186" spans="1:39" ht="28.5" customHeight="1" x14ac:dyDescent="0.25">
      <c r="A186" s="26"/>
      <c r="B186" s="97"/>
      <c r="C186" s="97"/>
      <c r="D186" s="97"/>
      <c r="E186" s="97"/>
      <c r="F186" s="97"/>
      <c r="G186" s="97"/>
      <c r="H186" s="97"/>
      <c r="I186" s="98"/>
      <c r="J186" s="97" t="s">
        <v>284</v>
      </c>
      <c r="K186" s="27"/>
      <c r="L186" s="31"/>
      <c r="M186" s="515" t="s">
        <v>285</v>
      </c>
      <c r="N186" s="516"/>
      <c r="O186" s="194"/>
      <c r="P186" s="190"/>
      <c r="Q186" s="28">
        <v>2200000</v>
      </c>
      <c r="R186" s="29">
        <f t="shared" si="54"/>
        <v>1.2630612010563786</v>
      </c>
      <c r="S186" s="29">
        <v>100</v>
      </c>
      <c r="T186" s="28">
        <f t="shared" si="39"/>
        <v>0</v>
      </c>
      <c r="U186" s="28">
        <f t="shared" si="55"/>
        <v>0</v>
      </c>
      <c r="V186" s="87">
        <f t="shared" si="40"/>
        <v>100</v>
      </c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>
        <v>0</v>
      </c>
      <c r="AJ186" s="29">
        <f t="shared" si="56"/>
        <v>0</v>
      </c>
      <c r="AK186" s="136">
        <f t="shared" si="49"/>
        <v>2200000</v>
      </c>
      <c r="AL186" s="29">
        <f t="shared" si="57"/>
        <v>100</v>
      </c>
      <c r="AM186" s="26"/>
    </row>
    <row r="187" spans="1:39" ht="28.5" customHeight="1" x14ac:dyDescent="0.25">
      <c r="A187" s="26"/>
      <c r="B187" s="97"/>
      <c r="C187" s="97"/>
      <c r="D187" s="97"/>
      <c r="E187" s="97"/>
      <c r="F187" s="97"/>
      <c r="G187" s="97"/>
      <c r="H187" s="97"/>
      <c r="I187" s="98"/>
      <c r="J187" s="97" t="s">
        <v>282</v>
      </c>
      <c r="K187" s="27"/>
      <c r="L187" s="31"/>
      <c r="M187" s="515" t="s">
        <v>283</v>
      </c>
      <c r="N187" s="516"/>
      <c r="O187" s="194"/>
      <c r="P187" s="190"/>
      <c r="Q187" s="28">
        <v>25500000</v>
      </c>
      <c r="R187" s="29">
        <f t="shared" si="54"/>
        <v>14.640027557698932</v>
      </c>
      <c r="S187" s="29">
        <v>100</v>
      </c>
      <c r="T187" s="28">
        <f t="shared" si="39"/>
        <v>0</v>
      </c>
      <c r="U187" s="28">
        <f t="shared" si="55"/>
        <v>0</v>
      </c>
      <c r="V187" s="87">
        <f t="shared" si="40"/>
        <v>100</v>
      </c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>
        <v>0</v>
      </c>
      <c r="AJ187" s="29">
        <f t="shared" si="56"/>
        <v>0</v>
      </c>
      <c r="AK187" s="136">
        <f t="shared" si="49"/>
        <v>25500000</v>
      </c>
      <c r="AL187" s="29">
        <f t="shared" si="57"/>
        <v>100</v>
      </c>
      <c r="AM187" s="26"/>
    </row>
    <row r="188" spans="1:39" s="41" customFormat="1" ht="28.5" customHeight="1" x14ac:dyDescent="0.25">
      <c r="A188" s="21">
        <f>A180+1</f>
        <v>27</v>
      </c>
      <c r="B188" s="543" t="s">
        <v>141</v>
      </c>
      <c r="C188" s="543"/>
      <c r="D188" s="543"/>
      <c r="E188" s="543"/>
      <c r="F188" s="543"/>
      <c r="G188" s="543"/>
      <c r="H188" s="543"/>
      <c r="I188" s="544"/>
      <c r="J188" s="122" t="s">
        <v>475</v>
      </c>
      <c r="K188" s="22"/>
      <c r="L188" s="72"/>
      <c r="M188" s="545" t="s">
        <v>142</v>
      </c>
      <c r="N188" s="546"/>
      <c r="O188" s="193">
        <v>299485000</v>
      </c>
      <c r="P188" s="189">
        <f>O188</f>
        <v>299485000</v>
      </c>
      <c r="Q188" s="23">
        <f>SUM(Q189:Q194)</f>
        <v>120968000</v>
      </c>
      <c r="R188" s="24">
        <f>Q188/Q$159*100</f>
        <v>9.7242095582915589</v>
      </c>
      <c r="S188" s="24">
        <v>100</v>
      </c>
      <c r="T188" s="23">
        <f t="shared" si="39"/>
        <v>0</v>
      </c>
      <c r="U188" s="23">
        <f>R188*T188/100</f>
        <v>0</v>
      </c>
      <c r="V188" s="90">
        <f t="shared" si="40"/>
        <v>100</v>
      </c>
      <c r="W188" s="23"/>
      <c r="X188" s="23" t="e">
        <f>#REF!</f>
        <v>#REF!</v>
      </c>
      <c r="Y188" s="23" t="e">
        <f>#REF!</f>
        <v>#REF!</v>
      </c>
      <c r="Z188" s="23" t="e">
        <f>#REF!</f>
        <v>#REF!</v>
      </c>
      <c r="AA188" s="23" t="e">
        <f>#REF!</f>
        <v>#REF!</v>
      </c>
      <c r="AB188" s="23">
        <v>4600000</v>
      </c>
      <c r="AC188" s="23" t="e">
        <f>#REF!</f>
        <v>#REF!</v>
      </c>
      <c r="AD188" s="23" t="e">
        <f>#REF!</f>
        <v>#REF!</v>
      </c>
      <c r="AE188" s="23" t="e">
        <f>#REF!</f>
        <v>#REF!</v>
      </c>
      <c r="AF188" s="23" t="e">
        <f>[1]April!N50</f>
        <v>#REF!</v>
      </c>
      <c r="AG188" s="23" t="e">
        <f>[2]april!N50</f>
        <v>#REF!</v>
      </c>
      <c r="AH188" s="23">
        <f>'[3]DES SKPD'!$N50</f>
        <v>221288650</v>
      </c>
      <c r="AI188" s="23">
        <f>SUM(AI189:AI194)</f>
        <v>0</v>
      </c>
      <c r="AJ188" s="24">
        <f t="shared" si="56"/>
        <v>0</v>
      </c>
      <c r="AK188" s="134">
        <f t="shared" si="49"/>
        <v>120968000</v>
      </c>
      <c r="AL188" s="24">
        <f t="shared" si="57"/>
        <v>100</v>
      </c>
      <c r="AM188" s="21"/>
    </row>
    <row r="189" spans="1:39" ht="28.5" customHeight="1" x14ac:dyDescent="0.25">
      <c r="A189" s="26"/>
      <c r="B189" s="97"/>
      <c r="C189" s="97"/>
      <c r="D189" s="97"/>
      <c r="E189" s="97"/>
      <c r="F189" s="97"/>
      <c r="G189" s="97"/>
      <c r="H189" s="97"/>
      <c r="I189" s="98"/>
      <c r="J189" s="97" t="s">
        <v>257</v>
      </c>
      <c r="K189" s="27"/>
      <c r="L189" s="31"/>
      <c r="M189" s="515" t="s">
        <v>258</v>
      </c>
      <c r="N189" s="516"/>
      <c r="O189" s="194"/>
      <c r="P189" s="190"/>
      <c r="Q189" s="28">
        <v>4740000</v>
      </c>
      <c r="R189" s="29">
        <f t="shared" ref="R189:R194" si="58">Q189/Q$188*100</f>
        <v>3.9183916407644999</v>
      </c>
      <c r="S189" s="29">
        <v>100</v>
      </c>
      <c r="T189" s="28">
        <f t="shared" si="39"/>
        <v>0</v>
      </c>
      <c r="U189" s="28">
        <f t="shared" ref="U189:U194" si="59">R189*T189/100</f>
        <v>0</v>
      </c>
      <c r="V189" s="87">
        <f t="shared" si="40"/>
        <v>100</v>
      </c>
      <c r="W189" s="28"/>
      <c r="X189" s="28" t="e">
        <f>#REF!</f>
        <v>#REF!</v>
      </c>
      <c r="Y189" s="28" t="e">
        <f>#REF!</f>
        <v>#REF!</v>
      </c>
      <c r="Z189" s="28" t="e">
        <f>#REF!</f>
        <v>#REF!</v>
      </c>
      <c r="AA189" s="28" t="e">
        <f>#REF!</f>
        <v>#REF!</v>
      </c>
      <c r="AB189" s="28">
        <v>4600001</v>
      </c>
      <c r="AC189" s="28" t="e">
        <f>#REF!</f>
        <v>#REF!</v>
      </c>
      <c r="AD189" s="28" t="e">
        <f>#REF!</f>
        <v>#REF!</v>
      </c>
      <c r="AE189" s="28" t="e">
        <f>#REF!</f>
        <v>#REF!</v>
      </c>
      <c r="AF189" s="28" t="e">
        <f>[1]April!N51</f>
        <v>#REF!</v>
      </c>
      <c r="AG189" s="28" t="e">
        <f>[2]april!N51</f>
        <v>#REF!</v>
      </c>
      <c r="AH189" s="28">
        <f>'[3]DES SKPD'!$N51</f>
        <v>317812000</v>
      </c>
      <c r="AI189" s="28">
        <v>0</v>
      </c>
      <c r="AJ189" s="29">
        <f t="shared" si="56"/>
        <v>0</v>
      </c>
      <c r="AK189" s="136">
        <f t="shared" si="49"/>
        <v>4740000</v>
      </c>
      <c r="AL189" s="29">
        <f t="shared" si="57"/>
        <v>100</v>
      </c>
      <c r="AM189" s="26"/>
    </row>
    <row r="190" spans="1:39" ht="28.5" customHeight="1" x14ac:dyDescent="0.25">
      <c r="A190" s="26"/>
      <c r="B190" s="97"/>
      <c r="C190" s="97"/>
      <c r="D190" s="97"/>
      <c r="E190" s="97"/>
      <c r="F190" s="97"/>
      <c r="G190" s="97"/>
      <c r="H190" s="97"/>
      <c r="I190" s="98"/>
      <c r="J190" s="97" t="s">
        <v>323</v>
      </c>
      <c r="K190" s="27"/>
      <c r="L190" s="31"/>
      <c r="M190" s="515" t="s">
        <v>324</v>
      </c>
      <c r="N190" s="516"/>
      <c r="O190" s="194"/>
      <c r="P190" s="190"/>
      <c r="Q190" s="28">
        <v>27408000</v>
      </c>
      <c r="R190" s="29">
        <f t="shared" si="58"/>
        <v>22.65723166457245</v>
      </c>
      <c r="S190" s="29">
        <v>100</v>
      </c>
      <c r="T190" s="28">
        <f t="shared" ref="T190:T254" si="60">AJ190</f>
        <v>0</v>
      </c>
      <c r="U190" s="28">
        <f t="shared" si="59"/>
        <v>0</v>
      </c>
      <c r="V190" s="87">
        <f t="shared" si="40"/>
        <v>100</v>
      </c>
      <c r="W190" s="28"/>
      <c r="X190" s="28" t="e">
        <f>#REF!</f>
        <v>#REF!</v>
      </c>
      <c r="Y190" s="28" t="e">
        <f>#REF!</f>
        <v>#REF!</v>
      </c>
      <c r="Z190" s="28" t="e">
        <f>#REF!</f>
        <v>#REF!</v>
      </c>
      <c r="AA190" s="28" t="e">
        <f>#REF!</f>
        <v>#REF!</v>
      </c>
      <c r="AB190" s="28">
        <v>4600002</v>
      </c>
      <c r="AC190" s="28" t="e">
        <f>#REF!</f>
        <v>#REF!</v>
      </c>
      <c r="AD190" s="28" t="e">
        <f>#REF!</f>
        <v>#REF!</v>
      </c>
      <c r="AE190" s="28" t="e">
        <f>#REF!</f>
        <v>#REF!</v>
      </c>
      <c r="AF190" s="28" t="e">
        <f>[1]April!N52</f>
        <v>#REF!</v>
      </c>
      <c r="AG190" s="28" t="e">
        <f>[2]april!N52</f>
        <v>#REF!</v>
      </c>
      <c r="AH190" s="28">
        <f>'[3]DES SKPD'!$N52</f>
        <v>73668000</v>
      </c>
      <c r="AI190" s="28">
        <v>0</v>
      </c>
      <c r="AJ190" s="29">
        <f t="shared" si="56"/>
        <v>0</v>
      </c>
      <c r="AK190" s="136">
        <f t="shared" si="49"/>
        <v>27408000</v>
      </c>
      <c r="AL190" s="29">
        <f t="shared" si="57"/>
        <v>100</v>
      </c>
      <c r="AM190" s="26"/>
    </row>
    <row r="191" spans="1:39" ht="28.5" customHeight="1" x14ac:dyDescent="0.25">
      <c r="A191" s="26"/>
      <c r="B191" s="97"/>
      <c r="C191" s="97"/>
      <c r="D191" s="97"/>
      <c r="E191" s="97"/>
      <c r="F191" s="97"/>
      <c r="G191" s="97"/>
      <c r="H191" s="97"/>
      <c r="I191" s="98"/>
      <c r="J191" s="97" t="s">
        <v>269</v>
      </c>
      <c r="K191" s="27"/>
      <c r="L191" s="31"/>
      <c r="M191" s="515" t="s">
        <v>270</v>
      </c>
      <c r="N191" s="516"/>
      <c r="O191" s="194"/>
      <c r="P191" s="190"/>
      <c r="Q191" s="28">
        <v>17800000</v>
      </c>
      <c r="R191" s="29">
        <f t="shared" si="58"/>
        <v>14.714635275444746</v>
      </c>
      <c r="S191" s="29">
        <v>100</v>
      </c>
      <c r="T191" s="28">
        <f t="shared" si="60"/>
        <v>0</v>
      </c>
      <c r="U191" s="28">
        <f t="shared" si="59"/>
        <v>0</v>
      </c>
      <c r="V191" s="87">
        <f t="shared" si="40"/>
        <v>100</v>
      </c>
      <c r="W191" s="28"/>
      <c r="X191" s="28" t="e">
        <f>#REF!</f>
        <v>#REF!</v>
      </c>
      <c r="Y191" s="28" t="e">
        <f>#REF!</f>
        <v>#REF!</v>
      </c>
      <c r="Z191" s="28" t="e">
        <f>#REF!</f>
        <v>#REF!</v>
      </c>
      <c r="AA191" s="28" t="e">
        <f>#REF!</f>
        <v>#REF!</v>
      </c>
      <c r="AB191" s="28">
        <v>4600003</v>
      </c>
      <c r="AC191" s="28" t="e">
        <f>#REF!</f>
        <v>#REF!</v>
      </c>
      <c r="AD191" s="28" t="e">
        <f>#REF!</f>
        <v>#REF!</v>
      </c>
      <c r="AE191" s="28" t="e">
        <f>#REF!</f>
        <v>#REF!</v>
      </c>
      <c r="AF191" s="28" t="e">
        <f>[1]April!N53</f>
        <v>#REF!</v>
      </c>
      <c r="AG191" s="28" t="e">
        <f>[2]april!N53</f>
        <v>#REF!</v>
      </c>
      <c r="AH191" s="28" t="e">
        <f>'[3]DES SKPD'!$N53</f>
        <v>#REF!</v>
      </c>
      <c r="AI191" s="28">
        <v>0</v>
      </c>
      <c r="AJ191" s="29">
        <f t="shared" si="56"/>
        <v>0</v>
      </c>
      <c r="AK191" s="136">
        <f t="shared" si="49"/>
        <v>17800000</v>
      </c>
      <c r="AL191" s="29">
        <f t="shared" si="57"/>
        <v>100</v>
      </c>
      <c r="AM191" s="26"/>
    </row>
    <row r="192" spans="1:39" ht="28.5" customHeight="1" x14ac:dyDescent="0.25">
      <c r="A192" s="26"/>
      <c r="B192" s="97"/>
      <c r="C192" s="97"/>
      <c r="D192" s="97"/>
      <c r="E192" s="97"/>
      <c r="F192" s="97"/>
      <c r="G192" s="97"/>
      <c r="H192" s="97"/>
      <c r="I192" s="98"/>
      <c r="J192" s="97" t="s">
        <v>315</v>
      </c>
      <c r="K192" s="27"/>
      <c r="L192" s="31"/>
      <c r="M192" s="515" t="s">
        <v>271</v>
      </c>
      <c r="N192" s="516"/>
      <c r="O192" s="194"/>
      <c r="P192" s="190"/>
      <c r="Q192" s="28">
        <v>2400000</v>
      </c>
      <c r="R192" s="29">
        <f t="shared" si="58"/>
        <v>1.9839957674756961</v>
      </c>
      <c r="S192" s="29">
        <v>100</v>
      </c>
      <c r="T192" s="28">
        <f t="shared" si="60"/>
        <v>0</v>
      </c>
      <c r="U192" s="28">
        <f t="shared" si="59"/>
        <v>0</v>
      </c>
      <c r="V192" s="87">
        <f t="shared" si="40"/>
        <v>100</v>
      </c>
      <c r="W192" s="28"/>
      <c r="X192" s="28" t="e">
        <f>#REF!</f>
        <v>#REF!</v>
      </c>
      <c r="Y192" s="28" t="e">
        <f>#REF!</f>
        <v>#REF!</v>
      </c>
      <c r="Z192" s="28" t="e">
        <f>#REF!</f>
        <v>#REF!</v>
      </c>
      <c r="AA192" s="28" t="e">
        <f>#REF!</f>
        <v>#REF!</v>
      </c>
      <c r="AB192" s="28">
        <v>4600004</v>
      </c>
      <c r="AC192" s="28" t="e">
        <f>#REF!</f>
        <v>#REF!</v>
      </c>
      <c r="AD192" s="28" t="e">
        <f>#REF!</f>
        <v>#REF!</v>
      </c>
      <c r="AE192" s="28" t="e">
        <f>#REF!</f>
        <v>#REF!</v>
      </c>
      <c r="AF192" s="28" t="e">
        <f>[1]April!N54</f>
        <v>#REF!</v>
      </c>
      <c r="AG192" s="28" t="e">
        <f>[2]april!N54</f>
        <v>#REF!</v>
      </c>
      <c r="AH192" s="28">
        <f>'[3]DES SKPD'!$N54</f>
        <v>508172500</v>
      </c>
      <c r="AI192" s="28">
        <v>0</v>
      </c>
      <c r="AJ192" s="29">
        <f t="shared" si="56"/>
        <v>0</v>
      </c>
      <c r="AK192" s="136">
        <f t="shared" si="49"/>
        <v>2400000</v>
      </c>
      <c r="AL192" s="29">
        <f t="shared" si="57"/>
        <v>100</v>
      </c>
      <c r="AM192" s="26"/>
    </row>
    <row r="193" spans="1:39" ht="28.5" customHeight="1" x14ac:dyDescent="0.25">
      <c r="A193" s="26"/>
      <c r="B193" s="97"/>
      <c r="C193" s="97"/>
      <c r="D193" s="97"/>
      <c r="E193" s="97"/>
      <c r="F193" s="97"/>
      <c r="G193" s="97"/>
      <c r="H193" s="97"/>
      <c r="I193" s="98"/>
      <c r="J193" s="97" t="s">
        <v>280</v>
      </c>
      <c r="K193" s="27"/>
      <c r="L193" s="31"/>
      <c r="M193" s="515" t="s">
        <v>281</v>
      </c>
      <c r="N193" s="516"/>
      <c r="O193" s="194"/>
      <c r="P193" s="190"/>
      <c r="Q193" s="28">
        <v>22500000</v>
      </c>
      <c r="R193" s="29">
        <f t="shared" si="58"/>
        <v>18.599960320084648</v>
      </c>
      <c r="S193" s="29">
        <v>100</v>
      </c>
      <c r="T193" s="28">
        <f t="shared" si="60"/>
        <v>0</v>
      </c>
      <c r="U193" s="28">
        <f t="shared" si="59"/>
        <v>0</v>
      </c>
      <c r="V193" s="87">
        <f t="shared" si="40"/>
        <v>100</v>
      </c>
      <c r="W193" s="28"/>
      <c r="X193" s="28" t="e">
        <f>#REF!</f>
        <v>#REF!</v>
      </c>
      <c r="Y193" s="28" t="e">
        <f>#REF!</f>
        <v>#REF!</v>
      </c>
      <c r="Z193" s="28" t="e">
        <f>#REF!</f>
        <v>#REF!</v>
      </c>
      <c r="AA193" s="28" t="e">
        <f>#REF!</f>
        <v>#REF!</v>
      </c>
      <c r="AB193" s="28">
        <v>4600005</v>
      </c>
      <c r="AC193" s="28" t="e">
        <f>#REF!</f>
        <v>#REF!</v>
      </c>
      <c r="AD193" s="28" t="e">
        <f>#REF!</f>
        <v>#REF!</v>
      </c>
      <c r="AE193" s="28" t="e">
        <f>#REF!</f>
        <v>#REF!</v>
      </c>
      <c r="AF193" s="28" t="e">
        <f>[1]April!N55</f>
        <v>#REF!</v>
      </c>
      <c r="AG193" s="28" t="e">
        <f>[2]april!N55</f>
        <v>#REF!</v>
      </c>
      <c r="AH193" s="28" t="e">
        <f>'[3]DES SKPD'!$N55</f>
        <v>#REF!</v>
      </c>
      <c r="AI193" s="28">
        <v>0</v>
      </c>
      <c r="AJ193" s="29">
        <f t="shared" si="56"/>
        <v>0</v>
      </c>
      <c r="AK193" s="136">
        <f t="shared" si="49"/>
        <v>22500000</v>
      </c>
      <c r="AL193" s="29">
        <f t="shared" si="57"/>
        <v>100</v>
      </c>
      <c r="AM193" s="26"/>
    </row>
    <row r="194" spans="1:39" ht="28.5" customHeight="1" x14ac:dyDescent="0.25">
      <c r="A194" s="26"/>
      <c r="B194" s="97"/>
      <c r="C194" s="97"/>
      <c r="D194" s="97"/>
      <c r="E194" s="97"/>
      <c r="F194" s="97"/>
      <c r="G194" s="97"/>
      <c r="H194" s="97"/>
      <c r="I194" s="98"/>
      <c r="J194" s="97" t="s">
        <v>282</v>
      </c>
      <c r="K194" s="27"/>
      <c r="L194" s="31"/>
      <c r="M194" s="515" t="s">
        <v>283</v>
      </c>
      <c r="N194" s="516"/>
      <c r="O194" s="194"/>
      <c r="P194" s="190"/>
      <c r="Q194" s="28">
        <v>46120000</v>
      </c>
      <c r="R194" s="29">
        <f t="shared" si="58"/>
        <v>38.125785331657958</v>
      </c>
      <c r="S194" s="29">
        <v>100</v>
      </c>
      <c r="T194" s="28">
        <f t="shared" si="60"/>
        <v>0</v>
      </c>
      <c r="U194" s="28">
        <f t="shared" si="59"/>
        <v>0</v>
      </c>
      <c r="V194" s="87">
        <f t="shared" si="40"/>
        <v>100</v>
      </c>
      <c r="W194" s="28"/>
      <c r="X194" s="28" t="e">
        <f>#REF!</f>
        <v>#REF!</v>
      </c>
      <c r="Y194" s="28" t="e">
        <f>#REF!</f>
        <v>#REF!</v>
      </c>
      <c r="Z194" s="28" t="e">
        <f>#REF!</f>
        <v>#REF!</v>
      </c>
      <c r="AA194" s="28" t="e">
        <f>#REF!</f>
        <v>#REF!</v>
      </c>
      <c r="AB194" s="28">
        <v>4600006</v>
      </c>
      <c r="AC194" s="28" t="e">
        <f>#REF!</f>
        <v>#REF!</v>
      </c>
      <c r="AD194" s="28" t="e">
        <f>#REF!</f>
        <v>#REF!</v>
      </c>
      <c r="AE194" s="28" t="e">
        <f>#REF!</f>
        <v>#REF!</v>
      </c>
      <c r="AF194" s="28" t="e">
        <f>[1]April!N56</f>
        <v>#REF!</v>
      </c>
      <c r="AG194" s="28" t="e">
        <f>[2]april!N56</f>
        <v>#REF!</v>
      </c>
      <c r="AH194" s="28">
        <f>'[3]DES SKPD'!$N56</f>
        <v>260098500</v>
      </c>
      <c r="AI194" s="28">
        <v>0</v>
      </c>
      <c r="AJ194" s="29">
        <f t="shared" si="56"/>
        <v>0</v>
      </c>
      <c r="AK194" s="136">
        <f t="shared" si="49"/>
        <v>46120000</v>
      </c>
      <c r="AL194" s="29">
        <f t="shared" si="57"/>
        <v>100</v>
      </c>
      <c r="AM194" s="26"/>
    </row>
    <row r="195" spans="1:39" s="41" customFormat="1" ht="32.25" customHeight="1" x14ac:dyDescent="0.25">
      <c r="A195" s="21">
        <f>A188+1</f>
        <v>28</v>
      </c>
      <c r="B195" s="543" t="s">
        <v>141</v>
      </c>
      <c r="C195" s="543"/>
      <c r="D195" s="543"/>
      <c r="E195" s="543"/>
      <c r="F195" s="543"/>
      <c r="G195" s="543"/>
      <c r="H195" s="543"/>
      <c r="I195" s="544"/>
      <c r="J195" s="122" t="s">
        <v>476</v>
      </c>
      <c r="K195" s="22"/>
      <c r="L195" s="72"/>
      <c r="M195" s="545" t="s">
        <v>143</v>
      </c>
      <c r="N195" s="546"/>
      <c r="O195" s="193">
        <v>359210000</v>
      </c>
      <c r="P195" s="189">
        <f>O195</f>
        <v>359210000</v>
      </c>
      <c r="Q195" s="23">
        <f>SUM(Q196:Q200)</f>
        <v>184600000</v>
      </c>
      <c r="R195" s="24">
        <f>Q195/Q$159*100</f>
        <v>14.839371440882065</v>
      </c>
      <c r="S195" s="24">
        <v>100</v>
      </c>
      <c r="T195" s="23">
        <f t="shared" si="60"/>
        <v>0</v>
      </c>
      <c r="U195" s="23">
        <f t="shared" ref="U195:U201" si="61">R195*T195/100</f>
        <v>0</v>
      </c>
      <c r="V195" s="90">
        <f t="shared" si="40"/>
        <v>100</v>
      </c>
      <c r="W195" s="23"/>
      <c r="X195" s="23" t="e">
        <f>#REF!</f>
        <v>#REF!</v>
      </c>
      <c r="Y195" s="23" t="e">
        <f>#REF!</f>
        <v>#REF!</v>
      </c>
      <c r="Z195" s="23" t="e">
        <f>#REF!</f>
        <v>#REF!</v>
      </c>
      <c r="AA195" s="23" t="e">
        <f>#REF!</f>
        <v>#REF!</v>
      </c>
      <c r="AB195" s="23">
        <v>173940000</v>
      </c>
      <c r="AC195" s="23" t="e">
        <f>#REF!</f>
        <v>#REF!</v>
      </c>
      <c r="AD195" s="23" t="e">
        <f>#REF!</f>
        <v>#REF!</v>
      </c>
      <c r="AE195" s="23" t="e">
        <f>#REF!</f>
        <v>#REF!</v>
      </c>
      <c r="AF195" s="23" t="e">
        <f>[1]April!N51</f>
        <v>#REF!</v>
      </c>
      <c r="AG195" s="23" t="e">
        <f>[2]april!N51</f>
        <v>#REF!</v>
      </c>
      <c r="AH195" s="23">
        <f>'[3]DES SKPD'!$N51</f>
        <v>317812000</v>
      </c>
      <c r="AI195" s="23">
        <f>SUM(AI196:AI200)</f>
        <v>0</v>
      </c>
      <c r="AJ195" s="24">
        <f t="shared" si="56"/>
        <v>0</v>
      </c>
      <c r="AK195" s="134">
        <f t="shared" si="49"/>
        <v>184600000</v>
      </c>
      <c r="AL195" s="24">
        <f t="shared" si="57"/>
        <v>100</v>
      </c>
      <c r="AM195" s="21"/>
    </row>
    <row r="196" spans="1:39" ht="28.5" customHeight="1" x14ac:dyDescent="0.25">
      <c r="A196" s="26"/>
      <c r="B196" s="97"/>
      <c r="C196" s="97"/>
      <c r="D196" s="97"/>
      <c r="E196" s="97"/>
      <c r="F196" s="97"/>
      <c r="G196" s="97"/>
      <c r="H196" s="97"/>
      <c r="I196" s="98"/>
      <c r="J196" s="97" t="s">
        <v>257</v>
      </c>
      <c r="K196" s="27"/>
      <c r="L196" s="31"/>
      <c r="M196" s="515" t="s">
        <v>258</v>
      </c>
      <c r="N196" s="516"/>
      <c r="O196" s="194"/>
      <c r="P196" s="190"/>
      <c r="Q196" s="28">
        <v>4740000</v>
      </c>
      <c r="R196" s="29">
        <f>Q196/Q$195*100</f>
        <v>2.5677139761646801</v>
      </c>
      <c r="S196" s="29">
        <v>100</v>
      </c>
      <c r="T196" s="28">
        <f t="shared" si="60"/>
        <v>0</v>
      </c>
      <c r="U196" s="28">
        <f t="shared" si="61"/>
        <v>0</v>
      </c>
      <c r="V196" s="87">
        <f t="shared" si="40"/>
        <v>100</v>
      </c>
      <c r="W196" s="28"/>
      <c r="X196" s="28" t="e">
        <f>#REF!</f>
        <v>#REF!</v>
      </c>
      <c r="Y196" s="28" t="e">
        <f>#REF!</f>
        <v>#REF!</v>
      </c>
      <c r="Z196" s="28" t="e">
        <f>#REF!</f>
        <v>#REF!</v>
      </c>
      <c r="AA196" s="28" t="e">
        <f>#REF!</f>
        <v>#REF!</v>
      </c>
      <c r="AB196" s="28">
        <v>173940001</v>
      </c>
      <c r="AC196" s="28" t="e">
        <f>#REF!</f>
        <v>#REF!</v>
      </c>
      <c r="AD196" s="28" t="e">
        <f>#REF!</f>
        <v>#REF!</v>
      </c>
      <c r="AE196" s="28" t="e">
        <f>#REF!</f>
        <v>#REF!</v>
      </c>
      <c r="AF196" s="28" t="e">
        <f>[1]April!N52</f>
        <v>#REF!</v>
      </c>
      <c r="AG196" s="28" t="e">
        <f>[2]april!N52</f>
        <v>#REF!</v>
      </c>
      <c r="AH196" s="28">
        <f>'[3]DES SKPD'!$N52</f>
        <v>73668000</v>
      </c>
      <c r="AI196" s="28">
        <v>0</v>
      </c>
      <c r="AJ196" s="29">
        <f t="shared" si="56"/>
        <v>0</v>
      </c>
      <c r="AK196" s="136">
        <f t="shared" si="49"/>
        <v>4740000</v>
      </c>
      <c r="AL196" s="29">
        <f t="shared" si="57"/>
        <v>100</v>
      </c>
      <c r="AM196" s="26"/>
    </row>
    <row r="197" spans="1:39" ht="28.5" customHeight="1" x14ac:dyDescent="0.25">
      <c r="A197" s="26"/>
      <c r="B197" s="97"/>
      <c r="C197" s="97"/>
      <c r="D197" s="97"/>
      <c r="E197" s="97"/>
      <c r="F197" s="97"/>
      <c r="G197" s="97"/>
      <c r="H197" s="97"/>
      <c r="I197" s="98"/>
      <c r="J197" s="97" t="s">
        <v>332</v>
      </c>
      <c r="K197" s="27"/>
      <c r="L197" s="31"/>
      <c r="M197" s="515" t="s">
        <v>335</v>
      </c>
      <c r="N197" s="516"/>
      <c r="O197" s="194"/>
      <c r="P197" s="190"/>
      <c r="Q197" s="28">
        <v>1000000</v>
      </c>
      <c r="R197" s="29">
        <f>Q197/Q$195*100</f>
        <v>0.54171180931744312</v>
      </c>
      <c r="S197" s="29">
        <v>100</v>
      </c>
      <c r="T197" s="28">
        <f t="shared" si="60"/>
        <v>0</v>
      </c>
      <c r="U197" s="28">
        <f t="shared" si="61"/>
        <v>0</v>
      </c>
      <c r="V197" s="87">
        <f t="shared" ref="V197:V273" si="62">S197-T197</f>
        <v>100</v>
      </c>
      <c r="W197" s="28"/>
      <c r="X197" s="28" t="e">
        <f>#REF!</f>
        <v>#REF!</v>
      </c>
      <c r="Y197" s="28" t="e">
        <f>#REF!</f>
        <v>#REF!</v>
      </c>
      <c r="Z197" s="28" t="e">
        <f>#REF!</f>
        <v>#REF!</v>
      </c>
      <c r="AA197" s="28" t="e">
        <f>#REF!</f>
        <v>#REF!</v>
      </c>
      <c r="AB197" s="28">
        <v>173940002</v>
      </c>
      <c r="AC197" s="28" t="e">
        <f>#REF!</f>
        <v>#REF!</v>
      </c>
      <c r="AD197" s="28" t="e">
        <f>#REF!</f>
        <v>#REF!</v>
      </c>
      <c r="AE197" s="28" t="e">
        <f>#REF!</f>
        <v>#REF!</v>
      </c>
      <c r="AF197" s="28" t="e">
        <f>[1]April!N53</f>
        <v>#REF!</v>
      </c>
      <c r="AG197" s="28" t="e">
        <f>[2]april!N53</f>
        <v>#REF!</v>
      </c>
      <c r="AH197" s="28" t="e">
        <f>'[3]DES SKPD'!$N53</f>
        <v>#REF!</v>
      </c>
      <c r="AI197" s="28">
        <v>0</v>
      </c>
      <c r="AJ197" s="29">
        <f t="shared" si="56"/>
        <v>0</v>
      </c>
      <c r="AK197" s="136">
        <f t="shared" si="49"/>
        <v>1000000</v>
      </c>
      <c r="AL197" s="29">
        <f t="shared" si="57"/>
        <v>100</v>
      </c>
      <c r="AM197" s="26"/>
    </row>
    <row r="198" spans="1:39" ht="28.5" customHeight="1" x14ac:dyDescent="0.25">
      <c r="A198" s="26"/>
      <c r="B198" s="97"/>
      <c r="C198" s="97"/>
      <c r="D198" s="97"/>
      <c r="E198" s="97"/>
      <c r="F198" s="97"/>
      <c r="G198" s="97"/>
      <c r="H198" s="97"/>
      <c r="I198" s="98"/>
      <c r="J198" s="97" t="s">
        <v>333</v>
      </c>
      <c r="K198" s="27"/>
      <c r="L198" s="31"/>
      <c r="M198" s="515" t="s">
        <v>334</v>
      </c>
      <c r="N198" s="516"/>
      <c r="O198" s="194"/>
      <c r="P198" s="190"/>
      <c r="Q198" s="28">
        <v>75000000</v>
      </c>
      <c r="R198" s="29">
        <f>Q198/Q$195*100</f>
        <v>40.628385698808231</v>
      </c>
      <c r="S198" s="29">
        <v>100</v>
      </c>
      <c r="T198" s="28">
        <f t="shared" si="60"/>
        <v>0</v>
      </c>
      <c r="U198" s="28">
        <f t="shared" si="61"/>
        <v>0</v>
      </c>
      <c r="V198" s="87">
        <f t="shared" si="62"/>
        <v>100</v>
      </c>
      <c r="W198" s="28"/>
      <c r="X198" s="28" t="e">
        <f>#REF!</f>
        <v>#REF!</v>
      </c>
      <c r="Y198" s="28" t="e">
        <f>#REF!</f>
        <v>#REF!</v>
      </c>
      <c r="Z198" s="28" t="e">
        <f>#REF!</f>
        <v>#REF!</v>
      </c>
      <c r="AA198" s="28" t="e">
        <f>#REF!</f>
        <v>#REF!</v>
      </c>
      <c r="AB198" s="28">
        <v>173940003</v>
      </c>
      <c r="AC198" s="28" t="e">
        <f>#REF!</f>
        <v>#REF!</v>
      </c>
      <c r="AD198" s="28" t="e">
        <f>#REF!</f>
        <v>#REF!</v>
      </c>
      <c r="AE198" s="28" t="e">
        <f>#REF!</f>
        <v>#REF!</v>
      </c>
      <c r="AF198" s="28" t="e">
        <f>[1]April!N54</f>
        <v>#REF!</v>
      </c>
      <c r="AG198" s="28" t="e">
        <f>[2]april!N54</f>
        <v>#REF!</v>
      </c>
      <c r="AH198" s="28">
        <f>'[3]DES SKPD'!$N54</f>
        <v>508172500</v>
      </c>
      <c r="AI198" s="28">
        <v>0</v>
      </c>
      <c r="AJ198" s="29">
        <f t="shared" si="56"/>
        <v>0</v>
      </c>
      <c r="AK198" s="136">
        <f t="shared" si="49"/>
        <v>75000000</v>
      </c>
      <c r="AL198" s="29">
        <f t="shared" si="57"/>
        <v>100</v>
      </c>
      <c r="AM198" s="26"/>
    </row>
    <row r="199" spans="1:39" ht="28.5" customHeight="1" x14ac:dyDescent="0.25">
      <c r="A199" s="26"/>
      <c r="B199" s="97"/>
      <c r="C199" s="97"/>
      <c r="D199" s="97"/>
      <c r="E199" s="97"/>
      <c r="F199" s="97"/>
      <c r="G199" s="97"/>
      <c r="H199" s="97"/>
      <c r="I199" s="98"/>
      <c r="J199" s="97" t="s">
        <v>336</v>
      </c>
      <c r="K199" s="27"/>
      <c r="L199" s="31"/>
      <c r="M199" s="515" t="s">
        <v>337</v>
      </c>
      <c r="N199" s="516"/>
      <c r="O199" s="194"/>
      <c r="P199" s="190"/>
      <c r="Q199" s="28">
        <v>100000000</v>
      </c>
      <c r="R199" s="29">
        <f>Q199/Q$195*100</f>
        <v>54.17118093174431</v>
      </c>
      <c r="S199" s="29">
        <v>100</v>
      </c>
      <c r="T199" s="28">
        <f t="shared" si="60"/>
        <v>0</v>
      </c>
      <c r="U199" s="28">
        <f t="shared" si="61"/>
        <v>0</v>
      </c>
      <c r="V199" s="87">
        <f t="shared" si="62"/>
        <v>100</v>
      </c>
      <c r="W199" s="28"/>
      <c r="X199" s="28" t="e">
        <f>#REF!</f>
        <v>#REF!</v>
      </c>
      <c r="Y199" s="28" t="e">
        <f>#REF!</f>
        <v>#REF!</v>
      </c>
      <c r="Z199" s="28" t="e">
        <f>#REF!</f>
        <v>#REF!</v>
      </c>
      <c r="AA199" s="28" t="e">
        <f>#REF!</f>
        <v>#REF!</v>
      </c>
      <c r="AB199" s="28">
        <v>173940004</v>
      </c>
      <c r="AC199" s="28" t="e">
        <f>#REF!</f>
        <v>#REF!</v>
      </c>
      <c r="AD199" s="28" t="e">
        <f>#REF!</f>
        <v>#REF!</v>
      </c>
      <c r="AE199" s="28" t="e">
        <f>#REF!</f>
        <v>#REF!</v>
      </c>
      <c r="AF199" s="28" t="e">
        <f>[1]April!N55</f>
        <v>#REF!</v>
      </c>
      <c r="AG199" s="28" t="e">
        <f>[2]april!N55</f>
        <v>#REF!</v>
      </c>
      <c r="AH199" s="28" t="e">
        <f>'[3]DES SKPD'!$N55</f>
        <v>#REF!</v>
      </c>
      <c r="AI199" s="28">
        <v>0</v>
      </c>
      <c r="AJ199" s="29">
        <f t="shared" si="56"/>
        <v>0</v>
      </c>
      <c r="AK199" s="136">
        <f t="shared" si="49"/>
        <v>100000000</v>
      </c>
      <c r="AL199" s="29">
        <f t="shared" si="57"/>
        <v>100</v>
      </c>
      <c r="AM199" s="26"/>
    </row>
    <row r="200" spans="1:39" ht="28.5" customHeight="1" x14ac:dyDescent="0.25">
      <c r="A200" s="26"/>
      <c r="B200" s="97"/>
      <c r="C200" s="97"/>
      <c r="D200" s="97"/>
      <c r="E200" s="97"/>
      <c r="F200" s="97"/>
      <c r="G200" s="97"/>
      <c r="H200" s="97"/>
      <c r="I200" s="98"/>
      <c r="J200" s="97" t="s">
        <v>309</v>
      </c>
      <c r="K200" s="27"/>
      <c r="L200" s="31"/>
      <c r="M200" s="515" t="s">
        <v>310</v>
      </c>
      <c r="N200" s="516"/>
      <c r="O200" s="194"/>
      <c r="P200" s="190"/>
      <c r="Q200" s="28">
        <v>3860000</v>
      </c>
      <c r="R200" s="29">
        <f>Q200/Q$195*100</f>
        <v>2.0910075839653306</v>
      </c>
      <c r="S200" s="29">
        <v>100</v>
      </c>
      <c r="T200" s="28">
        <f t="shared" si="60"/>
        <v>0</v>
      </c>
      <c r="U200" s="28">
        <f t="shared" si="61"/>
        <v>0</v>
      </c>
      <c r="V200" s="87">
        <f t="shared" si="62"/>
        <v>100</v>
      </c>
      <c r="W200" s="28"/>
      <c r="X200" s="28" t="e">
        <f>#REF!</f>
        <v>#REF!</v>
      </c>
      <c r="Y200" s="28" t="e">
        <f>#REF!</f>
        <v>#REF!</v>
      </c>
      <c r="Z200" s="28" t="e">
        <f>#REF!</f>
        <v>#REF!</v>
      </c>
      <c r="AA200" s="28" t="e">
        <f>#REF!</f>
        <v>#REF!</v>
      </c>
      <c r="AB200" s="28">
        <v>173940006</v>
      </c>
      <c r="AC200" s="28" t="e">
        <f>#REF!</f>
        <v>#REF!</v>
      </c>
      <c r="AD200" s="28" t="e">
        <f>#REF!</f>
        <v>#REF!</v>
      </c>
      <c r="AE200" s="28" t="e">
        <f>#REF!</f>
        <v>#REF!</v>
      </c>
      <c r="AF200" s="28" t="e">
        <f>[1]April!N57</f>
        <v>#REF!</v>
      </c>
      <c r="AG200" s="28" t="e">
        <f>[2]april!N57</f>
        <v>#REF!</v>
      </c>
      <c r="AH200" s="28">
        <f>'[3]DES SKPD'!$N57</f>
        <v>371775000</v>
      </c>
      <c r="AI200" s="28">
        <v>0</v>
      </c>
      <c r="AJ200" s="29">
        <f t="shared" si="56"/>
        <v>0</v>
      </c>
      <c r="AK200" s="136">
        <f t="shared" si="49"/>
        <v>3860000</v>
      </c>
      <c r="AL200" s="29">
        <f t="shared" si="57"/>
        <v>100</v>
      </c>
      <c r="AM200" s="26"/>
    </row>
    <row r="201" spans="1:39" ht="28.5" customHeight="1" x14ac:dyDescent="0.25">
      <c r="A201" s="21">
        <v>29</v>
      </c>
      <c r="B201" s="97"/>
      <c r="C201" s="97"/>
      <c r="D201" s="97"/>
      <c r="E201" s="97"/>
      <c r="F201" s="97"/>
      <c r="G201" s="97"/>
      <c r="H201" s="97"/>
      <c r="I201" s="98"/>
      <c r="J201" s="122" t="s">
        <v>477</v>
      </c>
      <c r="K201" s="22"/>
      <c r="L201" s="72"/>
      <c r="M201" s="545" t="s">
        <v>472</v>
      </c>
      <c r="N201" s="546"/>
      <c r="O201" s="193">
        <v>85915000</v>
      </c>
      <c r="P201" s="189">
        <f>O201</f>
        <v>85915000</v>
      </c>
      <c r="Q201" s="23">
        <f>SUM(Q202:Q207)</f>
        <v>20000000</v>
      </c>
      <c r="R201" s="24">
        <f>Q201/Q$159*100</f>
        <v>1.6077325504747633</v>
      </c>
      <c r="S201" s="24">
        <v>100</v>
      </c>
      <c r="T201" s="23">
        <f t="shared" si="60"/>
        <v>0</v>
      </c>
      <c r="U201" s="23">
        <f t="shared" si="61"/>
        <v>0</v>
      </c>
      <c r="V201" s="90">
        <f t="shared" si="62"/>
        <v>100</v>
      </c>
      <c r="W201" s="23"/>
      <c r="X201" s="23" t="e">
        <f>#REF!</f>
        <v>#REF!</v>
      </c>
      <c r="Y201" s="23" t="e">
        <f>#REF!</f>
        <v>#REF!</v>
      </c>
      <c r="Z201" s="23" t="e">
        <f>#REF!</f>
        <v>#REF!</v>
      </c>
      <c r="AA201" s="23" t="e">
        <f>#REF!</f>
        <v>#REF!</v>
      </c>
      <c r="AB201" s="23">
        <v>0</v>
      </c>
      <c r="AC201" s="23" t="e">
        <f>#REF!</f>
        <v>#REF!</v>
      </c>
      <c r="AD201" s="23" t="e">
        <f>#REF!</f>
        <v>#REF!</v>
      </c>
      <c r="AE201" s="23" t="e">
        <f>#REF!</f>
        <v>#REF!</v>
      </c>
      <c r="AF201" s="23" t="e">
        <f>[1]April!N45</f>
        <v>#REF!</v>
      </c>
      <c r="AG201" s="23" t="e">
        <f>[2]april!N45</f>
        <v>#REF!</v>
      </c>
      <c r="AH201" s="23">
        <f>'[3]DES SKPD'!$N45</f>
        <v>320566100</v>
      </c>
      <c r="AI201" s="23">
        <f>SUM(AI202:AI209)</f>
        <v>0</v>
      </c>
      <c r="AJ201" s="24">
        <f t="shared" si="56"/>
        <v>0</v>
      </c>
      <c r="AK201" s="134">
        <f t="shared" si="49"/>
        <v>20000000</v>
      </c>
      <c r="AL201" s="24">
        <f t="shared" si="57"/>
        <v>100</v>
      </c>
      <c r="AM201" s="26"/>
    </row>
    <row r="202" spans="1:39" ht="28.5" customHeight="1" x14ac:dyDescent="0.25">
      <c r="A202" s="26"/>
      <c r="B202" s="97"/>
      <c r="C202" s="97"/>
      <c r="D202" s="97"/>
      <c r="E202" s="97"/>
      <c r="F202" s="97"/>
      <c r="G202" s="97"/>
      <c r="H202" s="97"/>
      <c r="I202" s="98"/>
      <c r="J202" s="97" t="s">
        <v>257</v>
      </c>
      <c r="K202" s="27"/>
      <c r="L202" s="31"/>
      <c r="M202" s="515" t="s">
        <v>258</v>
      </c>
      <c r="N202" s="516"/>
      <c r="O202" s="194"/>
      <c r="P202" s="190"/>
      <c r="Q202" s="28">
        <v>1480000</v>
      </c>
      <c r="R202" s="29">
        <f t="shared" ref="R202:R207" si="63">Q202/Q$201*100</f>
        <v>7.3999999999999995</v>
      </c>
      <c r="S202" s="29">
        <v>100</v>
      </c>
      <c r="T202" s="28">
        <f t="shared" si="60"/>
        <v>0</v>
      </c>
      <c r="U202" s="28">
        <f t="shared" ref="U202:U207" si="64">R202*T202/100</f>
        <v>0</v>
      </c>
      <c r="V202" s="87">
        <f t="shared" si="62"/>
        <v>100</v>
      </c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>
        <v>0</v>
      </c>
      <c r="AJ202" s="29">
        <f t="shared" si="56"/>
        <v>0</v>
      </c>
      <c r="AK202" s="136">
        <f t="shared" si="49"/>
        <v>1480000</v>
      </c>
      <c r="AL202" s="29">
        <f t="shared" si="57"/>
        <v>100</v>
      </c>
      <c r="AM202" s="26"/>
    </row>
    <row r="203" spans="1:39" ht="28.5" customHeight="1" x14ac:dyDescent="0.25">
      <c r="A203" s="26"/>
      <c r="B203" s="97"/>
      <c r="C203" s="97"/>
      <c r="D203" s="97"/>
      <c r="E203" s="97"/>
      <c r="F203" s="97"/>
      <c r="G203" s="97"/>
      <c r="H203" s="97"/>
      <c r="I203" s="98"/>
      <c r="J203" s="97" t="s">
        <v>273</v>
      </c>
      <c r="K203" s="27"/>
      <c r="L203" s="31"/>
      <c r="M203" s="515" t="s">
        <v>322</v>
      </c>
      <c r="N203" s="516"/>
      <c r="O203" s="194"/>
      <c r="P203" s="190"/>
      <c r="Q203" s="28">
        <v>7800000</v>
      </c>
      <c r="R203" s="29">
        <f t="shared" si="63"/>
        <v>39</v>
      </c>
      <c r="S203" s="29">
        <v>100</v>
      </c>
      <c r="T203" s="28">
        <f t="shared" si="60"/>
        <v>0</v>
      </c>
      <c r="U203" s="28">
        <f t="shared" si="64"/>
        <v>0</v>
      </c>
      <c r="V203" s="87">
        <f t="shared" si="62"/>
        <v>100</v>
      </c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>
        <v>0</v>
      </c>
      <c r="AJ203" s="29">
        <f t="shared" si="56"/>
        <v>0</v>
      </c>
      <c r="AK203" s="136">
        <f t="shared" si="49"/>
        <v>7800000</v>
      </c>
      <c r="AL203" s="29">
        <f t="shared" si="57"/>
        <v>100</v>
      </c>
      <c r="AM203" s="26"/>
    </row>
    <row r="204" spans="1:39" ht="28.5" customHeight="1" x14ac:dyDescent="0.25">
      <c r="A204" s="26"/>
      <c r="B204" s="97"/>
      <c r="C204" s="97"/>
      <c r="D204" s="97"/>
      <c r="E204" s="97"/>
      <c r="F204" s="97"/>
      <c r="G204" s="97"/>
      <c r="H204" s="97"/>
      <c r="I204" s="98"/>
      <c r="J204" s="97" t="s">
        <v>323</v>
      </c>
      <c r="K204" s="27"/>
      <c r="L204" s="31"/>
      <c r="M204" s="515" t="s">
        <v>324</v>
      </c>
      <c r="N204" s="516"/>
      <c r="O204" s="194"/>
      <c r="P204" s="190"/>
      <c r="Q204" s="28">
        <v>4970000</v>
      </c>
      <c r="R204" s="29">
        <f t="shared" si="63"/>
        <v>24.85</v>
      </c>
      <c r="S204" s="29">
        <v>100</v>
      </c>
      <c r="T204" s="28">
        <f t="shared" si="60"/>
        <v>0</v>
      </c>
      <c r="U204" s="28">
        <f t="shared" si="64"/>
        <v>0</v>
      </c>
      <c r="V204" s="87">
        <f t="shared" si="62"/>
        <v>100</v>
      </c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>
        <v>0</v>
      </c>
      <c r="AJ204" s="29">
        <f t="shared" si="56"/>
        <v>0</v>
      </c>
      <c r="AK204" s="136">
        <f t="shared" si="49"/>
        <v>4970000</v>
      </c>
      <c r="AL204" s="29">
        <f t="shared" si="57"/>
        <v>100</v>
      </c>
      <c r="AM204" s="26"/>
    </row>
    <row r="205" spans="1:39" ht="28.5" customHeight="1" x14ac:dyDescent="0.25">
      <c r="A205" s="26"/>
      <c r="B205" s="97"/>
      <c r="C205" s="97"/>
      <c r="D205" s="97"/>
      <c r="E205" s="97"/>
      <c r="F205" s="97"/>
      <c r="G205" s="97"/>
      <c r="H205" s="97"/>
      <c r="I205" s="98"/>
      <c r="J205" s="97" t="s">
        <v>269</v>
      </c>
      <c r="K205" s="27"/>
      <c r="L205" s="31"/>
      <c r="M205" s="515" t="s">
        <v>270</v>
      </c>
      <c r="N205" s="516"/>
      <c r="O205" s="194"/>
      <c r="P205" s="190"/>
      <c r="Q205" s="28">
        <v>2000000</v>
      </c>
      <c r="R205" s="29">
        <f t="shared" si="63"/>
        <v>10</v>
      </c>
      <c r="S205" s="29">
        <v>100</v>
      </c>
      <c r="T205" s="28">
        <f t="shared" si="60"/>
        <v>0</v>
      </c>
      <c r="U205" s="28">
        <f t="shared" si="64"/>
        <v>0</v>
      </c>
      <c r="V205" s="87">
        <f t="shared" si="62"/>
        <v>100</v>
      </c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>
        <v>0</v>
      </c>
      <c r="AJ205" s="29">
        <f t="shared" si="56"/>
        <v>0</v>
      </c>
      <c r="AK205" s="136">
        <f t="shared" si="49"/>
        <v>2000000</v>
      </c>
      <c r="AL205" s="29">
        <f t="shared" si="57"/>
        <v>100</v>
      </c>
      <c r="AM205" s="26"/>
    </row>
    <row r="206" spans="1:39" ht="28.5" customHeight="1" x14ac:dyDescent="0.25">
      <c r="A206" s="26"/>
      <c r="B206" s="97"/>
      <c r="C206" s="97"/>
      <c r="D206" s="97"/>
      <c r="E206" s="97"/>
      <c r="F206" s="97"/>
      <c r="G206" s="97"/>
      <c r="H206" s="97"/>
      <c r="I206" s="98"/>
      <c r="J206" s="97" t="s">
        <v>315</v>
      </c>
      <c r="K206" s="27"/>
      <c r="L206" s="31"/>
      <c r="M206" s="515" t="s">
        <v>271</v>
      </c>
      <c r="N206" s="516"/>
      <c r="O206" s="194"/>
      <c r="P206" s="190"/>
      <c r="Q206" s="28">
        <v>250000</v>
      </c>
      <c r="R206" s="29">
        <f t="shared" si="63"/>
        <v>1.25</v>
      </c>
      <c r="S206" s="29">
        <v>100</v>
      </c>
      <c r="T206" s="28">
        <f t="shared" si="60"/>
        <v>0</v>
      </c>
      <c r="U206" s="28">
        <f t="shared" si="64"/>
        <v>0</v>
      </c>
      <c r="V206" s="87">
        <f t="shared" si="62"/>
        <v>100</v>
      </c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>
        <v>0</v>
      </c>
      <c r="AJ206" s="29">
        <f t="shared" si="56"/>
        <v>0</v>
      </c>
      <c r="AK206" s="136">
        <f t="shared" si="49"/>
        <v>250000</v>
      </c>
      <c r="AL206" s="29">
        <f t="shared" si="57"/>
        <v>100</v>
      </c>
      <c r="AM206" s="26"/>
    </row>
    <row r="207" spans="1:39" ht="28.5" customHeight="1" x14ac:dyDescent="0.25">
      <c r="A207" s="26"/>
      <c r="B207" s="97"/>
      <c r="C207" s="97"/>
      <c r="D207" s="97"/>
      <c r="E207" s="97"/>
      <c r="F207" s="97"/>
      <c r="G207" s="97"/>
      <c r="H207" s="97"/>
      <c r="I207" s="98"/>
      <c r="J207" s="97" t="s">
        <v>280</v>
      </c>
      <c r="K207" s="27"/>
      <c r="L207" s="31"/>
      <c r="M207" s="515" t="s">
        <v>281</v>
      </c>
      <c r="N207" s="516"/>
      <c r="O207" s="194"/>
      <c r="P207" s="190"/>
      <c r="Q207" s="28">
        <v>3500000</v>
      </c>
      <c r="R207" s="29">
        <f t="shared" si="63"/>
        <v>17.5</v>
      </c>
      <c r="S207" s="29">
        <v>100</v>
      </c>
      <c r="T207" s="28">
        <f t="shared" si="60"/>
        <v>0</v>
      </c>
      <c r="U207" s="28">
        <f t="shared" si="64"/>
        <v>0</v>
      </c>
      <c r="V207" s="87">
        <f t="shared" si="62"/>
        <v>100</v>
      </c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>
        <v>0</v>
      </c>
      <c r="AJ207" s="29">
        <f t="shared" si="56"/>
        <v>0</v>
      </c>
      <c r="AK207" s="136">
        <f t="shared" si="49"/>
        <v>3500000</v>
      </c>
      <c r="AL207" s="29">
        <f t="shared" si="57"/>
        <v>100</v>
      </c>
      <c r="AM207" s="26"/>
    </row>
    <row r="208" spans="1:39" s="41" customFormat="1" ht="24.75" customHeight="1" x14ac:dyDescent="0.25">
      <c r="A208" s="21">
        <f>A201+1</f>
        <v>30</v>
      </c>
      <c r="B208" s="543" t="s">
        <v>144</v>
      </c>
      <c r="C208" s="543"/>
      <c r="D208" s="543"/>
      <c r="E208" s="543"/>
      <c r="F208" s="543"/>
      <c r="G208" s="543"/>
      <c r="H208" s="543"/>
      <c r="I208" s="544"/>
      <c r="J208" s="122" t="s">
        <v>478</v>
      </c>
      <c r="K208" s="22"/>
      <c r="L208" s="72"/>
      <c r="M208" s="545" t="s">
        <v>167</v>
      </c>
      <c r="N208" s="546"/>
      <c r="O208" s="193">
        <v>85915000</v>
      </c>
      <c r="P208" s="189">
        <f>O208</f>
        <v>85915000</v>
      </c>
      <c r="Q208" s="23">
        <f>SUM(Q209:Q215)</f>
        <v>147440000</v>
      </c>
      <c r="R208" s="24">
        <f>Q208/Q$159*100</f>
        <v>11.852204362099956</v>
      </c>
      <c r="S208" s="24">
        <v>100</v>
      </c>
      <c r="T208" s="23">
        <f t="shared" si="60"/>
        <v>0</v>
      </c>
      <c r="U208" s="23">
        <f>R208*T208/100</f>
        <v>0</v>
      </c>
      <c r="V208" s="90">
        <f t="shared" si="62"/>
        <v>100</v>
      </c>
      <c r="W208" s="23"/>
      <c r="X208" s="23" t="e">
        <f>#REF!</f>
        <v>#REF!</v>
      </c>
      <c r="Y208" s="23" t="e">
        <f>#REF!</f>
        <v>#REF!</v>
      </c>
      <c r="Z208" s="23" t="e">
        <f>#REF!</f>
        <v>#REF!</v>
      </c>
      <c r="AA208" s="23" t="e">
        <f>#REF!</f>
        <v>#REF!</v>
      </c>
      <c r="AB208" s="23">
        <v>0</v>
      </c>
      <c r="AC208" s="23" t="e">
        <f>#REF!</f>
        <v>#REF!</v>
      </c>
      <c r="AD208" s="23" t="e">
        <f>#REF!</f>
        <v>#REF!</v>
      </c>
      <c r="AE208" s="23" t="e">
        <f>#REF!</f>
        <v>#REF!</v>
      </c>
      <c r="AF208" s="23" t="e">
        <f>[1]April!N52</f>
        <v>#REF!</v>
      </c>
      <c r="AG208" s="23" t="e">
        <f>[2]april!N52</f>
        <v>#REF!</v>
      </c>
      <c r="AH208" s="23">
        <f>'[3]DES SKPD'!$N52</f>
        <v>73668000</v>
      </c>
      <c r="AI208" s="23">
        <f>SUM(AI209:AI215)</f>
        <v>0</v>
      </c>
      <c r="AJ208" s="24">
        <f t="shared" si="56"/>
        <v>0</v>
      </c>
      <c r="AK208" s="134">
        <f t="shared" si="49"/>
        <v>147440000</v>
      </c>
      <c r="AL208" s="24">
        <f t="shared" si="57"/>
        <v>100</v>
      </c>
      <c r="AM208" s="21"/>
    </row>
    <row r="209" spans="1:39" ht="24.75" customHeight="1" x14ac:dyDescent="0.25">
      <c r="A209" s="26"/>
      <c r="B209" s="97"/>
      <c r="C209" s="97"/>
      <c r="D209" s="97"/>
      <c r="E209" s="97"/>
      <c r="F209" s="97"/>
      <c r="G209" s="97"/>
      <c r="H209" s="97"/>
      <c r="I209" s="98"/>
      <c r="J209" s="97" t="s">
        <v>257</v>
      </c>
      <c r="K209" s="27"/>
      <c r="L209" s="31"/>
      <c r="M209" s="515" t="s">
        <v>258</v>
      </c>
      <c r="N209" s="516"/>
      <c r="O209" s="194"/>
      <c r="P209" s="190"/>
      <c r="Q209" s="28">
        <v>4740000</v>
      </c>
      <c r="R209" s="29">
        <f t="shared" ref="R209:R215" si="65">Q209/Q$208*100</f>
        <v>3.2148670645686384</v>
      </c>
      <c r="S209" s="29">
        <v>100</v>
      </c>
      <c r="T209" s="28">
        <f t="shared" si="60"/>
        <v>0</v>
      </c>
      <c r="U209" s="28">
        <f t="shared" ref="U209:U278" si="66">R209*T209/100</f>
        <v>0</v>
      </c>
      <c r="V209" s="87">
        <f t="shared" si="62"/>
        <v>100</v>
      </c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>
        <v>0</v>
      </c>
      <c r="AJ209" s="29">
        <f t="shared" si="56"/>
        <v>0</v>
      </c>
      <c r="AK209" s="136">
        <f t="shared" si="49"/>
        <v>4740000</v>
      </c>
      <c r="AL209" s="29">
        <f t="shared" si="57"/>
        <v>100</v>
      </c>
      <c r="AM209" s="26"/>
    </row>
    <row r="210" spans="1:39" ht="24.75" customHeight="1" x14ac:dyDescent="0.25">
      <c r="A210" s="26"/>
      <c r="B210" s="97"/>
      <c r="C210" s="97"/>
      <c r="D210" s="97"/>
      <c r="E210" s="97"/>
      <c r="F210" s="97"/>
      <c r="G210" s="97"/>
      <c r="H210" s="97"/>
      <c r="I210" s="98"/>
      <c r="J210" s="97" t="s">
        <v>273</v>
      </c>
      <c r="K210" s="27"/>
      <c r="L210" s="31"/>
      <c r="M210" s="515" t="s">
        <v>322</v>
      </c>
      <c r="N210" s="516"/>
      <c r="O210" s="194"/>
      <c r="P210" s="190"/>
      <c r="Q210" s="28">
        <v>35200000</v>
      </c>
      <c r="R210" s="29">
        <f t="shared" si="65"/>
        <v>23.874118285404233</v>
      </c>
      <c r="S210" s="29">
        <v>100</v>
      </c>
      <c r="T210" s="28">
        <f t="shared" si="60"/>
        <v>0</v>
      </c>
      <c r="U210" s="28">
        <f t="shared" si="66"/>
        <v>0</v>
      </c>
      <c r="V210" s="87">
        <f t="shared" si="62"/>
        <v>100</v>
      </c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>
        <v>0</v>
      </c>
      <c r="AJ210" s="29">
        <f t="shared" si="56"/>
        <v>0</v>
      </c>
      <c r="AK210" s="136">
        <f t="shared" si="49"/>
        <v>35200000</v>
      </c>
      <c r="AL210" s="29">
        <f t="shared" si="57"/>
        <v>100</v>
      </c>
      <c r="AM210" s="26"/>
    </row>
    <row r="211" spans="1:39" ht="24.75" customHeight="1" x14ac:dyDescent="0.25">
      <c r="A211" s="26"/>
      <c r="B211" s="97"/>
      <c r="C211" s="97"/>
      <c r="D211" s="97"/>
      <c r="E211" s="97"/>
      <c r="F211" s="97"/>
      <c r="G211" s="97"/>
      <c r="H211" s="97"/>
      <c r="I211" s="98"/>
      <c r="J211" s="97" t="s">
        <v>323</v>
      </c>
      <c r="K211" s="27"/>
      <c r="L211" s="31"/>
      <c r="M211" s="515" t="s">
        <v>324</v>
      </c>
      <c r="N211" s="516"/>
      <c r="O211" s="194"/>
      <c r="P211" s="190"/>
      <c r="Q211" s="28">
        <v>36000000</v>
      </c>
      <c r="R211" s="29">
        <f t="shared" si="65"/>
        <v>24.416711882799781</v>
      </c>
      <c r="S211" s="29">
        <v>100</v>
      </c>
      <c r="T211" s="28">
        <f t="shared" si="60"/>
        <v>0</v>
      </c>
      <c r="U211" s="28">
        <f t="shared" si="66"/>
        <v>0</v>
      </c>
      <c r="V211" s="87">
        <f t="shared" si="62"/>
        <v>100</v>
      </c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>
        <v>0</v>
      </c>
      <c r="AJ211" s="29">
        <f t="shared" si="56"/>
        <v>0</v>
      </c>
      <c r="AK211" s="136">
        <f t="shared" si="49"/>
        <v>36000000</v>
      </c>
      <c r="AL211" s="29">
        <f t="shared" si="57"/>
        <v>100</v>
      </c>
      <c r="AM211" s="26"/>
    </row>
    <row r="212" spans="1:39" ht="24.75" customHeight="1" x14ac:dyDescent="0.25">
      <c r="A212" s="26"/>
      <c r="B212" s="97"/>
      <c r="C212" s="97"/>
      <c r="D212" s="97"/>
      <c r="E212" s="97"/>
      <c r="F212" s="97"/>
      <c r="G212" s="97"/>
      <c r="H212" s="97"/>
      <c r="I212" s="98"/>
      <c r="J212" s="97" t="s">
        <v>269</v>
      </c>
      <c r="K212" s="27"/>
      <c r="L212" s="31"/>
      <c r="M212" s="515" t="s">
        <v>270</v>
      </c>
      <c r="N212" s="516"/>
      <c r="O212" s="194"/>
      <c r="P212" s="190"/>
      <c r="Q212" s="28">
        <v>4000000</v>
      </c>
      <c r="R212" s="29">
        <f t="shared" si="65"/>
        <v>2.7129679869777537</v>
      </c>
      <c r="S212" s="29">
        <v>100</v>
      </c>
      <c r="T212" s="28">
        <f t="shared" si="60"/>
        <v>0</v>
      </c>
      <c r="U212" s="28">
        <f t="shared" si="66"/>
        <v>0</v>
      </c>
      <c r="V212" s="87">
        <f t="shared" si="62"/>
        <v>100</v>
      </c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>
        <v>0</v>
      </c>
      <c r="AJ212" s="29">
        <f t="shared" si="56"/>
        <v>0</v>
      </c>
      <c r="AK212" s="136">
        <f t="shared" si="49"/>
        <v>4000000</v>
      </c>
      <c r="AL212" s="29">
        <f t="shared" si="57"/>
        <v>100</v>
      </c>
      <c r="AM212" s="26"/>
    </row>
    <row r="213" spans="1:39" ht="24.75" customHeight="1" x14ac:dyDescent="0.25">
      <c r="A213" s="26"/>
      <c r="B213" s="97"/>
      <c r="C213" s="97"/>
      <c r="D213" s="97"/>
      <c r="E213" s="97"/>
      <c r="F213" s="97"/>
      <c r="G213" s="97"/>
      <c r="H213" s="97"/>
      <c r="I213" s="98"/>
      <c r="J213" s="97" t="s">
        <v>315</v>
      </c>
      <c r="K213" s="27"/>
      <c r="L213" s="31"/>
      <c r="M213" s="515" t="s">
        <v>271</v>
      </c>
      <c r="N213" s="516"/>
      <c r="O213" s="194"/>
      <c r="P213" s="190"/>
      <c r="Q213" s="28">
        <v>2000000</v>
      </c>
      <c r="R213" s="29">
        <f t="shared" si="65"/>
        <v>1.3564839934888768</v>
      </c>
      <c r="S213" s="29">
        <v>100</v>
      </c>
      <c r="T213" s="28">
        <f t="shared" si="60"/>
        <v>0</v>
      </c>
      <c r="U213" s="28">
        <f t="shared" si="66"/>
        <v>0</v>
      </c>
      <c r="V213" s="87">
        <f t="shared" si="62"/>
        <v>100</v>
      </c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>
        <v>0</v>
      </c>
      <c r="AJ213" s="29">
        <f t="shared" si="56"/>
        <v>0</v>
      </c>
      <c r="AK213" s="136">
        <f t="shared" si="49"/>
        <v>2000000</v>
      </c>
      <c r="AL213" s="29">
        <f t="shared" si="57"/>
        <v>100</v>
      </c>
      <c r="AM213" s="26"/>
    </row>
    <row r="214" spans="1:39" ht="24.75" customHeight="1" x14ac:dyDescent="0.25">
      <c r="A214" s="26"/>
      <c r="B214" s="97"/>
      <c r="C214" s="97"/>
      <c r="D214" s="97"/>
      <c r="E214" s="97"/>
      <c r="F214" s="97"/>
      <c r="G214" s="97"/>
      <c r="H214" s="97"/>
      <c r="I214" s="98"/>
      <c r="J214" s="97" t="s">
        <v>280</v>
      </c>
      <c r="K214" s="27"/>
      <c r="L214" s="31"/>
      <c r="M214" s="515" t="s">
        <v>281</v>
      </c>
      <c r="N214" s="516"/>
      <c r="O214" s="194"/>
      <c r="P214" s="190"/>
      <c r="Q214" s="28">
        <v>13500000</v>
      </c>
      <c r="R214" s="29">
        <f t="shared" si="65"/>
        <v>9.1562669560499188</v>
      </c>
      <c r="S214" s="29">
        <v>100</v>
      </c>
      <c r="T214" s="28">
        <f t="shared" si="60"/>
        <v>0</v>
      </c>
      <c r="U214" s="28">
        <f t="shared" si="66"/>
        <v>0</v>
      </c>
      <c r="V214" s="87">
        <f t="shared" si="62"/>
        <v>100</v>
      </c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>
        <v>0</v>
      </c>
      <c r="AJ214" s="29">
        <f t="shared" si="56"/>
        <v>0</v>
      </c>
      <c r="AK214" s="136">
        <f t="shared" si="49"/>
        <v>13500000</v>
      </c>
      <c r="AL214" s="29">
        <f t="shared" si="57"/>
        <v>100</v>
      </c>
      <c r="AM214" s="26"/>
    </row>
    <row r="215" spans="1:39" ht="24.75" customHeight="1" x14ac:dyDescent="0.25">
      <c r="A215" s="26"/>
      <c r="B215" s="97"/>
      <c r="C215" s="97"/>
      <c r="D215" s="97"/>
      <c r="E215" s="97"/>
      <c r="F215" s="97"/>
      <c r="G215" s="97"/>
      <c r="H215" s="97"/>
      <c r="I215" s="98"/>
      <c r="J215" s="97" t="s">
        <v>282</v>
      </c>
      <c r="K215" s="27"/>
      <c r="L215" s="31"/>
      <c r="M215" s="515" t="s">
        <v>283</v>
      </c>
      <c r="N215" s="516"/>
      <c r="O215" s="194"/>
      <c r="P215" s="190"/>
      <c r="Q215" s="28">
        <v>52000000</v>
      </c>
      <c r="R215" s="29">
        <f t="shared" si="65"/>
        <v>35.268583830710796</v>
      </c>
      <c r="S215" s="29">
        <v>100</v>
      </c>
      <c r="T215" s="28">
        <f t="shared" si="60"/>
        <v>0</v>
      </c>
      <c r="U215" s="28">
        <f t="shared" si="66"/>
        <v>0</v>
      </c>
      <c r="V215" s="87">
        <f t="shared" si="62"/>
        <v>100</v>
      </c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>
        <v>0</v>
      </c>
      <c r="AJ215" s="29">
        <f t="shared" si="56"/>
        <v>0</v>
      </c>
      <c r="AK215" s="136">
        <f t="shared" si="49"/>
        <v>52000000</v>
      </c>
      <c r="AL215" s="29">
        <f t="shared" si="57"/>
        <v>100</v>
      </c>
      <c r="AM215" s="26"/>
    </row>
    <row r="216" spans="1:39" s="36" customFormat="1" ht="27.75" customHeight="1" x14ac:dyDescent="0.25">
      <c r="A216" s="51" t="s">
        <v>38</v>
      </c>
      <c r="B216" s="547" t="s">
        <v>145</v>
      </c>
      <c r="C216" s="547"/>
      <c r="D216" s="547"/>
      <c r="E216" s="547"/>
      <c r="F216" s="547"/>
      <c r="G216" s="547"/>
      <c r="H216" s="547"/>
      <c r="I216" s="548"/>
      <c r="J216" s="148" t="s">
        <v>473</v>
      </c>
      <c r="K216" s="52"/>
      <c r="L216" s="549" t="s">
        <v>39</v>
      </c>
      <c r="M216" s="549"/>
      <c r="N216" s="550"/>
      <c r="O216" s="192" t="e">
        <f>SUM(O217:O686)</f>
        <v>#REF!</v>
      </c>
      <c r="P216" s="192" t="e">
        <f>SUM(P217:P686)</f>
        <v>#REF!</v>
      </c>
      <c r="Q216" s="55">
        <f>SUM(Q217+Q233+Q242+Q254+Q267+Q275+Q286+Q293+Q304+Q311+Q318+Q331+Q337+Q349+Q363+Q374+Q390+Q398+Q413+Q424+Q437+Q446+Q459+Q465+Q478+Q487+Q494+Q505+Q509+Q517+Q524+Q535+Q541+Q554+Q563+Q571+Q585+Q599+Q609+Q625+Q635+Q645+Q655+Q660+Q677)</f>
        <v>15692198044</v>
      </c>
      <c r="R216" s="57">
        <f>Q216/Q$33*100</f>
        <v>45.869175533373635</v>
      </c>
      <c r="S216" s="57">
        <f>S217</f>
        <v>100</v>
      </c>
      <c r="T216" s="55">
        <f t="shared" si="60"/>
        <v>0</v>
      </c>
      <c r="U216" s="127">
        <f t="shared" si="66"/>
        <v>0</v>
      </c>
      <c r="V216" s="117">
        <f t="shared" si="62"/>
        <v>100</v>
      </c>
      <c r="W216" s="55">
        <f t="shared" ref="W216:AH216" si="67">SUM(W217:W686)</f>
        <v>0</v>
      </c>
      <c r="X216" s="55" t="e">
        <f t="shared" si="67"/>
        <v>#REF!</v>
      </c>
      <c r="Y216" s="55" t="e">
        <f t="shared" si="67"/>
        <v>#REF!</v>
      </c>
      <c r="Z216" s="55" t="e">
        <f t="shared" si="67"/>
        <v>#REF!</v>
      </c>
      <c r="AA216" s="55" t="e">
        <f t="shared" si="67"/>
        <v>#REF!</v>
      </c>
      <c r="AB216" s="55">
        <f t="shared" si="67"/>
        <v>4302661135</v>
      </c>
      <c r="AC216" s="55" t="e">
        <f t="shared" si="67"/>
        <v>#REF!</v>
      </c>
      <c r="AD216" s="55" t="e">
        <f t="shared" si="67"/>
        <v>#REF!</v>
      </c>
      <c r="AE216" s="55" t="e">
        <f t="shared" si="67"/>
        <v>#REF!</v>
      </c>
      <c r="AF216" s="55" t="e">
        <f t="shared" si="67"/>
        <v>#REF!</v>
      </c>
      <c r="AG216" s="55" t="e">
        <f t="shared" si="67"/>
        <v>#REF!</v>
      </c>
      <c r="AH216" s="55" t="e">
        <f t="shared" si="67"/>
        <v>#REF!</v>
      </c>
      <c r="AI216" s="55">
        <f>SUM(AI217+AI233+AI242+AI254+AI267+AI275+AI286+AI293+AI304+AI311+AI318+AI331+AI337+AI349+AI363+AI374+AI390+AI398+AI413+AI424+AI437+AI446+AI459+AI465+AI478+AI487+AI494+AI505+AI509+AI517+AI524+AI535+AI541+AI554+AI563+AI571+AI585+AI599+AI609+AI625+AI635+AI645+AI655+AI660+AI677)</f>
        <v>0</v>
      </c>
      <c r="AJ216" s="57">
        <f t="shared" si="56"/>
        <v>0</v>
      </c>
      <c r="AK216" s="137">
        <f>SUM(Q216-AI216)</f>
        <v>15692198044</v>
      </c>
      <c r="AL216" s="57">
        <f t="shared" si="57"/>
        <v>100</v>
      </c>
      <c r="AM216" s="51"/>
    </row>
    <row r="217" spans="1:39" s="41" customFormat="1" ht="24.75" customHeight="1" x14ac:dyDescent="0.25">
      <c r="A217" s="21">
        <f>A208+1</f>
        <v>31</v>
      </c>
      <c r="B217" s="543" t="s">
        <v>146</v>
      </c>
      <c r="C217" s="543"/>
      <c r="D217" s="543"/>
      <c r="E217" s="543"/>
      <c r="F217" s="543"/>
      <c r="G217" s="543"/>
      <c r="H217" s="543"/>
      <c r="I217" s="544"/>
      <c r="J217" s="122" t="s">
        <v>479</v>
      </c>
      <c r="K217" s="22"/>
      <c r="L217" s="72"/>
      <c r="M217" s="565" t="s">
        <v>40</v>
      </c>
      <c r="N217" s="565"/>
      <c r="O217" s="197">
        <v>628725000</v>
      </c>
      <c r="P217" s="189">
        <f>O217</f>
        <v>628725000</v>
      </c>
      <c r="Q217" s="23">
        <f>SUM(Q218:Q232)</f>
        <v>485800000</v>
      </c>
      <c r="R217" s="24">
        <f>Q217/Q$216*100</f>
        <v>3.0958059453356714</v>
      </c>
      <c r="S217" s="24">
        <v>100</v>
      </c>
      <c r="T217" s="23">
        <f t="shared" si="60"/>
        <v>0</v>
      </c>
      <c r="U217" s="23">
        <f t="shared" si="66"/>
        <v>0</v>
      </c>
      <c r="V217" s="90">
        <f t="shared" si="62"/>
        <v>100</v>
      </c>
      <c r="W217" s="23"/>
      <c r="X217" s="23" t="e">
        <f>#REF!</f>
        <v>#REF!</v>
      </c>
      <c r="Y217" s="23" t="e">
        <f>#REF!</f>
        <v>#REF!</v>
      </c>
      <c r="Z217" s="23" t="e">
        <f>#REF!</f>
        <v>#REF!</v>
      </c>
      <c r="AA217" s="23" t="e">
        <f>#REF!</f>
        <v>#REF!</v>
      </c>
      <c r="AB217" s="23">
        <v>391775000</v>
      </c>
      <c r="AC217" s="23" t="e">
        <f>#REF!</f>
        <v>#REF!</v>
      </c>
      <c r="AD217" s="23" t="e">
        <f>#REF!</f>
        <v>#REF!</v>
      </c>
      <c r="AE217" s="23" t="e">
        <f>#REF!</f>
        <v>#REF!</v>
      </c>
      <c r="AF217" s="23" t="e">
        <f>[1]April!N54</f>
        <v>#REF!</v>
      </c>
      <c r="AG217" s="23" t="e">
        <f>[2]april!N54</f>
        <v>#REF!</v>
      </c>
      <c r="AH217" s="23">
        <f>'[3]DES SKPD'!$N54</f>
        <v>508172500</v>
      </c>
      <c r="AI217" s="23">
        <f>SUM(AI218:AI231)</f>
        <v>0</v>
      </c>
      <c r="AJ217" s="24">
        <f t="shared" si="56"/>
        <v>0</v>
      </c>
      <c r="AK217" s="134">
        <f t="shared" ref="AK217:AK280" si="68">Q217-AI217</f>
        <v>485800000</v>
      </c>
      <c r="AL217" s="24">
        <f t="shared" si="57"/>
        <v>100</v>
      </c>
      <c r="AM217" s="21"/>
    </row>
    <row r="218" spans="1:39" ht="24.75" customHeight="1" x14ac:dyDescent="0.25">
      <c r="A218" s="26"/>
      <c r="B218" s="97"/>
      <c r="C218" s="97"/>
      <c r="D218" s="97"/>
      <c r="E218" s="97"/>
      <c r="F218" s="97"/>
      <c r="G218" s="97"/>
      <c r="H218" s="97"/>
      <c r="I218" s="98"/>
      <c r="J218" s="97" t="s">
        <v>257</v>
      </c>
      <c r="K218" s="27"/>
      <c r="L218" s="31"/>
      <c r="M218" s="559" t="s">
        <v>258</v>
      </c>
      <c r="N218" s="560"/>
      <c r="O218" s="198"/>
      <c r="P218" s="190"/>
      <c r="Q218" s="28">
        <v>6420000</v>
      </c>
      <c r="R218" s="29">
        <f>Q218/Q$217*100</f>
        <v>1.3215314944421572</v>
      </c>
      <c r="S218" s="29">
        <v>100</v>
      </c>
      <c r="T218" s="28">
        <f t="shared" si="60"/>
        <v>0</v>
      </c>
      <c r="U218" s="28">
        <f t="shared" si="66"/>
        <v>0</v>
      </c>
      <c r="V218" s="87">
        <f t="shared" si="62"/>
        <v>100</v>
      </c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>
        <v>0</v>
      </c>
      <c r="AJ218" s="29">
        <f t="shared" si="56"/>
        <v>0</v>
      </c>
      <c r="AK218" s="136">
        <f t="shared" si="68"/>
        <v>6420000</v>
      </c>
      <c r="AL218" s="29">
        <f t="shared" si="57"/>
        <v>100</v>
      </c>
      <c r="AM218" s="26"/>
    </row>
    <row r="219" spans="1:39" ht="28.5" customHeight="1" x14ac:dyDescent="0.25">
      <c r="A219" s="26"/>
      <c r="B219" s="97"/>
      <c r="C219" s="97"/>
      <c r="D219" s="97"/>
      <c r="E219" s="97"/>
      <c r="F219" s="97"/>
      <c r="G219" s="97"/>
      <c r="H219" s="97"/>
      <c r="I219" s="98"/>
      <c r="J219" s="97" t="s">
        <v>259</v>
      </c>
      <c r="K219" s="27"/>
      <c r="L219" s="31"/>
      <c r="M219" s="559" t="s">
        <v>260</v>
      </c>
      <c r="N219" s="560"/>
      <c r="O219" s="198"/>
      <c r="P219" s="190"/>
      <c r="Q219" s="28">
        <v>3080000</v>
      </c>
      <c r="R219" s="29">
        <f t="shared" ref="R219:R230" si="69">Q219/Q$217*100</f>
        <v>0.63400576368876083</v>
      </c>
      <c r="S219" s="29">
        <v>100</v>
      </c>
      <c r="T219" s="28">
        <f>AJ219</f>
        <v>0</v>
      </c>
      <c r="U219" s="28">
        <f t="shared" si="66"/>
        <v>0</v>
      </c>
      <c r="V219" s="87">
        <f t="shared" si="62"/>
        <v>100</v>
      </c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>
        <v>0</v>
      </c>
      <c r="AJ219" s="29">
        <f t="shared" si="56"/>
        <v>0</v>
      </c>
      <c r="AK219" s="136">
        <f t="shared" si="68"/>
        <v>3080000</v>
      </c>
      <c r="AL219" s="29">
        <f t="shared" si="57"/>
        <v>100</v>
      </c>
      <c r="AM219" s="26"/>
    </row>
    <row r="220" spans="1:39" ht="24.75" customHeight="1" x14ac:dyDescent="0.25">
      <c r="A220" s="26"/>
      <c r="B220" s="97"/>
      <c r="C220" s="97"/>
      <c r="D220" s="97"/>
      <c r="E220" s="97"/>
      <c r="F220" s="97"/>
      <c r="G220" s="97"/>
      <c r="H220" s="97"/>
      <c r="I220" s="98"/>
      <c r="J220" s="97" t="s">
        <v>326</v>
      </c>
      <c r="K220" s="27"/>
      <c r="L220" s="31"/>
      <c r="M220" s="559" t="s">
        <v>327</v>
      </c>
      <c r="N220" s="560"/>
      <c r="O220" s="198"/>
      <c r="P220" s="190"/>
      <c r="Q220" s="28">
        <v>171600000</v>
      </c>
      <c r="R220" s="29">
        <f t="shared" si="69"/>
        <v>35.323178262659532</v>
      </c>
      <c r="S220" s="29">
        <v>100</v>
      </c>
      <c r="T220" s="28">
        <f t="shared" si="60"/>
        <v>0</v>
      </c>
      <c r="U220" s="28">
        <f t="shared" si="66"/>
        <v>0</v>
      </c>
      <c r="V220" s="87">
        <f t="shared" si="62"/>
        <v>100</v>
      </c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>
        <v>0</v>
      </c>
      <c r="AJ220" s="29">
        <f t="shared" si="56"/>
        <v>0</v>
      </c>
      <c r="AK220" s="136">
        <f t="shared" si="68"/>
        <v>171600000</v>
      </c>
      <c r="AL220" s="29">
        <f t="shared" si="57"/>
        <v>100</v>
      </c>
      <c r="AM220" s="26"/>
    </row>
    <row r="221" spans="1:39" ht="24.75" customHeight="1" x14ac:dyDescent="0.25">
      <c r="A221" s="26"/>
      <c r="B221" s="97"/>
      <c r="C221" s="97"/>
      <c r="D221" s="97"/>
      <c r="E221" s="97"/>
      <c r="F221" s="97"/>
      <c r="G221" s="97"/>
      <c r="H221" s="97"/>
      <c r="I221" s="98"/>
      <c r="J221" s="97" t="s">
        <v>323</v>
      </c>
      <c r="K221" s="27"/>
      <c r="L221" s="31"/>
      <c r="M221" s="559" t="s">
        <v>324</v>
      </c>
      <c r="N221" s="560"/>
      <c r="O221" s="198"/>
      <c r="P221" s="190"/>
      <c r="Q221" s="28">
        <v>5000000</v>
      </c>
      <c r="R221" s="29">
        <f t="shared" si="69"/>
        <v>1.029230135858378</v>
      </c>
      <c r="S221" s="29">
        <v>100</v>
      </c>
      <c r="T221" s="28">
        <f t="shared" si="60"/>
        <v>0</v>
      </c>
      <c r="U221" s="28">
        <f t="shared" si="66"/>
        <v>0</v>
      </c>
      <c r="V221" s="87">
        <f t="shared" si="62"/>
        <v>100</v>
      </c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>
        <v>0</v>
      </c>
      <c r="AJ221" s="29">
        <f t="shared" si="56"/>
        <v>0</v>
      </c>
      <c r="AK221" s="136">
        <f t="shared" si="68"/>
        <v>5000000</v>
      </c>
      <c r="AL221" s="29">
        <f t="shared" si="57"/>
        <v>100</v>
      </c>
      <c r="AM221" s="26"/>
    </row>
    <row r="222" spans="1:39" ht="24.75" customHeight="1" x14ac:dyDescent="0.25">
      <c r="A222" s="26"/>
      <c r="B222" s="97"/>
      <c r="C222" s="97"/>
      <c r="D222" s="97"/>
      <c r="E222" s="97"/>
      <c r="F222" s="97"/>
      <c r="G222" s="97"/>
      <c r="H222" s="97"/>
      <c r="I222" s="98"/>
      <c r="J222" s="97" t="s">
        <v>269</v>
      </c>
      <c r="K222" s="27"/>
      <c r="L222" s="31"/>
      <c r="M222" s="559" t="s">
        <v>270</v>
      </c>
      <c r="N222" s="560"/>
      <c r="O222" s="198"/>
      <c r="P222" s="190"/>
      <c r="Q222" s="28">
        <v>30000000</v>
      </c>
      <c r="R222" s="29">
        <f t="shared" si="69"/>
        <v>6.1753808151502678</v>
      </c>
      <c r="S222" s="29">
        <v>100</v>
      </c>
      <c r="T222" s="28">
        <f t="shared" si="60"/>
        <v>0</v>
      </c>
      <c r="U222" s="28">
        <f t="shared" si="66"/>
        <v>0</v>
      </c>
      <c r="V222" s="87">
        <f t="shared" si="62"/>
        <v>100</v>
      </c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>
        <v>0</v>
      </c>
      <c r="AJ222" s="29">
        <f t="shared" si="56"/>
        <v>0</v>
      </c>
      <c r="AK222" s="136">
        <f t="shared" si="68"/>
        <v>30000000</v>
      </c>
      <c r="AL222" s="29">
        <f t="shared" si="57"/>
        <v>100</v>
      </c>
      <c r="AM222" s="26"/>
    </row>
    <row r="223" spans="1:39" ht="24.75" customHeight="1" x14ac:dyDescent="0.25">
      <c r="A223" s="26"/>
      <c r="B223" s="97"/>
      <c r="C223" s="97"/>
      <c r="D223" s="97"/>
      <c r="E223" s="97"/>
      <c r="F223" s="97"/>
      <c r="G223" s="97"/>
      <c r="H223" s="97"/>
      <c r="I223" s="98"/>
      <c r="J223" s="97" t="s">
        <v>315</v>
      </c>
      <c r="K223" s="27"/>
      <c r="L223" s="31"/>
      <c r="M223" s="559" t="s">
        <v>271</v>
      </c>
      <c r="N223" s="560"/>
      <c r="O223" s="198"/>
      <c r="P223" s="190"/>
      <c r="Q223" s="28">
        <v>3300000</v>
      </c>
      <c r="R223" s="29">
        <f t="shared" si="69"/>
        <v>0.67929188966652942</v>
      </c>
      <c r="S223" s="29">
        <v>100</v>
      </c>
      <c r="T223" s="28">
        <f t="shared" si="60"/>
        <v>0</v>
      </c>
      <c r="U223" s="28">
        <f t="shared" si="66"/>
        <v>0</v>
      </c>
      <c r="V223" s="87">
        <f t="shared" si="62"/>
        <v>100</v>
      </c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>
        <v>0</v>
      </c>
      <c r="AJ223" s="29">
        <f t="shared" si="56"/>
        <v>0</v>
      </c>
      <c r="AK223" s="136">
        <f t="shared" si="68"/>
        <v>3300000</v>
      </c>
      <c r="AL223" s="29">
        <f t="shared" si="57"/>
        <v>100</v>
      </c>
      <c r="AM223" s="26"/>
    </row>
    <row r="224" spans="1:39" ht="24.75" customHeight="1" x14ac:dyDescent="0.25">
      <c r="A224" s="26"/>
      <c r="B224" s="97"/>
      <c r="C224" s="97"/>
      <c r="D224" s="97"/>
      <c r="E224" s="97"/>
      <c r="F224" s="97"/>
      <c r="G224" s="97"/>
      <c r="H224" s="97"/>
      <c r="I224" s="98"/>
      <c r="J224" s="97" t="s">
        <v>328</v>
      </c>
      <c r="K224" s="27"/>
      <c r="L224" s="31"/>
      <c r="M224" s="559" t="s">
        <v>329</v>
      </c>
      <c r="N224" s="560"/>
      <c r="O224" s="198"/>
      <c r="P224" s="190"/>
      <c r="Q224" s="28">
        <v>30000000</v>
      </c>
      <c r="R224" s="29">
        <f t="shared" si="69"/>
        <v>6.1753808151502678</v>
      </c>
      <c r="S224" s="29">
        <v>100</v>
      </c>
      <c r="T224" s="28">
        <f t="shared" si="60"/>
        <v>0</v>
      </c>
      <c r="U224" s="28">
        <f t="shared" si="66"/>
        <v>0</v>
      </c>
      <c r="V224" s="87">
        <f t="shared" si="62"/>
        <v>100</v>
      </c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>
        <v>0</v>
      </c>
      <c r="AJ224" s="29">
        <f t="shared" si="56"/>
        <v>0</v>
      </c>
      <c r="AK224" s="136">
        <f t="shared" si="68"/>
        <v>30000000</v>
      </c>
      <c r="AL224" s="29">
        <f t="shared" si="57"/>
        <v>100</v>
      </c>
      <c r="AM224" s="26"/>
    </row>
    <row r="225" spans="1:39" ht="31.5" customHeight="1" x14ac:dyDescent="0.25">
      <c r="A225" s="26"/>
      <c r="B225" s="97"/>
      <c r="C225" s="97"/>
      <c r="D225" s="97"/>
      <c r="E225" s="97"/>
      <c r="F225" s="97"/>
      <c r="G225" s="97"/>
      <c r="H225" s="97"/>
      <c r="I225" s="98"/>
      <c r="J225" s="97" t="s">
        <v>318</v>
      </c>
      <c r="K225" s="27"/>
      <c r="L225" s="31"/>
      <c r="M225" s="559" t="s">
        <v>319</v>
      </c>
      <c r="N225" s="560"/>
      <c r="O225" s="198"/>
      <c r="P225" s="190"/>
      <c r="Q225" s="28">
        <v>88000000</v>
      </c>
      <c r="R225" s="29">
        <f t="shared" si="69"/>
        <v>18.11445039110745</v>
      </c>
      <c r="S225" s="29">
        <v>100</v>
      </c>
      <c r="T225" s="28">
        <f t="shared" si="60"/>
        <v>0</v>
      </c>
      <c r="U225" s="28">
        <f t="shared" si="66"/>
        <v>0</v>
      </c>
      <c r="V225" s="87">
        <f t="shared" si="62"/>
        <v>100</v>
      </c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>
        <v>0</v>
      </c>
      <c r="AJ225" s="29">
        <f t="shared" si="56"/>
        <v>0</v>
      </c>
      <c r="AK225" s="136">
        <f t="shared" si="68"/>
        <v>88000000</v>
      </c>
      <c r="AL225" s="29">
        <f t="shared" si="57"/>
        <v>100</v>
      </c>
      <c r="AM225" s="26"/>
    </row>
    <row r="226" spans="1:39" ht="24.75" customHeight="1" x14ac:dyDescent="0.25">
      <c r="A226" s="26"/>
      <c r="B226" s="97"/>
      <c r="C226" s="97"/>
      <c r="D226" s="97"/>
      <c r="E226" s="97"/>
      <c r="F226" s="97"/>
      <c r="G226" s="97"/>
      <c r="H226" s="97"/>
      <c r="I226" s="98"/>
      <c r="J226" s="97" t="s">
        <v>280</v>
      </c>
      <c r="K226" s="27"/>
      <c r="L226" s="31"/>
      <c r="M226" s="559" t="s">
        <v>281</v>
      </c>
      <c r="N226" s="560"/>
      <c r="O226" s="198"/>
      <c r="P226" s="190"/>
      <c r="Q226" s="28">
        <v>7000000</v>
      </c>
      <c r="R226" s="29">
        <f t="shared" si="69"/>
        <v>1.4409221902017291</v>
      </c>
      <c r="S226" s="29">
        <v>100</v>
      </c>
      <c r="T226" s="28">
        <f t="shared" si="60"/>
        <v>0</v>
      </c>
      <c r="U226" s="28">
        <f t="shared" si="66"/>
        <v>0</v>
      </c>
      <c r="V226" s="87">
        <f t="shared" si="62"/>
        <v>100</v>
      </c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>
        <v>0</v>
      </c>
      <c r="AJ226" s="29">
        <f t="shared" si="56"/>
        <v>0</v>
      </c>
      <c r="AK226" s="136">
        <f t="shared" si="68"/>
        <v>7000000</v>
      </c>
      <c r="AL226" s="29">
        <f t="shared" si="57"/>
        <v>100</v>
      </c>
      <c r="AM226" s="26"/>
    </row>
    <row r="227" spans="1:39" ht="24.75" customHeight="1" x14ac:dyDescent="0.25">
      <c r="A227" s="26"/>
      <c r="B227" s="97"/>
      <c r="C227" s="97"/>
      <c r="D227" s="97"/>
      <c r="E227" s="97"/>
      <c r="F227" s="97"/>
      <c r="G227" s="97"/>
      <c r="H227" s="97"/>
      <c r="I227" s="98"/>
      <c r="J227" s="97" t="s">
        <v>284</v>
      </c>
      <c r="K227" s="27"/>
      <c r="L227" s="31"/>
      <c r="M227" s="559" t="s">
        <v>285</v>
      </c>
      <c r="N227" s="560"/>
      <c r="O227" s="198"/>
      <c r="P227" s="190"/>
      <c r="Q227" s="28">
        <v>5000000</v>
      </c>
      <c r="R227" s="29">
        <f t="shared" si="69"/>
        <v>1.029230135858378</v>
      </c>
      <c r="S227" s="29">
        <v>100</v>
      </c>
      <c r="T227" s="28">
        <f t="shared" si="60"/>
        <v>0</v>
      </c>
      <c r="U227" s="28">
        <f t="shared" si="66"/>
        <v>0</v>
      </c>
      <c r="V227" s="87">
        <f t="shared" si="62"/>
        <v>100</v>
      </c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>
        <v>0</v>
      </c>
      <c r="AJ227" s="29">
        <f t="shared" si="56"/>
        <v>0</v>
      </c>
      <c r="AK227" s="136">
        <f t="shared" si="68"/>
        <v>5000000</v>
      </c>
      <c r="AL227" s="29">
        <f t="shared" si="57"/>
        <v>100</v>
      </c>
      <c r="AM227" s="26"/>
    </row>
    <row r="228" spans="1:39" ht="24.75" customHeight="1" x14ac:dyDescent="0.25">
      <c r="A228" s="26"/>
      <c r="B228" s="97"/>
      <c r="C228" s="97"/>
      <c r="D228" s="97"/>
      <c r="E228" s="97"/>
      <c r="F228" s="97"/>
      <c r="G228" s="97"/>
      <c r="H228" s="97"/>
      <c r="I228" s="98"/>
      <c r="J228" s="97" t="s">
        <v>282</v>
      </c>
      <c r="K228" s="27"/>
      <c r="L228" s="31"/>
      <c r="M228" s="559" t="s">
        <v>283</v>
      </c>
      <c r="N228" s="560"/>
      <c r="O228" s="198"/>
      <c r="P228" s="190"/>
      <c r="Q228" s="28">
        <v>26000000</v>
      </c>
      <c r="R228" s="29">
        <f t="shared" si="69"/>
        <v>5.3519967064635656</v>
      </c>
      <c r="S228" s="29">
        <v>100</v>
      </c>
      <c r="T228" s="28">
        <f t="shared" si="60"/>
        <v>0</v>
      </c>
      <c r="U228" s="28">
        <f t="shared" si="66"/>
        <v>0</v>
      </c>
      <c r="V228" s="87">
        <f t="shared" si="62"/>
        <v>100</v>
      </c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>
        <v>0</v>
      </c>
      <c r="AJ228" s="29">
        <f t="shared" si="56"/>
        <v>0</v>
      </c>
      <c r="AK228" s="136">
        <f t="shared" si="68"/>
        <v>26000000</v>
      </c>
      <c r="AL228" s="29">
        <f t="shared" si="57"/>
        <v>100</v>
      </c>
      <c r="AM228" s="26"/>
    </row>
    <row r="229" spans="1:39" ht="24.75" customHeight="1" x14ac:dyDescent="0.25">
      <c r="A229" s="26"/>
      <c r="B229" s="97"/>
      <c r="C229" s="97"/>
      <c r="D229" s="97"/>
      <c r="E229" s="97"/>
      <c r="F229" s="97"/>
      <c r="G229" s="97"/>
      <c r="H229" s="97"/>
      <c r="I229" s="98"/>
      <c r="J229" s="97" t="s">
        <v>306</v>
      </c>
      <c r="K229" s="27"/>
      <c r="L229" s="31"/>
      <c r="M229" s="559" t="s">
        <v>325</v>
      </c>
      <c r="N229" s="560"/>
      <c r="O229" s="198"/>
      <c r="P229" s="190"/>
      <c r="Q229" s="28">
        <v>55000000</v>
      </c>
      <c r="R229" s="29">
        <f t="shared" si="69"/>
        <v>11.321531494442157</v>
      </c>
      <c r="S229" s="29">
        <v>100</v>
      </c>
      <c r="T229" s="28">
        <f t="shared" si="60"/>
        <v>0</v>
      </c>
      <c r="U229" s="28">
        <f t="shared" si="66"/>
        <v>0</v>
      </c>
      <c r="V229" s="87">
        <f t="shared" si="62"/>
        <v>100</v>
      </c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>
        <v>0</v>
      </c>
      <c r="AJ229" s="29">
        <f t="shared" si="56"/>
        <v>0</v>
      </c>
      <c r="AK229" s="136">
        <f t="shared" si="68"/>
        <v>55000000</v>
      </c>
      <c r="AL229" s="29">
        <f t="shared" si="57"/>
        <v>100</v>
      </c>
      <c r="AM229" s="26"/>
    </row>
    <row r="230" spans="1:39" ht="24.75" customHeight="1" x14ac:dyDescent="0.25">
      <c r="A230" s="26"/>
      <c r="B230" s="97"/>
      <c r="C230" s="97"/>
      <c r="D230" s="97"/>
      <c r="E230" s="97"/>
      <c r="F230" s="97"/>
      <c r="G230" s="97"/>
      <c r="H230" s="97"/>
      <c r="I230" s="98"/>
      <c r="J230" s="97" t="s">
        <v>379</v>
      </c>
      <c r="K230" s="27"/>
      <c r="L230" s="31"/>
      <c r="M230" s="559" t="s">
        <v>321</v>
      </c>
      <c r="N230" s="560"/>
      <c r="O230" s="198"/>
      <c r="P230" s="190"/>
      <c r="Q230" s="28">
        <v>40000000</v>
      </c>
      <c r="R230" s="29">
        <f t="shared" si="69"/>
        <v>8.2338410868670238</v>
      </c>
      <c r="S230" s="29">
        <v>100</v>
      </c>
      <c r="T230" s="28">
        <f t="shared" si="60"/>
        <v>0</v>
      </c>
      <c r="U230" s="28">
        <f t="shared" si="66"/>
        <v>0</v>
      </c>
      <c r="V230" s="87">
        <f t="shared" si="62"/>
        <v>100</v>
      </c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>
        <v>0</v>
      </c>
      <c r="AJ230" s="29">
        <f t="shared" si="56"/>
        <v>0</v>
      </c>
      <c r="AK230" s="136">
        <f t="shared" si="68"/>
        <v>40000000</v>
      </c>
      <c r="AL230" s="29">
        <f t="shared" si="57"/>
        <v>100</v>
      </c>
      <c r="AM230" s="26"/>
    </row>
    <row r="231" spans="1:39" ht="24.75" customHeight="1" x14ac:dyDescent="0.25">
      <c r="A231" s="26"/>
      <c r="B231" s="97"/>
      <c r="C231" s="97"/>
      <c r="D231" s="97"/>
      <c r="E231" s="97"/>
      <c r="F231" s="97"/>
      <c r="G231" s="97"/>
      <c r="H231" s="97"/>
      <c r="I231" s="98"/>
      <c r="J231" s="97" t="s">
        <v>380</v>
      </c>
      <c r="K231" s="27"/>
      <c r="L231" s="31"/>
      <c r="M231" s="559" t="s">
        <v>310</v>
      </c>
      <c r="N231" s="560"/>
      <c r="O231" s="198"/>
      <c r="P231" s="190"/>
      <c r="Q231" s="28">
        <v>9000000</v>
      </c>
      <c r="R231" s="29">
        <f>Q231/Q$217*100</f>
        <v>1.8526142445450804</v>
      </c>
      <c r="S231" s="29">
        <v>100</v>
      </c>
      <c r="T231" s="28">
        <f t="shared" si="60"/>
        <v>0</v>
      </c>
      <c r="U231" s="28">
        <f t="shared" si="66"/>
        <v>0</v>
      </c>
      <c r="V231" s="87">
        <f t="shared" si="62"/>
        <v>100</v>
      </c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>
        <v>0</v>
      </c>
      <c r="AJ231" s="29">
        <f t="shared" si="56"/>
        <v>0</v>
      </c>
      <c r="AK231" s="136">
        <f t="shared" si="68"/>
        <v>9000000</v>
      </c>
      <c r="AL231" s="29">
        <f t="shared" si="57"/>
        <v>100</v>
      </c>
      <c r="AM231" s="26"/>
    </row>
    <row r="232" spans="1:39" ht="24.75" customHeight="1" x14ac:dyDescent="0.25">
      <c r="A232" s="26"/>
      <c r="B232" s="97"/>
      <c r="C232" s="97"/>
      <c r="D232" s="97"/>
      <c r="E232" s="97"/>
      <c r="F232" s="97"/>
      <c r="G232" s="97"/>
      <c r="H232" s="97"/>
      <c r="I232" s="98"/>
      <c r="J232" s="97" t="s">
        <v>413</v>
      </c>
      <c r="K232" s="27"/>
      <c r="L232" s="31"/>
      <c r="M232" s="559" t="s">
        <v>414</v>
      </c>
      <c r="N232" s="560"/>
      <c r="O232" s="198"/>
      <c r="P232" s="190"/>
      <c r="Q232" s="28">
        <v>6400000</v>
      </c>
      <c r="R232" s="29">
        <f>Q232/Q$217*100</f>
        <v>1.3174145738987237</v>
      </c>
      <c r="S232" s="29">
        <v>100</v>
      </c>
      <c r="T232" s="28">
        <f t="shared" si="60"/>
        <v>0</v>
      </c>
      <c r="U232" s="28">
        <f t="shared" si="66"/>
        <v>0</v>
      </c>
      <c r="V232" s="87">
        <f t="shared" si="62"/>
        <v>100</v>
      </c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>
        <v>0</v>
      </c>
      <c r="AJ232" s="29">
        <f t="shared" si="56"/>
        <v>0</v>
      </c>
      <c r="AK232" s="136">
        <f t="shared" si="68"/>
        <v>6400000</v>
      </c>
      <c r="AL232" s="29">
        <f t="shared" si="57"/>
        <v>100</v>
      </c>
      <c r="AM232" s="26"/>
    </row>
    <row r="233" spans="1:39" s="41" customFormat="1" ht="30.75" customHeight="1" x14ac:dyDescent="0.25">
      <c r="A233" s="21">
        <f>SUM(A217+1)</f>
        <v>32</v>
      </c>
      <c r="B233" s="99"/>
      <c r="C233" s="99"/>
      <c r="D233" s="99"/>
      <c r="E233" s="99"/>
      <c r="F233" s="99"/>
      <c r="G233" s="99"/>
      <c r="H233" s="99"/>
      <c r="I233" s="100"/>
      <c r="J233" s="122" t="s">
        <v>480</v>
      </c>
      <c r="K233" s="22"/>
      <c r="L233" s="72"/>
      <c r="M233" s="561" t="s">
        <v>338</v>
      </c>
      <c r="N233" s="562"/>
      <c r="O233" s="197"/>
      <c r="P233" s="189"/>
      <c r="Q233" s="23">
        <f>SUM(Q234:Q241)</f>
        <v>86632000</v>
      </c>
      <c r="R233" s="24">
        <f>Q233/Q$216*100</f>
        <v>0.55207052419991753</v>
      </c>
      <c r="S233" s="24">
        <v>100</v>
      </c>
      <c r="T233" s="23">
        <f t="shared" si="60"/>
        <v>0</v>
      </c>
      <c r="U233" s="23">
        <f t="shared" si="66"/>
        <v>0</v>
      </c>
      <c r="V233" s="90">
        <f t="shared" si="62"/>
        <v>100</v>
      </c>
      <c r="W233" s="23"/>
      <c r="X233" s="23" t="e">
        <f>#REF!</f>
        <v>#REF!</v>
      </c>
      <c r="Y233" s="23" t="e">
        <f>#REF!</f>
        <v>#REF!</v>
      </c>
      <c r="Z233" s="23" t="e">
        <f>#REF!</f>
        <v>#REF!</v>
      </c>
      <c r="AA233" s="23" t="e">
        <f>#REF!</f>
        <v>#REF!</v>
      </c>
      <c r="AB233" s="23">
        <v>391775001</v>
      </c>
      <c r="AC233" s="23" t="e">
        <f>#REF!</f>
        <v>#REF!</v>
      </c>
      <c r="AD233" s="23" t="e">
        <f>#REF!</f>
        <v>#REF!</v>
      </c>
      <c r="AE233" s="23" t="e">
        <f>#REF!</f>
        <v>#REF!</v>
      </c>
      <c r="AF233" s="23" t="e">
        <f>[1]April!N55</f>
        <v>#REF!</v>
      </c>
      <c r="AG233" s="23" t="e">
        <f>[2]april!N55</f>
        <v>#REF!</v>
      </c>
      <c r="AH233" s="23" t="e">
        <f>'[3]DES SKPD'!$N55</f>
        <v>#REF!</v>
      </c>
      <c r="AI233" s="23">
        <f>SUM(AI234:AI241)</f>
        <v>0</v>
      </c>
      <c r="AJ233" s="24">
        <f t="shared" si="56"/>
        <v>0</v>
      </c>
      <c r="AK233" s="134">
        <f t="shared" si="68"/>
        <v>86632000</v>
      </c>
      <c r="AL233" s="24">
        <f t="shared" si="57"/>
        <v>100</v>
      </c>
      <c r="AM233" s="21"/>
    </row>
    <row r="234" spans="1:39" ht="24.75" customHeight="1" x14ac:dyDescent="0.25">
      <c r="A234" s="26"/>
      <c r="B234" s="97"/>
      <c r="C234" s="97"/>
      <c r="D234" s="97"/>
      <c r="E234" s="97"/>
      <c r="F234" s="97"/>
      <c r="G234" s="97"/>
      <c r="H234" s="97"/>
      <c r="I234" s="98"/>
      <c r="J234" s="97" t="s">
        <v>257</v>
      </c>
      <c r="K234" s="27"/>
      <c r="L234" s="31"/>
      <c r="M234" s="563" t="s">
        <v>258</v>
      </c>
      <c r="N234" s="564"/>
      <c r="O234" s="198"/>
      <c r="P234" s="190"/>
      <c r="Q234" s="28">
        <v>2800000</v>
      </c>
      <c r="R234" s="29">
        <f>Q234/Q$233*100</f>
        <v>3.2320620555914679</v>
      </c>
      <c r="S234" s="29">
        <v>100</v>
      </c>
      <c r="T234" s="28">
        <f t="shared" si="60"/>
        <v>0</v>
      </c>
      <c r="U234" s="28">
        <f t="shared" si="66"/>
        <v>0</v>
      </c>
      <c r="V234" s="87">
        <f t="shared" si="62"/>
        <v>100</v>
      </c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>
        <v>0</v>
      </c>
      <c r="AJ234" s="29">
        <f t="shared" si="56"/>
        <v>0</v>
      </c>
      <c r="AK234" s="136">
        <f t="shared" si="68"/>
        <v>2800000</v>
      </c>
      <c r="AL234" s="29">
        <f t="shared" si="57"/>
        <v>100</v>
      </c>
      <c r="AM234" s="26"/>
    </row>
    <row r="235" spans="1:39" ht="24.75" customHeight="1" x14ac:dyDescent="0.25">
      <c r="A235" s="26"/>
      <c r="B235" s="97"/>
      <c r="C235" s="97"/>
      <c r="D235" s="97"/>
      <c r="E235" s="97"/>
      <c r="F235" s="97"/>
      <c r="G235" s="97"/>
      <c r="H235" s="97"/>
      <c r="I235" s="98"/>
      <c r="J235" s="97" t="s">
        <v>326</v>
      </c>
      <c r="K235" s="27"/>
      <c r="L235" s="31"/>
      <c r="M235" s="563" t="s">
        <v>327</v>
      </c>
      <c r="N235" s="564"/>
      <c r="O235" s="198"/>
      <c r="P235" s="190"/>
      <c r="Q235" s="28">
        <v>50250000</v>
      </c>
      <c r="R235" s="29">
        <f>Q235/Q$233*100</f>
        <v>58.003970819096871</v>
      </c>
      <c r="S235" s="29">
        <v>100</v>
      </c>
      <c r="T235" s="28">
        <f t="shared" si="60"/>
        <v>0</v>
      </c>
      <c r="U235" s="28">
        <f t="shared" si="66"/>
        <v>0</v>
      </c>
      <c r="V235" s="87">
        <f t="shared" si="62"/>
        <v>100</v>
      </c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>
        <v>0</v>
      </c>
      <c r="AJ235" s="29">
        <f t="shared" si="56"/>
        <v>0</v>
      </c>
      <c r="AK235" s="136">
        <f t="shared" si="68"/>
        <v>50250000</v>
      </c>
      <c r="AL235" s="29">
        <f t="shared" si="57"/>
        <v>100</v>
      </c>
      <c r="AM235" s="26"/>
    </row>
    <row r="236" spans="1:39" ht="24.75" customHeight="1" x14ac:dyDescent="0.25">
      <c r="A236" s="26"/>
      <c r="B236" s="97"/>
      <c r="C236" s="97"/>
      <c r="D236" s="97"/>
      <c r="E236" s="97"/>
      <c r="F236" s="97"/>
      <c r="G236" s="97"/>
      <c r="H236" s="97"/>
      <c r="I236" s="98"/>
      <c r="J236" s="97" t="s">
        <v>323</v>
      </c>
      <c r="K236" s="27"/>
      <c r="L236" s="31"/>
      <c r="M236" s="563" t="s">
        <v>324</v>
      </c>
      <c r="N236" s="564"/>
      <c r="O236" s="198"/>
      <c r="P236" s="190"/>
      <c r="Q236" s="28">
        <v>3282000</v>
      </c>
      <c r="R236" s="29">
        <f t="shared" ref="R236:R241" si="70">Q236/Q$233*100</f>
        <v>3.7884384523039984</v>
      </c>
      <c r="S236" s="29">
        <v>100</v>
      </c>
      <c r="T236" s="28">
        <f t="shared" si="60"/>
        <v>0</v>
      </c>
      <c r="U236" s="28">
        <f t="shared" si="66"/>
        <v>0</v>
      </c>
      <c r="V236" s="87">
        <f t="shared" si="62"/>
        <v>100</v>
      </c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>
        <v>0</v>
      </c>
      <c r="AJ236" s="29">
        <f t="shared" si="56"/>
        <v>0</v>
      </c>
      <c r="AK236" s="136">
        <f t="shared" si="68"/>
        <v>3282000</v>
      </c>
      <c r="AL236" s="29">
        <f t="shared" si="57"/>
        <v>100</v>
      </c>
      <c r="AM236" s="26"/>
    </row>
    <row r="237" spans="1:39" ht="24.75" customHeight="1" x14ac:dyDescent="0.25">
      <c r="A237" s="26"/>
      <c r="B237" s="97"/>
      <c r="C237" s="97"/>
      <c r="D237" s="97"/>
      <c r="E237" s="97"/>
      <c r="F237" s="97"/>
      <c r="G237" s="97"/>
      <c r="H237" s="97"/>
      <c r="I237" s="98"/>
      <c r="J237" s="97" t="s">
        <v>315</v>
      </c>
      <c r="K237" s="27"/>
      <c r="L237" s="31"/>
      <c r="M237" s="563" t="s">
        <v>271</v>
      </c>
      <c r="N237" s="564"/>
      <c r="O237" s="198"/>
      <c r="P237" s="190"/>
      <c r="Q237" s="28">
        <v>3000000</v>
      </c>
      <c r="R237" s="29">
        <f t="shared" si="70"/>
        <v>3.4629236309908578</v>
      </c>
      <c r="S237" s="29">
        <v>100</v>
      </c>
      <c r="T237" s="28">
        <f t="shared" si="60"/>
        <v>0</v>
      </c>
      <c r="U237" s="28">
        <f t="shared" si="66"/>
        <v>0</v>
      </c>
      <c r="V237" s="87">
        <f t="shared" si="62"/>
        <v>100</v>
      </c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>
        <v>0</v>
      </c>
      <c r="AJ237" s="29">
        <f t="shared" si="56"/>
        <v>0</v>
      </c>
      <c r="AK237" s="136">
        <f t="shared" si="68"/>
        <v>3000000</v>
      </c>
      <c r="AL237" s="29">
        <f t="shared" si="57"/>
        <v>100</v>
      </c>
      <c r="AM237" s="26"/>
    </row>
    <row r="238" spans="1:39" ht="29.25" customHeight="1" x14ac:dyDescent="0.25">
      <c r="A238" s="26"/>
      <c r="B238" s="97"/>
      <c r="C238" s="97"/>
      <c r="D238" s="97"/>
      <c r="E238" s="97"/>
      <c r="F238" s="97"/>
      <c r="G238" s="97"/>
      <c r="H238" s="97"/>
      <c r="I238" s="98"/>
      <c r="J238" s="97" t="s">
        <v>339</v>
      </c>
      <c r="K238" s="27"/>
      <c r="L238" s="31"/>
      <c r="M238" s="563" t="s">
        <v>340</v>
      </c>
      <c r="N238" s="564"/>
      <c r="O238" s="198"/>
      <c r="P238" s="190"/>
      <c r="Q238" s="28">
        <v>4000000</v>
      </c>
      <c r="R238" s="29">
        <f t="shared" si="70"/>
        <v>4.6172315079878103</v>
      </c>
      <c r="S238" s="29">
        <v>100</v>
      </c>
      <c r="T238" s="28">
        <f t="shared" si="60"/>
        <v>0</v>
      </c>
      <c r="U238" s="28">
        <f t="shared" si="66"/>
        <v>0</v>
      </c>
      <c r="V238" s="87">
        <f t="shared" si="62"/>
        <v>100</v>
      </c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>
        <v>0</v>
      </c>
      <c r="AJ238" s="29">
        <f t="shared" si="56"/>
        <v>0</v>
      </c>
      <c r="AK238" s="136">
        <f t="shared" si="68"/>
        <v>4000000</v>
      </c>
      <c r="AL238" s="29">
        <f t="shared" si="57"/>
        <v>100</v>
      </c>
      <c r="AM238" s="26"/>
    </row>
    <row r="239" spans="1:39" ht="29.25" customHeight="1" x14ac:dyDescent="0.25">
      <c r="A239" s="26"/>
      <c r="B239" s="97"/>
      <c r="C239" s="97"/>
      <c r="D239" s="97"/>
      <c r="E239" s="97"/>
      <c r="F239" s="97"/>
      <c r="G239" s="97"/>
      <c r="H239" s="97"/>
      <c r="I239" s="98"/>
      <c r="J239" s="97" t="s">
        <v>282</v>
      </c>
      <c r="K239" s="27"/>
      <c r="L239" s="31"/>
      <c r="M239" s="563" t="s">
        <v>283</v>
      </c>
      <c r="N239" s="564"/>
      <c r="O239" s="198"/>
      <c r="P239" s="190"/>
      <c r="Q239" s="28">
        <v>13500000</v>
      </c>
      <c r="R239" s="29">
        <f t="shared" si="70"/>
        <v>15.583156339458862</v>
      </c>
      <c r="S239" s="29">
        <v>100</v>
      </c>
      <c r="T239" s="28">
        <f t="shared" si="60"/>
        <v>0</v>
      </c>
      <c r="U239" s="28">
        <f t="shared" si="66"/>
        <v>0</v>
      </c>
      <c r="V239" s="87">
        <f t="shared" si="62"/>
        <v>100</v>
      </c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>
        <v>0</v>
      </c>
      <c r="AJ239" s="29">
        <f t="shared" si="56"/>
        <v>0</v>
      </c>
      <c r="AK239" s="136">
        <f t="shared" si="68"/>
        <v>13500000</v>
      </c>
      <c r="AL239" s="29">
        <f t="shared" si="57"/>
        <v>100</v>
      </c>
      <c r="AM239" s="26"/>
    </row>
    <row r="240" spans="1:39" ht="29.25" customHeight="1" x14ac:dyDescent="0.25">
      <c r="A240" s="26"/>
      <c r="B240" s="97"/>
      <c r="C240" s="97"/>
      <c r="D240" s="97"/>
      <c r="E240" s="97"/>
      <c r="F240" s="97"/>
      <c r="G240" s="97"/>
      <c r="H240" s="97"/>
      <c r="I240" s="98"/>
      <c r="J240" s="97" t="s">
        <v>320</v>
      </c>
      <c r="K240" s="27"/>
      <c r="L240" s="31"/>
      <c r="M240" s="563" t="s">
        <v>321</v>
      </c>
      <c r="N240" s="564"/>
      <c r="O240" s="198"/>
      <c r="P240" s="190"/>
      <c r="Q240" s="28">
        <v>9000000</v>
      </c>
      <c r="R240" s="29">
        <f t="shared" si="70"/>
        <v>10.388770892972573</v>
      </c>
      <c r="S240" s="29">
        <v>100</v>
      </c>
      <c r="T240" s="28">
        <f t="shared" si="60"/>
        <v>0</v>
      </c>
      <c r="U240" s="28">
        <f t="shared" si="66"/>
        <v>0</v>
      </c>
      <c r="V240" s="87">
        <f t="shared" si="62"/>
        <v>100</v>
      </c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>
        <v>0</v>
      </c>
      <c r="AJ240" s="29">
        <f t="shared" si="56"/>
        <v>0</v>
      </c>
      <c r="AK240" s="136">
        <f t="shared" si="68"/>
        <v>9000000</v>
      </c>
      <c r="AL240" s="29">
        <f t="shared" si="57"/>
        <v>100</v>
      </c>
      <c r="AM240" s="26"/>
    </row>
    <row r="241" spans="1:39" ht="24.75" customHeight="1" x14ac:dyDescent="0.25">
      <c r="A241" s="26"/>
      <c r="B241" s="97"/>
      <c r="C241" s="97"/>
      <c r="D241" s="97"/>
      <c r="E241" s="97"/>
      <c r="F241" s="97"/>
      <c r="G241" s="97"/>
      <c r="H241" s="97"/>
      <c r="I241" s="98"/>
      <c r="J241" s="97" t="s">
        <v>407</v>
      </c>
      <c r="K241" s="27"/>
      <c r="L241" s="31"/>
      <c r="M241" s="563" t="s">
        <v>414</v>
      </c>
      <c r="N241" s="564"/>
      <c r="O241" s="198"/>
      <c r="P241" s="190"/>
      <c r="Q241" s="28">
        <v>800000</v>
      </c>
      <c r="R241" s="29">
        <f t="shared" si="70"/>
        <v>0.92344630159756202</v>
      </c>
      <c r="S241" s="29">
        <v>100</v>
      </c>
      <c r="T241" s="28">
        <f t="shared" si="60"/>
        <v>0</v>
      </c>
      <c r="U241" s="28">
        <f t="shared" si="66"/>
        <v>0</v>
      </c>
      <c r="V241" s="87">
        <f t="shared" si="62"/>
        <v>100</v>
      </c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>
        <v>0</v>
      </c>
      <c r="AJ241" s="29">
        <f t="shared" si="56"/>
        <v>0</v>
      </c>
      <c r="AK241" s="136">
        <f t="shared" si="68"/>
        <v>800000</v>
      </c>
      <c r="AL241" s="29">
        <f t="shared" si="57"/>
        <v>100</v>
      </c>
      <c r="AM241" s="26"/>
    </row>
    <row r="242" spans="1:39" s="41" customFormat="1" ht="30" customHeight="1" x14ac:dyDescent="0.25">
      <c r="A242" s="21">
        <f>SUM(A233+1)</f>
        <v>33</v>
      </c>
      <c r="B242" s="543" t="s">
        <v>148</v>
      </c>
      <c r="C242" s="543"/>
      <c r="D242" s="543"/>
      <c r="E242" s="543"/>
      <c r="F242" s="543"/>
      <c r="G242" s="543"/>
      <c r="H242" s="543"/>
      <c r="I242" s="544"/>
      <c r="J242" s="122" t="s">
        <v>481</v>
      </c>
      <c r="K242" s="22"/>
      <c r="L242" s="72"/>
      <c r="M242" s="566" t="s">
        <v>149</v>
      </c>
      <c r="N242" s="567"/>
      <c r="O242" s="197">
        <v>174000000</v>
      </c>
      <c r="P242" s="189">
        <f>O242</f>
        <v>174000000</v>
      </c>
      <c r="Q242" s="23">
        <f>SUM(Q243:Q253)</f>
        <v>189932000</v>
      </c>
      <c r="R242" s="24">
        <f>Q242/Q$216*100</f>
        <v>1.2103594376481985</v>
      </c>
      <c r="S242" s="24">
        <v>100</v>
      </c>
      <c r="T242" s="23">
        <f t="shared" si="60"/>
        <v>0</v>
      </c>
      <c r="U242" s="23">
        <f t="shared" si="66"/>
        <v>0</v>
      </c>
      <c r="V242" s="90">
        <f t="shared" si="62"/>
        <v>100</v>
      </c>
      <c r="W242" s="23">
        <f t="shared" ref="W242:W250" si="71">AM242</f>
        <v>0</v>
      </c>
      <c r="X242" s="23">
        <f t="shared" ref="X242:X250" si="72">U242*W242/100</f>
        <v>0</v>
      </c>
      <c r="Y242" s="25">
        <f t="shared" ref="Y242:Y250" si="73">V242-W242</f>
        <v>100</v>
      </c>
      <c r="Z242" s="23">
        <f t="shared" ref="Z242:Z250" si="74">AP242</f>
        <v>0</v>
      </c>
      <c r="AA242" s="23">
        <f t="shared" ref="AA242:AA250" si="75">X242*Z242/100</f>
        <v>0</v>
      </c>
      <c r="AB242" s="25">
        <f t="shared" ref="AB242:AB250" si="76">Y242-Z242</f>
        <v>100</v>
      </c>
      <c r="AC242" s="23">
        <f t="shared" ref="AC242:AC250" si="77">AS242</f>
        <v>0</v>
      </c>
      <c r="AD242" s="23">
        <f t="shared" ref="AD242:AD250" si="78">AA242*AC242/100</f>
        <v>0</v>
      </c>
      <c r="AE242" s="25">
        <f t="shared" ref="AE242:AE250" si="79">AB242-AC242</f>
        <v>100</v>
      </c>
      <c r="AF242" s="23">
        <f t="shared" ref="AF242:AF250" si="80">AV242</f>
        <v>0</v>
      </c>
      <c r="AG242" s="23">
        <f t="shared" ref="AG242:AG250" si="81">AD242*AF242/100</f>
        <v>0</v>
      </c>
      <c r="AH242" s="25">
        <f t="shared" ref="AH242:AH250" si="82">AE242-AF242</f>
        <v>100</v>
      </c>
      <c r="AI242" s="23">
        <f>SUM(AI243:AI252)</f>
        <v>0</v>
      </c>
      <c r="AJ242" s="24">
        <f t="shared" si="56"/>
        <v>0</v>
      </c>
      <c r="AK242" s="134">
        <f t="shared" si="68"/>
        <v>189932000</v>
      </c>
      <c r="AL242" s="24">
        <f t="shared" si="57"/>
        <v>100</v>
      </c>
      <c r="AM242" s="21"/>
    </row>
    <row r="243" spans="1:39" ht="29.25" customHeight="1" x14ac:dyDescent="0.25">
      <c r="A243" s="26"/>
      <c r="B243" s="97"/>
      <c r="C243" s="97"/>
      <c r="D243" s="97"/>
      <c r="E243" s="97"/>
      <c r="F243" s="97"/>
      <c r="G243" s="97"/>
      <c r="H243" s="97"/>
      <c r="I243" s="98"/>
      <c r="J243" s="97" t="s">
        <v>257</v>
      </c>
      <c r="K243" s="27"/>
      <c r="L243" s="31"/>
      <c r="M243" s="563" t="s">
        <v>258</v>
      </c>
      <c r="N243" s="564"/>
      <c r="O243" s="198"/>
      <c r="P243" s="190"/>
      <c r="Q243" s="28">
        <v>2800000</v>
      </c>
      <c r="R243" s="29">
        <f>Q243/Q$242*100</f>
        <v>1.4742118231788219</v>
      </c>
      <c r="S243" s="29">
        <v>100</v>
      </c>
      <c r="T243" s="28">
        <f t="shared" si="60"/>
        <v>0</v>
      </c>
      <c r="U243" s="28">
        <f t="shared" si="66"/>
        <v>0</v>
      </c>
      <c r="V243" s="87">
        <f t="shared" si="62"/>
        <v>100</v>
      </c>
      <c r="W243" s="28">
        <f t="shared" si="71"/>
        <v>0</v>
      </c>
      <c r="X243" s="28">
        <f t="shared" si="72"/>
        <v>0</v>
      </c>
      <c r="Y243" s="30">
        <f t="shared" si="73"/>
        <v>100</v>
      </c>
      <c r="Z243" s="28">
        <f t="shared" si="74"/>
        <v>0</v>
      </c>
      <c r="AA243" s="28">
        <f t="shared" si="75"/>
        <v>0</v>
      </c>
      <c r="AB243" s="30">
        <f t="shared" si="76"/>
        <v>100</v>
      </c>
      <c r="AC243" s="28">
        <f t="shared" si="77"/>
        <v>0</v>
      </c>
      <c r="AD243" s="28">
        <f t="shared" si="78"/>
        <v>0</v>
      </c>
      <c r="AE243" s="30">
        <f t="shared" si="79"/>
        <v>100</v>
      </c>
      <c r="AF243" s="28">
        <f t="shared" si="80"/>
        <v>0</v>
      </c>
      <c r="AG243" s="28">
        <f t="shared" si="81"/>
        <v>0</v>
      </c>
      <c r="AH243" s="30">
        <f t="shared" si="82"/>
        <v>100</v>
      </c>
      <c r="AI243" s="28">
        <v>0</v>
      </c>
      <c r="AJ243" s="29">
        <f t="shared" si="56"/>
        <v>0</v>
      </c>
      <c r="AK243" s="136">
        <f t="shared" si="68"/>
        <v>2800000</v>
      </c>
      <c r="AL243" s="29">
        <f t="shared" si="57"/>
        <v>100</v>
      </c>
      <c r="AM243" s="26"/>
    </row>
    <row r="244" spans="1:39" ht="29.25" customHeight="1" x14ac:dyDescent="0.25">
      <c r="A244" s="26"/>
      <c r="B244" s="97"/>
      <c r="C244" s="97"/>
      <c r="D244" s="97"/>
      <c r="E244" s="97"/>
      <c r="F244" s="97"/>
      <c r="G244" s="97"/>
      <c r="H244" s="97"/>
      <c r="I244" s="98"/>
      <c r="J244" s="97" t="s">
        <v>326</v>
      </c>
      <c r="K244" s="27"/>
      <c r="L244" s="31"/>
      <c r="M244" s="563" t="s">
        <v>327</v>
      </c>
      <c r="N244" s="564"/>
      <c r="O244" s="198"/>
      <c r="P244" s="190"/>
      <c r="Q244" s="28">
        <v>50250000</v>
      </c>
      <c r="R244" s="29">
        <f t="shared" ref="R244:R253" si="83">Q244/Q$242*100</f>
        <v>26.456837183834214</v>
      </c>
      <c r="S244" s="29">
        <v>100</v>
      </c>
      <c r="T244" s="28">
        <f t="shared" si="60"/>
        <v>0</v>
      </c>
      <c r="U244" s="28">
        <f t="shared" si="66"/>
        <v>0</v>
      </c>
      <c r="V244" s="87">
        <f t="shared" si="62"/>
        <v>100</v>
      </c>
      <c r="W244" s="28">
        <f t="shared" si="71"/>
        <v>0</v>
      </c>
      <c r="X244" s="28">
        <f t="shared" si="72"/>
        <v>0</v>
      </c>
      <c r="Y244" s="30">
        <f t="shared" si="73"/>
        <v>100</v>
      </c>
      <c r="Z244" s="28">
        <f t="shared" si="74"/>
        <v>0</v>
      </c>
      <c r="AA244" s="28">
        <f t="shared" si="75"/>
        <v>0</v>
      </c>
      <c r="AB244" s="30">
        <f t="shared" si="76"/>
        <v>100</v>
      </c>
      <c r="AC244" s="28">
        <f t="shared" si="77"/>
        <v>0</v>
      </c>
      <c r="AD244" s="28">
        <f t="shared" si="78"/>
        <v>0</v>
      </c>
      <c r="AE244" s="30">
        <f t="shared" si="79"/>
        <v>100</v>
      </c>
      <c r="AF244" s="28">
        <f t="shared" si="80"/>
        <v>0</v>
      </c>
      <c r="AG244" s="28">
        <f t="shared" si="81"/>
        <v>0</v>
      </c>
      <c r="AH244" s="30">
        <f t="shared" si="82"/>
        <v>100</v>
      </c>
      <c r="AI244" s="28">
        <v>0</v>
      </c>
      <c r="AJ244" s="29">
        <f t="shared" si="56"/>
        <v>0</v>
      </c>
      <c r="AK244" s="136">
        <f t="shared" si="68"/>
        <v>50250000</v>
      </c>
      <c r="AL244" s="29">
        <f t="shared" si="57"/>
        <v>100</v>
      </c>
      <c r="AM244" s="26"/>
    </row>
    <row r="245" spans="1:39" ht="29.25" customHeight="1" x14ac:dyDescent="0.25">
      <c r="A245" s="26"/>
      <c r="B245" s="97"/>
      <c r="C245" s="97"/>
      <c r="D245" s="97"/>
      <c r="E245" s="97"/>
      <c r="F245" s="97"/>
      <c r="G245" s="97"/>
      <c r="H245" s="97"/>
      <c r="I245" s="98"/>
      <c r="J245" s="97" t="s">
        <v>323</v>
      </c>
      <c r="K245" s="27"/>
      <c r="L245" s="31"/>
      <c r="M245" s="563" t="s">
        <v>324</v>
      </c>
      <c r="N245" s="564"/>
      <c r="O245" s="198"/>
      <c r="P245" s="190"/>
      <c r="Q245" s="28">
        <v>3282000</v>
      </c>
      <c r="R245" s="29">
        <f t="shared" si="83"/>
        <v>1.7279868584546048</v>
      </c>
      <c r="S245" s="29">
        <v>100</v>
      </c>
      <c r="T245" s="28">
        <f t="shared" si="60"/>
        <v>0</v>
      </c>
      <c r="U245" s="28">
        <f t="shared" si="66"/>
        <v>0</v>
      </c>
      <c r="V245" s="87">
        <f t="shared" si="62"/>
        <v>100</v>
      </c>
      <c r="W245" s="28">
        <f t="shared" si="71"/>
        <v>0</v>
      </c>
      <c r="X245" s="28">
        <f t="shared" si="72"/>
        <v>0</v>
      </c>
      <c r="Y245" s="30">
        <f t="shared" si="73"/>
        <v>100</v>
      </c>
      <c r="Z245" s="28">
        <f t="shared" si="74"/>
        <v>0</v>
      </c>
      <c r="AA245" s="28">
        <f t="shared" si="75"/>
        <v>0</v>
      </c>
      <c r="AB245" s="30">
        <f t="shared" si="76"/>
        <v>100</v>
      </c>
      <c r="AC245" s="28">
        <f t="shared" si="77"/>
        <v>0</v>
      </c>
      <c r="AD245" s="28">
        <f t="shared" si="78"/>
        <v>0</v>
      </c>
      <c r="AE245" s="30">
        <f t="shared" si="79"/>
        <v>100</v>
      </c>
      <c r="AF245" s="28">
        <f t="shared" si="80"/>
        <v>0</v>
      </c>
      <c r="AG245" s="28">
        <f t="shared" si="81"/>
        <v>0</v>
      </c>
      <c r="AH245" s="30">
        <f t="shared" si="82"/>
        <v>100</v>
      </c>
      <c r="AI245" s="28">
        <v>0</v>
      </c>
      <c r="AJ245" s="29">
        <f t="shared" ref="AJ245:AJ308" si="84">AI245/Q245*100</f>
        <v>0</v>
      </c>
      <c r="AK245" s="136">
        <f t="shared" si="68"/>
        <v>3282000</v>
      </c>
      <c r="AL245" s="29">
        <f t="shared" ref="AL245:AL308" si="85">AK245/Q245*100</f>
        <v>100</v>
      </c>
      <c r="AM245" s="26"/>
    </row>
    <row r="246" spans="1:39" ht="29.25" customHeight="1" x14ac:dyDescent="0.25">
      <c r="A246" s="26"/>
      <c r="B246" s="97"/>
      <c r="C246" s="97"/>
      <c r="D246" s="97"/>
      <c r="E246" s="97"/>
      <c r="F246" s="97"/>
      <c r="G246" s="97"/>
      <c r="H246" s="97"/>
      <c r="I246" s="98"/>
      <c r="J246" s="97" t="s">
        <v>269</v>
      </c>
      <c r="K246" s="27"/>
      <c r="L246" s="31"/>
      <c r="M246" s="563" t="s">
        <v>270</v>
      </c>
      <c r="N246" s="564"/>
      <c r="O246" s="198"/>
      <c r="P246" s="190"/>
      <c r="Q246" s="28">
        <v>7500000</v>
      </c>
      <c r="R246" s="29">
        <f t="shared" si="83"/>
        <v>3.9487816692289872</v>
      </c>
      <c r="S246" s="29">
        <v>100</v>
      </c>
      <c r="T246" s="28">
        <f t="shared" si="60"/>
        <v>0</v>
      </c>
      <c r="U246" s="28">
        <f t="shared" si="66"/>
        <v>0</v>
      </c>
      <c r="V246" s="87">
        <f t="shared" si="62"/>
        <v>100</v>
      </c>
      <c r="W246" s="28">
        <f t="shared" si="71"/>
        <v>0</v>
      </c>
      <c r="X246" s="28">
        <f t="shared" si="72"/>
        <v>0</v>
      </c>
      <c r="Y246" s="30">
        <f t="shared" si="73"/>
        <v>100</v>
      </c>
      <c r="Z246" s="28">
        <f t="shared" si="74"/>
        <v>0</v>
      </c>
      <c r="AA246" s="28">
        <f t="shared" si="75"/>
        <v>0</v>
      </c>
      <c r="AB246" s="30">
        <f t="shared" si="76"/>
        <v>100</v>
      </c>
      <c r="AC246" s="28">
        <f t="shared" si="77"/>
        <v>0</v>
      </c>
      <c r="AD246" s="28">
        <f t="shared" si="78"/>
        <v>0</v>
      </c>
      <c r="AE246" s="30">
        <f t="shared" si="79"/>
        <v>100</v>
      </c>
      <c r="AF246" s="28">
        <f t="shared" si="80"/>
        <v>0</v>
      </c>
      <c r="AG246" s="28">
        <f t="shared" si="81"/>
        <v>0</v>
      </c>
      <c r="AH246" s="30">
        <f t="shared" si="82"/>
        <v>100</v>
      </c>
      <c r="AI246" s="28">
        <v>0</v>
      </c>
      <c r="AJ246" s="29">
        <f t="shared" si="84"/>
        <v>0</v>
      </c>
      <c r="AK246" s="136">
        <f t="shared" si="68"/>
        <v>7500000</v>
      </c>
      <c r="AL246" s="29">
        <f t="shared" si="85"/>
        <v>100</v>
      </c>
      <c r="AM246" s="26"/>
    </row>
    <row r="247" spans="1:39" ht="29.25" customHeight="1" x14ac:dyDescent="0.25">
      <c r="A247" s="26"/>
      <c r="B247" s="97"/>
      <c r="C247" s="97"/>
      <c r="D247" s="97"/>
      <c r="E247" s="97"/>
      <c r="F247" s="97"/>
      <c r="G247" s="97"/>
      <c r="H247" s="97"/>
      <c r="I247" s="98"/>
      <c r="J247" s="97" t="s">
        <v>315</v>
      </c>
      <c r="K247" s="27"/>
      <c r="L247" s="31"/>
      <c r="M247" s="563" t="s">
        <v>271</v>
      </c>
      <c r="N247" s="564"/>
      <c r="O247" s="198"/>
      <c r="P247" s="190"/>
      <c r="Q247" s="28">
        <v>3000000</v>
      </c>
      <c r="R247" s="29">
        <f t="shared" si="83"/>
        <v>1.5795126676915949</v>
      </c>
      <c r="S247" s="29">
        <v>100</v>
      </c>
      <c r="T247" s="28">
        <f t="shared" si="60"/>
        <v>0</v>
      </c>
      <c r="U247" s="28">
        <f t="shared" si="66"/>
        <v>0</v>
      </c>
      <c r="V247" s="87">
        <f t="shared" si="62"/>
        <v>100</v>
      </c>
      <c r="W247" s="28">
        <f t="shared" si="71"/>
        <v>0</v>
      </c>
      <c r="X247" s="28">
        <f t="shared" si="72"/>
        <v>0</v>
      </c>
      <c r="Y247" s="30">
        <f t="shared" si="73"/>
        <v>100</v>
      </c>
      <c r="Z247" s="28">
        <f t="shared" si="74"/>
        <v>0</v>
      </c>
      <c r="AA247" s="28">
        <f t="shared" si="75"/>
        <v>0</v>
      </c>
      <c r="AB247" s="30">
        <f t="shared" si="76"/>
        <v>100</v>
      </c>
      <c r="AC247" s="28">
        <f t="shared" si="77"/>
        <v>0</v>
      </c>
      <c r="AD247" s="28">
        <f t="shared" si="78"/>
        <v>0</v>
      </c>
      <c r="AE247" s="30">
        <f t="shared" si="79"/>
        <v>100</v>
      </c>
      <c r="AF247" s="28">
        <f t="shared" si="80"/>
        <v>0</v>
      </c>
      <c r="AG247" s="28">
        <f t="shared" si="81"/>
        <v>0</v>
      </c>
      <c r="AH247" s="30">
        <f t="shared" si="82"/>
        <v>100</v>
      </c>
      <c r="AI247" s="28">
        <v>0</v>
      </c>
      <c r="AJ247" s="29">
        <f t="shared" si="84"/>
        <v>0</v>
      </c>
      <c r="AK247" s="136">
        <f t="shared" si="68"/>
        <v>3000000</v>
      </c>
      <c r="AL247" s="29">
        <f t="shared" si="85"/>
        <v>100</v>
      </c>
      <c r="AM247" s="26"/>
    </row>
    <row r="248" spans="1:39" ht="29.25" customHeight="1" x14ac:dyDescent="0.25">
      <c r="A248" s="26"/>
      <c r="B248" s="97"/>
      <c r="C248" s="97"/>
      <c r="D248" s="97"/>
      <c r="E248" s="97"/>
      <c r="F248" s="97"/>
      <c r="G248" s="97"/>
      <c r="H248" s="97"/>
      <c r="I248" s="98"/>
      <c r="J248" s="97" t="s">
        <v>318</v>
      </c>
      <c r="K248" s="27"/>
      <c r="L248" s="31"/>
      <c r="M248" s="563" t="s">
        <v>319</v>
      </c>
      <c r="N248" s="564"/>
      <c r="O248" s="198"/>
      <c r="P248" s="190"/>
      <c r="Q248" s="28">
        <v>50700000</v>
      </c>
      <c r="R248" s="29">
        <f t="shared" si="83"/>
        <v>26.693764083987954</v>
      </c>
      <c r="S248" s="29">
        <v>100</v>
      </c>
      <c r="T248" s="28">
        <f t="shared" si="60"/>
        <v>0</v>
      </c>
      <c r="U248" s="28">
        <f t="shared" si="66"/>
        <v>0</v>
      </c>
      <c r="V248" s="87">
        <v>100</v>
      </c>
      <c r="W248" s="28">
        <f t="shared" si="71"/>
        <v>0</v>
      </c>
      <c r="X248" s="28">
        <f t="shared" si="72"/>
        <v>0</v>
      </c>
      <c r="Y248" s="30">
        <f t="shared" si="73"/>
        <v>100</v>
      </c>
      <c r="Z248" s="28">
        <f t="shared" si="74"/>
        <v>0</v>
      </c>
      <c r="AA248" s="28">
        <f t="shared" si="75"/>
        <v>0</v>
      </c>
      <c r="AB248" s="30">
        <f t="shared" si="76"/>
        <v>100</v>
      </c>
      <c r="AC248" s="28">
        <f t="shared" si="77"/>
        <v>0</v>
      </c>
      <c r="AD248" s="28">
        <f t="shared" si="78"/>
        <v>0</v>
      </c>
      <c r="AE248" s="30">
        <f t="shared" si="79"/>
        <v>100</v>
      </c>
      <c r="AF248" s="28">
        <f t="shared" si="80"/>
        <v>0</v>
      </c>
      <c r="AG248" s="28">
        <f t="shared" si="81"/>
        <v>0</v>
      </c>
      <c r="AH248" s="30">
        <f t="shared" si="82"/>
        <v>100</v>
      </c>
      <c r="AI248" s="28">
        <v>0</v>
      </c>
      <c r="AJ248" s="29">
        <f t="shared" si="84"/>
        <v>0</v>
      </c>
      <c r="AK248" s="136">
        <f t="shared" si="68"/>
        <v>50700000</v>
      </c>
      <c r="AL248" s="29">
        <f t="shared" si="85"/>
        <v>100</v>
      </c>
      <c r="AM248" s="26"/>
    </row>
    <row r="249" spans="1:39" ht="29.25" customHeight="1" x14ac:dyDescent="0.25">
      <c r="A249" s="26"/>
      <c r="B249" s="97"/>
      <c r="C249" s="97"/>
      <c r="D249" s="97"/>
      <c r="E249" s="97"/>
      <c r="F249" s="97"/>
      <c r="G249" s="97"/>
      <c r="H249" s="97"/>
      <c r="I249" s="98"/>
      <c r="J249" s="97" t="s">
        <v>339</v>
      </c>
      <c r="K249" s="27"/>
      <c r="L249" s="31"/>
      <c r="M249" s="563" t="s">
        <v>340</v>
      </c>
      <c r="N249" s="564"/>
      <c r="O249" s="198"/>
      <c r="P249" s="190"/>
      <c r="Q249" s="28">
        <v>4000000</v>
      </c>
      <c r="R249" s="29">
        <f t="shared" si="83"/>
        <v>2.1060168902554599</v>
      </c>
      <c r="S249" s="29">
        <v>100</v>
      </c>
      <c r="T249" s="28">
        <f t="shared" si="60"/>
        <v>0</v>
      </c>
      <c r="U249" s="28">
        <f t="shared" si="66"/>
        <v>0</v>
      </c>
      <c r="V249" s="87">
        <f t="shared" si="62"/>
        <v>100</v>
      </c>
      <c r="W249" s="28">
        <f t="shared" si="71"/>
        <v>0</v>
      </c>
      <c r="X249" s="28">
        <f t="shared" si="72"/>
        <v>0</v>
      </c>
      <c r="Y249" s="30">
        <f t="shared" si="73"/>
        <v>100</v>
      </c>
      <c r="Z249" s="28">
        <f t="shared" si="74"/>
        <v>0</v>
      </c>
      <c r="AA249" s="28">
        <f t="shared" si="75"/>
        <v>0</v>
      </c>
      <c r="AB249" s="30">
        <f t="shared" si="76"/>
        <v>100</v>
      </c>
      <c r="AC249" s="28">
        <f t="shared" si="77"/>
        <v>0</v>
      </c>
      <c r="AD249" s="28">
        <f t="shared" si="78"/>
        <v>0</v>
      </c>
      <c r="AE249" s="30">
        <f t="shared" si="79"/>
        <v>100</v>
      </c>
      <c r="AF249" s="28">
        <f t="shared" si="80"/>
        <v>0</v>
      </c>
      <c r="AG249" s="28">
        <f t="shared" si="81"/>
        <v>0</v>
      </c>
      <c r="AH249" s="30">
        <f t="shared" si="82"/>
        <v>100</v>
      </c>
      <c r="AI249" s="28">
        <v>0</v>
      </c>
      <c r="AJ249" s="29">
        <f t="shared" si="84"/>
        <v>0</v>
      </c>
      <c r="AK249" s="136">
        <f t="shared" si="68"/>
        <v>4000000</v>
      </c>
      <c r="AL249" s="29">
        <f t="shared" si="85"/>
        <v>100</v>
      </c>
      <c r="AM249" s="26"/>
    </row>
    <row r="250" spans="1:39" ht="29.25" customHeight="1" x14ac:dyDescent="0.25">
      <c r="A250" s="26"/>
      <c r="B250" s="97"/>
      <c r="C250" s="97"/>
      <c r="D250" s="97"/>
      <c r="E250" s="97"/>
      <c r="F250" s="97"/>
      <c r="G250" s="97"/>
      <c r="H250" s="97"/>
      <c r="I250" s="98"/>
      <c r="J250" s="97" t="s">
        <v>282</v>
      </c>
      <c r="K250" s="27"/>
      <c r="L250" s="31"/>
      <c r="M250" s="563" t="s">
        <v>283</v>
      </c>
      <c r="N250" s="564"/>
      <c r="O250" s="198"/>
      <c r="P250" s="190"/>
      <c r="Q250" s="28">
        <v>26400000</v>
      </c>
      <c r="R250" s="29">
        <f t="shared" si="83"/>
        <v>13.899711475686036</v>
      </c>
      <c r="S250" s="29">
        <v>100</v>
      </c>
      <c r="T250" s="28">
        <f t="shared" si="60"/>
        <v>0</v>
      </c>
      <c r="U250" s="28">
        <f t="shared" si="66"/>
        <v>0</v>
      </c>
      <c r="V250" s="87">
        <f t="shared" si="62"/>
        <v>100</v>
      </c>
      <c r="W250" s="28">
        <f t="shared" si="71"/>
        <v>0</v>
      </c>
      <c r="X250" s="28">
        <f t="shared" si="72"/>
        <v>0</v>
      </c>
      <c r="Y250" s="30">
        <f t="shared" si="73"/>
        <v>100</v>
      </c>
      <c r="Z250" s="28">
        <f t="shared" si="74"/>
        <v>0</v>
      </c>
      <c r="AA250" s="28">
        <f t="shared" si="75"/>
        <v>0</v>
      </c>
      <c r="AB250" s="30">
        <f t="shared" si="76"/>
        <v>100</v>
      </c>
      <c r="AC250" s="28">
        <f t="shared" si="77"/>
        <v>0</v>
      </c>
      <c r="AD250" s="28">
        <f t="shared" si="78"/>
        <v>0</v>
      </c>
      <c r="AE250" s="30">
        <f t="shared" si="79"/>
        <v>100</v>
      </c>
      <c r="AF250" s="28">
        <f t="shared" si="80"/>
        <v>0</v>
      </c>
      <c r="AG250" s="28">
        <f t="shared" si="81"/>
        <v>0</v>
      </c>
      <c r="AH250" s="30">
        <f t="shared" si="82"/>
        <v>100</v>
      </c>
      <c r="AI250" s="28">
        <v>0</v>
      </c>
      <c r="AJ250" s="29">
        <f t="shared" si="84"/>
        <v>0</v>
      </c>
      <c r="AK250" s="136">
        <f t="shared" si="68"/>
        <v>26400000</v>
      </c>
      <c r="AL250" s="29">
        <f t="shared" si="85"/>
        <v>100</v>
      </c>
      <c r="AM250" s="26"/>
    </row>
    <row r="251" spans="1:39" ht="29.25" customHeight="1" x14ac:dyDescent="0.25">
      <c r="A251" s="26"/>
      <c r="B251" s="97"/>
      <c r="C251" s="97"/>
      <c r="D251" s="97"/>
      <c r="E251" s="97"/>
      <c r="F251" s="97"/>
      <c r="G251" s="97"/>
      <c r="H251" s="97"/>
      <c r="I251" s="98"/>
      <c r="J251" s="97" t="s">
        <v>320</v>
      </c>
      <c r="K251" s="27"/>
      <c r="L251" s="31"/>
      <c r="M251" s="563" t="s">
        <v>321</v>
      </c>
      <c r="N251" s="564"/>
      <c r="O251" s="198"/>
      <c r="P251" s="190"/>
      <c r="Q251" s="28">
        <v>19800000</v>
      </c>
      <c r="R251" s="29">
        <f t="shared" si="83"/>
        <v>10.424783606764526</v>
      </c>
      <c r="S251" s="29">
        <v>100</v>
      </c>
      <c r="T251" s="28">
        <f t="shared" si="60"/>
        <v>0</v>
      </c>
      <c r="U251" s="28">
        <f t="shared" si="66"/>
        <v>0</v>
      </c>
      <c r="V251" s="87">
        <v>100</v>
      </c>
      <c r="W251" s="28"/>
      <c r="X251" s="28"/>
      <c r="Y251" s="30"/>
      <c r="Z251" s="28"/>
      <c r="AA251" s="28"/>
      <c r="AB251" s="30"/>
      <c r="AC251" s="28"/>
      <c r="AD251" s="28"/>
      <c r="AE251" s="30"/>
      <c r="AF251" s="28"/>
      <c r="AG251" s="28"/>
      <c r="AH251" s="30"/>
      <c r="AI251" s="28">
        <v>0</v>
      </c>
      <c r="AJ251" s="29">
        <f t="shared" si="84"/>
        <v>0</v>
      </c>
      <c r="AK251" s="136">
        <f t="shared" si="68"/>
        <v>19800000</v>
      </c>
      <c r="AL251" s="29">
        <f t="shared" si="85"/>
        <v>100</v>
      </c>
      <c r="AM251" s="26"/>
    </row>
    <row r="252" spans="1:39" ht="29.25" customHeight="1" x14ac:dyDescent="0.25">
      <c r="A252" s="26"/>
      <c r="B252" s="97"/>
      <c r="C252" s="97"/>
      <c r="D252" s="97"/>
      <c r="E252" s="97"/>
      <c r="F252" s="97"/>
      <c r="G252" s="97"/>
      <c r="H252" s="97"/>
      <c r="I252" s="98"/>
      <c r="J252" s="97" t="s">
        <v>309</v>
      </c>
      <c r="K252" s="27"/>
      <c r="L252" s="31"/>
      <c r="M252" s="563" t="s">
        <v>310</v>
      </c>
      <c r="N252" s="564"/>
      <c r="O252" s="198"/>
      <c r="P252" s="190"/>
      <c r="Q252" s="28">
        <v>20000000</v>
      </c>
      <c r="R252" s="29">
        <f t="shared" si="83"/>
        <v>10.5300844512773</v>
      </c>
      <c r="S252" s="29">
        <v>100</v>
      </c>
      <c r="T252" s="28">
        <f t="shared" si="60"/>
        <v>0</v>
      </c>
      <c r="U252" s="28">
        <f t="shared" si="66"/>
        <v>0</v>
      </c>
      <c r="V252" s="87">
        <f t="shared" si="62"/>
        <v>100</v>
      </c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>
        <v>0</v>
      </c>
      <c r="AJ252" s="29">
        <f t="shared" si="84"/>
        <v>0</v>
      </c>
      <c r="AK252" s="136">
        <f t="shared" si="68"/>
        <v>20000000</v>
      </c>
      <c r="AL252" s="29">
        <f t="shared" si="85"/>
        <v>100</v>
      </c>
      <c r="AM252" s="26"/>
    </row>
    <row r="253" spans="1:39" ht="29.25" customHeight="1" x14ac:dyDescent="0.25">
      <c r="A253" s="26"/>
      <c r="B253" s="97"/>
      <c r="C253" s="97"/>
      <c r="D253" s="97"/>
      <c r="E253" s="97"/>
      <c r="F253" s="97"/>
      <c r="G253" s="97"/>
      <c r="H253" s="97"/>
      <c r="I253" s="98"/>
      <c r="J253" s="97" t="s">
        <v>407</v>
      </c>
      <c r="K253" s="27"/>
      <c r="L253" s="31"/>
      <c r="M253" s="563" t="s">
        <v>414</v>
      </c>
      <c r="N253" s="564"/>
      <c r="O253" s="198"/>
      <c r="P253" s="190"/>
      <c r="Q253" s="28">
        <v>2200000</v>
      </c>
      <c r="R253" s="29">
        <f t="shared" si="83"/>
        <v>1.1583092896405029</v>
      </c>
      <c r="S253" s="29">
        <v>100</v>
      </c>
      <c r="T253" s="28">
        <f t="shared" si="60"/>
        <v>0</v>
      </c>
      <c r="U253" s="28">
        <f t="shared" si="66"/>
        <v>0</v>
      </c>
      <c r="V253" s="87">
        <f t="shared" si="62"/>
        <v>100</v>
      </c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>
        <v>0</v>
      </c>
      <c r="AJ253" s="29">
        <f t="shared" si="84"/>
        <v>0</v>
      </c>
      <c r="AK253" s="136">
        <f t="shared" si="68"/>
        <v>2200000</v>
      </c>
      <c r="AL253" s="29">
        <f t="shared" si="85"/>
        <v>100</v>
      </c>
      <c r="AM253" s="26"/>
    </row>
    <row r="254" spans="1:39" s="86" customFormat="1" ht="34.5" customHeight="1" x14ac:dyDescent="0.25">
      <c r="A254" s="21">
        <f>A242+1</f>
        <v>34</v>
      </c>
      <c r="B254" s="543" t="s">
        <v>150</v>
      </c>
      <c r="C254" s="543"/>
      <c r="D254" s="543"/>
      <c r="E254" s="543"/>
      <c r="F254" s="543"/>
      <c r="G254" s="543"/>
      <c r="H254" s="543"/>
      <c r="I254" s="544"/>
      <c r="J254" s="122" t="s">
        <v>482</v>
      </c>
      <c r="K254" s="22"/>
      <c r="L254" s="72"/>
      <c r="M254" s="568" t="s">
        <v>41</v>
      </c>
      <c r="N254" s="568"/>
      <c r="O254" s="197">
        <v>461840000</v>
      </c>
      <c r="P254" s="189">
        <f>O254</f>
        <v>461840000</v>
      </c>
      <c r="Q254" s="23">
        <f>SUM(Q255:Q266)</f>
        <v>323460000</v>
      </c>
      <c r="R254" s="24">
        <f>Q254/Q$216*100</f>
        <v>2.0612791088478315</v>
      </c>
      <c r="S254" s="24">
        <v>100</v>
      </c>
      <c r="T254" s="23">
        <f t="shared" si="60"/>
        <v>0</v>
      </c>
      <c r="U254" s="23">
        <f t="shared" si="66"/>
        <v>0</v>
      </c>
      <c r="V254" s="90">
        <f t="shared" si="62"/>
        <v>100</v>
      </c>
      <c r="W254" s="23"/>
      <c r="X254" s="23" t="e">
        <f>#REF!</f>
        <v>#REF!</v>
      </c>
      <c r="Y254" s="23" t="e">
        <f>#REF!</f>
        <v>#REF!</v>
      </c>
      <c r="Z254" s="23" t="e">
        <f>#REF!</f>
        <v>#REF!</v>
      </c>
      <c r="AA254" s="23" t="e">
        <f>#REF!</f>
        <v>#REF!</v>
      </c>
      <c r="AB254" s="23">
        <v>26033000</v>
      </c>
      <c r="AC254" s="23" t="e">
        <f>#REF!</f>
        <v>#REF!</v>
      </c>
      <c r="AD254" s="23" t="e">
        <f>#REF!</f>
        <v>#REF!</v>
      </c>
      <c r="AE254" s="23" t="e">
        <f>#REF!</f>
        <v>#REF!</v>
      </c>
      <c r="AF254" s="23" t="e">
        <f>[1]April!N57</f>
        <v>#REF!</v>
      </c>
      <c r="AG254" s="23" t="e">
        <f>[2]april!N57</f>
        <v>#REF!</v>
      </c>
      <c r="AH254" s="23">
        <f>'[3]DES SKPD'!$N57</f>
        <v>371775000</v>
      </c>
      <c r="AI254" s="23">
        <f>SUM(AI255:AI266)</f>
        <v>0</v>
      </c>
      <c r="AJ254" s="24">
        <f t="shared" si="84"/>
        <v>0</v>
      </c>
      <c r="AK254" s="134">
        <f t="shared" si="68"/>
        <v>323460000</v>
      </c>
      <c r="AL254" s="24">
        <f t="shared" si="85"/>
        <v>100</v>
      </c>
      <c r="AM254" s="21"/>
    </row>
    <row r="255" spans="1:39" ht="28.5" customHeight="1" x14ac:dyDescent="0.25">
      <c r="A255" s="26"/>
      <c r="B255" s="97"/>
      <c r="C255" s="97"/>
      <c r="D255" s="97"/>
      <c r="E255" s="97"/>
      <c r="F255" s="97"/>
      <c r="G255" s="97"/>
      <c r="H255" s="97"/>
      <c r="I255" s="98"/>
      <c r="J255" s="97" t="s">
        <v>257</v>
      </c>
      <c r="K255" s="27"/>
      <c r="L255" s="31"/>
      <c r="M255" s="563" t="s">
        <v>258</v>
      </c>
      <c r="N255" s="564"/>
      <c r="O255" s="198"/>
      <c r="P255" s="190"/>
      <c r="Q255" s="28">
        <v>5460000</v>
      </c>
      <c r="R255" s="29">
        <f>Q255/Q$254*100</f>
        <v>1.6879985160452606</v>
      </c>
      <c r="S255" s="29">
        <v>100</v>
      </c>
      <c r="T255" s="28">
        <f t="shared" ref="T255:T332" si="86">AJ255</f>
        <v>0</v>
      </c>
      <c r="U255" s="28">
        <f t="shared" si="66"/>
        <v>0</v>
      </c>
      <c r="V255" s="87">
        <f t="shared" si="62"/>
        <v>100</v>
      </c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>
        <v>0</v>
      </c>
      <c r="AJ255" s="29">
        <f t="shared" si="84"/>
        <v>0</v>
      </c>
      <c r="AK255" s="136">
        <f t="shared" si="68"/>
        <v>5460000</v>
      </c>
      <c r="AL255" s="29">
        <f t="shared" si="85"/>
        <v>100</v>
      </c>
      <c r="AM255" s="26"/>
    </row>
    <row r="256" spans="1:39" ht="28.5" customHeight="1" x14ac:dyDescent="0.25">
      <c r="A256" s="26"/>
      <c r="B256" s="97"/>
      <c r="C256" s="97"/>
      <c r="D256" s="97"/>
      <c r="E256" s="97"/>
      <c r="F256" s="97"/>
      <c r="G256" s="97"/>
      <c r="H256" s="97"/>
      <c r="I256" s="98"/>
      <c r="J256" s="97" t="s">
        <v>326</v>
      </c>
      <c r="K256" s="27"/>
      <c r="L256" s="31"/>
      <c r="M256" s="563" t="s">
        <v>327</v>
      </c>
      <c r="N256" s="564"/>
      <c r="O256" s="198"/>
      <c r="P256" s="190"/>
      <c r="Q256" s="28">
        <v>140400000</v>
      </c>
      <c r="R256" s="29">
        <f t="shared" ref="R256:R266" si="87">Q256/Q$254*100</f>
        <v>43.405676126878127</v>
      </c>
      <c r="S256" s="29">
        <v>100</v>
      </c>
      <c r="T256" s="28">
        <f t="shared" si="86"/>
        <v>0</v>
      </c>
      <c r="U256" s="28">
        <f t="shared" si="66"/>
        <v>0</v>
      </c>
      <c r="V256" s="87">
        <f t="shared" si="62"/>
        <v>100</v>
      </c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>
        <v>0</v>
      </c>
      <c r="AJ256" s="29">
        <f t="shared" si="84"/>
        <v>0</v>
      </c>
      <c r="AK256" s="136">
        <f t="shared" si="68"/>
        <v>140400000</v>
      </c>
      <c r="AL256" s="29">
        <f t="shared" si="85"/>
        <v>100</v>
      </c>
      <c r="AM256" s="26"/>
    </row>
    <row r="257" spans="1:39" ht="28.5" customHeight="1" x14ac:dyDescent="0.25">
      <c r="A257" s="26"/>
      <c r="B257" s="97"/>
      <c r="C257" s="97"/>
      <c r="D257" s="97"/>
      <c r="E257" s="97"/>
      <c r="F257" s="97"/>
      <c r="G257" s="97"/>
      <c r="H257" s="97"/>
      <c r="I257" s="98"/>
      <c r="J257" s="97" t="s">
        <v>323</v>
      </c>
      <c r="K257" s="27"/>
      <c r="L257" s="31"/>
      <c r="M257" s="563" t="s">
        <v>324</v>
      </c>
      <c r="N257" s="564"/>
      <c r="O257" s="198"/>
      <c r="P257" s="190"/>
      <c r="Q257" s="28">
        <v>3000000</v>
      </c>
      <c r="R257" s="29">
        <f t="shared" si="87"/>
        <v>0.92747171211278057</v>
      </c>
      <c r="S257" s="29">
        <v>100</v>
      </c>
      <c r="T257" s="28">
        <f t="shared" si="86"/>
        <v>0</v>
      </c>
      <c r="U257" s="28">
        <f t="shared" si="66"/>
        <v>0</v>
      </c>
      <c r="V257" s="87">
        <f t="shared" si="62"/>
        <v>100</v>
      </c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>
        <v>0</v>
      </c>
      <c r="AJ257" s="29">
        <f t="shared" si="84"/>
        <v>0</v>
      </c>
      <c r="AK257" s="136">
        <f t="shared" si="68"/>
        <v>3000000</v>
      </c>
      <c r="AL257" s="29">
        <f t="shared" si="85"/>
        <v>100</v>
      </c>
      <c r="AM257" s="26"/>
    </row>
    <row r="258" spans="1:39" ht="28.5" customHeight="1" x14ac:dyDescent="0.25">
      <c r="A258" s="26"/>
      <c r="B258" s="97"/>
      <c r="C258" s="97"/>
      <c r="D258" s="97"/>
      <c r="E258" s="97"/>
      <c r="F258" s="97"/>
      <c r="G258" s="97"/>
      <c r="H258" s="97"/>
      <c r="I258" s="98"/>
      <c r="J258" s="97" t="s">
        <v>336</v>
      </c>
      <c r="K258" s="27"/>
      <c r="L258" s="31"/>
      <c r="M258" s="563" t="s">
        <v>337</v>
      </c>
      <c r="N258" s="564"/>
      <c r="O258" s="198"/>
      <c r="P258" s="190"/>
      <c r="Q258" s="28">
        <v>10000000</v>
      </c>
      <c r="R258" s="29">
        <f t="shared" si="87"/>
        <v>3.0915723737092686</v>
      </c>
      <c r="S258" s="29">
        <v>100</v>
      </c>
      <c r="T258" s="28">
        <f t="shared" si="86"/>
        <v>0</v>
      </c>
      <c r="U258" s="28">
        <f t="shared" si="66"/>
        <v>0</v>
      </c>
      <c r="V258" s="87">
        <f t="shared" si="62"/>
        <v>100</v>
      </c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>
        <v>0</v>
      </c>
      <c r="AJ258" s="29">
        <f t="shared" si="84"/>
        <v>0</v>
      </c>
      <c r="AK258" s="136">
        <f t="shared" si="68"/>
        <v>10000000</v>
      </c>
      <c r="AL258" s="29">
        <f t="shared" si="85"/>
        <v>100</v>
      </c>
      <c r="AM258" s="26"/>
    </row>
    <row r="259" spans="1:39" ht="28.5" customHeight="1" x14ac:dyDescent="0.25">
      <c r="A259" s="26"/>
      <c r="B259" s="97"/>
      <c r="C259" s="97"/>
      <c r="D259" s="97"/>
      <c r="E259" s="97"/>
      <c r="F259" s="97"/>
      <c r="G259" s="97"/>
      <c r="H259" s="97"/>
      <c r="I259" s="98"/>
      <c r="J259" s="97" t="s">
        <v>269</v>
      </c>
      <c r="K259" s="27"/>
      <c r="L259" s="31"/>
      <c r="M259" s="563" t="s">
        <v>270</v>
      </c>
      <c r="N259" s="564"/>
      <c r="O259" s="198"/>
      <c r="P259" s="190"/>
      <c r="Q259" s="28">
        <v>23000000</v>
      </c>
      <c r="R259" s="29">
        <f t="shared" si="87"/>
        <v>7.1106164595313173</v>
      </c>
      <c r="S259" s="29">
        <v>100</v>
      </c>
      <c r="T259" s="28">
        <f t="shared" si="86"/>
        <v>0</v>
      </c>
      <c r="U259" s="28">
        <f t="shared" si="66"/>
        <v>0</v>
      </c>
      <c r="V259" s="87">
        <f t="shared" si="62"/>
        <v>100</v>
      </c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>
        <v>0</v>
      </c>
      <c r="AJ259" s="29">
        <f t="shared" si="84"/>
        <v>0</v>
      </c>
      <c r="AK259" s="136">
        <f t="shared" si="68"/>
        <v>23000000</v>
      </c>
      <c r="AL259" s="29">
        <f t="shared" si="85"/>
        <v>100</v>
      </c>
      <c r="AM259" s="26"/>
    </row>
    <row r="260" spans="1:39" ht="28.5" customHeight="1" x14ac:dyDescent="0.25">
      <c r="A260" s="26"/>
      <c r="B260" s="97"/>
      <c r="C260" s="97"/>
      <c r="D260" s="97"/>
      <c r="E260" s="97"/>
      <c r="F260" s="97"/>
      <c r="G260" s="97"/>
      <c r="H260" s="97"/>
      <c r="I260" s="98"/>
      <c r="J260" s="97" t="s">
        <v>315</v>
      </c>
      <c r="K260" s="27"/>
      <c r="L260" s="31"/>
      <c r="M260" s="563" t="s">
        <v>271</v>
      </c>
      <c r="N260" s="564"/>
      <c r="O260" s="198"/>
      <c r="P260" s="190"/>
      <c r="Q260" s="28">
        <v>16000000</v>
      </c>
      <c r="R260" s="29">
        <f t="shared" si="87"/>
        <v>4.94651579793483</v>
      </c>
      <c r="S260" s="29">
        <v>100</v>
      </c>
      <c r="T260" s="28">
        <f t="shared" si="86"/>
        <v>0</v>
      </c>
      <c r="U260" s="28">
        <f t="shared" si="66"/>
        <v>0</v>
      </c>
      <c r="V260" s="87">
        <f t="shared" si="62"/>
        <v>100</v>
      </c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>
        <v>0</v>
      </c>
      <c r="AJ260" s="29">
        <f t="shared" si="84"/>
        <v>0</v>
      </c>
      <c r="AK260" s="136">
        <f t="shared" si="68"/>
        <v>16000000</v>
      </c>
      <c r="AL260" s="29">
        <f t="shared" si="85"/>
        <v>100</v>
      </c>
      <c r="AM260" s="26"/>
    </row>
    <row r="261" spans="1:39" ht="28.5" customHeight="1" x14ac:dyDescent="0.25">
      <c r="A261" s="26"/>
      <c r="B261" s="97"/>
      <c r="C261" s="97"/>
      <c r="D261" s="97"/>
      <c r="E261" s="97"/>
      <c r="F261" s="97"/>
      <c r="G261" s="97"/>
      <c r="H261" s="97"/>
      <c r="I261" s="98"/>
      <c r="J261" s="97" t="s">
        <v>328</v>
      </c>
      <c r="K261" s="27"/>
      <c r="L261" s="31"/>
      <c r="M261" s="563" t="s">
        <v>329</v>
      </c>
      <c r="N261" s="564"/>
      <c r="O261" s="198"/>
      <c r="P261" s="190"/>
      <c r="Q261" s="28">
        <v>20000000</v>
      </c>
      <c r="R261" s="29">
        <f t="shared" si="87"/>
        <v>6.1831447474185373</v>
      </c>
      <c r="S261" s="29">
        <v>100</v>
      </c>
      <c r="T261" s="28">
        <f t="shared" si="86"/>
        <v>0</v>
      </c>
      <c r="U261" s="28">
        <f t="shared" si="66"/>
        <v>0</v>
      </c>
      <c r="V261" s="87">
        <f t="shared" si="62"/>
        <v>100</v>
      </c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>
        <v>0</v>
      </c>
      <c r="AJ261" s="29">
        <f t="shared" si="84"/>
        <v>0</v>
      </c>
      <c r="AK261" s="136">
        <f t="shared" si="68"/>
        <v>20000000</v>
      </c>
      <c r="AL261" s="29">
        <f t="shared" si="85"/>
        <v>100</v>
      </c>
      <c r="AM261" s="26"/>
    </row>
    <row r="262" spans="1:39" ht="28.5" customHeight="1" x14ac:dyDescent="0.25">
      <c r="A262" s="26"/>
      <c r="B262" s="97"/>
      <c r="C262" s="97"/>
      <c r="D262" s="97"/>
      <c r="E262" s="97"/>
      <c r="F262" s="97"/>
      <c r="G262" s="97"/>
      <c r="H262" s="97"/>
      <c r="I262" s="98"/>
      <c r="J262" s="97" t="s">
        <v>318</v>
      </c>
      <c r="K262" s="27"/>
      <c r="L262" s="31"/>
      <c r="M262" s="563" t="s">
        <v>319</v>
      </c>
      <c r="N262" s="564"/>
      <c r="O262" s="198"/>
      <c r="P262" s="190"/>
      <c r="Q262" s="28">
        <v>65000000</v>
      </c>
      <c r="R262" s="29">
        <f t="shared" si="87"/>
        <v>20.095220429110245</v>
      </c>
      <c r="S262" s="29">
        <v>100</v>
      </c>
      <c r="T262" s="28">
        <f t="shared" si="86"/>
        <v>0</v>
      </c>
      <c r="U262" s="28">
        <f t="shared" si="66"/>
        <v>0</v>
      </c>
      <c r="V262" s="87">
        <f t="shared" si="62"/>
        <v>100</v>
      </c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>
        <v>0</v>
      </c>
      <c r="AJ262" s="29">
        <f t="shared" si="84"/>
        <v>0</v>
      </c>
      <c r="AK262" s="136">
        <f t="shared" si="68"/>
        <v>65000000</v>
      </c>
      <c r="AL262" s="29">
        <f t="shared" si="85"/>
        <v>100</v>
      </c>
      <c r="AM262" s="26"/>
    </row>
    <row r="263" spans="1:39" ht="28.5" customHeight="1" x14ac:dyDescent="0.25">
      <c r="A263" s="26"/>
      <c r="B263" s="97"/>
      <c r="C263" s="97"/>
      <c r="D263" s="97"/>
      <c r="E263" s="97"/>
      <c r="F263" s="97"/>
      <c r="G263" s="97"/>
      <c r="H263" s="97"/>
      <c r="I263" s="98"/>
      <c r="J263" s="97" t="s">
        <v>280</v>
      </c>
      <c r="K263" s="27"/>
      <c r="L263" s="31"/>
      <c r="M263" s="563" t="s">
        <v>281</v>
      </c>
      <c r="N263" s="564"/>
      <c r="O263" s="198"/>
      <c r="P263" s="190"/>
      <c r="Q263" s="28">
        <v>15000000</v>
      </c>
      <c r="R263" s="29">
        <f t="shared" si="87"/>
        <v>4.6373585605639027</v>
      </c>
      <c r="S263" s="29">
        <v>100</v>
      </c>
      <c r="T263" s="28">
        <f t="shared" si="86"/>
        <v>0</v>
      </c>
      <c r="U263" s="28">
        <f t="shared" si="66"/>
        <v>0</v>
      </c>
      <c r="V263" s="87">
        <f t="shared" si="62"/>
        <v>100</v>
      </c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>
        <v>0</v>
      </c>
      <c r="AJ263" s="29">
        <f t="shared" si="84"/>
        <v>0</v>
      </c>
      <c r="AK263" s="136">
        <f t="shared" si="68"/>
        <v>15000000</v>
      </c>
      <c r="AL263" s="29">
        <f t="shared" si="85"/>
        <v>100</v>
      </c>
      <c r="AM263" s="26"/>
    </row>
    <row r="264" spans="1:39" ht="28.5" customHeight="1" x14ac:dyDescent="0.25">
      <c r="A264" s="26"/>
      <c r="B264" s="97"/>
      <c r="C264" s="97"/>
      <c r="D264" s="97"/>
      <c r="E264" s="97"/>
      <c r="F264" s="97"/>
      <c r="G264" s="97"/>
      <c r="H264" s="97"/>
      <c r="I264" s="98"/>
      <c r="J264" s="97" t="s">
        <v>284</v>
      </c>
      <c r="K264" s="27"/>
      <c r="L264" s="31"/>
      <c r="M264" s="563" t="s">
        <v>285</v>
      </c>
      <c r="N264" s="564"/>
      <c r="O264" s="198"/>
      <c r="P264" s="190"/>
      <c r="Q264" s="28">
        <v>1000000</v>
      </c>
      <c r="R264" s="29">
        <f t="shared" si="87"/>
        <v>0.30915723737092687</v>
      </c>
      <c r="S264" s="29">
        <v>100</v>
      </c>
      <c r="T264" s="28">
        <f t="shared" si="86"/>
        <v>0</v>
      </c>
      <c r="U264" s="28">
        <f t="shared" si="66"/>
        <v>0</v>
      </c>
      <c r="V264" s="87">
        <f t="shared" si="62"/>
        <v>100</v>
      </c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>
        <v>0</v>
      </c>
      <c r="AJ264" s="29">
        <f t="shared" si="84"/>
        <v>0</v>
      </c>
      <c r="AK264" s="136">
        <f t="shared" si="68"/>
        <v>1000000</v>
      </c>
      <c r="AL264" s="29">
        <f t="shared" si="85"/>
        <v>100</v>
      </c>
      <c r="AM264" s="26"/>
    </row>
    <row r="265" spans="1:39" ht="28.5" customHeight="1" x14ac:dyDescent="0.25">
      <c r="A265" s="26"/>
      <c r="B265" s="97"/>
      <c r="C265" s="97"/>
      <c r="D265" s="97"/>
      <c r="E265" s="97"/>
      <c r="F265" s="97"/>
      <c r="G265" s="97"/>
      <c r="H265" s="97"/>
      <c r="I265" s="98"/>
      <c r="J265" s="97" t="s">
        <v>282</v>
      </c>
      <c r="K265" s="27"/>
      <c r="L265" s="31"/>
      <c r="M265" s="563" t="s">
        <v>283</v>
      </c>
      <c r="N265" s="564"/>
      <c r="O265" s="198"/>
      <c r="P265" s="190"/>
      <c r="Q265" s="28">
        <v>23100000</v>
      </c>
      <c r="R265" s="29">
        <f t="shared" si="87"/>
        <v>7.1415321832684109</v>
      </c>
      <c r="S265" s="29">
        <v>100</v>
      </c>
      <c r="T265" s="28">
        <f t="shared" si="86"/>
        <v>0</v>
      </c>
      <c r="U265" s="28">
        <f t="shared" si="66"/>
        <v>0</v>
      </c>
      <c r="V265" s="87">
        <f t="shared" si="62"/>
        <v>100</v>
      </c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>
        <v>0</v>
      </c>
      <c r="AJ265" s="29">
        <f t="shared" si="84"/>
        <v>0</v>
      </c>
      <c r="AK265" s="136">
        <f t="shared" si="68"/>
        <v>23100000</v>
      </c>
      <c r="AL265" s="29">
        <f t="shared" si="85"/>
        <v>100</v>
      </c>
      <c r="AM265" s="26"/>
    </row>
    <row r="266" spans="1:39" ht="28.5" customHeight="1" x14ac:dyDescent="0.25">
      <c r="A266" s="26"/>
      <c r="B266" s="97"/>
      <c r="C266" s="97"/>
      <c r="D266" s="97"/>
      <c r="E266" s="97"/>
      <c r="F266" s="97"/>
      <c r="G266" s="97"/>
      <c r="H266" s="97"/>
      <c r="I266" s="98"/>
      <c r="J266" s="97" t="s">
        <v>320</v>
      </c>
      <c r="K266" s="27"/>
      <c r="L266" s="31"/>
      <c r="M266" s="563" t="s">
        <v>414</v>
      </c>
      <c r="N266" s="564"/>
      <c r="O266" s="198"/>
      <c r="P266" s="190"/>
      <c r="Q266" s="28">
        <v>1500000</v>
      </c>
      <c r="R266" s="29">
        <f t="shared" si="87"/>
        <v>0.46373585605639028</v>
      </c>
      <c r="S266" s="29">
        <v>100</v>
      </c>
      <c r="T266" s="28">
        <f t="shared" si="86"/>
        <v>0</v>
      </c>
      <c r="U266" s="28">
        <f t="shared" si="66"/>
        <v>0</v>
      </c>
      <c r="V266" s="87">
        <f t="shared" si="62"/>
        <v>100</v>
      </c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>
        <v>0</v>
      </c>
      <c r="AJ266" s="29">
        <f t="shared" si="84"/>
        <v>0</v>
      </c>
      <c r="AK266" s="136">
        <f t="shared" si="68"/>
        <v>1500000</v>
      </c>
      <c r="AL266" s="29">
        <f t="shared" si="85"/>
        <v>100</v>
      </c>
      <c r="AM266" s="26"/>
    </row>
    <row r="267" spans="1:39" s="41" customFormat="1" ht="28.5" customHeight="1" x14ac:dyDescent="0.25">
      <c r="A267" s="21">
        <f>A254+1</f>
        <v>35</v>
      </c>
      <c r="B267" s="543" t="s">
        <v>151</v>
      </c>
      <c r="C267" s="543"/>
      <c r="D267" s="543"/>
      <c r="E267" s="543"/>
      <c r="F267" s="543"/>
      <c r="G267" s="543"/>
      <c r="H267" s="543"/>
      <c r="I267" s="544"/>
      <c r="J267" s="122" t="s">
        <v>483</v>
      </c>
      <c r="K267" s="22"/>
      <c r="L267" s="72"/>
      <c r="M267" s="566" t="s">
        <v>42</v>
      </c>
      <c r="N267" s="566"/>
      <c r="O267" s="197">
        <v>128761142</v>
      </c>
      <c r="P267" s="189">
        <f>O267</f>
        <v>128761142</v>
      </c>
      <c r="Q267" s="23">
        <f>SUM(Q268:Q274)</f>
        <v>113170000</v>
      </c>
      <c r="R267" s="24">
        <f>Q267/Q$216*100</f>
        <v>0.72118641176129683</v>
      </c>
      <c r="S267" s="24">
        <v>100</v>
      </c>
      <c r="T267" s="23">
        <f t="shared" si="86"/>
        <v>0</v>
      </c>
      <c r="U267" s="23">
        <f t="shared" si="66"/>
        <v>0</v>
      </c>
      <c r="V267" s="90">
        <f t="shared" si="62"/>
        <v>100</v>
      </c>
      <c r="W267" s="23"/>
      <c r="X267" s="23" t="e">
        <f>#REF!</f>
        <v>#REF!</v>
      </c>
      <c r="Y267" s="23" t="e">
        <f>#REF!</f>
        <v>#REF!</v>
      </c>
      <c r="Z267" s="23" t="e">
        <f>#REF!</f>
        <v>#REF!</v>
      </c>
      <c r="AA267" s="23" t="e">
        <f>#REF!</f>
        <v>#REF!</v>
      </c>
      <c r="AB267" s="23">
        <v>11060000</v>
      </c>
      <c r="AC267" s="23" t="e">
        <f>#REF!</f>
        <v>#REF!</v>
      </c>
      <c r="AD267" s="23" t="e">
        <f>#REF!</f>
        <v>#REF!</v>
      </c>
      <c r="AE267" s="23" t="e">
        <f>#REF!</f>
        <v>#REF!</v>
      </c>
      <c r="AF267" s="23" t="e">
        <f>[1]April!N58</f>
        <v>#REF!</v>
      </c>
      <c r="AG267" s="23">
        <v>137440000</v>
      </c>
      <c r="AH267" s="23">
        <f>'[3]DES SKPD'!$N58</f>
        <v>133587000</v>
      </c>
      <c r="AI267" s="23">
        <f>SUM(AI268:AI273)</f>
        <v>0</v>
      </c>
      <c r="AJ267" s="24">
        <f t="shared" si="84"/>
        <v>0</v>
      </c>
      <c r="AK267" s="134">
        <f t="shared" si="68"/>
        <v>113170000</v>
      </c>
      <c r="AL267" s="24">
        <f t="shared" si="85"/>
        <v>100</v>
      </c>
      <c r="AM267" s="21"/>
    </row>
    <row r="268" spans="1:39" ht="28.5" customHeight="1" x14ac:dyDescent="0.25">
      <c r="A268" s="26"/>
      <c r="B268" s="97"/>
      <c r="C268" s="97"/>
      <c r="D268" s="97"/>
      <c r="E268" s="97"/>
      <c r="F268" s="97"/>
      <c r="G268" s="97"/>
      <c r="H268" s="97"/>
      <c r="I268" s="98"/>
      <c r="J268" s="97" t="s">
        <v>257</v>
      </c>
      <c r="K268" s="27"/>
      <c r="L268" s="31"/>
      <c r="M268" s="563" t="s">
        <v>258</v>
      </c>
      <c r="N268" s="564"/>
      <c r="O268" s="198"/>
      <c r="P268" s="190"/>
      <c r="Q268" s="28">
        <v>2370000</v>
      </c>
      <c r="R268" s="29">
        <f>Q268/Q$275*100</f>
        <v>0.71809477639074049</v>
      </c>
      <c r="S268" s="29">
        <v>100</v>
      </c>
      <c r="T268" s="28">
        <f t="shared" si="86"/>
        <v>0</v>
      </c>
      <c r="U268" s="28">
        <f t="shared" si="66"/>
        <v>0</v>
      </c>
      <c r="V268" s="87">
        <f t="shared" si="62"/>
        <v>100</v>
      </c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>
        <v>0</v>
      </c>
      <c r="AJ268" s="29">
        <f t="shared" si="84"/>
        <v>0</v>
      </c>
      <c r="AK268" s="136">
        <f t="shared" si="68"/>
        <v>2370000</v>
      </c>
      <c r="AL268" s="29">
        <f t="shared" si="85"/>
        <v>100</v>
      </c>
      <c r="AM268" s="26"/>
    </row>
    <row r="269" spans="1:39" ht="28.5" customHeight="1" x14ac:dyDescent="0.25">
      <c r="A269" s="26"/>
      <c r="B269" s="97"/>
      <c r="C269" s="97"/>
      <c r="D269" s="97"/>
      <c r="E269" s="97"/>
      <c r="F269" s="97"/>
      <c r="G269" s="97"/>
      <c r="H269" s="97"/>
      <c r="I269" s="98"/>
      <c r="J269" s="97" t="s">
        <v>326</v>
      </c>
      <c r="K269" s="27"/>
      <c r="L269" s="31"/>
      <c r="M269" s="563" t="s">
        <v>327</v>
      </c>
      <c r="N269" s="564"/>
      <c r="O269" s="198"/>
      <c r="P269" s="190"/>
      <c r="Q269" s="28">
        <v>70200000</v>
      </c>
      <c r="R269" s="29">
        <f t="shared" ref="R269:R274" si="88">Q269/Q$275*100</f>
        <v>21.270149072839654</v>
      </c>
      <c r="S269" s="29">
        <v>100</v>
      </c>
      <c r="T269" s="28">
        <f t="shared" si="86"/>
        <v>0</v>
      </c>
      <c r="U269" s="28">
        <f t="shared" si="66"/>
        <v>0</v>
      </c>
      <c r="V269" s="87">
        <f t="shared" si="62"/>
        <v>100</v>
      </c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>
        <v>0</v>
      </c>
      <c r="AJ269" s="29">
        <f t="shared" si="84"/>
        <v>0</v>
      </c>
      <c r="AK269" s="136">
        <f t="shared" si="68"/>
        <v>70200000</v>
      </c>
      <c r="AL269" s="29">
        <f t="shared" si="85"/>
        <v>100</v>
      </c>
      <c r="AM269" s="26"/>
    </row>
    <row r="270" spans="1:39" ht="28.5" customHeight="1" x14ac:dyDescent="0.25">
      <c r="A270" s="26"/>
      <c r="B270" s="97"/>
      <c r="C270" s="97"/>
      <c r="D270" s="97"/>
      <c r="E270" s="97"/>
      <c r="F270" s="97"/>
      <c r="G270" s="97"/>
      <c r="H270" s="97"/>
      <c r="I270" s="98"/>
      <c r="J270" s="97" t="s">
        <v>269</v>
      </c>
      <c r="K270" s="27"/>
      <c r="L270" s="31"/>
      <c r="M270" s="563" t="s">
        <v>270</v>
      </c>
      <c r="N270" s="564"/>
      <c r="O270" s="198"/>
      <c r="P270" s="190"/>
      <c r="Q270" s="28">
        <v>14000000</v>
      </c>
      <c r="R270" s="29">
        <f t="shared" si="88"/>
        <v>4.2419100715064841</v>
      </c>
      <c r="S270" s="29">
        <v>100</v>
      </c>
      <c r="T270" s="28">
        <f t="shared" si="86"/>
        <v>0</v>
      </c>
      <c r="U270" s="28">
        <f t="shared" si="66"/>
        <v>0</v>
      </c>
      <c r="V270" s="87">
        <f t="shared" si="62"/>
        <v>100</v>
      </c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>
        <v>0</v>
      </c>
      <c r="AJ270" s="29">
        <f t="shared" si="84"/>
        <v>0</v>
      </c>
      <c r="AK270" s="136">
        <f t="shared" si="68"/>
        <v>14000000</v>
      </c>
      <c r="AL270" s="29">
        <f t="shared" si="85"/>
        <v>100</v>
      </c>
      <c r="AM270" s="26"/>
    </row>
    <row r="271" spans="1:39" ht="28.5" customHeight="1" x14ac:dyDescent="0.25">
      <c r="A271" s="26"/>
      <c r="B271" s="97"/>
      <c r="C271" s="97"/>
      <c r="D271" s="97"/>
      <c r="E271" s="97"/>
      <c r="F271" s="97"/>
      <c r="G271" s="97"/>
      <c r="H271" s="97"/>
      <c r="I271" s="98"/>
      <c r="J271" s="97" t="s">
        <v>315</v>
      </c>
      <c r="K271" s="27"/>
      <c r="L271" s="31"/>
      <c r="M271" s="563" t="s">
        <v>271</v>
      </c>
      <c r="N271" s="564"/>
      <c r="O271" s="198"/>
      <c r="P271" s="190"/>
      <c r="Q271" s="28">
        <v>1000000</v>
      </c>
      <c r="R271" s="29">
        <f t="shared" si="88"/>
        <v>0.30299357653617742</v>
      </c>
      <c r="S271" s="29">
        <v>100</v>
      </c>
      <c r="T271" s="28">
        <f t="shared" si="86"/>
        <v>0</v>
      </c>
      <c r="U271" s="28">
        <f t="shared" si="66"/>
        <v>0</v>
      </c>
      <c r="V271" s="87">
        <f t="shared" si="62"/>
        <v>100</v>
      </c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>
        <v>0</v>
      </c>
      <c r="AJ271" s="29">
        <f t="shared" si="84"/>
        <v>0</v>
      </c>
      <c r="AK271" s="136">
        <f t="shared" si="68"/>
        <v>1000000</v>
      </c>
      <c r="AL271" s="29">
        <f t="shared" si="85"/>
        <v>100</v>
      </c>
      <c r="AM271" s="26"/>
    </row>
    <row r="272" spans="1:39" ht="28.5" customHeight="1" x14ac:dyDescent="0.25">
      <c r="A272" s="26"/>
      <c r="B272" s="97"/>
      <c r="C272" s="97"/>
      <c r="D272" s="97"/>
      <c r="E272" s="97"/>
      <c r="F272" s="97"/>
      <c r="G272" s="97"/>
      <c r="H272" s="97"/>
      <c r="I272" s="98"/>
      <c r="J272" s="97" t="s">
        <v>328</v>
      </c>
      <c r="K272" s="27"/>
      <c r="L272" s="31"/>
      <c r="M272" s="563" t="s">
        <v>329</v>
      </c>
      <c r="N272" s="564"/>
      <c r="O272" s="198"/>
      <c r="P272" s="190"/>
      <c r="Q272" s="28">
        <v>14100000</v>
      </c>
      <c r="R272" s="29">
        <f t="shared" si="88"/>
        <v>4.2722094291601014</v>
      </c>
      <c r="S272" s="29"/>
      <c r="T272" s="28">
        <f t="shared" si="86"/>
        <v>0</v>
      </c>
      <c r="U272" s="28">
        <f t="shared" si="66"/>
        <v>0</v>
      </c>
      <c r="V272" s="87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>
        <v>0</v>
      </c>
      <c r="AJ272" s="29">
        <f t="shared" si="84"/>
        <v>0</v>
      </c>
      <c r="AK272" s="136">
        <f t="shared" si="68"/>
        <v>14100000</v>
      </c>
      <c r="AL272" s="29">
        <f t="shared" si="85"/>
        <v>100</v>
      </c>
      <c r="AM272" s="26"/>
    </row>
    <row r="273" spans="1:39" ht="28.5" customHeight="1" x14ac:dyDescent="0.25">
      <c r="A273" s="26"/>
      <c r="B273" s="97"/>
      <c r="C273" s="97"/>
      <c r="D273" s="97"/>
      <c r="E273" s="97"/>
      <c r="F273" s="97"/>
      <c r="G273" s="97"/>
      <c r="H273" s="97"/>
      <c r="I273" s="98"/>
      <c r="J273" s="97" t="s">
        <v>280</v>
      </c>
      <c r="K273" s="27"/>
      <c r="L273" s="31"/>
      <c r="M273" s="563" t="s">
        <v>281</v>
      </c>
      <c r="N273" s="564"/>
      <c r="O273" s="198"/>
      <c r="P273" s="190"/>
      <c r="Q273" s="28">
        <v>10000000</v>
      </c>
      <c r="R273" s="29">
        <f t="shared" si="88"/>
        <v>3.029935765361774</v>
      </c>
      <c r="S273" s="29">
        <v>100</v>
      </c>
      <c r="T273" s="28">
        <f t="shared" si="86"/>
        <v>0</v>
      </c>
      <c r="U273" s="28">
        <f t="shared" si="66"/>
        <v>0</v>
      </c>
      <c r="V273" s="87">
        <f t="shared" si="62"/>
        <v>100</v>
      </c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>
        <v>0</v>
      </c>
      <c r="AJ273" s="29">
        <f t="shared" si="84"/>
        <v>0</v>
      </c>
      <c r="AK273" s="136">
        <f t="shared" si="68"/>
        <v>10000000</v>
      </c>
      <c r="AL273" s="29">
        <f t="shared" si="85"/>
        <v>100</v>
      </c>
      <c r="AM273" s="26"/>
    </row>
    <row r="274" spans="1:39" ht="28.5" customHeight="1" x14ac:dyDescent="0.25">
      <c r="A274" s="26"/>
      <c r="B274" s="97"/>
      <c r="C274" s="97"/>
      <c r="D274" s="97"/>
      <c r="E274" s="97"/>
      <c r="F274" s="97"/>
      <c r="G274" s="97"/>
      <c r="H274" s="97"/>
      <c r="I274" s="98"/>
      <c r="J274" s="97" t="s">
        <v>407</v>
      </c>
      <c r="K274" s="27"/>
      <c r="L274" s="31"/>
      <c r="M274" s="563" t="s">
        <v>414</v>
      </c>
      <c r="N274" s="564"/>
      <c r="O274" s="198"/>
      <c r="P274" s="190"/>
      <c r="Q274" s="28">
        <v>1500000</v>
      </c>
      <c r="R274" s="29">
        <f t="shared" si="88"/>
        <v>0.45449036480426613</v>
      </c>
      <c r="S274" s="29"/>
      <c r="T274" s="28">
        <f t="shared" si="86"/>
        <v>0</v>
      </c>
      <c r="U274" s="28">
        <f t="shared" si="66"/>
        <v>0</v>
      </c>
      <c r="V274" s="87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>
        <v>0</v>
      </c>
      <c r="AJ274" s="29">
        <f t="shared" si="84"/>
        <v>0</v>
      </c>
      <c r="AK274" s="136">
        <f t="shared" si="68"/>
        <v>1500000</v>
      </c>
      <c r="AL274" s="29">
        <f t="shared" si="85"/>
        <v>100</v>
      </c>
      <c r="AM274" s="26"/>
    </row>
    <row r="275" spans="1:39" s="86" customFormat="1" ht="28.5" customHeight="1" x14ac:dyDescent="0.25">
      <c r="A275" s="21">
        <f>A267+1</f>
        <v>36</v>
      </c>
      <c r="B275" s="543" t="s">
        <v>147</v>
      </c>
      <c r="C275" s="543"/>
      <c r="D275" s="543"/>
      <c r="E275" s="543"/>
      <c r="F275" s="543"/>
      <c r="G275" s="543"/>
      <c r="H275" s="543"/>
      <c r="I275" s="544"/>
      <c r="J275" s="122" t="s">
        <v>484</v>
      </c>
      <c r="K275" s="22"/>
      <c r="L275" s="72"/>
      <c r="M275" s="568" t="s">
        <v>43</v>
      </c>
      <c r="N275" s="568"/>
      <c r="O275" s="197">
        <v>450820000</v>
      </c>
      <c r="P275" s="189">
        <f>O275</f>
        <v>450820000</v>
      </c>
      <c r="Q275" s="23">
        <f>SUM(Q276:Q285)</f>
        <v>330040000</v>
      </c>
      <c r="R275" s="24">
        <f>Q275/Q$216*100</f>
        <v>2.1032107743898418</v>
      </c>
      <c r="S275" s="24">
        <v>100</v>
      </c>
      <c r="T275" s="23">
        <f t="shared" si="86"/>
        <v>0</v>
      </c>
      <c r="U275" s="23">
        <f t="shared" si="66"/>
        <v>0</v>
      </c>
      <c r="V275" s="90">
        <f t="shared" ref="V275:V547" si="89">S275-T275</f>
        <v>100</v>
      </c>
      <c r="W275" s="23"/>
      <c r="X275" s="23" t="e">
        <f>#REF!</f>
        <v>#REF!</v>
      </c>
      <c r="Y275" s="23" t="e">
        <f>#REF!</f>
        <v>#REF!</v>
      </c>
      <c r="Z275" s="23" t="e">
        <f>#REF!</f>
        <v>#REF!</v>
      </c>
      <c r="AA275" s="23" t="e">
        <f>#REF!</f>
        <v>#REF!</v>
      </c>
      <c r="AB275" s="23">
        <v>0</v>
      </c>
      <c r="AC275" s="23" t="e">
        <f>#REF!</f>
        <v>#REF!</v>
      </c>
      <c r="AD275" s="23" t="e">
        <f>#REF!</f>
        <v>#REF!</v>
      </c>
      <c r="AE275" s="23" t="e">
        <f>#REF!</f>
        <v>#REF!</v>
      </c>
      <c r="AF275" s="23" t="e">
        <f>[1]April!N59</f>
        <v>#REF!</v>
      </c>
      <c r="AG275" s="23" t="e">
        <f>[2]april!N59</f>
        <v>#REF!</v>
      </c>
      <c r="AH275" s="23">
        <f>'[3]DES SKPD'!$N59</f>
        <v>395224250</v>
      </c>
      <c r="AI275" s="23">
        <f>SUM(AI276:AI285)</f>
        <v>0</v>
      </c>
      <c r="AJ275" s="24">
        <f t="shared" si="84"/>
        <v>0</v>
      </c>
      <c r="AK275" s="134">
        <f t="shared" si="68"/>
        <v>330040000</v>
      </c>
      <c r="AL275" s="24">
        <f t="shared" si="85"/>
        <v>100</v>
      </c>
      <c r="AM275" s="21"/>
    </row>
    <row r="276" spans="1:39" ht="28.5" customHeight="1" x14ac:dyDescent="0.25">
      <c r="A276" s="26"/>
      <c r="B276" s="97"/>
      <c r="C276" s="97"/>
      <c r="D276" s="97"/>
      <c r="E276" s="97"/>
      <c r="F276" s="97"/>
      <c r="G276" s="97"/>
      <c r="H276" s="97"/>
      <c r="I276" s="98"/>
      <c r="J276" s="97" t="s">
        <v>257</v>
      </c>
      <c r="K276" s="27"/>
      <c r="L276" s="31"/>
      <c r="M276" s="563" t="s">
        <v>258</v>
      </c>
      <c r="N276" s="564"/>
      <c r="O276" s="198"/>
      <c r="P276" s="190"/>
      <c r="Q276" s="28">
        <v>5040000</v>
      </c>
      <c r="R276" s="29">
        <f>Q276/Q$275*100</f>
        <v>1.5270876257423343</v>
      </c>
      <c r="S276" s="29">
        <v>100</v>
      </c>
      <c r="T276" s="28">
        <f t="shared" si="86"/>
        <v>0</v>
      </c>
      <c r="U276" s="28">
        <f t="shared" si="66"/>
        <v>0</v>
      </c>
      <c r="V276" s="87">
        <f t="shared" si="89"/>
        <v>100</v>
      </c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>
        <v>0</v>
      </c>
      <c r="AJ276" s="29">
        <f t="shared" si="84"/>
        <v>0</v>
      </c>
      <c r="AK276" s="136">
        <f t="shared" si="68"/>
        <v>5040000</v>
      </c>
      <c r="AL276" s="29">
        <f t="shared" si="85"/>
        <v>100</v>
      </c>
      <c r="AM276" s="26"/>
    </row>
    <row r="277" spans="1:39" ht="28.5" customHeight="1" x14ac:dyDescent="0.25">
      <c r="A277" s="26"/>
      <c r="B277" s="97"/>
      <c r="C277" s="97"/>
      <c r="D277" s="97"/>
      <c r="E277" s="97"/>
      <c r="F277" s="97"/>
      <c r="G277" s="97"/>
      <c r="H277" s="97"/>
      <c r="I277" s="98"/>
      <c r="J277" s="97" t="s">
        <v>326</v>
      </c>
      <c r="K277" s="27"/>
      <c r="L277" s="31"/>
      <c r="M277" s="563" t="s">
        <v>327</v>
      </c>
      <c r="N277" s="564"/>
      <c r="O277" s="198"/>
      <c r="P277" s="190"/>
      <c r="Q277" s="28">
        <v>140400000</v>
      </c>
      <c r="R277" s="29">
        <f t="shared" ref="R277:R285" si="90">Q277/Q$275*100</f>
        <v>42.540298145679309</v>
      </c>
      <c r="S277" s="29">
        <v>100</v>
      </c>
      <c r="T277" s="28">
        <f t="shared" si="86"/>
        <v>0</v>
      </c>
      <c r="U277" s="28">
        <f t="shared" si="66"/>
        <v>0</v>
      </c>
      <c r="V277" s="87">
        <f t="shared" si="89"/>
        <v>100</v>
      </c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>
        <v>0</v>
      </c>
      <c r="AJ277" s="29">
        <f t="shared" si="84"/>
        <v>0</v>
      </c>
      <c r="AK277" s="136">
        <f t="shared" si="68"/>
        <v>140400000</v>
      </c>
      <c r="AL277" s="29">
        <f t="shared" si="85"/>
        <v>100</v>
      </c>
      <c r="AM277" s="26"/>
    </row>
    <row r="278" spans="1:39" ht="28.5" customHeight="1" x14ac:dyDescent="0.25">
      <c r="A278" s="26"/>
      <c r="B278" s="97"/>
      <c r="C278" s="97"/>
      <c r="D278" s="97"/>
      <c r="E278" s="97"/>
      <c r="F278" s="97"/>
      <c r="G278" s="97"/>
      <c r="H278" s="97"/>
      <c r="I278" s="98"/>
      <c r="J278" s="97" t="s">
        <v>341</v>
      </c>
      <c r="K278" s="27"/>
      <c r="L278" s="31"/>
      <c r="M278" s="563" t="s">
        <v>337</v>
      </c>
      <c r="N278" s="564"/>
      <c r="O278" s="198"/>
      <c r="P278" s="190"/>
      <c r="Q278" s="28">
        <v>10000000</v>
      </c>
      <c r="R278" s="29">
        <f t="shared" si="90"/>
        <v>3.029935765361774</v>
      </c>
      <c r="S278" s="29">
        <v>100</v>
      </c>
      <c r="T278" s="28">
        <f t="shared" si="86"/>
        <v>0</v>
      </c>
      <c r="U278" s="28">
        <f t="shared" si="66"/>
        <v>0</v>
      </c>
      <c r="V278" s="87">
        <f t="shared" si="89"/>
        <v>100</v>
      </c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>
        <v>0</v>
      </c>
      <c r="AJ278" s="29">
        <f t="shared" si="84"/>
        <v>0</v>
      </c>
      <c r="AK278" s="136">
        <f t="shared" si="68"/>
        <v>10000000</v>
      </c>
      <c r="AL278" s="29">
        <f t="shared" si="85"/>
        <v>100</v>
      </c>
      <c r="AM278" s="26"/>
    </row>
    <row r="279" spans="1:39" ht="28.5" customHeight="1" x14ac:dyDescent="0.25">
      <c r="A279" s="26"/>
      <c r="B279" s="97"/>
      <c r="C279" s="97"/>
      <c r="D279" s="97"/>
      <c r="E279" s="97"/>
      <c r="F279" s="97"/>
      <c r="G279" s="97"/>
      <c r="H279" s="97"/>
      <c r="I279" s="98"/>
      <c r="J279" s="97" t="s">
        <v>269</v>
      </c>
      <c r="K279" s="27"/>
      <c r="L279" s="31"/>
      <c r="M279" s="563" t="s">
        <v>270</v>
      </c>
      <c r="N279" s="564"/>
      <c r="O279" s="198"/>
      <c r="P279" s="190"/>
      <c r="Q279" s="28">
        <v>23000000</v>
      </c>
      <c r="R279" s="29">
        <f t="shared" si="90"/>
        <v>6.9688522603320813</v>
      </c>
      <c r="S279" s="29">
        <v>100</v>
      </c>
      <c r="T279" s="28">
        <f t="shared" si="86"/>
        <v>0</v>
      </c>
      <c r="U279" s="28">
        <f t="shared" ref="U279:U342" si="91">R279*T279/100</f>
        <v>0</v>
      </c>
      <c r="V279" s="87">
        <f t="shared" si="89"/>
        <v>100</v>
      </c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>
        <v>0</v>
      </c>
      <c r="AJ279" s="29">
        <f t="shared" si="84"/>
        <v>0</v>
      </c>
      <c r="AK279" s="136">
        <f t="shared" si="68"/>
        <v>23000000</v>
      </c>
      <c r="AL279" s="29">
        <f t="shared" si="85"/>
        <v>100</v>
      </c>
      <c r="AM279" s="26"/>
    </row>
    <row r="280" spans="1:39" ht="28.5" customHeight="1" x14ac:dyDescent="0.25">
      <c r="A280" s="26"/>
      <c r="B280" s="97"/>
      <c r="C280" s="97"/>
      <c r="D280" s="97"/>
      <c r="E280" s="97"/>
      <c r="F280" s="97"/>
      <c r="G280" s="97"/>
      <c r="H280" s="97"/>
      <c r="I280" s="98"/>
      <c r="J280" s="97" t="s">
        <v>315</v>
      </c>
      <c r="K280" s="27"/>
      <c r="L280" s="31"/>
      <c r="M280" s="563" t="s">
        <v>271</v>
      </c>
      <c r="N280" s="564"/>
      <c r="O280" s="198"/>
      <c r="P280" s="190"/>
      <c r="Q280" s="28">
        <v>16000000</v>
      </c>
      <c r="R280" s="29">
        <f t="shared" si="90"/>
        <v>4.8478972245788388</v>
      </c>
      <c r="S280" s="29">
        <v>100</v>
      </c>
      <c r="T280" s="28">
        <f t="shared" si="86"/>
        <v>0</v>
      </c>
      <c r="U280" s="28">
        <f t="shared" si="91"/>
        <v>0</v>
      </c>
      <c r="V280" s="87">
        <f t="shared" si="89"/>
        <v>100</v>
      </c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>
        <v>0</v>
      </c>
      <c r="AJ280" s="29">
        <f t="shared" si="84"/>
        <v>0</v>
      </c>
      <c r="AK280" s="136">
        <f t="shared" si="68"/>
        <v>16000000</v>
      </c>
      <c r="AL280" s="29">
        <f t="shared" si="85"/>
        <v>100</v>
      </c>
      <c r="AM280" s="26"/>
    </row>
    <row r="281" spans="1:39" ht="28.5" customHeight="1" x14ac:dyDescent="0.25">
      <c r="A281" s="26"/>
      <c r="B281" s="97"/>
      <c r="C281" s="97"/>
      <c r="D281" s="97"/>
      <c r="E281" s="97"/>
      <c r="F281" s="97"/>
      <c r="G281" s="97"/>
      <c r="H281" s="97"/>
      <c r="I281" s="98"/>
      <c r="J281" s="97" t="s">
        <v>342</v>
      </c>
      <c r="K281" s="27"/>
      <c r="L281" s="31"/>
      <c r="M281" s="563" t="s">
        <v>329</v>
      </c>
      <c r="N281" s="564"/>
      <c r="O281" s="198"/>
      <c r="P281" s="190"/>
      <c r="Q281" s="28">
        <v>25000000</v>
      </c>
      <c r="R281" s="29">
        <f t="shared" si="90"/>
        <v>7.5748394134044359</v>
      </c>
      <c r="S281" s="29">
        <v>100</v>
      </c>
      <c r="T281" s="28">
        <f t="shared" si="86"/>
        <v>0</v>
      </c>
      <c r="U281" s="28">
        <f t="shared" si="91"/>
        <v>0</v>
      </c>
      <c r="V281" s="87">
        <f t="shared" si="89"/>
        <v>100</v>
      </c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>
        <v>0</v>
      </c>
      <c r="AJ281" s="29">
        <f t="shared" si="84"/>
        <v>0</v>
      </c>
      <c r="AK281" s="136">
        <f t="shared" ref="AK281:AK343" si="92">Q281-AI281</f>
        <v>25000000</v>
      </c>
      <c r="AL281" s="29">
        <f t="shared" si="85"/>
        <v>100</v>
      </c>
      <c r="AM281" s="26"/>
    </row>
    <row r="282" spans="1:39" ht="28.5" customHeight="1" x14ac:dyDescent="0.25">
      <c r="A282" s="26"/>
      <c r="B282" s="97"/>
      <c r="C282" s="97"/>
      <c r="D282" s="97"/>
      <c r="E282" s="97"/>
      <c r="F282" s="97"/>
      <c r="G282" s="97"/>
      <c r="H282" s="97"/>
      <c r="I282" s="98"/>
      <c r="J282" s="97" t="s">
        <v>343</v>
      </c>
      <c r="K282" s="27"/>
      <c r="L282" s="31"/>
      <c r="M282" s="563" t="s">
        <v>319</v>
      </c>
      <c r="N282" s="564"/>
      <c r="O282" s="198"/>
      <c r="P282" s="190"/>
      <c r="Q282" s="28">
        <v>65000000</v>
      </c>
      <c r="R282" s="29">
        <f t="shared" si="90"/>
        <v>19.694582474851533</v>
      </c>
      <c r="S282" s="29">
        <v>100</v>
      </c>
      <c r="T282" s="28">
        <f t="shared" si="86"/>
        <v>0</v>
      </c>
      <c r="U282" s="28">
        <f t="shared" si="91"/>
        <v>0</v>
      </c>
      <c r="V282" s="87">
        <f t="shared" si="89"/>
        <v>100</v>
      </c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>
        <v>0</v>
      </c>
      <c r="AJ282" s="29">
        <f t="shared" si="84"/>
        <v>0</v>
      </c>
      <c r="AK282" s="136">
        <f t="shared" si="92"/>
        <v>65000000</v>
      </c>
      <c r="AL282" s="29">
        <f t="shared" si="85"/>
        <v>100</v>
      </c>
      <c r="AM282" s="26"/>
    </row>
    <row r="283" spans="1:39" ht="28.5" customHeight="1" x14ac:dyDescent="0.25">
      <c r="A283" s="26"/>
      <c r="B283" s="97"/>
      <c r="C283" s="97"/>
      <c r="D283" s="97"/>
      <c r="E283" s="97"/>
      <c r="F283" s="97"/>
      <c r="G283" s="97"/>
      <c r="H283" s="97"/>
      <c r="I283" s="98"/>
      <c r="J283" s="97" t="s">
        <v>280</v>
      </c>
      <c r="K283" s="27"/>
      <c r="L283" s="31"/>
      <c r="M283" s="563" t="s">
        <v>281</v>
      </c>
      <c r="N283" s="564"/>
      <c r="O283" s="198"/>
      <c r="P283" s="190"/>
      <c r="Q283" s="28">
        <v>20000000</v>
      </c>
      <c r="R283" s="29">
        <f t="shared" si="90"/>
        <v>6.059871530723548</v>
      </c>
      <c r="S283" s="29">
        <v>100</v>
      </c>
      <c r="T283" s="28">
        <f t="shared" si="86"/>
        <v>0</v>
      </c>
      <c r="U283" s="28">
        <f t="shared" si="91"/>
        <v>0</v>
      </c>
      <c r="V283" s="87">
        <f t="shared" si="89"/>
        <v>100</v>
      </c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>
        <v>0</v>
      </c>
      <c r="AJ283" s="29">
        <f t="shared" si="84"/>
        <v>0</v>
      </c>
      <c r="AK283" s="136">
        <f t="shared" si="92"/>
        <v>20000000</v>
      </c>
      <c r="AL283" s="29">
        <f t="shared" si="85"/>
        <v>100</v>
      </c>
      <c r="AM283" s="26"/>
    </row>
    <row r="284" spans="1:39" ht="28.5" customHeight="1" x14ac:dyDescent="0.25">
      <c r="A284" s="26"/>
      <c r="B284" s="97"/>
      <c r="C284" s="97"/>
      <c r="D284" s="97"/>
      <c r="E284" s="97"/>
      <c r="F284" s="97"/>
      <c r="G284" s="97"/>
      <c r="H284" s="97"/>
      <c r="I284" s="98"/>
      <c r="J284" s="97" t="s">
        <v>282</v>
      </c>
      <c r="K284" s="27"/>
      <c r="L284" s="31"/>
      <c r="M284" s="563" t="s">
        <v>283</v>
      </c>
      <c r="N284" s="564"/>
      <c r="O284" s="198"/>
      <c r="P284" s="190"/>
      <c r="Q284" s="28">
        <v>24100000</v>
      </c>
      <c r="R284" s="29">
        <f t="shared" si="90"/>
        <v>7.3021451945218763</v>
      </c>
      <c r="S284" s="29">
        <v>100</v>
      </c>
      <c r="T284" s="28">
        <f t="shared" si="86"/>
        <v>0</v>
      </c>
      <c r="U284" s="28">
        <f t="shared" si="91"/>
        <v>0</v>
      </c>
      <c r="V284" s="87">
        <f t="shared" si="89"/>
        <v>100</v>
      </c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>
        <v>0</v>
      </c>
      <c r="AJ284" s="29">
        <f t="shared" si="84"/>
        <v>0</v>
      </c>
      <c r="AK284" s="136">
        <f t="shared" si="92"/>
        <v>24100000</v>
      </c>
      <c r="AL284" s="29">
        <f t="shared" si="85"/>
        <v>100</v>
      </c>
      <c r="AM284" s="26"/>
    </row>
    <row r="285" spans="1:39" ht="28.5" customHeight="1" x14ac:dyDescent="0.25">
      <c r="A285" s="26"/>
      <c r="B285" s="97"/>
      <c r="C285" s="97"/>
      <c r="D285" s="97"/>
      <c r="E285" s="97"/>
      <c r="F285" s="97"/>
      <c r="G285" s="97"/>
      <c r="H285" s="97"/>
      <c r="I285" s="98"/>
      <c r="J285" s="97" t="s">
        <v>407</v>
      </c>
      <c r="K285" s="27"/>
      <c r="L285" s="31"/>
      <c r="M285" s="563" t="s">
        <v>414</v>
      </c>
      <c r="N285" s="564"/>
      <c r="O285" s="198"/>
      <c r="P285" s="190"/>
      <c r="Q285" s="28">
        <v>1500000</v>
      </c>
      <c r="R285" s="29">
        <f t="shared" si="90"/>
        <v>0.45449036480426613</v>
      </c>
      <c r="S285" s="29">
        <v>100</v>
      </c>
      <c r="T285" s="28">
        <f t="shared" si="86"/>
        <v>0</v>
      </c>
      <c r="U285" s="28">
        <f t="shared" si="91"/>
        <v>0</v>
      </c>
      <c r="V285" s="87">
        <f t="shared" si="89"/>
        <v>100</v>
      </c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>
        <v>0</v>
      </c>
      <c r="AJ285" s="29">
        <f t="shared" si="84"/>
        <v>0</v>
      </c>
      <c r="AK285" s="136">
        <f t="shared" si="92"/>
        <v>1500000</v>
      </c>
      <c r="AL285" s="29">
        <f t="shared" si="85"/>
        <v>100</v>
      </c>
      <c r="AM285" s="26"/>
    </row>
    <row r="286" spans="1:39" s="86" customFormat="1" ht="28.5" customHeight="1" x14ac:dyDescent="0.25">
      <c r="A286" s="21">
        <f>A275+1</f>
        <v>37</v>
      </c>
      <c r="B286" s="543" t="s">
        <v>148</v>
      </c>
      <c r="C286" s="543"/>
      <c r="D286" s="543"/>
      <c r="E286" s="543"/>
      <c r="F286" s="543"/>
      <c r="G286" s="543"/>
      <c r="H286" s="543"/>
      <c r="I286" s="544"/>
      <c r="J286" s="122" t="s">
        <v>485</v>
      </c>
      <c r="K286" s="22"/>
      <c r="L286" s="72"/>
      <c r="M286" s="568" t="s">
        <v>44</v>
      </c>
      <c r="N286" s="568"/>
      <c r="O286" s="197">
        <v>100275000</v>
      </c>
      <c r="P286" s="189">
        <f>O286</f>
        <v>100275000</v>
      </c>
      <c r="Q286" s="23">
        <f>SUM(Q287:Q292)</f>
        <v>192950000</v>
      </c>
      <c r="R286" s="24">
        <f>Q286/Q$216*100</f>
        <v>1.2295919249743059</v>
      </c>
      <c r="S286" s="24">
        <v>100</v>
      </c>
      <c r="T286" s="23">
        <f t="shared" si="86"/>
        <v>0</v>
      </c>
      <c r="U286" s="23">
        <f t="shared" si="91"/>
        <v>0</v>
      </c>
      <c r="V286" s="90">
        <f t="shared" si="89"/>
        <v>100</v>
      </c>
      <c r="W286" s="23"/>
      <c r="X286" s="23" t="e">
        <f>#REF!</f>
        <v>#REF!</v>
      </c>
      <c r="Y286" s="23" t="e">
        <f>#REF!</f>
        <v>#REF!</v>
      </c>
      <c r="Z286" s="23" t="e">
        <f>#REF!</f>
        <v>#REF!</v>
      </c>
      <c r="AA286" s="23" t="e">
        <f>#REF!</f>
        <v>#REF!</v>
      </c>
      <c r="AB286" s="23">
        <v>0</v>
      </c>
      <c r="AC286" s="23" t="e">
        <f>#REF!</f>
        <v>#REF!</v>
      </c>
      <c r="AD286" s="23" t="e">
        <f>#REF!</f>
        <v>#REF!</v>
      </c>
      <c r="AE286" s="23" t="e">
        <f>#REF!</f>
        <v>#REF!</v>
      </c>
      <c r="AF286" s="23" t="e">
        <f>[1]April!N60</f>
        <v>#REF!</v>
      </c>
      <c r="AG286" s="23" t="e">
        <f>[2]april!N60</f>
        <v>#REF!</v>
      </c>
      <c r="AH286" s="23">
        <f>'[3]DES SKPD'!$N60</f>
        <v>90196500</v>
      </c>
      <c r="AI286" s="23">
        <f>SUM(AI287:AI292)</f>
        <v>0</v>
      </c>
      <c r="AJ286" s="24">
        <f t="shared" si="84"/>
        <v>0</v>
      </c>
      <c r="AK286" s="134">
        <f t="shared" si="92"/>
        <v>192950000</v>
      </c>
      <c r="AL286" s="24">
        <f t="shared" si="85"/>
        <v>100</v>
      </c>
      <c r="AM286" s="21"/>
    </row>
    <row r="287" spans="1:39" ht="28.5" customHeight="1" x14ac:dyDescent="0.25">
      <c r="A287" s="26"/>
      <c r="B287" s="97"/>
      <c r="C287" s="97"/>
      <c r="D287" s="97"/>
      <c r="E287" s="97"/>
      <c r="F287" s="97"/>
      <c r="G287" s="97"/>
      <c r="H287" s="97"/>
      <c r="I287" s="98"/>
      <c r="J287" s="97" t="s">
        <v>257</v>
      </c>
      <c r="K287" s="27"/>
      <c r="L287" s="31"/>
      <c r="M287" s="563" t="s">
        <v>258</v>
      </c>
      <c r="N287" s="564"/>
      <c r="O287" s="198"/>
      <c r="P287" s="190"/>
      <c r="Q287" s="28">
        <v>3950000</v>
      </c>
      <c r="R287" s="29">
        <f t="shared" ref="R287:R292" si="93">Q287/Q$286*100</f>
        <v>2.047162477325732</v>
      </c>
      <c r="S287" s="29">
        <v>100</v>
      </c>
      <c r="T287" s="28">
        <f t="shared" si="86"/>
        <v>0</v>
      </c>
      <c r="U287" s="28">
        <f t="shared" si="91"/>
        <v>0</v>
      </c>
      <c r="V287" s="87">
        <f t="shared" si="89"/>
        <v>100</v>
      </c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>
        <v>0</v>
      </c>
      <c r="AJ287" s="29">
        <f t="shared" si="84"/>
        <v>0</v>
      </c>
      <c r="AK287" s="136">
        <f t="shared" si="92"/>
        <v>3950000</v>
      </c>
      <c r="AL287" s="29">
        <f t="shared" si="85"/>
        <v>100</v>
      </c>
      <c r="AM287" s="26"/>
    </row>
    <row r="288" spans="1:39" ht="28.5" customHeight="1" x14ac:dyDescent="0.25">
      <c r="A288" s="26"/>
      <c r="B288" s="97"/>
      <c r="C288" s="97"/>
      <c r="D288" s="97"/>
      <c r="E288" s="97"/>
      <c r="F288" s="97"/>
      <c r="G288" s="97"/>
      <c r="H288" s="97"/>
      <c r="I288" s="98"/>
      <c r="J288" s="97" t="s">
        <v>326</v>
      </c>
      <c r="K288" s="27"/>
      <c r="L288" s="31"/>
      <c r="M288" s="563" t="s">
        <v>327</v>
      </c>
      <c r="N288" s="564"/>
      <c r="O288" s="198"/>
      <c r="P288" s="190"/>
      <c r="Q288" s="28">
        <v>140400000</v>
      </c>
      <c r="R288" s="29">
        <f t="shared" si="93"/>
        <v>72.764965016843746</v>
      </c>
      <c r="S288" s="29">
        <v>100</v>
      </c>
      <c r="T288" s="28">
        <f t="shared" si="86"/>
        <v>0</v>
      </c>
      <c r="U288" s="28">
        <f t="shared" si="91"/>
        <v>0</v>
      </c>
      <c r="V288" s="87">
        <f t="shared" si="89"/>
        <v>100</v>
      </c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>
        <v>0</v>
      </c>
      <c r="AJ288" s="29">
        <f t="shared" si="84"/>
        <v>0</v>
      </c>
      <c r="AK288" s="136">
        <f t="shared" si="92"/>
        <v>140400000</v>
      </c>
      <c r="AL288" s="29">
        <f t="shared" si="85"/>
        <v>100</v>
      </c>
      <c r="AM288" s="26"/>
    </row>
    <row r="289" spans="1:39" ht="28.5" customHeight="1" x14ac:dyDescent="0.25">
      <c r="A289" s="26"/>
      <c r="B289" s="97"/>
      <c r="C289" s="97"/>
      <c r="D289" s="97"/>
      <c r="E289" s="97"/>
      <c r="F289" s="97"/>
      <c r="G289" s="97"/>
      <c r="H289" s="97"/>
      <c r="I289" s="98"/>
      <c r="J289" s="97" t="s">
        <v>269</v>
      </c>
      <c r="K289" s="27"/>
      <c r="L289" s="31"/>
      <c r="M289" s="563" t="s">
        <v>270</v>
      </c>
      <c r="N289" s="564"/>
      <c r="O289" s="198"/>
      <c r="P289" s="190"/>
      <c r="Q289" s="28">
        <v>27000000</v>
      </c>
      <c r="R289" s="29">
        <f t="shared" si="93"/>
        <v>13.993262503239182</v>
      </c>
      <c r="S289" s="29">
        <v>100</v>
      </c>
      <c r="T289" s="28">
        <f t="shared" si="86"/>
        <v>0</v>
      </c>
      <c r="U289" s="28">
        <f t="shared" si="91"/>
        <v>0</v>
      </c>
      <c r="V289" s="87">
        <f t="shared" si="89"/>
        <v>100</v>
      </c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>
        <v>0</v>
      </c>
      <c r="AJ289" s="29">
        <f t="shared" si="84"/>
        <v>0</v>
      </c>
      <c r="AK289" s="136">
        <f t="shared" si="92"/>
        <v>27000000</v>
      </c>
      <c r="AL289" s="29">
        <f t="shared" si="85"/>
        <v>100</v>
      </c>
      <c r="AM289" s="26"/>
    </row>
    <row r="290" spans="1:39" ht="28.5" customHeight="1" x14ac:dyDescent="0.25">
      <c r="A290" s="26"/>
      <c r="B290" s="97"/>
      <c r="C290" s="97"/>
      <c r="D290" s="97"/>
      <c r="E290" s="97"/>
      <c r="F290" s="97"/>
      <c r="G290" s="97"/>
      <c r="H290" s="97"/>
      <c r="I290" s="98"/>
      <c r="J290" s="97" t="s">
        <v>315</v>
      </c>
      <c r="K290" s="27"/>
      <c r="L290" s="31"/>
      <c r="M290" s="563" t="s">
        <v>271</v>
      </c>
      <c r="N290" s="564"/>
      <c r="O290" s="198"/>
      <c r="P290" s="190"/>
      <c r="Q290" s="28">
        <v>1000000</v>
      </c>
      <c r="R290" s="29">
        <f t="shared" si="93"/>
        <v>0.51826898160145118</v>
      </c>
      <c r="S290" s="29">
        <v>100</v>
      </c>
      <c r="T290" s="28">
        <f t="shared" si="86"/>
        <v>0</v>
      </c>
      <c r="U290" s="28">
        <f t="shared" si="91"/>
        <v>0</v>
      </c>
      <c r="V290" s="87">
        <f t="shared" si="89"/>
        <v>100</v>
      </c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>
        <v>0</v>
      </c>
      <c r="AJ290" s="29">
        <f t="shared" si="84"/>
        <v>0</v>
      </c>
      <c r="AK290" s="136">
        <f t="shared" si="92"/>
        <v>1000000</v>
      </c>
      <c r="AL290" s="29">
        <f t="shared" si="85"/>
        <v>100</v>
      </c>
      <c r="AM290" s="26"/>
    </row>
    <row r="291" spans="1:39" ht="28.5" customHeight="1" x14ac:dyDescent="0.25">
      <c r="A291" s="26"/>
      <c r="B291" s="97"/>
      <c r="C291" s="97"/>
      <c r="D291" s="97"/>
      <c r="E291" s="97"/>
      <c r="F291" s="97"/>
      <c r="G291" s="97"/>
      <c r="H291" s="97"/>
      <c r="I291" s="98"/>
      <c r="J291" s="97" t="s">
        <v>280</v>
      </c>
      <c r="K291" s="27"/>
      <c r="L291" s="31"/>
      <c r="M291" s="563" t="s">
        <v>281</v>
      </c>
      <c r="N291" s="564"/>
      <c r="O291" s="198"/>
      <c r="P291" s="190"/>
      <c r="Q291" s="28">
        <v>19100000</v>
      </c>
      <c r="R291" s="29">
        <f t="shared" si="93"/>
        <v>9.8989375485877176</v>
      </c>
      <c r="S291" s="29">
        <v>100</v>
      </c>
      <c r="T291" s="28">
        <f t="shared" si="86"/>
        <v>0</v>
      </c>
      <c r="U291" s="28">
        <f t="shared" si="91"/>
        <v>0</v>
      </c>
      <c r="V291" s="87">
        <f t="shared" si="89"/>
        <v>100</v>
      </c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>
        <v>0</v>
      </c>
      <c r="AJ291" s="29">
        <f t="shared" si="84"/>
        <v>0</v>
      </c>
      <c r="AK291" s="136">
        <f t="shared" si="92"/>
        <v>19100000</v>
      </c>
      <c r="AL291" s="29">
        <f t="shared" si="85"/>
        <v>100</v>
      </c>
      <c r="AM291" s="26"/>
    </row>
    <row r="292" spans="1:39" ht="28.5" customHeight="1" x14ac:dyDescent="0.25">
      <c r="A292" s="26"/>
      <c r="B292" s="97"/>
      <c r="C292" s="97"/>
      <c r="D292" s="97"/>
      <c r="E292" s="97"/>
      <c r="F292" s="97"/>
      <c r="G292" s="97"/>
      <c r="H292" s="97"/>
      <c r="I292" s="98"/>
      <c r="J292" s="97" t="s">
        <v>407</v>
      </c>
      <c r="K292" s="27"/>
      <c r="L292" s="31"/>
      <c r="M292" s="563" t="s">
        <v>414</v>
      </c>
      <c r="N292" s="564"/>
      <c r="O292" s="198"/>
      <c r="P292" s="190"/>
      <c r="Q292" s="28">
        <v>1500000</v>
      </c>
      <c r="R292" s="29">
        <f t="shared" si="93"/>
        <v>0.77740347240217667</v>
      </c>
      <c r="S292" s="29">
        <v>100</v>
      </c>
      <c r="T292" s="28">
        <f t="shared" si="86"/>
        <v>0</v>
      </c>
      <c r="U292" s="28">
        <f t="shared" si="91"/>
        <v>0</v>
      </c>
      <c r="V292" s="87">
        <f t="shared" si="89"/>
        <v>100</v>
      </c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>
        <v>0</v>
      </c>
      <c r="AJ292" s="29">
        <f t="shared" si="84"/>
        <v>0</v>
      </c>
      <c r="AK292" s="136">
        <f t="shared" si="92"/>
        <v>1500000</v>
      </c>
      <c r="AL292" s="29">
        <f t="shared" si="85"/>
        <v>100</v>
      </c>
      <c r="AM292" s="26"/>
    </row>
    <row r="293" spans="1:39" s="41" customFormat="1" ht="28.5" customHeight="1" x14ac:dyDescent="0.25">
      <c r="A293" s="21">
        <f>A286+1</f>
        <v>38</v>
      </c>
      <c r="B293" s="543" t="s">
        <v>150</v>
      </c>
      <c r="C293" s="543"/>
      <c r="D293" s="543"/>
      <c r="E293" s="543"/>
      <c r="F293" s="543"/>
      <c r="G293" s="543"/>
      <c r="H293" s="543"/>
      <c r="I293" s="544"/>
      <c r="J293" s="122" t="s">
        <v>486</v>
      </c>
      <c r="K293" s="22"/>
      <c r="L293" s="72"/>
      <c r="M293" s="566" t="s">
        <v>45</v>
      </c>
      <c r="N293" s="566"/>
      <c r="O293" s="197">
        <v>803450000</v>
      </c>
      <c r="P293" s="189">
        <f>O293</f>
        <v>803450000</v>
      </c>
      <c r="Q293" s="23">
        <f>SUM(Q294:Q303)</f>
        <v>114102000</v>
      </c>
      <c r="R293" s="24">
        <f>Q293/Q$216*100</f>
        <v>0.72712566894749031</v>
      </c>
      <c r="S293" s="24">
        <v>100</v>
      </c>
      <c r="T293" s="23">
        <f t="shared" si="86"/>
        <v>0</v>
      </c>
      <c r="U293" s="23">
        <f t="shared" si="91"/>
        <v>0</v>
      </c>
      <c r="V293" s="90">
        <f t="shared" si="89"/>
        <v>100</v>
      </c>
      <c r="W293" s="23"/>
      <c r="X293" s="23" t="e">
        <f>#REF!</f>
        <v>#REF!</v>
      </c>
      <c r="Y293" s="23" t="e">
        <f>#REF!</f>
        <v>#REF!</v>
      </c>
      <c r="Z293" s="23" t="e">
        <f>#REF!</f>
        <v>#REF!</v>
      </c>
      <c r="AA293" s="23" t="e">
        <f>#REF!</f>
        <v>#REF!</v>
      </c>
      <c r="AB293" s="23">
        <v>323021990</v>
      </c>
      <c r="AC293" s="23" t="e">
        <f>#REF!</f>
        <v>#REF!</v>
      </c>
      <c r="AD293" s="23" t="e">
        <f>#REF!</f>
        <v>#REF!</v>
      </c>
      <c r="AE293" s="23" t="e">
        <f>#REF!</f>
        <v>#REF!</v>
      </c>
      <c r="AF293" s="23" t="e">
        <f>[1]April!N61</f>
        <v>#REF!</v>
      </c>
      <c r="AG293" s="23" t="e">
        <f>[2]april!N61</f>
        <v>#REF!</v>
      </c>
      <c r="AH293" s="23">
        <f>'[3]DES SKPD'!$N61</f>
        <v>541082490</v>
      </c>
      <c r="AI293" s="23">
        <f>SUM(AI294:AI303)</f>
        <v>0</v>
      </c>
      <c r="AJ293" s="24">
        <f t="shared" si="84"/>
        <v>0</v>
      </c>
      <c r="AK293" s="134">
        <f t="shared" si="92"/>
        <v>114102000</v>
      </c>
      <c r="AL293" s="24">
        <f t="shared" si="85"/>
        <v>100</v>
      </c>
      <c r="AM293" s="21"/>
    </row>
    <row r="294" spans="1:39" ht="28.5" customHeight="1" x14ac:dyDescent="0.25">
      <c r="A294" s="26"/>
      <c r="B294" s="97"/>
      <c r="C294" s="97"/>
      <c r="D294" s="97"/>
      <c r="E294" s="97"/>
      <c r="F294" s="97"/>
      <c r="G294" s="97"/>
      <c r="H294" s="97"/>
      <c r="I294" s="98"/>
      <c r="J294" s="97" t="s">
        <v>257</v>
      </c>
      <c r="K294" s="27"/>
      <c r="L294" s="31"/>
      <c r="M294" s="563" t="s">
        <v>258</v>
      </c>
      <c r="N294" s="564"/>
      <c r="O294" s="198"/>
      <c r="P294" s="190"/>
      <c r="Q294" s="28">
        <v>2800000</v>
      </c>
      <c r="R294" s="29">
        <f>Q294/Q$293*100</f>
        <v>2.4539447161311809</v>
      </c>
      <c r="S294" s="29">
        <v>100</v>
      </c>
      <c r="T294" s="28">
        <f t="shared" si="86"/>
        <v>0</v>
      </c>
      <c r="U294" s="28">
        <f t="shared" si="91"/>
        <v>0</v>
      </c>
      <c r="V294" s="87">
        <f t="shared" si="89"/>
        <v>100</v>
      </c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>
        <v>0</v>
      </c>
      <c r="AJ294" s="29">
        <f t="shared" si="84"/>
        <v>0</v>
      </c>
      <c r="AK294" s="136">
        <f t="shared" si="92"/>
        <v>2800000</v>
      </c>
      <c r="AL294" s="29">
        <f t="shared" si="85"/>
        <v>100</v>
      </c>
      <c r="AM294" s="26"/>
    </row>
    <row r="295" spans="1:39" ht="28.5" customHeight="1" x14ac:dyDescent="0.25">
      <c r="A295" s="26"/>
      <c r="B295" s="97"/>
      <c r="C295" s="97"/>
      <c r="D295" s="97"/>
      <c r="E295" s="97"/>
      <c r="F295" s="97"/>
      <c r="G295" s="97"/>
      <c r="H295" s="97"/>
      <c r="I295" s="98"/>
      <c r="J295" s="97" t="s">
        <v>326</v>
      </c>
      <c r="K295" s="27"/>
      <c r="L295" s="31"/>
      <c r="M295" s="563" t="s">
        <v>327</v>
      </c>
      <c r="N295" s="564"/>
      <c r="O295" s="198"/>
      <c r="P295" s="190"/>
      <c r="Q295" s="28">
        <v>50250000</v>
      </c>
      <c r="R295" s="29">
        <f t="shared" ref="R295:R303" si="94">Q295/Q$293*100</f>
        <v>44.039543566282802</v>
      </c>
      <c r="S295" s="29">
        <v>100</v>
      </c>
      <c r="T295" s="28">
        <f t="shared" si="86"/>
        <v>0</v>
      </c>
      <c r="U295" s="28">
        <f t="shared" si="91"/>
        <v>0</v>
      </c>
      <c r="V295" s="87">
        <f t="shared" si="89"/>
        <v>100</v>
      </c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>
        <v>0</v>
      </c>
      <c r="AJ295" s="29">
        <f t="shared" si="84"/>
        <v>0</v>
      </c>
      <c r="AK295" s="136">
        <f t="shared" si="92"/>
        <v>50250000</v>
      </c>
      <c r="AL295" s="29">
        <f t="shared" si="85"/>
        <v>100</v>
      </c>
      <c r="AM295" s="26"/>
    </row>
    <row r="296" spans="1:39" ht="28.5" customHeight="1" x14ac:dyDescent="0.25">
      <c r="A296" s="26"/>
      <c r="B296" s="97"/>
      <c r="C296" s="97"/>
      <c r="D296" s="97"/>
      <c r="E296" s="97"/>
      <c r="F296" s="97"/>
      <c r="G296" s="97"/>
      <c r="H296" s="97"/>
      <c r="I296" s="98"/>
      <c r="J296" s="97" t="s">
        <v>323</v>
      </c>
      <c r="K296" s="27"/>
      <c r="L296" s="31"/>
      <c r="M296" s="563" t="s">
        <v>324</v>
      </c>
      <c r="N296" s="564"/>
      <c r="O296" s="198"/>
      <c r="P296" s="190"/>
      <c r="Q296" s="28">
        <v>8942000</v>
      </c>
      <c r="R296" s="29">
        <f t="shared" si="94"/>
        <v>7.8368477327303632</v>
      </c>
      <c r="S296" s="29">
        <v>100</v>
      </c>
      <c r="T296" s="28">
        <f t="shared" si="86"/>
        <v>0</v>
      </c>
      <c r="U296" s="28">
        <f t="shared" si="91"/>
        <v>0</v>
      </c>
      <c r="V296" s="87">
        <f t="shared" si="89"/>
        <v>100</v>
      </c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>
        <v>0</v>
      </c>
      <c r="AJ296" s="29">
        <f t="shared" si="84"/>
        <v>0</v>
      </c>
      <c r="AK296" s="136">
        <f t="shared" si="92"/>
        <v>8942000</v>
      </c>
      <c r="AL296" s="29">
        <f t="shared" si="85"/>
        <v>100</v>
      </c>
      <c r="AM296" s="26"/>
    </row>
    <row r="297" spans="1:39" ht="28.5" customHeight="1" x14ac:dyDescent="0.25">
      <c r="A297" s="26"/>
      <c r="B297" s="97"/>
      <c r="C297" s="97"/>
      <c r="D297" s="97"/>
      <c r="E297" s="97"/>
      <c r="F297" s="97"/>
      <c r="G297" s="97"/>
      <c r="H297" s="97"/>
      <c r="I297" s="98"/>
      <c r="J297" s="97" t="s">
        <v>269</v>
      </c>
      <c r="K297" s="27"/>
      <c r="L297" s="31"/>
      <c r="M297" s="563" t="s">
        <v>270</v>
      </c>
      <c r="N297" s="564"/>
      <c r="O297" s="198"/>
      <c r="P297" s="190"/>
      <c r="Q297" s="28">
        <v>4000000</v>
      </c>
      <c r="R297" s="29">
        <f t="shared" si="94"/>
        <v>3.5056353087588294</v>
      </c>
      <c r="S297" s="29">
        <v>100</v>
      </c>
      <c r="T297" s="28">
        <f t="shared" si="86"/>
        <v>0</v>
      </c>
      <c r="U297" s="28">
        <f t="shared" si="91"/>
        <v>0</v>
      </c>
      <c r="V297" s="87">
        <f t="shared" si="89"/>
        <v>100</v>
      </c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>
        <v>0</v>
      </c>
      <c r="AJ297" s="29">
        <f t="shared" si="84"/>
        <v>0</v>
      </c>
      <c r="AK297" s="136">
        <f t="shared" si="92"/>
        <v>4000000</v>
      </c>
      <c r="AL297" s="29">
        <f t="shared" si="85"/>
        <v>100</v>
      </c>
      <c r="AM297" s="26"/>
    </row>
    <row r="298" spans="1:39" ht="28.5" customHeight="1" x14ac:dyDescent="0.25">
      <c r="A298" s="26"/>
      <c r="B298" s="97"/>
      <c r="C298" s="97"/>
      <c r="D298" s="97"/>
      <c r="E298" s="97"/>
      <c r="F298" s="97"/>
      <c r="G298" s="97"/>
      <c r="H298" s="97"/>
      <c r="I298" s="98"/>
      <c r="J298" s="97" t="s">
        <v>315</v>
      </c>
      <c r="K298" s="27"/>
      <c r="L298" s="31"/>
      <c r="M298" s="563" t="s">
        <v>271</v>
      </c>
      <c r="N298" s="564"/>
      <c r="O298" s="198"/>
      <c r="P298" s="190"/>
      <c r="Q298" s="28">
        <v>14700000</v>
      </c>
      <c r="R298" s="29">
        <f t="shared" si="94"/>
        <v>12.883209759688699</v>
      </c>
      <c r="S298" s="29">
        <v>100</v>
      </c>
      <c r="T298" s="28">
        <f t="shared" si="86"/>
        <v>0</v>
      </c>
      <c r="U298" s="28">
        <f t="shared" si="91"/>
        <v>0</v>
      </c>
      <c r="V298" s="87">
        <f t="shared" si="89"/>
        <v>100</v>
      </c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>
        <v>0</v>
      </c>
      <c r="AJ298" s="29">
        <f t="shared" si="84"/>
        <v>0</v>
      </c>
      <c r="AK298" s="136">
        <f t="shared" si="92"/>
        <v>14700000</v>
      </c>
      <c r="AL298" s="29">
        <f t="shared" si="85"/>
        <v>100</v>
      </c>
      <c r="AM298" s="26"/>
    </row>
    <row r="299" spans="1:39" ht="28.5" customHeight="1" x14ac:dyDescent="0.25">
      <c r="A299" s="26"/>
      <c r="B299" s="97"/>
      <c r="C299" s="97"/>
      <c r="D299" s="97"/>
      <c r="E299" s="97"/>
      <c r="F299" s="97"/>
      <c r="G299" s="97"/>
      <c r="H299" s="97"/>
      <c r="I299" s="98"/>
      <c r="J299" s="97" t="s">
        <v>318</v>
      </c>
      <c r="K299" s="27"/>
      <c r="L299" s="31"/>
      <c r="M299" s="563" t="s">
        <v>319</v>
      </c>
      <c r="N299" s="564"/>
      <c r="O299" s="198"/>
      <c r="P299" s="190"/>
      <c r="Q299" s="28">
        <v>6500000</v>
      </c>
      <c r="R299" s="29">
        <f t="shared" si="94"/>
        <v>5.6966573767330981</v>
      </c>
      <c r="S299" s="29">
        <v>100</v>
      </c>
      <c r="T299" s="28">
        <f t="shared" si="86"/>
        <v>0</v>
      </c>
      <c r="U299" s="28">
        <f t="shared" si="91"/>
        <v>0</v>
      </c>
      <c r="V299" s="87">
        <f t="shared" si="89"/>
        <v>100</v>
      </c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>
        <v>0</v>
      </c>
      <c r="AJ299" s="29">
        <f t="shared" si="84"/>
        <v>0</v>
      </c>
      <c r="AK299" s="136">
        <f t="shared" si="92"/>
        <v>6500000</v>
      </c>
      <c r="AL299" s="29">
        <f t="shared" si="85"/>
        <v>100</v>
      </c>
      <c r="AM299" s="26"/>
    </row>
    <row r="300" spans="1:39" ht="28.5" customHeight="1" x14ac:dyDescent="0.25">
      <c r="A300" s="26"/>
      <c r="B300" s="97"/>
      <c r="C300" s="97"/>
      <c r="D300" s="97"/>
      <c r="E300" s="97"/>
      <c r="F300" s="97"/>
      <c r="G300" s="97"/>
      <c r="H300" s="97"/>
      <c r="I300" s="98"/>
      <c r="J300" s="97" t="s">
        <v>339</v>
      </c>
      <c r="K300" s="27"/>
      <c r="L300" s="31"/>
      <c r="M300" s="563" t="s">
        <v>340</v>
      </c>
      <c r="N300" s="564"/>
      <c r="O300" s="198"/>
      <c r="P300" s="190"/>
      <c r="Q300" s="28">
        <v>2250000</v>
      </c>
      <c r="R300" s="29">
        <f t="shared" si="94"/>
        <v>1.9719198611768418</v>
      </c>
      <c r="S300" s="29">
        <v>100</v>
      </c>
      <c r="T300" s="28">
        <f t="shared" si="86"/>
        <v>0</v>
      </c>
      <c r="U300" s="28">
        <f t="shared" si="91"/>
        <v>0</v>
      </c>
      <c r="V300" s="87">
        <f t="shared" si="89"/>
        <v>100</v>
      </c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>
        <v>0</v>
      </c>
      <c r="AJ300" s="29">
        <f t="shared" si="84"/>
        <v>0</v>
      </c>
      <c r="AK300" s="136">
        <f t="shared" si="92"/>
        <v>2250000</v>
      </c>
      <c r="AL300" s="29">
        <f t="shared" si="85"/>
        <v>100</v>
      </c>
      <c r="AM300" s="26"/>
    </row>
    <row r="301" spans="1:39" ht="28.5" customHeight="1" x14ac:dyDescent="0.25">
      <c r="A301" s="26"/>
      <c r="B301" s="97"/>
      <c r="C301" s="97"/>
      <c r="D301" s="97"/>
      <c r="E301" s="97"/>
      <c r="F301" s="97"/>
      <c r="G301" s="97"/>
      <c r="H301" s="97"/>
      <c r="I301" s="98"/>
      <c r="J301" s="97" t="s">
        <v>284</v>
      </c>
      <c r="K301" s="27"/>
      <c r="L301" s="31"/>
      <c r="M301" s="563" t="s">
        <v>285</v>
      </c>
      <c r="N301" s="564"/>
      <c r="O301" s="198"/>
      <c r="P301" s="190"/>
      <c r="Q301" s="28">
        <v>3960000</v>
      </c>
      <c r="R301" s="29">
        <f t="shared" si="94"/>
        <v>3.4705789556712414</v>
      </c>
      <c r="S301" s="29">
        <v>100</v>
      </c>
      <c r="T301" s="28">
        <f t="shared" si="86"/>
        <v>0</v>
      </c>
      <c r="U301" s="28">
        <f t="shared" si="91"/>
        <v>0</v>
      </c>
      <c r="V301" s="87">
        <f t="shared" si="89"/>
        <v>100</v>
      </c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>
        <v>0</v>
      </c>
      <c r="AJ301" s="29">
        <f t="shared" si="84"/>
        <v>0</v>
      </c>
      <c r="AK301" s="136">
        <f t="shared" si="92"/>
        <v>3960000</v>
      </c>
      <c r="AL301" s="29">
        <f t="shared" si="85"/>
        <v>100</v>
      </c>
      <c r="AM301" s="26"/>
    </row>
    <row r="302" spans="1:39" ht="28.5" customHeight="1" x14ac:dyDescent="0.25">
      <c r="A302" s="26"/>
      <c r="B302" s="97"/>
      <c r="C302" s="97"/>
      <c r="D302" s="97"/>
      <c r="E302" s="97"/>
      <c r="F302" s="97"/>
      <c r="G302" s="97"/>
      <c r="H302" s="97"/>
      <c r="I302" s="98"/>
      <c r="J302" s="97" t="s">
        <v>282</v>
      </c>
      <c r="K302" s="27"/>
      <c r="L302" s="31"/>
      <c r="M302" s="563" t="s">
        <v>283</v>
      </c>
      <c r="N302" s="564"/>
      <c r="O302" s="198"/>
      <c r="P302" s="190"/>
      <c r="Q302" s="28">
        <v>19950000</v>
      </c>
      <c r="R302" s="29">
        <f t="shared" si="94"/>
        <v>17.484356102434663</v>
      </c>
      <c r="S302" s="29">
        <v>100</v>
      </c>
      <c r="T302" s="28">
        <f t="shared" si="86"/>
        <v>0</v>
      </c>
      <c r="U302" s="28">
        <f t="shared" si="91"/>
        <v>0</v>
      </c>
      <c r="V302" s="87">
        <f t="shared" si="89"/>
        <v>100</v>
      </c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>
        <v>0</v>
      </c>
      <c r="AJ302" s="29">
        <f t="shared" si="84"/>
        <v>0</v>
      </c>
      <c r="AK302" s="136">
        <f t="shared" si="92"/>
        <v>19950000</v>
      </c>
      <c r="AL302" s="29">
        <f t="shared" si="85"/>
        <v>100</v>
      </c>
      <c r="AM302" s="26"/>
    </row>
    <row r="303" spans="1:39" ht="28.5" customHeight="1" x14ac:dyDescent="0.25">
      <c r="A303" s="26"/>
      <c r="B303" s="97"/>
      <c r="C303" s="97"/>
      <c r="D303" s="97"/>
      <c r="E303" s="97"/>
      <c r="F303" s="97"/>
      <c r="G303" s="97"/>
      <c r="H303" s="97"/>
      <c r="I303" s="98"/>
      <c r="J303" s="97" t="s">
        <v>407</v>
      </c>
      <c r="K303" s="27"/>
      <c r="L303" s="31"/>
      <c r="M303" s="563" t="s">
        <v>414</v>
      </c>
      <c r="N303" s="564"/>
      <c r="O303" s="198"/>
      <c r="P303" s="190"/>
      <c r="Q303" s="28">
        <v>750000</v>
      </c>
      <c r="R303" s="29">
        <f t="shared" si="94"/>
        <v>0.65730662039228061</v>
      </c>
      <c r="S303" s="29">
        <v>100</v>
      </c>
      <c r="T303" s="28">
        <f t="shared" si="86"/>
        <v>0</v>
      </c>
      <c r="U303" s="28">
        <f t="shared" si="91"/>
        <v>0</v>
      </c>
      <c r="V303" s="87">
        <f t="shared" si="89"/>
        <v>100</v>
      </c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>
        <v>0</v>
      </c>
      <c r="AJ303" s="29">
        <f t="shared" si="84"/>
        <v>0</v>
      </c>
      <c r="AK303" s="136">
        <f t="shared" si="92"/>
        <v>750000</v>
      </c>
      <c r="AL303" s="29">
        <f t="shared" si="85"/>
        <v>100</v>
      </c>
      <c r="AM303" s="26"/>
    </row>
    <row r="304" spans="1:39" s="41" customFormat="1" ht="47.25" customHeight="1" x14ac:dyDescent="0.25">
      <c r="A304" s="21">
        <f>A293+1</f>
        <v>39</v>
      </c>
      <c r="B304" s="543" t="s">
        <v>151</v>
      </c>
      <c r="C304" s="543"/>
      <c r="D304" s="543"/>
      <c r="E304" s="543"/>
      <c r="F304" s="543"/>
      <c r="G304" s="543"/>
      <c r="H304" s="543"/>
      <c r="I304" s="544"/>
      <c r="J304" s="122" t="s">
        <v>487</v>
      </c>
      <c r="K304" s="22"/>
      <c r="L304" s="72"/>
      <c r="M304" s="566" t="s">
        <v>46</v>
      </c>
      <c r="N304" s="566"/>
      <c r="O304" s="197">
        <v>66400000</v>
      </c>
      <c r="P304" s="189">
        <f>O304</f>
        <v>66400000</v>
      </c>
      <c r="Q304" s="23">
        <f>SUM(Q305:Q310)</f>
        <v>65742000</v>
      </c>
      <c r="R304" s="24">
        <f>Q304/Q$216*100</f>
        <v>0.4189470449943552</v>
      </c>
      <c r="S304" s="24">
        <v>100</v>
      </c>
      <c r="T304" s="23">
        <f t="shared" si="86"/>
        <v>0</v>
      </c>
      <c r="U304" s="23">
        <f t="shared" si="91"/>
        <v>0</v>
      </c>
      <c r="V304" s="90">
        <f t="shared" si="89"/>
        <v>100</v>
      </c>
      <c r="W304" s="23"/>
      <c r="X304" s="23" t="e">
        <f>#REF!</f>
        <v>#REF!</v>
      </c>
      <c r="Y304" s="23" t="e">
        <f>#REF!</f>
        <v>#REF!</v>
      </c>
      <c r="Z304" s="23" t="e">
        <f>#REF!</f>
        <v>#REF!</v>
      </c>
      <c r="AA304" s="23" t="e">
        <f>#REF!</f>
        <v>#REF!</v>
      </c>
      <c r="AB304" s="23">
        <v>323021990</v>
      </c>
      <c r="AC304" s="23" t="e">
        <f>#REF!</f>
        <v>#REF!</v>
      </c>
      <c r="AD304" s="23" t="e">
        <f>#REF!</f>
        <v>#REF!</v>
      </c>
      <c r="AE304" s="23" t="e">
        <f>#REF!</f>
        <v>#REF!</v>
      </c>
      <c r="AF304" s="23" t="e">
        <f>[1]April!N62</f>
        <v>#REF!</v>
      </c>
      <c r="AG304" s="23" t="e">
        <f>[2]april!N62</f>
        <v>#REF!</v>
      </c>
      <c r="AH304" s="23">
        <f>'[3]DES SKPD'!$N62</f>
        <v>58437000</v>
      </c>
      <c r="AI304" s="23">
        <f>SUM(AI305:AI310)</f>
        <v>0</v>
      </c>
      <c r="AJ304" s="24">
        <f t="shared" si="84"/>
        <v>0</v>
      </c>
      <c r="AK304" s="134">
        <f t="shared" si="92"/>
        <v>65742000</v>
      </c>
      <c r="AL304" s="24">
        <f t="shared" si="85"/>
        <v>100</v>
      </c>
      <c r="AM304" s="21"/>
    </row>
    <row r="305" spans="1:39" ht="28.5" customHeight="1" x14ac:dyDescent="0.25">
      <c r="A305" s="26"/>
      <c r="B305" s="97"/>
      <c r="C305" s="97"/>
      <c r="D305" s="97"/>
      <c r="E305" s="97"/>
      <c r="F305" s="97"/>
      <c r="G305" s="97"/>
      <c r="H305" s="97"/>
      <c r="I305" s="98"/>
      <c r="J305" s="97" t="s">
        <v>257</v>
      </c>
      <c r="K305" s="27"/>
      <c r="L305" s="31"/>
      <c r="M305" s="563" t="s">
        <v>258</v>
      </c>
      <c r="N305" s="564"/>
      <c r="O305" s="198"/>
      <c r="P305" s="190"/>
      <c r="Q305" s="28">
        <v>1110000</v>
      </c>
      <c r="R305" s="29">
        <f t="shared" ref="R305:R310" si="95">Q305/Q$304*100</f>
        <v>1.6884183626905174</v>
      </c>
      <c r="S305" s="29">
        <v>100</v>
      </c>
      <c r="T305" s="28">
        <f t="shared" si="86"/>
        <v>0</v>
      </c>
      <c r="U305" s="28">
        <f t="shared" si="91"/>
        <v>0</v>
      </c>
      <c r="V305" s="87">
        <f t="shared" si="89"/>
        <v>100</v>
      </c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>
        <v>0</v>
      </c>
      <c r="AJ305" s="29">
        <f t="shared" si="84"/>
        <v>0</v>
      </c>
      <c r="AK305" s="136">
        <f t="shared" si="92"/>
        <v>1110000</v>
      </c>
      <c r="AL305" s="29">
        <f t="shared" si="85"/>
        <v>100</v>
      </c>
      <c r="AM305" s="26"/>
    </row>
    <row r="306" spans="1:39" ht="28.5" customHeight="1" x14ac:dyDescent="0.25">
      <c r="A306" s="26"/>
      <c r="B306" s="97"/>
      <c r="C306" s="97"/>
      <c r="D306" s="97"/>
      <c r="E306" s="97"/>
      <c r="F306" s="97"/>
      <c r="G306" s="97"/>
      <c r="H306" s="97"/>
      <c r="I306" s="98"/>
      <c r="J306" s="97" t="s">
        <v>326</v>
      </c>
      <c r="K306" s="27"/>
      <c r="L306" s="31"/>
      <c r="M306" s="563" t="s">
        <v>327</v>
      </c>
      <c r="N306" s="564"/>
      <c r="O306" s="198"/>
      <c r="P306" s="190"/>
      <c r="Q306" s="28">
        <v>50250000</v>
      </c>
      <c r="R306" s="29">
        <f t="shared" si="95"/>
        <v>76.435155608286948</v>
      </c>
      <c r="S306" s="29">
        <v>100</v>
      </c>
      <c r="T306" s="28">
        <f t="shared" si="86"/>
        <v>0</v>
      </c>
      <c r="U306" s="28">
        <f t="shared" si="91"/>
        <v>0</v>
      </c>
      <c r="V306" s="87">
        <f t="shared" si="89"/>
        <v>100</v>
      </c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>
        <v>0</v>
      </c>
      <c r="AJ306" s="29">
        <f t="shared" si="84"/>
        <v>0</v>
      </c>
      <c r="AK306" s="136">
        <f t="shared" si="92"/>
        <v>50250000</v>
      </c>
      <c r="AL306" s="29">
        <f t="shared" si="85"/>
        <v>100</v>
      </c>
      <c r="AM306" s="26"/>
    </row>
    <row r="307" spans="1:39" ht="28.5" customHeight="1" x14ac:dyDescent="0.25">
      <c r="A307" s="26"/>
      <c r="B307" s="97"/>
      <c r="C307" s="97"/>
      <c r="D307" s="97"/>
      <c r="E307" s="97"/>
      <c r="F307" s="97"/>
      <c r="G307" s="97"/>
      <c r="H307" s="97"/>
      <c r="I307" s="98"/>
      <c r="J307" s="97" t="s">
        <v>323</v>
      </c>
      <c r="K307" s="27"/>
      <c r="L307" s="31"/>
      <c r="M307" s="563" t="s">
        <v>324</v>
      </c>
      <c r="N307" s="564"/>
      <c r="O307" s="198"/>
      <c r="P307" s="190"/>
      <c r="Q307" s="28">
        <v>3282000</v>
      </c>
      <c r="R307" s="29">
        <f t="shared" si="95"/>
        <v>4.9922424021173679</v>
      </c>
      <c r="S307" s="29">
        <v>100</v>
      </c>
      <c r="T307" s="28">
        <f t="shared" si="86"/>
        <v>0</v>
      </c>
      <c r="U307" s="28">
        <f t="shared" si="91"/>
        <v>0</v>
      </c>
      <c r="V307" s="87">
        <f t="shared" si="89"/>
        <v>100</v>
      </c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>
        <v>0</v>
      </c>
      <c r="AJ307" s="29">
        <f t="shared" si="84"/>
        <v>0</v>
      </c>
      <c r="AK307" s="136">
        <f t="shared" si="92"/>
        <v>3282000</v>
      </c>
      <c r="AL307" s="29">
        <f t="shared" si="85"/>
        <v>100</v>
      </c>
      <c r="AM307" s="26"/>
    </row>
    <row r="308" spans="1:39" ht="28.5" customHeight="1" x14ac:dyDescent="0.25">
      <c r="A308" s="26"/>
      <c r="B308" s="97"/>
      <c r="C308" s="97"/>
      <c r="D308" s="97"/>
      <c r="E308" s="97"/>
      <c r="F308" s="97"/>
      <c r="G308" s="97"/>
      <c r="H308" s="97"/>
      <c r="I308" s="98"/>
      <c r="J308" s="97" t="s">
        <v>269</v>
      </c>
      <c r="K308" s="27"/>
      <c r="L308" s="31"/>
      <c r="M308" s="563" t="s">
        <v>270</v>
      </c>
      <c r="N308" s="564"/>
      <c r="O308" s="198"/>
      <c r="P308" s="190"/>
      <c r="Q308" s="28">
        <v>4000000</v>
      </c>
      <c r="R308" s="29">
        <f t="shared" si="95"/>
        <v>6.0843904961820447</v>
      </c>
      <c r="S308" s="29">
        <v>100</v>
      </c>
      <c r="T308" s="28">
        <f t="shared" si="86"/>
        <v>0</v>
      </c>
      <c r="U308" s="28">
        <f t="shared" si="91"/>
        <v>0</v>
      </c>
      <c r="V308" s="87">
        <f t="shared" si="89"/>
        <v>100</v>
      </c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>
        <v>0</v>
      </c>
      <c r="AJ308" s="29">
        <f t="shared" si="84"/>
        <v>0</v>
      </c>
      <c r="AK308" s="136">
        <f t="shared" si="92"/>
        <v>4000000</v>
      </c>
      <c r="AL308" s="29">
        <f t="shared" si="85"/>
        <v>100</v>
      </c>
      <c r="AM308" s="26"/>
    </row>
    <row r="309" spans="1:39" ht="28.5" customHeight="1" x14ac:dyDescent="0.25">
      <c r="A309" s="26"/>
      <c r="B309" s="97"/>
      <c r="C309" s="97"/>
      <c r="D309" s="97"/>
      <c r="E309" s="97"/>
      <c r="F309" s="97"/>
      <c r="G309" s="97"/>
      <c r="H309" s="97"/>
      <c r="I309" s="98"/>
      <c r="J309" s="97" t="s">
        <v>315</v>
      </c>
      <c r="K309" s="27"/>
      <c r="L309" s="31"/>
      <c r="M309" s="563" t="s">
        <v>271</v>
      </c>
      <c r="N309" s="564"/>
      <c r="O309" s="198"/>
      <c r="P309" s="190"/>
      <c r="Q309" s="28">
        <v>5600000</v>
      </c>
      <c r="R309" s="29">
        <f t="shared" si="95"/>
        <v>8.5181466946548632</v>
      </c>
      <c r="S309" s="29">
        <v>100</v>
      </c>
      <c r="T309" s="28">
        <f t="shared" si="86"/>
        <v>0</v>
      </c>
      <c r="U309" s="28">
        <f t="shared" si="91"/>
        <v>0</v>
      </c>
      <c r="V309" s="87">
        <f t="shared" si="89"/>
        <v>100</v>
      </c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>
        <v>0</v>
      </c>
      <c r="AJ309" s="29">
        <f t="shared" ref="AJ309:AJ376" si="96">AI309/Q309*100</f>
        <v>0</v>
      </c>
      <c r="AK309" s="136">
        <f t="shared" si="92"/>
        <v>5600000</v>
      </c>
      <c r="AL309" s="29">
        <f t="shared" ref="AL309:AL376" si="97">AK309/Q309*100</f>
        <v>100</v>
      </c>
      <c r="AM309" s="26"/>
    </row>
    <row r="310" spans="1:39" ht="28.5" customHeight="1" x14ac:dyDescent="0.25">
      <c r="A310" s="26"/>
      <c r="B310" s="97"/>
      <c r="C310" s="97"/>
      <c r="D310" s="97"/>
      <c r="E310" s="97"/>
      <c r="F310" s="97"/>
      <c r="G310" s="97"/>
      <c r="H310" s="97"/>
      <c r="I310" s="98"/>
      <c r="J310" s="97" t="s">
        <v>339</v>
      </c>
      <c r="K310" s="27"/>
      <c r="L310" s="31"/>
      <c r="M310" s="563" t="s">
        <v>340</v>
      </c>
      <c r="N310" s="564"/>
      <c r="O310" s="198"/>
      <c r="P310" s="190"/>
      <c r="Q310" s="28">
        <v>1500000</v>
      </c>
      <c r="R310" s="29">
        <f t="shared" si="95"/>
        <v>2.2816464360682671</v>
      </c>
      <c r="S310" s="29">
        <v>100</v>
      </c>
      <c r="T310" s="28">
        <f t="shared" si="86"/>
        <v>0</v>
      </c>
      <c r="U310" s="28">
        <f t="shared" si="91"/>
        <v>0</v>
      </c>
      <c r="V310" s="87">
        <f t="shared" si="89"/>
        <v>100</v>
      </c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>
        <v>0</v>
      </c>
      <c r="AJ310" s="29">
        <f t="shared" si="96"/>
        <v>0</v>
      </c>
      <c r="AK310" s="136">
        <f t="shared" si="92"/>
        <v>1500000</v>
      </c>
      <c r="AL310" s="29">
        <f t="shared" si="97"/>
        <v>100</v>
      </c>
      <c r="AM310" s="26"/>
    </row>
    <row r="311" spans="1:39" s="86" customFormat="1" ht="27.75" customHeight="1" x14ac:dyDescent="0.25">
      <c r="A311" s="21">
        <f>SUM(A304+1)</f>
        <v>40</v>
      </c>
      <c r="B311" s="99"/>
      <c r="C311" s="99"/>
      <c r="D311" s="99"/>
      <c r="E311" s="99"/>
      <c r="F311" s="99"/>
      <c r="G311" s="99"/>
      <c r="H311" s="99"/>
      <c r="I311" s="100"/>
      <c r="J311" s="122" t="s">
        <v>488</v>
      </c>
      <c r="K311" s="22"/>
      <c r="L311" s="72"/>
      <c r="M311" s="568" t="s">
        <v>198</v>
      </c>
      <c r="N311" s="546"/>
      <c r="O311" s="197"/>
      <c r="P311" s="189"/>
      <c r="Q311" s="23">
        <f>SUM(Q312:Q317)</f>
        <v>186970000</v>
      </c>
      <c r="R311" s="24">
        <f>Q311/Q$216*100</f>
        <v>1.1914838155607463</v>
      </c>
      <c r="S311" s="24">
        <v>100</v>
      </c>
      <c r="T311" s="23">
        <f t="shared" si="86"/>
        <v>0</v>
      </c>
      <c r="U311" s="23">
        <f t="shared" si="91"/>
        <v>0</v>
      </c>
      <c r="V311" s="90">
        <f t="shared" si="89"/>
        <v>100</v>
      </c>
      <c r="W311" s="23"/>
      <c r="X311" s="23" t="e">
        <f>#REF!</f>
        <v>#REF!</v>
      </c>
      <c r="Y311" s="23" t="e">
        <f>#REF!</f>
        <v>#REF!</v>
      </c>
      <c r="Z311" s="23" t="e">
        <f>#REF!</f>
        <v>#REF!</v>
      </c>
      <c r="AA311" s="23" t="e">
        <f>#REF!</f>
        <v>#REF!</v>
      </c>
      <c r="AB311" s="23">
        <v>323021990</v>
      </c>
      <c r="AC311" s="23" t="e">
        <f>#REF!</f>
        <v>#REF!</v>
      </c>
      <c r="AD311" s="23" t="e">
        <f>#REF!</f>
        <v>#REF!</v>
      </c>
      <c r="AE311" s="23" t="e">
        <f>#REF!</f>
        <v>#REF!</v>
      </c>
      <c r="AF311" s="23" t="e">
        <f>[1]April!N63</f>
        <v>#REF!</v>
      </c>
      <c r="AG311" s="23" t="e">
        <f>[2]april!N63</f>
        <v>#REF!</v>
      </c>
      <c r="AH311" s="23">
        <f>'[3]DES SKPD'!$N63</f>
        <v>174573000</v>
      </c>
      <c r="AI311" s="23">
        <f>SUM(AI312:AI317)</f>
        <v>0</v>
      </c>
      <c r="AJ311" s="24">
        <f t="shared" si="96"/>
        <v>0</v>
      </c>
      <c r="AK311" s="134">
        <f t="shared" si="92"/>
        <v>186970000</v>
      </c>
      <c r="AL311" s="24">
        <f t="shared" si="97"/>
        <v>100</v>
      </c>
      <c r="AM311" s="21"/>
    </row>
    <row r="312" spans="1:39" ht="27.75" customHeight="1" x14ac:dyDescent="0.25">
      <c r="A312" s="26"/>
      <c r="B312" s="97"/>
      <c r="C312" s="97"/>
      <c r="D312" s="97"/>
      <c r="E312" s="97"/>
      <c r="F312" s="97"/>
      <c r="G312" s="97"/>
      <c r="H312" s="97"/>
      <c r="I312" s="98"/>
      <c r="J312" s="97" t="s">
        <v>257</v>
      </c>
      <c r="K312" s="27"/>
      <c r="L312" s="31"/>
      <c r="M312" s="563" t="s">
        <v>258</v>
      </c>
      <c r="N312" s="564"/>
      <c r="O312" s="198"/>
      <c r="P312" s="190"/>
      <c r="Q312" s="28">
        <v>3900000</v>
      </c>
      <c r="R312" s="29">
        <f t="shared" ref="R312:R317" si="98">Q312/Q$311*100</f>
        <v>2.0858961330694767</v>
      </c>
      <c r="S312" s="29">
        <v>100</v>
      </c>
      <c r="T312" s="28">
        <f t="shared" si="86"/>
        <v>0</v>
      </c>
      <c r="U312" s="28">
        <f t="shared" si="91"/>
        <v>0</v>
      </c>
      <c r="V312" s="87">
        <f t="shared" si="89"/>
        <v>100</v>
      </c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>
        <v>0</v>
      </c>
      <c r="AJ312" s="29">
        <f t="shared" si="96"/>
        <v>0</v>
      </c>
      <c r="AK312" s="136">
        <f t="shared" si="92"/>
        <v>3900000</v>
      </c>
      <c r="AL312" s="29">
        <f t="shared" si="97"/>
        <v>100</v>
      </c>
      <c r="AM312" s="26"/>
    </row>
    <row r="313" spans="1:39" ht="27.75" customHeight="1" x14ac:dyDescent="0.25">
      <c r="A313" s="26"/>
      <c r="B313" s="97"/>
      <c r="C313" s="97"/>
      <c r="D313" s="97"/>
      <c r="E313" s="97"/>
      <c r="F313" s="97"/>
      <c r="G313" s="97"/>
      <c r="H313" s="97"/>
      <c r="I313" s="98"/>
      <c r="J313" s="97" t="s">
        <v>259</v>
      </c>
      <c r="K313" s="27"/>
      <c r="L313" s="31"/>
      <c r="M313" s="563" t="s">
        <v>260</v>
      </c>
      <c r="N313" s="564"/>
      <c r="O313" s="198"/>
      <c r="P313" s="190"/>
      <c r="Q313" s="28">
        <v>800000</v>
      </c>
      <c r="R313" s="29">
        <f t="shared" si="98"/>
        <v>0.42787612986040546</v>
      </c>
      <c r="S313" s="29">
        <v>100</v>
      </c>
      <c r="T313" s="28">
        <f t="shared" si="86"/>
        <v>0</v>
      </c>
      <c r="U313" s="28">
        <f t="shared" si="91"/>
        <v>0</v>
      </c>
      <c r="V313" s="87">
        <f t="shared" si="89"/>
        <v>100</v>
      </c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>
        <v>0</v>
      </c>
      <c r="AJ313" s="29">
        <f t="shared" si="96"/>
        <v>0</v>
      </c>
      <c r="AK313" s="136">
        <f t="shared" si="92"/>
        <v>800000</v>
      </c>
      <c r="AL313" s="29">
        <f t="shared" si="97"/>
        <v>100</v>
      </c>
      <c r="AM313" s="26"/>
    </row>
    <row r="314" spans="1:39" ht="27.75" customHeight="1" x14ac:dyDescent="0.25">
      <c r="A314" s="26"/>
      <c r="B314" s="97"/>
      <c r="C314" s="97"/>
      <c r="D314" s="97"/>
      <c r="E314" s="97"/>
      <c r="F314" s="97"/>
      <c r="G314" s="97"/>
      <c r="H314" s="97"/>
      <c r="I314" s="98"/>
      <c r="J314" s="97" t="s">
        <v>323</v>
      </c>
      <c r="K314" s="27"/>
      <c r="L314" s="31"/>
      <c r="M314" s="563" t="s">
        <v>324</v>
      </c>
      <c r="N314" s="564"/>
      <c r="O314" s="198"/>
      <c r="P314" s="190"/>
      <c r="Q314" s="28">
        <v>1270000</v>
      </c>
      <c r="R314" s="29">
        <f t="shared" si="98"/>
        <v>0.67925335615339355</v>
      </c>
      <c r="S314" s="29">
        <v>100</v>
      </c>
      <c r="T314" s="28">
        <f t="shared" si="86"/>
        <v>0</v>
      </c>
      <c r="U314" s="28">
        <f t="shared" si="91"/>
        <v>0</v>
      </c>
      <c r="V314" s="87">
        <f t="shared" si="89"/>
        <v>100</v>
      </c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>
        <v>0</v>
      </c>
      <c r="AJ314" s="29">
        <f t="shared" si="96"/>
        <v>0</v>
      </c>
      <c r="AK314" s="136">
        <f t="shared" si="92"/>
        <v>1270000</v>
      </c>
      <c r="AL314" s="29">
        <f t="shared" si="97"/>
        <v>100</v>
      </c>
      <c r="AM314" s="26"/>
    </row>
    <row r="315" spans="1:39" ht="27.75" customHeight="1" x14ac:dyDescent="0.25">
      <c r="A315" s="26"/>
      <c r="B315" s="97"/>
      <c r="C315" s="97"/>
      <c r="D315" s="97"/>
      <c r="E315" s="97"/>
      <c r="F315" s="97"/>
      <c r="G315" s="97"/>
      <c r="H315" s="97"/>
      <c r="I315" s="98"/>
      <c r="J315" s="97" t="s">
        <v>315</v>
      </c>
      <c r="K315" s="27"/>
      <c r="L315" s="31"/>
      <c r="M315" s="563" t="s">
        <v>271</v>
      </c>
      <c r="N315" s="564"/>
      <c r="O315" s="198"/>
      <c r="P315" s="190"/>
      <c r="Q315" s="28">
        <v>1000000</v>
      </c>
      <c r="R315" s="29">
        <f t="shared" si="98"/>
        <v>0.53484516232550683</v>
      </c>
      <c r="S315" s="29">
        <v>100</v>
      </c>
      <c r="T315" s="28">
        <f t="shared" si="86"/>
        <v>0</v>
      </c>
      <c r="U315" s="28">
        <f t="shared" si="91"/>
        <v>0</v>
      </c>
      <c r="V315" s="87">
        <f t="shared" si="89"/>
        <v>100</v>
      </c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>
        <v>0</v>
      </c>
      <c r="AJ315" s="29">
        <f t="shared" si="96"/>
        <v>0</v>
      </c>
      <c r="AK315" s="136">
        <f t="shared" si="92"/>
        <v>1000000</v>
      </c>
      <c r="AL315" s="29">
        <f t="shared" si="97"/>
        <v>100</v>
      </c>
      <c r="AM315" s="26"/>
    </row>
    <row r="316" spans="1:39" ht="27.75" customHeight="1" x14ac:dyDescent="0.25">
      <c r="A316" s="26"/>
      <c r="B316" s="97"/>
      <c r="C316" s="97"/>
      <c r="D316" s="97"/>
      <c r="E316" s="97"/>
      <c r="F316" s="97"/>
      <c r="G316" s="97"/>
      <c r="H316" s="97"/>
      <c r="I316" s="98"/>
      <c r="J316" s="97" t="s">
        <v>282</v>
      </c>
      <c r="K316" s="27"/>
      <c r="L316" s="31"/>
      <c r="M316" s="563" t="s">
        <v>283</v>
      </c>
      <c r="N316" s="564"/>
      <c r="O316" s="198"/>
      <c r="P316" s="190"/>
      <c r="Q316" s="28">
        <v>10000000</v>
      </c>
      <c r="R316" s="29">
        <f t="shared" si="98"/>
        <v>5.3484516232550678</v>
      </c>
      <c r="S316" s="29">
        <v>100</v>
      </c>
      <c r="T316" s="28">
        <f t="shared" si="86"/>
        <v>0</v>
      </c>
      <c r="U316" s="28">
        <f t="shared" si="91"/>
        <v>0</v>
      </c>
      <c r="V316" s="87">
        <f t="shared" si="89"/>
        <v>100</v>
      </c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>
        <v>0</v>
      </c>
      <c r="AJ316" s="29">
        <f t="shared" si="96"/>
        <v>0</v>
      </c>
      <c r="AK316" s="136">
        <f t="shared" si="92"/>
        <v>10000000</v>
      </c>
      <c r="AL316" s="29">
        <f t="shared" si="97"/>
        <v>100</v>
      </c>
      <c r="AM316" s="26"/>
    </row>
    <row r="317" spans="1:39" ht="27.75" customHeight="1" x14ac:dyDescent="0.25">
      <c r="A317" s="26"/>
      <c r="B317" s="97"/>
      <c r="C317" s="97"/>
      <c r="D317" s="97"/>
      <c r="E317" s="97"/>
      <c r="F317" s="97"/>
      <c r="G317" s="97"/>
      <c r="H317" s="97"/>
      <c r="I317" s="98"/>
      <c r="J317" s="97" t="s">
        <v>308</v>
      </c>
      <c r="K317" s="27"/>
      <c r="L317" s="31"/>
      <c r="M317" s="563" t="s">
        <v>344</v>
      </c>
      <c r="N317" s="564"/>
      <c r="O317" s="198"/>
      <c r="P317" s="190"/>
      <c r="Q317" s="28">
        <v>170000000</v>
      </c>
      <c r="R317" s="29">
        <f t="shared" si="98"/>
        <v>90.923677595336144</v>
      </c>
      <c r="S317" s="29">
        <v>100</v>
      </c>
      <c r="T317" s="28">
        <f t="shared" si="86"/>
        <v>0</v>
      </c>
      <c r="U317" s="28">
        <f t="shared" si="91"/>
        <v>0</v>
      </c>
      <c r="V317" s="87">
        <f t="shared" si="89"/>
        <v>100</v>
      </c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>
        <v>0</v>
      </c>
      <c r="AJ317" s="29">
        <f t="shared" si="96"/>
        <v>0</v>
      </c>
      <c r="AK317" s="136">
        <f t="shared" si="92"/>
        <v>170000000</v>
      </c>
      <c r="AL317" s="29">
        <f t="shared" si="97"/>
        <v>100</v>
      </c>
      <c r="AM317" s="26"/>
    </row>
    <row r="318" spans="1:39" s="41" customFormat="1" ht="36" customHeight="1" x14ac:dyDescent="0.25">
      <c r="A318" s="21">
        <f>SUM(A311+1)</f>
        <v>41</v>
      </c>
      <c r="B318" s="543" t="s">
        <v>152</v>
      </c>
      <c r="C318" s="543"/>
      <c r="D318" s="543"/>
      <c r="E318" s="543"/>
      <c r="F318" s="543"/>
      <c r="G318" s="543"/>
      <c r="H318" s="543"/>
      <c r="I318" s="544"/>
      <c r="J318" s="122" t="s">
        <v>489</v>
      </c>
      <c r="K318" s="22"/>
      <c r="L318" s="72"/>
      <c r="M318" s="566" t="s">
        <v>47</v>
      </c>
      <c r="N318" s="566"/>
      <c r="O318" s="197">
        <v>136000000</v>
      </c>
      <c r="P318" s="189">
        <f>O318</f>
        <v>136000000</v>
      </c>
      <c r="Q318" s="23">
        <f>SUM(Q319:Q330)</f>
        <v>356361700</v>
      </c>
      <c r="R318" s="24">
        <f>Q318/Q$216*100</f>
        <v>2.2709482699669143</v>
      </c>
      <c r="S318" s="24">
        <v>100</v>
      </c>
      <c r="T318" s="23">
        <f t="shared" si="86"/>
        <v>0</v>
      </c>
      <c r="U318" s="23">
        <f t="shared" si="91"/>
        <v>0</v>
      </c>
      <c r="V318" s="90">
        <f t="shared" si="89"/>
        <v>100</v>
      </c>
      <c r="W318" s="23"/>
      <c r="X318" s="23" t="e">
        <f>#REF!</f>
        <v>#REF!</v>
      </c>
      <c r="Y318" s="23" t="e">
        <f>#REF!</f>
        <v>#REF!</v>
      </c>
      <c r="Z318" s="23" t="e">
        <f>#REF!</f>
        <v>#REF!</v>
      </c>
      <c r="AA318" s="23" t="e">
        <f>#REF!</f>
        <v>#REF!</v>
      </c>
      <c r="AB318" s="23">
        <v>88014000</v>
      </c>
      <c r="AC318" s="23" t="e">
        <f>#REF!</f>
        <v>#REF!</v>
      </c>
      <c r="AD318" s="23" t="e">
        <f>#REF!</f>
        <v>#REF!</v>
      </c>
      <c r="AE318" s="23" t="e">
        <f>#REF!</f>
        <v>#REF!</v>
      </c>
      <c r="AF318" s="23" t="e">
        <f>[1]April!N63</f>
        <v>#REF!</v>
      </c>
      <c r="AG318" s="23" t="e">
        <f>[2]april!N63</f>
        <v>#REF!</v>
      </c>
      <c r="AH318" s="23">
        <f>'[3]DES SKPD'!$N63</f>
        <v>174573000</v>
      </c>
      <c r="AI318" s="23">
        <f>SUM(AI319:AI330)</f>
        <v>0</v>
      </c>
      <c r="AJ318" s="24">
        <f t="shared" si="96"/>
        <v>0</v>
      </c>
      <c r="AK318" s="134">
        <f t="shared" si="92"/>
        <v>356361700</v>
      </c>
      <c r="AL318" s="24">
        <f t="shared" si="97"/>
        <v>100</v>
      </c>
      <c r="AM318" s="21"/>
    </row>
    <row r="319" spans="1:39" ht="29.25" customHeight="1" x14ac:dyDescent="0.25">
      <c r="A319" s="26"/>
      <c r="B319" s="97"/>
      <c r="C319" s="97"/>
      <c r="D319" s="97"/>
      <c r="E319" s="97"/>
      <c r="F319" s="97"/>
      <c r="G319" s="97"/>
      <c r="H319" s="97"/>
      <c r="I319" s="98"/>
      <c r="J319" s="97" t="s">
        <v>257</v>
      </c>
      <c r="K319" s="27"/>
      <c r="L319" s="31"/>
      <c r="M319" s="563" t="s">
        <v>258</v>
      </c>
      <c r="N319" s="564"/>
      <c r="O319" s="198"/>
      <c r="P319" s="190"/>
      <c r="Q319" s="28">
        <v>3900000</v>
      </c>
      <c r="R319" s="29">
        <f>Q319/Q$318*100</f>
        <v>1.0943937016800627</v>
      </c>
      <c r="S319" s="29">
        <v>100</v>
      </c>
      <c r="T319" s="28">
        <f t="shared" si="86"/>
        <v>0</v>
      </c>
      <c r="U319" s="28">
        <f t="shared" si="91"/>
        <v>0</v>
      </c>
      <c r="V319" s="87">
        <f t="shared" si="89"/>
        <v>100</v>
      </c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>
        <v>0</v>
      </c>
      <c r="AJ319" s="29">
        <f t="shared" si="96"/>
        <v>0</v>
      </c>
      <c r="AK319" s="136">
        <f t="shared" si="92"/>
        <v>3900000</v>
      </c>
      <c r="AL319" s="29">
        <f t="shared" si="97"/>
        <v>100</v>
      </c>
      <c r="AM319" s="26"/>
    </row>
    <row r="320" spans="1:39" ht="29.25" customHeight="1" x14ac:dyDescent="0.25">
      <c r="A320" s="26"/>
      <c r="B320" s="97"/>
      <c r="C320" s="97"/>
      <c r="D320" s="97"/>
      <c r="E320" s="97"/>
      <c r="F320" s="97"/>
      <c r="G320" s="97"/>
      <c r="H320" s="97"/>
      <c r="I320" s="98"/>
      <c r="J320" s="97" t="s">
        <v>259</v>
      </c>
      <c r="K320" s="27"/>
      <c r="L320" s="31"/>
      <c r="M320" s="563" t="s">
        <v>260</v>
      </c>
      <c r="N320" s="564"/>
      <c r="O320" s="198"/>
      <c r="P320" s="190"/>
      <c r="Q320" s="28">
        <v>1600000</v>
      </c>
      <c r="R320" s="29">
        <f t="shared" ref="R320:R330" si="99">Q320/Q$318*100</f>
        <v>0.44898203145848725</v>
      </c>
      <c r="S320" s="29">
        <v>100</v>
      </c>
      <c r="T320" s="28">
        <f t="shared" si="86"/>
        <v>0</v>
      </c>
      <c r="U320" s="28">
        <f t="shared" si="91"/>
        <v>0</v>
      </c>
      <c r="V320" s="87">
        <f t="shared" si="89"/>
        <v>100</v>
      </c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>
        <v>0</v>
      </c>
      <c r="AJ320" s="29">
        <f t="shared" si="96"/>
        <v>0</v>
      </c>
      <c r="AK320" s="136">
        <f t="shared" si="92"/>
        <v>1600000</v>
      </c>
      <c r="AL320" s="29">
        <f t="shared" si="97"/>
        <v>100</v>
      </c>
      <c r="AM320" s="26"/>
    </row>
    <row r="321" spans="1:39" ht="29.25" customHeight="1" x14ac:dyDescent="0.25">
      <c r="A321" s="26"/>
      <c r="B321" s="97"/>
      <c r="C321" s="97"/>
      <c r="D321" s="97"/>
      <c r="E321" s="97"/>
      <c r="F321" s="97"/>
      <c r="G321" s="97"/>
      <c r="H321" s="97"/>
      <c r="I321" s="98"/>
      <c r="J321" s="97" t="s">
        <v>323</v>
      </c>
      <c r="K321" s="27"/>
      <c r="L321" s="31"/>
      <c r="M321" s="563" t="s">
        <v>324</v>
      </c>
      <c r="N321" s="564"/>
      <c r="O321" s="198"/>
      <c r="P321" s="190"/>
      <c r="Q321" s="28">
        <v>60000000</v>
      </c>
      <c r="R321" s="29">
        <f t="shared" si="99"/>
        <v>16.836826179693272</v>
      </c>
      <c r="S321" s="29">
        <v>100</v>
      </c>
      <c r="T321" s="28">
        <f t="shared" si="86"/>
        <v>0</v>
      </c>
      <c r="U321" s="28">
        <f t="shared" si="91"/>
        <v>0</v>
      </c>
      <c r="V321" s="87">
        <f t="shared" si="89"/>
        <v>100</v>
      </c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>
        <v>0</v>
      </c>
      <c r="AJ321" s="29">
        <f t="shared" si="96"/>
        <v>0</v>
      </c>
      <c r="AK321" s="136">
        <f t="shared" si="92"/>
        <v>60000000</v>
      </c>
      <c r="AL321" s="29">
        <f t="shared" si="97"/>
        <v>100</v>
      </c>
      <c r="AM321" s="26"/>
    </row>
    <row r="322" spans="1:39" ht="39.75" customHeight="1" x14ac:dyDescent="0.25">
      <c r="A322" s="26"/>
      <c r="B322" s="97"/>
      <c r="C322" s="97"/>
      <c r="D322" s="97"/>
      <c r="E322" s="97"/>
      <c r="F322" s="97"/>
      <c r="G322" s="97"/>
      <c r="H322" s="97"/>
      <c r="I322" s="98"/>
      <c r="J322" s="97" t="s">
        <v>315</v>
      </c>
      <c r="K322" s="27"/>
      <c r="L322" s="31"/>
      <c r="M322" s="563" t="s">
        <v>271</v>
      </c>
      <c r="N322" s="564"/>
      <c r="O322" s="198"/>
      <c r="P322" s="190"/>
      <c r="Q322" s="28">
        <v>2480000</v>
      </c>
      <c r="R322" s="29">
        <f t="shared" si="99"/>
        <v>0.69592214876065517</v>
      </c>
      <c r="S322" s="29">
        <v>100</v>
      </c>
      <c r="T322" s="28">
        <f t="shared" si="86"/>
        <v>0</v>
      </c>
      <c r="U322" s="28">
        <f t="shared" si="91"/>
        <v>0</v>
      </c>
      <c r="V322" s="87">
        <f t="shared" si="89"/>
        <v>100</v>
      </c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>
        <v>0</v>
      </c>
      <c r="AJ322" s="29">
        <f t="shared" si="96"/>
        <v>0</v>
      </c>
      <c r="AK322" s="136">
        <f t="shared" si="92"/>
        <v>2480000</v>
      </c>
      <c r="AL322" s="29">
        <f t="shared" si="97"/>
        <v>100</v>
      </c>
      <c r="AM322" s="26"/>
    </row>
    <row r="323" spans="1:39" ht="29.25" customHeight="1" x14ac:dyDescent="0.25">
      <c r="A323" s="26"/>
      <c r="B323" s="97"/>
      <c r="C323" s="97"/>
      <c r="D323" s="97"/>
      <c r="E323" s="97"/>
      <c r="F323" s="97"/>
      <c r="G323" s="97"/>
      <c r="H323" s="97"/>
      <c r="I323" s="98"/>
      <c r="J323" s="97" t="s">
        <v>316</v>
      </c>
      <c r="K323" s="27"/>
      <c r="L323" s="31"/>
      <c r="M323" s="563" t="s">
        <v>317</v>
      </c>
      <c r="N323" s="564"/>
      <c r="O323" s="198"/>
      <c r="P323" s="190"/>
      <c r="Q323" s="28">
        <v>1200000</v>
      </c>
      <c r="R323" s="29">
        <f t="shared" si="99"/>
        <v>0.33673652359386547</v>
      </c>
      <c r="S323" s="29">
        <v>100</v>
      </c>
      <c r="T323" s="28">
        <f t="shared" si="86"/>
        <v>0</v>
      </c>
      <c r="U323" s="28">
        <f t="shared" si="91"/>
        <v>0</v>
      </c>
      <c r="V323" s="87">
        <f t="shared" si="89"/>
        <v>100</v>
      </c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>
        <v>0</v>
      </c>
      <c r="AJ323" s="29">
        <f t="shared" si="96"/>
        <v>0</v>
      </c>
      <c r="AK323" s="136">
        <f t="shared" si="92"/>
        <v>1200000</v>
      </c>
      <c r="AL323" s="29">
        <f t="shared" si="97"/>
        <v>100</v>
      </c>
      <c r="AM323" s="26"/>
    </row>
    <row r="324" spans="1:39" ht="29.25" customHeight="1" x14ac:dyDescent="0.25">
      <c r="A324" s="26"/>
      <c r="B324" s="97"/>
      <c r="C324" s="97"/>
      <c r="D324" s="97"/>
      <c r="E324" s="97"/>
      <c r="F324" s="97"/>
      <c r="G324" s="97"/>
      <c r="H324" s="97"/>
      <c r="I324" s="98"/>
      <c r="J324" s="97" t="s">
        <v>318</v>
      </c>
      <c r="K324" s="27"/>
      <c r="L324" s="31"/>
      <c r="M324" s="563" t="s">
        <v>319</v>
      </c>
      <c r="N324" s="564"/>
      <c r="O324" s="198"/>
      <c r="P324" s="190"/>
      <c r="Q324" s="28">
        <v>91000000</v>
      </c>
      <c r="R324" s="29">
        <f t="shared" si="99"/>
        <v>25.535853039201463</v>
      </c>
      <c r="S324" s="29">
        <v>100</v>
      </c>
      <c r="T324" s="28">
        <f t="shared" si="86"/>
        <v>0</v>
      </c>
      <c r="U324" s="28">
        <f t="shared" si="91"/>
        <v>0</v>
      </c>
      <c r="V324" s="87">
        <f t="shared" si="89"/>
        <v>100</v>
      </c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>
        <v>0</v>
      </c>
      <c r="AJ324" s="29">
        <f t="shared" si="96"/>
        <v>0</v>
      </c>
      <c r="AK324" s="136">
        <f t="shared" si="92"/>
        <v>91000000</v>
      </c>
      <c r="AL324" s="29">
        <f t="shared" si="97"/>
        <v>100</v>
      </c>
      <c r="AM324" s="26"/>
    </row>
    <row r="325" spans="1:39" ht="29.25" customHeight="1" x14ac:dyDescent="0.25">
      <c r="A325" s="26"/>
      <c r="B325" s="97"/>
      <c r="C325" s="97"/>
      <c r="D325" s="97"/>
      <c r="E325" s="97"/>
      <c r="F325" s="97"/>
      <c r="G325" s="97"/>
      <c r="H325" s="97"/>
      <c r="I325" s="98"/>
      <c r="J325" s="97" t="s">
        <v>280</v>
      </c>
      <c r="K325" s="27"/>
      <c r="L325" s="31"/>
      <c r="M325" s="563" t="s">
        <v>281</v>
      </c>
      <c r="N325" s="564"/>
      <c r="O325" s="198"/>
      <c r="P325" s="190"/>
      <c r="Q325" s="28">
        <v>1728000</v>
      </c>
      <c r="R325" s="29">
        <f t="shared" si="99"/>
        <v>0.48490059397516627</v>
      </c>
      <c r="S325" s="29">
        <v>100</v>
      </c>
      <c r="T325" s="28">
        <f t="shared" si="86"/>
        <v>0</v>
      </c>
      <c r="U325" s="28">
        <f t="shared" si="91"/>
        <v>0</v>
      </c>
      <c r="V325" s="87">
        <f t="shared" si="89"/>
        <v>100</v>
      </c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>
        <v>0</v>
      </c>
      <c r="AJ325" s="29">
        <f t="shared" si="96"/>
        <v>0</v>
      </c>
      <c r="AK325" s="136">
        <f t="shared" si="92"/>
        <v>1728000</v>
      </c>
      <c r="AL325" s="29">
        <f t="shared" si="97"/>
        <v>100</v>
      </c>
      <c r="AM325" s="26"/>
    </row>
    <row r="326" spans="1:39" ht="29.25" customHeight="1" x14ac:dyDescent="0.25">
      <c r="A326" s="26"/>
      <c r="B326" s="97"/>
      <c r="C326" s="97"/>
      <c r="D326" s="97"/>
      <c r="E326" s="97"/>
      <c r="F326" s="97"/>
      <c r="G326" s="97"/>
      <c r="H326" s="97"/>
      <c r="I326" s="98"/>
      <c r="J326" s="97" t="s">
        <v>284</v>
      </c>
      <c r="K326" s="27"/>
      <c r="L326" s="31"/>
      <c r="M326" s="563" t="s">
        <v>285</v>
      </c>
      <c r="N326" s="564"/>
      <c r="O326" s="198"/>
      <c r="P326" s="190"/>
      <c r="Q326" s="28">
        <v>1650000</v>
      </c>
      <c r="R326" s="29">
        <f t="shared" si="99"/>
        <v>0.46301271994156501</v>
      </c>
      <c r="S326" s="29">
        <v>100</v>
      </c>
      <c r="T326" s="28">
        <f t="shared" si="86"/>
        <v>0</v>
      </c>
      <c r="U326" s="28">
        <f t="shared" si="91"/>
        <v>0</v>
      </c>
      <c r="V326" s="87">
        <f t="shared" si="89"/>
        <v>100</v>
      </c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>
        <v>0</v>
      </c>
      <c r="AJ326" s="29">
        <f t="shared" si="96"/>
        <v>0</v>
      </c>
      <c r="AK326" s="136">
        <f t="shared" si="92"/>
        <v>1650000</v>
      </c>
      <c r="AL326" s="29">
        <f t="shared" si="97"/>
        <v>100</v>
      </c>
      <c r="AM326" s="26"/>
    </row>
    <row r="327" spans="1:39" ht="29.25" customHeight="1" x14ac:dyDescent="0.25">
      <c r="A327" s="26"/>
      <c r="B327" s="97"/>
      <c r="C327" s="97"/>
      <c r="D327" s="97"/>
      <c r="E327" s="97"/>
      <c r="F327" s="97"/>
      <c r="G327" s="97"/>
      <c r="H327" s="97"/>
      <c r="I327" s="98"/>
      <c r="J327" s="97" t="s">
        <v>282</v>
      </c>
      <c r="K327" s="27"/>
      <c r="L327" s="31"/>
      <c r="M327" s="563" t="s">
        <v>283</v>
      </c>
      <c r="N327" s="564"/>
      <c r="O327" s="198"/>
      <c r="P327" s="190"/>
      <c r="Q327" s="28">
        <v>163203700</v>
      </c>
      <c r="R327" s="29">
        <f t="shared" si="99"/>
        <v>45.797205479713448</v>
      </c>
      <c r="S327" s="29">
        <v>100</v>
      </c>
      <c r="T327" s="28">
        <f t="shared" si="86"/>
        <v>0</v>
      </c>
      <c r="U327" s="28">
        <f t="shared" si="91"/>
        <v>0</v>
      </c>
      <c r="V327" s="87">
        <f t="shared" si="89"/>
        <v>100</v>
      </c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>
        <v>0</v>
      </c>
      <c r="AJ327" s="29">
        <f t="shared" si="96"/>
        <v>0</v>
      </c>
      <c r="AK327" s="136">
        <f t="shared" si="92"/>
        <v>163203700</v>
      </c>
      <c r="AL327" s="29">
        <f t="shared" si="97"/>
        <v>100</v>
      </c>
      <c r="AM327" s="26"/>
    </row>
    <row r="328" spans="1:39" ht="29.25" customHeight="1" x14ac:dyDescent="0.25">
      <c r="A328" s="26"/>
      <c r="B328" s="97"/>
      <c r="C328" s="97"/>
      <c r="D328" s="97"/>
      <c r="E328" s="97"/>
      <c r="F328" s="97"/>
      <c r="G328" s="97"/>
      <c r="H328" s="97"/>
      <c r="I328" s="98"/>
      <c r="J328" s="97" t="s">
        <v>320</v>
      </c>
      <c r="K328" s="27"/>
      <c r="L328" s="31"/>
      <c r="M328" s="563" t="s">
        <v>321</v>
      </c>
      <c r="N328" s="564"/>
      <c r="O328" s="198"/>
      <c r="P328" s="190"/>
      <c r="Q328" s="28">
        <v>16200000</v>
      </c>
      <c r="R328" s="29">
        <f t="shared" si="99"/>
        <v>4.5459430685171842</v>
      </c>
      <c r="S328" s="29">
        <v>100</v>
      </c>
      <c r="T328" s="28">
        <f t="shared" si="86"/>
        <v>0</v>
      </c>
      <c r="U328" s="28">
        <f t="shared" si="91"/>
        <v>0</v>
      </c>
      <c r="V328" s="87">
        <f t="shared" si="89"/>
        <v>100</v>
      </c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>
        <v>0</v>
      </c>
      <c r="AJ328" s="29">
        <f t="shared" si="96"/>
        <v>0</v>
      </c>
      <c r="AK328" s="136">
        <f t="shared" si="92"/>
        <v>16200000</v>
      </c>
      <c r="AL328" s="29">
        <f t="shared" si="97"/>
        <v>100</v>
      </c>
      <c r="AM328" s="26"/>
    </row>
    <row r="329" spans="1:39" ht="29.25" customHeight="1" x14ac:dyDescent="0.25">
      <c r="A329" s="26"/>
      <c r="B329" s="97"/>
      <c r="C329" s="97"/>
      <c r="D329" s="97"/>
      <c r="E329" s="97"/>
      <c r="F329" s="97"/>
      <c r="G329" s="97"/>
      <c r="H329" s="97"/>
      <c r="I329" s="98"/>
      <c r="J329" s="97" t="s">
        <v>309</v>
      </c>
      <c r="K329" s="27"/>
      <c r="L329" s="31"/>
      <c r="M329" s="563" t="s">
        <v>310</v>
      </c>
      <c r="N329" s="564"/>
      <c r="O329" s="198"/>
      <c r="P329" s="190"/>
      <c r="Q329" s="28">
        <v>8000000</v>
      </c>
      <c r="R329" s="29">
        <f t="shared" si="99"/>
        <v>2.2449101572924364</v>
      </c>
      <c r="S329" s="29">
        <v>100</v>
      </c>
      <c r="T329" s="28">
        <f t="shared" si="86"/>
        <v>0</v>
      </c>
      <c r="U329" s="28">
        <f t="shared" si="91"/>
        <v>0</v>
      </c>
      <c r="V329" s="87">
        <f t="shared" si="89"/>
        <v>100</v>
      </c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>
        <v>0</v>
      </c>
      <c r="AJ329" s="29">
        <f t="shared" si="96"/>
        <v>0</v>
      </c>
      <c r="AK329" s="136">
        <f t="shared" si="92"/>
        <v>8000000</v>
      </c>
      <c r="AL329" s="29">
        <f t="shared" si="97"/>
        <v>100</v>
      </c>
      <c r="AM329" s="26"/>
    </row>
    <row r="330" spans="1:39" ht="29.25" customHeight="1" x14ac:dyDescent="0.25">
      <c r="A330" s="26"/>
      <c r="B330" s="97"/>
      <c r="C330" s="97"/>
      <c r="D330" s="97"/>
      <c r="E330" s="97"/>
      <c r="F330" s="97"/>
      <c r="G330" s="97"/>
      <c r="H330" s="97"/>
      <c r="I330" s="98"/>
      <c r="J330" s="97" t="s">
        <v>407</v>
      </c>
      <c r="K330" s="27"/>
      <c r="L330" s="31"/>
      <c r="M330" s="563" t="s">
        <v>414</v>
      </c>
      <c r="N330" s="564"/>
      <c r="O330" s="198"/>
      <c r="P330" s="190"/>
      <c r="Q330" s="28">
        <v>5400000</v>
      </c>
      <c r="R330" s="29">
        <f t="shared" si="99"/>
        <v>1.5153143561723945</v>
      </c>
      <c r="S330" s="29"/>
      <c r="T330" s="28">
        <f t="shared" si="86"/>
        <v>0</v>
      </c>
      <c r="U330" s="28">
        <f t="shared" si="91"/>
        <v>0</v>
      </c>
      <c r="V330" s="87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>
        <v>0</v>
      </c>
      <c r="AJ330" s="29">
        <f t="shared" si="96"/>
        <v>0</v>
      </c>
      <c r="AK330" s="136">
        <f t="shared" si="92"/>
        <v>5400000</v>
      </c>
      <c r="AL330" s="29">
        <f t="shared" si="97"/>
        <v>100</v>
      </c>
      <c r="AM330" s="26"/>
    </row>
    <row r="331" spans="1:39" s="41" customFormat="1" ht="45" customHeight="1" x14ac:dyDescent="0.25">
      <c r="A331" s="21">
        <f>A318+1</f>
        <v>42</v>
      </c>
      <c r="B331" s="543" t="s">
        <v>147</v>
      </c>
      <c r="C331" s="543"/>
      <c r="D331" s="543"/>
      <c r="E331" s="543"/>
      <c r="F331" s="543"/>
      <c r="G331" s="543"/>
      <c r="H331" s="543"/>
      <c r="I331" s="544"/>
      <c r="J331" s="122" t="s">
        <v>490</v>
      </c>
      <c r="K331" s="22"/>
      <c r="L331" s="72"/>
      <c r="M331" s="566" t="s">
        <v>48</v>
      </c>
      <c r="N331" s="566"/>
      <c r="O331" s="197">
        <v>606500000</v>
      </c>
      <c r="P331" s="189">
        <f>O331</f>
        <v>606500000</v>
      </c>
      <c r="Q331" s="23">
        <f>SUM(Q332:Q336)</f>
        <v>343330000</v>
      </c>
      <c r="R331" s="24">
        <f>Q331/Q$216*100</f>
        <v>2.1879025426350269</v>
      </c>
      <c r="S331" s="24">
        <v>100</v>
      </c>
      <c r="T331" s="23">
        <f t="shared" si="86"/>
        <v>0</v>
      </c>
      <c r="U331" s="23">
        <f t="shared" si="91"/>
        <v>0</v>
      </c>
      <c r="V331" s="90">
        <f t="shared" si="89"/>
        <v>100</v>
      </c>
      <c r="W331" s="23"/>
      <c r="X331" s="23" t="e">
        <f>#REF!</f>
        <v>#REF!</v>
      </c>
      <c r="Y331" s="23" t="e">
        <f>#REF!</f>
        <v>#REF!</v>
      </c>
      <c r="Z331" s="23" t="e">
        <f>#REF!</f>
        <v>#REF!</v>
      </c>
      <c r="AA331" s="23" t="e">
        <f>#REF!</f>
        <v>#REF!</v>
      </c>
      <c r="AB331" s="23">
        <v>143751020</v>
      </c>
      <c r="AC331" s="23" t="e">
        <f>#REF!</f>
        <v>#REF!</v>
      </c>
      <c r="AD331" s="23" t="e">
        <f>#REF!</f>
        <v>#REF!</v>
      </c>
      <c r="AE331" s="23" t="e">
        <f>#REF!</f>
        <v>#REF!</v>
      </c>
      <c r="AF331" s="23" t="e">
        <f>[1]April!N64</f>
        <v>#REF!</v>
      </c>
      <c r="AG331" s="23" t="e">
        <f>[2]april!N64</f>
        <v>#REF!</v>
      </c>
      <c r="AH331" s="23">
        <f>'[3]DES SKPD'!$N64</f>
        <v>571546340</v>
      </c>
      <c r="AI331" s="23">
        <f>SUM(AI332:AI336)</f>
        <v>0</v>
      </c>
      <c r="AJ331" s="24">
        <f t="shared" si="96"/>
        <v>0</v>
      </c>
      <c r="AK331" s="134">
        <f t="shared" si="92"/>
        <v>343330000</v>
      </c>
      <c r="AL331" s="24">
        <f t="shared" si="97"/>
        <v>100</v>
      </c>
      <c r="AM331" s="21"/>
    </row>
    <row r="332" spans="1:39" ht="28.5" customHeight="1" x14ac:dyDescent="0.25">
      <c r="A332" s="26"/>
      <c r="B332" s="97"/>
      <c r="C332" s="97"/>
      <c r="D332" s="97"/>
      <c r="E332" s="97"/>
      <c r="F332" s="97"/>
      <c r="G332" s="97"/>
      <c r="H332" s="97"/>
      <c r="I332" s="98"/>
      <c r="J332" s="97" t="s">
        <v>257</v>
      </c>
      <c r="K332" s="27"/>
      <c r="L332" s="31"/>
      <c r="M332" s="563" t="s">
        <v>258</v>
      </c>
      <c r="N332" s="564"/>
      <c r="O332" s="198"/>
      <c r="P332" s="190"/>
      <c r="Q332" s="28">
        <v>1120000</v>
      </c>
      <c r="R332" s="29">
        <f>Q332/Q$331*100</f>
        <v>0.32621675938601347</v>
      </c>
      <c r="S332" s="29">
        <v>100</v>
      </c>
      <c r="T332" s="28">
        <f t="shared" si="86"/>
        <v>0</v>
      </c>
      <c r="U332" s="28">
        <f t="shared" si="91"/>
        <v>0</v>
      </c>
      <c r="V332" s="87">
        <f t="shared" si="89"/>
        <v>100</v>
      </c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>
        <v>0</v>
      </c>
      <c r="AJ332" s="29">
        <f t="shared" si="96"/>
        <v>0</v>
      </c>
      <c r="AK332" s="136">
        <f t="shared" si="92"/>
        <v>1120000</v>
      </c>
      <c r="AL332" s="29">
        <f t="shared" si="97"/>
        <v>100</v>
      </c>
      <c r="AM332" s="26"/>
    </row>
    <row r="333" spans="1:39" ht="28.5" customHeight="1" x14ac:dyDescent="0.25">
      <c r="A333" s="26"/>
      <c r="B333" s="97"/>
      <c r="C333" s="97"/>
      <c r="D333" s="97"/>
      <c r="E333" s="97"/>
      <c r="F333" s="97"/>
      <c r="G333" s="97"/>
      <c r="H333" s="97"/>
      <c r="I333" s="98"/>
      <c r="J333" s="97" t="s">
        <v>318</v>
      </c>
      <c r="K333" s="27"/>
      <c r="L333" s="31"/>
      <c r="M333" s="569" t="s">
        <v>319</v>
      </c>
      <c r="N333" s="516"/>
      <c r="O333" s="198"/>
      <c r="P333" s="190"/>
      <c r="Q333" s="28">
        <v>226200000</v>
      </c>
      <c r="R333" s="29">
        <f>Q333/Q$331*100</f>
        <v>65.884134797425219</v>
      </c>
      <c r="S333" s="29">
        <v>100</v>
      </c>
      <c r="T333" s="28">
        <f t="shared" ref="T333:T572" si="100">AJ333</f>
        <v>0</v>
      </c>
      <c r="U333" s="28">
        <f t="shared" si="91"/>
        <v>0</v>
      </c>
      <c r="V333" s="87">
        <f t="shared" si="89"/>
        <v>100</v>
      </c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>
        <v>0</v>
      </c>
      <c r="AJ333" s="29">
        <f t="shared" si="96"/>
        <v>0</v>
      </c>
      <c r="AK333" s="136">
        <f t="shared" si="92"/>
        <v>226200000</v>
      </c>
      <c r="AL333" s="29">
        <f t="shared" si="97"/>
        <v>100</v>
      </c>
      <c r="AM333" s="26"/>
    </row>
    <row r="334" spans="1:39" ht="28.5" customHeight="1" x14ac:dyDescent="0.25">
      <c r="A334" s="26"/>
      <c r="B334" s="97"/>
      <c r="C334" s="97"/>
      <c r="D334" s="97"/>
      <c r="E334" s="97"/>
      <c r="F334" s="97"/>
      <c r="G334" s="97"/>
      <c r="H334" s="97"/>
      <c r="I334" s="98"/>
      <c r="J334" s="97" t="s">
        <v>282</v>
      </c>
      <c r="K334" s="27"/>
      <c r="L334" s="31"/>
      <c r="M334" s="563" t="s">
        <v>283</v>
      </c>
      <c r="N334" s="564"/>
      <c r="O334" s="198"/>
      <c r="P334" s="190"/>
      <c r="Q334" s="28">
        <v>26010000</v>
      </c>
      <c r="R334" s="29">
        <f>Q334/Q$331*100</f>
        <v>7.5758017068126877</v>
      </c>
      <c r="S334" s="29">
        <v>100</v>
      </c>
      <c r="T334" s="28">
        <f t="shared" si="100"/>
        <v>0</v>
      </c>
      <c r="U334" s="28">
        <f t="shared" si="91"/>
        <v>0</v>
      </c>
      <c r="V334" s="87">
        <f t="shared" si="89"/>
        <v>100</v>
      </c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>
        <v>0</v>
      </c>
      <c r="AJ334" s="29">
        <f t="shared" si="96"/>
        <v>0</v>
      </c>
      <c r="AK334" s="136">
        <f t="shared" si="92"/>
        <v>26010000</v>
      </c>
      <c r="AL334" s="29">
        <f t="shared" si="97"/>
        <v>100</v>
      </c>
      <c r="AM334" s="26"/>
    </row>
    <row r="335" spans="1:39" ht="28.5" customHeight="1" x14ac:dyDescent="0.25">
      <c r="A335" s="26"/>
      <c r="B335" s="97"/>
      <c r="C335" s="97"/>
      <c r="D335" s="97"/>
      <c r="E335" s="97"/>
      <c r="F335" s="97"/>
      <c r="G335" s="97"/>
      <c r="H335" s="97"/>
      <c r="I335" s="98"/>
      <c r="J335" s="97" t="s">
        <v>320</v>
      </c>
      <c r="K335" s="27"/>
      <c r="L335" s="31"/>
      <c r="M335" s="563" t="s">
        <v>321</v>
      </c>
      <c r="N335" s="564"/>
      <c r="O335" s="198"/>
      <c r="P335" s="190"/>
      <c r="Q335" s="28">
        <v>86000000</v>
      </c>
      <c r="R335" s="29">
        <f>Q335/Q$331*100</f>
        <v>25.048786881426032</v>
      </c>
      <c r="S335" s="29">
        <v>100</v>
      </c>
      <c r="T335" s="28">
        <f t="shared" si="100"/>
        <v>0</v>
      </c>
      <c r="U335" s="28">
        <f t="shared" si="91"/>
        <v>0</v>
      </c>
      <c r="V335" s="87">
        <f t="shared" si="89"/>
        <v>100</v>
      </c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>
        <v>0</v>
      </c>
      <c r="AJ335" s="29">
        <f t="shared" si="96"/>
        <v>0</v>
      </c>
      <c r="AK335" s="136">
        <f t="shared" si="92"/>
        <v>86000000</v>
      </c>
      <c r="AL335" s="29">
        <f t="shared" si="97"/>
        <v>100</v>
      </c>
      <c r="AM335" s="26"/>
    </row>
    <row r="336" spans="1:39" ht="28.5" customHeight="1" x14ac:dyDescent="0.25">
      <c r="A336" s="26"/>
      <c r="B336" s="97"/>
      <c r="C336" s="97"/>
      <c r="D336" s="97"/>
      <c r="E336" s="97"/>
      <c r="F336" s="97"/>
      <c r="G336" s="97"/>
      <c r="H336" s="97"/>
      <c r="I336" s="98"/>
      <c r="J336" s="97" t="s">
        <v>309</v>
      </c>
      <c r="K336" s="27"/>
      <c r="L336" s="31"/>
      <c r="M336" s="563" t="s">
        <v>310</v>
      </c>
      <c r="N336" s="564"/>
      <c r="O336" s="198"/>
      <c r="P336" s="190"/>
      <c r="Q336" s="28">
        <v>4000000</v>
      </c>
      <c r="R336" s="29">
        <f>Q336/Q$331*100</f>
        <v>1.1650598549500482</v>
      </c>
      <c r="S336" s="29">
        <v>100</v>
      </c>
      <c r="T336" s="28">
        <f t="shared" si="100"/>
        <v>0</v>
      </c>
      <c r="U336" s="28">
        <f t="shared" si="91"/>
        <v>0</v>
      </c>
      <c r="V336" s="87">
        <f t="shared" si="89"/>
        <v>100</v>
      </c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>
        <v>0</v>
      </c>
      <c r="AJ336" s="29">
        <f t="shared" si="96"/>
        <v>0</v>
      </c>
      <c r="AK336" s="136">
        <f t="shared" si="92"/>
        <v>4000000</v>
      </c>
      <c r="AL336" s="29">
        <f t="shared" si="97"/>
        <v>100</v>
      </c>
      <c r="AM336" s="26"/>
    </row>
    <row r="337" spans="1:39" ht="28.5" customHeight="1" x14ac:dyDescent="0.25">
      <c r="A337" s="21">
        <v>43</v>
      </c>
      <c r="B337" s="97"/>
      <c r="C337" s="97"/>
      <c r="D337" s="97"/>
      <c r="E337" s="97"/>
      <c r="F337" s="97"/>
      <c r="G337" s="97"/>
      <c r="H337" s="97"/>
      <c r="I337" s="98"/>
      <c r="J337" s="122" t="s">
        <v>492</v>
      </c>
      <c r="K337" s="22"/>
      <c r="L337" s="72"/>
      <c r="M337" s="568" t="s">
        <v>493</v>
      </c>
      <c r="N337" s="568"/>
      <c r="O337" s="197">
        <v>558720000</v>
      </c>
      <c r="P337" s="189">
        <f>O337</f>
        <v>558720000</v>
      </c>
      <c r="Q337" s="23">
        <f>SUM(Q338:Q348)</f>
        <v>988400000</v>
      </c>
      <c r="R337" s="24">
        <f>Q337/Q$216*100</f>
        <v>6.2986714622679658</v>
      </c>
      <c r="S337" s="24">
        <v>100</v>
      </c>
      <c r="T337" s="23">
        <f t="shared" si="100"/>
        <v>0</v>
      </c>
      <c r="U337" s="23">
        <f t="shared" si="91"/>
        <v>0</v>
      </c>
      <c r="V337" s="90">
        <f t="shared" si="89"/>
        <v>100</v>
      </c>
      <c r="W337" s="23"/>
      <c r="X337" s="23" t="e">
        <f>#REF!</f>
        <v>#REF!</v>
      </c>
      <c r="Y337" s="23" t="e">
        <f>#REF!</f>
        <v>#REF!</v>
      </c>
      <c r="Z337" s="23" t="e">
        <f>#REF!</f>
        <v>#REF!</v>
      </c>
      <c r="AA337" s="23" t="e">
        <f>#REF!</f>
        <v>#REF!</v>
      </c>
      <c r="AB337" s="23">
        <v>192786500</v>
      </c>
      <c r="AC337" s="23" t="e">
        <f>#REF!</f>
        <v>#REF!</v>
      </c>
      <c r="AD337" s="23" t="e">
        <f>#REF!</f>
        <v>#REF!</v>
      </c>
      <c r="AE337" s="23" t="e">
        <f>#REF!</f>
        <v>#REF!</v>
      </c>
      <c r="AF337" s="23" t="e">
        <f>[1]April!N54</f>
        <v>#REF!</v>
      </c>
      <c r="AG337" s="23" t="e">
        <f>[2]april!N54</f>
        <v>#REF!</v>
      </c>
      <c r="AH337" s="23">
        <f>'[3]DES SKPD'!$N54</f>
        <v>508172500</v>
      </c>
      <c r="AI337" s="23">
        <f>SUM(AI338:AI348)</f>
        <v>0</v>
      </c>
      <c r="AJ337" s="24">
        <f t="shared" si="96"/>
        <v>0</v>
      </c>
      <c r="AK337" s="134">
        <f t="shared" si="92"/>
        <v>988400000</v>
      </c>
      <c r="AL337" s="24">
        <f t="shared" si="97"/>
        <v>100</v>
      </c>
      <c r="AM337" s="26"/>
    </row>
    <row r="338" spans="1:39" ht="28.5" customHeight="1" x14ac:dyDescent="0.25">
      <c r="A338" s="26"/>
      <c r="B338" s="97"/>
      <c r="C338" s="97"/>
      <c r="D338" s="97"/>
      <c r="E338" s="97"/>
      <c r="F338" s="97"/>
      <c r="G338" s="97"/>
      <c r="H338" s="97"/>
      <c r="I338" s="98"/>
      <c r="J338" s="97" t="s">
        <v>257</v>
      </c>
      <c r="K338" s="27"/>
      <c r="L338" s="31"/>
      <c r="M338" s="563" t="s">
        <v>258</v>
      </c>
      <c r="N338" s="564"/>
      <c r="O338" s="198"/>
      <c r="P338" s="190"/>
      <c r="Q338" s="28">
        <v>5100000</v>
      </c>
      <c r="R338" s="29">
        <f t="shared" ref="R338:R348" si="101">Q338/Q$337*100</f>
        <v>0.51598543099959526</v>
      </c>
      <c r="S338" s="29">
        <v>100</v>
      </c>
      <c r="T338" s="28">
        <f t="shared" si="100"/>
        <v>0</v>
      </c>
      <c r="U338" s="28">
        <f t="shared" si="91"/>
        <v>0</v>
      </c>
      <c r="V338" s="87">
        <f t="shared" si="89"/>
        <v>100</v>
      </c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>
        <v>0</v>
      </c>
      <c r="AJ338" s="29">
        <f t="shared" si="96"/>
        <v>0</v>
      </c>
      <c r="AK338" s="136">
        <f t="shared" si="92"/>
        <v>5100000</v>
      </c>
      <c r="AL338" s="29">
        <f t="shared" si="97"/>
        <v>100</v>
      </c>
      <c r="AM338" s="26"/>
    </row>
    <row r="339" spans="1:39" ht="28.5" customHeight="1" x14ac:dyDescent="0.25">
      <c r="A339" s="26"/>
      <c r="B339" s="97"/>
      <c r="C339" s="97"/>
      <c r="D339" s="97"/>
      <c r="E339" s="97"/>
      <c r="F339" s="97"/>
      <c r="G339" s="97"/>
      <c r="H339" s="97"/>
      <c r="I339" s="98"/>
      <c r="J339" s="97" t="s">
        <v>326</v>
      </c>
      <c r="K339" s="27"/>
      <c r="L339" s="31"/>
      <c r="M339" s="563" t="s">
        <v>327</v>
      </c>
      <c r="N339" s="564"/>
      <c r="O339" s="198"/>
      <c r="P339" s="190"/>
      <c r="Q339" s="28">
        <v>73750000</v>
      </c>
      <c r="R339" s="29">
        <f t="shared" si="101"/>
        <v>7.4615540267098339</v>
      </c>
      <c r="S339" s="29">
        <v>100</v>
      </c>
      <c r="T339" s="28">
        <f t="shared" si="100"/>
        <v>0</v>
      </c>
      <c r="U339" s="28">
        <f t="shared" si="91"/>
        <v>0</v>
      </c>
      <c r="V339" s="87">
        <f t="shared" si="89"/>
        <v>100</v>
      </c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>
        <v>0</v>
      </c>
      <c r="AJ339" s="29">
        <f t="shared" si="96"/>
        <v>0</v>
      </c>
      <c r="AK339" s="136">
        <f t="shared" si="92"/>
        <v>73750000</v>
      </c>
      <c r="AL339" s="29">
        <f t="shared" si="97"/>
        <v>100</v>
      </c>
      <c r="AM339" s="26"/>
    </row>
    <row r="340" spans="1:39" ht="28.5" customHeight="1" x14ac:dyDescent="0.25">
      <c r="A340" s="26"/>
      <c r="B340" s="97"/>
      <c r="C340" s="97"/>
      <c r="D340" s="97"/>
      <c r="E340" s="97"/>
      <c r="F340" s="97"/>
      <c r="G340" s="97"/>
      <c r="H340" s="97"/>
      <c r="I340" s="98"/>
      <c r="J340" s="97" t="s">
        <v>290</v>
      </c>
      <c r="K340" s="27"/>
      <c r="L340" s="31"/>
      <c r="M340" s="563" t="s">
        <v>494</v>
      </c>
      <c r="N340" s="564"/>
      <c r="O340" s="198"/>
      <c r="P340" s="190"/>
      <c r="Q340" s="28">
        <v>10000000</v>
      </c>
      <c r="R340" s="29">
        <f t="shared" si="101"/>
        <v>1.0117361392148927</v>
      </c>
      <c r="S340" s="29">
        <v>100</v>
      </c>
      <c r="T340" s="28">
        <f t="shared" si="100"/>
        <v>0</v>
      </c>
      <c r="U340" s="28">
        <f t="shared" si="91"/>
        <v>0</v>
      </c>
      <c r="V340" s="87">
        <f t="shared" si="89"/>
        <v>100</v>
      </c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>
        <v>0</v>
      </c>
      <c r="AJ340" s="29">
        <f t="shared" si="96"/>
        <v>0</v>
      </c>
      <c r="AK340" s="136">
        <f t="shared" si="92"/>
        <v>10000000</v>
      </c>
      <c r="AL340" s="29">
        <f t="shared" si="97"/>
        <v>100</v>
      </c>
      <c r="AM340" s="26"/>
    </row>
    <row r="341" spans="1:39" ht="28.5" customHeight="1" x14ac:dyDescent="0.25">
      <c r="A341" s="26"/>
      <c r="B341" s="97"/>
      <c r="C341" s="97"/>
      <c r="D341" s="97"/>
      <c r="E341" s="97"/>
      <c r="F341" s="97"/>
      <c r="G341" s="97"/>
      <c r="H341" s="97"/>
      <c r="I341" s="98"/>
      <c r="J341" s="97" t="s">
        <v>315</v>
      </c>
      <c r="K341" s="27"/>
      <c r="L341" s="31"/>
      <c r="M341" s="563" t="s">
        <v>271</v>
      </c>
      <c r="N341" s="564"/>
      <c r="O341" s="198"/>
      <c r="P341" s="190"/>
      <c r="Q341" s="28">
        <v>5300000</v>
      </c>
      <c r="R341" s="29">
        <f t="shared" si="101"/>
        <v>0.53622015378389321</v>
      </c>
      <c r="S341" s="29">
        <v>100</v>
      </c>
      <c r="T341" s="28">
        <f t="shared" si="100"/>
        <v>0</v>
      </c>
      <c r="U341" s="28">
        <f t="shared" si="91"/>
        <v>0</v>
      </c>
      <c r="V341" s="87">
        <f t="shared" si="89"/>
        <v>100</v>
      </c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>
        <v>0</v>
      </c>
      <c r="AJ341" s="29">
        <f t="shared" si="96"/>
        <v>0</v>
      </c>
      <c r="AK341" s="136">
        <f t="shared" si="92"/>
        <v>5300000</v>
      </c>
      <c r="AL341" s="29">
        <f t="shared" si="97"/>
        <v>100</v>
      </c>
      <c r="AM341" s="26"/>
    </row>
    <row r="342" spans="1:39" ht="28.5" customHeight="1" x14ac:dyDescent="0.25">
      <c r="A342" s="26"/>
      <c r="B342" s="97"/>
      <c r="C342" s="97"/>
      <c r="D342" s="97"/>
      <c r="E342" s="97"/>
      <c r="F342" s="97"/>
      <c r="G342" s="97"/>
      <c r="H342" s="97"/>
      <c r="I342" s="98"/>
      <c r="J342" s="97" t="s">
        <v>328</v>
      </c>
      <c r="K342" s="27"/>
      <c r="L342" s="31"/>
      <c r="M342" s="563" t="s">
        <v>329</v>
      </c>
      <c r="N342" s="564"/>
      <c r="O342" s="198"/>
      <c r="P342" s="190"/>
      <c r="Q342" s="28">
        <v>125000000</v>
      </c>
      <c r="R342" s="29">
        <f t="shared" si="101"/>
        <v>12.646701740186158</v>
      </c>
      <c r="S342" s="29">
        <v>100</v>
      </c>
      <c r="T342" s="28">
        <f t="shared" si="100"/>
        <v>0</v>
      </c>
      <c r="U342" s="28">
        <f t="shared" si="91"/>
        <v>0</v>
      </c>
      <c r="V342" s="87">
        <f t="shared" si="89"/>
        <v>100</v>
      </c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>
        <v>0</v>
      </c>
      <c r="AJ342" s="29">
        <f t="shared" si="96"/>
        <v>0</v>
      </c>
      <c r="AK342" s="136">
        <f t="shared" si="92"/>
        <v>125000000</v>
      </c>
      <c r="AL342" s="29">
        <f t="shared" si="97"/>
        <v>100</v>
      </c>
      <c r="AM342" s="26"/>
    </row>
    <row r="343" spans="1:39" ht="28.5" customHeight="1" x14ac:dyDescent="0.25">
      <c r="A343" s="26"/>
      <c r="B343" s="97"/>
      <c r="C343" s="97"/>
      <c r="D343" s="97"/>
      <c r="E343" s="97"/>
      <c r="F343" s="97"/>
      <c r="G343" s="97"/>
      <c r="H343" s="97"/>
      <c r="I343" s="98"/>
      <c r="J343" s="128" t="s">
        <v>339</v>
      </c>
      <c r="M343" s="572" t="s">
        <v>340</v>
      </c>
      <c r="N343" s="573"/>
      <c r="O343" s="198"/>
      <c r="P343" s="190"/>
      <c r="Q343" s="28">
        <v>100000000</v>
      </c>
      <c r="R343" s="29">
        <f t="shared" si="101"/>
        <v>10.117361392148927</v>
      </c>
      <c r="S343" s="29">
        <v>100</v>
      </c>
      <c r="T343" s="28">
        <f t="shared" si="100"/>
        <v>0</v>
      </c>
      <c r="U343" s="28">
        <f t="shared" ref="U343:U406" si="102">R343*T343/100</f>
        <v>0</v>
      </c>
      <c r="V343" s="87">
        <f t="shared" si="89"/>
        <v>100</v>
      </c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>
        <v>0</v>
      </c>
      <c r="AJ343" s="29">
        <f t="shared" si="96"/>
        <v>0</v>
      </c>
      <c r="AK343" s="136">
        <f t="shared" si="92"/>
        <v>100000000</v>
      </c>
      <c r="AL343" s="29">
        <f t="shared" si="97"/>
        <v>100</v>
      </c>
      <c r="AM343" s="26"/>
    </row>
    <row r="344" spans="1:39" ht="28.5" customHeight="1" x14ac:dyDescent="0.25">
      <c r="A344" s="26"/>
      <c r="B344" s="97"/>
      <c r="C344" s="97"/>
      <c r="D344" s="97"/>
      <c r="E344" s="97"/>
      <c r="F344" s="97"/>
      <c r="G344" s="97"/>
      <c r="H344" s="97"/>
      <c r="I344" s="98"/>
      <c r="J344" s="97" t="s">
        <v>284</v>
      </c>
      <c r="K344" s="27"/>
      <c r="L344" s="31"/>
      <c r="M344" s="563" t="s">
        <v>285</v>
      </c>
      <c r="N344" s="564"/>
      <c r="O344" s="198"/>
      <c r="P344" s="190"/>
      <c r="Q344" s="28">
        <v>2000000</v>
      </c>
      <c r="R344" s="29">
        <f t="shared" si="101"/>
        <v>0.20234722784297854</v>
      </c>
      <c r="S344" s="29">
        <v>100</v>
      </c>
      <c r="T344" s="28">
        <f t="shared" si="100"/>
        <v>0</v>
      </c>
      <c r="U344" s="28">
        <f t="shared" si="102"/>
        <v>0</v>
      </c>
      <c r="V344" s="87">
        <f t="shared" si="89"/>
        <v>100</v>
      </c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>
        <v>0</v>
      </c>
      <c r="AJ344" s="29">
        <f>AI344/Q344*100</f>
        <v>0</v>
      </c>
      <c r="AK344" s="136">
        <f>Q344-AI344</f>
        <v>2000000</v>
      </c>
      <c r="AL344" s="29">
        <f>AK344/Q344*100</f>
        <v>100</v>
      </c>
      <c r="AM344" s="26"/>
    </row>
    <row r="345" spans="1:39" ht="28.5" customHeight="1" x14ac:dyDescent="0.25">
      <c r="A345" s="26"/>
      <c r="B345" s="97"/>
      <c r="C345" s="97"/>
      <c r="D345" s="97"/>
      <c r="E345" s="97"/>
      <c r="F345" s="97"/>
      <c r="G345" s="97"/>
      <c r="H345" s="97"/>
      <c r="I345" s="98"/>
      <c r="J345" s="97" t="s">
        <v>282</v>
      </c>
      <c r="K345" s="27"/>
      <c r="L345" s="31"/>
      <c r="M345" s="563" t="s">
        <v>283</v>
      </c>
      <c r="N345" s="564"/>
      <c r="O345" s="198"/>
      <c r="P345" s="190"/>
      <c r="Q345" s="28">
        <v>37200000</v>
      </c>
      <c r="R345" s="29">
        <f t="shared" si="101"/>
        <v>3.7636584378794011</v>
      </c>
      <c r="S345" s="29">
        <v>100</v>
      </c>
      <c r="T345" s="28">
        <f t="shared" si="100"/>
        <v>0</v>
      </c>
      <c r="U345" s="28">
        <f t="shared" si="102"/>
        <v>0</v>
      </c>
      <c r="V345" s="87">
        <f t="shared" si="89"/>
        <v>100</v>
      </c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>
        <v>0</v>
      </c>
      <c r="AJ345" s="29">
        <f t="shared" si="96"/>
        <v>0</v>
      </c>
      <c r="AK345" s="136">
        <f t="shared" ref="AK345:AK408" si="103">Q345-AI345</f>
        <v>37200000</v>
      </c>
      <c r="AL345" s="29">
        <f t="shared" si="97"/>
        <v>100</v>
      </c>
      <c r="AM345" s="26"/>
    </row>
    <row r="346" spans="1:39" ht="28.5" customHeight="1" x14ac:dyDescent="0.25">
      <c r="A346" s="26"/>
      <c r="B346" s="97"/>
      <c r="C346" s="97"/>
      <c r="D346" s="97"/>
      <c r="E346" s="97"/>
      <c r="F346" s="97"/>
      <c r="G346" s="97"/>
      <c r="H346" s="97"/>
      <c r="I346" s="98"/>
      <c r="J346" s="97" t="s">
        <v>320</v>
      </c>
      <c r="K346" s="27"/>
      <c r="L346" s="31"/>
      <c r="M346" s="563" t="s">
        <v>321</v>
      </c>
      <c r="N346" s="564"/>
      <c r="O346" s="198"/>
      <c r="P346" s="190"/>
      <c r="Q346" s="28">
        <v>127200000</v>
      </c>
      <c r="R346" s="29">
        <f t="shared" si="101"/>
        <v>12.869283690813434</v>
      </c>
      <c r="S346" s="29">
        <v>100</v>
      </c>
      <c r="T346" s="28">
        <f t="shared" si="100"/>
        <v>0</v>
      </c>
      <c r="U346" s="28">
        <f t="shared" si="102"/>
        <v>0</v>
      </c>
      <c r="V346" s="87">
        <f t="shared" si="89"/>
        <v>100</v>
      </c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>
        <v>0</v>
      </c>
      <c r="AJ346" s="29">
        <f t="shared" si="96"/>
        <v>0</v>
      </c>
      <c r="AK346" s="136">
        <f t="shared" si="103"/>
        <v>127200000</v>
      </c>
      <c r="AL346" s="29">
        <f t="shared" si="97"/>
        <v>100</v>
      </c>
      <c r="AM346" s="26"/>
    </row>
    <row r="347" spans="1:39" ht="28.5" customHeight="1" x14ac:dyDescent="0.25">
      <c r="A347" s="26"/>
      <c r="B347" s="97"/>
      <c r="C347" s="97"/>
      <c r="D347" s="97"/>
      <c r="E347" s="97"/>
      <c r="F347" s="97"/>
      <c r="G347" s="97"/>
      <c r="H347" s="97"/>
      <c r="I347" s="98"/>
      <c r="J347" s="97" t="s">
        <v>309</v>
      </c>
      <c r="K347" s="27"/>
      <c r="L347" s="31"/>
      <c r="M347" s="563" t="s">
        <v>310</v>
      </c>
      <c r="N347" s="564"/>
      <c r="O347" s="198"/>
      <c r="P347" s="190"/>
      <c r="Q347" s="28">
        <v>498950000</v>
      </c>
      <c r="R347" s="29">
        <f t="shared" si="101"/>
        <v>50.480574666127076</v>
      </c>
      <c r="S347" s="29">
        <v>100</v>
      </c>
      <c r="T347" s="28">
        <f t="shared" si="100"/>
        <v>0</v>
      </c>
      <c r="U347" s="28">
        <f t="shared" si="102"/>
        <v>0</v>
      </c>
      <c r="V347" s="87">
        <f t="shared" si="89"/>
        <v>100</v>
      </c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>
        <v>0</v>
      </c>
      <c r="AJ347" s="29">
        <f>AI347/Q347*100</f>
        <v>0</v>
      </c>
      <c r="AK347" s="136">
        <f>Q347-AI347</f>
        <v>498950000</v>
      </c>
      <c r="AL347" s="29">
        <f>AK347/Q347*100</f>
        <v>100</v>
      </c>
      <c r="AM347" s="26"/>
    </row>
    <row r="348" spans="1:39" ht="28.5" customHeight="1" x14ac:dyDescent="0.25">
      <c r="A348" s="26"/>
      <c r="B348" s="97"/>
      <c r="C348" s="97"/>
      <c r="D348" s="97"/>
      <c r="E348" s="97"/>
      <c r="F348" s="97"/>
      <c r="G348" s="97"/>
      <c r="H348" s="97"/>
      <c r="I348" s="98"/>
      <c r="J348" s="128" t="s">
        <v>407</v>
      </c>
      <c r="M348" s="570" t="s">
        <v>414</v>
      </c>
      <c r="N348" s="571"/>
      <c r="O348" s="198"/>
      <c r="P348" s="190"/>
      <c r="Q348" s="28">
        <v>3900000</v>
      </c>
      <c r="R348" s="29">
        <f t="shared" si="101"/>
        <v>0.39457709429380822</v>
      </c>
      <c r="S348" s="29">
        <v>100</v>
      </c>
      <c r="T348" s="28">
        <f t="shared" si="100"/>
        <v>0</v>
      </c>
      <c r="U348" s="28">
        <f t="shared" si="102"/>
        <v>0</v>
      </c>
      <c r="V348" s="87">
        <f t="shared" si="89"/>
        <v>100</v>
      </c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>
        <v>0</v>
      </c>
      <c r="AJ348" s="29">
        <f t="shared" si="96"/>
        <v>0</v>
      </c>
      <c r="AK348" s="136">
        <f t="shared" si="103"/>
        <v>3900000</v>
      </c>
      <c r="AL348" s="29">
        <f t="shared" si="97"/>
        <v>100</v>
      </c>
      <c r="AM348" s="26"/>
    </row>
    <row r="349" spans="1:39" s="41" customFormat="1" ht="29.25" customHeight="1" x14ac:dyDescent="0.25">
      <c r="A349" s="21">
        <f>SUM(A337+1)</f>
        <v>44</v>
      </c>
      <c r="B349" s="543" t="s">
        <v>150</v>
      </c>
      <c r="C349" s="543"/>
      <c r="D349" s="543"/>
      <c r="E349" s="543"/>
      <c r="F349" s="543"/>
      <c r="G349" s="543"/>
      <c r="H349" s="543"/>
      <c r="I349" s="544"/>
      <c r="J349" s="122" t="s">
        <v>491</v>
      </c>
      <c r="K349" s="22"/>
      <c r="L349" s="72"/>
      <c r="M349" s="568" t="s">
        <v>49</v>
      </c>
      <c r="N349" s="568"/>
      <c r="O349" s="197">
        <v>558720000</v>
      </c>
      <c r="P349" s="189">
        <f>O349</f>
        <v>558720000</v>
      </c>
      <c r="Q349" s="23">
        <f>SUM(Q350:Q362)</f>
        <v>442950000</v>
      </c>
      <c r="R349" s="24">
        <f>Q349/Q$216*100</f>
        <v>2.8227403118288099</v>
      </c>
      <c r="S349" s="24">
        <v>100</v>
      </c>
      <c r="T349" s="23">
        <f t="shared" si="100"/>
        <v>0</v>
      </c>
      <c r="U349" s="23">
        <f t="shared" si="102"/>
        <v>0</v>
      </c>
      <c r="V349" s="90">
        <f t="shared" si="89"/>
        <v>100</v>
      </c>
      <c r="W349" s="23"/>
      <c r="X349" s="23" t="e">
        <f>#REF!</f>
        <v>#REF!</v>
      </c>
      <c r="Y349" s="23" t="e">
        <f>#REF!</f>
        <v>#REF!</v>
      </c>
      <c r="Z349" s="23" t="e">
        <f>#REF!</f>
        <v>#REF!</v>
      </c>
      <c r="AA349" s="23" t="e">
        <f>#REF!</f>
        <v>#REF!</v>
      </c>
      <c r="AB349" s="23">
        <v>192786500</v>
      </c>
      <c r="AC349" s="23" t="e">
        <f>#REF!</f>
        <v>#REF!</v>
      </c>
      <c r="AD349" s="23" t="e">
        <f>#REF!</f>
        <v>#REF!</v>
      </c>
      <c r="AE349" s="23" t="e">
        <f>#REF!</f>
        <v>#REF!</v>
      </c>
      <c r="AF349" s="23" t="e">
        <f>[1]April!N66</f>
        <v>#REF!</v>
      </c>
      <c r="AG349" s="23" t="e">
        <f>[2]april!N66</f>
        <v>#REF!</v>
      </c>
      <c r="AH349" s="23">
        <f>'[3]DES SKPD'!$N66</f>
        <v>558385000</v>
      </c>
      <c r="AI349" s="23">
        <f>SUM(AI350:AI362)</f>
        <v>0</v>
      </c>
      <c r="AJ349" s="24">
        <f t="shared" si="96"/>
        <v>0</v>
      </c>
      <c r="AK349" s="134">
        <f t="shared" si="103"/>
        <v>442950000</v>
      </c>
      <c r="AL349" s="24">
        <f t="shared" si="97"/>
        <v>100</v>
      </c>
      <c r="AM349" s="21"/>
    </row>
    <row r="350" spans="1:39" ht="29.25" customHeight="1" x14ac:dyDescent="0.25">
      <c r="A350" s="26"/>
      <c r="B350" s="97"/>
      <c r="C350" s="97"/>
      <c r="D350" s="97"/>
      <c r="E350" s="97"/>
      <c r="F350" s="97"/>
      <c r="G350" s="97"/>
      <c r="H350" s="97"/>
      <c r="I350" s="98"/>
      <c r="J350" s="97" t="s">
        <v>257</v>
      </c>
      <c r="K350" s="27"/>
      <c r="L350" s="31"/>
      <c r="M350" s="563" t="s">
        <v>258</v>
      </c>
      <c r="N350" s="564"/>
      <c r="O350" s="198"/>
      <c r="P350" s="190"/>
      <c r="Q350" s="28">
        <v>3900000</v>
      </c>
      <c r="R350" s="29">
        <f>Q350/Q$349*100</f>
        <v>0.88046054859464951</v>
      </c>
      <c r="S350" s="29">
        <v>100</v>
      </c>
      <c r="T350" s="28">
        <f t="shared" si="100"/>
        <v>0</v>
      </c>
      <c r="U350" s="28">
        <f t="shared" si="102"/>
        <v>0</v>
      </c>
      <c r="V350" s="87">
        <f t="shared" si="89"/>
        <v>100</v>
      </c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>
        <v>0</v>
      </c>
      <c r="AJ350" s="29">
        <f t="shared" si="96"/>
        <v>0</v>
      </c>
      <c r="AK350" s="136">
        <f t="shared" si="103"/>
        <v>3900000</v>
      </c>
      <c r="AL350" s="29">
        <f t="shared" si="97"/>
        <v>100</v>
      </c>
      <c r="AM350" s="26"/>
    </row>
    <row r="351" spans="1:39" ht="29.25" customHeight="1" x14ac:dyDescent="0.25">
      <c r="A351" s="26"/>
      <c r="B351" s="97"/>
      <c r="C351" s="97"/>
      <c r="D351" s="97"/>
      <c r="E351" s="97"/>
      <c r="F351" s="97"/>
      <c r="G351" s="97"/>
      <c r="H351" s="97"/>
      <c r="I351" s="98"/>
      <c r="J351" s="97" t="s">
        <v>259</v>
      </c>
      <c r="K351" s="27"/>
      <c r="L351" s="31"/>
      <c r="M351" s="563" t="s">
        <v>260</v>
      </c>
      <c r="N351" s="564"/>
      <c r="O351" s="198"/>
      <c r="P351" s="190"/>
      <c r="Q351" s="28">
        <v>3080000</v>
      </c>
      <c r="R351" s="29">
        <f t="shared" ref="R351:R362" si="104">Q351/Q$349*100</f>
        <v>0.69533807427474892</v>
      </c>
      <c r="S351" s="29">
        <v>100</v>
      </c>
      <c r="T351" s="28">
        <f t="shared" si="100"/>
        <v>0</v>
      </c>
      <c r="U351" s="28">
        <f t="shared" si="102"/>
        <v>0</v>
      </c>
      <c r="V351" s="87">
        <f t="shared" si="89"/>
        <v>100</v>
      </c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>
        <v>0</v>
      </c>
      <c r="AJ351" s="29">
        <f t="shared" si="96"/>
        <v>0</v>
      </c>
      <c r="AK351" s="136">
        <f t="shared" si="103"/>
        <v>3080000</v>
      </c>
      <c r="AL351" s="29">
        <f t="shared" si="97"/>
        <v>100</v>
      </c>
      <c r="AM351" s="26"/>
    </row>
    <row r="352" spans="1:39" ht="29.25" customHeight="1" x14ac:dyDescent="0.25">
      <c r="A352" s="26"/>
      <c r="B352" s="97"/>
      <c r="C352" s="97"/>
      <c r="D352" s="97"/>
      <c r="E352" s="97"/>
      <c r="F352" s="97"/>
      <c r="G352" s="97"/>
      <c r="H352" s="97"/>
      <c r="I352" s="98"/>
      <c r="J352" s="97" t="s">
        <v>347</v>
      </c>
      <c r="K352" s="27"/>
      <c r="L352" s="31"/>
      <c r="M352" s="563" t="s">
        <v>348</v>
      </c>
      <c r="N352" s="564"/>
      <c r="O352" s="198"/>
      <c r="P352" s="190"/>
      <c r="Q352" s="28">
        <v>102300000</v>
      </c>
      <c r="R352" s="29">
        <f t="shared" si="104"/>
        <v>23.09515746698273</v>
      </c>
      <c r="S352" s="29">
        <v>100</v>
      </c>
      <c r="T352" s="28">
        <f t="shared" si="100"/>
        <v>0</v>
      </c>
      <c r="U352" s="28">
        <f t="shared" si="102"/>
        <v>0</v>
      </c>
      <c r="V352" s="87">
        <f t="shared" si="89"/>
        <v>100</v>
      </c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>
        <v>0</v>
      </c>
      <c r="AJ352" s="29">
        <f t="shared" si="96"/>
        <v>0</v>
      </c>
      <c r="AK352" s="136">
        <f t="shared" si="103"/>
        <v>102300000</v>
      </c>
      <c r="AL352" s="29">
        <f t="shared" si="97"/>
        <v>100</v>
      </c>
      <c r="AM352" s="26"/>
    </row>
    <row r="353" spans="1:39" ht="29.25" customHeight="1" x14ac:dyDescent="0.25">
      <c r="A353" s="26"/>
      <c r="B353" s="97"/>
      <c r="C353" s="97"/>
      <c r="D353" s="97"/>
      <c r="E353" s="97"/>
      <c r="F353" s="97"/>
      <c r="G353" s="97"/>
      <c r="H353" s="97"/>
      <c r="I353" s="98"/>
      <c r="J353" s="97" t="s">
        <v>323</v>
      </c>
      <c r="K353" s="27"/>
      <c r="L353" s="31"/>
      <c r="M353" s="563" t="s">
        <v>324</v>
      </c>
      <c r="N353" s="564"/>
      <c r="O353" s="198"/>
      <c r="P353" s="190"/>
      <c r="Q353" s="28">
        <v>38772000</v>
      </c>
      <c r="R353" s="29">
        <f t="shared" si="104"/>
        <v>8.7531324077209618</v>
      </c>
      <c r="S353" s="29">
        <v>100</v>
      </c>
      <c r="T353" s="28">
        <f t="shared" si="100"/>
        <v>0</v>
      </c>
      <c r="U353" s="28">
        <f t="shared" si="102"/>
        <v>0</v>
      </c>
      <c r="V353" s="87">
        <f t="shared" si="89"/>
        <v>100</v>
      </c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>
        <v>0</v>
      </c>
      <c r="AJ353" s="29">
        <f t="shared" si="96"/>
        <v>0</v>
      </c>
      <c r="AK353" s="136">
        <f t="shared" si="103"/>
        <v>38772000</v>
      </c>
      <c r="AL353" s="29">
        <f t="shared" si="97"/>
        <v>100</v>
      </c>
      <c r="AM353" s="26"/>
    </row>
    <row r="354" spans="1:39" ht="29.25" customHeight="1" x14ac:dyDescent="0.25">
      <c r="A354" s="26"/>
      <c r="B354" s="97"/>
      <c r="C354" s="97"/>
      <c r="D354" s="97"/>
      <c r="E354" s="97"/>
      <c r="F354" s="97"/>
      <c r="G354" s="97"/>
      <c r="H354" s="97"/>
      <c r="I354" s="98"/>
      <c r="J354" s="97" t="s">
        <v>269</v>
      </c>
      <c r="K354" s="27"/>
      <c r="L354" s="31"/>
      <c r="M354" s="563" t="s">
        <v>270</v>
      </c>
      <c r="N354" s="564"/>
      <c r="O354" s="198"/>
      <c r="P354" s="190"/>
      <c r="Q354" s="28">
        <v>4100000</v>
      </c>
      <c r="R354" s="29">
        <f t="shared" si="104"/>
        <v>0.92561237159950338</v>
      </c>
      <c r="S354" s="29">
        <v>100</v>
      </c>
      <c r="T354" s="28">
        <f t="shared" si="100"/>
        <v>0</v>
      </c>
      <c r="U354" s="28">
        <f t="shared" si="102"/>
        <v>0</v>
      </c>
      <c r="V354" s="87">
        <f t="shared" si="89"/>
        <v>100</v>
      </c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>
        <v>0</v>
      </c>
      <c r="AJ354" s="29">
        <f t="shared" si="96"/>
        <v>0</v>
      </c>
      <c r="AK354" s="136">
        <f t="shared" si="103"/>
        <v>4100000</v>
      </c>
      <c r="AL354" s="29">
        <f t="shared" si="97"/>
        <v>100</v>
      </c>
      <c r="AM354" s="26"/>
    </row>
    <row r="355" spans="1:39" ht="29.25" customHeight="1" x14ac:dyDescent="0.25">
      <c r="A355" s="26"/>
      <c r="B355" s="97"/>
      <c r="C355" s="97"/>
      <c r="D355" s="97"/>
      <c r="E355" s="97"/>
      <c r="F355" s="97"/>
      <c r="G355" s="97"/>
      <c r="H355" s="97"/>
      <c r="I355" s="98"/>
      <c r="J355" s="97" t="s">
        <v>315</v>
      </c>
      <c r="K355" s="27"/>
      <c r="L355" s="31"/>
      <c r="M355" s="563" t="s">
        <v>271</v>
      </c>
      <c r="N355" s="564"/>
      <c r="O355" s="198"/>
      <c r="P355" s="190"/>
      <c r="Q355" s="28">
        <v>4000000</v>
      </c>
      <c r="R355" s="29">
        <f t="shared" si="104"/>
        <v>0.90303646009707639</v>
      </c>
      <c r="S355" s="29">
        <v>100</v>
      </c>
      <c r="T355" s="28">
        <f t="shared" si="100"/>
        <v>0</v>
      </c>
      <c r="U355" s="28">
        <f t="shared" si="102"/>
        <v>0</v>
      </c>
      <c r="V355" s="87">
        <f t="shared" si="89"/>
        <v>100</v>
      </c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>
        <v>0</v>
      </c>
      <c r="AJ355" s="29">
        <f t="shared" si="96"/>
        <v>0</v>
      </c>
      <c r="AK355" s="136">
        <f t="shared" si="103"/>
        <v>4000000</v>
      </c>
      <c r="AL355" s="29">
        <f t="shared" si="97"/>
        <v>100</v>
      </c>
      <c r="AM355" s="26"/>
    </row>
    <row r="356" spans="1:39" ht="29.25" customHeight="1" x14ac:dyDescent="0.25">
      <c r="A356" s="26"/>
      <c r="B356" s="97"/>
      <c r="C356" s="97"/>
      <c r="D356" s="97"/>
      <c r="E356" s="97"/>
      <c r="F356" s="97"/>
      <c r="G356" s="97"/>
      <c r="H356" s="97"/>
      <c r="I356" s="98"/>
      <c r="J356" s="97" t="s">
        <v>316</v>
      </c>
      <c r="K356" s="27"/>
      <c r="L356" s="31"/>
      <c r="M356" s="563" t="s">
        <v>317</v>
      </c>
      <c r="N356" s="564"/>
      <c r="O356" s="198"/>
      <c r="P356" s="190"/>
      <c r="Q356" s="28">
        <v>1000000</v>
      </c>
      <c r="R356" s="29">
        <f t="shared" si="104"/>
        <v>0.2257591150242691</v>
      </c>
      <c r="S356" s="29">
        <v>100</v>
      </c>
      <c r="T356" s="28">
        <f t="shared" si="100"/>
        <v>0</v>
      </c>
      <c r="U356" s="28">
        <f t="shared" si="102"/>
        <v>0</v>
      </c>
      <c r="V356" s="87">
        <f t="shared" si="89"/>
        <v>100</v>
      </c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>
        <v>0</v>
      </c>
      <c r="AJ356" s="29">
        <f t="shared" si="96"/>
        <v>0</v>
      </c>
      <c r="AK356" s="136">
        <f t="shared" si="103"/>
        <v>1000000</v>
      </c>
      <c r="AL356" s="29">
        <f t="shared" si="97"/>
        <v>100</v>
      </c>
      <c r="AM356" s="26"/>
    </row>
    <row r="357" spans="1:39" ht="29.25" customHeight="1" x14ac:dyDescent="0.25">
      <c r="A357" s="26"/>
      <c r="B357" s="97"/>
      <c r="C357" s="97"/>
      <c r="D357" s="97"/>
      <c r="E357" s="97"/>
      <c r="F357" s="97"/>
      <c r="G357" s="97"/>
      <c r="H357" s="97"/>
      <c r="I357" s="98"/>
      <c r="J357" s="97" t="s">
        <v>318</v>
      </c>
      <c r="K357" s="27"/>
      <c r="L357" s="31"/>
      <c r="M357" s="563" t="s">
        <v>319</v>
      </c>
      <c r="N357" s="564"/>
      <c r="O357" s="198"/>
      <c r="P357" s="190"/>
      <c r="Q357" s="28">
        <v>104000000</v>
      </c>
      <c r="R357" s="29">
        <f t="shared" si="104"/>
        <v>23.478947962523986</v>
      </c>
      <c r="S357" s="29">
        <v>100</v>
      </c>
      <c r="T357" s="28">
        <f t="shared" si="100"/>
        <v>0</v>
      </c>
      <c r="U357" s="28">
        <f t="shared" si="102"/>
        <v>0</v>
      </c>
      <c r="V357" s="87">
        <f t="shared" si="89"/>
        <v>100</v>
      </c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>
        <v>0</v>
      </c>
      <c r="AJ357" s="29">
        <f t="shared" si="96"/>
        <v>0</v>
      </c>
      <c r="AK357" s="136">
        <f t="shared" si="103"/>
        <v>104000000</v>
      </c>
      <c r="AL357" s="29">
        <f t="shared" si="97"/>
        <v>100</v>
      </c>
      <c r="AM357" s="26"/>
    </row>
    <row r="358" spans="1:39" ht="29.25" customHeight="1" x14ac:dyDescent="0.25">
      <c r="A358" s="26"/>
      <c r="B358" s="97"/>
      <c r="C358" s="97"/>
      <c r="D358" s="97"/>
      <c r="E358" s="97"/>
      <c r="F358" s="97"/>
      <c r="G358" s="97"/>
      <c r="H358" s="97"/>
      <c r="I358" s="98"/>
      <c r="J358" s="97" t="s">
        <v>284</v>
      </c>
      <c r="K358" s="27"/>
      <c r="L358" s="31"/>
      <c r="M358" s="563" t="s">
        <v>285</v>
      </c>
      <c r="N358" s="564"/>
      <c r="O358" s="198"/>
      <c r="P358" s="190"/>
      <c r="Q358" s="28">
        <v>8250000</v>
      </c>
      <c r="R358" s="29">
        <f t="shared" si="104"/>
        <v>1.8625126989502201</v>
      </c>
      <c r="S358" s="29">
        <v>100</v>
      </c>
      <c r="T358" s="28">
        <f t="shared" si="100"/>
        <v>0</v>
      </c>
      <c r="U358" s="28">
        <f t="shared" si="102"/>
        <v>0</v>
      </c>
      <c r="V358" s="87">
        <f t="shared" si="89"/>
        <v>100</v>
      </c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>
        <v>0</v>
      </c>
      <c r="AJ358" s="29">
        <f t="shared" si="96"/>
        <v>0</v>
      </c>
      <c r="AK358" s="136">
        <f t="shared" si="103"/>
        <v>8250000</v>
      </c>
      <c r="AL358" s="29">
        <f t="shared" si="97"/>
        <v>100</v>
      </c>
      <c r="AM358" s="26"/>
    </row>
    <row r="359" spans="1:39" ht="29.25" customHeight="1" x14ac:dyDescent="0.25">
      <c r="A359" s="26"/>
      <c r="B359" s="97"/>
      <c r="C359" s="97"/>
      <c r="D359" s="97"/>
      <c r="E359" s="97"/>
      <c r="F359" s="97"/>
      <c r="G359" s="97"/>
      <c r="H359" s="97"/>
      <c r="I359" s="98"/>
      <c r="J359" s="97" t="s">
        <v>282</v>
      </c>
      <c r="K359" s="27"/>
      <c r="L359" s="31"/>
      <c r="M359" s="563" t="s">
        <v>283</v>
      </c>
      <c r="N359" s="564"/>
      <c r="O359" s="198"/>
      <c r="P359" s="190"/>
      <c r="Q359" s="28">
        <v>83148000</v>
      </c>
      <c r="R359" s="29">
        <f t="shared" si="104"/>
        <v>18.771418896037929</v>
      </c>
      <c r="S359" s="29">
        <v>100</v>
      </c>
      <c r="T359" s="28">
        <f t="shared" si="100"/>
        <v>0</v>
      </c>
      <c r="U359" s="28">
        <f t="shared" si="102"/>
        <v>0</v>
      </c>
      <c r="V359" s="87">
        <f t="shared" si="89"/>
        <v>100</v>
      </c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>
        <v>0</v>
      </c>
      <c r="AJ359" s="29">
        <f t="shared" si="96"/>
        <v>0</v>
      </c>
      <c r="AK359" s="136">
        <f t="shared" si="103"/>
        <v>83148000</v>
      </c>
      <c r="AL359" s="29">
        <f t="shared" si="97"/>
        <v>100</v>
      </c>
      <c r="AM359" s="26"/>
    </row>
    <row r="360" spans="1:39" ht="29.25" customHeight="1" x14ac:dyDescent="0.25">
      <c r="A360" s="26"/>
      <c r="B360" s="97"/>
      <c r="C360" s="97"/>
      <c r="D360" s="97"/>
      <c r="E360" s="97"/>
      <c r="F360" s="97"/>
      <c r="G360" s="97"/>
      <c r="H360" s="97"/>
      <c r="I360" s="98"/>
      <c r="J360" s="97" t="s">
        <v>320</v>
      </c>
      <c r="K360" s="27"/>
      <c r="L360" s="31"/>
      <c r="M360" s="563" t="s">
        <v>321</v>
      </c>
      <c r="N360" s="564"/>
      <c r="O360" s="198"/>
      <c r="P360" s="190"/>
      <c r="Q360" s="28">
        <v>56000000</v>
      </c>
      <c r="R360" s="29">
        <f t="shared" si="104"/>
        <v>12.64251044135907</v>
      </c>
      <c r="S360" s="29">
        <v>100</v>
      </c>
      <c r="T360" s="28">
        <f t="shared" si="100"/>
        <v>0</v>
      </c>
      <c r="U360" s="28">
        <f t="shared" si="102"/>
        <v>0</v>
      </c>
      <c r="V360" s="87">
        <f t="shared" si="89"/>
        <v>100</v>
      </c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>
        <v>0</v>
      </c>
      <c r="AJ360" s="29">
        <f t="shared" si="96"/>
        <v>0</v>
      </c>
      <c r="AK360" s="136">
        <f t="shared" si="103"/>
        <v>56000000</v>
      </c>
      <c r="AL360" s="29">
        <f t="shared" si="97"/>
        <v>100</v>
      </c>
      <c r="AM360" s="26"/>
    </row>
    <row r="361" spans="1:39" ht="29.25" customHeight="1" x14ac:dyDescent="0.25">
      <c r="A361" s="26"/>
      <c r="B361" s="97"/>
      <c r="C361" s="97"/>
      <c r="D361" s="97"/>
      <c r="E361" s="97"/>
      <c r="F361" s="97"/>
      <c r="G361" s="97"/>
      <c r="H361" s="97"/>
      <c r="I361" s="98"/>
      <c r="J361" s="97" t="s">
        <v>320</v>
      </c>
      <c r="K361" s="27"/>
      <c r="L361" s="31"/>
      <c r="M361" s="563" t="s">
        <v>414</v>
      </c>
      <c r="N361" s="564"/>
      <c r="O361" s="198"/>
      <c r="P361" s="190"/>
      <c r="Q361" s="28">
        <v>5600000</v>
      </c>
      <c r="R361" s="29">
        <f t="shared" si="104"/>
        <v>1.2642510441359069</v>
      </c>
      <c r="S361" s="29">
        <v>100</v>
      </c>
      <c r="T361" s="28">
        <f t="shared" si="100"/>
        <v>0</v>
      </c>
      <c r="U361" s="28">
        <f t="shared" si="102"/>
        <v>0</v>
      </c>
      <c r="V361" s="87">
        <f t="shared" si="89"/>
        <v>100</v>
      </c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>
        <v>0</v>
      </c>
      <c r="AJ361" s="29">
        <f t="shared" si="96"/>
        <v>0</v>
      </c>
      <c r="AK361" s="136">
        <f t="shared" si="103"/>
        <v>5600000</v>
      </c>
      <c r="AL361" s="29">
        <f t="shared" si="97"/>
        <v>100</v>
      </c>
      <c r="AM361" s="26"/>
    </row>
    <row r="362" spans="1:39" ht="29.25" customHeight="1" x14ac:dyDescent="0.25">
      <c r="A362" s="26"/>
      <c r="B362" s="97"/>
      <c r="C362" s="97"/>
      <c r="D362" s="97"/>
      <c r="E362" s="97"/>
      <c r="F362" s="97"/>
      <c r="G362" s="97"/>
      <c r="H362" s="97"/>
      <c r="I362" s="98"/>
      <c r="J362" s="97" t="s">
        <v>350</v>
      </c>
      <c r="K362" s="27"/>
      <c r="L362" s="31"/>
      <c r="M362" s="563" t="s">
        <v>349</v>
      </c>
      <c r="N362" s="564"/>
      <c r="O362" s="198"/>
      <c r="P362" s="190"/>
      <c r="Q362" s="28">
        <v>28800000</v>
      </c>
      <c r="R362" s="29">
        <f t="shared" si="104"/>
        <v>6.50186251269895</v>
      </c>
      <c r="S362" s="29">
        <v>100</v>
      </c>
      <c r="T362" s="28">
        <f t="shared" si="100"/>
        <v>0</v>
      </c>
      <c r="U362" s="28">
        <f t="shared" si="102"/>
        <v>0</v>
      </c>
      <c r="V362" s="87">
        <f t="shared" si="89"/>
        <v>100</v>
      </c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>
        <v>0</v>
      </c>
      <c r="AJ362" s="29">
        <f t="shared" si="96"/>
        <v>0</v>
      </c>
      <c r="AK362" s="136">
        <f t="shared" si="103"/>
        <v>28800000</v>
      </c>
      <c r="AL362" s="29">
        <f t="shared" si="97"/>
        <v>100</v>
      </c>
      <c r="AM362" s="26"/>
    </row>
    <row r="363" spans="1:39" s="41" customFormat="1" ht="24.75" customHeight="1" x14ac:dyDescent="0.25">
      <c r="A363" s="21">
        <f>SUM(A349+1)</f>
        <v>45</v>
      </c>
      <c r="B363" s="543" t="s">
        <v>147</v>
      </c>
      <c r="C363" s="543"/>
      <c r="D363" s="543"/>
      <c r="E363" s="543"/>
      <c r="F363" s="543"/>
      <c r="G363" s="543"/>
      <c r="H363" s="543"/>
      <c r="I363" s="544"/>
      <c r="J363" s="122" t="s">
        <v>495</v>
      </c>
      <c r="K363" s="22"/>
      <c r="L363" s="72"/>
      <c r="M363" s="561" t="s">
        <v>50</v>
      </c>
      <c r="N363" s="561"/>
      <c r="O363" s="197">
        <v>509540000</v>
      </c>
      <c r="P363" s="189">
        <f>O363</f>
        <v>509540000</v>
      </c>
      <c r="Q363" s="23">
        <f>SUM(Q364:Q373)</f>
        <v>194840000</v>
      </c>
      <c r="R363" s="24">
        <f>Q363/Q$216*100</f>
        <v>1.241636126778926</v>
      </c>
      <c r="S363" s="24">
        <v>100</v>
      </c>
      <c r="T363" s="23">
        <f t="shared" si="100"/>
        <v>0</v>
      </c>
      <c r="U363" s="23">
        <f t="shared" si="102"/>
        <v>0</v>
      </c>
      <c r="V363" s="90">
        <f t="shared" si="89"/>
        <v>100</v>
      </c>
      <c r="W363" s="23"/>
      <c r="X363" s="23" t="e">
        <f>#REF!</f>
        <v>#REF!</v>
      </c>
      <c r="Y363" s="23" t="e">
        <f>#REF!</f>
        <v>#REF!</v>
      </c>
      <c r="Z363" s="23" t="e">
        <f>#REF!</f>
        <v>#REF!</v>
      </c>
      <c r="AA363" s="23" t="e">
        <f>#REF!</f>
        <v>#REF!</v>
      </c>
      <c r="AB363" s="23">
        <v>227840500</v>
      </c>
      <c r="AC363" s="23" t="e">
        <f>#REF!</f>
        <v>#REF!</v>
      </c>
      <c r="AD363" s="23" t="e">
        <f>#REF!</f>
        <v>#REF!</v>
      </c>
      <c r="AE363" s="23" t="e">
        <f>#REF!</f>
        <v>#REF!</v>
      </c>
      <c r="AF363" s="23" t="e">
        <f>[1]April!N68</f>
        <v>#REF!</v>
      </c>
      <c r="AG363" s="23" t="e">
        <f>[2]april!N68</f>
        <v>#REF!</v>
      </c>
      <c r="AH363" s="23">
        <f>'[3]DES SKPD'!$N68</f>
        <v>375022000</v>
      </c>
      <c r="AI363" s="23">
        <f>SUM(AI364:AI373)</f>
        <v>0</v>
      </c>
      <c r="AJ363" s="24">
        <f t="shared" si="96"/>
        <v>0</v>
      </c>
      <c r="AK363" s="134">
        <f t="shared" si="103"/>
        <v>194840000</v>
      </c>
      <c r="AL363" s="24">
        <f t="shared" si="97"/>
        <v>100</v>
      </c>
      <c r="AM363" s="21"/>
    </row>
    <row r="364" spans="1:39" ht="24.75" customHeight="1" x14ac:dyDescent="0.25">
      <c r="A364" s="26"/>
      <c r="B364" s="97"/>
      <c r="C364" s="97"/>
      <c r="D364" s="97"/>
      <c r="E364" s="97"/>
      <c r="F364" s="97"/>
      <c r="G364" s="97"/>
      <c r="H364" s="97"/>
      <c r="I364" s="98"/>
      <c r="J364" s="97" t="s">
        <v>257</v>
      </c>
      <c r="K364" s="27"/>
      <c r="L364" s="31"/>
      <c r="M364" s="559" t="s">
        <v>258</v>
      </c>
      <c r="N364" s="560"/>
      <c r="O364" s="198"/>
      <c r="P364" s="190"/>
      <c r="Q364" s="28">
        <v>3360000</v>
      </c>
      <c r="R364" s="29">
        <f>Q364/Q$363*100</f>
        <v>1.7244918907821802</v>
      </c>
      <c r="S364" s="29">
        <v>100</v>
      </c>
      <c r="T364" s="28">
        <f t="shared" si="100"/>
        <v>0</v>
      </c>
      <c r="U364" s="28">
        <f t="shared" si="102"/>
        <v>0</v>
      </c>
      <c r="V364" s="87">
        <f t="shared" si="89"/>
        <v>100</v>
      </c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>
        <v>0</v>
      </c>
      <c r="AJ364" s="29">
        <f t="shared" si="96"/>
        <v>0</v>
      </c>
      <c r="AK364" s="136">
        <f t="shared" si="103"/>
        <v>3360000</v>
      </c>
      <c r="AL364" s="29">
        <f t="shared" si="97"/>
        <v>100</v>
      </c>
      <c r="AM364" s="26"/>
    </row>
    <row r="365" spans="1:39" ht="24.75" customHeight="1" x14ac:dyDescent="0.25">
      <c r="A365" s="26"/>
      <c r="B365" s="97"/>
      <c r="C365" s="97"/>
      <c r="D365" s="97"/>
      <c r="E365" s="97"/>
      <c r="F365" s="97"/>
      <c r="G365" s="97"/>
      <c r="H365" s="97"/>
      <c r="I365" s="98"/>
      <c r="J365" s="97" t="s">
        <v>259</v>
      </c>
      <c r="K365" s="27"/>
      <c r="L365" s="31"/>
      <c r="M365" s="559" t="s">
        <v>260</v>
      </c>
      <c r="N365" s="560"/>
      <c r="O365" s="198"/>
      <c r="P365" s="190"/>
      <c r="Q365" s="28">
        <v>3080000</v>
      </c>
      <c r="R365" s="29">
        <f t="shared" ref="R365:R373" si="105">Q365/Q$363*100</f>
        <v>1.5807842332169986</v>
      </c>
      <c r="S365" s="29">
        <v>100</v>
      </c>
      <c r="T365" s="28">
        <f t="shared" si="100"/>
        <v>0</v>
      </c>
      <c r="U365" s="28">
        <f t="shared" si="102"/>
        <v>0</v>
      </c>
      <c r="V365" s="87">
        <f t="shared" si="89"/>
        <v>100</v>
      </c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>
        <v>0</v>
      </c>
      <c r="AJ365" s="29">
        <f t="shared" si="96"/>
        <v>0</v>
      </c>
      <c r="AK365" s="136">
        <f t="shared" si="103"/>
        <v>3080000</v>
      </c>
      <c r="AL365" s="29">
        <f t="shared" si="97"/>
        <v>100</v>
      </c>
      <c r="AM365" s="26"/>
    </row>
    <row r="366" spans="1:39" ht="24.75" customHeight="1" x14ac:dyDescent="0.25">
      <c r="A366" s="26"/>
      <c r="B366" s="97"/>
      <c r="C366" s="97"/>
      <c r="D366" s="97"/>
      <c r="E366" s="97"/>
      <c r="F366" s="97"/>
      <c r="G366" s="97"/>
      <c r="H366" s="97"/>
      <c r="I366" s="98"/>
      <c r="J366" s="97" t="s">
        <v>323</v>
      </c>
      <c r="K366" s="27"/>
      <c r="L366" s="31"/>
      <c r="M366" s="559" t="s">
        <v>324</v>
      </c>
      <c r="N366" s="560"/>
      <c r="O366" s="198"/>
      <c r="P366" s="190"/>
      <c r="Q366" s="28">
        <v>4000000</v>
      </c>
      <c r="R366" s="29">
        <f t="shared" si="105"/>
        <v>2.0529665366454526</v>
      </c>
      <c r="S366" s="29">
        <v>100</v>
      </c>
      <c r="T366" s="28">
        <f t="shared" si="100"/>
        <v>0</v>
      </c>
      <c r="U366" s="28">
        <f t="shared" si="102"/>
        <v>0</v>
      </c>
      <c r="V366" s="87">
        <f t="shared" si="89"/>
        <v>100</v>
      </c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>
        <v>0</v>
      </c>
      <c r="AJ366" s="29">
        <f t="shared" si="96"/>
        <v>0</v>
      </c>
      <c r="AK366" s="136">
        <f t="shared" si="103"/>
        <v>4000000</v>
      </c>
      <c r="AL366" s="29">
        <f t="shared" si="97"/>
        <v>100</v>
      </c>
      <c r="AM366" s="26"/>
    </row>
    <row r="367" spans="1:39" ht="24.75" customHeight="1" x14ac:dyDescent="0.25">
      <c r="A367" s="26"/>
      <c r="B367" s="97"/>
      <c r="C367" s="97"/>
      <c r="D367" s="97"/>
      <c r="E367" s="97"/>
      <c r="F367" s="97"/>
      <c r="G367" s="97"/>
      <c r="H367" s="97"/>
      <c r="I367" s="98"/>
      <c r="J367" s="97" t="s">
        <v>269</v>
      </c>
      <c r="K367" s="27"/>
      <c r="L367" s="31"/>
      <c r="M367" s="559" t="s">
        <v>352</v>
      </c>
      <c r="N367" s="560"/>
      <c r="O367" s="198"/>
      <c r="P367" s="190"/>
      <c r="Q367" s="28">
        <v>2000000</v>
      </c>
      <c r="R367" s="29">
        <f t="shared" si="105"/>
        <v>1.0264832683227263</v>
      </c>
      <c r="S367" s="29">
        <v>100</v>
      </c>
      <c r="T367" s="28">
        <f t="shared" si="100"/>
        <v>0</v>
      </c>
      <c r="U367" s="28">
        <f t="shared" si="102"/>
        <v>0</v>
      </c>
      <c r="V367" s="87">
        <f t="shared" si="89"/>
        <v>100</v>
      </c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>
        <v>0</v>
      </c>
      <c r="AJ367" s="29">
        <f t="shared" si="96"/>
        <v>0</v>
      </c>
      <c r="AK367" s="136">
        <f t="shared" si="103"/>
        <v>2000000</v>
      </c>
      <c r="AL367" s="29">
        <f t="shared" si="97"/>
        <v>100</v>
      </c>
      <c r="AM367" s="26"/>
    </row>
    <row r="368" spans="1:39" ht="24.75" customHeight="1" x14ac:dyDescent="0.25">
      <c r="A368" s="26"/>
      <c r="B368" s="97"/>
      <c r="C368" s="97"/>
      <c r="D368" s="97"/>
      <c r="E368" s="97"/>
      <c r="F368" s="97"/>
      <c r="G368" s="97"/>
      <c r="H368" s="97"/>
      <c r="I368" s="98"/>
      <c r="J368" s="97" t="s">
        <v>315</v>
      </c>
      <c r="K368" s="27"/>
      <c r="L368" s="31"/>
      <c r="M368" s="559" t="s">
        <v>271</v>
      </c>
      <c r="N368" s="560"/>
      <c r="O368" s="198"/>
      <c r="P368" s="190"/>
      <c r="Q368" s="28">
        <v>3000000</v>
      </c>
      <c r="R368" s="29">
        <f t="shared" si="105"/>
        <v>1.5397249024840896</v>
      </c>
      <c r="S368" s="29">
        <v>100</v>
      </c>
      <c r="T368" s="28">
        <f t="shared" si="100"/>
        <v>0</v>
      </c>
      <c r="U368" s="28">
        <f t="shared" si="102"/>
        <v>0</v>
      </c>
      <c r="V368" s="87">
        <f t="shared" si="89"/>
        <v>100</v>
      </c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>
        <v>0</v>
      </c>
      <c r="AJ368" s="29">
        <f t="shared" si="96"/>
        <v>0</v>
      </c>
      <c r="AK368" s="136">
        <f t="shared" si="103"/>
        <v>3000000</v>
      </c>
      <c r="AL368" s="29">
        <f t="shared" si="97"/>
        <v>100</v>
      </c>
      <c r="AM368" s="26"/>
    </row>
    <row r="369" spans="1:39" ht="24.75" customHeight="1" x14ac:dyDescent="0.25">
      <c r="A369" s="26"/>
      <c r="B369" s="97"/>
      <c r="C369" s="97"/>
      <c r="D369" s="97"/>
      <c r="E369" s="97"/>
      <c r="F369" s="97"/>
      <c r="G369" s="97"/>
      <c r="H369" s="97"/>
      <c r="I369" s="98"/>
      <c r="J369" s="97" t="s">
        <v>318</v>
      </c>
      <c r="K369" s="27"/>
      <c r="L369" s="31"/>
      <c r="M369" s="559" t="s">
        <v>319</v>
      </c>
      <c r="N369" s="560"/>
      <c r="O369" s="198"/>
      <c r="P369" s="190"/>
      <c r="Q369" s="28">
        <v>84000000</v>
      </c>
      <c r="R369" s="29">
        <f t="shared" si="105"/>
        <v>43.112297269554503</v>
      </c>
      <c r="S369" s="29">
        <v>100</v>
      </c>
      <c r="T369" s="28">
        <f t="shared" si="100"/>
        <v>0</v>
      </c>
      <c r="U369" s="28">
        <f t="shared" si="102"/>
        <v>0</v>
      </c>
      <c r="V369" s="87">
        <f t="shared" si="89"/>
        <v>100</v>
      </c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>
        <v>0</v>
      </c>
      <c r="AJ369" s="29">
        <f t="shared" si="96"/>
        <v>0</v>
      </c>
      <c r="AK369" s="136">
        <f t="shared" si="103"/>
        <v>84000000</v>
      </c>
      <c r="AL369" s="29">
        <f t="shared" si="97"/>
        <v>100</v>
      </c>
      <c r="AM369" s="26"/>
    </row>
    <row r="370" spans="1:39" ht="24.75" customHeight="1" x14ac:dyDescent="0.25">
      <c r="A370" s="26"/>
      <c r="B370" s="97"/>
      <c r="C370" s="97"/>
      <c r="D370" s="97"/>
      <c r="E370" s="97"/>
      <c r="F370" s="97"/>
      <c r="G370" s="97"/>
      <c r="H370" s="97"/>
      <c r="I370" s="98"/>
      <c r="J370" s="97" t="s">
        <v>284</v>
      </c>
      <c r="K370" s="27"/>
      <c r="L370" s="31"/>
      <c r="M370" s="559" t="s">
        <v>285</v>
      </c>
      <c r="N370" s="560"/>
      <c r="O370" s="198"/>
      <c r="P370" s="190"/>
      <c r="Q370" s="28">
        <v>6600000</v>
      </c>
      <c r="R370" s="29">
        <f t="shared" si="105"/>
        <v>3.3873947854649971</v>
      </c>
      <c r="S370" s="29">
        <v>100</v>
      </c>
      <c r="T370" s="28">
        <f t="shared" si="100"/>
        <v>0</v>
      </c>
      <c r="U370" s="28">
        <f t="shared" si="102"/>
        <v>0</v>
      </c>
      <c r="V370" s="87">
        <f t="shared" si="89"/>
        <v>100</v>
      </c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>
        <v>0</v>
      </c>
      <c r="AJ370" s="29">
        <f t="shared" si="96"/>
        <v>0</v>
      </c>
      <c r="AK370" s="136">
        <f t="shared" si="103"/>
        <v>6600000</v>
      </c>
      <c r="AL370" s="29">
        <f t="shared" si="97"/>
        <v>100</v>
      </c>
      <c r="AM370" s="26"/>
    </row>
    <row r="371" spans="1:39" ht="24.75" customHeight="1" x14ac:dyDescent="0.25">
      <c r="A371" s="26"/>
      <c r="B371" s="97"/>
      <c r="C371" s="97"/>
      <c r="D371" s="97"/>
      <c r="E371" s="97"/>
      <c r="F371" s="97"/>
      <c r="G371" s="97"/>
      <c r="H371" s="97"/>
      <c r="I371" s="98"/>
      <c r="J371" s="97" t="s">
        <v>282</v>
      </c>
      <c r="K371" s="27"/>
      <c r="L371" s="31"/>
      <c r="M371" s="559" t="s">
        <v>283</v>
      </c>
      <c r="N371" s="560"/>
      <c r="O371" s="198"/>
      <c r="P371" s="190"/>
      <c r="Q371" s="28">
        <v>20000000</v>
      </c>
      <c r="R371" s="29">
        <f t="shared" si="105"/>
        <v>10.264832683227263</v>
      </c>
      <c r="S371" s="29">
        <v>100</v>
      </c>
      <c r="T371" s="28">
        <f t="shared" si="100"/>
        <v>0</v>
      </c>
      <c r="U371" s="28">
        <f t="shared" si="102"/>
        <v>0</v>
      </c>
      <c r="V371" s="87">
        <f t="shared" si="89"/>
        <v>100</v>
      </c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>
        <v>0</v>
      </c>
      <c r="AJ371" s="29">
        <f t="shared" si="96"/>
        <v>0</v>
      </c>
      <c r="AK371" s="136">
        <f t="shared" si="103"/>
        <v>20000000</v>
      </c>
      <c r="AL371" s="29">
        <f t="shared" si="97"/>
        <v>100</v>
      </c>
      <c r="AM371" s="26"/>
    </row>
    <row r="372" spans="1:39" ht="24.75" customHeight="1" x14ac:dyDescent="0.25">
      <c r="A372" s="26"/>
      <c r="B372" s="97"/>
      <c r="C372" s="97"/>
      <c r="D372" s="97"/>
      <c r="E372" s="97"/>
      <c r="F372" s="97"/>
      <c r="G372" s="97"/>
      <c r="H372" s="97"/>
      <c r="I372" s="98"/>
      <c r="J372" s="97" t="s">
        <v>320</v>
      </c>
      <c r="K372" s="27"/>
      <c r="L372" s="31"/>
      <c r="M372" s="559" t="s">
        <v>321</v>
      </c>
      <c r="N372" s="560"/>
      <c r="O372" s="198"/>
      <c r="P372" s="190"/>
      <c r="Q372" s="28">
        <v>65600000</v>
      </c>
      <c r="R372" s="29">
        <f t="shared" si="105"/>
        <v>33.668651200985423</v>
      </c>
      <c r="S372" s="29">
        <v>100</v>
      </c>
      <c r="T372" s="28">
        <f t="shared" si="100"/>
        <v>0</v>
      </c>
      <c r="U372" s="28">
        <f t="shared" si="102"/>
        <v>0</v>
      </c>
      <c r="V372" s="87">
        <f t="shared" si="89"/>
        <v>100</v>
      </c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>
        <v>0</v>
      </c>
      <c r="AJ372" s="29">
        <f t="shared" si="96"/>
        <v>0</v>
      </c>
      <c r="AK372" s="136">
        <f t="shared" si="103"/>
        <v>65600000</v>
      </c>
      <c r="AL372" s="29">
        <f t="shared" si="97"/>
        <v>100</v>
      </c>
      <c r="AM372" s="26"/>
    </row>
    <row r="373" spans="1:39" ht="24.75" customHeight="1" x14ac:dyDescent="0.25">
      <c r="A373" s="26"/>
      <c r="B373" s="97"/>
      <c r="C373" s="97"/>
      <c r="D373" s="97"/>
      <c r="E373" s="97"/>
      <c r="F373" s="97"/>
      <c r="G373" s="97"/>
      <c r="H373" s="97"/>
      <c r="I373" s="98"/>
      <c r="J373" s="97" t="s">
        <v>407</v>
      </c>
      <c r="K373" s="27"/>
      <c r="L373" s="31"/>
      <c r="M373" s="559" t="s">
        <v>414</v>
      </c>
      <c r="N373" s="560"/>
      <c r="O373" s="198"/>
      <c r="P373" s="190"/>
      <c r="Q373" s="28">
        <v>3200000</v>
      </c>
      <c r="R373" s="29">
        <f t="shared" si="105"/>
        <v>1.6423732293163622</v>
      </c>
      <c r="S373" s="29">
        <v>100</v>
      </c>
      <c r="T373" s="28">
        <f t="shared" si="100"/>
        <v>0</v>
      </c>
      <c r="U373" s="28">
        <f t="shared" si="102"/>
        <v>0</v>
      </c>
      <c r="V373" s="87">
        <f t="shared" si="89"/>
        <v>100</v>
      </c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>
        <v>0</v>
      </c>
      <c r="AJ373" s="29">
        <f t="shared" si="96"/>
        <v>0</v>
      </c>
      <c r="AK373" s="136">
        <f t="shared" si="103"/>
        <v>3200000</v>
      </c>
      <c r="AL373" s="29">
        <f t="shared" si="97"/>
        <v>100</v>
      </c>
      <c r="AM373" s="26"/>
    </row>
    <row r="374" spans="1:39" s="41" customFormat="1" ht="30.75" customHeight="1" x14ac:dyDescent="0.25">
      <c r="A374" s="21">
        <f>A363+1</f>
        <v>46</v>
      </c>
      <c r="B374" s="543" t="s">
        <v>148</v>
      </c>
      <c r="C374" s="543"/>
      <c r="D374" s="543"/>
      <c r="E374" s="543"/>
      <c r="F374" s="543"/>
      <c r="G374" s="543"/>
      <c r="H374" s="543"/>
      <c r="I374" s="544"/>
      <c r="J374" s="122" t="s">
        <v>496</v>
      </c>
      <c r="K374" s="22"/>
      <c r="L374" s="72"/>
      <c r="M374" s="561" t="s">
        <v>199</v>
      </c>
      <c r="N374" s="561"/>
      <c r="O374" s="197">
        <v>569155000</v>
      </c>
      <c r="P374" s="189">
        <f>O374</f>
        <v>569155000</v>
      </c>
      <c r="Q374" s="23">
        <f>SUM(Q375:Q389)</f>
        <v>401200000</v>
      </c>
      <c r="R374" s="24">
        <f>Q374/Q$216*100</f>
        <v>2.556684531224108</v>
      </c>
      <c r="S374" s="24">
        <v>100</v>
      </c>
      <c r="T374" s="23">
        <f t="shared" si="100"/>
        <v>0</v>
      </c>
      <c r="U374" s="23">
        <f t="shared" si="102"/>
        <v>0</v>
      </c>
      <c r="V374" s="90">
        <f t="shared" si="89"/>
        <v>100</v>
      </c>
      <c r="W374" s="23"/>
      <c r="X374" s="23" t="e">
        <f>#REF!</f>
        <v>#REF!</v>
      </c>
      <c r="Y374" s="23" t="e">
        <f>#REF!</f>
        <v>#REF!</v>
      </c>
      <c r="Z374" s="23" t="e">
        <f>#REF!</f>
        <v>#REF!</v>
      </c>
      <c r="AA374" s="23" t="e">
        <f>#REF!</f>
        <v>#REF!</v>
      </c>
      <c r="AB374" s="23">
        <v>286887000</v>
      </c>
      <c r="AC374" s="23" t="e">
        <f>#REF!</f>
        <v>#REF!</v>
      </c>
      <c r="AD374" s="23" t="e">
        <f>#REF!</f>
        <v>#REF!</v>
      </c>
      <c r="AE374" s="23" t="e">
        <f>#REF!</f>
        <v>#REF!</v>
      </c>
      <c r="AF374" s="23" t="e">
        <f>[1]April!N69</f>
        <v>#REF!</v>
      </c>
      <c r="AG374" s="23" t="e">
        <f>[2]april!N69</f>
        <v>#REF!</v>
      </c>
      <c r="AH374" s="23">
        <f>'[3]DES SKPD'!$N69</f>
        <v>642713500</v>
      </c>
      <c r="AI374" s="23">
        <f>SUM(AI375:AI389)</f>
        <v>0</v>
      </c>
      <c r="AJ374" s="24">
        <f t="shared" si="96"/>
        <v>0</v>
      </c>
      <c r="AK374" s="134">
        <f t="shared" si="103"/>
        <v>401200000</v>
      </c>
      <c r="AL374" s="24">
        <f t="shared" si="97"/>
        <v>100</v>
      </c>
      <c r="AM374" s="21"/>
    </row>
    <row r="375" spans="1:39" ht="24.75" customHeight="1" x14ac:dyDescent="0.25">
      <c r="A375" s="26"/>
      <c r="B375" s="97"/>
      <c r="C375" s="97"/>
      <c r="D375" s="97"/>
      <c r="E375" s="97"/>
      <c r="F375" s="97"/>
      <c r="G375" s="97"/>
      <c r="H375" s="97"/>
      <c r="I375" s="98"/>
      <c r="J375" s="97" t="s">
        <v>257</v>
      </c>
      <c r="K375" s="27"/>
      <c r="L375" s="31"/>
      <c r="M375" s="559" t="s">
        <v>258</v>
      </c>
      <c r="N375" s="560"/>
      <c r="O375" s="198"/>
      <c r="P375" s="190"/>
      <c r="Q375" s="28">
        <v>5520000</v>
      </c>
      <c r="R375" s="29">
        <f>Q375/Q$374*100</f>
        <v>1.3758723828514456</v>
      </c>
      <c r="S375" s="29">
        <v>100</v>
      </c>
      <c r="T375" s="28">
        <f t="shared" si="100"/>
        <v>0</v>
      </c>
      <c r="U375" s="28">
        <f t="shared" si="102"/>
        <v>0</v>
      </c>
      <c r="V375" s="87">
        <f t="shared" si="89"/>
        <v>100</v>
      </c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>
        <v>0</v>
      </c>
      <c r="AJ375" s="29">
        <f t="shared" si="96"/>
        <v>0</v>
      </c>
      <c r="AK375" s="136">
        <f t="shared" si="103"/>
        <v>5520000</v>
      </c>
      <c r="AL375" s="29">
        <f t="shared" si="97"/>
        <v>100</v>
      </c>
      <c r="AM375" s="26"/>
    </row>
    <row r="376" spans="1:39" ht="24.75" customHeight="1" x14ac:dyDescent="0.25">
      <c r="A376" s="26"/>
      <c r="B376" s="97"/>
      <c r="C376" s="97"/>
      <c r="D376" s="97"/>
      <c r="E376" s="97"/>
      <c r="F376" s="97"/>
      <c r="G376" s="97"/>
      <c r="H376" s="97"/>
      <c r="I376" s="98"/>
      <c r="J376" s="97" t="s">
        <v>259</v>
      </c>
      <c r="K376" s="27"/>
      <c r="L376" s="31"/>
      <c r="M376" s="559" t="s">
        <v>260</v>
      </c>
      <c r="N376" s="560"/>
      <c r="O376" s="198"/>
      <c r="P376" s="190"/>
      <c r="Q376" s="28">
        <v>1540000</v>
      </c>
      <c r="R376" s="29">
        <f t="shared" ref="R376:R389" si="106">Q376/Q$374*100</f>
        <v>0.38384845463609168</v>
      </c>
      <c r="S376" s="29">
        <v>100</v>
      </c>
      <c r="T376" s="28">
        <f t="shared" si="100"/>
        <v>0</v>
      </c>
      <c r="U376" s="28">
        <f t="shared" si="102"/>
        <v>0</v>
      </c>
      <c r="V376" s="87">
        <f t="shared" si="89"/>
        <v>100</v>
      </c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>
        <v>0</v>
      </c>
      <c r="AJ376" s="29">
        <f t="shared" si="96"/>
        <v>0</v>
      </c>
      <c r="AK376" s="136">
        <f t="shared" si="103"/>
        <v>1540000</v>
      </c>
      <c r="AL376" s="29">
        <f t="shared" si="97"/>
        <v>100</v>
      </c>
      <c r="AM376" s="26"/>
    </row>
    <row r="377" spans="1:39" ht="24.75" customHeight="1" x14ac:dyDescent="0.25">
      <c r="A377" s="26"/>
      <c r="B377" s="97"/>
      <c r="C377" s="97"/>
      <c r="D377" s="97"/>
      <c r="E377" s="97"/>
      <c r="F377" s="97"/>
      <c r="G377" s="97"/>
      <c r="H377" s="97"/>
      <c r="I377" s="98"/>
      <c r="J377" s="97" t="s">
        <v>326</v>
      </c>
      <c r="K377" s="27"/>
      <c r="L377" s="31"/>
      <c r="M377" s="559" t="s">
        <v>327</v>
      </c>
      <c r="N377" s="560"/>
      <c r="O377" s="198"/>
      <c r="P377" s="190"/>
      <c r="Q377" s="28">
        <v>51150000</v>
      </c>
      <c r="R377" s="29">
        <f t="shared" si="106"/>
        <v>12.74925224327019</v>
      </c>
      <c r="S377" s="29">
        <v>100</v>
      </c>
      <c r="T377" s="28">
        <f t="shared" si="100"/>
        <v>0</v>
      </c>
      <c r="U377" s="28">
        <f t="shared" si="102"/>
        <v>0</v>
      </c>
      <c r="V377" s="87">
        <f t="shared" si="89"/>
        <v>100</v>
      </c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>
        <v>0</v>
      </c>
      <c r="AJ377" s="29">
        <f t="shared" ref="AJ377:AJ445" si="107">AI377/Q377*100</f>
        <v>0</v>
      </c>
      <c r="AK377" s="136">
        <f t="shared" si="103"/>
        <v>51150000</v>
      </c>
      <c r="AL377" s="29">
        <f t="shared" ref="AL377:AL445" si="108">AK377/Q377*100</f>
        <v>100</v>
      </c>
      <c r="AM377" s="26"/>
    </row>
    <row r="378" spans="1:39" ht="24.75" customHeight="1" x14ac:dyDescent="0.25">
      <c r="A378" s="26"/>
      <c r="B378" s="97"/>
      <c r="C378" s="97"/>
      <c r="D378" s="97"/>
      <c r="E378" s="97"/>
      <c r="F378" s="97"/>
      <c r="G378" s="97"/>
      <c r="H378" s="97"/>
      <c r="I378" s="98"/>
      <c r="J378" s="97" t="s">
        <v>323</v>
      </c>
      <c r="K378" s="27"/>
      <c r="L378" s="31"/>
      <c r="M378" s="559" t="s">
        <v>324</v>
      </c>
      <c r="N378" s="560"/>
      <c r="O378" s="198"/>
      <c r="P378" s="190"/>
      <c r="Q378" s="28">
        <v>6000000</v>
      </c>
      <c r="R378" s="29">
        <f t="shared" si="106"/>
        <v>1.4955134596211366</v>
      </c>
      <c r="S378" s="29">
        <v>100</v>
      </c>
      <c r="T378" s="28">
        <f t="shared" si="100"/>
        <v>0</v>
      </c>
      <c r="U378" s="28">
        <f t="shared" si="102"/>
        <v>0</v>
      </c>
      <c r="V378" s="87">
        <f t="shared" si="89"/>
        <v>100</v>
      </c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>
        <v>0</v>
      </c>
      <c r="AJ378" s="29">
        <f t="shared" si="107"/>
        <v>0</v>
      </c>
      <c r="AK378" s="136">
        <f t="shared" si="103"/>
        <v>6000000</v>
      </c>
      <c r="AL378" s="29">
        <f t="shared" si="108"/>
        <v>100</v>
      </c>
      <c r="AM378" s="26"/>
    </row>
    <row r="379" spans="1:39" ht="24.75" customHeight="1" x14ac:dyDescent="0.25">
      <c r="A379" s="26"/>
      <c r="B379" s="97"/>
      <c r="C379" s="97"/>
      <c r="D379" s="97"/>
      <c r="E379" s="97"/>
      <c r="F379" s="97"/>
      <c r="G379" s="97"/>
      <c r="H379" s="97"/>
      <c r="I379" s="98"/>
      <c r="J379" s="97" t="s">
        <v>332</v>
      </c>
      <c r="K379" s="27"/>
      <c r="L379" s="31"/>
      <c r="M379" s="559" t="s">
        <v>351</v>
      </c>
      <c r="N379" s="560"/>
      <c r="O379" s="198"/>
      <c r="P379" s="190"/>
      <c r="Q379" s="28">
        <v>1250000</v>
      </c>
      <c r="R379" s="29">
        <f t="shared" si="106"/>
        <v>0.31156530408773681</v>
      </c>
      <c r="S379" s="29"/>
      <c r="T379" s="28">
        <f t="shared" si="100"/>
        <v>0</v>
      </c>
      <c r="U379" s="28">
        <f t="shared" si="102"/>
        <v>0</v>
      </c>
      <c r="V379" s="87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>
        <v>0</v>
      </c>
      <c r="AJ379" s="29">
        <f t="shared" si="107"/>
        <v>0</v>
      </c>
      <c r="AK379" s="136">
        <f t="shared" si="103"/>
        <v>1250000</v>
      </c>
      <c r="AL379" s="29">
        <f t="shared" si="108"/>
        <v>100</v>
      </c>
      <c r="AM379" s="26"/>
    </row>
    <row r="380" spans="1:39" ht="24.75" customHeight="1" x14ac:dyDescent="0.25">
      <c r="A380" s="26"/>
      <c r="B380" s="97"/>
      <c r="C380" s="97"/>
      <c r="D380" s="97"/>
      <c r="E380" s="97"/>
      <c r="F380" s="97"/>
      <c r="G380" s="97"/>
      <c r="H380" s="97"/>
      <c r="I380" s="98"/>
      <c r="J380" s="97" t="s">
        <v>269</v>
      </c>
      <c r="K380" s="27"/>
      <c r="L380" s="31"/>
      <c r="M380" s="559" t="s">
        <v>270</v>
      </c>
      <c r="N380" s="560"/>
      <c r="O380" s="198"/>
      <c r="P380" s="190"/>
      <c r="Q380" s="28">
        <v>16600000</v>
      </c>
      <c r="R380" s="29">
        <f t="shared" si="106"/>
        <v>4.1375872382851444</v>
      </c>
      <c r="S380" s="29">
        <v>100</v>
      </c>
      <c r="T380" s="28">
        <f t="shared" si="100"/>
        <v>0</v>
      </c>
      <c r="U380" s="28">
        <f t="shared" si="102"/>
        <v>0</v>
      </c>
      <c r="V380" s="87">
        <f t="shared" si="89"/>
        <v>100</v>
      </c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>
        <v>0</v>
      </c>
      <c r="AJ380" s="29">
        <f t="shared" si="107"/>
        <v>0</v>
      </c>
      <c r="AK380" s="136">
        <f t="shared" si="103"/>
        <v>16600000</v>
      </c>
      <c r="AL380" s="29">
        <f t="shared" si="108"/>
        <v>100</v>
      </c>
      <c r="AM380" s="26"/>
    </row>
    <row r="381" spans="1:39" ht="24.75" customHeight="1" x14ac:dyDescent="0.25">
      <c r="A381" s="26"/>
      <c r="B381" s="97"/>
      <c r="C381" s="97"/>
      <c r="D381" s="97"/>
      <c r="E381" s="97"/>
      <c r="F381" s="97"/>
      <c r="G381" s="97"/>
      <c r="H381" s="97"/>
      <c r="I381" s="98"/>
      <c r="J381" s="97" t="s">
        <v>315</v>
      </c>
      <c r="K381" s="27"/>
      <c r="L381" s="31"/>
      <c r="M381" s="559" t="s">
        <v>271</v>
      </c>
      <c r="N381" s="560"/>
      <c r="O381" s="198"/>
      <c r="P381" s="190"/>
      <c r="Q381" s="28">
        <v>3000000</v>
      </c>
      <c r="R381" s="29">
        <f t="shared" si="106"/>
        <v>0.74775672981056829</v>
      </c>
      <c r="S381" s="29">
        <v>100</v>
      </c>
      <c r="T381" s="28">
        <f t="shared" si="100"/>
        <v>0</v>
      </c>
      <c r="U381" s="28">
        <f t="shared" si="102"/>
        <v>0</v>
      </c>
      <c r="V381" s="87">
        <f t="shared" si="89"/>
        <v>100</v>
      </c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>
        <v>0</v>
      </c>
      <c r="AJ381" s="29">
        <f t="shared" si="107"/>
        <v>0</v>
      </c>
      <c r="AK381" s="136">
        <f t="shared" si="103"/>
        <v>3000000</v>
      </c>
      <c r="AL381" s="29">
        <f t="shared" si="108"/>
        <v>100</v>
      </c>
      <c r="AM381" s="26"/>
    </row>
    <row r="382" spans="1:39" ht="24.75" customHeight="1" x14ac:dyDescent="0.25">
      <c r="A382" s="26"/>
      <c r="B382" s="97"/>
      <c r="C382" s="97"/>
      <c r="D382" s="97"/>
      <c r="E382" s="97"/>
      <c r="F382" s="97"/>
      <c r="G382" s="97"/>
      <c r="H382" s="97"/>
      <c r="I382" s="98"/>
      <c r="J382" s="97" t="s">
        <v>328</v>
      </c>
      <c r="K382" s="27"/>
      <c r="L382" s="31"/>
      <c r="M382" s="559" t="s">
        <v>329</v>
      </c>
      <c r="N382" s="560"/>
      <c r="O382" s="198"/>
      <c r="P382" s="190"/>
      <c r="Q382" s="28">
        <v>43000000</v>
      </c>
      <c r="R382" s="29">
        <f t="shared" si="106"/>
        <v>10.717846460618146</v>
      </c>
      <c r="S382" s="29">
        <v>100</v>
      </c>
      <c r="T382" s="28">
        <f t="shared" si="100"/>
        <v>0</v>
      </c>
      <c r="U382" s="28">
        <f t="shared" si="102"/>
        <v>0</v>
      </c>
      <c r="V382" s="87">
        <f t="shared" si="89"/>
        <v>100</v>
      </c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>
        <v>0</v>
      </c>
      <c r="AJ382" s="29">
        <f t="shared" si="107"/>
        <v>0</v>
      </c>
      <c r="AK382" s="136">
        <f t="shared" si="103"/>
        <v>43000000</v>
      </c>
      <c r="AL382" s="29">
        <f t="shared" si="108"/>
        <v>100</v>
      </c>
      <c r="AM382" s="26"/>
    </row>
    <row r="383" spans="1:39" ht="27.75" customHeight="1" x14ac:dyDescent="0.25">
      <c r="A383" s="26"/>
      <c r="B383" s="97"/>
      <c r="C383" s="97"/>
      <c r="D383" s="97"/>
      <c r="E383" s="97"/>
      <c r="F383" s="97"/>
      <c r="G383" s="97"/>
      <c r="H383" s="97"/>
      <c r="I383" s="98"/>
      <c r="J383" s="97" t="s">
        <v>318</v>
      </c>
      <c r="K383" s="27"/>
      <c r="L383" s="31"/>
      <c r="M383" s="559" t="s">
        <v>319</v>
      </c>
      <c r="N383" s="560"/>
      <c r="O383" s="198"/>
      <c r="P383" s="190"/>
      <c r="Q383" s="28">
        <v>100000000</v>
      </c>
      <c r="R383" s="29">
        <f t="shared" si="106"/>
        <v>24.925224327018945</v>
      </c>
      <c r="S383" s="29">
        <v>100</v>
      </c>
      <c r="T383" s="28">
        <f t="shared" si="100"/>
        <v>0</v>
      </c>
      <c r="U383" s="28">
        <f t="shared" si="102"/>
        <v>0</v>
      </c>
      <c r="V383" s="87">
        <f t="shared" si="89"/>
        <v>100</v>
      </c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>
        <v>0</v>
      </c>
      <c r="AJ383" s="29">
        <f t="shared" si="107"/>
        <v>0</v>
      </c>
      <c r="AK383" s="136">
        <f t="shared" si="103"/>
        <v>100000000</v>
      </c>
      <c r="AL383" s="29">
        <f t="shared" si="108"/>
        <v>100</v>
      </c>
      <c r="AM383" s="26"/>
    </row>
    <row r="384" spans="1:39" ht="24.75" customHeight="1" x14ac:dyDescent="0.25">
      <c r="A384" s="26"/>
      <c r="B384" s="97"/>
      <c r="C384" s="97"/>
      <c r="D384" s="97"/>
      <c r="E384" s="97"/>
      <c r="F384" s="97"/>
      <c r="G384" s="97"/>
      <c r="H384" s="97"/>
      <c r="I384" s="98"/>
      <c r="J384" s="97" t="s">
        <v>280</v>
      </c>
      <c r="K384" s="27"/>
      <c r="L384" s="31"/>
      <c r="M384" s="559" t="s">
        <v>281</v>
      </c>
      <c r="N384" s="560"/>
      <c r="O384" s="198"/>
      <c r="P384" s="190"/>
      <c r="Q384" s="28">
        <v>29000000</v>
      </c>
      <c r="R384" s="29">
        <f t="shared" si="106"/>
        <v>7.2283150548354937</v>
      </c>
      <c r="S384" s="29">
        <v>100</v>
      </c>
      <c r="T384" s="28">
        <f t="shared" si="100"/>
        <v>0</v>
      </c>
      <c r="U384" s="28">
        <f t="shared" si="102"/>
        <v>0</v>
      </c>
      <c r="V384" s="87">
        <f t="shared" si="89"/>
        <v>100</v>
      </c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>
        <v>0</v>
      </c>
      <c r="AJ384" s="29">
        <f t="shared" si="107"/>
        <v>0</v>
      </c>
      <c r="AK384" s="136">
        <f t="shared" si="103"/>
        <v>29000000</v>
      </c>
      <c r="AL384" s="29">
        <f t="shared" si="108"/>
        <v>100</v>
      </c>
      <c r="AM384" s="26"/>
    </row>
    <row r="385" spans="1:39" ht="24.75" customHeight="1" x14ac:dyDescent="0.25">
      <c r="A385" s="26"/>
      <c r="B385" s="97"/>
      <c r="C385" s="97"/>
      <c r="D385" s="97"/>
      <c r="E385" s="97"/>
      <c r="F385" s="97"/>
      <c r="G385" s="97"/>
      <c r="H385" s="97"/>
      <c r="I385" s="98"/>
      <c r="J385" s="97" t="s">
        <v>284</v>
      </c>
      <c r="K385" s="27"/>
      <c r="L385" s="31"/>
      <c r="M385" s="559" t="s">
        <v>285</v>
      </c>
      <c r="N385" s="560"/>
      <c r="O385" s="198"/>
      <c r="P385" s="190"/>
      <c r="Q385" s="28">
        <v>5000000</v>
      </c>
      <c r="R385" s="29">
        <f t="shared" si="106"/>
        <v>1.2462612163509472</v>
      </c>
      <c r="S385" s="29">
        <v>100</v>
      </c>
      <c r="T385" s="28">
        <f t="shared" si="100"/>
        <v>0</v>
      </c>
      <c r="U385" s="28">
        <f t="shared" si="102"/>
        <v>0</v>
      </c>
      <c r="V385" s="87">
        <f t="shared" si="89"/>
        <v>100</v>
      </c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>
        <v>0</v>
      </c>
      <c r="AJ385" s="29">
        <f t="shared" si="107"/>
        <v>0</v>
      </c>
      <c r="AK385" s="136">
        <f t="shared" si="103"/>
        <v>5000000</v>
      </c>
      <c r="AL385" s="29">
        <f t="shared" si="108"/>
        <v>100</v>
      </c>
      <c r="AM385" s="26"/>
    </row>
    <row r="386" spans="1:39" ht="24.75" customHeight="1" x14ac:dyDescent="0.25">
      <c r="A386" s="26"/>
      <c r="B386" s="97"/>
      <c r="C386" s="97"/>
      <c r="D386" s="97"/>
      <c r="E386" s="97"/>
      <c r="F386" s="97"/>
      <c r="G386" s="97"/>
      <c r="H386" s="97"/>
      <c r="I386" s="98"/>
      <c r="J386" s="97" t="s">
        <v>282</v>
      </c>
      <c r="K386" s="27"/>
      <c r="L386" s="31"/>
      <c r="M386" s="559" t="s">
        <v>283</v>
      </c>
      <c r="N386" s="560"/>
      <c r="O386" s="198"/>
      <c r="P386" s="190"/>
      <c r="Q386" s="28">
        <v>43140000</v>
      </c>
      <c r="R386" s="29">
        <f t="shared" si="106"/>
        <v>10.752741774675972</v>
      </c>
      <c r="S386" s="29">
        <v>100</v>
      </c>
      <c r="T386" s="28">
        <f t="shared" si="100"/>
        <v>0</v>
      </c>
      <c r="U386" s="28">
        <f t="shared" si="102"/>
        <v>0</v>
      </c>
      <c r="V386" s="87">
        <f t="shared" si="89"/>
        <v>100</v>
      </c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>
        <v>0</v>
      </c>
      <c r="AJ386" s="29">
        <f t="shared" si="107"/>
        <v>0</v>
      </c>
      <c r="AK386" s="136">
        <f t="shared" si="103"/>
        <v>43140000</v>
      </c>
      <c r="AL386" s="29">
        <f t="shared" si="108"/>
        <v>100</v>
      </c>
      <c r="AM386" s="26"/>
    </row>
    <row r="387" spans="1:39" ht="24.75" customHeight="1" x14ac:dyDescent="0.25">
      <c r="A387" s="26"/>
      <c r="B387" s="97"/>
      <c r="C387" s="97"/>
      <c r="D387" s="97"/>
      <c r="E387" s="97"/>
      <c r="F387" s="97"/>
      <c r="G387" s="97"/>
      <c r="H387" s="97"/>
      <c r="I387" s="98"/>
      <c r="J387" s="97" t="s">
        <v>320</v>
      </c>
      <c r="K387" s="27"/>
      <c r="L387" s="31"/>
      <c r="M387" s="559" t="s">
        <v>321</v>
      </c>
      <c r="N387" s="560"/>
      <c r="O387" s="198"/>
      <c r="P387" s="190"/>
      <c r="Q387" s="28">
        <v>80600000</v>
      </c>
      <c r="R387" s="29">
        <f t="shared" si="106"/>
        <v>20.089730807577268</v>
      </c>
      <c r="S387" s="29">
        <v>100</v>
      </c>
      <c r="T387" s="28">
        <f t="shared" si="100"/>
        <v>0</v>
      </c>
      <c r="U387" s="28">
        <f t="shared" si="102"/>
        <v>0</v>
      </c>
      <c r="V387" s="87">
        <f t="shared" si="89"/>
        <v>100</v>
      </c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>
        <v>0</v>
      </c>
      <c r="AJ387" s="29">
        <f t="shared" si="107"/>
        <v>0</v>
      </c>
      <c r="AK387" s="136">
        <f t="shared" si="103"/>
        <v>80600000</v>
      </c>
      <c r="AL387" s="29">
        <f t="shared" si="108"/>
        <v>100</v>
      </c>
      <c r="AM387" s="26"/>
    </row>
    <row r="388" spans="1:39" ht="24.75" customHeight="1" x14ac:dyDescent="0.25">
      <c r="A388" s="26"/>
      <c r="B388" s="97"/>
      <c r="C388" s="97"/>
      <c r="D388" s="97"/>
      <c r="E388" s="97"/>
      <c r="F388" s="97"/>
      <c r="G388" s="97"/>
      <c r="H388" s="97"/>
      <c r="I388" s="98"/>
      <c r="J388" s="97" t="s">
        <v>309</v>
      </c>
      <c r="K388" s="27"/>
      <c r="L388" s="31"/>
      <c r="M388" s="559" t="s">
        <v>310</v>
      </c>
      <c r="N388" s="560"/>
      <c r="O388" s="198"/>
      <c r="P388" s="190"/>
      <c r="Q388" s="28">
        <v>9000000</v>
      </c>
      <c r="R388" s="29">
        <f t="shared" si="106"/>
        <v>2.2432701894317049</v>
      </c>
      <c r="S388" s="29">
        <v>100</v>
      </c>
      <c r="T388" s="28">
        <f t="shared" si="100"/>
        <v>0</v>
      </c>
      <c r="U388" s="28">
        <f t="shared" si="102"/>
        <v>0</v>
      </c>
      <c r="V388" s="87">
        <f t="shared" si="89"/>
        <v>100</v>
      </c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>
        <v>0</v>
      </c>
      <c r="AJ388" s="29">
        <f t="shared" si="107"/>
        <v>0</v>
      </c>
      <c r="AK388" s="136">
        <f t="shared" si="103"/>
        <v>9000000</v>
      </c>
      <c r="AL388" s="29">
        <f t="shared" si="108"/>
        <v>100</v>
      </c>
      <c r="AM388" s="26"/>
    </row>
    <row r="389" spans="1:39" ht="24.75" customHeight="1" x14ac:dyDescent="0.25">
      <c r="A389" s="26"/>
      <c r="B389" s="97"/>
      <c r="C389" s="97"/>
      <c r="D389" s="97"/>
      <c r="E389" s="97"/>
      <c r="F389" s="97"/>
      <c r="G389" s="97"/>
      <c r="H389" s="97"/>
      <c r="I389" s="98"/>
      <c r="J389" s="97" t="s">
        <v>407</v>
      </c>
      <c r="K389" s="27"/>
      <c r="L389" s="31"/>
      <c r="M389" s="575" t="s">
        <v>414</v>
      </c>
      <c r="N389" s="576"/>
      <c r="O389" s="198"/>
      <c r="P389" s="190"/>
      <c r="Q389" s="28">
        <v>6400000</v>
      </c>
      <c r="R389" s="29">
        <f t="shared" si="106"/>
        <v>1.5952143569292123</v>
      </c>
      <c r="S389" s="29"/>
      <c r="T389" s="28">
        <f t="shared" si="100"/>
        <v>0</v>
      </c>
      <c r="U389" s="28">
        <f t="shared" si="102"/>
        <v>0</v>
      </c>
      <c r="V389" s="87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>
        <v>0</v>
      </c>
      <c r="AJ389" s="29">
        <f t="shared" si="107"/>
        <v>0</v>
      </c>
      <c r="AK389" s="136">
        <f t="shared" si="103"/>
        <v>6400000</v>
      </c>
      <c r="AL389" s="29">
        <f t="shared" si="108"/>
        <v>100</v>
      </c>
      <c r="AM389" s="26"/>
    </row>
    <row r="390" spans="1:39" s="41" customFormat="1" ht="29.25" customHeight="1" x14ac:dyDescent="0.25">
      <c r="A390" s="21">
        <f>A374+1</f>
        <v>47</v>
      </c>
      <c r="B390" s="543" t="s">
        <v>150</v>
      </c>
      <c r="C390" s="543"/>
      <c r="D390" s="543"/>
      <c r="E390" s="543"/>
      <c r="F390" s="543"/>
      <c r="G390" s="543"/>
      <c r="H390" s="543"/>
      <c r="I390" s="544"/>
      <c r="J390" s="122" t="s">
        <v>497</v>
      </c>
      <c r="K390" s="22"/>
      <c r="L390" s="72"/>
      <c r="M390" s="566" t="s">
        <v>51</v>
      </c>
      <c r="N390" s="566"/>
      <c r="O390" s="197">
        <v>316240000</v>
      </c>
      <c r="P390" s="189">
        <f>O390</f>
        <v>316240000</v>
      </c>
      <c r="Q390" s="23">
        <f>SUM(Q391:Q397)</f>
        <v>250300000</v>
      </c>
      <c r="R390" s="24">
        <f>Q390/Q$216*100</f>
        <v>1.5950601649187293</v>
      </c>
      <c r="S390" s="24">
        <v>100</v>
      </c>
      <c r="T390" s="23">
        <f t="shared" si="100"/>
        <v>0</v>
      </c>
      <c r="U390" s="23">
        <f t="shared" si="102"/>
        <v>0</v>
      </c>
      <c r="V390" s="90">
        <f t="shared" si="89"/>
        <v>100</v>
      </c>
      <c r="W390" s="23"/>
      <c r="X390" s="23" t="e">
        <f>#REF!</f>
        <v>#REF!</v>
      </c>
      <c r="Y390" s="23" t="e">
        <f>#REF!</f>
        <v>#REF!</v>
      </c>
      <c r="Z390" s="23" t="e">
        <f>#REF!</f>
        <v>#REF!</v>
      </c>
      <c r="AA390" s="23" t="e">
        <f>#REF!</f>
        <v>#REF!</v>
      </c>
      <c r="AB390" s="23">
        <v>13182000</v>
      </c>
      <c r="AC390" s="23" t="e">
        <f>#REF!</f>
        <v>#REF!</v>
      </c>
      <c r="AD390" s="23" t="e">
        <f>#REF!</f>
        <v>#REF!</v>
      </c>
      <c r="AE390" s="23" t="e">
        <f>#REF!</f>
        <v>#REF!</v>
      </c>
      <c r="AF390" s="23" t="e">
        <f>[1]April!N70</f>
        <v>#REF!</v>
      </c>
      <c r="AG390" s="23" t="e">
        <f>[2]april!N70</f>
        <v>#REF!</v>
      </c>
      <c r="AH390" s="23">
        <f>'[3]DES SKPD'!$N70</f>
        <v>293250450</v>
      </c>
      <c r="AI390" s="23">
        <f>SUM(AI391:AI397)</f>
        <v>0</v>
      </c>
      <c r="AJ390" s="24">
        <f t="shared" si="107"/>
        <v>0</v>
      </c>
      <c r="AK390" s="134">
        <f t="shared" si="103"/>
        <v>250300000</v>
      </c>
      <c r="AL390" s="24">
        <f t="shared" si="108"/>
        <v>100</v>
      </c>
      <c r="AM390" s="21"/>
    </row>
    <row r="391" spans="1:39" ht="29.25" customHeight="1" x14ac:dyDescent="0.25">
      <c r="A391" s="26"/>
      <c r="B391" s="97"/>
      <c r="C391" s="97"/>
      <c r="D391" s="97"/>
      <c r="E391" s="97"/>
      <c r="F391" s="97"/>
      <c r="G391" s="97"/>
      <c r="H391" s="97"/>
      <c r="I391" s="98"/>
      <c r="J391" s="97" t="s">
        <v>257</v>
      </c>
      <c r="K391" s="27"/>
      <c r="L391" s="31"/>
      <c r="M391" s="563" t="s">
        <v>258</v>
      </c>
      <c r="N391" s="564"/>
      <c r="O391" s="198"/>
      <c r="P391" s="190"/>
      <c r="Q391" s="28">
        <v>3000000</v>
      </c>
      <c r="R391" s="29">
        <f>Q391/Q$390*100</f>
        <v>1.1985617259288852</v>
      </c>
      <c r="S391" s="29">
        <v>100</v>
      </c>
      <c r="T391" s="28">
        <f t="shared" si="100"/>
        <v>0</v>
      </c>
      <c r="U391" s="28">
        <f t="shared" si="102"/>
        <v>0</v>
      </c>
      <c r="V391" s="87">
        <f t="shared" si="89"/>
        <v>100</v>
      </c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>
        <v>0</v>
      </c>
      <c r="AJ391" s="29">
        <f t="shared" si="107"/>
        <v>0</v>
      </c>
      <c r="AK391" s="136">
        <f t="shared" si="103"/>
        <v>3000000</v>
      </c>
      <c r="AL391" s="29">
        <f t="shared" si="108"/>
        <v>100</v>
      </c>
      <c r="AM391" s="26"/>
    </row>
    <row r="392" spans="1:39" ht="29.25" customHeight="1" x14ac:dyDescent="0.25">
      <c r="A392" s="26"/>
      <c r="B392" s="97"/>
      <c r="C392" s="97"/>
      <c r="D392" s="97"/>
      <c r="E392" s="97"/>
      <c r="F392" s="97"/>
      <c r="G392" s="97"/>
      <c r="H392" s="97"/>
      <c r="I392" s="98"/>
      <c r="J392" s="97" t="s">
        <v>259</v>
      </c>
      <c r="K392" s="27"/>
      <c r="L392" s="31"/>
      <c r="M392" s="563" t="s">
        <v>260</v>
      </c>
      <c r="N392" s="564"/>
      <c r="O392" s="198"/>
      <c r="P392" s="190"/>
      <c r="Q392" s="28">
        <v>1600000</v>
      </c>
      <c r="R392" s="29">
        <f t="shared" ref="R392:R397" si="109">Q392/Q$390*100</f>
        <v>0.63923292049540548</v>
      </c>
      <c r="S392" s="29">
        <v>100</v>
      </c>
      <c r="T392" s="28">
        <f t="shared" si="100"/>
        <v>0</v>
      </c>
      <c r="U392" s="28">
        <f t="shared" si="102"/>
        <v>0</v>
      </c>
      <c r="V392" s="87">
        <f t="shared" si="89"/>
        <v>100</v>
      </c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>
        <v>0</v>
      </c>
      <c r="AJ392" s="29">
        <f t="shared" si="107"/>
        <v>0</v>
      </c>
      <c r="AK392" s="136">
        <f t="shared" si="103"/>
        <v>1600000</v>
      </c>
      <c r="AL392" s="29">
        <f t="shared" si="108"/>
        <v>100</v>
      </c>
      <c r="AM392" s="26"/>
    </row>
    <row r="393" spans="1:39" ht="29.25" customHeight="1" x14ac:dyDescent="0.25">
      <c r="A393" s="26"/>
      <c r="B393" s="97"/>
      <c r="C393" s="97"/>
      <c r="D393" s="97"/>
      <c r="E393" s="97"/>
      <c r="F393" s="97"/>
      <c r="G393" s="97"/>
      <c r="H393" s="97"/>
      <c r="I393" s="98"/>
      <c r="J393" s="97" t="s">
        <v>315</v>
      </c>
      <c r="K393" s="27"/>
      <c r="L393" s="31"/>
      <c r="M393" s="563" t="s">
        <v>271</v>
      </c>
      <c r="N393" s="564"/>
      <c r="O393" s="198"/>
      <c r="P393" s="190"/>
      <c r="Q393" s="28">
        <v>1500000</v>
      </c>
      <c r="R393" s="29">
        <f t="shared" si="109"/>
        <v>0.59928086296444261</v>
      </c>
      <c r="S393" s="29">
        <v>100</v>
      </c>
      <c r="T393" s="28">
        <f t="shared" si="100"/>
        <v>0</v>
      </c>
      <c r="U393" s="28">
        <f t="shared" si="102"/>
        <v>0</v>
      </c>
      <c r="V393" s="87">
        <f t="shared" si="89"/>
        <v>100</v>
      </c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>
        <v>0</v>
      </c>
      <c r="AJ393" s="29">
        <f t="shared" si="107"/>
        <v>0</v>
      </c>
      <c r="AK393" s="136">
        <f t="shared" si="103"/>
        <v>1500000</v>
      </c>
      <c r="AL393" s="29">
        <f t="shared" si="108"/>
        <v>100</v>
      </c>
      <c r="AM393" s="26"/>
    </row>
    <row r="394" spans="1:39" ht="29.25" customHeight="1" x14ac:dyDescent="0.25">
      <c r="A394" s="26"/>
      <c r="B394" s="97"/>
      <c r="C394" s="97"/>
      <c r="D394" s="97"/>
      <c r="E394" s="97"/>
      <c r="F394" s="97"/>
      <c r="G394" s="97"/>
      <c r="H394" s="97"/>
      <c r="I394" s="98"/>
      <c r="J394" s="97" t="s">
        <v>284</v>
      </c>
      <c r="K394" s="27"/>
      <c r="L394" s="31"/>
      <c r="M394" s="563" t="s">
        <v>285</v>
      </c>
      <c r="N394" s="564"/>
      <c r="O394" s="198"/>
      <c r="P394" s="190"/>
      <c r="Q394" s="28">
        <v>5000000</v>
      </c>
      <c r="R394" s="29">
        <f t="shared" si="109"/>
        <v>1.9976028765481422</v>
      </c>
      <c r="S394" s="29"/>
      <c r="T394" s="28">
        <f t="shared" si="100"/>
        <v>0</v>
      </c>
      <c r="U394" s="28">
        <f t="shared" si="102"/>
        <v>0</v>
      </c>
      <c r="V394" s="87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>
        <v>0</v>
      </c>
      <c r="AJ394" s="29">
        <f t="shared" si="107"/>
        <v>0</v>
      </c>
      <c r="AK394" s="136">
        <f t="shared" si="103"/>
        <v>5000000</v>
      </c>
      <c r="AL394" s="29">
        <f t="shared" si="108"/>
        <v>100</v>
      </c>
      <c r="AM394" s="26"/>
    </row>
    <row r="395" spans="1:39" ht="29.25" customHeight="1" x14ac:dyDescent="0.25">
      <c r="A395" s="26"/>
      <c r="B395" s="97"/>
      <c r="C395" s="97"/>
      <c r="D395" s="97"/>
      <c r="E395" s="97"/>
      <c r="F395" s="97"/>
      <c r="G395" s="97"/>
      <c r="H395" s="97"/>
      <c r="I395" s="98"/>
      <c r="J395" s="97" t="s">
        <v>282</v>
      </c>
      <c r="K395" s="27"/>
      <c r="L395" s="31"/>
      <c r="M395" s="563" t="s">
        <v>283</v>
      </c>
      <c r="N395" s="564"/>
      <c r="O395" s="198"/>
      <c r="P395" s="190"/>
      <c r="Q395" s="28">
        <v>10000000</v>
      </c>
      <c r="R395" s="29">
        <f t="shared" si="109"/>
        <v>3.9952057530962843</v>
      </c>
      <c r="S395" s="29">
        <v>100</v>
      </c>
      <c r="T395" s="28">
        <f t="shared" si="100"/>
        <v>0</v>
      </c>
      <c r="U395" s="28">
        <f t="shared" si="102"/>
        <v>0</v>
      </c>
      <c r="V395" s="87">
        <f t="shared" si="89"/>
        <v>100</v>
      </c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>
        <v>0</v>
      </c>
      <c r="AJ395" s="29">
        <f t="shared" si="107"/>
        <v>0</v>
      </c>
      <c r="AK395" s="136">
        <f t="shared" si="103"/>
        <v>10000000</v>
      </c>
      <c r="AL395" s="29">
        <f t="shared" si="108"/>
        <v>100</v>
      </c>
      <c r="AM395" s="26"/>
    </row>
    <row r="396" spans="1:39" ht="29.25" customHeight="1" x14ac:dyDescent="0.25">
      <c r="A396" s="26"/>
      <c r="B396" s="97"/>
      <c r="C396" s="97"/>
      <c r="D396" s="97"/>
      <c r="E396" s="97"/>
      <c r="F396" s="97"/>
      <c r="G396" s="97"/>
      <c r="H396" s="97"/>
      <c r="I396" s="98"/>
      <c r="J396" s="97" t="s">
        <v>308</v>
      </c>
      <c r="K396" s="27"/>
      <c r="L396" s="31"/>
      <c r="M396" s="563" t="s">
        <v>344</v>
      </c>
      <c r="N396" s="564"/>
      <c r="O396" s="198"/>
      <c r="P396" s="190"/>
      <c r="Q396" s="28">
        <v>150000000</v>
      </c>
      <c r="R396" s="29">
        <f t="shared" si="109"/>
        <v>59.92808629644427</v>
      </c>
      <c r="S396" s="29">
        <v>100</v>
      </c>
      <c r="T396" s="28">
        <f t="shared" si="100"/>
        <v>0</v>
      </c>
      <c r="U396" s="28">
        <f t="shared" si="102"/>
        <v>0</v>
      </c>
      <c r="V396" s="87">
        <f t="shared" si="89"/>
        <v>100</v>
      </c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>
        <v>0</v>
      </c>
      <c r="AJ396" s="29">
        <f t="shared" si="107"/>
        <v>0</v>
      </c>
      <c r="AK396" s="136">
        <f t="shared" si="103"/>
        <v>150000000</v>
      </c>
      <c r="AL396" s="29">
        <f t="shared" si="108"/>
        <v>100</v>
      </c>
      <c r="AM396" s="26"/>
    </row>
    <row r="397" spans="1:39" ht="29.25" customHeight="1" x14ac:dyDescent="0.25">
      <c r="A397" s="26"/>
      <c r="B397" s="97"/>
      <c r="C397" s="97"/>
      <c r="D397" s="97"/>
      <c r="E397" s="97"/>
      <c r="F397" s="97"/>
      <c r="G397" s="97"/>
      <c r="H397" s="97"/>
      <c r="I397" s="98"/>
      <c r="J397" s="97" t="s">
        <v>309</v>
      </c>
      <c r="K397" s="27"/>
      <c r="L397" s="31"/>
      <c r="M397" s="563" t="s">
        <v>310</v>
      </c>
      <c r="N397" s="564"/>
      <c r="O397" s="198"/>
      <c r="P397" s="190"/>
      <c r="Q397" s="28">
        <v>79200000</v>
      </c>
      <c r="R397" s="29">
        <f t="shared" si="109"/>
        <v>31.642029564522574</v>
      </c>
      <c r="S397" s="29">
        <v>100</v>
      </c>
      <c r="T397" s="28">
        <f t="shared" si="100"/>
        <v>0</v>
      </c>
      <c r="U397" s="28">
        <f t="shared" si="102"/>
        <v>0</v>
      </c>
      <c r="V397" s="87">
        <f t="shared" si="89"/>
        <v>100</v>
      </c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>
        <v>0</v>
      </c>
      <c r="AJ397" s="29">
        <f t="shared" si="107"/>
        <v>0</v>
      </c>
      <c r="AK397" s="136">
        <f t="shared" si="103"/>
        <v>79200000</v>
      </c>
      <c r="AL397" s="29">
        <f t="shared" si="108"/>
        <v>100</v>
      </c>
      <c r="AM397" s="26"/>
    </row>
    <row r="398" spans="1:39" s="41" customFormat="1" ht="30" customHeight="1" x14ac:dyDescent="0.25">
      <c r="A398" s="21">
        <f>A390+1</f>
        <v>48</v>
      </c>
      <c r="B398" s="543" t="s">
        <v>151</v>
      </c>
      <c r="C398" s="543"/>
      <c r="D398" s="543"/>
      <c r="E398" s="543"/>
      <c r="F398" s="543"/>
      <c r="G398" s="543"/>
      <c r="H398" s="543"/>
      <c r="I398" s="544"/>
      <c r="J398" s="122" t="s">
        <v>498</v>
      </c>
      <c r="K398" s="22"/>
      <c r="L398" s="72"/>
      <c r="M398" s="574" t="s">
        <v>52</v>
      </c>
      <c r="N398" s="574"/>
      <c r="O398" s="197">
        <v>252956000</v>
      </c>
      <c r="P398" s="189">
        <f>O398</f>
        <v>252956000</v>
      </c>
      <c r="Q398" s="23">
        <f>SUM(Q399:Q412)</f>
        <v>286094800</v>
      </c>
      <c r="R398" s="24">
        <f>Q398/Q$33*100</f>
        <v>0.83627115612417668</v>
      </c>
      <c r="S398" s="24">
        <v>100</v>
      </c>
      <c r="T398" s="23">
        <f t="shared" si="100"/>
        <v>0</v>
      </c>
      <c r="U398" s="23">
        <f t="shared" si="102"/>
        <v>0</v>
      </c>
      <c r="V398" s="90">
        <f t="shared" si="89"/>
        <v>100</v>
      </c>
      <c r="W398" s="23"/>
      <c r="X398" s="23" t="e">
        <f>#REF!</f>
        <v>#REF!</v>
      </c>
      <c r="Y398" s="23" t="e">
        <f>#REF!</f>
        <v>#REF!</v>
      </c>
      <c r="Z398" s="23" t="e">
        <f>#REF!</f>
        <v>#REF!</v>
      </c>
      <c r="AA398" s="23" t="e">
        <f>#REF!</f>
        <v>#REF!</v>
      </c>
      <c r="AB398" s="23">
        <v>58582925</v>
      </c>
      <c r="AC398" s="23" t="e">
        <f>#REF!</f>
        <v>#REF!</v>
      </c>
      <c r="AD398" s="23" t="e">
        <f>#REF!</f>
        <v>#REF!</v>
      </c>
      <c r="AE398" s="23" t="e">
        <f>#REF!</f>
        <v>#REF!</v>
      </c>
      <c r="AF398" s="23" t="e">
        <f>[1]April!N71</f>
        <v>#REF!</v>
      </c>
      <c r="AG398" s="23" t="e">
        <f>[2]april!N71</f>
        <v>#REF!</v>
      </c>
      <c r="AH398" s="23">
        <f>'[3]DES SKPD'!$N71</f>
        <v>205056925</v>
      </c>
      <c r="AI398" s="23">
        <f>SUM(AI399:AI411)</f>
        <v>0</v>
      </c>
      <c r="AJ398" s="24">
        <f t="shared" si="107"/>
        <v>0</v>
      </c>
      <c r="AK398" s="134">
        <f t="shared" si="103"/>
        <v>286094800</v>
      </c>
      <c r="AL398" s="24">
        <f t="shared" si="108"/>
        <v>100</v>
      </c>
      <c r="AM398" s="21"/>
    </row>
    <row r="399" spans="1:39" ht="29.25" customHeight="1" x14ac:dyDescent="0.25">
      <c r="A399" s="26"/>
      <c r="B399" s="97"/>
      <c r="C399" s="97"/>
      <c r="D399" s="97"/>
      <c r="E399" s="97"/>
      <c r="F399" s="97"/>
      <c r="G399" s="97"/>
      <c r="H399" s="97"/>
      <c r="I399" s="98"/>
      <c r="J399" s="97" t="s">
        <v>257</v>
      </c>
      <c r="K399" s="27"/>
      <c r="L399" s="31"/>
      <c r="M399" s="577" t="s">
        <v>258</v>
      </c>
      <c r="N399" s="564"/>
      <c r="O399" s="198"/>
      <c r="P399" s="190"/>
      <c r="Q399" s="28">
        <v>3900000</v>
      </c>
      <c r="R399" s="29">
        <f>Q399/Q$398*100</f>
        <v>1.3631845108684255</v>
      </c>
      <c r="S399" s="29">
        <v>100</v>
      </c>
      <c r="T399" s="28">
        <f t="shared" si="100"/>
        <v>0</v>
      </c>
      <c r="U399" s="28">
        <f t="shared" si="102"/>
        <v>0</v>
      </c>
      <c r="V399" s="87">
        <f t="shared" si="89"/>
        <v>100</v>
      </c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>
        <v>0</v>
      </c>
      <c r="AJ399" s="29">
        <f t="shared" si="107"/>
        <v>0</v>
      </c>
      <c r="AK399" s="136">
        <f t="shared" si="103"/>
        <v>3900000</v>
      </c>
      <c r="AL399" s="29">
        <f t="shared" si="108"/>
        <v>100</v>
      </c>
      <c r="AM399" s="26"/>
    </row>
    <row r="400" spans="1:39" ht="29.25" customHeight="1" x14ac:dyDescent="0.25">
      <c r="A400" s="26"/>
      <c r="B400" s="97"/>
      <c r="C400" s="97"/>
      <c r="D400" s="97"/>
      <c r="E400" s="97"/>
      <c r="F400" s="97"/>
      <c r="G400" s="97"/>
      <c r="H400" s="97"/>
      <c r="I400" s="98"/>
      <c r="J400" s="97" t="s">
        <v>415</v>
      </c>
      <c r="K400" s="27"/>
      <c r="L400" s="31"/>
      <c r="M400" s="577" t="s">
        <v>260</v>
      </c>
      <c r="N400" s="564"/>
      <c r="O400" s="198"/>
      <c r="P400" s="190"/>
      <c r="Q400" s="28">
        <v>800000</v>
      </c>
      <c r="R400" s="29">
        <f>Q400/Q$398*100</f>
        <v>0.27962759197301035</v>
      </c>
      <c r="S400" s="29">
        <v>100</v>
      </c>
      <c r="T400" s="28">
        <f t="shared" si="100"/>
        <v>0</v>
      </c>
      <c r="U400" s="28">
        <f t="shared" si="102"/>
        <v>0</v>
      </c>
      <c r="V400" s="87">
        <f t="shared" si="89"/>
        <v>100</v>
      </c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>
        <v>0</v>
      </c>
      <c r="AJ400" s="29">
        <f t="shared" si="107"/>
        <v>0</v>
      </c>
      <c r="AK400" s="136">
        <f t="shared" si="103"/>
        <v>800000</v>
      </c>
      <c r="AL400" s="29">
        <f t="shared" si="108"/>
        <v>100</v>
      </c>
      <c r="AM400" s="26"/>
    </row>
    <row r="401" spans="1:39" ht="29.25" customHeight="1" x14ac:dyDescent="0.25">
      <c r="A401" s="26"/>
      <c r="B401" s="97"/>
      <c r="C401" s="97"/>
      <c r="D401" s="97"/>
      <c r="E401" s="97"/>
      <c r="F401" s="97"/>
      <c r="G401" s="97"/>
      <c r="H401" s="97"/>
      <c r="I401" s="98"/>
      <c r="J401" s="97" t="s">
        <v>347</v>
      </c>
      <c r="K401" s="27"/>
      <c r="L401" s="31"/>
      <c r="M401" s="577" t="s">
        <v>348</v>
      </c>
      <c r="N401" s="564"/>
      <c r="O401" s="198"/>
      <c r="P401" s="190"/>
      <c r="Q401" s="28">
        <v>51150000</v>
      </c>
      <c r="R401" s="29">
        <f t="shared" ref="R401:R412" si="110">Q401/Q$398*100</f>
        <v>17.87868916177435</v>
      </c>
      <c r="S401" s="29">
        <v>100</v>
      </c>
      <c r="T401" s="28">
        <f t="shared" si="100"/>
        <v>0</v>
      </c>
      <c r="U401" s="28">
        <f t="shared" si="102"/>
        <v>0</v>
      </c>
      <c r="V401" s="87">
        <f t="shared" si="89"/>
        <v>100</v>
      </c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>
        <v>0</v>
      </c>
      <c r="AJ401" s="29">
        <f t="shared" si="107"/>
        <v>0</v>
      </c>
      <c r="AK401" s="136">
        <f t="shared" si="103"/>
        <v>51150000</v>
      </c>
      <c r="AL401" s="29">
        <f t="shared" si="108"/>
        <v>100</v>
      </c>
      <c r="AM401" s="26"/>
    </row>
    <row r="402" spans="1:39" ht="29.25" customHeight="1" x14ac:dyDescent="0.25">
      <c r="A402" s="26"/>
      <c r="B402" s="97"/>
      <c r="C402" s="97"/>
      <c r="D402" s="97"/>
      <c r="E402" s="97"/>
      <c r="F402" s="97"/>
      <c r="G402" s="97"/>
      <c r="H402" s="97"/>
      <c r="I402" s="98"/>
      <c r="J402" s="97" t="s">
        <v>323</v>
      </c>
      <c r="K402" s="27"/>
      <c r="L402" s="31"/>
      <c r="M402" s="577" t="s">
        <v>324</v>
      </c>
      <c r="N402" s="564"/>
      <c r="O402" s="198"/>
      <c r="P402" s="190"/>
      <c r="Q402" s="28">
        <v>52380000</v>
      </c>
      <c r="R402" s="29">
        <f t="shared" si="110"/>
        <v>18.308616584432851</v>
      </c>
      <c r="S402" s="29">
        <v>100</v>
      </c>
      <c r="T402" s="28">
        <f t="shared" si="100"/>
        <v>0</v>
      </c>
      <c r="U402" s="28">
        <f t="shared" si="102"/>
        <v>0</v>
      </c>
      <c r="V402" s="87">
        <f t="shared" si="89"/>
        <v>100</v>
      </c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>
        <v>0</v>
      </c>
      <c r="AJ402" s="29">
        <f t="shared" si="107"/>
        <v>0</v>
      </c>
      <c r="AK402" s="136">
        <f t="shared" si="103"/>
        <v>52380000</v>
      </c>
      <c r="AL402" s="29">
        <f t="shared" si="108"/>
        <v>100</v>
      </c>
      <c r="AM402" s="26"/>
    </row>
    <row r="403" spans="1:39" ht="40.5" customHeight="1" x14ac:dyDescent="0.25">
      <c r="A403" s="26"/>
      <c r="B403" s="97"/>
      <c r="C403" s="97"/>
      <c r="D403" s="97"/>
      <c r="E403" s="97"/>
      <c r="F403" s="97"/>
      <c r="G403" s="97"/>
      <c r="H403" s="97"/>
      <c r="I403" s="98"/>
      <c r="J403" s="97" t="s">
        <v>345</v>
      </c>
      <c r="K403" s="27"/>
      <c r="L403" s="31"/>
      <c r="M403" s="577" t="s">
        <v>346</v>
      </c>
      <c r="N403" s="564"/>
      <c r="O403" s="198"/>
      <c r="P403" s="190"/>
      <c r="Q403" s="28">
        <v>1350000</v>
      </c>
      <c r="R403" s="29">
        <f t="shared" si="110"/>
        <v>0.47187156145445497</v>
      </c>
      <c r="S403" s="29">
        <v>100</v>
      </c>
      <c r="T403" s="28">
        <f t="shared" si="100"/>
        <v>0</v>
      </c>
      <c r="U403" s="28">
        <f t="shared" si="102"/>
        <v>0</v>
      </c>
      <c r="V403" s="87">
        <f t="shared" si="89"/>
        <v>100</v>
      </c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>
        <v>0</v>
      </c>
      <c r="AJ403" s="29">
        <f t="shared" si="107"/>
        <v>0</v>
      </c>
      <c r="AK403" s="136">
        <f t="shared" si="103"/>
        <v>1350000</v>
      </c>
      <c r="AL403" s="29">
        <f t="shared" si="108"/>
        <v>100</v>
      </c>
      <c r="AM403" s="26"/>
    </row>
    <row r="404" spans="1:39" ht="29.25" customHeight="1" x14ac:dyDescent="0.25">
      <c r="A404" s="26"/>
      <c r="B404" s="97"/>
      <c r="C404" s="97"/>
      <c r="D404" s="97"/>
      <c r="E404" s="97"/>
      <c r="F404" s="97"/>
      <c r="G404" s="97"/>
      <c r="H404" s="97"/>
      <c r="I404" s="98"/>
      <c r="J404" s="97" t="s">
        <v>269</v>
      </c>
      <c r="K404" s="27"/>
      <c r="L404" s="31"/>
      <c r="M404" s="577" t="s">
        <v>270</v>
      </c>
      <c r="N404" s="564"/>
      <c r="O404" s="198"/>
      <c r="P404" s="190"/>
      <c r="Q404" s="28">
        <v>14280000</v>
      </c>
      <c r="R404" s="29">
        <f t="shared" si="110"/>
        <v>4.9913525167182344</v>
      </c>
      <c r="S404" s="29">
        <v>100</v>
      </c>
      <c r="T404" s="28">
        <f t="shared" si="100"/>
        <v>0</v>
      </c>
      <c r="U404" s="28">
        <f t="shared" si="102"/>
        <v>0</v>
      </c>
      <c r="V404" s="87">
        <f t="shared" si="89"/>
        <v>100</v>
      </c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>
        <v>0</v>
      </c>
      <c r="AJ404" s="29">
        <f t="shared" si="107"/>
        <v>0</v>
      </c>
      <c r="AK404" s="136">
        <f t="shared" si="103"/>
        <v>14280000</v>
      </c>
      <c r="AL404" s="29">
        <f t="shared" si="108"/>
        <v>100</v>
      </c>
      <c r="AM404" s="26"/>
    </row>
    <row r="405" spans="1:39" ht="29.25" customHeight="1" x14ac:dyDescent="0.25">
      <c r="A405" s="26"/>
      <c r="B405" s="97"/>
      <c r="C405" s="97"/>
      <c r="D405" s="97"/>
      <c r="E405" s="97"/>
      <c r="F405" s="97"/>
      <c r="G405" s="97"/>
      <c r="H405" s="97"/>
      <c r="I405" s="98"/>
      <c r="J405" s="97" t="s">
        <v>315</v>
      </c>
      <c r="K405" s="27"/>
      <c r="L405" s="31"/>
      <c r="M405" s="577" t="s">
        <v>271</v>
      </c>
      <c r="N405" s="564"/>
      <c r="O405" s="198"/>
      <c r="P405" s="190"/>
      <c r="Q405" s="28">
        <v>24600000</v>
      </c>
      <c r="R405" s="29">
        <f t="shared" si="110"/>
        <v>8.5985484531700678</v>
      </c>
      <c r="S405" s="29">
        <v>100</v>
      </c>
      <c r="T405" s="28">
        <f t="shared" si="100"/>
        <v>0</v>
      </c>
      <c r="U405" s="28">
        <f t="shared" si="102"/>
        <v>0</v>
      </c>
      <c r="V405" s="87">
        <f t="shared" si="89"/>
        <v>100</v>
      </c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>
        <v>0</v>
      </c>
      <c r="AJ405" s="29">
        <f t="shared" si="107"/>
        <v>0</v>
      </c>
      <c r="AK405" s="136">
        <f t="shared" si="103"/>
        <v>24600000</v>
      </c>
      <c r="AL405" s="29">
        <f t="shared" si="108"/>
        <v>100</v>
      </c>
      <c r="AM405" s="26"/>
    </row>
    <row r="406" spans="1:39" ht="29.25" customHeight="1" x14ac:dyDescent="0.25">
      <c r="A406" s="26"/>
      <c r="B406" s="97"/>
      <c r="C406" s="97"/>
      <c r="D406" s="97"/>
      <c r="E406" s="97"/>
      <c r="F406" s="97"/>
      <c r="G406" s="97"/>
      <c r="H406" s="97"/>
      <c r="I406" s="98"/>
      <c r="J406" s="97" t="s">
        <v>316</v>
      </c>
      <c r="K406" s="27"/>
      <c r="L406" s="31"/>
      <c r="M406" s="577" t="s">
        <v>317</v>
      </c>
      <c r="N406" s="564"/>
      <c r="O406" s="198"/>
      <c r="P406" s="190"/>
      <c r="Q406" s="28">
        <v>300000</v>
      </c>
      <c r="R406" s="29">
        <f t="shared" si="110"/>
        <v>0.10486034698987889</v>
      </c>
      <c r="S406" s="29">
        <v>100</v>
      </c>
      <c r="T406" s="28">
        <f t="shared" si="100"/>
        <v>0</v>
      </c>
      <c r="U406" s="28">
        <f t="shared" si="102"/>
        <v>0</v>
      </c>
      <c r="V406" s="87">
        <f t="shared" si="89"/>
        <v>100</v>
      </c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>
        <v>0</v>
      </c>
      <c r="AJ406" s="29">
        <f t="shared" si="107"/>
        <v>0</v>
      </c>
      <c r="AK406" s="136">
        <f t="shared" si="103"/>
        <v>300000</v>
      </c>
      <c r="AL406" s="29">
        <f t="shared" si="108"/>
        <v>100</v>
      </c>
      <c r="AM406" s="26"/>
    </row>
    <row r="407" spans="1:39" ht="29.25" customHeight="1" x14ac:dyDescent="0.25">
      <c r="A407" s="26"/>
      <c r="B407" s="97"/>
      <c r="C407" s="97"/>
      <c r="D407" s="97"/>
      <c r="E407" s="97"/>
      <c r="F407" s="97"/>
      <c r="G407" s="97"/>
      <c r="H407" s="97"/>
      <c r="I407" s="98"/>
      <c r="J407" s="97" t="s">
        <v>318</v>
      </c>
      <c r="K407" s="27"/>
      <c r="L407" s="31"/>
      <c r="M407" s="577" t="s">
        <v>416</v>
      </c>
      <c r="N407" s="564"/>
      <c r="O407" s="198"/>
      <c r="P407" s="190"/>
      <c r="Q407" s="28">
        <v>32500000</v>
      </c>
      <c r="R407" s="29">
        <f t="shared" si="110"/>
        <v>11.359870923903545</v>
      </c>
      <c r="S407" s="29">
        <v>100</v>
      </c>
      <c r="T407" s="28">
        <f t="shared" si="100"/>
        <v>0</v>
      </c>
      <c r="U407" s="28">
        <f t="shared" ref="U407:U661" si="111">R407*T407/100</f>
        <v>0</v>
      </c>
      <c r="V407" s="87">
        <f t="shared" si="89"/>
        <v>100</v>
      </c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>
        <v>0</v>
      </c>
      <c r="AJ407" s="29">
        <f t="shared" si="107"/>
        <v>0</v>
      </c>
      <c r="AK407" s="136">
        <f t="shared" si="103"/>
        <v>32500000</v>
      </c>
      <c r="AL407" s="29">
        <f t="shared" si="108"/>
        <v>100</v>
      </c>
      <c r="AM407" s="26"/>
    </row>
    <row r="408" spans="1:39" ht="29.25" customHeight="1" x14ac:dyDescent="0.25">
      <c r="A408" s="26"/>
      <c r="B408" s="97"/>
      <c r="C408" s="97"/>
      <c r="D408" s="97"/>
      <c r="E408" s="97"/>
      <c r="F408" s="97"/>
      <c r="G408" s="97"/>
      <c r="H408" s="97"/>
      <c r="I408" s="98"/>
      <c r="J408" s="97" t="s">
        <v>284</v>
      </c>
      <c r="K408" s="27"/>
      <c r="L408" s="31"/>
      <c r="M408" s="577" t="s">
        <v>285</v>
      </c>
      <c r="N408" s="564"/>
      <c r="O408" s="198"/>
      <c r="P408" s="190"/>
      <c r="Q408" s="28">
        <v>30476000</v>
      </c>
      <c r="R408" s="29">
        <f t="shared" si="110"/>
        <v>10.652413116211829</v>
      </c>
      <c r="S408" s="29">
        <v>100</v>
      </c>
      <c r="T408" s="28">
        <f t="shared" si="100"/>
        <v>0</v>
      </c>
      <c r="U408" s="28">
        <f t="shared" si="111"/>
        <v>0</v>
      </c>
      <c r="V408" s="87">
        <f t="shared" si="89"/>
        <v>100</v>
      </c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>
        <v>0</v>
      </c>
      <c r="AJ408" s="29">
        <f t="shared" si="107"/>
        <v>0</v>
      </c>
      <c r="AK408" s="136">
        <f t="shared" si="103"/>
        <v>30476000</v>
      </c>
      <c r="AL408" s="29">
        <f t="shared" si="108"/>
        <v>100</v>
      </c>
      <c r="AM408" s="26"/>
    </row>
    <row r="409" spans="1:39" ht="29.25" customHeight="1" x14ac:dyDescent="0.25">
      <c r="A409" s="26"/>
      <c r="B409" s="97"/>
      <c r="C409" s="97"/>
      <c r="D409" s="97"/>
      <c r="E409" s="97"/>
      <c r="F409" s="97"/>
      <c r="G409" s="97"/>
      <c r="H409" s="97"/>
      <c r="I409" s="98"/>
      <c r="J409" s="97" t="s">
        <v>282</v>
      </c>
      <c r="K409" s="27"/>
      <c r="L409" s="31"/>
      <c r="M409" s="577" t="s">
        <v>283</v>
      </c>
      <c r="N409" s="564"/>
      <c r="O409" s="198"/>
      <c r="P409" s="190"/>
      <c r="Q409" s="28">
        <v>60658800</v>
      </c>
      <c r="R409" s="29">
        <f t="shared" si="110"/>
        <v>21.20234271996555</v>
      </c>
      <c r="S409" s="29">
        <v>100</v>
      </c>
      <c r="T409" s="28">
        <f t="shared" si="100"/>
        <v>0</v>
      </c>
      <c r="U409" s="28">
        <f t="shared" si="111"/>
        <v>0</v>
      </c>
      <c r="V409" s="87">
        <f t="shared" si="89"/>
        <v>100</v>
      </c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>
        <v>0</v>
      </c>
      <c r="AJ409" s="29">
        <f t="shared" si="107"/>
        <v>0</v>
      </c>
      <c r="AK409" s="136">
        <f t="shared" ref="AK409:AK472" si="112">Q409-AI409</f>
        <v>60658800</v>
      </c>
      <c r="AL409" s="29">
        <f t="shared" si="108"/>
        <v>100</v>
      </c>
      <c r="AM409" s="26"/>
    </row>
    <row r="410" spans="1:39" ht="29.25" customHeight="1" x14ac:dyDescent="0.25">
      <c r="A410" s="26"/>
      <c r="B410" s="97"/>
      <c r="C410" s="97"/>
      <c r="D410" s="97"/>
      <c r="E410" s="97"/>
      <c r="F410" s="97"/>
      <c r="G410" s="97"/>
      <c r="H410" s="97"/>
      <c r="I410" s="98"/>
      <c r="J410" s="97" t="s">
        <v>320</v>
      </c>
      <c r="K410" s="27"/>
      <c r="L410" s="31"/>
      <c r="M410" s="577" t="s">
        <v>321</v>
      </c>
      <c r="N410" s="564"/>
      <c r="O410" s="198"/>
      <c r="P410" s="190"/>
      <c r="Q410" s="28">
        <v>9000000</v>
      </c>
      <c r="R410" s="29">
        <f t="shared" si="110"/>
        <v>3.1458104096963666</v>
      </c>
      <c r="S410" s="29">
        <v>100</v>
      </c>
      <c r="T410" s="28">
        <f t="shared" si="100"/>
        <v>0</v>
      </c>
      <c r="U410" s="28">
        <f t="shared" si="111"/>
        <v>0</v>
      </c>
      <c r="V410" s="87">
        <f t="shared" si="89"/>
        <v>100</v>
      </c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>
        <v>0</v>
      </c>
      <c r="AJ410" s="29">
        <f t="shared" si="107"/>
        <v>0</v>
      </c>
      <c r="AK410" s="136">
        <f t="shared" si="112"/>
        <v>9000000</v>
      </c>
      <c r="AL410" s="29">
        <f t="shared" si="108"/>
        <v>100</v>
      </c>
      <c r="AM410" s="26"/>
    </row>
    <row r="411" spans="1:39" ht="29.25" customHeight="1" x14ac:dyDescent="0.25">
      <c r="A411" s="26"/>
      <c r="B411" s="97"/>
      <c r="C411" s="97"/>
      <c r="D411" s="97"/>
      <c r="E411" s="97"/>
      <c r="F411" s="97"/>
      <c r="G411" s="97"/>
      <c r="H411" s="97"/>
      <c r="I411" s="98"/>
      <c r="J411" s="97" t="s">
        <v>309</v>
      </c>
      <c r="K411" s="27"/>
      <c r="L411" s="31"/>
      <c r="M411" s="577" t="s">
        <v>310</v>
      </c>
      <c r="N411" s="564"/>
      <c r="O411" s="198"/>
      <c r="P411" s="190"/>
      <c r="Q411" s="28">
        <v>4200000</v>
      </c>
      <c r="R411" s="29">
        <f t="shared" si="110"/>
        <v>1.4680448578583043</v>
      </c>
      <c r="S411" s="29">
        <v>100</v>
      </c>
      <c r="T411" s="28">
        <f t="shared" si="100"/>
        <v>0</v>
      </c>
      <c r="U411" s="28">
        <f t="shared" si="111"/>
        <v>0</v>
      </c>
      <c r="V411" s="87">
        <f t="shared" si="89"/>
        <v>100</v>
      </c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>
        <v>0</v>
      </c>
      <c r="AJ411" s="29">
        <f t="shared" si="107"/>
        <v>0</v>
      </c>
      <c r="AK411" s="136">
        <f t="shared" si="112"/>
        <v>4200000</v>
      </c>
      <c r="AL411" s="29">
        <f t="shared" si="108"/>
        <v>100</v>
      </c>
      <c r="AM411" s="26"/>
    </row>
    <row r="412" spans="1:39" ht="29.25" customHeight="1" x14ac:dyDescent="0.25">
      <c r="A412" s="26"/>
      <c r="B412" s="97"/>
      <c r="C412" s="97"/>
      <c r="D412" s="97"/>
      <c r="E412" s="97"/>
      <c r="F412" s="97"/>
      <c r="G412" s="97"/>
      <c r="H412" s="97"/>
      <c r="I412" s="98"/>
      <c r="J412" s="97" t="s">
        <v>407</v>
      </c>
      <c r="K412" s="27"/>
      <c r="L412" s="31"/>
      <c r="M412" s="577" t="s">
        <v>414</v>
      </c>
      <c r="N412" s="564"/>
      <c r="O412" s="198"/>
      <c r="P412" s="190"/>
      <c r="Q412" s="28">
        <v>500000</v>
      </c>
      <c r="R412" s="29">
        <f t="shared" si="110"/>
        <v>0.17476724498313145</v>
      </c>
      <c r="S412" s="29"/>
      <c r="T412" s="28">
        <f t="shared" si="100"/>
        <v>0</v>
      </c>
      <c r="U412" s="28">
        <f t="shared" si="111"/>
        <v>0</v>
      </c>
      <c r="V412" s="87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>
        <v>0</v>
      </c>
      <c r="AJ412" s="29">
        <f t="shared" si="107"/>
        <v>0</v>
      </c>
      <c r="AK412" s="136">
        <f t="shared" si="112"/>
        <v>500000</v>
      </c>
      <c r="AL412" s="29">
        <f t="shared" si="108"/>
        <v>100</v>
      </c>
      <c r="AM412" s="26"/>
    </row>
    <row r="413" spans="1:39" ht="29.25" customHeight="1" x14ac:dyDescent="0.25">
      <c r="A413" s="21">
        <v>49</v>
      </c>
      <c r="B413" s="97"/>
      <c r="C413" s="97"/>
      <c r="D413" s="97"/>
      <c r="E413" s="97"/>
      <c r="F413" s="97"/>
      <c r="G413" s="97"/>
      <c r="H413" s="97"/>
      <c r="I413" s="98"/>
      <c r="J413" s="122" t="s">
        <v>499</v>
      </c>
      <c r="K413" s="22"/>
      <c r="L413" s="72"/>
      <c r="M413" s="574" t="s">
        <v>500</v>
      </c>
      <c r="N413" s="574"/>
      <c r="O413" s="197">
        <v>252956000</v>
      </c>
      <c r="P413" s="189">
        <f>O413</f>
        <v>252956000</v>
      </c>
      <c r="Q413" s="23">
        <f>SUM(Q414:Q423)</f>
        <v>312760000</v>
      </c>
      <c r="R413" s="24">
        <f>Q413/Q$216*100</f>
        <v>1.9930923578904585</v>
      </c>
      <c r="S413" s="24">
        <v>100</v>
      </c>
      <c r="T413" s="23">
        <f t="shared" si="100"/>
        <v>0</v>
      </c>
      <c r="U413" s="23">
        <f t="shared" si="111"/>
        <v>0</v>
      </c>
      <c r="V413" s="90">
        <f t="shared" ref="V413:V423" si="113">S413-T413</f>
        <v>100</v>
      </c>
      <c r="W413" s="23"/>
      <c r="X413" s="23" t="e">
        <f>#REF!</f>
        <v>#REF!</v>
      </c>
      <c r="Y413" s="23" t="e">
        <f>#REF!</f>
        <v>#REF!</v>
      </c>
      <c r="Z413" s="23" t="e">
        <f>#REF!</f>
        <v>#REF!</v>
      </c>
      <c r="AA413" s="23" t="e">
        <f>#REF!</f>
        <v>#REF!</v>
      </c>
      <c r="AB413" s="23">
        <v>58582925</v>
      </c>
      <c r="AC413" s="23" t="e">
        <f>#REF!</f>
        <v>#REF!</v>
      </c>
      <c r="AD413" s="23" t="e">
        <f>#REF!</f>
        <v>#REF!</v>
      </c>
      <c r="AE413" s="23" t="e">
        <f>#REF!</f>
        <v>#REF!</v>
      </c>
      <c r="AF413" s="23" t="e">
        <f>[1]April!N86</f>
        <v>#REF!</v>
      </c>
      <c r="AG413" s="23" t="e">
        <f>[2]april!N86</f>
        <v>#REF!</v>
      </c>
      <c r="AH413" s="23">
        <f>'[3]DES SKPD'!$N86</f>
        <v>126710000</v>
      </c>
      <c r="AI413" s="23">
        <f>SUM(AI414:AI427)</f>
        <v>0</v>
      </c>
      <c r="AJ413" s="24">
        <f t="shared" si="107"/>
        <v>0</v>
      </c>
      <c r="AK413" s="134">
        <f t="shared" si="112"/>
        <v>312760000</v>
      </c>
      <c r="AL413" s="24">
        <f t="shared" si="108"/>
        <v>100</v>
      </c>
      <c r="AM413" s="26"/>
    </row>
    <row r="414" spans="1:39" ht="29.25" customHeight="1" x14ac:dyDescent="0.25">
      <c r="A414" s="26"/>
      <c r="B414" s="97"/>
      <c r="C414" s="97"/>
      <c r="D414" s="97"/>
      <c r="E414" s="97"/>
      <c r="F414" s="97"/>
      <c r="G414" s="97"/>
      <c r="H414" s="97"/>
      <c r="I414" s="98"/>
      <c r="J414" s="97" t="s">
        <v>257</v>
      </c>
      <c r="K414" s="27"/>
      <c r="L414" s="31"/>
      <c r="M414" s="577" t="s">
        <v>258</v>
      </c>
      <c r="N414" s="564"/>
      <c r="O414" s="198"/>
      <c r="P414" s="190"/>
      <c r="Q414" s="28">
        <v>5580000</v>
      </c>
      <c r="R414" s="29">
        <f t="shared" ref="R414:R423" si="114">Q414/Q$413*100</f>
        <v>1.7841156158076479</v>
      </c>
      <c r="S414" s="29">
        <v>100</v>
      </c>
      <c r="T414" s="28">
        <f t="shared" si="100"/>
        <v>0</v>
      </c>
      <c r="U414" s="28">
        <f t="shared" si="111"/>
        <v>0</v>
      </c>
      <c r="V414" s="87">
        <f t="shared" si="113"/>
        <v>100</v>
      </c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>
        <v>0</v>
      </c>
      <c r="AJ414" s="29">
        <f t="shared" si="107"/>
        <v>0</v>
      </c>
      <c r="AK414" s="136">
        <f t="shared" si="112"/>
        <v>5580000</v>
      </c>
      <c r="AL414" s="29">
        <f t="shared" si="108"/>
        <v>100</v>
      </c>
      <c r="AM414" s="26"/>
    </row>
    <row r="415" spans="1:39" ht="29.25" customHeight="1" x14ac:dyDescent="0.25">
      <c r="A415" s="26"/>
      <c r="B415" s="97"/>
      <c r="C415" s="97"/>
      <c r="D415" s="97"/>
      <c r="E415" s="97"/>
      <c r="F415" s="97"/>
      <c r="G415" s="97"/>
      <c r="H415" s="97"/>
      <c r="I415" s="98"/>
      <c r="J415" s="97" t="s">
        <v>415</v>
      </c>
      <c r="K415" s="27"/>
      <c r="L415" s="31"/>
      <c r="M415" s="577" t="s">
        <v>260</v>
      </c>
      <c r="N415" s="564"/>
      <c r="O415" s="198"/>
      <c r="P415" s="190"/>
      <c r="Q415" s="28">
        <v>3080000</v>
      </c>
      <c r="R415" s="29">
        <f t="shared" si="114"/>
        <v>0.98478066248880936</v>
      </c>
      <c r="S415" s="29">
        <v>100</v>
      </c>
      <c r="T415" s="28">
        <f t="shared" si="100"/>
        <v>0</v>
      </c>
      <c r="U415" s="28">
        <f t="shared" si="111"/>
        <v>0</v>
      </c>
      <c r="V415" s="87">
        <f t="shared" si="113"/>
        <v>100</v>
      </c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>
        <v>0</v>
      </c>
      <c r="AJ415" s="29">
        <f t="shared" si="107"/>
        <v>0</v>
      </c>
      <c r="AK415" s="136">
        <f t="shared" si="112"/>
        <v>3080000</v>
      </c>
      <c r="AL415" s="29">
        <f t="shared" si="108"/>
        <v>100</v>
      </c>
      <c r="AM415" s="26"/>
    </row>
    <row r="416" spans="1:39" ht="29.25" customHeight="1" x14ac:dyDescent="0.25">
      <c r="A416" s="26"/>
      <c r="B416" s="97"/>
      <c r="C416" s="97"/>
      <c r="D416" s="97"/>
      <c r="E416" s="97"/>
      <c r="F416" s="97"/>
      <c r="G416" s="97"/>
      <c r="H416" s="97"/>
      <c r="I416" s="98"/>
      <c r="J416" s="97" t="s">
        <v>501</v>
      </c>
      <c r="K416" s="27"/>
      <c r="L416" s="31"/>
      <c r="M416" s="577" t="s">
        <v>317</v>
      </c>
      <c r="N416" s="564"/>
      <c r="O416" s="198"/>
      <c r="P416" s="190"/>
      <c r="Q416" s="28">
        <v>2400000</v>
      </c>
      <c r="R416" s="29">
        <f t="shared" si="114"/>
        <v>0.76736155518608518</v>
      </c>
      <c r="S416" s="29">
        <v>100</v>
      </c>
      <c r="T416" s="28">
        <f t="shared" si="100"/>
        <v>0</v>
      </c>
      <c r="U416" s="28">
        <f t="shared" si="111"/>
        <v>0</v>
      </c>
      <c r="V416" s="87">
        <f t="shared" si="113"/>
        <v>100</v>
      </c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>
        <v>0</v>
      </c>
      <c r="AJ416" s="29">
        <f t="shared" si="107"/>
        <v>0</v>
      </c>
      <c r="AK416" s="136">
        <f t="shared" si="112"/>
        <v>2400000</v>
      </c>
      <c r="AL416" s="29">
        <f t="shared" si="108"/>
        <v>100</v>
      </c>
      <c r="AM416" s="26"/>
    </row>
    <row r="417" spans="1:39" ht="29.25" customHeight="1" x14ac:dyDescent="0.25">
      <c r="A417" s="26"/>
      <c r="B417" s="97"/>
      <c r="C417" s="97"/>
      <c r="D417" s="97"/>
      <c r="E417" s="97"/>
      <c r="F417" s="97"/>
      <c r="G417" s="97"/>
      <c r="H417" s="97"/>
      <c r="I417" s="98"/>
      <c r="J417" s="97" t="s">
        <v>502</v>
      </c>
      <c r="K417" s="27"/>
      <c r="L417" s="31"/>
      <c r="M417" s="577" t="s">
        <v>319</v>
      </c>
      <c r="N417" s="564"/>
      <c r="O417" s="198"/>
      <c r="P417" s="190"/>
      <c r="Q417" s="28">
        <v>151000000</v>
      </c>
      <c r="R417" s="29">
        <f t="shared" si="114"/>
        <v>48.279831180457862</v>
      </c>
      <c r="S417" s="29">
        <v>100</v>
      </c>
      <c r="T417" s="28">
        <f t="shared" si="100"/>
        <v>0</v>
      </c>
      <c r="U417" s="28">
        <f t="shared" si="111"/>
        <v>0</v>
      </c>
      <c r="V417" s="87">
        <f t="shared" si="113"/>
        <v>100</v>
      </c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>
        <v>0</v>
      </c>
      <c r="AJ417" s="29">
        <f t="shared" si="107"/>
        <v>0</v>
      </c>
      <c r="AK417" s="136">
        <f t="shared" si="112"/>
        <v>151000000</v>
      </c>
      <c r="AL417" s="29">
        <f t="shared" si="108"/>
        <v>100</v>
      </c>
      <c r="AM417" s="26"/>
    </row>
    <row r="418" spans="1:39" ht="29.25" customHeight="1" x14ac:dyDescent="0.25">
      <c r="A418" s="26"/>
      <c r="B418" s="97"/>
      <c r="C418" s="97"/>
      <c r="D418" s="97"/>
      <c r="E418" s="97"/>
      <c r="F418" s="97"/>
      <c r="G418" s="97"/>
      <c r="H418" s="97"/>
      <c r="I418" s="98"/>
      <c r="J418" s="97" t="s">
        <v>330</v>
      </c>
      <c r="K418" s="27"/>
      <c r="L418" s="31"/>
      <c r="M418" s="577" t="s">
        <v>331</v>
      </c>
      <c r="N418" s="564"/>
      <c r="O418" s="198"/>
      <c r="P418" s="190"/>
      <c r="Q418" s="28">
        <v>36000000</v>
      </c>
      <c r="R418" s="29">
        <f t="shared" si="114"/>
        <v>11.510423327791278</v>
      </c>
      <c r="S418" s="29">
        <v>100</v>
      </c>
      <c r="T418" s="28">
        <f t="shared" si="100"/>
        <v>0</v>
      </c>
      <c r="U418" s="28">
        <f t="shared" si="111"/>
        <v>0</v>
      </c>
      <c r="V418" s="87">
        <f t="shared" si="113"/>
        <v>100</v>
      </c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>
        <v>0</v>
      </c>
      <c r="AJ418" s="29">
        <f t="shared" si="107"/>
        <v>0</v>
      </c>
      <c r="AK418" s="136">
        <f t="shared" si="112"/>
        <v>36000000</v>
      </c>
      <c r="AL418" s="29">
        <f t="shared" si="108"/>
        <v>100</v>
      </c>
      <c r="AM418" s="26"/>
    </row>
    <row r="419" spans="1:39" ht="29.25" customHeight="1" x14ac:dyDescent="0.25">
      <c r="A419" s="26"/>
      <c r="B419" s="97"/>
      <c r="C419" s="97"/>
      <c r="D419" s="97"/>
      <c r="E419" s="97"/>
      <c r="F419" s="97"/>
      <c r="G419" s="97"/>
      <c r="H419" s="97"/>
      <c r="I419" s="98"/>
      <c r="J419" s="97" t="s">
        <v>284</v>
      </c>
      <c r="K419" s="27"/>
      <c r="L419" s="31"/>
      <c r="M419" s="577" t="s">
        <v>285</v>
      </c>
      <c r="N419" s="564"/>
      <c r="O419" s="198"/>
      <c r="P419" s="190"/>
      <c r="Q419" s="28">
        <v>7000000</v>
      </c>
      <c r="R419" s="29">
        <f t="shared" si="114"/>
        <v>2.2381378692927485</v>
      </c>
      <c r="S419" s="29">
        <v>100</v>
      </c>
      <c r="T419" s="28">
        <f t="shared" si="100"/>
        <v>0</v>
      </c>
      <c r="U419" s="28">
        <f t="shared" si="111"/>
        <v>0</v>
      </c>
      <c r="V419" s="87">
        <f t="shared" si="113"/>
        <v>100</v>
      </c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>
        <v>0</v>
      </c>
      <c r="AJ419" s="29">
        <f t="shared" si="107"/>
        <v>0</v>
      </c>
      <c r="AK419" s="136">
        <f t="shared" si="112"/>
        <v>7000000</v>
      </c>
      <c r="AL419" s="29">
        <f t="shared" si="108"/>
        <v>100</v>
      </c>
      <c r="AM419" s="26"/>
    </row>
    <row r="420" spans="1:39" ht="29.25" customHeight="1" x14ac:dyDescent="0.25">
      <c r="A420" s="26"/>
      <c r="B420" s="97"/>
      <c r="C420" s="97"/>
      <c r="D420" s="97"/>
      <c r="E420" s="97"/>
      <c r="F420" s="97"/>
      <c r="G420" s="97"/>
      <c r="H420" s="97"/>
      <c r="I420" s="98"/>
      <c r="J420" s="97" t="s">
        <v>282</v>
      </c>
      <c r="K420" s="27"/>
      <c r="L420" s="31"/>
      <c r="M420" s="577" t="s">
        <v>503</v>
      </c>
      <c r="N420" s="564"/>
      <c r="O420" s="198"/>
      <c r="P420" s="190"/>
      <c r="Q420" s="28">
        <v>40000000</v>
      </c>
      <c r="R420" s="29">
        <f t="shared" si="114"/>
        <v>12.78935925310142</v>
      </c>
      <c r="S420" s="29">
        <v>100</v>
      </c>
      <c r="T420" s="28">
        <f t="shared" si="100"/>
        <v>0</v>
      </c>
      <c r="U420" s="28">
        <f t="shared" si="111"/>
        <v>0</v>
      </c>
      <c r="V420" s="87">
        <f t="shared" si="113"/>
        <v>100</v>
      </c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>
        <v>0</v>
      </c>
      <c r="AJ420" s="29">
        <f t="shared" si="107"/>
        <v>0</v>
      </c>
      <c r="AK420" s="136">
        <f t="shared" si="112"/>
        <v>40000000</v>
      </c>
      <c r="AL420" s="29">
        <f t="shared" si="108"/>
        <v>100</v>
      </c>
      <c r="AM420" s="26"/>
    </row>
    <row r="421" spans="1:39" ht="29.25" customHeight="1" x14ac:dyDescent="0.25">
      <c r="A421" s="26"/>
      <c r="B421" s="97"/>
      <c r="C421" s="97"/>
      <c r="D421" s="97"/>
      <c r="E421" s="97"/>
      <c r="F421" s="97"/>
      <c r="G421" s="97"/>
      <c r="H421" s="97"/>
      <c r="I421" s="98"/>
      <c r="J421" s="97" t="s">
        <v>320</v>
      </c>
      <c r="K421" s="27"/>
      <c r="L421" s="31"/>
      <c r="M421" s="577" t="s">
        <v>321</v>
      </c>
      <c r="N421" s="564"/>
      <c r="O421" s="198"/>
      <c r="P421" s="190"/>
      <c r="Q421" s="28">
        <v>53200000</v>
      </c>
      <c r="R421" s="29">
        <f t="shared" si="114"/>
        <v>17.00984780662489</v>
      </c>
      <c r="S421" s="29">
        <v>100</v>
      </c>
      <c r="T421" s="28">
        <f t="shared" si="100"/>
        <v>0</v>
      </c>
      <c r="U421" s="28">
        <f t="shared" si="111"/>
        <v>0</v>
      </c>
      <c r="V421" s="87">
        <f t="shared" si="113"/>
        <v>100</v>
      </c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>
        <v>0</v>
      </c>
      <c r="AJ421" s="29">
        <f t="shared" si="107"/>
        <v>0</v>
      </c>
      <c r="AK421" s="136">
        <f t="shared" si="112"/>
        <v>53200000</v>
      </c>
      <c r="AL421" s="29">
        <f t="shared" si="108"/>
        <v>100</v>
      </c>
      <c r="AM421" s="26"/>
    </row>
    <row r="422" spans="1:39" ht="29.25" customHeight="1" x14ac:dyDescent="0.25">
      <c r="A422" s="26"/>
      <c r="B422" s="97"/>
      <c r="C422" s="97"/>
      <c r="D422" s="97"/>
      <c r="E422" s="97"/>
      <c r="F422" s="97"/>
      <c r="G422" s="97"/>
      <c r="H422" s="97"/>
      <c r="I422" s="98"/>
      <c r="J422" s="97" t="s">
        <v>309</v>
      </c>
      <c r="K422" s="27"/>
      <c r="L422" s="31"/>
      <c r="M422" s="577" t="s">
        <v>310</v>
      </c>
      <c r="N422" s="564"/>
      <c r="O422" s="198"/>
      <c r="P422" s="190"/>
      <c r="Q422" s="28">
        <v>8000000</v>
      </c>
      <c r="R422" s="29">
        <f t="shared" si="114"/>
        <v>2.557871850620284</v>
      </c>
      <c r="S422" s="29">
        <v>100</v>
      </c>
      <c r="T422" s="28">
        <f t="shared" si="100"/>
        <v>0</v>
      </c>
      <c r="U422" s="28">
        <f t="shared" si="111"/>
        <v>0</v>
      </c>
      <c r="V422" s="87">
        <f t="shared" si="113"/>
        <v>100</v>
      </c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>
        <v>0</v>
      </c>
      <c r="AJ422" s="29">
        <f t="shared" si="107"/>
        <v>0</v>
      </c>
      <c r="AK422" s="136">
        <f t="shared" si="112"/>
        <v>8000000</v>
      </c>
      <c r="AL422" s="29">
        <f t="shared" si="108"/>
        <v>100</v>
      </c>
      <c r="AM422" s="26"/>
    </row>
    <row r="423" spans="1:39" ht="29.25" customHeight="1" x14ac:dyDescent="0.25">
      <c r="A423" s="26"/>
      <c r="B423" s="97"/>
      <c r="C423" s="97"/>
      <c r="D423" s="97"/>
      <c r="E423" s="97"/>
      <c r="F423" s="97"/>
      <c r="G423" s="97"/>
      <c r="H423" s="97"/>
      <c r="I423" s="98"/>
      <c r="J423" s="97" t="s">
        <v>407</v>
      </c>
      <c r="K423" s="27"/>
      <c r="L423" s="31"/>
      <c r="M423" s="577" t="s">
        <v>414</v>
      </c>
      <c r="N423" s="564"/>
      <c r="O423" s="198"/>
      <c r="P423" s="190"/>
      <c r="Q423" s="28">
        <v>6500000</v>
      </c>
      <c r="R423" s="29">
        <f t="shared" si="114"/>
        <v>2.078270878628981</v>
      </c>
      <c r="S423" s="29">
        <v>100</v>
      </c>
      <c r="T423" s="28">
        <f t="shared" si="100"/>
        <v>0</v>
      </c>
      <c r="U423" s="28">
        <f t="shared" si="111"/>
        <v>0</v>
      </c>
      <c r="V423" s="87">
        <f t="shared" si="113"/>
        <v>100</v>
      </c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>
        <v>0</v>
      </c>
      <c r="AJ423" s="29">
        <f t="shared" si="107"/>
        <v>0</v>
      </c>
      <c r="AK423" s="136">
        <f t="shared" si="112"/>
        <v>6500000</v>
      </c>
      <c r="AL423" s="29">
        <f t="shared" si="108"/>
        <v>100</v>
      </c>
      <c r="AM423" s="26"/>
    </row>
    <row r="424" spans="1:39" s="41" customFormat="1" ht="29.25" customHeight="1" x14ac:dyDescent="0.25">
      <c r="A424" s="21">
        <f>SUM(A413+1)</f>
        <v>50</v>
      </c>
      <c r="B424" s="543" t="s">
        <v>153</v>
      </c>
      <c r="C424" s="543"/>
      <c r="D424" s="543"/>
      <c r="E424" s="543"/>
      <c r="F424" s="543"/>
      <c r="G424" s="543"/>
      <c r="H424" s="543"/>
      <c r="I424" s="544"/>
      <c r="J424" s="122" t="s">
        <v>504</v>
      </c>
      <c r="K424" s="22"/>
      <c r="L424" s="72"/>
      <c r="M424" s="566" t="s">
        <v>53</v>
      </c>
      <c r="N424" s="566"/>
      <c r="O424" s="197">
        <v>420443450</v>
      </c>
      <c r="P424" s="189">
        <f>O424</f>
        <v>420443450</v>
      </c>
      <c r="Q424" s="23">
        <f>SUM(Q425:Q436)</f>
        <v>244084000</v>
      </c>
      <c r="R424" s="24">
        <f>Q424/Q$216*100</f>
        <v>1.5554481234279789</v>
      </c>
      <c r="S424" s="24">
        <v>100</v>
      </c>
      <c r="T424" s="23">
        <f t="shared" si="100"/>
        <v>0</v>
      </c>
      <c r="U424" s="23">
        <f t="shared" si="111"/>
        <v>0</v>
      </c>
      <c r="V424" s="90">
        <f t="shared" si="89"/>
        <v>100</v>
      </c>
      <c r="W424" s="23"/>
      <c r="X424" s="23" t="e">
        <f>#REF!</f>
        <v>#REF!</v>
      </c>
      <c r="Y424" s="23" t="e">
        <f>#REF!</f>
        <v>#REF!</v>
      </c>
      <c r="Z424" s="23" t="e">
        <f>#REF!</f>
        <v>#REF!</v>
      </c>
      <c r="AA424" s="23" t="e">
        <f>#REF!</f>
        <v>#REF!</v>
      </c>
      <c r="AB424" s="23">
        <v>55843500</v>
      </c>
      <c r="AC424" s="23" t="e">
        <f>#REF!</f>
        <v>#REF!</v>
      </c>
      <c r="AD424" s="23" t="e">
        <f>#REF!</f>
        <v>#REF!</v>
      </c>
      <c r="AE424" s="23" t="e">
        <f>#REF!</f>
        <v>#REF!</v>
      </c>
      <c r="AF424" s="23" t="e">
        <f>[1]April!N73</f>
        <v>#REF!</v>
      </c>
      <c r="AG424" s="23" t="e">
        <f>[2]april!N73</f>
        <v>#REF!</v>
      </c>
      <c r="AH424" s="23">
        <f>'[3]DES SKPD'!$N73</f>
        <v>192051900</v>
      </c>
      <c r="AI424" s="23">
        <f>SUM(AI425:AI435)</f>
        <v>0</v>
      </c>
      <c r="AJ424" s="24">
        <f t="shared" si="107"/>
        <v>0</v>
      </c>
      <c r="AK424" s="134">
        <f t="shared" si="112"/>
        <v>244084000</v>
      </c>
      <c r="AL424" s="24">
        <f t="shared" si="108"/>
        <v>100</v>
      </c>
      <c r="AM424" s="21"/>
    </row>
    <row r="425" spans="1:39" ht="24.75" customHeight="1" x14ac:dyDescent="0.25">
      <c r="A425" s="26"/>
      <c r="B425" s="97"/>
      <c r="C425" s="97"/>
      <c r="D425" s="97"/>
      <c r="E425" s="97"/>
      <c r="F425" s="97"/>
      <c r="G425" s="97"/>
      <c r="H425" s="97"/>
      <c r="I425" s="98"/>
      <c r="J425" s="97" t="s">
        <v>257</v>
      </c>
      <c r="K425" s="27"/>
      <c r="L425" s="31"/>
      <c r="M425" s="563" t="s">
        <v>258</v>
      </c>
      <c r="N425" s="564"/>
      <c r="O425" s="198"/>
      <c r="P425" s="190"/>
      <c r="Q425" s="28">
        <v>3900000</v>
      </c>
      <c r="R425" s="29">
        <f>Q425/Q$424*100</f>
        <v>1.5978105897969552</v>
      </c>
      <c r="S425" s="29">
        <v>100</v>
      </c>
      <c r="T425" s="28">
        <f t="shared" si="100"/>
        <v>0</v>
      </c>
      <c r="U425" s="28">
        <f t="shared" si="111"/>
        <v>0</v>
      </c>
      <c r="V425" s="87">
        <f t="shared" si="89"/>
        <v>100</v>
      </c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>
        <v>0</v>
      </c>
      <c r="AJ425" s="29">
        <f t="shared" si="107"/>
        <v>0</v>
      </c>
      <c r="AK425" s="136">
        <f t="shared" si="112"/>
        <v>3900000</v>
      </c>
      <c r="AL425" s="29">
        <f t="shared" si="108"/>
        <v>100</v>
      </c>
      <c r="AM425" s="26"/>
    </row>
    <row r="426" spans="1:39" ht="24.75" customHeight="1" x14ac:dyDescent="0.25">
      <c r="A426" s="26"/>
      <c r="B426" s="97"/>
      <c r="C426" s="97"/>
      <c r="D426" s="97"/>
      <c r="E426" s="97"/>
      <c r="F426" s="97"/>
      <c r="G426" s="97"/>
      <c r="H426" s="97"/>
      <c r="I426" s="98"/>
      <c r="J426" s="97" t="s">
        <v>259</v>
      </c>
      <c r="K426" s="27"/>
      <c r="L426" s="31"/>
      <c r="M426" s="563" t="s">
        <v>260</v>
      </c>
      <c r="N426" s="564"/>
      <c r="O426" s="198"/>
      <c r="P426" s="190"/>
      <c r="Q426" s="28">
        <v>3200000</v>
      </c>
      <c r="R426" s="29">
        <f>Q426/Q$424*100</f>
        <v>1.3110240736795529</v>
      </c>
      <c r="S426" s="29">
        <v>101</v>
      </c>
      <c r="T426" s="28">
        <f t="shared" si="100"/>
        <v>0</v>
      </c>
      <c r="U426" s="28">
        <f t="shared" si="111"/>
        <v>0</v>
      </c>
      <c r="V426" s="87">
        <f t="shared" si="89"/>
        <v>101</v>
      </c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>
        <v>0</v>
      </c>
      <c r="AJ426" s="29">
        <f t="shared" si="107"/>
        <v>0</v>
      </c>
      <c r="AK426" s="136">
        <f t="shared" si="112"/>
        <v>3200000</v>
      </c>
      <c r="AL426" s="29">
        <f t="shared" si="108"/>
        <v>100</v>
      </c>
      <c r="AM426" s="26"/>
    </row>
    <row r="427" spans="1:39" ht="24.75" customHeight="1" x14ac:dyDescent="0.25">
      <c r="A427" s="26"/>
      <c r="B427" s="97"/>
      <c r="C427" s="97"/>
      <c r="D427" s="97"/>
      <c r="E427" s="97"/>
      <c r="F427" s="97"/>
      <c r="G427" s="97"/>
      <c r="H427" s="97"/>
      <c r="I427" s="98"/>
      <c r="J427" s="97" t="s">
        <v>273</v>
      </c>
      <c r="K427" s="27"/>
      <c r="L427" s="31"/>
      <c r="M427" s="563" t="s">
        <v>322</v>
      </c>
      <c r="N427" s="564"/>
      <c r="O427" s="198"/>
      <c r="P427" s="190"/>
      <c r="Q427" s="28">
        <v>19200000</v>
      </c>
      <c r="R427" s="29">
        <f t="shared" ref="R427:R436" si="115">Q427/Q$424*100</f>
        <v>7.8661444420773181</v>
      </c>
      <c r="S427" s="29">
        <v>100</v>
      </c>
      <c r="T427" s="28">
        <f t="shared" si="100"/>
        <v>0</v>
      </c>
      <c r="U427" s="28">
        <f t="shared" si="111"/>
        <v>0</v>
      </c>
      <c r="V427" s="87">
        <f t="shared" si="89"/>
        <v>100</v>
      </c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>
        <v>0</v>
      </c>
      <c r="AJ427" s="29">
        <f t="shared" si="107"/>
        <v>0</v>
      </c>
      <c r="AK427" s="136">
        <f t="shared" si="112"/>
        <v>19200000</v>
      </c>
      <c r="AL427" s="29">
        <f t="shared" si="108"/>
        <v>100</v>
      </c>
      <c r="AM427" s="26"/>
    </row>
    <row r="428" spans="1:39" ht="24.75" customHeight="1" x14ac:dyDescent="0.25">
      <c r="A428" s="26"/>
      <c r="B428" s="97"/>
      <c r="C428" s="97"/>
      <c r="D428" s="97"/>
      <c r="E428" s="97"/>
      <c r="F428" s="97"/>
      <c r="G428" s="97"/>
      <c r="H428" s="97"/>
      <c r="I428" s="98"/>
      <c r="J428" s="97" t="s">
        <v>323</v>
      </c>
      <c r="K428" s="27"/>
      <c r="L428" s="31"/>
      <c r="M428" s="563" t="s">
        <v>324</v>
      </c>
      <c r="N428" s="564"/>
      <c r="O428" s="198"/>
      <c r="P428" s="190"/>
      <c r="Q428" s="28">
        <v>6564000</v>
      </c>
      <c r="R428" s="29">
        <f t="shared" si="115"/>
        <v>2.6892381311351832</v>
      </c>
      <c r="S428" s="29">
        <v>100</v>
      </c>
      <c r="T428" s="28">
        <f t="shared" si="100"/>
        <v>0</v>
      </c>
      <c r="U428" s="28">
        <f t="shared" si="111"/>
        <v>0</v>
      </c>
      <c r="V428" s="87">
        <f t="shared" si="89"/>
        <v>100</v>
      </c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>
        <v>0</v>
      </c>
      <c r="AJ428" s="29">
        <f t="shared" si="107"/>
        <v>0</v>
      </c>
      <c r="AK428" s="136">
        <f t="shared" si="112"/>
        <v>6564000</v>
      </c>
      <c r="AL428" s="29">
        <f t="shared" si="108"/>
        <v>100</v>
      </c>
      <c r="AM428" s="26"/>
    </row>
    <row r="429" spans="1:39" ht="24.75" customHeight="1" x14ac:dyDescent="0.25">
      <c r="A429" s="26"/>
      <c r="B429" s="97"/>
      <c r="C429" s="97"/>
      <c r="D429" s="97"/>
      <c r="E429" s="97"/>
      <c r="F429" s="97"/>
      <c r="G429" s="97"/>
      <c r="H429" s="97"/>
      <c r="I429" s="98"/>
      <c r="J429" s="97" t="s">
        <v>417</v>
      </c>
      <c r="K429" s="27"/>
      <c r="L429" s="31"/>
      <c r="M429" s="563" t="s">
        <v>408</v>
      </c>
      <c r="N429" s="564"/>
      <c r="O429" s="198"/>
      <c r="P429" s="190"/>
      <c r="Q429" s="28">
        <v>3000000</v>
      </c>
      <c r="R429" s="29">
        <f t="shared" si="115"/>
        <v>1.2290850690745809</v>
      </c>
      <c r="S429" s="29">
        <v>101</v>
      </c>
      <c r="T429" s="28">
        <f t="shared" si="100"/>
        <v>0</v>
      </c>
      <c r="U429" s="28">
        <f t="shared" si="111"/>
        <v>0</v>
      </c>
      <c r="V429" s="87">
        <f t="shared" si="89"/>
        <v>101</v>
      </c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>
        <v>0</v>
      </c>
      <c r="AJ429" s="29">
        <f t="shared" si="107"/>
        <v>0</v>
      </c>
      <c r="AK429" s="136">
        <f t="shared" si="112"/>
        <v>3000000</v>
      </c>
      <c r="AL429" s="29">
        <f t="shared" si="108"/>
        <v>100</v>
      </c>
      <c r="AM429" s="26"/>
    </row>
    <row r="430" spans="1:39" ht="24.75" customHeight="1" x14ac:dyDescent="0.25">
      <c r="A430" s="26"/>
      <c r="B430" s="97"/>
      <c r="C430" s="97"/>
      <c r="D430" s="97"/>
      <c r="E430" s="97"/>
      <c r="F430" s="97"/>
      <c r="G430" s="97"/>
      <c r="H430" s="97"/>
      <c r="I430" s="98"/>
      <c r="J430" s="97" t="s">
        <v>315</v>
      </c>
      <c r="K430" s="27"/>
      <c r="L430" s="31"/>
      <c r="M430" s="563" t="s">
        <v>271</v>
      </c>
      <c r="N430" s="564"/>
      <c r="O430" s="198"/>
      <c r="P430" s="190"/>
      <c r="Q430" s="28">
        <v>4000000</v>
      </c>
      <c r="R430" s="29">
        <f t="shared" si="115"/>
        <v>1.6387800920994411</v>
      </c>
      <c r="S430" s="29">
        <v>100</v>
      </c>
      <c r="T430" s="28">
        <f t="shared" si="100"/>
        <v>0</v>
      </c>
      <c r="U430" s="28">
        <f t="shared" si="111"/>
        <v>0</v>
      </c>
      <c r="V430" s="87">
        <f t="shared" si="89"/>
        <v>100</v>
      </c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>
        <v>0</v>
      </c>
      <c r="AJ430" s="29">
        <f t="shared" si="107"/>
        <v>0</v>
      </c>
      <c r="AK430" s="136">
        <f t="shared" si="112"/>
        <v>4000000</v>
      </c>
      <c r="AL430" s="29">
        <f t="shared" si="108"/>
        <v>100</v>
      </c>
      <c r="AM430" s="26"/>
    </row>
    <row r="431" spans="1:39" ht="29.25" customHeight="1" x14ac:dyDescent="0.25">
      <c r="A431" s="26"/>
      <c r="B431" s="97"/>
      <c r="C431" s="97"/>
      <c r="D431" s="97"/>
      <c r="E431" s="97"/>
      <c r="F431" s="97"/>
      <c r="G431" s="97"/>
      <c r="H431" s="97"/>
      <c r="I431" s="98"/>
      <c r="J431" s="97" t="s">
        <v>328</v>
      </c>
      <c r="K431" s="27"/>
      <c r="L431" s="31"/>
      <c r="M431" s="563" t="s">
        <v>329</v>
      </c>
      <c r="N431" s="564"/>
      <c r="O431" s="198"/>
      <c r="P431" s="190"/>
      <c r="Q431" s="28">
        <v>36000000</v>
      </c>
      <c r="R431" s="29">
        <f t="shared" si="115"/>
        <v>14.74902082889497</v>
      </c>
      <c r="S431" s="29">
        <v>100</v>
      </c>
      <c r="T431" s="28">
        <f t="shared" si="100"/>
        <v>0</v>
      </c>
      <c r="U431" s="28">
        <f t="shared" si="111"/>
        <v>0</v>
      </c>
      <c r="V431" s="87">
        <f t="shared" si="89"/>
        <v>100</v>
      </c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>
        <v>0</v>
      </c>
      <c r="AJ431" s="29">
        <f t="shared" si="107"/>
        <v>0</v>
      </c>
      <c r="AK431" s="136">
        <f t="shared" si="112"/>
        <v>36000000</v>
      </c>
      <c r="AL431" s="29">
        <f t="shared" si="108"/>
        <v>100</v>
      </c>
      <c r="AM431" s="26"/>
    </row>
    <row r="432" spans="1:39" ht="24.75" customHeight="1" x14ac:dyDescent="0.25">
      <c r="A432" s="26"/>
      <c r="B432" s="97"/>
      <c r="C432" s="97"/>
      <c r="D432" s="97"/>
      <c r="E432" s="97"/>
      <c r="F432" s="97"/>
      <c r="G432" s="97"/>
      <c r="H432" s="97"/>
      <c r="I432" s="98"/>
      <c r="J432" s="97" t="s">
        <v>280</v>
      </c>
      <c r="K432" s="27"/>
      <c r="L432" s="31"/>
      <c r="M432" s="563" t="s">
        <v>281</v>
      </c>
      <c r="N432" s="564"/>
      <c r="O432" s="198"/>
      <c r="P432" s="190"/>
      <c r="Q432" s="28">
        <v>66000000</v>
      </c>
      <c r="R432" s="29">
        <f t="shared" si="115"/>
        <v>27.03987151964078</v>
      </c>
      <c r="S432" s="29">
        <v>100</v>
      </c>
      <c r="T432" s="28">
        <f t="shared" si="100"/>
        <v>0</v>
      </c>
      <c r="U432" s="28">
        <f t="shared" si="111"/>
        <v>0</v>
      </c>
      <c r="V432" s="87">
        <f t="shared" si="89"/>
        <v>100</v>
      </c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>
        <v>0</v>
      </c>
      <c r="AJ432" s="29">
        <f t="shared" si="107"/>
        <v>0</v>
      </c>
      <c r="AK432" s="136">
        <f t="shared" si="112"/>
        <v>66000000</v>
      </c>
      <c r="AL432" s="29">
        <f t="shared" si="108"/>
        <v>100</v>
      </c>
      <c r="AM432" s="26"/>
    </row>
    <row r="433" spans="1:39" ht="24.75" customHeight="1" x14ac:dyDescent="0.25">
      <c r="A433" s="26"/>
      <c r="B433" s="97"/>
      <c r="C433" s="97"/>
      <c r="D433" s="97"/>
      <c r="E433" s="97"/>
      <c r="F433" s="97"/>
      <c r="G433" s="97"/>
      <c r="H433" s="97"/>
      <c r="I433" s="98"/>
      <c r="J433" s="97" t="s">
        <v>284</v>
      </c>
      <c r="K433" s="27"/>
      <c r="L433" s="31"/>
      <c r="M433" s="563" t="s">
        <v>285</v>
      </c>
      <c r="N433" s="564"/>
      <c r="O433" s="198"/>
      <c r="P433" s="190"/>
      <c r="Q433" s="28">
        <v>16720000</v>
      </c>
      <c r="R433" s="29">
        <f t="shared" si="115"/>
        <v>6.8501007849756643</v>
      </c>
      <c r="S433" s="29">
        <v>100</v>
      </c>
      <c r="T433" s="28">
        <f t="shared" si="100"/>
        <v>0</v>
      </c>
      <c r="U433" s="28">
        <f t="shared" si="111"/>
        <v>0</v>
      </c>
      <c r="V433" s="87">
        <f t="shared" si="89"/>
        <v>100</v>
      </c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>
        <v>0</v>
      </c>
      <c r="AJ433" s="29">
        <f t="shared" si="107"/>
        <v>0</v>
      </c>
      <c r="AK433" s="136">
        <f t="shared" si="112"/>
        <v>16720000</v>
      </c>
      <c r="AL433" s="29">
        <f t="shared" si="108"/>
        <v>100</v>
      </c>
      <c r="AM433" s="26"/>
    </row>
    <row r="434" spans="1:39" ht="24.75" customHeight="1" x14ac:dyDescent="0.25">
      <c r="A434" s="26"/>
      <c r="B434" s="97"/>
      <c r="C434" s="97"/>
      <c r="D434" s="97"/>
      <c r="E434" s="97"/>
      <c r="F434" s="97"/>
      <c r="G434" s="97"/>
      <c r="H434" s="97"/>
      <c r="I434" s="98"/>
      <c r="J434" s="97" t="s">
        <v>282</v>
      </c>
      <c r="K434" s="27"/>
      <c r="L434" s="31"/>
      <c r="M434" s="563" t="s">
        <v>283</v>
      </c>
      <c r="N434" s="564"/>
      <c r="O434" s="198"/>
      <c r="P434" s="190"/>
      <c r="Q434" s="28">
        <v>73500000</v>
      </c>
      <c r="R434" s="29">
        <f t="shared" si="115"/>
        <v>30.11258419232723</v>
      </c>
      <c r="S434" s="29">
        <v>100</v>
      </c>
      <c r="T434" s="28">
        <f t="shared" si="100"/>
        <v>0</v>
      </c>
      <c r="U434" s="28">
        <f t="shared" si="111"/>
        <v>0</v>
      </c>
      <c r="V434" s="87">
        <f t="shared" si="89"/>
        <v>100</v>
      </c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>
        <v>0</v>
      </c>
      <c r="AJ434" s="29">
        <f t="shared" si="107"/>
        <v>0</v>
      </c>
      <c r="AK434" s="136">
        <f t="shared" si="112"/>
        <v>73500000</v>
      </c>
      <c r="AL434" s="29">
        <f t="shared" si="108"/>
        <v>100</v>
      </c>
      <c r="AM434" s="26"/>
    </row>
    <row r="435" spans="1:39" ht="24.75" customHeight="1" x14ac:dyDescent="0.25">
      <c r="A435" s="26"/>
      <c r="B435" s="97"/>
      <c r="C435" s="97"/>
      <c r="D435" s="97"/>
      <c r="E435" s="97"/>
      <c r="F435" s="97"/>
      <c r="G435" s="97"/>
      <c r="H435" s="97"/>
      <c r="I435" s="98"/>
      <c r="J435" s="97" t="s">
        <v>309</v>
      </c>
      <c r="K435" s="27"/>
      <c r="L435" s="31"/>
      <c r="M435" s="563" t="s">
        <v>310</v>
      </c>
      <c r="N435" s="564"/>
      <c r="O435" s="198"/>
      <c r="P435" s="190"/>
      <c r="Q435" s="28">
        <v>8000000</v>
      </c>
      <c r="R435" s="29">
        <f t="shared" si="115"/>
        <v>3.2775601841988822</v>
      </c>
      <c r="S435" s="29">
        <v>100</v>
      </c>
      <c r="T435" s="28">
        <f t="shared" si="100"/>
        <v>0</v>
      </c>
      <c r="U435" s="28">
        <f t="shared" si="111"/>
        <v>0</v>
      </c>
      <c r="V435" s="87">
        <f t="shared" si="89"/>
        <v>100</v>
      </c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>
        <v>0</v>
      </c>
      <c r="AJ435" s="29">
        <f t="shared" si="107"/>
        <v>0</v>
      </c>
      <c r="AK435" s="136">
        <f t="shared" si="112"/>
        <v>8000000</v>
      </c>
      <c r="AL435" s="29">
        <f t="shared" si="108"/>
        <v>100</v>
      </c>
      <c r="AM435" s="26"/>
    </row>
    <row r="436" spans="1:39" ht="24.75" customHeight="1" x14ac:dyDescent="0.25">
      <c r="A436" s="26"/>
      <c r="B436" s="97"/>
      <c r="C436" s="97"/>
      <c r="D436" s="97"/>
      <c r="E436" s="97"/>
      <c r="F436" s="97"/>
      <c r="G436" s="97"/>
      <c r="H436" s="97"/>
      <c r="I436" s="98"/>
      <c r="J436" s="97" t="s">
        <v>407</v>
      </c>
      <c r="K436" s="27"/>
      <c r="L436" s="31"/>
      <c r="M436" s="563" t="s">
        <v>414</v>
      </c>
      <c r="N436" s="564"/>
      <c r="O436" s="198"/>
      <c r="P436" s="190"/>
      <c r="Q436" s="28">
        <v>4000000</v>
      </c>
      <c r="R436" s="29">
        <f t="shared" si="115"/>
        <v>1.6387800920994411</v>
      </c>
      <c r="S436" s="29"/>
      <c r="T436" s="28">
        <f t="shared" si="100"/>
        <v>0</v>
      </c>
      <c r="U436" s="28">
        <f t="shared" si="111"/>
        <v>0</v>
      </c>
      <c r="V436" s="87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>
        <v>0</v>
      </c>
      <c r="AJ436" s="29">
        <f t="shared" si="107"/>
        <v>0</v>
      </c>
      <c r="AK436" s="136">
        <f t="shared" si="112"/>
        <v>4000000</v>
      </c>
      <c r="AL436" s="29">
        <f t="shared" si="108"/>
        <v>100</v>
      </c>
      <c r="AM436" s="26"/>
    </row>
    <row r="437" spans="1:39" s="41" customFormat="1" ht="24.75" customHeight="1" x14ac:dyDescent="0.25">
      <c r="A437" s="21">
        <f>A424+1</f>
        <v>51</v>
      </c>
      <c r="B437" s="543" t="s">
        <v>154</v>
      </c>
      <c r="C437" s="543"/>
      <c r="D437" s="543"/>
      <c r="E437" s="543"/>
      <c r="F437" s="543"/>
      <c r="G437" s="543"/>
      <c r="H437" s="543"/>
      <c r="I437" s="544"/>
      <c r="J437" s="122" t="s">
        <v>505</v>
      </c>
      <c r="K437" s="22"/>
      <c r="L437" s="72"/>
      <c r="M437" s="561" t="s">
        <v>54</v>
      </c>
      <c r="N437" s="561"/>
      <c r="O437" s="197">
        <v>255497500</v>
      </c>
      <c r="P437" s="189">
        <f>O437</f>
        <v>255497500</v>
      </c>
      <c r="Q437" s="23">
        <f>SUM(Q438:Q445)</f>
        <v>154603000</v>
      </c>
      <c r="R437" s="24">
        <f>Q437/Q$33*100</f>
        <v>0.45191324536575322</v>
      </c>
      <c r="S437" s="24">
        <v>100</v>
      </c>
      <c r="T437" s="23">
        <f t="shared" si="100"/>
        <v>0</v>
      </c>
      <c r="U437" s="23">
        <f t="shared" si="111"/>
        <v>0</v>
      </c>
      <c r="V437" s="90">
        <f t="shared" si="89"/>
        <v>100</v>
      </c>
      <c r="W437" s="23"/>
      <c r="X437" s="23" t="e">
        <f>#REF!</f>
        <v>#REF!</v>
      </c>
      <c r="Y437" s="23" t="e">
        <f>#REF!</f>
        <v>#REF!</v>
      </c>
      <c r="Z437" s="23" t="e">
        <f>#REF!</f>
        <v>#REF!</v>
      </c>
      <c r="AA437" s="23" t="e">
        <f>#REF!</f>
        <v>#REF!</v>
      </c>
      <c r="AB437" s="23">
        <v>62640000</v>
      </c>
      <c r="AC437" s="23" t="e">
        <f>#REF!</f>
        <v>#REF!</v>
      </c>
      <c r="AD437" s="23" t="e">
        <f>#REF!</f>
        <v>#REF!</v>
      </c>
      <c r="AE437" s="23" t="e">
        <f>#REF!</f>
        <v>#REF!</v>
      </c>
      <c r="AF437" s="23" t="e">
        <f>[1]April!N74</f>
        <v>#REF!</v>
      </c>
      <c r="AG437" s="23" t="e">
        <f>[2]april!N74</f>
        <v>#REF!</v>
      </c>
      <c r="AH437" s="23">
        <f>'[3]DES SKPD'!$N74</f>
        <v>327019800</v>
      </c>
      <c r="AI437" s="23">
        <f>SUM(AI438:AI445)</f>
        <v>0</v>
      </c>
      <c r="AJ437" s="24">
        <f t="shared" si="107"/>
        <v>0</v>
      </c>
      <c r="AK437" s="134">
        <f t="shared" si="112"/>
        <v>154603000</v>
      </c>
      <c r="AL437" s="24">
        <f t="shared" si="108"/>
        <v>100</v>
      </c>
      <c r="AM437" s="21"/>
    </row>
    <row r="438" spans="1:39" ht="24.75" customHeight="1" x14ac:dyDescent="0.25">
      <c r="A438" s="26"/>
      <c r="B438" s="97"/>
      <c r="C438" s="97"/>
      <c r="D438" s="97"/>
      <c r="E438" s="97"/>
      <c r="F438" s="97"/>
      <c r="G438" s="97"/>
      <c r="H438" s="97"/>
      <c r="I438" s="98"/>
      <c r="J438" s="97" t="s">
        <v>257</v>
      </c>
      <c r="K438" s="27"/>
      <c r="L438" s="31"/>
      <c r="M438" s="559" t="s">
        <v>258</v>
      </c>
      <c r="N438" s="560"/>
      <c r="O438" s="198"/>
      <c r="P438" s="190"/>
      <c r="Q438" s="28">
        <v>4740000</v>
      </c>
      <c r="R438" s="29">
        <f>Q438/Q$437*100</f>
        <v>3.065917220235054</v>
      </c>
      <c r="S438" s="29">
        <v>100</v>
      </c>
      <c r="T438" s="28">
        <f t="shared" si="100"/>
        <v>0</v>
      </c>
      <c r="U438" s="28">
        <f t="shared" si="111"/>
        <v>0</v>
      </c>
      <c r="V438" s="87">
        <f t="shared" si="89"/>
        <v>100</v>
      </c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>
        <v>0</v>
      </c>
      <c r="AJ438" s="29">
        <f t="shared" si="107"/>
        <v>0</v>
      </c>
      <c r="AK438" s="136">
        <f t="shared" si="112"/>
        <v>4740000</v>
      </c>
      <c r="AL438" s="29">
        <f t="shared" si="108"/>
        <v>100</v>
      </c>
      <c r="AM438" s="26"/>
    </row>
    <row r="439" spans="1:39" ht="24.75" customHeight="1" x14ac:dyDescent="0.25">
      <c r="A439" s="26"/>
      <c r="B439" s="97"/>
      <c r="C439" s="97"/>
      <c r="D439" s="97"/>
      <c r="E439" s="97"/>
      <c r="F439" s="97"/>
      <c r="G439" s="97"/>
      <c r="H439" s="97"/>
      <c r="I439" s="98"/>
      <c r="J439" s="97" t="s">
        <v>326</v>
      </c>
      <c r="K439" s="27"/>
      <c r="L439" s="31"/>
      <c r="M439" s="559" t="s">
        <v>327</v>
      </c>
      <c r="N439" s="560"/>
      <c r="O439" s="198"/>
      <c r="P439" s="190"/>
      <c r="Q439" s="28">
        <v>58725000</v>
      </c>
      <c r="R439" s="29">
        <f t="shared" ref="R439:R445" si="116">Q439/Q$437*100</f>
        <v>37.984385813988084</v>
      </c>
      <c r="S439" s="29">
        <v>100</v>
      </c>
      <c r="T439" s="28">
        <f t="shared" si="100"/>
        <v>0</v>
      </c>
      <c r="U439" s="28">
        <f t="shared" si="111"/>
        <v>0</v>
      </c>
      <c r="V439" s="87">
        <f t="shared" si="89"/>
        <v>100</v>
      </c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>
        <v>0</v>
      </c>
      <c r="AJ439" s="29">
        <f t="shared" si="107"/>
        <v>0</v>
      </c>
      <c r="AK439" s="136">
        <f t="shared" si="112"/>
        <v>58725000</v>
      </c>
      <c r="AL439" s="29">
        <f t="shared" si="108"/>
        <v>100</v>
      </c>
      <c r="AM439" s="26"/>
    </row>
    <row r="440" spans="1:39" ht="24.75" customHeight="1" x14ac:dyDescent="0.25">
      <c r="A440" s="26"/>
      <c r="B440" s="97"/>
      <c r="C440" s="97"/>
      <c r="D440" s="97"/>
      <c r="E440" s="97"/>
      <c r="F440" s="97"/>
      <c r="G440" s="97"/>
      <c r="H440" s="97"/>
      <c r="I440" s="98"/>
      <c r="J440" s="97" t="s">
        <v>269</v>
      </c>
      <c r="K440" s="27"/>
      <c r="L440" s="31"/>
      <c r="M440" s="559" t="s">
        <v>270</v>
      </c>
      <c r="N440" s="560"/>
      <c r="O440" s="198"/>
      <c r="P440" s="190"/>
      <c r="Q440" s="28">
        <v>4500000</v>
      </c>
      <c r="R440" s="29">
        <f t="shared" si="116"/>
        <v>2.9106809052864433</v>
      </c>
      <c r="S440" s="29">
        <v>100</v>
      </c>
      <c r="T440" s="28">
        <f t="shared" si="100"/>
        <v>0</v>
      </c>
      <c r="U440" s="28">
        <f t="shared" si="111"/>
        <v>0</v>
      </c>
      <c r="V440" s="87">
        <f t="shared" si="89"/>
        <v>100</v>
      </c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>
        <v>0</v>
      </c>
      <c r="AJ440" s="29">
        <f t="shared" si="107"/>
        <v>0</v>
      </c>
      <c r="AK440" s="136">
        <f t="shared" si="112"/>
        <v>4500000</v>
      </c>
      <c r="AL440" s="29">
        <f t="shared" si="108"/>
        <v>100</v>
      </c>
      <c r="AM440" s="26"/>
    </row>
    <row r="441" spans="1:39" ht="24.75" customHeight="1" x14ac:dyDescent="0.25">
      <c r="A441" s="26"/>
      <c r="B441" s="97"/>
      <c r="C441" s="97"/>
      <c r="D441" s="97"/>
      <c r="E441" s="97"/>
      <c r="F441" s="97"/>
      <c r="G441" s="97"/>
      <c r="H441" s="97"/>
      <c r="I441" s="98"/>
      <c r="J441" s="97" t="s">
        <v>315</v>
      </c>
      <c r="K441" s="27"/>
      <c r="L441" s="31"/>
      <c r="M441" s="559" t="s">
        <v>271</v>
      </c>
      <c r="N441" s="560"/>
      <c r="O441" s="198"/>
      <c r="P441" s="190"/>
      <c r="Q441" s="28">
        <v>1500000</v>
      </c>
      <c r="R441" s="29">
        <f t="shared" si="116"/>
        <v>0.97022696842881451</v>
      </c>
      <c r="S441" s="29">
        <v>100</v>
      </c>
      <c r="T441" s="28">
        <f t="shared" si="100"/>
        <v>0</v>
      </c>
      <c r="U441" s="28">
        <f t="shared" si="111"/>
        <v>0</v>
      </c>
      <c r="V441" s="87">
        <f t="shared" si="89"/>
        <v>100</v>
      </c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>
        <v>0</v>
      </c>
      <c r="AJ441" s="29">
        <f t="shared" si="107"/>
        <v>0</v>
      </c>
      <c r="AK441" s="136">
        <f t="shared" si="112"/>
        <v>1500000</v>
      </c>
      <c r="AL441" s="29">
        <f t="shared" si="108"/>
        <v>100</v>
      </c>
      <c r="AM441" s="26"/>
    </row>
    <row r="442" spans="1:39" ht="24.75" customHeight="1" x14ac:dyDescent="0.25">
      <c r="A442" s="26"/>
      <c r="B442" s="97"/>
      <c r="C442" s="97"/>
      <c r="D442" s="97"/>
      <c r="E442" s="97"/>
      <c r="F442" s="97"/>
      <c r="G442" s="97"/>
      <c r="H442" s="97"/>
      <c r="I442" s="98"/>
      <c r="J442" s="97" t="s">
        <v>328</v>
      </c>
      <c r="K442" s="27"/>
      <c r="L442" s="31"/>
      <c r="M442" s="559" t="s">
        <v>329</v>
      </c>
      <c r="N442" s="560"/>
      <c r="O442" s="198"/>
      <c r="P442" s="190"/>
      <c r="Q442" s="28">
        <v>26000000</v>
      </c>
      <c r="R442" s="29">
        <f t="shared" si="116"/>
        <v>16.817267452766117</v>
      </c>
      <c r="S442" s="29">
        <v>100</v>
      </c>
      <c r="T442" s="28">
        <f t="shared" si="100"/>
        <v>0</v>
      </c>
      <c r="U442" s="28">
        <f t="shared" si="111"/>
        <v>0</v>
      </c>
      <c r="V442" s="87">
        <f t="shared" si="89"/>
        <v>100</v>
      </c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>
        <v>0</v>
      </c>
      <c r="AJ442" s="29">
        <f t="shared" si="107"/>
        <v>0</v>
      </c>
      <c r="AK442" s="136">
        <f t="shared" si="112"/>
        <v>26000000</v>
      </c>
      <c r="AL442" s="29">
        <f t="shared" si="108"/>
        <v>100</v>
      </c>
      <c r="AM442" s="26"/>
    </row>
    <row r="443" spans="1:39" ht="29.25" customHeight="1" x14ac:dyDescent="0.25">
      <c r="A443" s="26"/>
      <c r="B443" s="97"/>
      <c r="C443" s="97"/>
      <c r="D443" s="97"/>
      <c r="E443" s="97"/>
      <c r="F443" s="97"/>
      <c r="G443" s="97"/>
      <c r="H443" s="97"/>
      <c r="I443" s="98"/>
      <c r="J443" s="97" t="s">
        <v>339</v>
      </c>
      <c r="K443" s="27"/>
      <c r="L443" s="31"/>
      <c r="M443" s="559" t="s">
        <v>340</v>
      </c>
      <c r="N443" s="560"/>
      <c r="O443" s="198"/>
      <c r="P443" s="190"/>
      <c r="Q443" s="28">
        <v>1500000</v>
      </c>
      <c r="R443" s="29">
        <f t="shared" si="116"/>
        <v>0.97022696842881451</v>
      </c>
      <c r="S443" s="29">
        <v>100</v>
      </c>
      <c r="T443" s="28">
        <f t="shared" si="100"/>
        <v>0</v>
      </c>
      <c r="U443" s="28">
        <f t="shared" si="111"/>
        <v>0</v>
      </c>
      <c r="V443" s="87">
        <f t="shared" si="89"/>
        <v>100</v>
      </c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>
        <v>0</v>
      </c>
      <c r="AJ443" s="29">
        <f t="shared" si="107"/>
        <v>0</v>
      </c>
      <c r="AK443" s="136">
        <f t="shared" si="112"/>
        <v>1500000</v>
      </c>
      <c r="AL443" s="29">
        <f t="shared" si="108"/>
        <v>100</v>
      </c>
      <c r="AM443" s="26"/>
    </row>
    <row r="444" spans="1:39" ht="24.75" customHeight="1" x14ac:dyDescent="0.25">
      <c r="A444" s="26"/>
      <c r="B444" s="97"/>
      <c r="C444" s="97"/>
      <c r="D444" s="97"/>
      <c r="E444" s="97"/>
      <c r="F444" s="97"/>
      <c r="G444" s="97"/>
      <c r="H444" s="97"/>
      <c r="I444" s="98"/>
      <c r="J444" s="97" t="s">
        <v>284</v>
      </c>
      <c r="K444" s="27"/>
      <c r="L444" s="31"/>
      <c r="M444" s="559" t="s">
        <v>285</v>
      </c>
      <c r="N444" s="560"/>
      <c r="O444" s="198"/>
      <c r="P444" s="190"/>
      <c r="Q444" s="28">
        <v>4000000</v>
      </c>
      <c r="R444" s="29">
        <f t="shared" si="116"/>
        <v>2.587271915810172</v>
      </c>
      <c r="S444" s="29">
        <v>100</v>
      </c>
      <c r="T444" s="28">
        <f t="shared" si="100"/>
        <v>0</v>
      </c>
      <c r="U444" s="28">
        <f t="shared" si="111"/>
        <v>0</v>
      </c>
      <c r="V444" s="87">
        <f t="shared" si="89"/>
        <v>100</v>
      </c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>
        <v>0</v>
      </c>
      <c r="AJ444" s="29">
        <f t="shared" si="107"/>
        <v>0</v>
      </c>
      <c r="AK444" s="136">
        <f t="shared" si="112"/>
        <v>4000000</v>
      </c>
      <c r="AL444" s="29">
        <f t="shared" si="108"/>
        <v>100</v>
      </c>
      <c r="AM444" s="26"/>
    </row>
    <row r="445" spans="1:39" ht="24.75" customHeight="1" x14ac:dyDescent="0.25">
      <c r="A445" s="26"/>
      <c r="B445" s="97"/>
      <c r="C445" s="97"/>
      <c r="D445" s="97"/>
      <c r="E445" s="97"/>
      <c r="F445" s="97"/>
      <c r="G445" s="97"/>
      <c r="H445" s="97"/>
      <c r="I445" s="98"/>
      <c r="J445" s="97" t="s">
        <v>282</v>
      </c>
      <c r="K445" s="27"/>
      <c r="L445" s="31"/>
      <c r="M445" s="559" t="s">
        <v>283</v>
      </c>
      <c r="N445" s="560"/>
      <c r="O445" s="198"/>
      <c r="P445" s="190"/>
      <c r="Q445" s="28">
        <v>53638000</v>
      </c>
      <c r="R445" s="29">
        <f t="shared" si="116"/>
        <v>34.694022755056494</v>
      </c>
      <c r="S445" s="29">
        <v>100</v>
      </c>
      <c r="T445" s="28">
        <f t="shared" si="100"/>
        <v>0</v>
      </c>
      <c r="U445" s="28">
        <f t="shared" si="111"/>
        <v>0</v>
      </c>
      <c r="V445" s="87">
        <f t="shared" si="89"/>
        <v>100</v>
      </c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>
        <v>0</v>
      </c>
      <c r="AJ445" s="29">
        <f t="shared" si="107"/>
        <v>0</v>
      </c>
      <c r="AK445" s="136">
        <f t="shared" si="112"/>
        <v>53638000</v>
      </c>
      <c r="AL445" s="29">
        <f t="shared" si="108"/>
        <v>100</v>
      </c>
      <c r="AM445" s="26"/>
    </row>
    <row r="446" spans="1:39" s="41" customFormat="1" ht="28.5" customHeight="1" x14ac:dyDescent="0.25">
      <c r="A446" s="21">
        <f>A437+1</f>
        <v>52</v>
      </c>
      <c r="B446" s="543" t="s">
        <v>155</v>
      </c>
      <c r="C446" s="543"/>
      <c r="D446" s="543"/>
      <c r="E446" s="543"/>
      <c r="F446" s="543"/>
      <c r="G446" s="543"/>
      <c r="H446" s="543"/>
      <c r="I446" s="544"/>
      <c r="J446" s="122" t="s">
        <v>506</v>
      </c>
      <c r="K446" s="22"/>
      <c r="L446" s="72"/>
      <c r="M446" s="566" t="s">
        <v>55</v>
      </c>
      <c r="N446" s="566"/>
      <c r="O446" s="197">
        <v>589234000</v>
      </c>
      <c r="P446" s="189">
        <f>O446</f>
        <v>589234000</v>
      </c>
      <c r="Q446" s="23">
        <f>SUM(Q447:Q458)</f>
        <v>299690000</v>
      </c>
      <c r="R446" s="24">
        <f>Q446/Q$216*100</f>
        <v>1.9098025602257052</v>
      </c>
      <c r="S446" s="24">
        <v>100</v>
      </c>
      <c r="T446" s="23">
        <f t="shared" si="100"/>
        <v>0</v>
      </c>
      <c r="U446" s="23">
        <f t="shared" si="111"/>
        <v>0</v>
      </c>
      <c r="V446" s="90">
        <f t="shared" si="89"/>
        <v>100</v>
      </c>
      <c r="W446" s="23"/>
      <c r="X446" s="23" t="e">
        <f>#REF!</f>
        <v>#REF!</v>
      </c>
      <c r="Y446" s="23" t="e">
        <f>#REF!</f>
        <v>#REF!</v>
      </c>
      <c r="Z446" s="23" t="e">
        <f>#REF!</f>
        <v>#REF!</v>
      </c>
      <c r="AA446" s="23" t="e">
        <f>#REF!</f>
        <v>#REF!</v>
      </c>
      <c r="AB446" s="23">
        <v>371113894</v>
      </c>
      <c r="AC446" s="23" t="e">
        <f>#REF!</f>
        <v>#REF!</v>
      </c>
      <c r="AD446" s="23" t="e">
        <f>#REF!</f>
        <v>#REF!</v>
      </c>
      <c r="AE446" s="23" t="e">
        <f>#REF!</f>
        <v>#REF!</v>
      </c>
      <c r="AF446" s="23" t="e">
        <f>[1]April!N75</f>
        <v>#REF!</v>
      </c>
      <c r="AG446" s="23" t="e">
        <f>[2]april!N75</f>
        <v>#REF!</v>
      </c>
      <c r="AH446" s="23">
        <f>'[3]DES SKPD'!$N75</f>
        <v>574563894</v>
      </c>
      <c r="AI446" s="23">
        <f>SUM(AI447:AI457)</f>
        <v>0</v>
      </c>
      <c r="AJ446" s="24">
        <f t="shared" ref="AJ446:AJ512" si="117">AI446/Q446*100</f>
        <v>0</v>
      </c>
      <c r="AK446" s="134">
        <f t="shared" si="112"/>
        <v>299690000</v>
      </c>
      <c r="AL446" s="24">
        <f t="shared" ref="AL446:AL472" si="118">AK446/Q446*100</f>
        <v>100</v>
      </c>
      <c r="AM446" s="21"/>
    </row>
    <row r="447" spans="1:39" ht="24.75" customHeight="1" x14ac:dyDescent="0.25">
      <c r="A447" s="26"/>
      <c r="B447" s="97"/>
      <c r="C447" s="97"/>
      <c r="D447" s="97"/>
      <c r="E447" s="97"/>
      <c r="F447" s="97"/>
      <c r="G447" s="97"/>
      <c r="H447" s="97"/>
      <c r="I447" s="98"/>
      <c r="J447" s="97" t="s">
        <v>257</v>
      </c>
      <c r="K447" s="27"/>
      <c r="L447" s="31"/>
      <c r="M447" s="563" t="s">
        <v>258</v>
      </c>
      <c r="N447" s="564"/>
      <c r="O447" s="198"/>
      <c r="P447" s="190"/>
      <c r="Q447" s="28">
        <v>3900000</v>
      </c>
      <c r="R447" s="29">
        <f>Q447/Q$446*100</f>
        <v>1.3013447228803097</v>
      </c>
      <c r="S447" s="29">
        <v>100</v>
      </c>
      <c r="T447" s="28">
        <f t="shared" si="100"/>
        <v>0</v>
      </c>
      <c r="U447" s="28">
        <f t="shared" si="111"/>
        <v>0</v>
      </c>
      <c r="V447" s="87">
        <f t="shared" si="89"/>
        <v>100</v>
      </c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>
        <v>0</v>
      </c>
      <c r="AJ447" s="29">
        <f t="shared" si="117"/>
        <v>0</v>
      </c>
      <c r="AK447" s="136">
        <f t="shared" si="112"/>
        <v>3900000</v>
      </c>
      <c r="AL447" s="29">
        <f t="shared" si="118"/>
        <v>100</v>
      </c>
      <c r="AM447" s="26"/>
    </row>
    <row r="448" spans="1:39" ht="24.75" customHeight="1" x14ac:dyDescent="0.25">
      <c r="A448" s="26"/>
      <c r="B448" s="97"/>
      <c r="C448" s="97"/>
      <c r="D448" s="97"/>
      <c r="E448" s="97"/>
      <c r="F448" s="97"/>
      <c r="G448" s="97"/>
      <c r="H448" s="97"/>
      <c r="I448" s="98"/>
      <c r="J448" s="97" t="s">
        <v>259</v>
      </c>
      <c r="K448" s="27"/>
      <c r="L448" s="31"/>
      <c r="M448" s="563" t="s">
        <v>260</v>
      </c>
      <c r="N448" s="564"/>
      <c r="O448" s="198"/>
      <c r="P448" s="190"/>
      <c r="Q448" s="28">
        <v>1540000</v>
      </c>
      <c r="R448" s="29">
        <f t="shared" ref="R448:R458" si="119">Q448/Q$446*100</f>
        <v>0.51386432647068636</v>
      </c>
      <c r="S448" s="29">
        <v>100</v>
      </c>
      <c r="T448" s="28">
        <f t="shared" si="100"/>
        <v>0</v>
      </c>
      <c r="U448" s="28">
        <f t="shared" si="111"/>
        <v>0</v>
      </c>
      <c r="V448" s="87">
        <f t="shared" si="89"/>
        <v>100</v>
      </c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>
        <v>0</v>
      </c>
      <c r="AJ448" s="29">
        <f t="shared" si="117"/>
        <v>0</v>
      </c>
      <c r="AK448" s="136">
        <f t="shared" si="112"/>
        <v>1540000</v>
      </c>
      <c r="AL448" s="29">
        <f t="shared" si="118"/>
        <v>100</v>
      </c>
      <c r="AM448" s="26"/>
    </row>
    <row r="449" spans="1:39" ht="39" customHeight="1" x14ac:dyDescent="0.25">
      <c r="A449" s="26"/>
      <c r="B449" s="97"/>
      <c r="C449" s="97"/>
      <c r="D449" s="97"/>
      <c r="E449" s="97"/>
      <c r="F449" s="97"/>
      <c r="G449" s="97"/>
      <c r="H449" s="97"/>
      <c r="I449" s="98"/>
      <c r="J449" s="97" t="s">
        <v>345</v>
      </c>
      <c r="K449" s="27"/>
      <c r="L449" s="31"/>
      <c r="M449" s="563" t="s">
        <v>346</v>
      </c>
      <c r="N449" s="564"/>
      <c r="O449" s="198"/>
      <c r="P449" s="190"/>
      <c r="Q449" s="28">
        <v>3150000</v>
      </c>
      <c r="R449" s="29">
        <f t="shared" si="119"/>
        <v>1.0510861223264039</v>
      </c>
      <c r="S449" s="29">
        <v>100</v>
      </c>
      <c r="T449" s="28">
        <f t="shared" si="100"/>
        <v>0</v>
      </c>
      <c r="U449" s="28">
        <f t="shared" si="111"/>
        <v>0</v>
      </c>
      <c r="V449" s="87">
        <f t="shared" si="89"/>
        <v>100</v>
      </c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>
        <v>0</v>
      </c>
      <c r="AJ449" s="29">
        <f t="shared" si="117"/>
        <v>0</v>
      </c>
      <c r="AK449" s="136">
        <f t="shared" si="112"/>
        <v>3150000</v>
      </c>
      <c r="AL449" s="29">
        <f t="shared" si="118"/>
        <v>100</v>
      </c>
      <c r="AM449" s="26"/>
    </row>
    <row r="450" spans="1:39" ht="24.75" customHeight="1" x14ac:dyDescent="0.25">
      <c r="A450" s="26"/>
      <c r="B450" s="97"/>
      <c r="C450" s="97"/>
      <c r="D450" s="97"/>
      <c r="E450" s="97"/>
      <c r="F450" s="97"/>
      <c r="G450" s="97"/>
      <c r="H450" s="97"/>
      <c r="I450" s="98"/>
      <c r="J450" s="97" t="s">
        <v>315</v>
      </c>
      <c r="K450" s="27"/>
      <c r="L450" s="31"/>
      <c r="M450" s="563" t="s">
        <v>271</v>
      </c>
      <c r="N450" s="564"/>
      <c r="O450" s="198"/>
      <c r="P450" s="190"/>
      <c r="Q450" s="28">
        <v>3000000</v>
      </c>
      <c r="R450" s="29">
        <f t="shared" si="119"/>
        <v>1.0010344022156228</v>
      </c>
      <c r="S450" s="29">
        <v>100</v>
      </c>
      <c r="T450" s="28">
        <f t="shared" si="100"/>
        <v>0</v>
      </c>
      <c r="U450" s="28">
        <f t="shared" si="111"/>
        <v>0</v>
      </c>
      <c r="V450" s="87">
        <f t="shared" si="89"/>
        <v>100</v>
      </c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>
        <v>0</v>
      </c>
      <c r="AJ450" s="29">
        <f t="shared" si="117"/>
        <v>0</v>
      </c>
      <c r="AK450" s="136">
        <f t="shared" si="112"/>
        <v>3000000</v>
      </c>
      <c r="AL450" s="29">
        <f t="shared" si="118"/>
        <v>100</v>
      </c>
      <c r="AM450" s="26"/>
    </row>
    <row r="451" spans="1:39" ht="24.75" customHeight="1" x14ac:dyDescent="0.25">
      <c r="A451" s="26"/>
      <c r="B451" s="97"/>
      <c r="C451" s="97"/>
      <c r="D451" s="97"/>
      <c r="E451" s="97"/>
      <c r="F451" s="97"/>
      <c r="G451" s="97"/>
      <c r="H451" s="97"/>
      <c r="I451" s="98"/>
      <c r="J451" s="97" t="s">
        <v>316</v>
      </c>
      <c r="K451" s="27"/>
      <c r="L451" s="31"/>
      <c r="M451" s="563" t="s">
        <v>317</v>
      </c>
      <c r="N451" s="564"/>
      <c r="O451" s="198"/>
      <c r="P451" s="190"/>
      <c r="Q451" s="28">
        <v>1500000</v>
      </c>
      <c r="R451" s="29">
        <f t="shared" si="119"/>
        <v>0.50051720110781139</v>
      </c>
      <c r="S451" s="29">
        <v>100</v>
      </c>
      <c r="T451" s="28">
        <f t="shared" si="100"/>
        <v>0</v>
      </c>
      <c r="U451" s="28">
        <f t="shared" si="111"/>
        <v>0</v>
      </c>
      <c r="V451" s="87">
        <f t="shared" si="89"/>
        <v>100</v>
      </c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>
        <v>0</v>
      </c>
      <c r="AJ451" s="29">
        <f t="shared" si="117"/>
        <v>0</v>
      </c>
      <c r="AK451" s="136">
        <f t="shared" si="112"/>
        <v>1500000</v>
      </c>
      <c r="AL451" s="29">
        <f t="shared" si="118"/>
        <v>100</v>
      </c>
      <c r="AM451" s="26"/>
    </row>
    <row r="452" spans="1:39" ht="27.75" customHeight="1" x14ac:dyDescent="0.25">
      <c r="A452" s="26"/>
      <c r="B452" s="97"/>
      <c r="C452" s="97"/>
      <c r="D452" s="97"/>
      <c r="E452" s="97"/>
      <c r="F452" s="97"/>
      <c r="G452" s="97"/>
      <c r="H452" s="97"/>
      <c r="I452" s="98"/>
      <c r="J452" s="97" t="s">
        <v>318</v>
      </c>
      <c r="K452" s="27"/>
      <c r="L452" s="31"/>
      <c r="M452" s="563" t="s">
        <v>319</v>
      </c>
      <c r="N452" s="564"/>
      <c r="O452" s="198"/>
      <c r="P452" s="190"/>
      <c r="Q452" s="28">
        <v>156000000</v>
      </c>
      <c r="R452" s="29">
        <f t="shared" si="119"/>
        <v>52.053788915212387</v>
      </c>
      <c r="S452" s="29">
        <v>100</v>
      </c>
      <c r="T452" s="28">
        <f t="shared" si="100"/>
        <v>0</v>
      </c>
      <c r="U452" s="28">
        <f t="shared" si="111"/>
        <v>0</v>
      </c>
      <c r="V452" s="87">
        <f t="shared" si="89"/>
        <v>100</v>
      </c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>
        <v>0</v>
      </c>
      <c r="AJ452" s="29">
        <f t="shared" si="117"/>
        <v>0</v>
      </c>
      <c r="AK452" s="136">
        <f t="shared" si="112"/>
        <v>156000000</v>
      </c>
      <c r="AL452" s="29">
        <f t="shared" si="118"/>
        <v>100</v>
      </c>
      <c r="AM452" s="26"/>
    </row>
    <row r="453" spans="1:39" ht="24.75" customHeight="1" x14ac:dyDescent="0.25">
      <c r="A453" s="26"/>
      <c r="B453" s="97"/>
      <c r="C453" s="97"/>
      <c r="D453" s="97"/>
      <c r="E453" s="97"/>
      <c r="F453" s="97"/>
      <c r="G453" s="97"/>
      <c r="H453" s="97"/>
      <c r="I453" s="98"/>
      <c r="J453" s="97" t="s">
        <v>330</v>
      </c>
      <c r="K453" s="27"/>
      <c r="L453" s="31"/>
      <c r="M453" s="563" t="s">
        <v>331</v>
      </c>
      <c r="N453" s="564"/>
      <c r="O453" s="198"/>
      <c r="P453" s="190"/>
      <c r="Q453" s="28">
        <v>24000000</v>
      </c>
      <c r="R453" s="29">
        <f t="shared" si="119"/>
        <v>8.0082752177249823</v>
      </c>
      <c r="S453" s="29">
        <v>100</v>
      </c>
      <c r="T453" s="28">
        <f t="shared" si="100"/>
        <v>0</v>
      </c>
      <c r="U453" s="28">
        <f t="shared" si="111"/>
        <v>0</v>
      </c>
      <c r="V453" s="87">
        <f t="shared" si="89"/>
        <v>100</v>
      </c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>
        <v>0</v>
      </c>
      <c r="AJ453" s="29">
        <f t="shared" si="117"/>
        <v>0</v>
      </c>
      <c r="AK453" s="136">
        <f t="shared" si="112"/>
        <v>24000000</v>
      </c>
      <c r="AL453" s="29">
        <f t="shared" si="118"/>
        <v>100</v>
      </c>
      <c r="AM453" s="26"/>
    </row>
    <row r="454" spans="1:39" ht="24.75" customHeight="1" x14ac:dyDescent="0.25">
      <c r="A454" s="26"/>
      <c r="B454" s="97"/>
      <c r="C454" s="97"/>
      <c r="D454" s="97"/>
      <c r="E454" s="97"/>
      <c r="F454" s="97"/>
      <c r="G454" s="97"/>
      <c r="H454" s="97"/>
      <c r="I454" s="98"/>
      <c r="J454" s="97" t="s">
        <v>282</v>
      </c>
      <c r="K454" s="27"/>
      <c r="L454" s="31"/>
      <c r="M454" s="563" t="s">
        <v>283</v>
      </c>
      <c r="N454" s="564"/>
      <c r="O454" s="198"/>
      <c r="P454" s="190"/>
      <c r="Q454" s="28">
        <v>50000000</v>
      </c>
      <c r="R454" s="29">
        <f t="shared" si="119"/>
        <v>16.683906703593713</v>
      </c>
      <c r="S454" s="29">
        <v>100</v>
      </c>
      <c r="T454" s="28">
        <f t="shared" si="100"/>
        <v>0</v>
      </c>
      <c r="U454" s="28">
        <f t="shared" si="111"/>
        <v>0</v>
      </c>
      <c r="V454" s="87">
        <f t="shared" si="89"/>
        <v>100</v>
      </c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>
        <v>0</v>
      </c>
      <c r="AJ454" s="29">
        <f t="shared" si="117"/>
        <v>0</v>
      </c>
      <c r="AK454" s="136">
        <f t="shared" si="112"/>
        <v>50000000</v>
      </c>
      <c r="AL454" s="29">
        <f t="shared" si="118"/>
        <v>100</v>
      </c>
      <c r="AM454" s="26"/>
    </row>
    <row r="455" spans="1:39" ht="24.75" customHeight="1" x14ac:dyDescent="0.25">
      <c r="A455" s="26"/>
      <c r="B455" s="97"/>
      <c r="C455" s="97"/>
      <c r="D455" s="97"/>
      <c r="E455" s="97"/>
      <c r="F455" s="97"/>
      <c r="G455" s="97"/>
      <c r="H455" s="97"/>
      <c r="I455" s="98"/>
      <c r="J455" s="97" t="s">
        <v>313</v>
      </c>
      <c r="K455" s="27"/>
      <c r="L455" s="31"/>
      <c r="M455" s="563" t="s">
        <v>314</v>
      </c>
      <c r="N455" s="564"/>
      <c r="O455" s="198"/>
      <c r="P455" s="190"/>
      <c r="Q455" s="28">
        <v>21000000</v>
      </c>
      <c r="R455" s="29">
        <f t="shared" si="119"/>
        <v>7.0072408155093591</v>
      </c>
      <c r="S455" s="29">
        <v>100</v>
      </c>
      <c r="T455" s="28">
        <f t="shared" si="100"/>
        <v>0</v>
      </c>
      <c r="U455" s="28">
        <f t="shared" si="111"/>
        <v>0</v>
      </c>
      <c r="V455" s="87">
        <f t="shared" si="89"/>
        <v>100</v>
      </c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>
        <v>0</v>
      </c>
      <c r="AJ455" s="29">
        <f t="shared" si="117"/>
        <v>0</v>
      </c>
      <c r="AK455" s="136">
        <f t="shared" si="112"/>
        <v>21000000</v>
      </c>
      <c r="AL455" s="29">
        <f t="shared" si="118"/>
        <v>100</v>
      </c>
      <c r="AM455" s="26"/>
    </row>
    <row r="456" spans="1:39" ht="24.75" customHeight="1" x14ac:dyDescent="0.25">
      <c r="A456" s="26"/>
      <c r="B456" s="97"/>
      <c r="C456" s="97"/>
      <c r="D456" s="97"/>
      <c r="E456" s="97"/>
      <c r="F456" s="97"/>
      <c r="G456" s="97"/>
      <c r="H456" s="97"/>
      <c r="I456" s="98"/>
      <c r="J456" s="97" t="s">
        <v>320</v>
      </c>
      <c r="K456" s="27"/>
      <c r="L456" s="31"/>
      <c r="M456" s="563" t="s">
        <v>321</v>
      </c>
      <c r="N456" s="564"/>
      <c r="O456" s="198"/>
      <c r="P456" s="190"/>
      <c r="Q456" s="28">
        <v>25600000</v>
      </c>
      <c r="R456" s="29">
        <f t="shared" si="119"/>
        <v>8.542160232239981</v>
      </c>
      <c r="S456" s="29">
        <v>100</v>
      </c>
      <c r="T456" s="28">
        <f t="shared" si="100"/>
        <v>0</v>
      </c>
      <c r="U456" s="28">
        <f t="shared" si="111"/>
        <v>0</v>
      </c>
      <c r="V456" s="87">
        <f t="shared" si="89"/>
        <v>100</v>
      </c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>
        <v>0</v>
      </c>
      <c r="AJ456" s="29">
        <f t="shared" si="117"/>
        <v>0</v>
      </c>
      <c r="AK456" s="136">
        <f t="shared" si="112"/>
        <v>25600000</v>
      </c>
      <c r="AL456" s="29">
        <f t="shared" si="118"/>
        <v>100</v>
      </c>
      <c r="AM456" s="26"/>
    </row>
    <row r="457" spans="1:39" ht="24.75" customHeight="1" x14ac:dyDescent="0.25">
      <c r="A457" s="26"/>
      <c r="B457" s="97"/>
      <c r="C457" s="97"/>
      <c r="D457" s="97"/>
      <c r="E457" s="97"/>
      <c r="F457" s="97"/>
      <c r="G457" s="97"/>
      <c r="H457" s="97"/>
      <c r="I457" s="98"/>
      <c r="J457" s="97" t="s">
        <v>309</v>
      </c>
      <c r="K457" s="27"/>
      <c r="L457" s="31"/>
      <c r="M457" s="563" t="s">
        <v>310</v>
      </c>
      <c r="N457" s="564"/>
      <c r="O457" s="198"/>
      <c r="P457" s="190"/>
      <c r="Q457" s="28">
        <v>8000000</v>
      </c>
      <c r="R457" s="29">
        <f t="shared" si="119"/>
        <v>2.6694250725749944</v>
      </c>
      <c r="S457" s="29">
        <v>100</v>
      </c>
      <c r="T457" s="28">
        <f t="shared" si="100"/>
        <v>0</v>
      </c>
      <c r="U457" s="28">
        <f t="shared" si="111"/>
        <v>0</v>
      </c>
      <c r="V457" s="87">
        <f t="shared" si="89"/>
        <v>100</v>
      </c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>
        <v>0</v>
      </c>
      <c r="AJ457" s="29">
        <f t="shared" si="117"/>
        <v>0</v>
      </c>
      <c r="AK457" s="136">
        <f t="shared" si="112"/>
        <v>8000000</v>
      </c>
      <c r="AL457" s="29">
        <f t="shared" si="118"/>
        <v>100</v>
      </c>
      <c r="AM457" s="26"/>
    </row>
    <row r="458" spans="1:39" ht="24.75" customHeight="1" x14ac:dyDescent="0.25">
      <c r="A458" s="26"/>
      <c r="B458" s="97"/>
      <c r="C458" s="97"/>
      <c r="D458" s="97"/>
      <c r="E458" s="97"/>
      <c r="F458" s="97"/>
      <c r="G458" s="97"/>
      <c r="H458" s="97"/>
      <c r="I458" s="98"/>
      <c r="J458" s="97" t="s">
        <v>407</v>
      </c>
      <c r="K458" s="27"/>
      <c r="L458" s="31"/>
      <c r="M458" s="563" t="s">
        <v>414</v>
      </c>
      <c r="N458" s="564"/>
      <c r="O458" s="198"/>
      <c r="P458" s="190"/>
      <c r="Q458" s="28">
        <v>2000000</v>
      </c>
      <c r="R458" s="29">
        <f t="shared" si="119"/>
        <v>0.6673562681437486</v>
      </c>
      <c r="S458" s="29"/>
      <c r="T458" s="28">
        <f t="shared" si="100"/>
        <v>0</v>
      </c>
      <c r="U458" s="28">
        <f t="shared" si="111"/>
        <v>0</v>
      </c>
      <c r="V458" s="87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>
        <v>0</v>
      </c>
      <c r="AJ458" s="29">
        <f t="shared" si="117"/>
        <v>0</v>
      </c>
      <c r="AK458" s="136">
        <f t="shared" si="112"/>
        <v>2000000</v>
      </c>
      <c r="AL458" s="29">
        <f t="shared" si="118"/>
        <v>100</v>
      </c>
      <c r="AM458" s="26"/>
    </row>
    <row r="459" spans="1:39" s="41" customFormat="1" ht="30" customHeight="1" x14ac:dyDescent="0.25">
      <c r="A459" s="21">
        <f>A446+1</f>
        <v>53</v>
      </c>
      <c r="B459" s="543" t="s">
        <v>156</v>
      </c>
      <c r="C459" s="543"/>
      <c r="D459" s="543"/>
      <c r="E459" s="543"/>
      <c r="F459" s="543"/>
      <c r="G459" s="543"/>
      <c r="H459" s="543"/>
      <c r="I459" s="544"/>
      <c r="J459" s="122" t="s">
        <v>507</v>
      </c>
      <c r="K459" s="22"/>
      <c r="L459" s="72"/>
      <c r="M459" s="566" t="s">
        <v>157</v>
      </c>
      <c r="N459" s="566"/>
      <c r="O459" s="197">
        <v>1493981000</v>
      </c>
      <c r="P459" s="189">
        <f>O459</f>
        <v>1493981000</v>
      </c>
      <c r="Q459" s="23">
        <f>SUM(Q460:Q464)</f>
        <v>827600000</v>
      </c>
      <c r="R459" s="24">
        <f>Q459/Q$216*100</f>
        <v>5.2739584198431491</v>
      </c>
      <c r="S459" s="24">
        <v>100</v>
      </c>
      <c r="T459" s="23">
        <f t="shared" si="100"/>
        <v>0</v>
      </c>
      <c r="U459" s="23">
        <f t="shared" si="111"/>
        <v>0</v>
      </c>
      <c r="V459" s="90">
        <f t="shared" si="89"/>
        <v>100</v>
      </c>
      <c r="W459" s="23"/>
      <c r="X459" s="23" t="e">
        <f>#REF!</f>
        <v>#REF!</v>
      </c>
      <c r="Y459" s="23" t="e">
        <f>#REF!</f>
        <v>#REF!</v>
      </c>
      <c r="Z459" s="23" t="e">
        <f>#REF!</f>
        <v>#REF!</v>
      </c>
      <c r="AA459" s="23" t="e">
        <f>#REF!</f>
        <v>#REF!</v>
      </c>
      <c r="AB459" s="23">
        <v>366754000</v>
      </c>
      <c r="AC459" s="23" t="e">
        <f>#REF!</f>
        <v>#REF!</v>
      </c>
      <c r="AD459" s="23" t="e">
        <f>#REF!</f>
        <v>#REF!</v>
      </c>
      <c r="AE459" s="23" t="e">
        <f>#REF!</f>
        <v>#REF!</v>
      </c>
      <c r="AF459" s="23" t="e">
        <f>[1]April!N76</f>
        <v>#REF!</v>
      </c>
      <c r="AG459" s="23" t="e">
        <f>[2]april!N76</f>
        <v>#REF!</v>
      </c>
      <c r="AH459" s="23">
        <f>'[3]DES SKPD'!$N76</f>
        <v>1083037500</v>
      </c>
      <c r="AI459" s="23">
        <f>SUM(AI460:AI464)</f>
        <v>0</v>
      </c>
      <c r="AJ459" s="24">
        <f t="shared" si="117"/>
        <v>0</v>
      </c>
      <c r="AK459" s="134">
        <f t="shared" si="112"/>
        <v>827600000</v>
      </c>
      <c r="AL459" s="24">
        <f t="shared" si="118"/>
        <v>100</v>
      </c>
      <c r="AM459" s="21"/>
    </row>
    <row r="460" spans="1:39" ht="30" customHeight="1" x14ac:dyDescent="0.25">
      <c r="A460" s="26"/>
      <c r="B460" s="97"/>
      <c r="C460" s="97"/>
      <c r="D460" s="97"/>
      <c r="E460" s="97"/>
      <c r="F460" s="97"/>
      <c r="G460" s="97"/>
      <c r="H460" s="97"/>
      <c r="I460" s="98"/>
      <c r="J460" s="97" t="s">
        <v>353</v>
      </c>
      <c r="K460" s="27"/>
      <c r="L460" s="31"/>
      <c r="M460" s="563" t="s">
        <v>354</v>
      </c>
      <c r="N460" s="564"/>
      <c r="O460" s="198"/>
      <c r="P460" s="190"/>
      <c r="Q460" s="28">
        <v>131200000</v>
      </c>
      <c r="R460" s="29">
        <f>Q460/Q$459*100</f>
        <v>15.853069115514742</v>
      </c>
      <c r="S460" s="29">
        <v>100</v>
      </c>
      <c r="T460" s="28">
        <f t="shared" si="100"/>
        <v>0</v>
      </c>
      <c r="U460" s="28">
        <f t="shared" si="111"/>
        <v>0</v>
      </c>
      <c r="V460" s="87">
        <f t="shared" si="89"/>
        <v>100</v>
      </c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>
        <v>0</v>
      </c>
      <c r="AJ460" s="29">
        <f t="shared" si="117"/>
        <v>0</v>
      </c>
      <c r="AK460" s="136">
        <f t="shared" si="112"/>
        <v>131200000</v>
      </c>
      <c r="AL460" s="29">
        <f t="shared" si="118"/>
        <v>100</v>
      </c>
      <c r="AM460" s="26"/>
    </row>
    <row r="461" spans="1:39" ht="30" customHeight="1" x14ac:dyDescent="0.25">
      <c r="A461" s="26"/>
      <c r="B461" s="97"/>
      <c r="C461" s="97"/>
      <c r="D461" s="97"/>
      <c r="E461" s="97"/>
      <c r="F461" s="97"/>
      <c r="G461" s="97"/>
      <c r="H461" s="97"/>
      <c r="I461" s="98"/>
      <c r="J461" s="97" t="s">
        <v>269</v>
      </c>
      <c r="K461" s="27"/>
      <c r="L461" s="31"/>
      <c r="M461" s="563" t="s">
        <v>270</v>
      </c>
      <c r="N461" s="564"/>
      <c r="O461" s="198"/>
      <c r="P461" s="190"/>
      <c r="Q461" s="28">
        <v>50000000</v>
      </c>
      <c r="R461" s="29">
        <f>Q461/Q$459*100</f>
        <v>6.0415659739004344</v>
      </c>
      <c r="S461" s="29">
        <v>100</v>
      </c>
      <c r="T461" s="28">
        <f t="shared" si="100"/>
        <v>0</v>
      </c>
      <c r="U461" s="28">
        <f t="shared" si="111"/>
        <v>0</v>
      </c>
      <c r="V461" s="87">
        <f t="shared" si="89"/>
        <v>100</v>
      </c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>
        <v>0</v>
      </c>
      <c r="AJ461" s="29">
        <f t="shared" si="117"/>
        <v>0</v>
      </c>
      <c r="AK461" s="136">
        <f t="shared" si="112"/>
        <v>50000000</v>
      </c>
      <c r="AL461" s="29">
        <f t="shared" si="118"/>
        <v>100</v>
      </c>
      <c r="AM461" s="26"/>
    </row>
    <row r="462" spans="1:39" ht="30" customHeight="1" x14ac:dyDescent="0.25">
      <c r="A462" s="26"/>
      <c r="B462" s="97"/>
      <c r="C462" s="97"/>
      <c r="D462" s="97"/>
      <c r="E462" s="97"/>
      <c r="F462" s="97"/>
      <c r="G462" s="97"/>
      <c r="H462" s="97"/>
      <c r="I462" s="98"/>
      <c r="J462" s="97" t="s">
        <v>306</v>
      </c>
      <c r="K462" s="27"/>
      <c r="L462" s="31"/>
      <c r="M462" s="563" t="s">
        <v>307</v>
      </c>
      <c r="N462" s="564"/>
      <c r="O462" s="198"/>
      <c r="P462" s="190"/>
      <c r="Q462" s="28">
        <v>100000000</v>
      </c>
      <c r="R462" s="29">
        <f>Q462/Q$459*100</f>
        <v>12.083131947800869</v>
      </c>
      <c r="S462" s="29">
        <v>100</v>
      </c>
      <c r="T462" s="28">
        <f t="shared" si="100"/>
        <v>0</v>
      </c>
      <c r="U462" s="28">
        <f t="shared" si="111"/>
        <v>0</v>
      </c>
      <c r="V462" s="87">
        <f t="shared" si="89"/>
        <v>100</v>
      </c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>
        <v>0</v>
      </c>
      <c r="AJ462" s="29">
        <f t="shared" si="117"/>
        <v>0</v>
      </c>
      <c r="AK462" s="136">
        <f t="shared" si="112"/>
        <v>100000000</v>
      </c>
      <c r="AL462" s="29">
        <f t="shared" si="118"/>
        <v>100</v>
      </c>
      <c r="AM462" s="26"/>
    </row>
    <row r="463" spans="1:39" ht="30" customHeight="1" x14ac:dyDescent="0.25">
      <c r="A463" s="26"/>
      <c r="B463" s="97"/>
      <c r="C463" s="97"/>
      <c r="D463" s="97"/>
      <c r="E463" s="97"/>
      <c r="F463" s="97"/>
      <c r="G463" s="97"/>
      <c r="H463" s="97"/>
      <c r="I463" s="98"/>
      <c r="J463" s="97" t="s">
        <v>308</v>
      </c>
      <c r="K463" s="27"/>
      <c r="L463" s="31"/>
      <c r="M463" s="563" t="s">
        <v>344</v>
      </c>
      <c r="N463" s="564"/>
      <c r="O463" s="198"/>
      <c r="P463" s="190"/>
      <c r="Q463" s="28">
        <v>250000000</v>
      </c>
      <c r="R463" s="29">
        <f>Q463/Q$459*100</f>
        <v>30.207829869502174</v>
      </c>
      <c r="S463" s="29">
        <v>100</v>
      </c>
      <c r="T463" s="28">
        <f t="shared" si="100"/>
        <v>0</v>
      </c>
      <c r="U463" s="28">
        <f t="shared" si="111"/>
        <v>0</v>
      </c>
      <c r="V463" s="87">
        <f t="shared" si="89"/>
        <v>100</v>
      </c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>
        <v>0</v>
      </c>
      <c r="AJ463" s="29">
        <f t="shared" si="117"/>
        <v>0</v>
      </c>
      <c r="AK463" s="136">
        <f t="shared" si="112"/>
        <v>250000000</v>
      </c>
      <c r="AL463" s="29">
        <f t="shared" si="118"/>
        <v>100</v>
      </c>
      <c r="AM463" s="26"/>
    </row>
    <row r="464" spans="1:39" ht="30" customHeight="1" x14ac:dyDescent="0.25">
      <c r="A464" s="26"/>
      <c r="B464" s="97"/>
      <c r="C464" s="97"/>
      <c r="D464" s="97"/>
      <c r="E464" s="97"/>
      <c r="F464" s="97"/>
      <c r="G464" s="97"/>
      <c r="H464" s="97"/>
      <c r="I464" s="98"/>
      <c r="J464" s="97" t="s">
        <v>309</v>
      </c>
      <c r="K464" s="27"/>
      <c r="L464" s="31"/>
      <c r="M464" s="563" t="s">
        <v>310</v>
      </c>
      <c r="N464" s="564"/>
      <c r="O464" s="198"/>
      <c r="P464" s="190"/>
      <c r="Q464" s="28">
        <v>296400000</v>
      </c>
      <c r="R464" s="29">
        <f>Q464/Q$459*100</f>
        <v>35.814403093281776</v>
      </c>
      <c r="S464" s="29">
        <v>100</v>
      </c>
      <c r="T464" s="28">
        <f t="shared" si="100"/>
        <v>0</v>
      </c>
      <c r="U464" s="28">
        <f t="shared" si="111"/>
        <v>0</v>
      </c>
      <c r="V464" s="87">
        <f t="shared" si="89"/>
        <v>100</v>
      </c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>
        <v>0</v>
      </c>
      <c r="AJ464" s="29">
        <f t="shared" si="117"/>
        <v>0</v>
      </c>
      <c r="AK464" s="136">
        <f t="shared" si="112"/>
        <v>296400000</v>
      </c>
      <c r="AL464" s="29">
        <f t="shared" si="118"/>
        <v>100</v>
      </c>
      <c r="AM464" s="26"/>
    </row>
    <row r="465" spans="1:39" s="41" customFormat="1" ht="31.5" customHeight="1" x14ac:dyDescent="0.25">
      <c r="A465" s="21">
        <f>A459+1</f>
        <v>54</v>
      </c>
      <c r="B465" s="543" t="s">
        <v>158</v>
      </c>
      <c r="C465" s="543"/>
      <c r="D465" s="543"/>
      <c r="E465" s="543"/>
      <c r="F465" s="543"/>
      <c r="G465" s="543"/>
      <c r="H465" s="543"/>
      <c r="I465" s="544"/>
      <c r="J465" s="122" t="s">
        <v>508</v>
      </c>
      <c r="K465" s="22"/>
      <c r="L465" s="72"/>
      <c r="M465" s="568" t="s">
        <v>159</v>
      </c>
      <c r="N465" s="568"/>
      <c r="O465" s="197">
        <v>355300000</v>
      </c>
      <c r="P465" s="189">
        <f>O465</f>
        <v>355300000</v>
      </c>
      <c r="Q465" s="23">
        <f>SUM(Q466:Q477)</f>
        <v>270610000</v>
      </c>
      <c r="R465" s="24">
        <f>Q465/Q$33*100</f>
        <v>0.79100821671265409</v>
      </c>
      <c r="S465" s="24">
        <v>100</v>
      </c>
      <c r="T465" s="23">
        <f t="shared" si="100"/>
        <v>0</v>
      </c>
      <c r="U465" s="23">
        <f t="shared" si="111"/>
        <v>0</v>
      </c>
      <c r="V465" s="90">
        <f t="shared" si="89"/>
        <v>100</v>
      </c>
      <c r="W465" s="23"/>
      <c r="X465" s="23" t="e">
        <f>#REF!</f>
        <v>#REF!</v>
      </c>
      <c r="Y465" s="23" t="e">
        <f>#REF!</f>
        <v>#REF!</v>
      </c>
      <c r="Z465" s="23" t="e">
        <f>#REF!</f>
        <v>#REF!</v>
      </c>
      <c r="AA465" s="23" t="e">
        <f>#REF!</f>
        <v>#REF!</v>
      </c>
      <c r="AB465" s="23">
        <v>131395500</v>
      </c>
      <c r="AC465" s="23" t="e">
        <f>#REF!</f>
        <v>#REF!</v>
      </c>
      <c r="AD465" s="23" t="e">
        <f>#REF!</f>
        <v>#REF!</v>
      </c>
      <c r="AE465" s="23" t="e">
        <f>#REF!</f>
        <v>#REF!</v>
      </c>
      <c r="AF465" s="23" t="e">
        <f>[1]April!N67</f>
        <v>#REF!</v>
      </c>
      <c r="AG465" s="23" t="e">
        <f>[2]april!N77</f>
        <v>#REF!</v>
      </c>
      <c r="AH465" s="23">
        <f>'[3]DES SKPD'!$N77</f>
        <v>318242454</v>
      </c>
      <c r="AI465" s="23">
        <f>SUM(AI466:AI477)</f>
        <v>0</v>
      </c>
      <c r="AJ465" s="24">
        <f t="shared" si="117"/>
        <v>0</v>
      </c>
      <c r="AK465" s="134">
        <f t="shared" si="112"/>
        <v>270610000</v>
      </c>
      <c r="AL465" s="24">
        <f t="shared" si="118"/>
        <v>100</v>
      </c>
      <c r="AM465" s="21"/>
    </row>
    <row r="466" spans="1:39" ht="24.75" customHeight="1" x14ac:dyDescent="0.25">
      <c r="A466" s="26"/>
      <c r="B466" s="97"/>
      <c r="C466" s="97"/>
      <c r="D466" s="97"/>
      <c r="E466" s="97"/>
      <c r="F466" s="97"/>
      <c r="G466" s="97"/>
      <c r="H466" s="97"/>
      <c r="I466" s="98"/>
      <c r="J466" s="97" t="s">
        <v>257</v>
      </c>
      <c r="K466" s="27"/>
      <c r="L466" s="31"/>
      <c r="M466" s="563" t="s">
        <v>258</v>
      </c>
      <c r="N466" s="564"/>
      <c r="O466" s="198"/>
      <c r="P466" s="190"/>
      <c r="Q466" s="28">
        <v>2600000</v>
      </c>
      <c r="R466" s="29">
        <f>Q466/Q$465*100</f>
        <v>0.96079228409888773</v>
      </c>
      <c r="S466" s="29">
        <v>100</v>
      </c>
      <c r="T466" s="28">
        <f t="shared" si="100"/>
        <v>0</v>
      </c>
      <c r="U466" s="28">
        <f t="shared" si="111"/>
        <v>0</v>
      </c>
      <c r="V466" s="87">
        <f t="shared" si="89"/>
        <v>100</v>
      </c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>
        <v>0</v>
      </c>
      <c r="AJ466" s="29">
        <f t="shared" si="117"/>
        <v>0</v>
      </c>
      <c r="AK466" s="136">
        <f t="shared" si="112"/>
        <v>2600000</v>
      </c>
      <c r="AL466" s="29">
        <f t="shared" si="118"/>
        <v>100</v>
      </c>
      <c r="AM466" s="26"/>
    </row>
    <row r="467" spans="1:39" ht="24.75" customHeight="1" x14ac:dyDescent="0.25">
      <c r="A467" s="26"/>
      <c r="B467" s="97"/>
      <c r="C467" s="97"/>
      <c r="D467" s="97"/>
      <c r="E467" s="97"/>
      <c r="F467" s="97"/>
      <c r="G467" s="97"/>
      <c r="H467" s="97"/>
      <c r="I467" s="98"/>
      <c r="J467" s="97" t="s">
        <v>259</v>
      </c>
      <c r="K467" s="27"/>
      <c r="L467" s="31"/>
      <c r="M467" s="563" t="s">
        <v>260</v>
      </c>
      <c r="N467" s="564"/>
      <c r="O467" s="198"/>
      <c r="P467" s="190"/>
      <c r="Q467" s="28">
        <v>3200000</v>
      </c>
      <c r="R467" s="29">
        <f>Q467/Q$465*100</f>
        <v>1.1825135804294002</v>
      </c>
      <c r="S467" s="29">
        <v>100</v>
      </c>
      <c r="T467" s="28">
        <f t="shared" si="100"/>
        <v>0</v>
      </c>
      <c r="U467" s="28">
        <f t="shared" si="111"/>
        <v>0</v>
      </c>
      <c r="V467" s="87">
        <f t="shared" si="89"/>
        <v>100</v>
      </c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>
        <v>0</v>
      </c>
      <c r="AJ467" s="29">
        <f t="shared" si="117"/>
        <v>0</v>
      </c>
      <c r="AK467" s="136">
        <f t="shared" si="112"/>
        <v>3200000</v>
      </c>
      <c r="AL467" s="29">
        <f t="shared" si="118"/>
        <v>100</v>
      </c>
      <c r="AM467" s="26"/>
    </row>
    <row r="468" spans="1:39" ht="24.75" customHeight="1" x14ac:dyDescent="0.25">
      <c r="A468" s="26"/>
      <c r="B468" s="97"/>
      <c r="C468" s="97"/>
      <c r="D468" s="97"/>
      <c r="E468" s="97"/>
      <c r="F468" s="97"/>
      <c r="G468" s="97"/>
      <c r="H468" s="97"/>
      <c r="I468" s="98"/>
      <c r="J468" s="97" t="s">
        <v>326</v>
      </c>
      <c r="K468" s="27"/>
      <c r="L468" s="31"/>
      <c r="M468" s="563" t="s">
        <v>327</v>
      </c>
      <c r="N468" s="564"/>
      <c r="O468" s="198"/>
      <c r="P468" s="190"/>
      <c r="Q468" s="28">
        <v>56775000</v>
      </c>
      <c r="R468" s="29">
        <f t="shared" ref="R468:R477" si="120">Q468/Q$465*100</f>
        <v>20.980377665274748</v>
      </c>
      <c r="S468" s="29">
        <v>100</v>
      </c>
      <c r="T468" s="28">
        <f t="shared" si="100"/>
        <v>0</v>
      </c>
      <c r="U468" s="28">
        <f t="shared" si="111"/>
        <v>0</v>
      </c>
      <c r="V468" s="87">
        <f t="shared" si="89"/>
        <v>100</v>
      </c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>
        <v>0</v>
      </c>
      <c r="AJ468" s="29">
        <f t="shared" si="117"/>
        <v>0</v>
      </c>
      <c r="AK468" s="136">
        <f t="shared" si="112"/>
        <v>56775000</v>
      </c>
      <c r="AL468" s="29">
        <f t="shared" si="118"/>
        <v>100</v>
      </c>
      <c r="AM468" s="26"/>
    </row>
    <row r="469" spans="1:39" ht="24.75" customHeight="1" x14ac:dyDescent="0.25">
      <c r="A469" s="26"/>
      <c r="B469" s="97"/>
      <c r="C469" s="97"/>
      <c r="D469" s="97"/>
      <c r="E469" s="97"/>
      <c r="F469" s="97"/>
      <c r="G469" s="97"/>
      <c r="H469" s="97"/>
      <c r="I469" s="98"/>
      <c r="J469" s="97" t="s">
        <v>269</v>
      </c>
      <c r="K469" s="27"/>
      <c r="L469" s="31"/>
      <c r="M469" s="563" t="s">
        <v>352</v>
      </c>
      <c r="N469" s="564"/>
      <c r="O469" s="198"/>
      <c r="P469" s="190"/>
      <c r="Q469" s="28">
        <v>3000000</v>
      </c>
      <c r="R469" s="29">
        <f t="shared" si="120"/>
        <v>1.1086064816525627</v>
      </c>
      <c r="S469" s="29">
        <v>100</v>
      </c>
      <c r="T469" s="28">
        <f t="shared" si="100"/>
        <v>0</v>
      </c>
      <c r="U469" s="28">
        <f t="shared" si="111"/>
        <v>0</v>
      </c>
      <c r="V469" s="87">
        <f t="shared" si="89"/>
        <v>100</v>
      </c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>
        <v>0</v>
      </c>
      <c r="AJ469" s="29">
        <f t="shared" si="117"/>
        <v>0</v>
      </c>
      <c r="AK469" s="136">
        <f t="shared" si="112"/>
        <v>3000000</v>
      </c>
      <c r="AL469" s="29">
        <f t="shared" si="118"/>
        <v>100</v>
      </c>
      <c r="AM469" s="26"/>
    </row>
    <row r="470" spans="1:39" ht="24.75" customHeight="1" x14ac:dyDescent="0.25">
      <c r="A470" s="26"/>
      <c r="B470" s="97"/>
      <c r="C470" s="97"/>
      <c r="D470" s="97"/>
      <c r="E470" s="97"/>
      <c r="F470" s="97"/>
      <c r="G470" s="97"/>
      <c r="H470" s="97"/>
      <c r="I470" s="98"/>
      <c r="J470" s="97" t="s">
        <v>315</v>
      </c>
      <c r="K470" s="27"/>
      <c r="L470" s="31"/>
      <c r="M470" s="563" t="s">
        <v>271</v>
      </c>
      <c r="N470" s="564"/>
      <c r="O470" s="198"/>
      <c r="P470" s="190"/>
      <c r="Q470" s="28">
        <v>1000000</v>
      </c>
      <c r="R470" s="29">
        <f t="shared" si="120"/>
        <v>0.3695354938841876</v>
      </c>
      <c r="S470" s="29">
        <v>100</v>
      </c>
      <c r="T470" s="28">
        <f t="shared" si="100"/>
        <v>0</v>
      </c>
      <c r="U470" s="28">
        <f t="shared" si="111"/>
        <v>0</v>
      </c>
      <c r="V470" s="87">
        <f t="shared" si="89"/>
        <v>100</v>
      </c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>
        <v>0</v>
      </c>
      <c r="AJ470" s="29">
        <f t="shared" si="117"/>
        <v>0</v>
      </c>
      <c r="AK470" s="136">
        <f t="shared" si="112"/>
        <v>1000000</v>
      </c>
      <c r="AL470" s="29">
        <f t="shared" si="118"/>
        <v>100</v>
      </c>
      <c r="AM470" s="26"/>
    </row>
    <row r="471" spans="1:39" ht="33" customHeight="1" x14ac:dyDescent="0.25">
      <c r="A471" s="26"/>
      <c r="B471" s="97"/>
      <c r="C471" s="97"/>
      <c r="D471" s="97"/>
      <c r="E471" s="97"/>
      <c r="F471" s="97"/>
      <c r="G471" s="97"/>
      <c r="H471" s="97"/>
      <c r="I471" s="98"/>
      <c r="J471" s="97" t="s">
        <v>318</v>
      </c>
      <c r="K471" s="27"/>
      <c r="L471" s="31"/>
      <c r="M471" s="563" t="s">
        <v>319</v>
      </c>
      <c r="N471" s="564"/>
      <c r="O471" s="198"/>
      <c r="P471" s="190"/>
      <c r="Q471" s="28">
        <v>52000000</v>
      </c>
      <c r="R471" s="29">
        <f t="shared" si="120"/>
        <v>19.215845681977754</v>
      </c>
      <c r="S471" s="29">
        <v>100</v>
      </c>
      <c r="T471" s="28">
        <f t="shared" si="100"/>
        <v>0</v>
      </c>
      <c r="U471" s="28">
        <f t="shared" si="111"/>
        <v>0</v>
      </c>
      <c r="V471" s="87">
        <f t="shared" si="89"/>
        <v>100</v>
      </c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>
        <v>0</v>
      </c>
      <c r="AJ471" s="29">
        <f t="shared" si="117"/>
        <v>0</v>
      </c>
      <c r="AK471" s="136">
        <f t="shared" si="112"/>
        <v>52000000</v>
      </c>
      <c r="AL471" s="29">
        <f t="shared" si="118"/>
        <v>100</v>
      </c>
      <c r="AM471" s="26"/>
    </row>
    <row r="472" spans="1:39" ht="24.75" customHeight="1" x14ac:dyDescent="0.25">
      <c r="A472" s="26"/>
      <c r="B472" s="97"/>
      <c r="C472" s="97"/>
      <c r="D472" s="97"/>
      <c r="E472" s="97"/>
      <c r="F472" s="97"/>
      <c r="G472" s="97"/>
      <c r="H472" s="97"/>
      <c r="I472" s="98"/>
      <c r="J472" s="97" t="s">
        <v>284</v>
      </c>
      <c r="K472" s="27"/>
      <c r="L472" s="31"/>
      <c r="M472" s="563" t="s">
        <v>285</v>
      </c>
      <c r="N472" s="564"/>
      <c r="O472" s="198"/>
      <c r="P472" s="190"/>
      <c r="Q472" s="28">
        <v>3000000</v>
      </c>
      <c r="R472" s="29">
        <f t="shared" si="120"/>
        <v>1.1086064816525627</v>
      </c>
      <c r="S472" s="29">
        <v>100</v>
      </c>
      <c r="T472" s="28">
        <f t="shared" si="100"/>
        <v>0</v>
      </c>
      <c r="U472" s="28">
        <f t="shared" si="111"/>
        <v>0</v>
      </c>
      <c r="V472" s="87">
        <f t="shared" si="89"/>
        <v>100</v>
      </c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>
        <v>0</v>
      </c>
      <c r="AJ472" s="29">
        <f t="shared" si="117"/>
        <v>0</v>
      </c>
      <c r="AK472" s="136">
        <f t="shared" si="112"/>
        <v>3000000</v>
      </c>
      <c r="AL472" s="29">
        <f t="shared" si="118"/>
        <v>100</v>
      </c>
      <c r="AM472" s="26"/>
    </row>
    <row r="473" spans="1:39" ht="24.75" customHeight="1" x14ac:dyDescent="0.25">
      <c r="A473" s="26"/>
      <c r="B473" s="97"/>
      <c r="C473" s="97"/>
      <c r="D473" s="97"/>
      <c r="E473" s="97"/>
      <c r="F473" s="97"/>
      <c r="G473" s="97"/>
      <c r="H473" s="97"/>
      <c r="I473" s="98"/>
      <c r="J473" s="97" t="s">
        <v>309</v>
      </c>
      <c r="K473" s="27"/>
      <c r="L473" s="31"/>
      <c r="M473" s="570" t="s">
        <v>418</v>
      </c>
      <c r="N473" s="571"/>
      <c r="O473" s="198"/>
      <c r="P473" s="190"/>
      <c r="Q473" s="28">
        <v>52835000</v>
      </c>
      <c r="R473" s="29">
        <f t="shared" si="120"/>
        <v>19.524407819371049</v>
      </c>
      <c r="S473" s="29">
        <v>100</v>
      </c>
      <c r="T473" s="28">
        <f t="shared" si="100"/>
        <v>0</v>
      </c>
      <c r="U473" s="28">
        <f t="shared" si="111"/>
        <v>0</v>
      </c>
      <c r="V473" s="87">
        <f t="shared" si="89"/>
        <v>100</v>
      </c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>
        <v>0</v>
      </c>
      <c r="AJ473" s="29">
        <f t="shared" si="117"/>
        <v>0</v>
      </c>
      <c r="AK473" s="136">
        <v>52835000</v>
      </c>
      <c r="AL473" s="29">
        <v>100</v>
      </c>
      <c r="AM473" s="26"/>
    </row>
    <row r="474" spans="1:39" ht="24.75" customHeight="1" x14ac:dyDescent="0.25">
      <c r="A474" s="26"/>
      <c r="B474" s="97"/>
      <c r="C474" s="97"/>
      <c r="D474" s="97"/>
      <c r="E474" s="97"/>
      <c r="F474" s="97"/>
      <c r="G474" s="97"/>
      <c r="H474" s="97"/>
      <c r="I474" s="98"/>
      <c r="J474" s="97" t="s">
        <v>419</v>
      </c>
      <c r="K474" s="27"/>
      <c r="L474" s="31"/>
      <c r="M474" s="570" t="s">
        <v>420</v>
      </c>
      <c r="N474" s="571"/>
      <c r="O474" s="198"/>
      <c r="P474" s="190"/>
      <c r="Q474" s="28">
        <v>75000000</v>
      </c>
      <c r="R474" s="29">
        <f t="shared" si="120"/>
        <v>27.715162041314066</v>
      </c>
      <c r="S474" s="29">
        <v>100</v>
      </c>
      <c r="T474" s="28">
        <f t="shared" si="100"/>
        <v>0</v>
      </c>
      <c r="U474" s="28">
        <f t="shared" si="111"/>
        <v>0</v>
      </c>
      <c r="V474" s="87">
        <f t="shared" si="89"/>
        <v>100</v>
      </c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>
        <v>0</v>
      </c>
      <c r="AJ474" s="29">
        <f t="shared" si="117"/>
        <v>0</v>
      </c>
      <c r="AK474" s="136">
        <v>75000000</v>
      </c>
      <c r="AL474" s="29">
        <v>100</v>
      </c>
      <c r="AM474" s="26"/>
    </row>
    <row r="475" spans="1:39" ht="24.75" customHeight="1" x14ac:dyDescent="0.25">
      <c r="A475" s="26"/>
      <c r="B475" s="97"/>
      <c r="C475" s="97"/>
      <c r="D475" s="97"/>
      <c r="E475" s="97"/>
      <c r="F475" s="97"/>
      <c r="G475" s="97"/>
      <c r="H475" s="97"/>
      <c r="I475" s="98"/>
      <c r="J475" s="97" t="s">
        <v>320</v>
      </c>
      <c r="K475" s="27"/>
      <c r="L475" s="31"/>
      <c r="M475" s="569" t="s">
        <v>321</v>
      </c>
      <c r="N475" s="516"/>
      <c r="O475" s="198"/>
      <c r="P475" s="190"/>
      <c r="Q475" s="28">
        <v>16000000</v>
      </c>
      <c r="R475" s="29">
        <f t="shared" si="120"/>
        <v>5.9125679021470017</v>
      </c>
      <c r="S475" s="29">
        <v>100</v>
      </c>
      <c r="T475" s="28">
        <f t="shared" si="100"/>
        <v>0</v>
      </c>
      <c r="U475" s="28">
        <f t="shared" si="111"/>
        <v>0</v>
      </c>
      <c r="V475" s="87">
        <f t="shared" si="89"/>
        <v>100</v>
      </c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>
        <v>0</v>
      </c>
      <c r="AJ475" s="29">
        <f t="shared" si="117"/>
        <v>0</v>
      </c>
      <c r="AK475" s="136">
        <f t="shared" ref="AK475:AK494" si="121">Q475-AI475</f>
        <v>16000000</v>
      </c>
      <c r="AL475" s="29">
        <f t="shared" ref="AL475:AL524" si="122">AK475/Q475*100</f>
        <v>100</v>
      </c>
      <c r="AM475" s="26"/>
    </row>
    <row r="476" spans="1:39" ht="24.75" customHeight="1" x14ac:dyDescent="0.25">
      <c r="A476" s="26"/>
      <c r="B476" s="97"/>
      <c r="C476" s="97"/>
      <c r="D476" s="97"/>
      <c r="E476" s="97"/>
      <c r="F476" s="97"/>
      <c r="G476" s="97"/>
      <c r="H476" s="97"/>
      <c r="I476" s="98"/>
      <c r="J476" s="97" t="s">
        <v>309</v>
      </c>
      <c r="K476" s="27"/>
      <c r="L476" s="31"/>
      <c r="M476" s="563" t="s">
        <v>310</v>
      </c>
      <c r="N476" s="564"/>
      <c r="O476" s="198"/>
      <c r="P476" s="190"/>
      <c r="Q476" s="28">
        <v>4000000</v>
      </c>
      <c r="R476" s="29">
        <f t="shared" si="120"/>
        <v>1.4781419755367504</v>
      </c>
      <c r="S476" s="29">
        <v>100</v>
      </c>
      <c r="T476" s="28">
        <f t="shared" si="100"/>
        <v>0</v>
      </c>
      <c r="U476" s="28">
        <f t="shared" si="111"/>
        <v>0</v>
      </c>
      <c r="V476" s="87">
        <f t="shared" si="89"/>
        <v>100</v>
      </c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>
        <v>0</v>
      </c>
      <c r="AJ476" s="29">
        <f t="shared" si="117"/>
        <v>0</v>
      </c>
      <c r="AK476" s="136">
        <f t="shared" si="121"/>
        <v>4000000</v>
      </c>
      <c r="AL476" s="29">
        <f t="shared" si="122"/>
        <v>100</v>
      </c>
      <c r="AM476" s="26"/>
    </row>
    <row r="477" spans="1:39" ht="24.75" customHeight="1" x14ac:dyDescent="0.25">
      <c r="A477" s="26"/>
      <c r="B477" s="97"/>
      <c r="C477" s="97"/>
      <c r="D477" s="97"/>
      <c r="E477" s="97"/>
      <c r="F477" s="97"/>
      <c r="G477" s="97"/>
      <c r="H477" s="97"/>
      <c r="I477" s="98"/>
      <c r="J477" s="97" t="s">
        <v>407</v>
      </c>
      <c r="K477" s="27"/>
      <c r="L477" s="31"/>
      <c r="M477" s="563" t="s">
        <v>414</v>
      </c>
      <c r="N477" s="564"/>
      <c r="O477" s="198"/>
      <c r="P477" s="190"/>
      <c r="Q477" s="28">
        <v>1200000</v>
      </c>
      <c r="R477" s="29">
        <f t="shared" si="120"/>
        <v>0.44344259266102509</v>
      </c>
      <c r="S477" s="29">
        <v>100</v>
      </c>
      <c r="T477" s="28">
        <f t="shared" si="100"/>
        <v>0</v>
      </c>
      <c r="U477" s="28">
        <f t="shared" si="111"/>
        <v>0</v>
      </c>
      <c r="V477" s="87">
        <f t="shared" si="89"/>
        <v>100</v>
      </c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>
        <v>0</v>
      </c>
      <c r="AJ477" s="29">
        <f t="shared" si="117"/>
        <v>0</v>
      </c>
      <c r="AK477" s="136">
        <f t="shared" si="121"/>
        <v>1200000</v>
      </c>
      <c r="AL477" s="29">
        <f t="shared" si="122"/>
        <v>100</v>
      </c>
      <c r="AM477" s="26"/>
    </row>
    <row r="478" spans="1:39" ht="33.75" customHeight="1" x14ac:dyDescent="0.25">
      <c r="A478" s="21">
        <v>55</v>
      </c>
      <c r="B478" s="97"/>
      <c r="C478" s="97"/>
      <c r="D478" s="97"/>
      <c r="E478" s="97"/>
      <c r="F478" s="97"/>
      <c r="G478" s="97"/>
      <c r="H478" s="97"/>
      <c r="I478" s="98"/>
      <c r="J478" s="122" t="s">
        <v>509</v>
      </c>
      <c r="K478" s="22"/>
      <c r="L478" s="72"/>
      <c r="M478" s="568" t="s">
        <v>510</v>
      </c>
      <c r="N478" s="568"/>
      <c r="O478" s="197">
        <v>355300000</v>
      </c>
      <c r="P478" s="189">
        <f>O478</f>
        <v>355300000</v>
      </c>
      <c r="Q478" s="23">
        <f>SUM(Q479:Q486)</f>
        <v>292000644</v>
      </c>
      <c r="R478" s="24">
        <f>Q478/Q$216*100</f>
        <v>1.8608014197963052</v>
      </c>
      <c r="S478" s="24">
        <v>100</v>
      </c>
      <c r="T478" s="23">
        <f t="shared" si="100"/>
        <v>0</v>
      </c>
      <c r="U478" s="23">
        <f t="shared" si="111"/>
        <v>0</v>
      </c>
      <c r="V478" s="90">
        <f t="shared" si="89"/>
        <v>100</v>
      </c>
      <c r="W478" s="23"/>
      <c r="X478" s="23" t="e">
        <f>#REF!</f>
        <v>#REF!</v>
      </c>
      <c r="Y478" s="23" t="e">
        <f>#REF!</f>
        <v>#REF!</v>
      </c>
      <c r="Z478" s="23" t="e">
        <f>#REF!</f>
        <v>#REF!</v>
      </c>
      <c r="AA478" s="23" t="e">
        <f>#REF!</f>
        <v>#REF!</v>
      </c>
      <c r="AB478" s="23">
        <v>131395500</v>
      </c>
      <c r="AC478" s="23" t="e">
        <f>#REF!</f>
        <v>#REF!</v>
      </c>
      <c r="AD478" s="23" t="e">
        <f>#REF!</f>
        <v>#REF!</v>
      </c>
      <c r="AE478" s="23" t="e">
        <f>#REF!</f>
        <v>#REF!</v>
      </c>
      <c r="AF478" s="23" t="e">
        <f>[1]April!N80</f>
        <v>#REF!</v>
      </c>
      <c r="AG478" s="23" t="e">
        <f>[2]april!N90</f>
        <v>#REF!</v>
      </c>
      <c r="AH478" s="23" t="e">
        <f>'[3]DES SKPD'!$N90</f>
        <v>#REF!</v>
      </c>
      <c r="AI478" s="23">
        <f>SUM(AI479:AI486)</f>
        <v>0</v>
      </c>
      <c r="AJ478" s="24">
        <f t="shared" si="117"/>
        <v>0</v>
      </c>
      <c r="AK478" s="134">
        <f t="shared" si="121"/>
        <v>292000644</v>
      </c>
      <c r="AL478" s="24">
        <f t="shared" si="122"/>
        <v>100</v>
      </c>
      <c r="AM478" s="21"/>
    </row>
    <row r="479" spans="1:39" ht="24.75" customHeight="1" x14ac:dyDescent="0.25">
      <c r="A479" s="26"/>
      <c r="B479" s="97"/>
      <c r="C479" s="97"/>
      <c r="D479" s="97"/>
      <c r="E479" s="97"/>
      <c r="F479" s="97"/>
      <c r="G479" s="97"/>
      <c r="H479" s="97"/>
      <c r="I479" s="98"/>
      <c r="J479" s="97" t="s">
        <v>257</v>
      </c>
      <c r="K479" s="27"/>
      <c r="L479" s="31"/>
      <c r="M479" s="563" t="s">
        <v>258</v>
      </c>
      <c r="N479" s="564"/>
      <c r="O479" s="198"/>
      <c r="P479" s="190"/>
      <c r="Q479" s="28">
        <v>3300000</v>
      </c>
      <c r="R479" s="29">
        <f t="shared" ref="R479:R486" si="123">Q479/Q$478*100</f>
        <v>1.1301344938129656</v>
      </c>
      <c r="S479" s="29">
        <v>100</v>
      </c>
      <c r="T479" s="28">
        <f t="shared" si="100"/>
        <v>0</v>
      </c>
      <c r="U479" s="28">
        <f t="shared" si="111"/>
        <v>0</v>
      </c>
      <c r="V479" s="87">
        <f t="shared" si="89"/>
        <v>100</v>
      </c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>
        <v>0</v>
      </c>
      <c r="AJ479" s="29">
        <f t="shared" si="117"/>
        <v>0</v>
      </c>
      <c r="AK479" s="136">
        <f t="shared" si="121"/>
        <v>3300000</v>
      </c>
      <c r="AL479" s="29">
        <f t="shared" si="122"/>
        <v>100</v>
      </c>
      <c r="AM479" s="26"/>
    </row>
    <row r="480" spans="1:39" ht="24.75" customHeight="1" x14ac:dyDescent="0.25">
      <c r="A480" s="26"/>
      <c r="B480" s="97"/>
      <c r="C480" s="97"/>
      <c r="D480" s="97"/>
      <c r="E480" s="97"/>
      <c r="F480" s="97"/>
      <c r="G480" s="97"/>
      <c r="H480" s="97"/>
      <c r="I480" s="98"/>
      <c r="J480" s="97" t="s">
        <v>326</v>
      </c>
      <c r="K480" s="27"/>
      <c r="L480" s="31"/>
      <c r="M480" s="563" t="s">
        <v>327</v>
      </c>
      <c r="N480" s="564"/>
      <c r="O480" s="198"/>
      <c r="P480" s="190"/>
      <c r="Q480" s="28">
        <v>77300000</v>
      </c>
      <c r="R480" s="29">
        <f t="shared" si="123"/>
        <v>26.472544355073406</v>
      </c>
      <c r="S480" s="29">
        <v>100</v>
      </c>
      <c r="T480" s="28">
        <f t="shared" si="100"/>
        <v>0</v>
      </c>
      <c r="U480" s="28">
        <f t="shared" si="111"/>
        <v>0</v>
      </c>
      <c r="V480" s="87">
        <f t="shared" si="89"/>
        <v>100</v>
      </c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>
        <v>0</v>
      </c>
      <c r="AJ480" s="29">
        <f t="shared" si="117"/>
        <v>0</v>
      </c>
      <c r="AK480" s="136">
        <f t="shared" si="121"/>
        <v>77300000</v>
      </c>
      <c r="AL480" s="29">
        <f t="shared" si="122"/>
        <v>100</v>
      </c>
      <c r="AM480" s="26"/>
    </row>
    <row r="481" spans="1:39" ht="24.75" customHeight="1" x14ac:dyDescent="0.25">
      <c r="A481" s="26"/>
      <c r="B481" s="97"/>
      <c r="C481" s="97"/>
      <c r="D481" s="97"/>
      <c r="E481" s="97"/>
      <c r="F481" s="97"/>
      <c r="G481" s="97"/>
      <c r="H481" s="97"/>
      <c r="I481" s="98"/>
      <c r="J481" s="97" t="s">
        <v>315</v>
      </c>
      <c r="K481" s="27"/>
      <c r="L481" s="31"/>
      <c r="M481" s="563" t="s">
        <v>271</v>
      </c>
      <c r="N481" s="564"/>
      <c r="O481" s="198"/>
      <c r="P481" s="190"/>
      <c r="Q481" s="28">
        <v>960000</v>
      </c>
      <c r="R481" s="29">
        <f t="shared" si="123"/>
        <v>0.32876639820013548</v>
      </c>
      <c r="S481" s="29">
        <v>100</v>
      </c>
      <c r="T481" s="28">
        <f t="shared" si="100"/>
        <v>0</v>
      </c>
      <c r="U481" s="28">
        <f t="shared" si="111"/>
        <v>0</v>
      </c>
      <c r="V481" s="87">
        <f t="shared" si="89"/>
        <v>100</v>
      </c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>
        <v>0</v>
      </c>
      <c r="AJ481" s="29">
        <f t="shared" si="117"/>
        <v>0</v>
      </c>
      <c r="AK481" s="136">
        <f t="shared" si="121"/>
        <v>960000</v>
      </c>
      <c r="AL481" s="29">
        <f t="shared" si="122"/>
        <v>100</v>
      </c>
      <c r="AM481" s="26"/>
    </row>
    <row r="482" spans="1:39" ht="29.25" customHeight="1" x14ac:dyDescent="0.25">
      <c r="A482" s="26"/>
      <c r="B482" s="97"/>
      <c r="C482" s="97"/>
      <c r="D482" s="97"/>
      <c r="E482" s="97"/>
      <c r="F482" s="97"/>
      <c r="G482" s="97"/>
      <c r="H482" s="97"/>
      <c r="I482" s="98"/>
      <c r="J482" s="97" t="s">
        <v>318</v>
      </c>
      <c r="K482" s="27"/>
      <c r="L482" s="31"/>
      <c r="M482" s="563" t="s">
        <v>319</v>
      </c>
      <c r="N482" s="564"/>
      <c r="O482" s="198"/>
      <c r="P482" s="190"/>
      <c r="Q482" s="28">
        <v>68250000</v>
      </c>
      <c r="R482" s="29">
        <f t="shared" si="123"/>
        <v>23.373236122040879</v>
      </c>
      <c r="S482" s="29">
        <v>100</v>
      </c>
      <c r="T482" s="28">
        <f t="shared" si="100"/>
        <v>0</v>
      </c>
      <c r="U482" s="28">
        <f t="shared" si="111"/>
        <v>0</v>
      </c>
      <c r="V482" s="87">
        <f t="shared" si="89"/>
        <v>100</v>
      </c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>
        <v>0</v>
      </c>
      <c r="AJ482" s="29">
        <f t="shared" si="117"/>
        <v>0</v>
      </c>
      <c r="AK482" s="136">
        <f t="shared" si="121"/>
        <v>68250000</v>
      </c>
      <c r="AL482" s="29">
        <f t="shared" si="122"/>
        <v>100</v>
      </c>
      <c r="AM482" s="26"/>
    </row>
    <row r="483" spans="1:39" ht="24.75" customHeight="1" x14ac:dyDescent="0.25">
      <c r="A483" s="26"/>
      <c r="B483" s="97"/>
      <c r="C483" s="97"/>
      <c r="D483" s="97"/>
      <c r="E483" s="97"/>
      <c r="F483" s="97"/>
      <c r="G483" s="97"/>
      <c r="H483" s="97"/>
      <c r="I483" s="98"/>
      <c r="J483" s="97" t="s">
        <v>282</v>
      </c>
      <c r="K483" s="27"/>
      <c r="L483" s="31"/>
      <c r="M483" s="570" t="s">
        <v>418</v>
      </c>
      <c r="N483" s="571"/>
      <c r="O483" s="198"/>
      <c r="P483" s="190"/>
      <c r="Q483" s="28">
        <v>25990644</v>
      </c>
      <c r="R483" s="29">
        <f t="shared" si="123"/>
        <v>8.9008858487312104</v>
      </c>
      <c r="S483" s="29">
        <v>100</v>
      </c>
      <c r="T483" s="28">
        <f t="shared" si="100"/>
        <v>0</v>
      </c>
      <c r="U483" s="28">
        <f t="shared" si="111"/>
        <v>0</v>
      </c>
      <c r="V483" s="87">
        <f t="shared" si="89"/>
        <v>100</v>
      </c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>
        <v>0</v>
      </c>
      <c r="AJ483" s="29">
        <f t="shared" si="117"/>
        <v>0</v>
      </c>
      <c r="AK483" s="136">
        <f t="shared" si="121"/>
        <v>25990644</v>
      </c>
      <c r="AL483" s="29">
        <f t="shared" si="122"/>
        <v>100</v>
      </c>
      <c r="AM483" s="26"/>
    </row>
    <row r="484" spans="1:39" ht="25.5" customHeight="1" x14ac:dyDescent="0.25">
      <c r="A484" s="26"/>
      <c r="B484" s="97"/>
      <c r="C484" s="97"/>
      <c r="D484" s="97"/>
      <c r="E484" s="97"/>
      <c r="F484" s="97"/>
      <c r="G484" s="97"/>
      <c r="H484" s="97"/>
      <c r="I484" s="98"/>
      <c r="J484" s="128" t="s">
        <v>308</v>
      </c>
      <c r="M484" s="570" t="s">
        <v>344</v>
      </c>
      <c r="N484" s="571"/>
      <c r="O484" s="198"/>
      <c r="P484" s="190"/>
      <c r="Q484" s="28">
        <v>50000000</v>
      </c>
      <c r="R484" s="29">
        <f t="shared" si="123"/>
        <v>17.123249906257058</v>
      </c>
      <c r="S484" s="29">
        <v>100</v>
      </c>
      <c r="T484" s="28">
        <f t="shared" si="100"/>
        <v>0</v>
      </c>
      <c r="U484" s="28">
        <f t="shared" si="111"/>
        <v>0</v>
      </c>
      <c r="V484" s="87">
        <f t="shared" si="89"/>
        <v>100</v>
      </c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>
        <v>0</v>
      </c>
      <c r="AJ484" s="29">
        <f t="shared" si="117"/>
        <v>0</v>
      </c>
      <c r="AK484" s="136">
        <f t="shared" si="121"/>
        <v>50000000</v>
      </c>
      <c r="AL484" s="29">
        <f t="shared" si="122"/>
        <v>100</v>
      </c>
      <c r="AM484" s="26"/>
    </row>
    <row r="485" spans="1:39" ht="24.75" customHeight="1" x14ac:dyDescent="0.25">
      <c r="A485" s="26"/>
      <c r="B485" s="97"/>
      <c r="C485" s="97"/>
      <c r="D485" s="97"/>
      <c r="E485" s="97"/>
      <c r="F485" s="97"/>
      <c r="G485" s="97"/>
      <c r="H485" s="97"/>
      <c r="I485" s="98"/>
      <c r="J485" s="97" t="s">
        <v>320</v>
      </c>
      <c r="K485" s="27"/>
      <c r="L485" s="31"/>
      <c r="M485" s="563" t="s">
        <v>321</v>
      </c>
      <c r="N485" s="564"/>
      <c r="O485" s="198"/>
      <c r="P485" s="190"/>
      <c r="Q485" s="28">
        <v>16200000</v>
      </c>
      <c r="R485" s="29">
        <f t="shared" si="123"/>
        <v>5.5479329696272863</v>
      </c>
      <c r="S485" s="29">
        <v>100</v>
      </c>
      <c r="T485" s="28">
        <f t="shared" si="100"/>
        <v>0</v>
      </c>
      <c r="U485" s="28">
        <f t="shared" si="111"/>
        <v>0</v>
      </c>
      <c r="V485" s="87">
        <f t="shared" si="89"/>
        <v>100</v>
      </c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>
        <v>0</v>
      </c>
      <c r="AJ485" s="29">
        <f t="shared" si="117"/>
        <v>0</v>
      </c>
      <c r="AK485" s="136">
        <f t="shared" si="121"/>
        <v>16200000</v>
      </c>
      <c r="AL485" s="29">
        <f t="shared" si="122"/>
        <v>100</v>
      </c>
      <c r="AM485" s="26"/>
    </row>
    <row r="486" spans="1:39" ht="24.75" customHeight="1" x14ac:dyDescent="0.25">
      <c r="A486" s="26"/>
      <c r="B486" s="97"/>
      <c r="C486" s="97"/>
      <c r="D486" s="97"/>
      <c r="E486" s="97"/>
      <c r="F486" s="97"/>
      <c r="G486" s="97"/>
      <c r="H486" s="97"/>
      <c r="I486" s="98"/>
      <c r="J486" s="128" t="s">
        <v>309</v>
      </c>
      <c r="M486" s="570" t="s">
        <v>310</v>
      </c>
      <c r="N486" s="571"/>
      <c r="O486" s="198"/>
      <c r="P486" s="190"/>
      <c r="Q486" s="28">
        <v>50000000</v>
      </c>
      <c r="R486" s="29">
        <f t="shared" si="123"/>
        <v>17.123249906257058</v>
      </c>
      <c r="S486" s="29">
        <v>100</v>
      </c>
      <c r="T486" s="28">
        <f t="shared" si="100"/>
        <v>0</v>
      </c>
      <c r="U486" s="28">
        <f t="shared" si="111"/>
        <v>0</v>
      </c>
      <c r="V486" s="87">
        <f t="shared" si="89"/>
        <v>100</v>
      </c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>
        <v>0</v>
      </c>
      <c r="AJ486" s="29">
        <f t="shared" si="117"/>
        <v>0</v>
      </c>
      <c r="AK486" s="136">
        <v>52835000</v>
      </c>
      <c r="AL486" s="29">
        <v>100</v>
      </c>
      <c r="AM486" s="26"/>
    </row>
    <row r="487" spans="1:39" ht="30.75" customHeight="1" x14ac:dyDescent="0.25">
      <c r="A487" s="21">
        <v>56</v>
      </c>
      <c r="B487" s="97"/>
      <c r="C487" s="97"/>
      <c r="D487" s="97"/>
      <c r="E487" s="97"/>
      <c r="F487" s="97"/>
      <c r="G487" s="97"/>
      <c r="H487" s="97"/>
      <c r="I487" s="98"/>
      <c r="J487" s="122" t="s">
        <v>511</v>
      </c>
      <c r="M487" s="568" t="s">
        <v>512</v>
      </c>
      <c r="N487" s="568"/>
      <c r="O487" s="197">
        <v>355300000</v>
      </c>
      <c r="P487" s="189">
        <f>O487</f>
        <v>355300000</v>
      </c>
      <c r="Q487" s="23">
        <f>SUM(Q488:Q493)</f>
        <v>70200000</v>
      </c>
      <c r="R487" s="24">
        <f>Q487/Q$216*100</f>
        <v>0.4473560670287447</v>
      </c>
      <c r="S487" s="24">
        <v>100</v>
      </c>
      <c r="T487" s="23">
        <f t="shared" si="100"/>
        <v>0</v>
      </c>
      <c r="U487" s="23">
        <f t="shared" si="111"/>
        <v>0</v>
      </c>
      <c r="V487" s="90">
        <f t="shared" si="89"/>
        <v>100</v>
      </c>
      <c r="W487" s="23"/>
      <c r="X487" s="23" t="e">
        <f>#REF!</f>
        <v>#REF!</v>
      </c>
      <c r="Y487" s="23" t="e">
        <f>#REF!</f>
        <v>#REF!</v>
      </c>
      <c r="Z487" s="23" t="e">
        <f>#REF!</f>
        <v>#REF!</v>
      </c>
      <c r="AA487" s="23" t="e">
        <f>#REF!</f>
        <v>#REF!</v>
      </c>
      <c r="AB487" s="23">
        <v>131395500</v>
      </c>
      <c r="AC487" s="23" t="e">
        <f>#REF!</f>
        <v>#REF!</v>
      </c>
      <c r="AD487" s="23" t="e">
        <f>#REF!</f>
        <v>#REF!</v>
      </c>
      <c r="AE487" s="23" t="e">
        <f>#REF!</f>
        <v>#REF!</v>
      </c>
      <c r="AF487" s="23" t="e">
        <f>[1]April!N89</f>
        <v>#REF!</v>
      </c>
      <c r="AG487" s="23" t="e">
        <f>[2]april!N99</f>
        <v>#REF!</v>
      </c>
      <c r="AH487" s="23" t="e">
        <f>'[3]DES SKPD'!$N99</f>
        <v>#REF!</v>
      </c>
      <c r="AI487" s="23">
        <f>SUM(AI488:AI493)</f>
        <v>0</v>
      </c>
      <c r="AJ487" s="24">
        <f t="shared" si="117"/>
        <v>0</v>
      </c>
      <c r="AK487" s="134">
        <f>Q487-AI487</f>
        <v>70200000</v>
      </c>
      <c r="AL487" s="24">
        <f>AK487/Q487*100</f>
        <v>100</v>
      </c>
      <c r="AM487" s="26"/>
    </row>
    <row r="488" spans="1:39" ht="24.75" customHeight="1" x14ac:dyDescent="0.25">
      <c r="A488" s="26"/>
      <c r="B488" s="97"/>
      <c r="C488" s="97"/>
      <c r="D488" s="97"/>
      <c r="E488" s="97"/>
      <c r="F488" s="97"/>
      <c r="G488" s="97"/>
      <c r="H488" s="97"/>
      <c r="I488" s="98"/>
      <c r="J488" s="97" t="s">
        <v>257</v>
      </c>
      <c r="K488" s="27"/>
      <c r="L488" s="31"/>
      <c r="M488" s="563" t="s">
        <v>258</v>
      </c>
      <c r="N488" s="564"/>
      <c r="O488" s="198"/>
      <c r="P488" s="190"/>
      <c r="Q488" s="28">
        <v>900000</v>
      </c>
      <c r="R488" s="29">
        <f>Q488/Q487*100</f>
        <v>1.2820512820512819</v>
      </c>
      <c r="S488" s="29">
        <v>100</v>
      </c>
      <c r="T488" s="28">
        <f t="shared" si="100"/>
        <v>0</v>
      </c>
      <c r="U488" s="28">
        <f t="shared" si="111"/>
        <v>0</v>
      </c>
      <c r="V488" s="87">
        <f t="shared" si="89"/>
        <v>100</v>
      </c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>
        <v>0</v>
      </c>
      <c r="AJ488" s="29">
        <f t="shared" si="117"/>
        <v>0</v>
      </c>
      <c r="AK488" s="136">
        <f t="shared" si="121"/>
        <v>900000</v>
      </c>
      <c r="AL488" s="29">
        <f t="shared" si="122"/>
        <v>100</v>
      </c>
      <c r="AM488" s="26"/>
    </row>
    <row r="489" spans="1:39" ht="24.75" customHeight="1" x14ac:dyDescent="0.25">
      <c r="A489" s="26"/>
      <c r="B489" s="97"/>
      <c r="C489" s="97"/>
      <c r="D489" s="97"/>
      <c r="E489" s="97"/>
      <c r="F489" s="97"/>
      <c r="G489" s="97"/>
      <c r="H489" s="97"/>
      <c r="I489" s="98"/>
      <c r="J489" s="97" t="s">
        <v>326</v>
      </c>
      <c r="K489" s="27"/>
      <c r="L489" s="31"/>
      <c r="M489" s="563" t="s">
        <v>327</v>
      </c>
      <c r="N489" s="564"/>
      <c r="O489" s="198"/>
      <c r="P489" s="190"/>
      <c r="Q489" s="28">
        <v>29100000</v>
      </c>
      <c r="R489" s="29">
        <f>Q489/Q487*100</f>
        <v>41.452991452991455</v>
      </c>
      <c r="S489" s="29">
        <v>100</v>
      </c>
      <c r="T489" s="28">
        <f t="shared" si="100"/>
        <v>0</v>
      </c>
      <c r="U489" s="28">
        <f t="shared" si="111"/>
        <v>0</v>
      </c>
      <c r="V489" s="87">
        <f t="shared" si="89"/>
        <v>100</v>
      </c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>
        <v>0</v>
      </c>
      <c r="AJ489" s="29">
        <f t="shared" si="117"/>
        <v>0</v>
      </c>
      <c r="AK489" s="136">
        <f t="shared" si="121"/>
        <v>29100000</v>
      </c>
      <c r="AL489" s="29">
        <f t="shared" si="122"/>
        <v>100</v>
      </c>
      <c r="AM489" s="26"/>
    </row>
    <row r="490" spans="1:39" ht="24.75" customHeight="1" x14ac:dyDescent="0.25">
      <c r="A490" s="26"/>
      <c r="B490" s="97"/>
      <c r="C490" s="97"/>
      <c r="D490" s="97"/>
      <c r="E490" s="97"/>
      <c r="F490" s="97"/>
      <c r="G490" s="97"/>
      <c r="H490" s="97"/>
      <c r="I490" s="98"/>
      <c r="J490" s="97" t="s">
        <v>315</v>
      </c>
      <c r="K490" s="27"/>
      <c r="L490" s="31"/>
      <c r="M490" s="563" t="s">
        <v>271</v>
      </c>
      <c r="N490" s="564"/>
      <c r="O490" s="198"/>
      <c r="P490" s="190"/>
      <c r="Q490" s="28">
        <v>1000000</v>
      </c>
      <c r="R490" s="29">
        <f>Q490/Q487*100</f>
        <v>1.4245014245014245</v>
      </c>
      <c r="S490" s="29">
        <v>100</v>
      </c>
      <c r="T490" s="28">
        <f t="shared" si="100"/>
        <v>0</v>
      </c>
      <c r="U490" s="28">
        <f t="shared" si="111"/>
        <v>0</v>
      </c>
      <c r="V490" s="87">
        <f t="shared" si="89"/>
        <v>100</v>
      </c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>
        <v>0</v>
      </c>
      <c r="AJ490" s="29">
        <f t="shared" si="117"/>
        <v>0</v>
      </c>
      <c r="AK490" s="136">
        <f t="shared" si="121"/>
        <v>1000000</v>
      </c>
      <c r="AL490" s="29">
        <f t="shared" si="122"/>
        <v>100</v>
      </c>
      <c r="AM490" s="26"/>
    </row>
    <row r="491" spans="1:39" ht="24.75" customHeight="1" x14ac:dyDescent="0.25">
      <c r="A491" s="26"/>
      <c r="B491" s="97"/>
      <c r="C491" s="97"/>
      <c r="D491" s="97"/>
      <c r="E491" s="97"/>
      <c r="F491" s="97"/>
      <c r="G491" s="97"/>
      <c r="H491" s="97"/>
      <c r="I491" s="98"/>
      <c r="J491" s="97" t="s">
        <v>280</v>
      </c>
      <c r="K491" s="27"/>
      <c r="L491" s="31"/>
      <c r="M491" s="563" t="s">
        <v>281</v>
      </c>
      <c r="N491" s="564"/>
      <c r="O491" s="198"/>
      <c r="P491" s="190"/>
      <c r="Q491" s="28">
        <v>2500000</v>
      </c>
      <c r="R491" s="29">
        <f>Q491/Q487*100</f>
        <v>3.5612535612535612</v>
      </c>
      <c r="S491" s="29">
        <v>100</v>
      </c>
      <c r="T491" s="28">
        <f t="shared" si="100"/>
        <v>0</v>
      </c>
      <c r="U491" s="28">
        <f t="shared" si="111"/>
        <v>0</v>
      </c>
      <c r="V491" s="87">
        <f t="shared" si="89"/>
        <v>100</v>
      </c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>
        <v>0</v>
      </c>
      <c r="AJ491" s="29">
        <f t="shared" si="117"/>
        <v>0</v>
      </c>
      <c r="AK491" s="136">
        <f t="shared" si="121"/>
        <v>2500000</v>
      </c>
      <c r="AL491" s="29">
        <f t="shared" si="122"/>
        <v>100</v>
      </c>
      <c r="AM491" s="26"/>
    </row>
    <row r="492" spans="1:39" ht="24.75" customHeight="1" x14ac:dyDescent="0.25">
      <c r="A492" s="26"/>
      <c r="B492" s="97"/>
      <c r="C492" s="97"/>
      <c r="D492" s="97"/>
      <c r="E492" s="97"/>
      <c r="F492" s="97"/>
      <c r="G492" s="97"/>
      <c r="H492" s="97"/>
      <c r="I492" s="98"/>
      <c r="J492" s="97" t="s">
        <v>284</v>
      </c>
      <c r="K492" s="27"/>
      <c r="L492" s="31"/>
      <c r="M492" s="563" t="s">
        <v>285</v>
      </c>
      <c r="N492" s="564"/>
      <c r="O492" s="198"/>
      <c r="P492" s="190"/>
      <c r="Q492" s="28">
        <v>6700000</v>
      </c>
      <c r="R492" s="29">
        <f>Q492/Q487*100</f>
        <v>9.5441595441595446</v>
      </c>
      <c r="S492" s="29">
        <v>100</v>
      </c>
      <c r="T492" s="28">
        <f t="shared" si="100"/>
        <v>0</v>
      </c>
      <c r="U492" s="28">
        <f t="shared" si="111"/>
        <v>0</v>
      </c>
      <c r="V492" s="87">
        <f t="shared" si="89"/>
        <v>100</v>
      </c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>
        <v>0</v>
      </c>
      <c r="AJ492" s="29">
        <f t="shared" si="117"/>
        <v>0</v>
      </c>
      <c r="AK492" s="136">
        <f t="shared" si="121"/>
        <v>6700000</v>
      </c>
      <c r="AL492" s="29">
        <f t="shared" si="122"/>
        <v>100</v>
      </c>
      <c r="AM492" s="26"/>
    </row>
    <row r="493" spans="1:39" ht="24.75" customHeight="1" x14ac:dyDescent="0.25">
      <c r="A493" s="26"/>
      <c r="B493" s="97"/>
      <c r="C493" s="97"/>
      <c r="D493" s="97"/>
      <c r="E493" s="97"/>
      <c r="F493" s="97"/>
      <c r="G493" s="97"/>
      <c r="H493" s="97"/>
      <c r="I493" s="98"/>
      <c r="J493" s="97" t="s">
        <v>282</v>
      </c>
      <c r="K493" s="27"/>
      <c r="L493" s="31"/>
      <c r="M493" s="563" t="s">
        <v>283</v>
      </c>
      <c r="N493" s="564"/>
      <c r="O493" s="198"/>
      <c r="P493" s="190"/>
      <c r="Q493" s="28">
        <v>30000000</v>
      </c>
      <c r="R493" s="29">
        <f>Q493/Q487*100</f>
        <v>42.735042735042732</v>
      </c>
      <c r="S493" s="29">
        <v>100</v>
      </c>
      <c r="T493" s="28">
        <f t="shared" si="100"/>
        <v>0</v>
      </c>
      <c r="U493" s="28">
        <f t="shared" si="111"/>
        <v>0</v>
      </c>
      <c r="V493" s="87">
        <f t="shared" si="89"/>
        <v>100</v>
      </c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>
        <v>0</v>
      </c>
      <c r="AJ493" s="29">
        <f t="shared" si="117"/>
        <v>0</v>
      </c>
      <c r="AK493" s="136">
        <f t="shared" si="121"/>
        <v>30000000</v>
      </c>
      <c r="AL493" s="29">
        <f t="shared" si="122"/>
        <v>100</v>
      </c>
      <c r="AM493" s="26"/>
    </row>
    <row r="494" spans="1:39" s="41" customFormat="1" ht="24.75" customHeight="1" x14ac:dyDescent="0.25">
      <c r="A494" s="129">
        <v>57</v>
      </c>
      <c r="B494" s="543" t="s">
        <v>158</v>
      </c>
      <c r="C494" s="543"/>
      <c r="D494" s="543"/>
      <c r="E494" s="543"/>
      <c r="F494" s="543"/>
      <c r="G494" s="543"/>
      <c r="H494" s="543"/>
      <c r="I494" s="544"/>
      <c r="J494" s="122" t="s">
        <v>513</v>
      </c>
      <c r="K494" s="22"/>
      <c r="L494" s="72"/>
      <c r="M494" s="568" t="s">
        <v>160</v>
      </c>
      <c r="N494" s="568"/>
      <c r="O494" s="197">
        <v>355300000</v>
      </c>
      <c r="P494" s="189">
        <v>0</v>
      </c>
      <c r="Q494" s="23">
        <f>SUM(Q495:Q504)</f>
        <v>573350000</v>
      </c>
      <c r="R494" s="24">
        <f>Q494/Q$216*100</f>
        <v>3.653726510412119</v>
      </c>
      <c r="S494" s="24">
        <v>100</v>
      </c>
      <c r="T494" s="23">
        <f t="shared" si="100"/>
        <v>0</v>
      </c>
      <c r="U494" s="23">
        <f t="shared" si="111"/>
        <v>0</v>
      </c>
      <c r="V494" s="90">
        <f t="shared" si="89"/>
        <v>100</v>
      </c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 t="e">
        <f>[2]april!N79</f>
        <v>#REF!</v>
      </c>
      <c r="AH494" s="23">
        <f>'[3]DES SKPD'!$N79</f>
        <v>0</v>
      </c>
      <c r="AI494" s="23">
        <f>SUM(AI495:AI504)</f>
        <v>0</v>
      </c>
      <c r="AJ494" s="24">
        <f t="shared" si="117"/>
        <v>0</v>
      </c>
      <c r="AK494" s="134">
        <f t="shared" si="121"/>
        <v>573350000</v>
      </c>
      <c r="AL494" s="24">
        <f t="shared" si="122"/>
        <v>100</v>
      </c>
      <c r="AM494" s="21"/>
    </row>
    <row r="495" spans="1:39" ht="24.75" customHeight="1" x14ac:dyDescent="0.25">
      <c r="A495" s="26"/>
      <c r="B495" s="97"/>
      <c r="C495" s="97"/>
      <c r="D495" s="97"/>
      <c r="E495" s="97"/>
      <c r="F495" s="97"/>
      <c r="G495" s="97"/>
      <c r="H495" s="97"/>
      <c r="I495" s="98"/>
      <c r="J495" s="97" t="s">
        <v>257</v>
      </c>
      <c r="K495" s="27"/>
      <c r="L495" s="31"/>
      <c r="M495" s="563" t="s">
        <v>258</v>
      </c>
      <c r="N495" s="564"/>
      <c r="O495" s="198"/>
      <c r="P495" s="190"/>
      <c r="Q495" s="28">
        <v>3900000</v>
      </c>
      <c r="R495" s="29">
        <f>Q495/Q$494*100</f>
        <v>0.68021278451207812</v>
      </c>
      <c r="S495" s="29">
        <v>100</v>
      </c>
      <c r="T495" s="28">
        <f t="shared" si="100"/>
        <v>0</v>
      </c>
      <c r="U495" s="28">
        <f t="shared" si="111"/>
        <v>0</v>
      </c>
      <c r="V495" s="87">
        <f t="shared" si="89"/>
        <v>100</v>
      </c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>
        <v>0</v>
      </c>
      <c r="AJ495" s="29">
        <f t="shared" si="117"/>
        <v>0</v>
      </c>
      <c r="AK495" s="28">
        <f>SUM(Q495-AI495)</f>
        <v>3900000</v>
      </c>
      <c r="AL495" s="29">
        <f t="shared" si="122"/>
        <v>100</v>
      </c>
      <c r="AM495" s="26"/>
    </row>
    <row r="496" spans="1:39" ht="24.75" customHeight="1" x14ac:dyDescent="0.25">
      <c r="A496" s="26"/>
      <c r="B496" s="97"/>
      <c r="C496" s="97"/>
      <c r="D496" s="97"/>
      <c r="E496" s="97"/>
      <c r="F496" s="97"/>
      <c r="G496" s="97"/>
      <c r="H496" s="97"/>
      <c r="I496" s="98"/>
      <c r="J496" s="97" t="s">
        <v>326</v>
      </c>
      <c r="K496" s="27"/>
      <c r="L496" s="31"/>
      <c r="M496" s="563" t="s">
        <v>327</v>
      </c>
      <c r="N496" s="564"/>
      <c r="O496" s="198"/>
      <c r="P496" s="190"/>
      <c r="Q496" s="28">
        <v>43650000</v>
      </c>
      <c r="R496" s="29">
        <f t="shared" ref="R496:R504" si="124">Q496/Q$494*100</f>
        <v>7.6131507805005674</v>
      </c>
      <c r="S496" s="29">
        <v>100</v>
      </c>
      <c r="T496" s="28">
        <f t="shared" si="100"/>
        <v>0</v>
      </c>
      <c r="U496" s="28">
        <f t="shared" si="111"/>
        <v>0</v>
      </c>
      <c r="V496" s="87">
        <f t="shared" si="89"/>
        <v>100</v>
      </c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>
        <v>0</v>
      </c>
      <c r="AJ496" s="29">
        <f t="shared" si="117"/>
        <v>0</v>
      </c>
      <c r="AK496" s="28">
        <f t="shared" ref="AK496:AK504" si="125">SUM(Q496-AI496)</f>
        <v>43650000</v>
      </c>
      <c r="AL496" s="29">
        <f t="shared" si="122"/>
        <v>100</v>
      </c>
      <c r="AM496" s="26"/>
    </row>
    <row r="497" spans="1:39" ht="24.75" customHeight="1" x14ac:dyDescent="0.25">
      <c r="A497" s="26"/>
      <c r="B497" s="97"/>
      <c r="C497" s="97"/>
      <c r="D497" s="97"/>
      <c r="E497" s="97"/>
      <c r="F497" s="97"/>
      <c r="G497" s="97"/>
      <c r="H497" s="97"/>
      <c r="I497" s="98"/>
      <c r="J497" s="97" t="s">
        <v>347</v>
      </c>
      <c r="K497" s="27"/>
      <c r="L497" s="31"/>
      <c r="M497" s="563" t="s">
        <v>348</v>
      </c>
      <c r="N497" s="564"/>
      <c r="O497" s="198"/>
      <c r="P497" s="190"/>
      <c r="Q497" s="28">
        <v>38100000</v>
      </c>
      <c r="R497" s="29">
        <f t="shared" si="124"/>
        <v>6.6451556640795326</v>
      </c>
      <c r="S497" s="29">
        <v>100</v>
      </c>
      <c r="T497" s="28">
        <f t="shared" si="100"/>
        <v>0</v>
      </c>
      <c r="U497" s="28">
        <f t="shared" si="111"/>
        <v>0</v>
      </c>
      <c r="V497" s="87">
        <f t="shared" si="89"/>
        <v>100</v>
      </c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>
        <v>0</v>
      </c>
      <c r="AJ497" s="29">
        <f t="shared" si="117"/>
        <v>0</v>
      </c>
      <c r="AK497" s="28">
        <f t="shared" si="125"/>
        <v>38100000</v>
      </c>
      <c r="AL497" s="29">
        <f t="shared" si="122"/>
        <v>100</v>
      </c>
      <c r="AM497" s="26"/>
    </row>
    <row r="498" spans="1:39" ht="24.75" customHeight="1" x14ac:dyDescent="0.25">
      <c r="A498" s="26"/>
      <c r="B498" s="97"/>
      <c r="C498" s="97"/>
      <c r="D498" s="97"/>
      <c r="E498" s="97"/>
      <c r="F498" s="97"/>
      <c r="G498" s="97"/>
      <c r="H498" s="97"/>
      <c r="I498" s="98"/>
      <c r="J498" s="97" t="s">
        <v>323</v>
      </c>
      <c r="K498" s="27"/>
      <c r="L498" s="31"/>
      <c r="M498" s="563" t="s">
        <v>324</v>
      </c>
      <c r="N498" s="564"/>
      <c r="O498" s="198"/>
      <c r="P498" s="190"/>
      <c r="Q498" s="28">
        <v>25000000</v>
      </c>
      <c r="R498" s="29">
        <f t="shared" si="124"/>
        <v>4.3603383622569112</v>
      </c>
      <c r="S498" s="29">
        <v>100</v>
      </c>
      <c r="T498" s="28">
        <f t="shared" si="100"/>
        <v>0</v>
      </c>
      <c r="U498" s="28">
        <f t="shared" si="111"/>
        <v>0</v>
      </c>
      <c r="V498" s="87">
        <f t="shared" si="89"/>
        <v>100</v>
      </c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>
        <v>0</v>
      </c>
      <c r="AJ498" s="29">
        <f t="shared" si="117"/>
        <v>0</v>
      </c>
      <c r="AK498" s="28">
        <f t="shared" si="125"/>
        <v>25000000</v>
      </c>
      <c r="AL498" s="29">
        <f t="shared" si="122"/>
        <v>100</v>
      </c>
      <c r="AM498" s="26"/>
    </row>
    <row r="499" spans="1:39" ht="24.75" customHeight="1" x14ac:dyDescent="0.25">
      <c r="A499" s="26"/>
      <c r="B499" s="97"/>
      <c r="C499" s="97"/>
      <c r="D499" s="97"/>
      <c r="E499" s="97"/>
      <c r="F499" s="97"/>
      <c r="G499" s="97"/>
      <c r="H499" s="97"/>
      <c r="I499" s="98"/>
      <c r="J499" s="97" t="s">
        <v>315</v>
      </c>
      <c r="K499" s="27"/>
      <c r="L499" s="31"/>
      <c r="M499" s="563" t="s">
        <v>271</v>
      </c>
      <c r="N499" s="564"/>
      <c r="O499" s="198"/>
      <c r="P499" s="190"/>
      <c r="Q499" s="28">
        <v>10000000</v>
      </c>
      <c r="R499" s="29">
        <f t="shared" si="124"/>
        <v>1.7441353449027646</v>
      </c>
      <c r="S499" s="29">
        <v>100</v>
      </c>
      <c r="T499" s="28">
        <f t="shared" si="100"/>
        <v>0</v>
      </c>
      <c r="U499" s="28">
        <f t="shared" si="111"/>
        <v>0</v>
      </c>
      <c r="V499" s="87">
        <f t="shared" si="89"/>
        <v>100</v>
      </c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>
        <v>0</v>
      </c>
      <c r="AJ499" s="29">
        <f t="shared" si="117"/>
        <v>0</v>
      </c>
      <c r="AK499" s="28">
        <f t="shared" si="125"/>
        <v>10000000</v>
      </c>
      <c r="AL499" s="29">
        <f t="shared" si="122"/>
        <v>100</v>
      </c>
      <c r="AM499" s="26"/>
    </row>
    <row r="500" spans="1:39" ht="24.75" customHeight="1" x14ac:dyDescent="0.25">
      <c r="A500" s="26"/>
      <c r="B500" s="97"/>
      <c r="C500" s="97"/>
      <c r="D500" s="97"/>
      <c r="E500" s="97"/>
      <c r="F500" s="97"/>
      <c r="G500" s="97"/>
      <c r="H500" s="97"/>
      <c r="I500" s="98"/>
      <c r="J500" s="97" t="s">
        <v>342</v>
      </c>
      <c r="K500" s="27"/>
      <c r="L500" s="31"/>
      <c r="M500" s="563" t="s">
        <v>329</v>
      </c>
      <c r="N500" s="564"/>
      <c r="O500" s="198"/>
      <c r="P500" s="190"/>
      <c r="Q500" s="28">
        <v>48000000</v>
      </c>
      <c r="R500" s="29">
        <f t="shared" si="124"/>
        <v>8.3718496555332695</v>
      </c>
      <c r="S500" s="29">
        <v>100</v>
      </c>
      <c r="T500" s="28">
        <f t="shared" si="100"/>
        <v>0</v>
      </c>
      <c r="U500" s="28">
        <f t="shared" si="111"/>
        <v>0</v>
      </c>
      <c r="V500" s="87">
        <f t="shared" si="89"/>
        <v>100</v>
      </c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>
        <v>0</v>
      </c>
      <c r="AJ500" s="29">
        <f t="shared" si="117"/>
        <v>0</v>
      </c>
      <c r="AK500" s="28">
        <f t="shared" si="125"/>
        <v>48000000</v>
      </c>
      <c r="AL500" s="29">
        <f t="shared" si="122"/>
        <v>100</v>
      </c>
      <c r="AM500" s="26"/>
    </row>
    <row r="501" spans="1:39" ht="24.75" customHeight="1" x14ac:dyDescent="0.25">
      <c r="A501" s="26"/>
      <c r="B501" s="97"/>
      <c r="C501" s="97"/>
      <c r="D501" s="97"/>
      <c r="E501" s="97"/>
      <c r="F501" s="97"/>
      <c r="G501" s="97"/>
      <c r="H501" s="97"/>
      <c r="I501" s="98"/>
      <c r="J501" s="97" t="s">
        <v>284</v>
      </c>
      <c r="K501" s="27"/>
      <c r="L501" s="31"/>
      <c r="M501" s="563" t="s">
        <v>285</v>
      </c>
      <c r="N501" s="564"/>
      <c r="O501" s="198"/>
      <c r="P501" s="190"/>
      <c r="Q501" s="28">
        <v>24000000</v>
      </c>
      <c r="R501" s="29">
        <f t="shared" si="124"/>
        <v>4.1859248277666348</v>
      </c>
      <c r="S501" s="29">
        <v>100</v>
      </c>
      <c r="T501" s="28">
        <f t="shared" si="100"/>
        <v>0</v>
      </c>
      <c r="U501" s="28">
        <f t="shared" si="111"/>
        <v>0</v>
      </c>
      <c r="V501" s="87">
        <f t="shared" si="89"/>
        <v>100</v>
      </c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>
        <v>0</v>
      </c>
      <c r="AJ501" s="29">
        <f t="shared" si="117"/>
        <v>0</v>
      </c>
      <c r="AK501" s="28">
        <f t="shared" si="125"/>
        <v>24000000</v>
      </c>
      <c r="AL501" s="29">
        <f t="shared" si="122"/>
        <v>100</v>
      </c>
      <c r="AM501" s="26"/>
    </row>
    <row r="502" spans="1:39" ht="24.75" customHeight="1" x14ac:dyDescent="0.25">
      <c r="A502" s="26"/>
      <c r="B502" s="97"/>
      <c r="C502" s="97"/>
      <c r="D502" s="97"/>
      <c r="E502" s="97"/>
      <c r="F502" s="97"/>
      <c r="G502" s="97"/>
      <c r="H502" s="97"/>
      <c r="I502" s="98"/>
      <c r="J502" s="97" t="s">
        <v>282</v>
      </c>
      <c r="K502" s="27"/>
      <c r="L502" s="31"/>
      <c r="M502" s="563" t="s">
        <v>283</v>
      </c>
      <c r="N502" s="564"/>
      <c r="O502" s="198"/>
      <c r="P502" s="190"/>
      <c r="Q502" s="28">
        <v>61900000</v>
      </c>
      <c r="R502" s="29">
        <f t="shared" si="124"/>
        <v>10.796197784948113</v>
      </c>
      <c r="S502" s="29">
        <v>100</v>
      </c>
      <c r="T502" s="28">
        <f t="shared" si="100"/>
        <v>0</v>
      </c>
      <c r="U502" s="28">
        <f t="shared" si="111"/>
        <v>0</v>
      </c>
      <c r="V502" s="87">
        <f t="shared" si="89"/>
        <v>100</v>
      </c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>
        <v>0</v>
      </c>
      <c r="AJ502" s="29">
        <f t="shared" si="117"/>
        <v>0</v>
      </c>
      <c r="AK502" s="28">
        <f t="shared" si="125"/>
        <v>61900000</v>
      </c>
      <c r="AL502" s="29">
        <f t="shared" si="122"/>
        <v>100</v>
      </c>
      <c r="AM502" s="26"/>
    </row>
    <row r="503" spans="1:39" ht="24.75" customHeight="1" x14ac:dyDescent="0.25">
      <c r="A503" s="26"/>
      <c r="B503" s="97"/>
      <c r="C503" s="97"/>
      <c r="D503" s="97"/>
      <c r="E503" s="97"/>
      <c r="F503" s="97"/>
      <c r="G503" s="97"/>
      <c r="H503" s="97"/>
      <c r="I503" s="98"/>
      <c r="J503" s="97" t="s">
        <v>306</v>
      </c>
      <c r="K503" s="27"/>
      <c r="L503" s="31"/>
      <c r="M503" s="563" t="s">
        <v>325</v>
      </c>
      <c r="N503" s="564"/>
      <c r="O503" s="198"/>
      <c r="P503" s="190"/>
      <c r="Q503" s="28">
        <v>50000000</v>
      </c>
      <c r="R503" s="29">
        <f t="shared" si="124"/>
        <v>8.7206767245138224</v>
      </c>
      <c r="S503" s="29">
        <v>100</v>
      </c>
      <c r="T503" s="28">
        <f t="shared" si="100"/>
        <v>0</v>
      </c>
      <c r="U503" s="28">
        <f t="shared" si="111"/>
        <v>0</v>
      </c>
      <c r="V503" s="87">
        <f t="shared" si="89"/>
        <v>100</v>
      </c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>
        <v>0</v>
      </c>
      <c r="AJ503" s="29">
        <f t="shared" si="117"/>
        <v>0</v>
      </c>
      <c r="AK503" s="28">
        <f t="shared" si="125"/>
        <v>50000000</v>
      </c>
      <c r="AL503" s="29">
        <f t="shared" si="122"/>
        <v>100</v>
      </c>
      <c r="AM503" s="26"/>
    </row>
    <row r="504" spans="1:39" ht="24.75" customHeight="1" x14ac:dyDescent="0.25">
      <c r="A504" s="26"/>
      <c r="B504" s="97"/>
      <c r="C504" s="97"/>
      <c r="D504" s="97"/>
      <c r="E504" s="97"/>
      <c r="F504" s="97"/>
      <c r="G504" s="97"/>
      <c r="H504" s="97"/>
      <c r="I504" s="98"/>
      <c r="J504" s="97" t="s">
        <v>309</v>
      </c>
      <c r="K504" s="27"/>
      <c r="L504" s="31"/>
      <c r="M504" s="563" t="s">
        <v>310</v>
      </c>
      <c r="N504" s="564"/>
      <c r="O504" s="198"/>
      <c r="P504" s="190"/>
      <c r="Q504" s="28">
        <v>268800000</v>
      </c>
      <c r="R504" s="29">
        <f t="shared" si="124"/>
        <v>46.882358070986307</v>
      </c>
      <c r="S504" s="29">
        <v>100</v>
      </c>
      <c r="T504" s="28">
        <f t="shared" si="100"/>
        <v>0</v>
      </c>
      <c r="U504" s="28">
        <f t="shared" si="111"/>
        <v>0</v>
      </c>
      <c r="V504" s="87">
        <f t="shared" si="89"/>
        <v>100</v>
      </c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>
        <v>0</v>
      </c>
      <c r="AJ504" s="29">
        <f t="shared" si="117"/>
        <v>0</v>
      </c>
      <c r="AK504" s="28">
        <f t="shared" si="125"/>
        <v>268800000</v>
      </c>
      <c r="AL504" s="29">
        <f t="shared" si="122"/>
        <v>100</v>
      </c>
      <c r="AM504" s="26"/>
    </row>
    <row r="505" spans="1:39" s="41" customFormat="1" ht="27.75" customHeight="1" x14ac:dyDescent="0.25">
      <c r="A505" s="21">
        <f>SUM(A494+1)</f>
        <v>58</v>
      </c>
      <c r="B505" s="99"/>
      <c r="C505" s="99"/>
      <c r="D505" s="99"/>
      <c r="E505" s="99"/>
      <c r="F505" s="99"/>
      <c r="G505" s="99"/>
      <c r="H505" s="99"/>
      <c r="I505" s="100"/>
      <c r="J505" s="122" t="s">
        <v>514</v>
      </c>
      <c r="K505" s="22"/>
      <c r="L505" s="72"/>
      <c r="M505" s="566" t="s">
        <v>200</v>
      </c>
      <c r="N505" s="567"/>
      <c r="O505" s="197"/>
      <c r="P505" s="189"/>
      <c r="Q505" s="23">
        <f>SUM(Q506:Q508)</f>
        <v>929790300</v>
      </c>
      <c r="R505" s="24">
        <f>Q505/Q$216*100</f>
        <v>5.9251756662318602</v>
      </c>
      <c r="S505" s="24">
        <v>100</v>
      </c>
      <c r="T505" s="23">
        <f t="shared" si="100"/>
        <v>0</v>
      </c>
      <c r="U505" s="23">
        <f t="shared" si="111"/>
        <v>0</v>
      </c>
      <c r="V505" s="90">
        <f t="shared" si="89"/>
        <v>100</v>
      </c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>
        <f>SUM(AI506:AI508)</f>
        <v>0</v>
      </c>
      <c r="AJ505" s="24">
        <f t="shared" si="117"/>
        <v>0</v>
      </c>
      <c r="AK505" s="134">
        <f>Q505-AI505</f>
        <v>929790300</v>
      </c>
      <c r="AL505" s="24">
        <f t="shared" si="122"/>
        <v>100</v>
      </c>
      <c r="AM505" s="21"/>
    </row>
    <row r="506" spans="1:39" ht="29.25" customHeight="1" x14ac:dyDescent="0.25">
      <c r="A506" s="26"/>
      <c r="B506" s="97"/>
      <c r="C506" s="97"/>
      <c r="D506" s="97"/>
      <c r="E506" s="97"/>
      <c r="F506" s="97"/>
      <c r="G506" s="97"/>
      <c r="H506" s="97"/>
      <c r="I506" s="98"/>
      <c r="J506" s="97" t="s">
        <v>315</v>
      </c>
      <c r="K506" s="27"/>
      <c r="L506" s="31"/>
      <c r="M506" s="563" t="s">
        <v>271</v>
      </c>
      <c r="N506" s="564"/>
      <c r="O506" s="198"/>
      <c r="P506" s="190"/>
      <c r="Q506" s="28">
        <v>35000000</v>
      </c>
      <c r="R506" s="29">
        <f>Q506/Q$505*100</f>
        <v>3.7642896468160618</v>
      </c>
      <c r="S506" s="29">
        <v>100</v>
      </c>
      <c r="T506" s="28">
        <f t="shared" si="100"/>
        <v>0</v>
      </c>
      <c r="U506" s="28">
        <f t="shared" si="111"/>
        <v>0</v>
      </c>
      <c r="V506" s="87">
        <f t="shared" si="89"/>
        <v>100</v>
      </c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>
        <v>0</v>
      </c>
      <c r="AJ506" s="29">
        <f t="shared" si="117"/>
        <v>0</v>
      </c>
      <c r="AK506" s="136">
        <f>Q506-AI506</f>
        <v>35000000</v>
      </c>
      <c r="AL506" s="29">
        <f t="shared" si="122"/>
        <v>100</v>
      </c>
      <c r="AM506" s="26"/>
    </row>
    <row r="507" spans="1:39" ht="24.75" customHeight="1" x14ac:dyDescent="0.25">
      <c r="A507" s="26"/>
      <c r="B507" s="97"/>
      <c r="C507" s="97"/>
      <c r="D507" s="97"/>
      <c r="E507" s="97"/>
      <c r="F507" s="97"/>
      <c r="G507" s="97"/>
      <c r="H507" s="97"/>
      <c r="I507" s="98"/>
      <c r="J507" s="97" t="s">
        <v>284</v>
      </c>
      <c r="K507" s="27"/>
      <c r="L507" s="31"/>
      <c r="M507" s="563" t="s">
        <v>285</v>
      </c>
      <c r="N507" s="564"/>
      <c r="O507" s="198"/>
      <c r="P507" s="190"/>
      <c r="Q507" s="28">
        <v>4178000</v>
      </c>
      <c r="R507" s="29">
        <f>Q507/Q$505*100</f>
        <v>0.44934863269707159</v>
      </c>
      <c r="S507" s="29">
        <v>100</v>
      </c>
      <c r="T507" s="28">
        <f t="shared" si="100"/>
        <v>0</v>
      </c>
      <c r="U507" s="28">
        <f t="shared" si="111"/>
        <v>0</v>
      </c>
      <c r="V507" s="87">
        <f t="shared" si="89"/>
        <v>100</v>
      </c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>
        <v>0</v>
      </c>
      <c r="AJ507" s="29">
        <f t="shared" si="117"/>
        <v>0</v>
      </c>
      <c r="AK507" s="136">
        <f>Q507-AI507</f>
        <v>4178000</v>
      </c>
      <c r="AL507" s="29">
        <f t="shared" si="122"/>
        <v>100</v>
      </c>
      <c r="AM507" s="26"/>
    </row>
    <row r="508" spans="1:39" ht="24.75" customHeight="1" x14ac:dyDescent="0.25">
      <c r="A508" s="26"/>
      <c r="B508" s="97"/>
      <c r="C508" s="97"/>
      <c r="D508" s="97"/>
      <c r="E508" s="97"/>
      <c r="F508" s="97"/>
      <c r="G508" s="97"/>
      <c r="H508" s="97"/>
      <c r="I508" s="98"/>
      <c r="J508" s="97" t="s">
        <v>309</v>
      </c>
      <c r="K508" s="27"/>
      <c r="L508" s="31"/>
      <c r="M508" s="563" t="s">
        <v>310</v>
      </c>
      <c r="N508" s="564"/>
      <c r="O508" s="198"/>
      <c r="P508" s="190"/>
      <c r="Q508" s="28">
        <v>890612300</v>
      </c>
      <c r="R508" s="29">
        <f>Q508/Q$505*100</f>
        <v>95.786361720486866</v>
      </c>
      <c r="S508" s="29">
        <v>100</v>
      </c>
      <c r="T508" s="28">
        <f t="shared" si="100"/>
        <v>0</v>
      </c>
      <c r="U508" s="28">
        <f t="shared" si="111"/>
        <v>0</v>
      </c>
      <c r="V508" s="87">
        <f t="shared" si="89"/>
        <v>100</v>
      </c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>
        <v>0</v>
      </c>
      <c r="AJ508" s="29">
        <f t="shared" si="117"/>
        <v>0</v>
      </c>
      <c r="AK508" s="136">
        <f>Q508-AI508</f>
        <v>890612300</v>
      </c>
      <c r="AL508" s="29">
        <f t="shared" si="122"/>
        <v>100</v>
      </c>
      <c r="AM508" s="26"/>
    </row>
    <row r="509" spans="1:39" s="41" customFormat="1" ht="29.25" customHeight="1" x14ac:dyDescent="0.25">
      <c r="A509" s="21">
        <f>SUM(A505+1)</f>
        <v>59</v>
      </c>
      <c r="B509" s="543" t="s">
        <v>158</v>
      </c>
      <c r="C509" s="543"/>
      <c r="D509" s="543"/>
      <c r="E509" s="543"/>
      <c r="F509" s="543"/>
      <c r="G509" s="543"/>
      <c r="H509" s="543"/>
      <c r="I509" s="544"/>
      <c r="J509" s="122" t="s">
        <v>515</v>
      </c>
      <c r="K509" s="22"/>
      <c r="L509" s="72"/>
      <c r="M509" s="566" t="s">
        <v>161</v>
      </c>
      <c r="N509" s="566"/>
      <c r="O509" s="197">
        <v>355300000</v>
      </c>
      <c r="P509" s="189">
        <v>0</v>
      </c>
      <c r="Q509" s="23">
        <f>SUM(Q510:Q516)</f>
        <v>106510000</v>
      </c>
      <c r="R509" s="24">
        <f>Q509/Q$216*100</f>
        <v>0.6787449387354928</v>
      </c>
      <c r="S509" s="24">
        <v>100</v>
      </c>
      <c r="T509" s="23">
        <f t="shared" si="100"/>
        <v>0</v>
      </c>
      <c r="U509" s="23">
        <f t="shared" si="111"/>
        <v>0</v>
      </c>
      <c r="V509" s="90">
        <f t="shared" si="89"/>
        <v>100</v>
      </c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 t="e">
        <f>[2]april!N82</f>
        <v>#REF!</v>
      </c>
      <c r="AH509" s="23">
        <f>'[3]DES SKPD'!$N82</f>
        <v>34370000</v>
      </c>
      <c r="AI509" s="23">
        <f>SUM(AI510:AI516)</f>
        <v>0</v>
      </c>
      <c r="AJ509" s="24">
        <f t="shared" si="117"/>
        <v>0</v>
      </c>
      <c r="AK509" s="134">
        <f>Q509-AI509</f>
        <v>106510000</v>
      </c>
      <c r="AL509" s="24">
        <f t="shared" si="122"/>
        <v>100</v>
      </c>
      <c r="AM509" s="21"/>
    </row>
    <row r="510" spans="1:39" ht="29.25" customHeight="1" x14ac:dyDescent="0.25">
      <c r="A510" s="26"/>
      <c r="B510" s="97"/>
      <c r="C510" s="97"/>
      <c r="D510" s="97"/>
      <c r="E510" s="97"/>
      <c r="F510" s="97"/>
      <c r="G510" s="97"/>
      <c r="H510" s="97"/>
      <c r="I510" s="98"/>
      <c r="J510" s="97" t="s">
        <v>257</v>
      </c>
      <c r="K510" s="27"/>
      <c r="L510" s="31"/>
      <c r="M510" s="563" t="s">
        <v>258</v>
      </c>
      <c r="N510" s="564"/>
      <c r="O510" s="198"/>
      <c r="P510" s="190"/>
      <c r="Q510" s="28">
        <v>1410000</v>
      </c>
      <c r="R510" s="29">
        <f>Q510/Q$509*100</f>
        <v>1.3238193596845367</v>
      </c>
      <c r="S510" s="29">
        <v>100</v>
      </c>
      <c r="T510" s="28">
        <f t="shared" si="100"/>
        <v>0</v>
      </c>
      <c r="U510" s="28">
        <f t="shared" si="111"/>
        <v>0</v>
      </c>
      <c r="V510" s="87">
        <f t="shared" si="89"/>
        <v>100</v>
      </c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>
        <v>0</v>
      </c>
      <c r="AJ510" s="29">
        <f t="shared" si="117"/>
        <v>0</v>
      </c>
      <c r="AK510" s="28">
        <f>SUM(Q510-AI510)</f>
        <v>1410000</v>
      </c>
      <c r="AL510" s="29">
        <f t="shared" si="122"/>
        <v>100</v>
      </c>
      <c r="AM510" s="26"/>
    </row>
    <row r="511" spans="1:39" ht="42" customHeight="1" x14ac:dyDescent="0.25">
      <c r="A511" s="26"/>
      <c r="B511" s="97"/>
      <c r="C511" s="97"/>
      <c r="D511" s="97"/>
      <c r="E511" s="97"/>
      <c r="F511" s="97"/>
      <c r="G511" s="97"/>
      <c r="H511" s="97"/>
      <c r="I511" s="98"/>
      <c r="J511" s="97" t="s">
        <v>345</v>
      </c>
      <c r="K511" s="27"/>
      <c r="L511" s="31"/>
      <c r="M511" s="563" t="s">
        <v>346</v>
      </c>
      <c r="N511" s="564"/>
      <c r="O511" s="198"/>
      <c r="P511" s="190"/>
      <c r="Q511" s="28">
        <v>4500000</v>
      </c>
      <c r="R511" s="29">
        <f t="shared" ref="R511:R516" si="126">Q511/Q$509*100</f>
        <v>4.2249554032485213</v>
      </c>
      <c r="S511" s="29">
        <v>100</v>
      </c>
      <c r="T511" s="28">
        <f t="shared" si="100"/>
        <v>0</v>
      </c>
      <c r="U511" s="28">
        <f t="shared" si="111"/>
        <v>0</v>
      </c>
      <c r="V511" s="87">
        <f t="shared" si="89"/>
        <v>100</v>
      </c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>
        <v>0</v>
      </c>
      <c r="AJ511" s="29">
        <f t="shared" si="117"/>
        <v>0</v>
      </c>
      <c r="AK511" s="28">
        <f t="shared" ref="AK511:AK516" si="127">SUM(Q511-AI511)</f>
        <v>4500000</v>
      </c>
      <c r="AL511" s="29">
        <f t="shared" si="122"/>
        <v>100</v>
      </c>
      <c r="AM511" s="26"/>
    </row>
    <row r="512" spans="1:39" ht="29.25" customHeight="1" x14ac:dyDescent="0.25">
      <c r="A512" s="26"/>
      <c r="B512" s="97"/>
      <c r="C512" s="97"/>
      <c r="D512" s="97"/>
      <c r="E512" s="97"/>
      <c r="F512" s="97"/>
      <c r="G512" s="97"/>
      <c r="H512" s="97"/>
      <c r="I512" s="98"/>
      <c r="J512" s="97" t="s">
        <v>315</v>
      </c>
      <c r="K512" s="27"/>
      <c r="L512" s="31"/>
      <c r="M512" s="563" t="s">
        <v>271</v>
      </c>
      <c r="N512" s="564"/>
      <c r="O512" s="198"/>
      <c r="P512" s="190"/>
      <c r="Q512" s="28">
        <v>2000000</v>
      </c>
      <c r="R512" s="29">
        <f t="shared" si="126"/>
        <v>1.8777579569993426</v>
      </c>
      <c r="S512" s="29">
        <v>100</v>
      </c>
      <c r="T512" s="28">
        <f t="shared" si="100"/>
        <v>0</v>
      </c>
      <c r="U512" s="28">
        <f t="shared" si="111"/>
        <v>0</v>
      </c>
      <c r="V512" s="87">
        <f t="shared" si="89"/>
        <v>100</v>
      </c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>
        <v>0</v>
      </c>
      <c r="AJ512" s="29">
        <f t="shared" si="117"/>
        <v>0</v>
      </c>
      <c r="AK512" s="28">
        <f t="shared" si="127"/>
        <v>2000000</v>
      </c>
      <c r="AL512" s="29">
        <f t="shared" si="122"/>
        <v>100</v>
      </c>
      <c r="AM512" s="26"/>
    </row>
    <row r="513" spans="1:39" ht="29.25" customHeight="1" x14ac:dyDescent="0.25">
      <c r="A513" s="26"/>
      <c r="B513" s="97"/>
      <c r="C513" s="97"/>
      <c r="D513" s="97"/>
      <c r="E513" s="97"/>
      <c r="F513" s="97"/>
      <c r="G513" s="97"/>
      <c r="H513" s="97"/>
      <c r="I513" s="98"/>
      <c r="J513" s="97" t="s">
        <v>342</v>
      </c>
      <c r="K513" s="27"/>
      <c r="L513" s="31"/>
      <c r="M513" s="563" t="s">
        <v>329</v>
      </c>
      <c r="N513" s="564"/>
      <c r="O513" s="198"/>
      <c r="P513" s="190"/>
      <c r="Q513" s="28">
        <v>45000000</v>
      </c>
      <c r="R513" s="29">
        <f t="shared" si="126"/>
        <v>42.249554032485214</v>
      </c>
      <c r="S513" s="29">
        <v>100</v>
      </c>
      <c r="T513" s="28">
        <f t="shared" si="100"/>
        <v>0</v>
      </c>
      <c r="U513" s="28">
        <f t="shared" si="111"/>
        <v>0</v>
      </c>
      <c r="V513" s="87">
        <f t="shared" si="89"/>
        <v>100</v>
      </c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>
        <v>0</v>
      </c>
      <c r="AJ513" s="29">
        <f t="shared" ref="AJ513:AJ576" si="128">AI513/Q513*100</f>
        <v>0</v>
      </c>
      <c r="AK513" s="28">
        <f t="shared" si="127"/>
        <v>45000000</v>
      </c>
      <c r="AL513" s="29">
        <f t="shared" si="122"/>
        <v>100</v>
      </c>
      <c r="AM513" s="26"/>
    </row>
    <row r="514" spans="1:39" ht="29.25" customHeight="1" x14ac:dyDescent="0.25">
      <c r="A514" s="26"/>
      <c r="B514" s="97"/>
      <c r="C514" s="97"/>
      <c r="D514" s="97"/>
      <c r="E514" s="97"/>
      <c r="F514" s="97"/>
      <c r="G514" s="97"/>
      <c r="H514" s="97"/>
      <c r="I514" s="98"/>
      <c r="J514" s="97" t="s">
        <v>284</v>
      </c>
      <c r="K514" s="27"/>
      <c r="L514" s="31"/>
      <c r="M514" s="563" t="s">
        <v>285</v>
      </c>
      <c r="N514" s="564"/>
      <c r="O514" s="198"/>
      <c r="P514" s="190"/>
      <c r="Q514" s="28">
        <v>6000000</v>
      </c>
      <c r="R514" s="29">
        <f t="shared" si="126"/>
        <v>5.6332738709980283</v>
      </c>
      <c r="S514" s="29">
        <v>100</v>
      </c>
      <c r="T514" s="28">
        <f t="shared" si="100"/>
        <v>0</v>
      </c>
      <c r="U514" s="28">
        <f t="shared" si="111"/>
        <v>0</v>
      </c>
      <c r="V514" s="87">
        <f t="shared" si="89"/>
        <v>100</v>
      </c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>
        <v>0</v>
      </c>
      <c r="AJ514" s="29">
        <f t="shared" si="128"/>
        <v>0</v>
      </c>
      <c r="AK514" s="28">
        <f t="shared" si="127"/>
        <v>6000000</v>
      </c>
      <c r="AL514" s="29">
        <f t="shared" si="122"/>
        <v>100</v>
      </c>
      <c r="AM514" s="26"/>
    </row>
    <row r="515" spans="1:39" ht="29.25" customHeight="1" x14ac:dyDescent="0.25">
      <c r="A515" s="26"/>
      <c r="B515" s="97"/>
      <c r="C515" s="97"/>
      <c r="D515" s="97"/>
      <c r="E515" s="97"/>
      <c r="F515" s="97"/>
      <c r="G515" s="97"/>
      <c r="H515" s="97"/>
      <c r="I515" s="98"/>
      <c r="J515" s="97" t="s">
        <v>282</v>
      </c>
      <c r="K515" s="27"/>
      <c r="L515" s="31"/>
      <c r="M515" s="563" t="s">
        <v>283</v>
      </c>
      <c r="N515" s="564"/>
      <c r="O515" s="198"/>
      <c r="P515" s="190"/>
      <c r="Q515" s="28">
        <v>26000000</v>
      </c>
      <c r="R515" s="29">
        <f t="shared" si="126"/>
        <v>24.410853440991456</v>
      </c>
      <c r="S515" s="29">
        <v>100</v>
      </c>
      <c r="T515" s="28">
        <f t="shared" si="100"/>
        <v>0</v>
      </c>
      <c r="U515" s="28">
        <f t="shared" si="111"/>
        <v>0</v>
      </c>
      <c r="V515" s="87">
        <f t="shared" si="89"/>
        <v>100</v>
      </c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>
        <v>0</v>
      </c>
      <c r="AJ515" s="29">
        <f t="shared" si="128"/>
        <v>0</v>
      </c>
      <c r="AK515" s="28">
        <f t="shared" si="127"/>
        <v>26000000</v>
      </c>
      <c r="AL515" s="29">
        <f t="shared" si="122"/>
        <v>100</v>
      </c>
      <c r="AM515" s="26"/>
    </row>
    <row r="516" spans="1:39" ht="29.25" customHeight="1" x14ac:dyDescent="0.25">
      <c r="A516" s="26"/>
      <c r="B516" s="97"/>
      <c r="C516" s="97"/>
      <c r="D516" s="97"/>
      <c r="E516" s="97"/>
      <c r="F516" s="97"/>
      <c r="G516" s="97"/>
      <c r="H516" s="97"/>
      <c r="I516" s="98"/>
      <c r="J516" s="97" t="s">
        <v>320</v>
      </c>
      <c r="K516" s="27"/>
      <c r="L516" s="31"/>
      <c r="M516" s="563" t="s">
        <v>321</v>
      </c>
      <c r="N516" s="564"/>
      <c r="O516" s="198"/>
      <c r="P516" s="190"/>
      <c r="Q516" s="28">
        <v>21600000</v>
      </c>
      <c r="R516" s="29">
        <f t="shared" si="126"/>
        <v>20.279785935592905</v>
      </c>
      <c r="S516" s="29">
        <v>100</v>
      </c>
      <c r="T516" s="28">
        <f t="shared" si="100"/>
        <v>0</v>
      </c>
      <c r="U516" s="28">
        <f t="shared" si="111"/>
        <v>0</v>
      </c>
      <c r="V516" s="87">
        <f t="shared" si="89"/>
        <v>100</v>
      </c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>
        <v>0</v>
      </c>
      <c r="AJ516" s="29">
        <f t="shared" si="128"/>
        <v>0</v>
      </c>
      <c r="AK516" s="28">
        <f t="shared" si="127"/>
        <v>21600000</v>
      </c>
      <c r="AL516" s="29">
        <f t="shared" si="122"/>
        <v>100</v>
      </c>
      <c r="AM516" s="26"/>
    </row>
    <row r="517" spans="1:39" s="41" customFormat="1" ht="29.25" customHeight="1" x14ac:dyDescent="0.25">
      <c r="A517" s="21">
        <f>A509+1</f>
        <v>60</v>
      </c>
      <c r="B517" s="543" t="s">
        <v>158</v>
      </c>
      <c r="C517" s="543"/>
      <c r="D517" s="543"/>
      <c r="E517" s="543"/>
      <c r="F517" s="543"/>
      <c r="G517" s="543"/>
      <c r="H517" s="543"/>
      <c r="I517" s="544"/>
      <c r="J517" s="122" t="s">
        <v>516</v>
      </c>
      <c r="K517" s="22"/>
      <c r="L517" s="72"/>
      <c r="M517" s="566" t="s">
        <v>162</v>
      </c>
      <c r="N517" s="566"/>
      <c r="O517" s="197">
        <v>355300000</v>
      </c>
      <c r="P517" s="189">
        <v>0</v>
      </c>
      <c r="Q517" s="23">
        <f>SUM(Q518:Q523)</f>
        <v>97570000</v>
      </c>
      <c r="R517" s="24">
        <f>Q517/Q$216*100</f>
        <v>0.62177395242157574</v>
      </c>
      <c r="S517" s="24">
        <v>100</v>
      </c>
      <c r="T517" s="23">
        <f t="shared" si="100"/>
        <v>0</v>
      </c>
      <c r="U517" s="23">
        <f t="shared" si="111"/>
        <v>0</v>
      </c>
      <c r="V517" s="90">
        <f t="shared" si="89"/>
        <v>100</v>
      </c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 t="e">
        <f>[2]april!N83</f>
        <v>#REF!</v>
      </c>
      <c r="AH517" s="23">
        <f>'[3]DES SKPD'!$N83</f>
        <v>33663000</v>
      </c>
      <c r="AI517" s="23">
        <f>SUM(AI518:AI523)</f>
        <v>0</v>
      </c>
      <c r="AJ517" s="24">
        <f t="shared" si="128"/>
        <v>0</v>
      </c>
      <c r="AK517" s="134">
        <f>Q517-AI517</f>
        <v>97570000</v>
      </c>
      <c r="AL517" s="24">
        <f t="shared" si="122"/>
        <v>100</v>
      </c>
      <c r="AM517" s="21"/>
    </row>
    <row r="518" spans="1:39" ht="29.25" customHeight="1" x14ac:dyDescent="0.25">
      <c r="A518" s="26"/>
      <c r="B518" s="97"/>
      <c r="C518" s="97"/>
      <c r="D518" s="97"/>
      <c r="E518" s="97"/>
      <c r="F518" s="97"/>
      <c r="G518" s="97"/>
      <c r="H518" s="97"/>
      <c r="I518" s="98"/>
      <c r="J518" s="97" t="s">
        <v>257</v>
      </c>
      <c r="K518" s="27"/>
      <c r="L518" s="31"/>
      <c r="M518" s="563" t="s">
        <v>258</v>
      </c>
      <c r="N518" s="564"/>
      <c r="O518" s="198"/>
      <c r="P518" s="190"/>
      <c r="Q518" s="28">
        <v>2820000</v>
      </c>
      <c r="R518" s="29">
        <f t="shared" ref="R518:R523" si="129">Q518/Q$517*100</f>
        <v>2.8902326534795528</v>
      </c>
      <c r="S518" s="29">
        <v>100</v>
      </c>
      <c r="T518" s="28">
        <f t="shared" si="100"/>
        <v>0</v>
      </c>
      <c r="U518" s="28">
        <f t="shared" si="111"/>
        <v>0</v>
      </c>
      <c r="V518" s="87">
        <f t="shared" si="89"/>
        <v>100</v>
      </c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>
        <v>0</v>
      </c>
      <c r="AJ518" s="29">
        <f t="shared" si="128"/>
        <v>0</v>
      </c>
      <c r="AK518" s="28">
        <f t="shared" ref="AK518:AK523" si="130">SUM(Q518-AI518)</f>
        <v>2820000</v>
      </c>
      <c r="AL518" s="29">
        <f t="shared" si="122"/>
        <v>100</v>
      </c>
      <c r="AM518" s="26"/>
    </row>
    <row r="519" spans="1:39" ht="29.25" customHeight="1" x14ac:dyDescent="0.25">
      <c r="A519" s="26"/>
      <c r="B519" s="97"/>
      <c r="C519" s="97"/>
      <c r="D519" s="97"/>
      <c r="E519" s="97"/>
      <c r="F519" s="97"/>
      <c r="G519" s="97"/>
      <c r="H519" s="97"/>
      <c r="I519" s="98"/>
      <c r="J519" s="97" t="s">
        <v>332</v>
      </c>
      <c r="K519" s="27"/>
      <c r="L519" s="31"/>
      <c r="M519" s="563" t="s">
        <v>351</v>
      </c>
      <c r="N519" s="564"/>
      <c r="O519" s="198"/>
      <c r="P519" s="190"/>
      <c r="Q519" s="28">
        <v>3000000</v>
      </c>
      <c r="R519" s="29">
        <f t="shared" si="129"/>
        <v>3.0747155888080355</v>
      </c>
      <c r="S519" s="29">
        <v>100</v>
      </c>
      <c r="T519" s="28">
        <f t="shared" si="100"/>
        <v>0</v>
      </c>
      <c r="U519" s="28">
        <f t="shared" si="111"/>
        <v>0</v>
      </c>
      <c r="V519" s="87">
        <f t="shared" si="89"/>
        <v>100</v>
      </c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>
        <v>0</v>
      </c>
      <c r="AJ519" s="29">
        <f t="shared" si="128"/>
        <v>0</v>
      </c>
      <c r="AK519" s="28">
        <f t="shared" si="130"/>
        <v>3000000</v>
      </c>
      <c r="AL519" s="29">
        <f t="shared" si="122"/>
        <v>100</v>
      </c>
      <c r="AM519" s="26"/>
    </row>
    <row r="520" spans="1:39" ht="29.25" customHeight="1" x14ac:dyDescent="0.25">
      <c r="A520" s="26"/>
      <c r="B520" s="97"/>
      <c r="C520" s="97"/>
      <c r="D520" s="97"/>
      <c r="E520" s="97"/>
      <c r="F520" s="97"/>
      <c r="G520" s="97"/>
      <c r="H520" s="97"/>
      <c r="I520" s="98"/>
      <c r="J520" s="97" t="s">
        <v>269</v>
      </c>
      <c r="K520" s="27"/>
      <c r="L520" s="31"/>
      <c r="M520" s="563" t="s">
        <v>270</v>
      </c>
      <c r="N520" s="564"/>
      <c r="O520" s="198"/>
      <c r="P520" s="190"/>
      <c r="Q520" s="28">
        <v>40000000</v>
      </c>
      <c r="R520" s="29">
        <f t="shared" si="129"/>
        <v>40.9962078507738</v>
      </c>
      <c r="S520" s="29">
        <v>100</v>
      </c>
      <c r="T520" s="28">
        <f t="shared" si="100"/>
        <v>0</v>
      </c>
      <c r="U520" s="28">
        <f t="shared" si="111"/>
        <v>0</v>
      </c>
      <c r="V520" s="87">
        <f t="shared" si="89"/>
        <v>100</v>
      </c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>
        <v>0</v>
      </c>
      <c r="AJ520" s="29">
        <f t="shared" si="128"/>
        <v>0</v>
      </c>
      <c r="AK520" s="28">
        <f t="shared" si="130"/>
        <v>40000000</v>
      </c>
      <c r="AL520" s="29">
        <f t="shared" si="122"/>
        <v>100</v>
      </c>
      <c r="AM520" s="26"/>
    </row>
    <row r="521" spans="1:39" ht="29.25" customHeight="1" x14ac:dyDescent="0.25">
      <c r="A521" s="26"/>
      <c r="B521" s="97"/>
      <c r="C521" s="97"/>
      <c r="D521" s="97"/>
      <c r="E521" s="97"/>
      <c r="F521" s="97"/>
      <c r="G521" s="97"/>
      <c r="H521" s="97"/>
      <c r="I521" s="98"/>
      <c r="J521" s="97" t="s">
        <v>315</v>
      </c>
      <c r="K521" s="27"/>
      <c r="L521" s="31"/>
      <c r="M521" s="563" t="s">
        <v>271</v>
      </c>
      <c r="N521" s="564"/>
      <c r="O521" s="198"/>
      <c r="P521" s="190"/>
      <c r="Q521" s="28">
        <v>2700000</v>
      </c>
      <c r="R521" s="29">
        <f t="shared" si="129"/>
        <v>2.7672440299272316</v>
      </c>
      <c r="S521" s="29">
        <v>100</v>
      </c>
      <c r="T521" s="28">
        <f t="shared" si="100"/>
        <v>0</v>
      </c>
      <c r="U521" s="28">
        <f t="shared" si="111"/>
        <v>0</v>
      </c>
      <c r="V521" s="87">
        <f t="shared" si="89"/>
        <v>100</v>
      </c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>
        <v>0</v>
      </c>
      <c r="AJ521" s="29">
        <f t="shared" si="128"/>
        <v>0</v>
      </c>
      <c r="AK521" s="28">
        <f t="shared" si="130"/>
        <v>2700000</v>
      </c>
      <c r="AL521" s="29">
        <f t="shared" si="122"/>
        <v>100</v>
      </c>
      <c r="AM521" s="26"/>
    </row>
    <row r="522" spans="1:39" ht="29.25" customHeight="1" x14ac:dyDescent="0.25">
      <c r="A522" s="26"/>
      <c r="B522" s="97"/>
      <c r="C522" s="97"/>
      <c r="D522" s="97"/>
      <c r="E522" s="97"/>
      <c r="F522" s="97"/>
      <c r="G522" s="97"/>
      <c r="H522" s="97"/>
      <c r="I522" s="98"/>
      <c r="J522" s="97" t="s">
        <v>284</v>
      </c>
      <c r="K522" s="27"/>
      <c r="L522" s="31"/>
      <c r="M522" s="563" t="s">
        <v>285</v>
      </c>
      <c r="N522" s="564"/>
      <c r="O522" s="198"/>
      <c r="P522" s="190"/>
      <c r="Q522" s="28">
        <v>12000000</v>
      </c>
      <c r="R522" s="29">
        <f t="shared" si="129"/>
        <v>12.298862355232142</v>
      </c>
      <c r="S522" s="29">
        <v>100</v>
      </c>
      <c r="T522" s="28">
        <f t="shared" si="100"/>
        <v>0</v>
      </c>
      <c r="U522" s="28">
        <f t="shared" si="111"/>
        <v>0</v>
      </c>
      <c r="V522" s="87">
        <f t="shared" si="89"/>
        <v>100</v>
      </c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>
        <v>0</v>
      </c>
      <c r="AJ522" s="29">
        <f t="shared" si="128"/>
        <v>0</v>
      </c>
      <c r="AK522" s="28">
        <f t="shared" si="130"/>
        <v>12000000</v>
      </c>
      <c r="AL522" s="29">
        <f t="shared" si="122"/>
        <v>100</v>
      </c>
      <c r="AM522" s="26"/>
    </row>
    <row r="523" spans="1:39" ht="29.25" customHeight="1" x14ac:dyDescent="0.25">
      <c r="A523" s="26"/>
      <c r="B523" s="97"/>
      <c r="C523" s="97"/>
      <c r="D523" s="97"/>
      <c r="E523" s="97"/>
      <c r="F523" s="97"/>
      <c r="G523" s="97"/>
      <c r="H523" s="97"/>
      <c r="I523" s="98"/>
      <c r="J523" s="97" t="s">
        <v>282</v>
      </c>
      <c r="K523" s="27"/>
      <c r="L523" s="31"/>
      <c r="M523" s="563" t="s">
        <v>283</v>
      </c>
      <c r="N523" s="564"/>
      <c r="O523" s="198"/>
      <c r="P523" s="190"/>
      <c r="Q523" s="28">
        <v>37050000</v>
      </c>
      <c r="R523" s="29">
        <f t="shared" si="129"/>
        <v>37.972737521779237</v>
      </c>
      <c r="S523" s="29">
        <v>100</v>
      </c>
      <c r="T523" s="28">
        <f t="shared" si="100"/>
        <v>0</v>
      </c>
      <c r="U523" s="28">
        <f t="shared" si="111"/>
        <v>0</v>
      </c>
      <c r="V523" s="87">
        <f t="shared" si="89"/>
        <v>100</v>
      </c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>
        <v>0</v>
      </c>
      <c r="AJ523" s="29">
        <f t="shared" si="128"/>
        <v>0</v>
      </c>
      <c r="AK523" s="28">
        <f t="shared" si="130"/>
        <v>37050000</v>
      </c>
      <c r="AL523" s="29">
        <f t="shared" si="122"/>
        <v>100</v>
      </c>
      <c r="AM523" s="26"/>
    </row>
    <row r="524" spans="1:39" s="41" customFormat="1" ht="29.25" customHeight="1" x14ac:dyDescent="0.25">
      <c r="A524" s="21">
        <f>SUM(A517+1)</f>
        <v>61</v>
      </c>
      <c r="B524" s="99"/>
      <c r="C524" s="99"/>
      <c r="D524" s="99"/>
      <c r="E524" s="99"/>
      <c r="F524" s="99"/>
      <c r="G524" s="99"/>
      <c r="H524" s="99"/>
      <c r="I524" s="100"/>
      <c r="J524" s="122" t="s">
        <v>517</v>
      </c>
      <c r="K524" s="22"/>
      <c r="L524" s="72"/>
      <c r="M524" s="566" t="s">
        <v>369</v>
      </c>
      <c r="N524" s="567"/>
      <c r="O524" s="197"/>
      <c r="P524" s="189"/>
      <c r="Q524" s="23">
        <f>SUM(Q525:Q534)</f>
        <v>2645216000</v>
      </c>
      <c r="R524" s="24">
        <f>Q524/Q$216*100</f>
        <v>16.856886413126894</v>
      </c>
      <c r="S524" s="24">
        <v>100</v>
      </c>
      <c r="T524" s="23">
        <f t="shared" si="100"/>
        <v>0</v>
      </c>
      <c r="U524" s="23">
        <f t="shared" si="111"/>
        <v>0</v>
      </c>
      <c r="V524" s="90">
        <f t="shared" si="89"/>
        <v>100</v>
      </c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 t="e">
        <f>[2]april!N91</f>
        <v>#REF!</v>
      </c>
      <c r="AH524" s="23" t="e">
        <f>'[3]DES SKPD'!$N91</f>
        <v>#REF!</v>
      </c>
      <c r="AI524" s="23">
        <f>SUM(AI526:AI534)</f>
        <v>0</v>
      </c>
      <c r="AJ524" s="24">
        <f t="shared" si="128"/>
        <v>0</v>
      </c>
      <c r="AK524" s="134">
        <f>Q524-AI524</f>
        <v>2645216000</v>
      </c>
      <c r="AL524" s="24">
        <f t="shared" si="122"/>
        <v>100</v>
      </c>
      <c r="AM524" s="21"/>
    </row>
    <row r="525" spans="1:39" s="41" customFormat="1" ht="29.25" customHeight="1" x14ac:dyDescent="0.25">
      <c r="A525" s="21"/>
      <c r="B525" s="99"/>
      <c r="C525" s="99"/>
      <c r="D525" s="99"/>
      <c r="E525" s="99"/>
      <c r="F525" s="99"/>
      <c r="G525" s="99"/>
      <c r="H525" s="99"/>
      <c r="I525" s="100"/>
      <c r="J525" s="99" t="s">
        <v>421</v>
      </c>
      <c r="K525" s="22"/>
      <c r="L525" s="72"/>
      <c r="M525" s="563" t="s">
        <v>324</v>
      </c>
      <c r="N525" s="564"/>
      <c r="O525" s="197"/>
      <c r="P525" s="189"/>
      <c r="Q525" s="28">
        <v>2000000</v>
      </c>
      <c r="R525" s="29">
        <f>Q525/Q$524*100</f>
        <v>7.5608192298851962E-2</v>
      </c>
      <c r="S525" s="29">
        <v>100</v>
      </c>
      <c r="T525" s="28">
        <f t="shared" si="100"/>
        <v>0</v>
      </c>
      <c r="U525" s="28">
        <f t="shared" si="111"/>
        <v>0</v>
      </c>
      <c r="V525" s="87">
        <f t="shared" si="89"/>
        <v>100</v>
      </c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>
        <v>0</v>
      </c>
      <c r="AJ525" s="29">
        <f t="shared" si="128"/>
        <v>0</v>
      </c>
      <c r="AK525" s="28">
        <f>SUM(Q525-AI525)</f>
        <v>2000000</v>
      </c>
      <c r="AL525" s="24"/>
      <c r="AM525" s="21"/>
    </row>
    <row r="526" spans="1:39" ht="40.5" customHeight="1" x14ac:dyDescent="0.25">
      <c r="A526" s="26"/>
      <c r="B526" s="97"/>
      <c r="C526" s="97"/>
      <c r="D526" s="97"/>
      <c r="E526" s="97"/>
      <c r="F526" s="97"/>
      <c r="G526" s="97"/>
      <c r="H526" s="97"/>
      <c r="I526" s="98"/>
      <c r="J526" s="97" t="s">
        <v>345</v>
      </c>
      <c r="K526" s="27"/>
      <c r="L526" s="31"/>
      <c r="M526" s="563" t="s">
        <v>346</v>
      </c>
      <c r="N526" s="564"/>
      <c r="O526" s="198"/>
      <c r="P526" s="190"/>
      <c r="Q526" s="28">
        <v>8400000</v>
      </c>
      <c r="R526" s="29">
        <f>Q526/Q$524*100</f>
        <v>0.31755440765517823</v>
      </c>
      <c r="S526" s="29">
        <v>100</v>
      </c>
      <c r="T526" s="28">
        <f t="shared" si="100"/>
        <v>0</v>
      </c>
      <c r="U526" s="28">
        <f t="shared" si="111"/>
        <v>0</v>
      </c>
      <c r="V526" s="87">
        <f t="shared" si="89"/>
        <v>100</v>
      </c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>
        <v>0</v>
      </c>
      <c r="AJ526" s="29">
        <f t="shared" si="128"/>
        <v>0</v>
      </c>
      <c r="AK526" s="28">
        <f t="shared" ref="AK526:AK534" si="131">SUM(Q526-AI526)</f>
        <v>8400000</v>
      </c>
      <c r="AL526" s="29">
        <f t="shared" ref="AL526:AL560" si="132">AK526/Q526*100</f>
        <v>100</v>
      </c>
      <c r="AM526" s="26"/>
    </row>
    <row r="527" spans="1:39" ht="29.25" customHeight="1" x14ac:dyDescent="0.25">
      <c r="A527" s="26"/>
      <c r="B527" s="97"/>
      <c r="C527" s="97"/>
      <c r="D527" s="97"/>
      <c r="E527" s="97"/>
      <c r="F527" s="97"/>
      <c r="G527" s="97"/>
      <c r="H527" s="97"/>
      <c r="I527" s="98"/>
      <c r="J527" s="97" t="s">
        <v>315</v>
      </c>
      <c r="K527" s="27"/>
      <c r="L527" s="31"/>
      <c r="M527" s="563" t="s">
        <v>271</v>
      </c>
      <c r="N527" s="564"/>
      <c r="O527" s="198"/>
      <c r="P527" s="190"/>
      <c r="Q527" s="28">
        <v>11364000</v>
      </c>
      <c r="R527" s="29">
        <f>Q527/Q$524*100</f>
        <v>0.4296057486420769</v>
      </c>
      <c r="S527" s="29">
        <v>100</v>
      </c>
      <c r="T527" s="28">
        <f t="shared" si="100"/>
        <v>0</v>
      </c>
      <c r="U527" s="28">
        <f t="shared" si="111"/>
        <v>0</v>
      </c>
      <c r="V527" s="87">
        <f t="shared" si="89"/>
        <v>100</v>
      </c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>
        <v>0</v>
      </c>
      <c r="AJ527" s="29">
        <f t="shared" si="128"/>
        <v>0</v>
      </c>
      <c r="AK527" s="28">
        <f t="shared" si="131"/>
        <v>11364000</v>
      </c>
      <c r="AL527" s="29">
        <f t="shared" si="132"/>
        <v>100</v>
      </c>
      <c r="AM527" s="26"/>
    </row>
    <row r="528" spans="1:39" ht="29.25" customHeight="1" x14ac:dyDescent="0.25">
      <c r="A528" s="26"/>
      <c r="B528" s="97"/>
      <c r="C528" s="97"/>
      <c r="D528" s="97"/>
      <c r="E528" s="97"/>
      <c r="F528" s="97"/>
      <c r="G528" s="97"/>
      <c r="H528" s="97"/>
      <c r="I528" s="98"/>
      <c r="J528" s="97" t="s">
        <v>328</v>
      </c>
      <c r="K528" s="27"/>
      <c r="L528" s="31"/>
      <c r="M528" s="563" t="s">
        <v>329</v>
      </c>
      <c r="N528" s="564"/>
      <c r="O528" s="198"/>
      <c r="P528" s="190"/>
      <c r="Q528" s="28">
        <v>10000000</v>
      </c>
      <c r="R528" s="29">
        <f>Q528/Q$524*100</f>
        <v>0.37804096149425981</v>
      </c>
      <c r="S528" s="29">
        <v>100</v>
      </c>
      <c r="T528" s="28">
        <f t="shared" si="100"/>
        <v>0</v>
      </c>
      <c r="U528" s="28">
        <f t="shared" si="111"/>
        <v>0</v>
      </c>
      <c r="V528" s="87">
        <f t="shared" si="89"/>
        <v>100</v>
      </c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>
        <v>0</v>
      </c>
      <c r="AJ528" s="29">
        <f t="shared" si="128"/>
        <v>0</v>
      </c>
      <c r="AK528" s="28">
        <f t="shared" si="131"/>
        <v>10000000</v>
      </c>
      <c r="AL528" s="29">
        <f t="shared" si="132"/>
        <v>100</v>
      </c>
      <c r="AM528" s="26"/>
    </row>
    <row r="529" spans="1:39" ht="29.25" customHeight="1" x14ac:dyDescent="0.25">
      <c r="A529" s="26"/>
      <c r="B529" s="97"/>
      <c r="C529" s="97"/>
      <c r="D529" s="97"/>
      <c r="E529" s="97"/>
      <c r="F529" s="97"/>
      <c r="G529" s="97"/>
      <c r="H529" s="97"/>
      <c r="I529" s="98"/>
      <c r="J529" s="97" t="s">
        <v>370</v>
      </c>
      <c r="K529" s="27"/>
      <c r="L529" s="31"/>
      <c r="M529" s="563" t="s">
        <v>371</v>
      </c>
      <c r="N529" s="564"/>
      <c r="O529" s="198"/>
      <c r="P529" s="190"/>
      <c r="Q529" s="28">
        <v>97680000</v>
      </c>
      <c r="R529" s="29">
        <f t="shared" ref="R529:R534" si="133">Q529/Q$524*100</f>
        <v>3.6927041118759303</v>
      </c>
      <c r="S529" s="29">
        <v>100</v>
      </c>
      <c r="T529" s="28">
        <f t="shared" si="100"/>
        <v>0</v>
      </c>
      <c r="U529" s="28">
        <f t="shared" si="111"/>
        <v>0</v>
      </c>
      <c r="V529" s="87">
        <f t="shared" si="89"/>
        <v>100</v>
      </c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>
        <v>0</v>
      </c>
      <c r="AJ529" s="29">
        <f t="shared" si="128"/>
        <v>0</v>
      </c>
      <c r="AK529" s="28">
        <f t="shared" si="131"/>
        <v>97680000</v>
      </c>
      <c r="AL529" s="29">
        <f t="shared" si="132"/>
        <v>100</v>
      </c>
      <c r="AM529" s="26"/>
    </row>
    <row r="530" spans="1:39" ht="29.25" customHeight="1" x14ac:dyDescent="0.25">
      <c r="A530" s="26"/>
      <c r="B530" s="97"/>
      <c r="C530" s="97"/>
      <c r="D530" s="97"/>
      <c r="E530" s="97"/>
      <c r="F530" s="97"/>
      <c r="G530" s="97"/>
      <c r="H530" s="97"/>
      <c r="I530" s="98"/>
      <c r="J530" s="97" t="s">
        <v>280</v>
      </c>
      <c r="K530" s="27"/>
      <c r="L530" s="31"/>
      <c r="M530" s="563" t="s">
        <v>422</v>
      </c>
      <c r="N530" s="564"/>
      <c r="O530" s="198"/>
      <c r="P530" s="190"/>
      <c r="Q530" s="28">
        <v>2000000</v>
      </c>
      <c r="R530" s="29">
        <f t="shared" si="133"/>
        <v>7.5608192298851962E-2</v>
      </c>
      <c r="S530" s="29">
        <v>100</v>
      </c>
      <c r="T530" s="28">
        <f t="shared" si="100"/>
        <v>0</v>
      </c>
      <c r="U530" s="28">
        <f t="shared" si="111"/>
        <v>0</v>
      </c>
      <c r="V530" s="87">
        <f t="shared" si="89"/>
        <v>100</v>
      </c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>
        <v>0</v>
      </c>
      <c r="AJ530" s="29">
        <f t="shared" si="128"/>
        <v>0</v>
      </c>
      <c r="AK530" s="28">
        <f t="shared" si="131"/>
        <v>2000000</v>
      </c>
      <c r="AL530" s="29">
        <f t="shared" si="132"/>
        <v>100</v>
      </c>
      <c r="AM530" s="26"/>
    </row>
    <row r="531" spans="1:39" ht="29.25" customHeight="1" x14ac:dyDescent="0.25">
      <c r="A531" s="26"/>
      <c r="B531" s="97"/>
      <c r="C531" s="97"/>
      <c r="D531" s="97"/>
      <c r="E531" s="97"/>
      <c r="F531" s="97"/>
      <c r="G531" s="97"/>
      <c r="H531" s="97"/>
      <c r="I531" s="98"/>
      <c r="J531" s="97" t="s">
        <v>339</v>
      </c>
      <c r="K531" s="27"/>
      <c r="L531" s="31"/>
      <c r="M531" s="563" t="s">
        <v>340</v>
      </c>
      <c r="N531" s="564"/>
      <c r="O531" s="198"/>
      <c r="P531" s="190"/>
      <c r="Q531" s="28">
        <v>132000000</v>
      </c>
      <c r="R531" s="29">
        <f t="shared" si="133"/>
        <v>4.9901406917242301</v>
      </c>
      <c r="S531" s="29">
        <v>100</v>
      </c>
      <c r="T531" s="28">
        <f t="shared" si="100"/>
        <v>0</v>
      </c>
      <c r="U531" s="28">
        <f t="shared" si="111"/>
        <v>0</v>
      </c>
      <c r="V531" s="87">
        <f t="shared" si="89"/>
        <v>100</v>
      </c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>
        <v>0</v>
      </c>
      <c r="AJ531" s="29">
        <f t="shared" si="128"/>
        <v>0</v>
      </c>
      <c r="AK531" s="28">
        <f t="shared" si="131"/>
        <v>132000000</v>
      </c>
      <c r="AL531" s="29">
        <f t="shared" si="132"/>
        <v>100</v>
      </c>
      <c r="AM531" s="26"/>
    </row>
    <row r="532" spans="1:39" ht="29.25" customHeight="1" x14ac:dyDescent="0.25">
      <c r="A532" s="26"/>
      <c r="B532" s="97"/>
      <c r="C532" s="97"/>
      <c r="D532" s="97"/>
      <c r="E532" s="97"/>
      <c r="F532" s="97"/>
      <c r="G532" s="97"/>
      <c r="H532" s="97"/>
      <c r="I532" s="98"/>
      <c r="J532" s="97" t="s">
        <v>284</v>
      </c>
      <c r="K532" s="27"/>
      <c r="L532" s="31"/>
      <c r="M532" s="563" t="s">
        <v>285</v>
      </c>
      <c r="N532" s="564"/>
      <c r="O532" s="198"/>
      <c r="P532" s="190"/>
      <c r="Q532" s="28">
        <v>5000000</v>
      </c>
      <c r="R532" s="29">
        <f t="shared" si="133"/>
        <v>0.1890204807471299</v>
      </c>
      <c r="S532" s="29">
        <v>100</v>
      </c>
      <c r="T532" s="28">
        <f t="shared" si="100"/>
        <v>0</v>
      </c>
      <c r="U532" s="28">
        <f t="shared" si="111"/>
        <v>0</v>
      </c>
      <c r="V532" s="87">
        <f t="shared" si="89"/>
        <v>100</v>
      </c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>
        <v>0</v>
      </c>
      <c r="AJ532" s="29">
        <f t="shared" si="128"/>
        <v>0</v>
      </c>
      <c r="AK532" s="28">
        <f t="shared" si="131"/>
        <v>5000000</v>
      </c>
      <c r="AL532" s="29">
        <f t="shared" si="132"/>
        <v>100</v>
      </c>
      <c r="AM532" s="26"/>
    </row>
    <row r="533" spans="1:39" ht="29.25" customHeight="1" x14ac:dyDescent="0.25">
      <c r="A533" s="26"/>
      <c r="B533" s="97"/>
      <c r="C533" s="97"/>
      <c r="D533" s="97"/>
      <c r="E533" s="97"/>
      <c r="F533" s="97"/>
      <c r="G533" s="97"/>
      <c r="H533" s="97"/>
      <c r="I533" s="98"/>
      <c r="J533" s="97" t="s">
        <v>309</v>
      </c>
      <c r="K533" s="27"/>
      <c r="L533" s="31"/>
      <c r="M533" s="563" t="s">
        <v>310</v>
      </c>
      <c r="N533" s="564"/>
      <c r="O533" s="198"/>
      <c r="P533" s="190"/>
      <c r="Q533" s="28">
        <v>1980772000</v>
      </c>
      <c r="R533" s="29">
        <f t="shared" si="133"/>
        <v>74.881295138090792</v>
      </c>
      <c r="S533" s="29">
        <v>100</v>
      </c>
      <c r="T533" s="28">
        <f t="shared" si="100"/>
        <v>0</v>
      </c>
      <c r="U533" s="28">
        <f t="shared" si="111"/>
        <v>0</v>
      </c>
      <c r="V533" s="87">
        <f t="shared" si="89"/>
        <v>100</v>
      </c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>
        <v>0</v>
      </c>
      <c r="AJ533" s="29">
        <f t="shared" si="128"/>
        <v>0</v>
      </c>
      <c r="AK533" s="28">
        <f t="shared" si="131"/>
        <v>1980772000</v>
      </c>
      <c r="AL533" s="29">
        <f t="shared" si="132"/>
        <v>100</v>
      </c>
      <c r="AM533" s="26"/>
    </row>
    <row r="534" spans="1:39" ht="29.25" customHeight="1" x14ac:dyDescent="0.25">
      <c r="A534" s="26"/>
      <c r="B534" s="97"/>
      <c r="C534" s="97"/>
      <c r="D534" s="97"/>
      <c r="E534" s="97"/>
      <c r="F534" s="97"/>
      <c r="G534" s="97"/>
      <c r="H534" s="97"/>
      <c r="I534" s="98"/>
      <c r="J534" s="97" t="s">
        <v>372</v>
      </c>
      <c r="K534" s="27"/>
      <c r="L534" s="31"/>
      <c r="M534" s="563" t="s">
        <v>373</v>
      </c>
      <c r="N534" s="564"/>
      <c r="O534" s="198"/>
      <c r="P534" s="190"/>
      <c r="Q534" s="28">
        <v>396000000</v>
      </c>
      <c r="R534" s="29">
        <f t="shared" si="133"/>
        <v>14.97042207517269</v>
      </c>
      <c r="S534" s="29">
        <v>100</v>
      </c>
      <c r="T534" s="28">
        <f t="shared" si="100"/>
        <v>0</v>
      </c>
      <c r="U534" s="28">
        <f t="shared" si="111"/>
        <v>0</v>
      </c>
      <c r="V534" s="87">
        <f t="shared" si="89"/>
        <v>100</v>
      </c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>
        <v>0</v>
      </c>
      <c r="AJ534" s="29">
        <f t="shared" si="128"/>
        <v>0</v>
      </c>
      <c r="AK534" s="28">
        <f t="shared" si="131"/>
        <v>396000000</v>
      </c>
      <c r="AL534" s="29">
        <f t="shared" si="132"/>
        <v>100</v>
      </c>
      <c r="AM534" s="26"/>
    </row>
    <row r="535" spans="1:39" s="41" customFormat="1" ht="28.5" customHeight="1" x14ac:dyDescent="0.25">
      <c r="A535" s="21">
        <f>A524+1</f>
        <v>62</v>
      </c>
      <c r="B535" s="543" t="s">
        <v>158</v>
      </c>
      <c r="C535" s="543"/>
      <c r="D535" s="543"/>
      <c r="E535" s="543"/>
      <c r="F535" s="543"/>
      <c r="G535" s="543"/>
      <c r="H535" s="543"/>
      <c r="I535" s="544"/>
      <c r="J535" s="122" t="s">
        <v>518</v>
      </c>
      <c r="K535" s="22"/>
      <c r="L535" s="72"/>
      <c r="M535" s="566" t="s">
        <v>163</v>
      </c>
      <c r="N535" s="566"/>
      <c r="O535" s="197">
        <v>355300000</v>
      </c>
      <c r="P535" s="189">
        <v>0</v>
      </c>
      <c r="Q535" s="23">
        <f>SUM(Q536:Q540)</f>
        <v>134600000</v>
      </c>
      <c r="R535" s="24">
        <f>Q535/Q$216*100</f>
        <v>0.85775109148246487</v>
      </c>
      <c r="S535" s="24">
        <v>100</v>
      </c>
      <c r="T535" s="23">
        <f t="shared" si="100"/>
        <v>0</v>
      </c>
      <c r="U535" s="23">
        <f t="shared" si="111"/>
        <v>0</v>
      </c>
      <c r="V535" s="90">
        <f t="shared" si="89"/>
        <v>100</v>
      </c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 t="e">
        <f>[2]april!N84</f>
        <v>#REF!</v>
      </c>
      <c r="AH535" s="23">
        <f>'[3]DES SKPD'!$N84</f>
        <v>52275000</v>
      </c>
      <c r="AI535" s="23">
        <f>SUM(AI537:AI540)</f>
        <v>0</v>
      </c>
      <c r="AJ535" s="24">
        <f t="shared" si="128"/>
        <v>0</v>
      </c>
      <c r="AK535" s="134">
        <f t="shared" ref="AK535:AK541" si="134">Q535-AI535</f>
        <v>134600000</v>
      </c>
      <c r="AL535" s="24">
        <f t="shared" si="132"/>
        <v>100</v>
      </c>
      <c r="AM535" s="21"/>
    </row>
    <row r="536" spans="1:39" s="41" customFormat="1" ht="28.5" customHeight="1" x14ac:dyDescent="0.25">
      <c r="A536" s="21"/>
      <c r="B536" s="99"/>
      <c r="C536" s="99"/>
      <c r="D536" s="99"/>
      <c r="E536" s="99"/>
      <c r="F536" s="99"/>
      <c r="G536" s="99"/>
      <c r="H536" s="99"/>
      <c r="I536" s="100"/>
      <c r="J536" s="97" t="s">
        <v>323</v>
      </c>
      <c r="K536" s="22"/>
      <c r="L536" s="72"/>
      <c r="M536" s="563" t="s">
        <v>324</v>
      </c>
      <c r="N536" s="564"/>
      <c r="O536" s="197"/>
      <c r="P536" s="189"/>
      <c r="Q536" s="28">
        <v>1000000</v>
      </c>
      <c r="R536" s="29">
        <f>Q536/Q$535*100</f>
        <v>0.74294205052005935</v>
      </c>
      <c r="S536" s="29">
        <v>100</v>
      </c>
      <c r="T536" s="28">
        <f t="shared" si="100"/>
        <v>0</v>
      </c>
      <c r="U536" s="28">
        <f t="shared" si="111"/>
        <v>0</v>
      </c>
      <c r="V536" s="87">
        <f t="shared" si="89"/>
        <v>100</v>
      </c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>
        <v>0</v>
      </c>
      <c r="AJ536" s="29">
        <f t="shared" si="128"/>
        <v>0</v>
      </c>
      <c r="AK536" s="136">
        <f t="shared" si="134"/>
        <v>1000000</v>
      </c>
      <c r="AL536" s="29">
        <f t="shared" si="132"/>
        <v>100</v>
      </c>
      <c r="AM536" s="21"/>
    </row>
    <row r="537" spans="1:39" s="93" customFormat="1" ht="24.75" customHeight="1" x14ac:dyDescent="0.25">
      <c r="A537" s="26"/>
      <c r="B537" s="97"/>
      <c r="C537" s="97"/>
      <c r="D537" s="97"/>
      <c r="E537" s="97"/>
      <c r="F537" s="97"/>
      <c r="G537" s="97"/>
      <c r="H537" s="97"/>
      <c r="I537" s="98"/>
      <c r="J537" s="97" t="s">
        <v>315</v>
      </c>
      <c r="K537" s="27"/>
      <c r="L537" s="31"/>
      <c r="M537" s="563" t="s">
        <v>271</v>
      </c>
      <c r="N537" s="564"/>
      <c r="O537" s="198"/>
      <c r="P537" s="190"/>
      <c r="Q537" s="28">
        <v>2000000</v>
      </c>
      <c r="R537" s="29">
        <f>Q537/Q$535*100</f>
        <v>1.4858841010401187</v>
      </c>
      <c r="S537" s="29">
        <v>100</v>
      </c>
      <c r="T537" s="28">
        <f t="shared" si="100"/>
        <v>0</v>
      </c>
      <c r="U537" s="28">
        <f t="shared" si="111"/>
        <v>0</v>
      </c>
      <c r="V537" s="87">
        <f t="shared" si="89"/>
        <v>100</v>
      </c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>
        <v>0</v>
      </c>
      <c r="AJ537" s="29">
        <f t="shared" si="128"/>
        <v>0</v>
      </c>
      <c r="AK537" s="136">
        <f t="shared" si="134"/>
        <v>2000000</v>
      </c>
      <c r="AL537" s="29">
        <f t="shared" si="132"/>
        <v>100</v>
      </c>
      <c r="AM537" s="26"/>
    </row>
    <row r="538" spans="1:39" s="93" customFormat="1" ht="24.75" customHeight="1" x14ac:dyDescent="0.25">
      <c r="A538" s="26"/>
      <c r="B538" s="97"/>
      <c r="C538" s="97"/>
      <c r="D538" s="97"/>
      <c r="E538" s="97"/>
      <c r="F538" s="97"/>
      <c r="G538" s="97"/>
      <c r="H538" s="97"/>
      <c r="I538" s="98"/>
      <c r="J538" s="97" t="s">
        <v>280</v>
      </c>
      <c r="K538" s="27"/>
      <c r="L538" s="31"/>
      <c r="M538" s="563" t="s">
        <v>423</v>
      </c>
      <c r="N538" s="564"/>
      <c r="O538" s="198"/>
      <c r="P538" s="190"/>
      <c r="Q538" s="28">
        <v>1000000</v>
      </c>
      <c r="R538" s="29">
        <f>Q538/Q$535*100</f>
        <v>0.74294205052005935</v>
      </c>
      <c r="S538" s="29">
        <v>100</v>
      </c>
      <c r="T538" s="28">
        <f t="shared" si="100"/>
        <v>0</v>
      </c>
      <c r="U538" s="28">
        <f t="shared" si="111"/>
        <v>0</v>
      </c>
      <c r="V538" s="87">
        <f t="shared" si="89"/>
        <v>100</v>
      </c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>
        <v>0</v>
      </c>
      <c r="AJ538" s="29">
        <f t="shared" si="128"/>
        <v>0</v>
      </c>
      <c r="AK538" s="136">
        <f t="shared" si="134"/>
        <v>1000000</v>
      </c>
      <c r="AL538" s="29">
        <f t="shared" si="132"/>
        <v>100</v>
      </c>
      <c r="AM538" s="26"/>
    </row>
    <row r="539" spans="1:39" s="93" customFormat="1" ht="24.75" customHeight="1" x14ac:dyDescent="0.25">
      <c r="A539" s="26"/>
      <c r="B539" s="97"/>
      <c r="C539" s="97"/>
      <c r="D539" s="97"/>
      <c r="E539" s="97"/>
      <c r="F539" s="97"/>
      <c r="G539" s="97"/>
      <c r="H539" s="97"/>
      <c r="I539" s="98"/>
      <c r="J539" s="97" t="s">
        <v>284</v>
      </c>
      <c r="K539" s="27"/>
      <c r="L539" s="31"/>
      <c r="M539" s="563" t="s">
        <v>285</v>
      </c>
      <c r="N539" s="564"/>
      <c r="O539" s="198"/>
      <c r="P539" s="190"/>
      <c r="Q539" s="28">
        <v>4000000</v>
      </c>
      <c r="R539" s="29">
        <f>Q539/Q$535*100</f>
        <v>2.9717682020802374</v>
      </c>
      <c r="S539" s="29">
        <v>100</v>
      </c>
      <c r="T539" s="28">
        <f t="shared" si="100"/>
        <v>0</v>
      </c>
      <c r="U539" s="28">
        <f t="shared" si="111"/>
        <v>0</v>
      </c>
      <c r="V539" s="87">
        <f t="shared" si="89"/>
        <v>100</v>
      </c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>
        <v>0</v>
      </c>
      <c r="AJ539" s="29">
        <f t="shared" si="128"/>
        <v>0</v>
      </c>
      <c r="AK539" s="136">
        <f t="shared" si="134"/>
        <v>4000000</v>
      </c>
      <c r="AL539" s="29">
        <f t="shared" si="132"/>
        <v>100</v>
      </c>
      <c r="AM539" s="26"/>
    </row>
    <row r="540" spans="1:39" ht="24.75" customHeight="1" x14ac:dyDescent="0.25">
      <c r="A540" s="26"/>
      <c r="B540" s="97"/>
      <c r="C540" s="97"/>
      <c r="D540" s="97"/>
      <c r="E540" s="97"/>
      <c r="F540" s="97"/>
      <c r="G540" s="97"/>
      <c r="H540" s="97"/>
      <c r="I540" s="98"/>
      <c r="J540" s="97" t="s">
        <v>309</v>
      </c>
      <c r="K540" s="27"/>
      <c r="L540" s="31"/>
      <c r="M540" s="563" t="s">
        <v>310</v>
      </c>
      <c r="N540" s="564"/>
      <c r="O540" s="198"/>
      <c r="P540" s="190"/>
      <c r="Q540" s="28">
        <v>126600000</v>
      </c>
      <c r="R540" s="29">
        <f>Q540/Q$535*100</f>
        <v>94.056463595839517</v>
      </c>
      <c r="S540" s="29">
        <v>100</v>
      </c>
      <c r="T540" s="28">
        <f t="shared" si="100"/>
        <v>0</v>
      </c>
      <c r="U540" s="28">
        <f t="shared" si="111"/>
        <v>0</v>
      </c>
      <c r="V540" s="87">
        <f t="shared" si="89"/>
        <v>100</v>
      </c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>
        <v>0</v>
      </c>
      <c r="AJ540" s="29">
        <f t="shared" si="128"/>
        <v>0</v>
      </c>
      <c r="AK540" s="136">
        <f t="shared" si="134"/>
        <v>126600000</v>
      </c>
      <c r="AL540" s="29">
        <f t="shared" si="132"/>
        <v>100</v>
      </c>
      <c r="AM540" s="26"/>
    </row>
    <row r="541" spans="1:39" s="41" customFormat="1" ht="29.25" customHeight="1" x14ac:dyDescent="0.25">
      <c r="A541" s="21">
        <f>A535+1</f>
        <v>63</v>
      </c>
      <c r="B541" s="543" t="s">
        <v>158</v>
      </c>
      <c r="C541" s="543"/>
      <c r="D541" s="543"/>
      <c r="E541" s="543"/>
      <c r="F541" s="543"/>
      <c r="G541" s="543"/>
      <c r="H541" s="543"/>
      <c r="I541" s="544"/>
      <c r="J541" s="122" t="s">
        <v>519</v>
      </c>
      <c r="K541" s="22"/>
      <c r="L541" s="72"/>
      <c r="M541" s="566" t="s">
        <v>164</v>
      </c>
      <c r="N541" s="566"/>
      <c r="O541" s="197">
        <v>355300000</v>
      </c>
      <c r="P541" s="189">
        <v>0</v>
      </c>
      <c r="Q541" s="23">
        <f>SUM(Q542:Q553)</f>
        <v>242640000</v>
      </c>
      <c r="R541" s="24">
        <f>Q541/Q$216*100</f>
        <v>1.5462460983455071</v>
      </c>
      <c r="S541" s="24">
        <v>100</v>
      </c>
      <c r="T541" s="23">
        <f t="shared" si="100"/>
        <v>0</v>
      </c>
      <c r="U541" s="23">
        <f t="shared" si="111"/>
        <v>0</v>
      </c>
      <c r="V541" s="90">
        <f t="shared" si="89"/>
        <v>100</v>
      </c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 t="e">
        <f>[2]april!N85</f>
        <v>#REF!</v>
      </c>
      <c r="AH541" s="23">
        <f>'[3]DES SKPD'!$N85</f>
        <v>78380000</v>
      </c>
      <c r="AI541" s="23">
        <f>SUM(AI542:AI552)</f>
        <v>0</v>
      </c>
      <c r="AJ541" s="24">
        <f t="shared" si="128"/>
        <v>0</v>
      </c>
      <c r="AK541" s="134">
        <f t="shared" si="134"/>
        <v>242640000</v>
      </c>
      <c r="AL541" s="24">
        <f t="shared" si="132"/>
        <v>100</v>
      </c>
      <c r="AM541" s="21"/>
    </row>
    <row r="542" spans="1:39" ht="29.25" customHeight="1" x14ac:dyDescent="0.25">
      <c r="A542" s="26"/>
      <c r="B542" s="97"/>
      <c r="C542" s="97"/>
      <c r="D542" s="97"/>
      <c r="E542" s="97"/>
      <c r="F542" s="97"/>
      <c r="G542" s="97"/>
      <c r="H542" s="97"/>
      <c r="I542" s="98"/>
      <c r="J542" s="97" t="s">
        <v>257</v>
      </c>
      <c r="K542" s="27"/>
      <c r="L542" s="31"/>
      <c r="M542" s="563" t="s">
        <v>258</v>
      </c>
      <c r="N542" s="564"/>
      <c r="O542" s="198"/>
      <c r="P542" s="190"/>
      <c r="Q542" s="28">
        <v>3360000</v>
      </c>
      <c r="R542" s="29">
        <f>Q542/Q$541*100</f>
        <v>1.3847675568743818</v>
      </c>
      <c r="S542" s="29">
        <v>100</v>
      </c>
      <c r="T542" s="28">
        <f t="shared" si="100"/>
        <v>0</v>
      </c>
      <c r="U542" s="28">
        <f t="shared" si="111"/>
        <v>0</v>
      </c>
      <c r="V542" s="87">
        <f t="shared" si="89"/>
        <v>100</v>
      </c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>
        <v>0</v>
      </c>
      <c r="AJ542" s="29">
        <f t="shared" si="128"/>
        <v>0</v>
      </c>
      <c r="AK542" s="28">
        <f>SUM(Q542-AI542)</f>
        <v>3360000</v>
      </c>
      <c r="AL542" s="29">
        <f t="shared" si="132"/>
        <v>100</v>
      </c>
      <c r="AM542" s="26"/>
    </row>
    <row r="543" spans="1:39" ht="29.25" customHeight="1" x14ac:dyDescent="0.25">
      <c r="A543" s="26"/>
      <c r="B543" s="97"/>
      <c r="C543" s="97"/>
      <c r="D543" s="97"/>
      <c r="E543" s="97"/>
      <c r="F543" s="97"/>
      <c r="G543" s="97"/>
      <c r="H543" s="97"/>
      <c r="I543" s="98"/>
      <c r="J543" s="97" t="s">
        <v>259</v>
      </c>
      <c r="K543" s="27"/>
      <c r="L543" s="31"/>
      <c r="M543" s="563" t="s">
        <v>260</v>
      </c>
      <c r="N543" s="564"/>
      <c r="O543" s="198"/>
      <c r="P543" s="190"/>
      <c r="Q543" s="28">
        <v>1300000</v>
      </c>
      <c r="R543" s="29">
        <f t="shared" ref="R543:R553" si="135">Q543/Q$541*100</f>
        <v>0.5357731618859215</v>
      </c>
      <c r="S543" s="29">
        <v>100</v>
      </c>
      <c r="T543" s="28">
        <f t="shared" si="100"/>
        <v>0</v>
      </c>
      <c r="U543" s="28">
        <f t="shared" si="111"/>
        <v>0</v>
      </c>
      <c r="V543" s="87">
        <f t="shared" si="89"/>
        <v>100</v>
      </c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>
        <v>0</v>
      </c>
      <c r="AJ543" s="29">
        <f t="shared" si="128"/>
        <v>0</v>
      </c>
      <c r="AK543" s="28">
        <f t="shared" ref="AK543:AK553" si="136">SUM(Q543-AI543)</f>
        <v>1300000</v>
      </c>
      <c r="AL543" s="29">
        <f t="shared" si="132"/>
        <v>100</v>
      </c>
      <c r="AM543" s="26"/>
    </row>
    <row r="544" spans="1:39" ht="29.25" customHeight="1" x14ac:dyDescent="0.25">
      <c r="A544" s="26"/>
      <c r="B544" s="97"/>
      <c r="C544" s="97"/>
      <c r="D544" s="97"/>
      <c r="E544" s="97"/>
      <c r="F544" s="97"/>
      <c r="G544" s="97"/>
      <c r="H544" s="97"/>
      <c r="I544" s="98"/>
      <c r="J544" s="97" t="s">
        <v>332</v>
      </c>
      <c r="K544" s="27"/>
      <c r="L544" s="31"/>
      <c r="M544" s="563" t="s">
        <v>351</v>
      </c>
      <c r="N544" s="564"/>
      <c r="O544" s="198"/>
      <c r="P544" s="190"/>
      <c r="Q544" s="28">
        <v>1400000</v>
      </c>
      <c r="R544" s="29">
        <f t="shared" si="135"/>
        <v>0.57698648203099245</v>
      </c>
      <c r="S544" s="29">
        <v>100</v>
      </c>
      <c r="T544" s="28">
        <f t="shared" si="100"/>
        <v>0</v>
      </c>
      <c r="U544" s="28">
        <f t="shared" si="111"/>
        <v>0</v>
      </c>
      <c r="V544" s="87">
        <f t="shared" si="89"/>
        <v>100</v>
      </c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>
        <v>0</v>
      </c>
      <c r="AJ544" s="29">
        <f t="shared" si="128"/>
        <v>0</v>
      </c>
      <c r="AK544" s="28">
        <f t="shared" si="136"/>
        <v>1400000</v>
      </c>
      <c r="AL544" s="29">
        <f t="shared" si="132"/>
        <v>100</v>
      </c>
      <c r="AM544" s="26"/>
    </row>
    <row r="545" spans="1:39" ht="29.25" customHeight="1" x14ac:dyDescent="0.25">
      <c r="A545" s="26"/>
      <c r="B545" s="97"/>
      <c r="C545" s="97"/>
      <c r="D545" s="97"/>
      <c r="E545" s="97"/>
      <c r="F545" s="97"/>
      <c r="G545" s="97"/>
      <c r="H545" s="97"/>
      <c r="I545" s="98"/>
      <c r="J545" s="97" t="s">
        <v>374</v>
      </c>
      <c r="K545" s="27"/>
      <c r="L545" s="31"/>
      <c r="M545" s="563" t="s">
        <v>354</v>
      </c>
      <c r="N545" s="564"/>
      <c r="O545" s="198"/>
      <c r="P545" s="190"/>
      <c r="Q545" s="28">
        <v>75000000</v>
      </c>
      <c r="R545" s="29">
        <f t="shared" si="135"/>
        <v>30.909990108803164</v>
      </c>
      <c r="S545" s="29">
        <v>100</v>
      </c>
      <c r="T545" s="28">
        <f t="shared" si="100"/>
        <v>0</v>
      </c>
      <c r="U545" s="28">
        <f t="shared" si="111"/>
        <v>0</v>
      </c>
      <c r="V545" s="87">
        <f t="shared" si="89"/>
        <v>100</v>
      </c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>
        <v>0</v>
      </c>
      <c r="AJ545" s="29">
        <f t="shared" si="128"/>
        <v>0</v>
      </c>
      <c r="AK545" s="28">
        <f t="shared" si="136"/>
        <v>75000000</v>
      </c>
      <c r="AL545" s="29">
        <f t="shared" si="132"/>
        <v>100</v>
      </c>
      <c r="AM545" s="26"/>
    </row>
    <row r="546" spans="1:39" ht="29.25" customHeight="1" x14ac:dyDescent="0.25">
      <c r="A546" s="26"/>
      <c r="B546" s="97"/>
      <c r="C546" s="97"/>
      <c r="D546" s="97"/>
      <c r="E546" s="97"/>
      <c r="F546" s="97"/>
      <c r="G546" s="97"/>
      <c r="H546" s="97"/>
      <c r="I546" s="98"/>
      <c r="J546" s="97" t="s">
        <v>316</v>
      </c>
      <c r="K546" s="27"/>
      <c r="L546" s="31"/>
      <c r="M546" s="563" t="s">
        <v>317</v>
      </c>
      <c r="N546" s="564"/>
      <c r="O546" s="198"/>
      <c r="P546" s="190"/>
      <c r="Q546" s="28">
        <v>6600000</v>
      </c>
      <c r="R546" s="29">
        <f t="shared" si="135"/>
        <v>2.7200791295746787</v>
      </c>
      <c r="S546" s="29">
        <v>100</v>
      </c>
      <c r="T546" s="28">
        <f t="shared" si="100"/>
        <v>0</v>
      </c>
      <c r="U546" s="28">
        <f t="shared" si="111"/>
        <v>0</v>
      </c>
      <c r="V546" s="87">
        <f t="shared" si="89"/>
        <v>100</v>
      </c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>
        <v>0</v>
      </c>
      <c r="AJ546" s="29">
        <f t="shared" si="128"/>
        <v>0</v>
      </c>
      <c r="AK546" s="28">
        <f t="shared" si="136"/>
        <v>6600000</v>
      </c>
      <c r="AL546" s="29">
        <f t="shared" si="132"/>
        <v>100</v>
      </c>
      <c r="AM546" s="26"/>
    </row>
    <row r="547" spans="1:39" ht="29.25" customHeight="1" x14ac:dyDescent="0.25">
      <c r="A547" s="26"/>
      <c r="B547" s="97"/>
      <c r="C547" s="97"/>
      <c r="D547" s="97"/>
      <c r="E547" s="97"/>
      <c r="F547" s="97"/>
      <c r="G547" s="97"/>
      <c r="H547" s="97"/>
      <c r="I547" s="98"/>
      <c r="J547" s="97" t="s">
        <v>318</v>
      </c>
      <c r="K547" s="27"/>
      <c r="L547" s="31"/>
      <c r="M547" s="563" t="s">
        <v>319</v>
      </c>
      <c r="N547" s="564"/>
      <c r="O547" s="198"/>
      <c r="P547" s="190"/>
      <c r="Q547" s="28">
        <v>35000000</v>
      </c>
      <c r="R547" s="29">
        <f t="shared" si="135"/>
        <v>14.424662050774812</v>
      </c>
      <c r="S547" s="29">
        <v>100</v>
      </c>
      <c r="T547" s="28">
        <f t="shared" si="100"/>
        <v>0</v>
      </c>
      <c r="U547" s="28">
        <f t="shared" si="111"/>
        <v>0</v>
      </c>
      <c r="V547" s="87">
        <f t="shared" si="89"/>
        <v>100</v>
      </c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>
        <v>0</v>
      </c>
      <c r="AJ547" s="29">
        <f t="shared" si="128"/>
        <v>0</v>
      </c>
      <c r="AK547" s="28">
        <f t="shared" si="136"/>
        <v>35000000</v>
      </c>
      <c r="AL547" s="29">
        <f t="shared" si="132"/>
        <v>100</v>
      </c>
      <c r="AM547" s="26"/>
    </row>
    <row r="548" spans="1:39" ht="29.25" customHeight="1" x14ac:dyDescent="0.25">
      <c r="A548" s="26"/>
      <c r="B548" s="97"/>
      <c r="C548" s="97"/>
      <c r="D548" s="97"/>
      <c r="E548" s="97"/>
      <c r="F548" s="97"/>
      <c r="G548" s="97"/>
      <c r="H548" s="97"/>
      <c r="I548" s="98"/>
      <c r="J548" s="97" t="s">
        <v>280</v>
      </c>
      <c r="K548" s="27"/>
      <c r="L548" s="31"/>
      <c r="M548" s="563" t="s">
        <v>281</v>
      </c>
      <c r="N548" s="564"/>
      <c r="O548" s="198"/>
      <c r="P548" s="190"/>
      <c r="Q548" s="28">
        <v>1250000</v>
      </c>
      <c r="R548" s="29">
        <f t="shared" si="135"/>
        <v>0.51516650181338608</v>
      </c>
      <c r="S548" s="29">
        <v>100</v>
      </c>
      <c r="T548" s="28">
        <f t="shared" si="100"/>
        <v>0</v>
      </c>
      <c r="U548" s="28">
        <f t="shared" si="111"/>
        <v>0</v>
      </c>
      <c r="V548" s="87">
        <f t="shared" ref="V548:V685" si="137">S548-T548</f>
        <v>100</v>
      </c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>
        <v>0</v>
      </c>
      <c r="AJ548" s="29">
        <f t="shared" si="128"/>
        <v>0</v>
      </c>
      <c r="AK548" s="28">
        <f t="shared" si="136"/>
        <v>1250000</v>
      </c>
      <c r="AL548" s="29">
        <f t="shared" si="132"/>
        <v>100</v>
      </c>
      <c r="AM548" s="26"/>
    </row>
    <row r="549" spans="1:39" ht="29.25" customHeight="1" x14ac:dyDescent="0.25">
      <c r="A549" s="26"/>
      <c r="B549" s="97"/>
      <c r="C549" s="97"/>
      <c r="D549" s="97"/>
      <c r="E549" s="97"/>
      <c r="F549" s="97"/>
      <c r="G549" s="97"/>
      <c r="H549" s="97"/>
      <c r="I549" s="98"/>
      <c r="J549" s="97" t="s">
        <v>284</v>
      </c>
      <c r="K549" s="27"/>
      <c r="L549" s="31"/>
      <c r="M549" s="563" t="s">
        <v>285</v>
      </c>
      <c r="N549" s="564"/>
      <c r="O549" s="198"/>
      <c r="P549" s="190"/>
      <c r="Q549" s="28">
        <v>10000000</v>
      </c>
      <c r="R549" s="29">
        <f t="shared" si="135"/>
        <v>4.1213320145070886</v>
      </c>
      <c r="S549" s="29">
        <v>100</v>
      </c>
      <c r="T549" s="28">
        <f t="shared" si="100"/>
        <v>0</v>
      </c>
      <c r="U549" s="28">
        <f t="shared" si="111"/>
        <v>0</v>
      </c>
      <c r="V549" s="87">
        <f t="shared" si="137"/>
        <v>100</v>
      </c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>
        <v>0</v>
      </c>
      <c r="AJ549" s="29">
        <f t="shared" si="128"/>
        <v>0</v>
      </c>
      <c r="AK549" s="28">
        <f t="shared" si="136"/>
        <v>10000000</v>
      </c>
      <c r="AL549" s="29">
        <f t="shared" si="132"/>
        <v>100</v>
      </c>
      <c r="AM549" s="26"/>
    </row>
    <row r="550" spans="1:39" ht="29.25" customHeight="1" x14ac:dyDescent="0.25">
      <c r="A550" s="26"/>
      <c r="B550" s="97"/>
      <c r="C550" s="97"/>
      <c r="D550" s="97"/>
      <c r="E550" s="97"/>
      <c r="F550" s="97"/>
      <c r="G550" s="97"/>
      <c r="H550" s="97"/>
      <c r="I550" s="98"/>
      <c r="J550" s="97" t="s">
        <v>282</v>
      </c>
      <c r="K550" s="27"/>
      <c r="L550" s="31"/>
      <c r="M550" s="563" t="s">
        <v>283</v>
      </c>
      <c r="N550" s="564"/>
      <c r="O550" s="198"/>
      <c r="P550" s="190"/>
      <c r="Q550" s="28">
        <v>67180000</v>
      </c>
      <c r="R550" s="29">
        <f t="shared" si="135"/>
        <v>27.687108473458622</v>
      </c>
      <c r="S550" s="29">
        <v>100</v>
      </c>
      <c r="T550" s="28">
        <f t="shared" si="100"/>
        <v>0</v>
      </c>
      <c r="U550" s="28">
        <f t="shared" si="111"/>
        <v>0</v>
      </c>
      <c r="V550" s="87">
        <f t="shared" si="137"/>
        <v>100</v>
      </c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>
        <v>0</v>
      </c>
      <c r="AJ550" s="29">
        <f t="shared" si="128"/>
        <v>0</v>
      </c>
      <c r="AK550" s="28">
        <f t="shared" si="136"/>
        <v>67180000</v>
      </c>
      <c r="AL550" s="29">
        <f t="shared" si="132"/>
        <v>100</v>
      </c>
      <c r="AM550" s="26"/>
    </row>
    <row r="551" spans="1:39" ht="29.25" customHeight="1" x14ac:dyDescent="0.25">
      <c r="A551" s="26"/>
      <c r="B551" s="97"/>
      <c r="C551" s="97"/>
      <c r="D551" s="97"/>
      <c r="E551" s="97"/>
      <c r="F551" s="97"/>
      <c r="G551" s="97"/>
      <c r="H551" s="97"/>
      <c r="I551" s="98"/>
      <c r="J551" s="97" t="s">
        <v>320</v>
      </c>
      <c r="K551" s="27"/>
      <c r="L551" s="31"/>
      <c r="M551" s="563" t="s">
        <v>321</v>
      </c>
      <c r="N551" s="564"/>
      <c r="O551" s="198"/>
      <c r="P551" s="190"/>
      <c r="Q551" s="28">
        <v>10100000</v>
      </c>
      <c r="R551" s="29">
        <f t="shared" si="135"/>
        <v>4.1625453346521599</v>
      </c>
      <c r="S551" s="29">
        <v>100</v>
      </c>
      <c r="T551" s="28">
        <f t="shared" si="100"/>
        <v>0</v>
      </c>
      <c r="U551" s="28">
        <f t="shared" si="111"/>
        <v>0</v>
      </c>
      <c r="V551" s="87">
        <f t="shared" si="137"/>
        <v>100</v>
      </c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>
        <v>0</v>
      </c>
      <c r="AJ551" s="29">
        <f t="shared" si="128"/>
        <v>0</v>
      </c>
      <c r="AK551" s="28">
        <f t="shared" si="136"/>
        <v>10100000</v>
      </c>
      <c r="AL551" s="29">
        <f t="shared" si="132"/>
        <v>100</v>
      </c>
      <c r="AM551" s="26"/>
    </row>
    <row r="552" spans="1:39" ht="29.25" customHeight="1" x14ac:dyDescent="0.25">
      <c r="A552" s="26"/>
      <c r="B552" s="97"/>
      <c r="C552" s="97"/>
      <c r="D552" s="97"/>
      <c r="E552" s="97"/>
      <c r="F552" s="97"/>
      <c r="G552" s="97"/>
      <c r="H552" s="97"/>
      <c r="I552" s="98"/>
      <c r="J552" s="97" t="s">
        <v>309</v>
      </c>
      <c r="K552" s="27"/>
      <c r="L552" s="31"/>
      <c r="M552" s="563" t="s">
        <v>310</v>
      </c>
      <c r="N552" s="564"/>
      <c r="O552" s="198"/>
      <c r="P552" s="190"/>
      <c r="Q552" s="28">
        <v>1450000</v>
      </c>
      <c r="R552" s="29">
        <f t="shared" si="135"/>
        <v>0.59759314210352787</v>
      </c>
      <c r="S552" s="29">
        <v>100</v>
      </c>
      <c r="T552" s="28">
        <f t="shared" si="100"/>
        <v>0</v>
      </c>
      <c r="U552" s="28">
        <f t="shared" si="111"/>
        <v>0</v>
      </c>
      <c r="V552" s="87">
        <f t="shared" si="137"/>
        <v>100</v>
      </c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>
        <v>0</v>
      </c>
      <c r="AJ552" s="29">
        <f t="shared" si="128"/>
        <v>0</v>
      </c>
      <c r="AK552" s="28">
        <f t="shared" si="136"/>
        <v>1450000</v>
      </c>
      <c r="AL552" s="29">
        <f t="shared" si="132"/>
        <v>100</v>
      </c>
      <c r="AM552" s="26"/>
    </row>
    <row r="553" spans="1:39" ht="29.25" customHeight="1" x14ac:dyDescent="0.25">
      <c r="A553" s="26"/>
      <c r="B553" s="97"/>
      <c r="C553" s="97"/>
      <c r="D553" s="97"/>
      <c r="E553" s="97"/>
      <c r="F553" s="97"/>
      <c r="G553" s="97"/>
      <c r="H553" s="97"/>
      <c r="I553" s="98"/>
      <c r="J553" s="97" t="s">
        <v>372</v>
      </c>
      <c r="K553" s="27"/>
      <c r="L553" s="31"/>
      <c r="M553" s="563" t="s">
        <v>373</v>
      </c>
      <c r="N553" s="564"/>
      <c r="O553" s="198"/>
      <c r="P553" s="190"/>
      <c r="Q553" s="28">
        <v>30000000</v>
      </c>
      <c r="R553" s="29">
        <f t="shared" si="135"/>
        <v>12.363996043521267</v>
      </c>
      <c r="S553" s="29"/>
      <c r="T553" s="28">
        <f t="shared" si="100"/>
        <v>0</v>
      </c>
      <c r="U553" s="28">
        <f t="shared" si="111"/>
        <v>0</v>
      </c>
      <c r="V553" s="87">
        <f t="shared" si="137"/>
        <v>0</v>
      </c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>
        <v>0</v>
      </c>
      <c r="AJ553" s="29">
        <f t="shared" si="128"/>
        <v>0</v>
      </c>
      <c r="AK553" s="28">
        <f t="shared" si="136"/>
        <v>30000000</v>
      </c>
      <c r="AL553" s="29">
        <f t="shared" si="132"/>
        <v>100</v>
      </c>
      <c r="AM553" s="26"/>
    </row>
    <row r="554" spans="1:39" s="41" customFormat="1" ht="31.5" customHeight="1" x14ac:dyDescent="0.25">
      <c r="A554" s="21">
        <f>A541+1</f>
        <v>64</v>
      </c>
      <c r="B554" s="543" t="s">
        <v>158</v>
      </c>
      <c r="C554" s="543"/>
      <c r="D554" s="543"/>
      <c r="E554" s="543"/>
      <c r="F554" s="543"/>
      <c r="G554" s="543"/>
      <c r="H554" s="543"/>
      <c r="I554" s="544"/>
      <c r="J554" s="122" t="s">
        <v>520</v>
      </c>
      <c r="K554" s="22"/>
      <c r="L554" s="72"/>
      <c r="M554" s="566" t="s">
        <v>165</v>
      </c>
      <c r="N554" s="566"/>
      <c r="O554" s="197">
        <v>355300000</v>
      </c>
      <c r="P554" s="189">
        <v>0</v>
      </c>
      <c r="Q554" s="23">
        <f>SUM(Q555:Q562)</f>
        <v>224400000</v>
      </c>
      <c r="R554" s="24">
        <f>Q554/Q$216*100</f>
        <v>1.4300099920406026</v>
      </c>
      <c r="S554" s="24">
        <v>100</v>
      </c>
      <c r="T554" s="23">
        <f t="shared" si="100"/>
        <v>0</v>
      </c>
      <c r="U554" s="23">
        <f t="shared" si="111"/>
        <v>0</v>
      </c>
      <c r="V554" s="90">
        <f t="shared" si="137"/>
        <v>100</v>
      </c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 t="e">
        <f>[2]april!N86</f>
        <v>#REF!</v>
      </c>
      <c r="AH554" s="23">
        <f>'[3]DES SKPD'!$N86</f>
        <v>126710000</v>
      </c>
      <c r="AI554" s="23">
        <f>SUM(AI555:AI562)</f>
        <v>0</v>
      </c>
      <c r="AJ554" s="24">
        <f t="shared" si="128"/>
        <v>0</v>
      </c>
      <c r="AK554" s="134">
        <f>Q554-AI554</f>
        <v>224400000</v>
      </c>
      <c r="AL554" s="24">
        <f t="shared" si="132"/>
        <v>100</v>
      </c>
      <c r="AM554" s="21"/>
    </row>
    <row r="555" spans="1:39" ht="42.75" customHeight="1" x14ac:dyDescent="0.25">
      <c r="A555" s="26"/>
      <c r="B555" s="97"/>
      <c r="C555" s="97"/>
      <c r="D555" s="97"/>
      <c r="E555" s="97"/>
      <c r="F555" s="97"/>
      <c r="G555" s="97"/>
      <c r="H555" s="97"/>
      <c r="I555" s="98"/>
      <c r="J555" s="97" t="s">
        <v>345</v>
      </c>
      <c r="K555" s="27"/>
      <c r="L555" s="31"/>
      <c r="M555" s="563" t="s">
        <v>346</v>
      </c>
      <c r="N555" s="564"/>
      <c r="O555" s="198"/>
      <c r="P555" s="190"/>
      <c r="Q555" s="28">
        <v>25200000</v>
      </c>
      <c r="R555" s="29">
        <f>Q555/Q$554*100</f>
        <v>11.229946524064172</v>
      </c>
      <c r="S555" s="29">
        <v>100</v>
      </c>
      <c r="T555" s="28">
        <f t="shared" si="100"/>
        <v>0</v>
      </c>
      <c r="U555" s="28">
        <f t="shared" si="111"/>
        <v>0</v>
      </c>
      <c r="V555" s="87">
        <f t="shared" si="137"/>
        <v>100</v>
      </c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>
        <v>0</v>
      </c>
      <c r="AJ555" s="29">
        <f t="shared" si="128"/>
        <v>0</v>
      </c>
      <c r="AK555" s="136">
        <f>SUM(Q555-AI555)</f>
        <v>25200000</v>
      </c>
      <c r="AL555" s="29">
        <f t="shared" si="132"/>
        <v>100</v>
      </c>
      <c r="AM555" s="26"/>
    </row>
    <row r="556" spans="1:39" ht="24.75" customHeight="1" x14ac:dyDescent="0.25">
      <c r="A556" s="26"/>
      <c r="B556" s="97"/>
      <c r="C556" s="97"/>
      <c r="D556" s="97"/>
      <c r="E556" s="97"/>
      <c r="F556" s="97"/>
      <c r="G556" s="97"/>
      <c r="H556" s="97"/>
      <c r="I556" s="98"/>
      <c r="J556" s="97" t="s">
        <v>315</v>
      </c>
      <c r="K556" s="27"/>
      <c r="L556" s="31"/>
      <c r="M556" s="563" t="s">
        <v>271</v>
      </c>
      <c r="N556" s="564"/>
      <c r="O556" s="198"/>
      <c r="P556" s="190"/>
      <c r="Q556" s="28">
        <v>1200000</v>
      </c>
      <c r="R556" s="29">
        <f t="shared" ref="R556:R562" si="138">Q556/Q$554*100</f>
        <v>0.53475935828876997</v>
      </c>
      <c r="S556" s="29">
        <v>100</v>
      </c>
      <c r="T556" s="28">
        <f t="shared" si="100"/>
        <v>0</v>
      </c>
      <c r="U556" s="28">
        <f t="shared" si="111"/>
        <v>0</v>
      </c>
      <c r="V556" s="87">
        <f t="shared" si="137"/>
        <v>100</v>
      </c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>
        <v>0</v>
      </c>
      <c r="AJ556" s="29">
        <f t="shared" si="128"/>
        <v>0</v>
      </c>
      <c r="AK556" s="136">
        <f t="shared" ref="AK556:AK562" si="139">SUM(Q556-AI556)</f>
        <v>1200000</v>
      </c>
      <c r="AL556" s="29">
        <f t="shared" si="132"/>
        <v>100</v>
      </c>
      <c r="AM556" s="26"/>
    </row>
    <row r="557" spans="1:39" ht="24.75" customHeight="1" x14ac:dyDescent="0.25">
      <c r="A557" s="26"/>
      <c r="B557" s="97"/>
      <c r="C557" s="97"/>
      <c r="D557" s="97"/>
      <c r="E557" s="97"/>
      <c r="F557" s="97"/>
      <c r="G557" s="97"/>
      <c r="H557" s="97"/>
      <c r="I557" s="98"/>
      <c r="J557" s="97" t="s">
        <v>316</v>
      </c>
      <c r="K557" s="27"/>
      <c r="L557" s="31"/>
      <c r="M557" s="563" t="s">
        <v>317</v>
      </c>
      <c r="N557" s="564"/>
      <c r="O557" s="198"/>
      <c r="P557" s="190"/>
      <c r="Q557" s="28">
        <v>3600000</v>
      </c>
      <c r="R557" s="29">
        <f t="shared" si="138"/>
        <v>1.6042780748663104</v>
      </c>
      <c r="S557" s="29">
        <v>100</v>
      </c>
      <c r="T557" s="28">
        <f t="shared" si="100"/>
        <v>0</v>
      </c>
      <c r="U557" s="28">
        <f t="shared" si="111"/>
        <v>0</v>
      </c>
      <c r="V557" s="87">
        <f t="shared" si="137"/>
        <v>100</v>
      </c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>
        <v>0</v>
      </c>
      <c r="AJ557" s="29">
        <f t="shared" si="128"/>
        <v>0</v>
      </c>
      <c r="AK557" s="136">
        <f t="shared" si="139"/>
        <v>3600000</v>
      </c>
      <c r="AL557" s="29">
        <f t="shared" si="132"/>
        <v>100</v>
      </c>
      <c r="AM557" s="26"/>
    </row>
    <row r="558" spans="1:39" ht="24.75" customHeight="1" x14ac:dyDescent="0.25">
      <c r="A558" s="26"/>
      <c r="B558" s="97"/>
      <c r="C558" s="97"/>
      <c r="D558" s="97"/>
      <c r="E558" s="97"/>
      <c r="F558" s="97"/>
      <c r="G558" s="97"/>
      <c r="H558" s="97"/>
      <c r="I558" s="98"/>
      <c r="J558" s="97" t="s">
        <v>370</v>
      </c>
      <c r="K558" s="27"/>
      <c r="L558" s="31"/>
      <c r="M558" s="563" t="s">
        <v>371</v>
      </c>
      <c r="N558" s="564"/>
      <c r="O558" s="198"/>
      <c r="P558" s="190"/>
      <c r="Q558" s="28">
        <v>30000000</v>
      </c>
      <c r="R558" s="29">
        <f t="shared" si="138"/>
        <v>13.368983957219251</v>
      </c>
      <c r="S558" s="29">
        <v>100</v>
      </c>
      <c r="T558" s="28">
        <f t="shared" si="100"/>
        <v>0</v>
      </c>
      <c r="U558" s="28">
        <f t="shared" si="111"/>
        <v>0</v>
      </c>
      <c r="V558" s="87">
        <f t="shared" si="137"/>
        <v>100</v>
      </c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>
        <v>0</v>
      </c>
      <c r="AJ558" s="29">
        <f t="shared" si="128"/>
        <v>0</v>
      </c>
      <c r="AK558" s="136">
        <f t="shared" si="139"/>
        <v>30000000</v>
      </c>
      <c r="AL558" s="29">
        <f t="shared" si="132"/>
        <v>100</v>
      </c>
      <c r="AM558" s="26"/>
    </row>
    <row r="559" spans="1:39" ht="30" customHeight="1" x14ac:dyDescent="0.25">
      <c r="A559" s="26"/>
      <c r="B559" s="97"/>
      <c r="C559" s="97"/>
      <c r="D559" s="97"/>
      <c r="E559" s="97"/>
      <c r="F559" s="97"/>
      <c r="G559" s="97"/>
      <c r="H559" s="97"/>
      <c r="I559" s="98"/>
      <c r="J559" s="97" t="s">
        <v>339</v>
      </c>
      <c r="K559" s="27"/>
      <c r="L559" s="31"/>
      <c r="M559" s="563" t="s">
        <v>340</v>
      </c>
      <c r="N559" s="564"/>
      <c r="O559" s="198"/>
      <c r="P559" s="190"/>
      <c r="Q559" s="28">
        <v>36000000</v>
      </c>
      <c r="R559" s="29">
        <f t="shared" si="138"/>
        <v>16.042780748663102</v>
      </c>
      <c r="S559" s="29">
        <v>100</v>
      </c>
      <c r="T559" s="28">
        <f t="shared" si="100"/>
        <v>0</v>
      </c>
      <c r="U559" s="28">
        <f t="shared" si="111"/>
        <v>0</v>
      </c>
      <c r="V559" s="87">
        <f t="shared" si="137"/>
        <v>100</v>
      </c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>
        <v>0</v>
      </c>
      <c r="AJ559" s="29">
        <f t="shared" si="128"/>
        <v>0</v>
      </c>
      <c r="AK559" s="136">
        <f t="shared" si="139"/>
        <v>36000000</v>
      </c>
      <c r="AL559" s="29">
        <f t="shared" si="132"/>
        <v>100</v>
      </c>
      <c r="AM559" s="26"/>
    </row>
    <row r="560" spans="1:39" ht="24.75" customHeight="1" x14ac:dyDescent="0.25">
      <c r="A560" s="26"/>
      <c r="B560" s="97"/>
      <c r="C560" s="97"/>
      <c r="D560" s="97"/>
      <c r="E560" s="97"/>
      <c r="F560" s="97"/>
      <c r="G560" s="97"/>
      <c r="H560" s="97"/>
      <c r="I560" s="98"/>
      <c r="J560" s="97" t="s">
        <v>320</v>
      </c>
      <c r="K560" s="27"/>
      <c r="L560" s="31"/>
      <c r="M560" s="563" t="s">
        <v>321</v>
      </c>
      <c r="N560" s="564"/>
      <c r="O560" s="198"/>
      <c r="P560" s="190"/>
      <c r="Q560" s="28">
        <v>16800000</v>
      </c>
      <c r="R560" s="29">
        <f t="shared" si="138"/>
        <v>7.4866310160427805</v>
      </c>
      <c r="S560" s="29">
        <v>100</v>
      </c>
      <c r="T560" s="28">
        <f t="shared" si="100"/>
        <v>0</v>
      </c>
      <c r="U560" s="28">
        <f t="shared" si="111"/>
        <v>0</v>
      </c>
      <c r="V560" s="87">
        <f t="shared" si="137"/>
        <v>100</v>
      </c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>
        <v>0</v>
      </c>
      <c r="AJ560" s="29">
        <f t="shared" si="128"/>
        <v>0</v>
      </c>
      <c r="AK560" s="136">
        <f t="shared" si="139"/>
        <v>16800000</v>
      </c>
      <c r="AL560" s="29">
        <f t="shared" si="132"/>
        <v>100</v>
      </c>
      <c r="AM560" s="26"/>
    </row>
    <row r="561" spans="1:39" ht="24.75" customHeight="1" x14ac:dyDescent="0.25">
      <c r="A561" s="26"/>
      <c r="B561" s="97"/>
      <c r="C561" s="97"/>
      <c r="D561" s="97"/>
      <c r="E561" s="97"/>
      <c r="F561" s="97"/>
      <c r="G561" s="97"/>
      <c r="H561" s="97"/>
      <c r="I561" s="98"/>
      <c r="J561" s="97" t="s">
        <v>407</v>
      </c>
      <c r="K561" s="27"/>
      <c r="L561" s="31"/>
      <c r="M561" s="563" t="s">
        <v>414</v>
      </c>
      <c r="N561" s="564"/>
      <c r="O561" s="198"/>
      <c r="P561" s="190"/>
      <c r="Q561" s="28">
        <v>3600000</v>
      </c>
      <c r="R561" s="29">
        <f t="shared" si="138"/>
        <v>1.6042780748663104</v>
      </c>
      <c r="S561" s="29"/>
      <c r="T561" s="28">
        <f t="shared" si="100"/>
        <v>0</v>
      </c>
      <c r="U561" s="28">
        <f t="shared" si="111"/>
        <v>0</v>
      </c>
      <c r="V561" s="87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>
        <v>0</v>
      </c>
      <c r="AJ561" s="29">
        <f t="shared" si="128"/>
        <v>0</v>
      </c>
      <c r="AK561" s="136">
        <f t="shared" si="139"/>
        <v>3600000</v>
      </c>
      <c r="AL561" s="29"/>
      <c r="AM561" s="26"/>
    </row>
    <row r="562" spans="1:39" ht="24.75" customHeight="1" x14ac:dyDescent="0.25">
      <c r="A562" s="26"/>
      <c r="B562" s="97"/>
      <c r="C562" s="97"/>
      <c r="D562" s="97"/>
      <c r="E562" s="97"/>
      <c r="F562" s="97"/>
      <c r="G562" s="97"/>
      <c r="H562" s="97"/>
      <c r="I562" s="98"/>
      <c r="J562" s="97" t="s">
        <v>372</v>
      </c>
      <c r="K562" s="27"/>
      <c r="L562" s="31"/>
      <c r="M562" s="563" t="s">
        <v>373</v>
      </c>
      <c r="N562" s="564"/>
      <c r="O562" s="198"/>
      <c r="P562" s="190"/>
      <c r="Q562" s="28">
        <v>108000000</v>
      </c>
      <c r="R562" s="29">
        <f t="shared" si="138"/>
        <v>48.128342245989302</v>
      </c>
      <c r="S562" s="29">
        <v>100</v>
      </c>
      <c r="T562" s="28">
        <f t="shared" si="100"/>
        <v>0</v>
      </c>
      <c r="U562" s="28">
        <f t="shared" si="111"/>
        <v>0</v>
      </c>
      <c r="V562" s="87">
        <f t="shared" si="137"/>
        <v>100</v>
      </c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>
        <v>0</v>
      </c>
      <c r="AJ562" s="29">
        <f t="shared" si="128"/>
        <v>0</v>
      </c>
      <c r="AK562" s="136">
        <f t="shared" si="139"/>
        <v>108000000</v>
      </c>
      <c r="AL562" s="29">
        <f t="shared" ref="AL562:AL567" si="140">AK562/Q562*100</f>
        <v>100</v>
      </c>
      <c r="AM562" s="26"/>
    </row>
    <row r="563" spans="1:39" s="41" customFormat="1" ht="29.25" customHeight="1" x14ac:dyDescent="0.25">
      <c r="A563" s="21">
        <f>SUM(A554+1)</f>
        <v>65</v>
      </c>
      <c r="B563" s="99"/>
      <c r="C563" s="99"/>
      <c r="D563" s="99"/>
      <c r="E563" s="99"/>
      <c r="F563" s="99"/>
      <c r="G563" s="99"/>
      <c r="H563" s="99"/>
      <c r="I563" s="100"/>
      <c r="J563" s="122" t="s">
        <v>521</v>
      </c>
      <c r="K563" s="22"/>
      <c r="L563" s="72"/>
      <c r="M563" s="568" t="s">
        <v>201</v>
      </c>
      <c r="N563" s="546"/>
      <c r="O563" s="197"/>
      <c r="P563" s="189"/>
      <c r="Q563" s="23">
        <f>SUM(Q564:Q570)</f>
        <v>121000000</v>
      </c>
      <c r="R563" s="24">
        <f>Q563/Q$216*100</f>
        <v>0.77108381923757985</v>
      </c>
      <c r="S563" s="24">
        <v>100</v>
      </c>
      <c r="T563" s="23">
        <f t="shared" si="100"/>
        <v>0</v>
      </c>
      <c r="U563" s="23">
        <f t="shared" si="111"/>
        <v>0</v>
      </c>
      <c r="V563" s="90">
        <f t="shared" si="137"/>
        <v>100</v>
      </c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>
        <f>SUM(AI564:AI570)</f>
        <v>0</v>
      </c>
      <c r="AJ563" s="24">
        <f t="shared" si="128"/>
        <v>0</v>
      </c>
      <c r="AK563" s="134">
        <f>Q563-AI563</f>
        <v>121000000</v>
      </c>
      <c r="AL563" s="24">
        <f t="shared" si="140"/>
        <v>100</v>
      </c>
      <c r="AM563" s="21"/>
    </row>
    <row r="564" spans="1:39" ht="27" customHeight="1" x14ac:dyDescent="0.25">
      <c r="A564" s="26"/>
      <c r="B564" s="97"/>
      <c r="C564" s="97"/>
      <c r="D564" s="97"/>
      <c r="E564" s="97"/>
      <c r="F564" s="97"/>
      <c r="G564" s="97"/>
      <c r="H564" s="97"/>
      <c r="I564" s="98"/>
      <c r="J564" s="97" t="s">
        <v>257</v>
      </c>
      <c r="K564" s="27"/>
      <c r="L564" s="31"/>
      <c r="M564" s="563" t="s">
        <v>324</v>
      </c>
      <c r="N564" s="564"/>
      <c r="O564" s="198"/>
      <c r="P564" s="190"/>
      <c r="Q564" s="28">
        <v>1000000</v>
      </c>
      <c r="R564" s="29">
        <f>Q564/Q$563*100</f>
        <v>0.82644628099173556</v>
      </c>
      <c r="S564" s="29">
        <v>100</v>
      </c>
      <c r="T564" s="28">
        <f t="shared" si="100"/>
        <v>0</v>
      </c>
      <c r="U564" s="28">
        <f t="shared" si="111"/>
        <v>0</v>
      </c>
      <c r="V564" s="87">
        <f t="shared" si="137"/>
        <v>100</v>
      </c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>
        <v>0</v>
      </c>
      <c r="AJ564" s="29">
        <f t="shared" si="128"/>
        <v>0</v>
      </c>
      <c r="AK564" s="136">
        <f>SUM(Q564-AI564)</f>
        <v>1000000</v>
      </c>
      <c r="AL564" s="29">
        <f t="shared" si="140"/>
        <v>100</v>
      </c>
      <c r="AM564" s="26"/>
    </row>
    <row r="565" spans="1:39" ht="24.75" customHeight="1" x14ac:dyDescent="0.25">
      <c r="A565" s="26"/>
      <c r="B565" s="97"/>
      <c r="C565" s="97"/>
      <c r="D565" s="97"/>
      <c r="E565" s="97"/>
      <c r="F565" s="97"/>
      <c r="G565" s="97"/>
      <c r="H565" s="97"/>
      <c r="I565" s="98"/>
      <c r="J565" s="97" t="s">
        <v>315</v>
      </c>
      <c r="K565" s="27"/>
      <c r="L565" s="31"/>
      <c r="M565" s="563" t="s">
        <v>271</v>
      </c>
      <c r="N565" s="564"/>
      <c r="O565" s="198"/>
      <c r="P565" s="190"/>
      <c r="Q565" s="28">
        <v>12000000</v>
      </c>
      <c r="R565" s="29">
        <f t="shared" ref="R565:R570" si="141">Q565/Q$563*100</f>
        <v>9.9173553719008272</v>
      </c>
      <c r="S565" s="29">
        <v>100</v>
      </c>
      <c r="T565" s="28">
        <f t="shared" si="100"/>
        <v>0</v>
      </c>
      <c r="U565" s="28">
        <f t="shared" si="111"/>
        <v>0</v>
      </c>
      <c r="V565" s="87">
        <f t="shared" si="137"/>
        <v>100</v>
      </c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>
        <v>0</v>
      </c>
      <c r="AJ565" s="29">
        <f t="shared" si="128"/>
        <v>0</v>
      </c>
      <c r="AK565" s="136">
        <f t="shared" ref="AK565:AK570" si="142">SUM(Q565-AI565)</f>
        <v>12000000</v>
      </c>
      <c r="AL565" s="29">
        <f t="shared" si="140"/>
        <v>100</v>
      </c>
      <c r="AM565" s="26"/>
    </row>
    <row r="566" spans="1:39" ht="24.75" customHeight="1" x14ac:dyDescent="0.25">
      <c r="A566" s="26"/>
      <c r="B566" s="97"/>
      <c r="C566" s="97"/>
      <c r="D566" s="97"/>
      <c r="E566" s="97"/>
      <c r="F566" s="97"/>
      <c r="G566" s="97"/>
      <c r="H566" s="97"/>
      <c r="I566" s="98"/>
      <c r="J566" s="97" t="s">
        <v>316</v>
      </c>
      <c r="K566" s="27"/>
      <c r="L566" s="31"/>
      <c r="M566" s="563" t="s">
        <v>317</v>
      </c>
      <c r="N566" s="564"/>
      <c r="O566" s="198"/>
      <c r="P566" s="190"/>
      <c r="Q566" s="28">
        <v>5400000</v>
      </c>
      <c r="R566" s="29">
        <f t="shared" si="141"/>
        <v>4.4628099173553721</v>
      </c>
      <c r="S566" s="29">
        <v>100</v>
      </c>
      <c r="T566" s="28">
        <f t="shared" si="100"/>
        <v>0</v>
      </c>
      <c r="U566" s="28">
        <f t="shared" si="111"/>
        <v>0</v>
      </c>
      <c r="V566" s="87">
        <f t="shared" si="137"/>
        <v>100</v>
      </c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>
        <v>0</v>
      </c>
      <c r="AJ566" s="29">
        <f t="shared" si="128"/>
        <v>0</v>
      </c>
      <c r="AK566" s="136">
        <f t="shared" si="142"/>
        <v>5400000</v>
      </c>
      <c r="AL566" s="29">
        <f t="shared" si="140"/>
        <v>100</v>
      </c>
      <c r="AM566" s="26"/>
    </row>
    <row r="567" spans="1:39" ht="24.75" customHeight="1" x14ac:dyDescent="0.25">
      <c r="A567" s="26"/>
      <c r="B567" s="97"/>
      <c r="C567" s="97"/>
      <c r="D567" s="97"/>
      <c r="E567" s="97"/>
      <c r="F567" s="97"/>
      <c r="G567" s="97"/>
      <c r="H567" s="97"/>
      <c r="I567" s="98"/>
      <c r="J567" s="97" t="s">
        <v>339</v>
      </c>
      <c r="K567" s="27"/>
      <c r="L567" s="31"/>
      <c r="M567" s="563" t="s">
        <v>340</v>
      </c>
      <c r="N567" s="564"/>
      <c r="O567" s="198"/>
      <c r="P567" s="190"/>
      <c r="Q567" s="28">
        <v>37400000</v>
      </c>
      <c r="R567" s="29">
        <f t="shared" si="141"/>
        <v>30.909090909090907</v>
      </c>
      <c r="S567" s="29">
        <v>100</v>
      </c>
      <c r="T567" s="28">
        <f t="shared" si="100"/>
        <v>0</v>
      </c>
      <c r="U567" s="28">
        <f t="shared" si="111"/>
        <v>0</v>
      </c>
      <c r="V567" s="87">
        <f t="shared" si="137"/>
        <v>100</v>
      </c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>
        <v>0</v>
      </c>
      <c r="AJ567" s="29">
        <f t="shared" si="128"/>
        <v>0</v>
      </c>
      <c r="AK567" s="136">
        <f t="shared" si="142"/>
        <v>37400000</v>
      </c>
      <c r="AL567" s="29">
        <f t="shared" si="140"/>
        <v>100</v>
      </c>
      <c r="AM567" s="26"/>
    </row>
    <row r="568" spans="1:39" ht="24.75" customHeight="1" x14ac:dyDescent="0.25">
      <c r="A568" s="26"/>
      <c r="B568" s="97"/>
      <c r="C568" s="97"/>
      <c r="D568" s="97"/>
      <c r="E568" s="97"/>
      <c r="F568" s="97"/>
      <c r="G568" s="97"/>
      <c r="H568" s="97"/>
      <c r="I568" s="98"/>
      <c r="J568" s="97" t="s">
        <v>284</v>
      </c>
      <c r="K568" s="27"/>
      <c r="L568" s="31"/>
      <c r="M568" s="563" t="s">
        <v>285</v>
      </c>
      <c r="N568" s="564"/>
      <c r="O568" s="198"/>
      <c r="P568" s="190"/>
      <c r="Q568" s="28">
        <v>1000000</v>
      </c>
      <c r="R568" s="29">
        <f t="shared" si="141"/>
        <v>0.82644628099173556</v>
      </c>
      <c r="S568" s="29"/>
      <c r="T568" s="28">
        <f t="shared" si="100"/>
        <v>0</v>
      </c>
      <c r="U568" s="28">
        <f t="shared" si="111"/>
        <v>0</v>
      </c>
      <c r="V568" s="87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>
        <v>0</v>
      </c>
      <c r="AJ568" s="29">
        <f t="shared" si="128"/>
        <v>0</v>
      </c>
      <c r="AK568" s="136">
        <f t="shared" si="142"/>
        <v>1000000</v>
      </c>
      <c r="AL568" s="29"/>
      <c r="AM568" s="26"/>
    </row>
    <row r="569" spans="1:39" ht="24.75" customHeight="1" x14ac:dyDescent="0.25">
      <c r="A569" s="26"/>
      <c r="B569" s="97"/>
      <c r="C569" s="97"/>
      <c r="D569" s="97"/>
      <c r="E569" s="97"/>
      <c r="F569" s="97"/>
      <c r="G569" s="97"/>
      <c r="H569" s="97"/>
      <c r="I569" s="98"/>
      <c r="J569" s="97" t="s">
        <v>320</v>
      </c>
      <c r="K569" s="27"/>
      <c r="L569" s="31"/>
      <c r="M569" s="563" t="s">
        <v>321</v>
      </c>
      <c r="N569" s="564"/>
      <c r="O569" s="198"/>
      <c r="P569" s="190"/>
      <c r="Q569" s="28">
        <v>58800000</v>
      </c>
      <c r="R569" s="29">
        <f t="shared" si="141"/>
        <v>48.595041322314046</v>
      </c>
      <c r="S569" s="29">
        <v>100</v>
      </c>
      <c r="T569" s="28">
        <f t="shared" si="100"/>
        <v>0</v>
      </c>
      <c r="U569" s="28">
        <f t="shared" si="111"/>
        <v>0</v>
      </c>
      <c r="V569" s="87">
        <f t="shared" si="137"/>
        <v>100</v>
      </c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>
        <v>0</v>
      </c>
      <c r="AJ569" s="29">
        <f t="shared" si="128"/>
        <v>0</v>
      </c>
      <c r="AK569" s="136">
        <f t="shared" si="142"/>
        <v>58800000</v>
      </c>
      <c r="AL569" s="29">
        <f t="shared" ref="AL569:AL632" si="143">AK569/Q569*100</f>
        <v>100</v>
      </c>
      <c r="AM569" s="26"/>
    </row>
    <row r="570" spans="1:39" ht="24.75" customHeight="1" x14ac:dyDescent="0.25">
      <c r="A570" s="26"/>
      <c r="B570" s="97"/>
      <c r="C570" s="97"/>
      <c r="D570" s="97"/>
      <c r="E570" s="97"/>
      <c r="F570" s="97"/>
      <c r="G570" s="97"/>
      <c r="H570" s="97"/>
      <c r="I570" s="98"/>
      <c r="J570" s="97" t="s">
        <v>407</v>
      </c>
      <c r="K570" s="27"/>
      <c r="L570" s="31"/>
      <c r="M570" s="563" t="s">
        <v>414</v>
      </c>
      <c r="N570" s="564"/>
      <c r="O570" s="198"/>
      <c r="P570" s="190"/>
      <c r="Q570" s="28">
        <v>5400000</v>
      </c>
      <c r="R570" s="29">
        <f t="shared" si="141"/>
        <v>4.4628099173553721</v>
      </c>
      <c r="S570" s="29">
        <v>100</v>
      </c>
      <c r="T570" s="28">
        <f t="shared" si="100"/>
        <v>0</v>
      </c>
      <c r="U570" s="28">
        <f t="shared" si="111"/>
        <v>0</v>
      </c>
      <c r="V570" s="87">
        <f t="shared" si="137"/>
        <v>100</v>
      </c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>
        <v>0</v>
      </c>
      <c r="AJ570" s="29">
        <f t="shared" si="128"/>
        <v>0</v>
      </c>
      <c r="AK570" s="136">
        <f t="shared" si="142"/>
        <v>5400000</v>
      </c>
      <c r="AL570" s="29">
        <f t="shared" si="143"/>
        <v>100</v>
      </c>
      <c r="AM570" s="26"/>
    </row>
    <row r="571" spans="1:39" s="41" customFormat="1" ht="24.75" customHeight="1" x14ac:dyDescent="0.25">
      <c r="A571" s="21">
        <f>SUM(A563+1)</f>
        <v>66</v>
      </c>
      <c r="B571" s="99"/>
      <c r="C571" s="99"/>
      <c r="D571" s="99"/>
      <c r="E571" s="99"/>
      <c r="F571" s="99"/>
      <c r="G571" s="99"/>
      <c r="H571" s="99"/>
      <c r="I571" s="100"/>
      <c r="J571" s="122" t="s">
        <v>522</v>
      </c>
      <c r="K571" s="22"/>
      <c r="L571" s="72"/>
      <c r="M571" s="566" t="s">
        <v>202</v>
      </c>
      <c r="N571" s="567"/>
      <c r="O571" s="197"/>
      <c r="P571" s="189"/>
      <c r="Q571" s="23">
        <f>SUM(Q572:Q584)</f>
        <v>297585000</v>
      </c>
      <c r="R571" s="24">
        <f>Q571/Q$216*100</f>
        <v>1.89638825080839</v>
      </c>
      <c r="S571" s="24">
        <v>100</v>
      </c>
      <c r="T571" s="23">
        <f t="shared" si="100"/>
        <v>0</v>
      </c>
      <c r="U571" s="23">
        <f t="shared" si="111"/>
        <v>0</v>
      </c>
      <c r="V571" s="90">
        <f t="shared" si="137"/>
        <v>100</v>
      </c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>
        <f>SUM(AI572:AI584)</f>
        <v>0</v>
      </c>
      <c r="AJ571" s="24">
        <f t="shared" si="128"/>
        <v>0</v>
      </c>
      <c r="AK571" s="134">
        <f>Q571-AI571</f>
        <v>297585000</v>
      </c>
      <c r="AL571" s="24">
        <f t="shared" si="143"/>
        <v>100</v>
      </c>
      <c r="AM571" s="21"/>
    </row>
    <row r="572" spans="1:39" ht="24.75" customHeight="1" x14ac:dyDescent="0.25">
      <c r="A572" s="26"/>
      <c r="B572" s="97"/>
      <c r="C572" s="97"/>
      <c r="D572" s="97"/>
      <c r="E572" s="97"/>
      <c r="F572" s="97"/>
      <c r="G572" s="97"/>
      <c r="H572" s="97"/>
      <c r="I572" s="98"/>
      <c r="J572" s="97" t="s">
        <v>257</v>
      </c>
      <c r="K572" s="27"/>
      <c r="L572" s="31"/>
      <c r="M572" s="563" t="s">
        <v>258</v>
      </c>
      <c r="N572" s="564"/>
      <c r="O572" s="198"/>
      <c r="P572" s="190"/>
      <c r="Q572" s="28">
        <v>3900000</v>
      </c>
      <c r="R572" s="29">
        <f>Q572/Q$571*100</f>
        <v>1.3105499269116387</v>
      </c>
      <c r="S572" s="29">
        <v>100</v>
      </c>
      <c r="T572" s="28">
        <f t="shared" si="100"/>
        <v>0</v>
      </c>
      <c r="U572" s="28">
        <f t="shared" si="111"/>
        <v>0</v>
      </c>
      <c r="V572" s="87">
        <f t="shared" si="137"/>
        <v>100</v>
      </c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>
        <v>0</v>
      </c>
      <c r="AJ572" s="29">
        <f t="shared" si="128"/>
        <v>0</v>
      </c>
      <c r="AK572" s="136">
        <f>SUM(Q572-AI572)</f>
        <v>3900000</v>
      </c>
      <c r="AL572" s="29">
        <f t="shared" si="143"/>
        <v>100</v>
      </c>
      <c r="AM572" s="26"/>
    </row>
    <row r="573" spans="1:39" ht="24.75" customHeight="1" x14ac:dyDescent="0.25">
      <c r="A573" s="26"/>
      <c r="B573" s="97"/>
      <c r="C573" s="97"/>
      <c r="D573" s="97"/>
      <c r="E573" s="97"/>
      <c r="F573" s="97"/>
      <c r="G573" s="97"/>
      <c r="H573" s="97"/>
      <c r="I573" s="98"/>
      <c r="J573" s="97" t="s">
        <v>259</v>
      </c>
      <c r="K573" s="27"/>
      <c r="L573" s="31"/>
      <c r="M573" s="563" t="s">
        <v>260</v>
      </c>
      <c r="N573" s="564"/>
      <c r="O573" s="198"/>
      <c r="P573" s="190"/>
      <c r="Q573" s="28">
        <v>2310000</v>
      </c>
      <c r="R573" s="29">
        <f t="shared" ref="R573:R583" si="144">Q573/Q$571*100</f>
        <v>0.77624880286304754</v>
      </c>
      <c r="S573" s="29">
        <v>100</v>
      </c>
      <c r="T573" s="28">
        <f t="shared" ref="T573:T646" si="145">AJ573</f>
        <v>0</v>
      </c>
      <c r="U573" s="28">
        <f t="shared" si="111"/>
        <v>0</v>
      </c>
      <c r="V573" s="87">
        <f t="shared" si="137"/>
        <v>100</v>
      </c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>
        <v>0</v>
      </c>
      <c r="AJ573" s="29">
        <f t="shared" si="128"/>
        <v>0</v>
      </c>
      <c r="AK573" s="136">
        <f t="shared" ref="AK573:AK583" si="146">SUM(Q573-AI573)</f>
        <v>2310000</v>
      </c>
      <c r="AL573" s="29">
        <f t="shared" si="143"/>
        <v>100</v>
      </c>
      <c r="AM573" s="26"/>
    </row>
    <row r="574" spans="1:39" ht="24.75" customHeight="1" x14ac:dyDescent="0.25">
      <c r="A574" s="26"/>
      <c r="B574" s="97"/>
      <c r="C574" s="97"/>
      <c r="D574" s="97"/>
      <c r="E574" s="97"/>
      <c r="F574" s="97"/>
      <c r="G574" s="97"/>
      <c r="H574" s="97"/>
      <c r="I574" s="98"/>
      <c r="J574" s="97" t="s">
        <v>347</v>
      </c>
      <c r="K574" s="27"/>
      <c r="L574" s="31"/>
      <c r="M574" s="563" t="s">
        <v>424</v>
      </c>
      <c r="N574" s="564"/>
      <c r="O574" s="198"/>
      <c r="P574" s="190"/>
      <c r="Q574" s="28">
        <v>51975000</v>
      </c>
      <c r="R574" s="29">
        <f t="shared" si="144"/>
        <v>17.465598064418568</v>
      </c>
      <c r="S574" s="29">
        <v>100</v>
      </c>
      <c r="T574" s="28">
        <f t="shared" si="145"/>
        <v>0</v>
      </c>
      <c r="U574" s="28"/>
      <c r="V574" s="87">
        <f t="shared" si="137"/>
        <v>100</v>
      </c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>
        <v>0</v>
      </c>
      <c r="AJ574" s="29">
        <f t="shared" si="128"/>
        <v>0</v>
      </c>
      <c r="AK574" s="136">
        <f t="shared" si="146"/>
        <v>51975000</v>
      </c>
      <c r="AL574" s="29">
        <f t="shared" si="143"/>
        <v>100</v>
      </c>
      <c r="AM574" s="26"/>
    </row>
    <row r="575" spans="1:39" ht="24.75" customHeight="1" x14ac:dyDescent="0.25">
      <c r="A575" s="26"/>
      <c r="B575" s="97"/>
      <c r="C575" s="97"/>
      <c r="D575" s="97"/>
      <c r="E575" s="97"/>
      <c r="F575" s="97"/>
      <c r="G575" s="97"/>
      <c r="H575" s="97"/>
      <c r="I575" s="98"/>
      <c r="J575" s="97" t="s">
        <v>323</v>
      </c>
      <c r="K575" s="27"/>
      <c r="L575" s="31"/>
      <c r="M575" s="563" t="s">
        <v>324</v>
      </c>
      <c r="N575" s="564"/>
      <c r="O575" s="198"/>
      <c r="P575" s="190"/>
      <c r="Q575" s="28">
        <v>3000000</v>
      </c>
      <c r="R575" s="29">
        <f t="shared" si="144"/>
        <v>1.0081153283935682</v>
      </c>
      <c r="S575" s="29">
        <v>100</v>
      </c>
      <c r="T575" s="28">
        <f t="shared" si="145"/>
        <v>0</v>
      </c>
      <c r="U575" s="28">
        <f t="shared" si="111"/>
        <v>0</v>
      </c>
      <c r="V575" s="87">
        <f t="shared" si="137"/>
        <v>100</v>
      </c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>
        <v>0</v>
      </c>
      <c r="AJ575" s="29">
        <f t="shared" si="128"/>
        <v>0</v>
      </c>
      <c r="AK575" s="136">
        <f t="shared" si="146"/>
        <v>3000000</v>
      </c>
      <c r="AL575" s="29">
        <f t="shared" si="143"/>
        <v>100</v>
      </c>
      <c r="AM575" s="26"/>
    </row>
    <row r="576" spans="1:39" ht="24.75" customHeight="1" x14ac:dyDescent="0.25">
      <c r="A576" s="26"/>
      <c r="B576" s="97"/>
      <c r="C576" s="97"/>
      <c r="D576" s="97"/>
      <c r="E576" s="97"/>
      <c r="F576" s="97"/>
      <c r="G576" s="97"/>
      <c r="H576" s="97"/>
      <c r="I576" s="98"/>
      <c r="J576" s="97" t="s">
        <v>269</v>
      </c>
      <c r="K576" s="27"/>
      <c r="L576" s="31"/>
      <c r="M576" s="563" t="s">
        <v>270</v>
      </c>
      <c r="N576" s="564"/>
      <c r="O576" s="198"/>
      <c r="P576" s="190"/>
      <c r="Q576" s="28">
        <v>7000000</v>
      </c>
      <c r="R576" s="29">
        <f t="shared" si="144"/>
        <v>2.3522690995849924</v>
      </c>
      <c r="S576" s="29">
        <v>100</v>
      </c>
      <c r="T576" s="28">
        <f t="shared" si="145"/>
        <v>0</v>
      </c>
      <c r="U576" s="28">
        <f t="shared" si="111"/>
        <v>0</v>
      </c>
      <c r="V576" s="87">
        <f t="shared" si="137"/>
        <v>100</v>
      </c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>
        <v>0</v>
      </c>
      <c r="AJ576" s="29">
        <f t="shared" si="128"/>
        <v>0</v>
      </c>
      <c r="AK576" s="136">
        <f t="shared" si="146"/>
        <v>7000000</v>
      </c>
      <c r="AL576" s="29">
        <f t="shared" si="143"/>
        <v>100</v>
      </c>
      <c r="AM576" s="26"/>
    </row>
    <row r="577" spans="1:39" ht="24.75" customHeight="1" x14ac:dyDescent="0.25">
      <c r="A577" s="26"/>
      <c r="B577" s="97"/>
      <c r="C577" s="97"/>
      <c r="D577" s="97"/>
      <c r="E577" s="97"/>
      <c r="F577" s="97"/>
      <c r="G577" s="97"/>
      <c r="H577" s="97"/>
      <c r="I577" s="98"/>
      <c r="J577" s="97" t="s">
        <v>315</v>
      </c>
      <c r="K577" s="27"/>
      <c r="L577" s="31"/>
      <c r="M577" s="563" t="s">
        <v>271</v>
      </c>
      <c r="N577" s="564"/>
      <c r="O577" s="198"/>
      <c r="P577" s="190"/>
      <c r="Q577" s="28">
        <v>3000000</v>
      </c>
      <c r="R577" s="29">
        <f t="shared" si="144"/>
        <v>1.0081153283935682</v>
      </c>
      <c r="S577" s="29">
        <v>100</v>
      </c>
      <c r="T577" s="28">
        <f t="shared" si="145"/>
        <v>0</v>
      </c>
      <c r="U577" s="28">
        <f t="shared" si="111"/>
        <v>0</v>
      </c>
      <c r="V577" s="87">
        <f t="shared" si="137"/>
        <v>100</v>
      </c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>
        <v>0</v>
      </c>
      <c r="AJ577" s="29">
        <f t="shared" ref="AJ577:AJ640" si="147">AI577/Q577*100</f>
        <v>0</v>
      </c>
      <c r="AK577" s="136">
        <f t="shared" si="146"/>
        <v>3000000</v>
      </c>
      <c r="AL577" s="29">
        <f t="shared" si="143"/>
        <v>100</v>
      </c>
      <c r="AM577" s="26"/>
    </row>
    <row r="578" spans="1:39" ht="24.75" customHeight="1" x14ac:dyDescent="0.25">
      <c r="A578" s="26"/>
      <c r="B578" s="97"/>
      <c r="C578" s="97"/>
      <c r="D578" s="97"/>
      <c r="E578" s="97"/>
      <c r="F578" s="97"/>
      <c r="G578" s="97"/>
      <c r="H578" s="97"/>
      <c r="I578" s="98"/>
      <c r="J578" s="97" t="s">
        <v>318</v>
      </c>
      <c r="K578" s="27"/>
      <c r="L578" s="31"/>
      <c r="M578" s="563" t="s">
        <v>319</v>
      </c>
      <c r="N578" s="564"/>
      <c r="O578" s="198"/>
      <c r="P578" s="190"/>
      <c r="Q578" s="28">
        <v>97950000</v>
      </c>
      <c r="R578" s="29">
        <f t="shared" si="144"/>
        <v>32.91496547205</v>
      </c>
      <c r="S578" s="29">
        <v>100</v>
      </c>
      <c r="T578" s="28">
        <f t="shared" si="145"/>
        <v>0</v>
      </c>
      <c r="U578" s="28">
        <f t="shared" si="111"/>
        <v>0</v>
      </c>
      <c r="V578" s="87">
        <f t="shared" si="137"/>
        <v>100</v>
      </c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>
        <v>0</v>
      </c>
      <c r="AJ578" s="29">
        <f t="shared" si="147"/>
        <v>0</v>
      </c>
      <c r="AK578" s="136">
        <f t="shared" si="146"/>
        <v>97950000</v>
      </c>
      <c r="AL578" s="29">
        <f t="shared" si="143"/>
        <v>100</v>
      </c>
      <c r="AM578" s="26"/>
    </row>
    <row r="579" spans="1:39" ht="24.75" customHeight="1" x14ac:dyDescent="0.25">
      <c r="A579" s="26"/>
      <c r="B579" s="97"/>
      <c r="C579" s="97"/>
      <c r="D579" s="97"/>
      <c r="E579" s="97"/>
      <c r="F579" s="97"/>
      <c r="G579" s="97"/>
      <c r="H579" s="97"/>
      <c r="I579" s="98"/>
      <c r="J579" s="97" t="s">
        <v>280</v>
      </c>
      <c r="K579" s="27"/>
      <c r="L579" s="31"/>
      <c r="M579" s="563" t="s">
        <v>423</v>
      </c>
      <c r="N579" s="564"/>
      <c r="O579" s="198"/>
      <c r="P579" s="190"/>
      <c r="Q579" s="28">
        <v>3900000</v>
      </c>
      <c r="R579" s="29">
        <f t="shared" si="144"/>
        <v>1.3105499269116387</v>
      </c>
      <c r="S579" s="29">
        <v>100</v>
      </c>
      <c r="T579" s="28">
        <f t="shared" si="145"/>
        <v>0</v>
      </c>
      <c r="U579" s="28">
        <f t="shared" si="111"/>
        <v>0</v>
      </c>
      <c r="V579" s="87">
        <f t="shared" si="137"/>
        <v>100</v>
      </c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>
        <v>0</v>
      </c>
      <c r="AJ579" s="29">
        <f t="shared" si="147"/>
        <v>0</v>
      </c>
      <c r="AK579" s="136">
        <f t="shared" si="146"/>
        <v>3900000</v>
      </c>
      <c r="AL579" s="29">
        <f t="shared" si="143"/>
        <v>100</v>
      </c>
      <c r="AM579" s="26"/>
    </row>
    <row r="580" spans="1:39" ht="24.75" customHeight="1" x14ac:dyDescent="0.25">
      <c r="A580" s="26"/>
      <c r="B580" s="97"/>
      <c r="C580" s="97"/>
      <c r="D580" s="97"/>
      <c r="E580" s="97"/>
      <c r="F580" s="97"/>
      <c r="G580" s="97"/>
      <c r="H580" s="97"/>
      <c r="I580" s="98"/>
      <c r="J580" s="97" t="s">
        <v>284</v>
      </c>
      <c r="K580" s="27"/>
      <c r="L580" s="31"/>
      <c r="M580" s="563" t="s">
        <v>285</v>
      </c>
      <c r="N580" s="564"/>
      <c r="O580" s="198"/>
      <c r="P580" s="190"/>
      <c r="Q580" s="28">
        <v>4950000</v>
      </c>
      <c r="R580" s="29">
        <f t="shared" si="144"/>
        <v>1.6633902918493877</v>
      </c>
      <c r="S580" s="29">
        <v>100</v>
      </c>
      <c r="T580" s="28">
        <f t="shared" si="145"/>
        <v>0</v>
      </c>
      <c r="U580" s="28">
        <f t="shared" si="111"/>
        <v>0</v>
      </c>
      <c r="V580" s="87">
        <f t="shared" si="137"/>
        <v>100</v>
      </c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>
        <v>0</v>
      </c>
      <c r="AJ580" s="29">
        <f t="shared" si="147"/>
        <v>0</v>
      </c>
      <c r="AK580" s="136">
        <f t="shared" si="146"/>
        <v>4950000</v>
      </c>
      <c r="AL580" s="29">
        <f t="shared" si="143"/>
        <v>100</v>
      </c>
      <c r="AM580" s="26"/>
    </row>
    <row r="581" spans="1:39" ht="24.75" customHeight="1" x14ac:dyDescent="0.25">
      <c r="A581" s="26"/>
      <c r="B581" s="97"/>
      <c r="C581" s="97"/>
      <c r="D581" s="97"/>
      <c r="E581" s="97"/>
      <c r="F581" s="97"/>
      <c r="G581" s="97"/>
      <c r="H581" s="97"/>
      <c r="I581" s="98"/>
      <c r="J581" s="97" t="s">
        <v>282</v>
      </c>
      <c r="K581" s="27"/>
      <c r="L581" s="31"/>
      <c r="M581" s="563" t="s">
        <v>283</v>
      </c>
      <c r="N581" s="564"/>
      <c r="O581" s="198"/>
      <c r="P581" s="190"/>
      <c r="Q581" s="28">
        <v>10000000</v>
      </c>
      <c r="R581" s="29">
        <f t="shared" si="144"/>
        <v>3.3603844279785604</v>
      </c>
      <c r="S581" s="29">
        <v>100</v>
      </c>
      <c r="T581" s="28">
        <f t="shared" si="145"/>
        <v>0</v>
      </c>
      <c r="U581" s="28">
        <f t="shared" si="111"/>
        <v>0</v>
      </c>
      <c r="V581" s="87">
        <f t="shared" si="137"/>
        <v>100</v>
      </c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>
        <v>0</v>
      </c>
      <c r="AJ581" s="29">
        <f t="shared" si="147"/>
        <v>0</v>
      </c>
      <c r="AK581" s="136">
        <f t="shared" si="146"/>
        <v>10000000</v>
      </c>
      <c r="AL581" s="29">
        <f t="shared" si="143"/>
        <v>100</v>
      </c>
      <c r="AM581" s="26"/>
    </row>
    <row r="582" spans="1:39" ht="24.75" customHeight="1" x14ac:dyDescent="0.25">
      <c r="A582" s="26"/>
      <c r="B582" s="97"/>
      <c r="C582" s="97"/>
      <c r="D582" s="97"/>
      <c r="E582" s="97"/>
      <c r="F582" s="97"/>
      <c r="G582" s="97"/>
      <c r="H582" s="97"/>
      <c r="I582" s="98"/>
      <c r="J582" s="97" t="s">
        <v>320</v>
      </c>
      <c r="K582" s="27"/>
      <c r="L582" s="31"/>
      <c r="M582" s="563" t="s">
        <v>321</v>
      </c>
      <c r="N582" s="564"/>
      <c r="O582" s="198"/>
      <c r="P582" s="190"/>
      <c r="Q582" s="28">
        <v>69600000</v>
      </c>
      <c r="R582" s="29">
        <f t="shared" si="144"/>
        <v>23.388275618730784</v>
      </c>
      <c r="S582" s="29">
        <v>100</v>
      </c>
      <c r="T582" s="28">
        <f t="shared" si="145"/>
        <v>0</v>
      </c>
      <c r="U582" s="28">
        <f t="shared" si="111"/>
        <v>0</v>
      </c>
      <c r="V582" s="87">
        <f t="shared" si="137"/>
        <v>100</v>
      </c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>
        <v>0</v>
      </c>
      <c r="AJ582" s="29">
        <f t="shared" si="147"/>
        <v>0</v>
      </c>
      <c r="AK582" s="136">
        <f t="shared" si="146"/>
        <v>69600000</v>
      </c>
      <c r="AL582" s="29">
        <f t="shared" si="143"/>
        <v>100</v>
      </c>
      <c r="AM582" s="26"/>
    </row>
    <row r="583" spans="1:39" ht="24.75" customHeight="1" x14ac:dyDescent="0.25">
      <c r="A583" s="26"/>
      <c r="B583" s="97"/>
      <c r="C583" s="97"/>
      <c r="D583" s="97"/>
      <c r="E583" s="97"/>
      <c r="F583" s="97"/>
      <c r="G583" s="97"/>
      <c r="H583" s="97"/>
      <c r="I583" s="98"/>
      <c r="J583" s="97" t="s">
        <v>309</v>
      </c>
      <c r="K583" s="27"/>
      <c r="L583" s="31"/>
      <c r="M583" s="563" t="s">
        <v>310</v>
      </c>
      <c r="N583" s="564"/>
      <c r="O583" s="198"/>
      <c r="P583" s="190"/>
      <c r="Q583" s="28">
        <v>36000000</v>
      </c>
      <c r="R583" s="29">
        <f t="shared" si="144"/>
        <v>12.097383940722818</v>
      </c>
      <c r="S583" s="29">
        <v>100</v>
      </c>
      <c r="T583" s="28">
        <f t="shared" si="145"/>
        <v>0</v>
      </c>
      <c r="U583" s="28">
        <f t="shared" si="111"/>
        <v>0</v>
      </c>
      <c r="V583" s="87">
        <f t="shared" si="137"/>
        <v>100</v>
      </c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>
        <v>0</v>
      </c>
      <c r="AJ583" s="29">
        <f t="shared" si="147"/>
        <v>0</v>
      </c>
      <c r="AK583" s="136">
        <f t="shared" si="146"/>
        <v>36000000</v>
      </c>
      <c r="AL583" s="29">
        <f t="shared" si="143"/>
        <v>100</v>
      </c>
      <c r="AM583" s="26"/>
    </row>
    <row r="584" spans="1:39" ht="24.75" customHeight="1" x14ac:dyDescent="0.25">
      <c r="A584" s="26"/>
      <c r="B584" s="97"/>
      <c r="C584" s="97"/>
      <c r="D584" s="97"/>
      <c r="E584" s="97"/>
      <c r="F584" s="97"/>
      <c r="G584" s="97"/>
      <c r="H584" s="97"/>
      <c r="I584" s="98"/>
      <c r="J584" s="97" t="s">
        <v>407</v>
      </c>
      <c r="K584" s="27"/>
      <c r="L584" s="31"/>
      <c r="M584" s="563" t="s">
        <v>414</v>
      </c>
      <c r="N584" s="564"/>
      <c r="O584" s="198"/>
      <c r="P584" s="190"/>
      <c r="Q584" s="28">
        <v>4000000</v>
      </c>
      <c r="R584" s="29">
        <f>Q584/Q$571*100</f>
        <v>1.3441537711914242</v>
      </c>
      <c r="S584" s="29">
        <v>100</v>
      </c>
      <c r="T584" s="28">
        <f t="shared" si="145"/>
        <v>0</v>
      </c>
      <c r="U584" s="28">
        <f t="shared" si="111"/>
        <v>0</v>
      </c>
      <c r="V584" s="87">
        <f t="shared" si="137"/>
        <v>100</v>
      </c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>
        <v>0</v>
      </c>
      <c r="AJ584" s="29">
        <f t="shared" si="147"/>
        <v>0</v>
      </c>
      <c r="AK584" s="136">
        <f t="shared" ref="AK584:AK647" si="148">Q584-AI584</f>
        <v>4000000</v>
      </c>
      <c r="AL584" s="29">
        <f t="shared" si="143"/>
        <v>100</v>
      </c>
      <c r="AM584" s="26"/>
    </row>
    <row r="585" spans="1:39" s="86" customFormat="1" ht="24.75" customHeight="1" x14ac:dyDescent="0.25">
      <c r="A585" s="21">
        <f>SUM(A571+1)</f>
        <v>67</v>
      </c>
      <c r="B585" s="99"/>
      <c r="C585" s="99"/>
      <c r="D585" s="99"/>
      <c r="E585" s="99"/>
      <c r="F585" s="99"/>
      <c r="G585" s="99"/>
      <c r="H585" s="99"/>
      <c r="I585" s="100"/>
      <c r="J585" s="122" t="s">
        <v>523</v>
      </c>
      <c r="K585" s="22"/>
      <c r="L585" s="72"/>
      <c r="M585" s="568" t="s">
        <v>203</v>
      </c>
      <c r="N585" s="546"/>
      <c r="O585" s="197"/>
      <c r="P585" s="189"/>
      <c r="Q585" s="23">
        <f>SUM(Q586:Q598)</f>
        <v>287760000</v>
      </c>
      <c r="R585" s="24">
        <f>Q585/Q$216*100</f>
        <v>1.8337775192050081</v>
      </c>
      <c r="S585" s="24">
        <v>100</v>
      </c>
      <c r="T585" s="23">
        <f t="shared" si="145"/>
        <v>0</v>
      </c>
      <c r="U585" s="23">
        <f t="shared" si="111"/>
        <v>0</v>
      </c>
      <c r="V585" s="90">
        <f t="shared" si="137"/>
        <v>100</v>
      </c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>
        <v>0</v>
      </c>
      <c r="AJ585" s="24">
        <f t="shared" si="147"/>
        <v>0</v>
      </c>
      <c r="AK585" s="134">
        <f t="shared" si="148"/>
        <v>287760000</v>
      </c>
      <c r="AL585" s="24">
        <f t="shared" si="143"/>
        <v>100</v>
      </c>
      <c r="AM585" s="21"/>
    </row>
    <row r="586" spans="1:39" ht="24.75" customHeight="1" x14ac:dyDescent="0.25">
      <c r="A586" s="26"/>
      <c r="B586" s="97"/>
      <c r="C586" s="97"/>
      <c r="D586" s="97"/>
      <c r="E586" s="97"/>
      <c r="F586" s="97"/>
      <c r="G586" s="97"/>
      <c r="H586" s="97"/>
      <c r="I586" s="98"/>
      <c r="J586" s="97" t="s">
        <v>257</v>
      </c>
      <c r="K586" s="27"/>
      <c r="L586" s="31"/>
      <c r="M586" s="563" t="s">
        <v>258</v>
      </c>
      <c r="N586" s="564"/>
      <c r="O586" s="198"/>
      <c r="P586" s="190"/>
      <c r="Q586" s="28">
        <v>3620000</v>
      </c>
      <c r="R586" s="29">
        <f>Q586/Q$585*100</f>
        <v>1.2579927717542396</v>
      </c>
      <c r="S586" s="29">
        <v>100</v>
      </c>
      <c r="T586" s="28">
        <f t="shared" si="145"/>
        <v>0</v>
      </c>
      <c r="U586" s="28">
        <f t="shared" si="111"/>
        <v>0</v>
      </c>
      <c r="V586" s="87">
        <f t="shared" si="137"/>
        <v>100</v>
      </c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>
        <v>0</v>
      </c>
      <c r="AJ586" s="29">
        <f t="shared" si="147"/>
        <v>0</v>
      </c>
      <c r="AK586" s="136">
        <f t="shared" si="148"/>
        <v>3620000</v>
      </c>
      <c r="AL586" s="29">
        <f t="shared" si="143"/>
        <v>100</v>
      </c>
      <c r="AM586" s="26"/>
    </row>
    <row r="587" spans="1:39" ht="24.75" customHeight="1" x14ac:dyDescent="0.25">
      <c r="A587" s="26"/>
      <c r="B587" s="97"/>
      <c r="C587" s="97"/>
      <c r="D587" s="97"/>
      <c r="E587" s="97"/>
      <c r="F587" s="97"/>
      <c r="G587" s="97"/>
      <c r="H587" s="97"/>
      <c r="I587" s="98"/>
      <c r="J587" s="97" t="s">
        <v>259</v>
      </c>
      <c r="K587" s="27"/>
      <c r="L587" s="31"/>
      <c r="M587" s="563" t="s">
        <v>260</v>
      </c>
      <c r="N587" s="564"/>
      <c r="O587" s="198"/>
      <c r="P587" s="190"/>
      <c r="Q587" s="28">
        <v>1440000</v>
      </c>
      <c r="R587" s="29">
        <f t="shared" ref="R587:R598" si="149">Q587/Q$585*100</f>
        <v>0.50041701417848206</v>
      </c>
      <c r="S587" s="29">
        <v>100</v>
      </c>
      <c r="T587" s="28">
        <f t="shared" si="145"/>
        <v>0</v>
      </c>
      <c r="U587" s="28">
        <f t="shared" si="111"/>
        <v>0</v>
      </c>
      <c r="V587" s="87">
        <f t="shared" si="137"/>
        <v>100</v>
      </c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>
        <v>0</v>
      </c>
      <c r="AJ587" s="29">
        <f t="shared" si="147"/>
        <v>0</v>
      </c>
      <c r="AK587" s="136">
        <f t="shared" si="148"/>
        <v>1440000</v>
      </c>
      <c r="AL587" s="29">
        <f t="shared" si="143"/>
        <v>100</v>
      </c>
      <c r="AM587" s="26"/>
    </row>
    <row r="588" spans="1:39" ht="24.75" customHeight="1" x14ac:dyDescent="0.25">
      <c r="A588" s="26"/>
      <c r="B588" s="97"/>
      <c r="C588" s="97"/>
      <c r="D588" s="97"/>
      <c r="E588" s="97"/>
      <c r="F588" s="97"/>
      <c r="G588" s="97"/>
      <c r="H588" s="97"/>
      <c r="I588" s="98"/>
      <c r="J588" s="97" t="s">
        <v>326</v>
      </c>
      <c r="K588" s="27"/>
      <c r="L588" s="31"/>
      <c r="M588" s="563" t="s">
        <v>327</v>
      </c>
      <c r="N588" s="564"/>
      <c r="O588" s="198"/>
      <c r="P588" s="190"/>
      <c r="Q588" s="28">
        <v>140400000</v>
      </c>
      <c r="R588" s="29">
        <f t="shared" si="149"/>
        <v>48.790658882401999</v>
      </c>
      <c r="S588" s="29">
        <v>100</v>
      </c>
      <c r="T588" s="28">
        <f t="shared" si="145"/>
        <v>0</v>
      </c>
      <c r="U588" s="28">
        <f t="shared" si="111"/>
        <v>0</v>
      </c>
      <c r="V588" s="87">
        <f t="shared" si="137"/>
        <v>100</v>
      </c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>
        <v>0</v>
      </c>
      <c r="AJ588" s="29">
        <f t="shared" si="147"/>
        <v>0</v>
      </c>
      <c r="AK588" s="136">
        <f t="shared" si="148"/>
        <v>140400000</v>
      </c>
      <c r="AL588" s="29">
        <f t="shared" si="143"/>
        <v>100</v>
      </c>
      <c r="AM588" s="26"/>
    </row>
    <row r="589" spans="1:39" ht="24.75" customHeight="1" x14ac:dyDescent="0.25">
      <c r="A589" s="26"/>
      <c r="B589" s="97"/>
      <c r="C589" s="97"/>
      <c r="D589" s="97"/>
      <c r="E589" s="97"/>
      <c r="F589" s="97"/>
      <c r="G589" s="97"/>
      <c r="H589" s="97"/>
      <c r="I589" s="98"/>
      <c r="J589" s="97" t="s">
        <v>269</v>
      </c>
      <c r="K589" s="27"/>
      <c r="L589" s="31"/>
      <c r="M589" s="563" t="s">
        <v>270</v>
      </c>
      <c r="N589" s="564"/>
      <c r="O589" s="198"/>
      <c r="P589" s="190"/>
      <c r="Q589" s="28">
        <v>26000000</v>
      </c>
      <c r="R589" s="29">
        <f t="shared" si="149"/>
        <v>9.0353072004448158</v>
      </c>
      <c r="S589" s="29">
        <v>100</v>
      </c>
      <c r="T589" s="28">
        <f t="shared" si="145"/>
        <v>0</v>
      </c>
      <c r="U589" s="28">
        <f t="shared" si="111"/>
        <v>0</v>
      </c>
      <c r="V589" s="87">
        <f t="shared" si="137"/>
        <v>100</v>
      </c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>
        <v>0</v>
      </c>
      <c r="AJ589" s="29">
        <f t="shared" si="147"/>
        <v>0</v>
      </c>
      <c r="AK589" s="136">
        <f t="shared" si="148"/>
        <v>26000000</v>
      </c>
      <c r="AL589" s="29">
        <f t="shared" si="143"/>
        <v>100</v>
      </c>
      <c r="AM589" s="26"/>
    </row>
    <row r="590" spans="1:39" ht="24.75" customHeight="1" x14ac:dyDescent="0.25">
      <c r="A590" s="26"/>
      <c r="B590" s="97"/>
      <c r="C590" s="97"/>
      <c r="D590" s="97"/>
      <c r="E590" s="97"/>
      <c r="F590" s="97"/>
      <c r="G590" s="97"/>
      <c r="H590" s="97"/>
      <c r="I590" s="98"/>
      <c r="J590" s="97" t="s">
        <v>315</v>
      </c>
      <c r="K590" s="27"/>
      <c r="L590" s="31"/>
      <c r="M590" s="563" t="s">
        <v>271</v>
      </c>
      <c r="N590" s="564"/>
      <c r="O590" s="198"/>
      <c r="P590" s="190"/>
      <c r="Q590" s="28">
        <v>3500000</v>
      </c>
      <c r="R590" s="29">
        <f t="shared" si="149"/>
        <v>1.2162913539060329</v>
      </c>
      <c r="S590" s="29">
        <v>100</v>
      </c>
      <c r="T590" s="28">
        <f t="shared" si="145"/>
        <v>0</v>
      </c>
      <c r="U590" s="28">
        <f t="shared" si="111"/>
        <v>0</v>
      </c>
      <c r="V590" s="87">
        <f t="shared" si="137"/>
        <v>100</v>
      </c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>
        <v>0</v>
      </c>
      <c r="AJ590" s="29">
        <f t="shared" si="147"/>
        <v>0</v>
      </c>
      <c r="AK590" s="136">
        <f t="shared" si="148"/>
        <v>3500000</v>
      </c>
      <c r="AL590" s="29">
        <f t="shared" si="143"/>
        <v>100</v>
      </c>
      <c r="AM590" s="26"/>
    </row>
    <row r="591" spans="1:39" ht="24.75" customHeight="1" x14ac:dyDescent="0.25">
      <c r="A591" s="26"/>
      <c r="B591" s="97"/>
      <c r="C591" s="97"/>
      <c r="D591" s="97"/>
      <c r="E591" s="97"/>
      <c r="F591" s="97"/>
      <c r="G591" s="97"/>
      <c r="H591" s="97"/>
      <c r="I591" s="98"/>
      <c r="J591" s="97" t="s">
        <v>316</v>
      </c>
      <c r="K591" s="27"/>
      <c r="L591" s="31"/>
      <c r="M591" s="563" t="s">
        <v>317</v>
      </c>
      <c r="N591" s="564"/>
      <c r="O591" s="198"/>
      <c r="P591" s="190"/>
      <c r="Q591" s="28">
        <v>600000</v>
      </c>
      <c r="R591" s="29">
        <f t="shared" si="149"/>
        <v>0.2085070892410342</v>
      </c>
      <c r="S591" s="29">
        <v>100</v>
      </c>
      <c r="T591" s="28">
        <f t="shared" si="145"/>
        <v>0</v>
      </c>
      <c r="U591" s="28">
        <f t="shared" si="111"/>
        <v>0</v>
      </c>
      <c r="V591" s="87">
        <f t="shared" si="137"/>
        <v>100</v>
      </c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>
        <v>0</v>
      </c>
      <c r="AJ591" s="29">
        <f t="shared" si="147"/>
        <v>0</v>
      </c>
      <c r="AK591" s="136">
        <f t="shared" si="148"/>
        <v>600000</v>
      </c>
      <c r="AL591" s="29">
        <f t="shared" si="143"/>
        <v>100</v>
      </c>
      <c r="AM591" s="26"/>
    </row>
    <row r="592" spans="1:39" ht="24.75" customHeight="1" x14ac:dyDescent="0.25">
      <c r="A592" s="26"/>
      <c r="B592" s="97"/>
      <c r="C592" s="97"/>
      <c r="D592" s="97"/>
      <c r="E592" s="97"/>
      <c r="F592" s="97"/>
      <c r="G592" s="97"/>
      <c r="H592" s="97"/>
      <c r="I592" s="98"/>
      <c r="J592" s="97" t="s">
        <v>328</v>
      </c>
      <c r="K592" s="27"/>
      <c r="L592" s="31"/>
      <c r="M592" s="563" t="s">
        <v>329</v>
      </c>
      <c r="N592" s="564"/>
      <c r="O592" s="198"/>
      <c r="P592" s="190"/>
      <c r="Q592" s="28">
        <v>15000000</v>
      </c>
      <c r="R592" s="29">
        <f t="shared" si="149"/>
        <v>5.2126772310258547</v>
      </c>
      <c r="S592" s="29">
        <v>100</v>
      </c>
      <c r="T592" s="28">
        <f t="shared" si="145"/>
        <v>0</v>
      </c>
      <c r="U592" s="28">
        <f t="shared" si="111"/>
        <v>0</v>
      </c>
      <c r="V592" s="87">
        <f t="shared" si="137"/>
        <v>100</v>
      </c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>
        <v>0</v>
      </c>
      <c r="AJ592" s="29">
        <f t="shared" si="147"/>
        <v>0</v>
      </c>
      <c r="AK592" s="136">
        <f t="shared" si="148"/>
        <v>15000000</v>
      </c>
      <c r="AL592" s="29">
        <f t="shared" si="143"/>
        <v>100</v>
      </c>
      <c r="AM592" s="26"/>
    </row>
    <row r="593" spans="1:39" ht="24.75" customHeight="1" x14ac:dyDescent="0.25">
      <c r="A593" s="26"/>
      <c r="B593" s="97"/>
      <c r="C593" s="97"/>
      <c r="D593" s="97"/>
      <c r="E593" s="97"/>
      <c r="F593" s="97"/>
      <c r="G593" s="97"/>
      <c r="H593" s="97"/>
      <c r="I593" s="98"/>
      <c r="J593" s="97" t="s">
        <v>318</v>
      </c>
      <c r="K593" s="27"/>
      <c r="L593" s="31"/>
      <c r="M593" s="563" t="s">
        <v>319</v>
      </c>
      <c r="N593" s="564"/>
      <c r="O593" s="198"/>
      <c r="P593" s="190"/>
      <c r="Q593" s="28">
        <v>49000000</v>
      </c>
      <c r="R593" s="29">
        <f t="shared" si="149"/>
        <v>17.02807895468446</v>
      </c>
      <c r="S593" s="29">
        <v>100</v>
      </c>
      <c r="T593" s="28">
        <f t="shared" si="145"/>
        <v>0</v>
      </c>
      <c r="U593" s="28">
        <f t="shared" si="111"/>
        <v>0</v>
      </c>
      <c r="V593" s="87">
        <v>100</v>
      </c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>
        <v>0</v>
      </c>
      <c r="AJ593" s="29">
        <f t="shared" si="147"/>
        <v>0</v>
      </c>
      <c r="AK593" s="136">
        <f t="shared" si="148"/>
        <v>49000000</v>
      </c>
      <c r="AL593" s="29">
        <f t="shared" si="143"/>
        <v>100</v>
      </c>
      <c r="AM593" s="26"/>
    </row>
    <row r="594" spans="1:39" ht="24.75" customHeight="1" x14ac:dyDescent="0.25">
      <c r="A594" s="26"/>
      <c r="B594" s="97"/>
      <c r="C594" s="97"/>
      <c r="D594" s="97"/>
      <c r="E594" s="97"/>
      <c r="F594" s="97"/>
      <c r="G594" s="97"/>
      <c r="H594" s="97"/>
      <c r="I594" s="98"/>
      <c r="J594" s="97" t="s">
        <v>280</v>
      </c>
      <c r="K594" s="27"/>
      <c r="L594" s="31"/>
      <c r="M594" s="563" t="s">
        <v>281</v>
      </c>
      <c r="N594" s="564"/>
      <c r="O594" s="198"/>
      <c r="P594" s="190"/>
      <c r="Q594" s="28">
        <v>8000000</v>
      </c>
      <c r="R594" s="29">
        <f t="shared" si="149"/>
        <v>2.7800945232137892</v>
      </c>
      <c r="S594" s="29">
        <v>100</v>
      </c>
      <c r="T594" s="28">
        <f t="shared" si="145"/>
        <v>0</v>
      </c>
      <c r="U594" s="28">
        <f t="shared" si="111"/>
        <v>0</v>
      </c>
      <c r="V594" s="87">
        <f t="shared" si="137"/>
        <v>100</v>
      </c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>
        <v>0</v>
      </c>
      <c r="AJ594" s="29">
        <f t="shared" si="147"/>
        <v>0</v>
      </c>
      <c r="AK594" s="136">
        <f t="shared" si="148"/>
        <v>8000000</v>
      </c>
      <c r="AL594" s="29">
        <f t="shared" si="143"/>
        <v>100</v>
      </c>
      <c r="AM594" s="26"/>
    </row>
    <row r="595" spans="1:39" ht="24.75" customHeight="1" x14ac:dyDescent="0.25">
      <c r="A595" s="26"/>
      <c r="B595" s="97"/>
      <c r="C595" s="97"/>
      <c r="D595" s="97"/>
      <c r="E595" s="97"/>
      <c r="F595" s="97"/>
      <c r="G595" s="97"/>
      <c r="H595" s="97"/>
      <c r="I595" s="98"/>
      <c r="J595" s="97" t="s">
        <v>284</v>
      </c>
      <c r="K595" s="27"/>
      <c r="L595" s="31"/>
      <c r="M595" s="563" t="s">
        <v>285</v>
      </c>
      <c r="N595" s="564"/>
      <c r="O595" s="198"/>
      <c r="P595" s="190"/>
      <c r="Q595" s="28">
        <v>3000000</v>
      </c>
      <c r="R595" s="29">
        <f t="shared" si="149"/>
        <v>1.0425354462051708</v>
      </c>
      <c r="S595" s="29">
        <v>100</v>
      </c>
      <c r="T595" s="28">
        <f t="shared" si="145"/>
        <v>0</v>
      </c>
      <c r="U595" s="28">
        <f t="shared" si="111"/>
        <v>0</v>
      </c>
      <c r="V595" s="87">
        <f t="shared" si="137"/>
        <v>100</v>
      </c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>
        <v>0</v>
      </c>
      <c r="AJ595" s="29">
        <f t="shared" si="147"/>
        <v>0</v>
      </c>
      <c r="AK595" s="136">
        <f t="shared" si="148"/>
        <v>3000000</v>
      </c>
      <c r="AL595" s="29">
        <f t="shared" si="143"/>
        <v>100</v>
      </c>
      <c r="AM595" s="26"/>
    </row>
    <row r="596" spans="1:39" ht="24.75" customHeight="1" x14ac:dyDescent="0.25">
      <c r="A596" s="26"/>
      <c r="B596" s="97"/>
      <c r="C596" s="97"/>
      <c r="D596" s="97"/>
      <c r="E596" s="97"/>
      <c r="F596" s="97"/>
      <c r="G596" s="97"/>
      <c r="H596" s="97"/>
      <c r="I596" s="98"/>
      <c r="J596" s="97" t="s">
        <v>282</v>
      </c>
      <c r="K596" s="27"/>
      <c r="L596" s="31"/>
      <c r="M596" s="563" t="s">
        <v>283</v>
      </c>
      <c r="N596" s="564"/>
      <c r="O596" s="198"/>
      <c r="P596" s="190"/>
      <c r="Q596" s="28">
        <v>7700000</v>
      </c>
      <c r="R596" s="29">
        <f t="shared" si="149"/>
        <v>2.6758409785932722</v>
      </c>
      <c r="S596" s="29">
        <v>100</v>
      </c>
      <c r="T596" s="28">
        <f t="shared" si="145"/>
        <v>0</v>
      </c>
      <c r="U596" s="28">
        <f t="shared" si="111"/>
        <v>0</v>
      </c>
      <c r="V596" s="87">
        <f t="shared" si="137"/>
        <v>100</v>
      </c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>
        <v>0</v>
      </c>
      <c r="AJ596" s="29">
        <f t="shared" si="147"/>
        <v>0</v>
      </c>
      <c r="AK596" s="136">
        <f t="shared" si="148"/>
        <v>7700000</v>
      </c>
      <c r="AL596" s="29">
        <f t="shared" si="143"/>
        <v>100</v>
      </c>
      <c r="AM596" s="26"/>
    </row>
    <row r="597" spans="1:39" ht="24.75" customHeight="1" x14ac:dyDescent="0.25">
      <c r="A597" s="26"/>
      <c r="B597" s="97"/>
      <c r="C597" s="97"/>
      <c r="D597" s="97"/>
      <c r="E597" s="97"/>
      <c r="F597" s="97"/>
      <c r="G597" s="97"/>
      <c r="H597" s="97"/>
      <c r="I597" s="98"/>
      <c r="J597" s="97" t="s">
        <v>320</v>
      </c>
      <c r="K597" s="27"/>
      <c r="L597" s="31"/>
      <c r="M597" s="563" t="s">
        <v>321</v>
      </c>
      <c r="N597" s="564"/>
      <c r="O597" s="198"/>
      <c r="P597" s="190"/>
      <c r="Q597" s="28">
        <v>28000000</v>
      </c>
      <c r="R597" s="29">
        <f t="shared" si="149"/>
        <v>9.7303308312482635</v>
      </c>
      <c r="S597" s="29">
        <v>100</v>
      </c>
      <c r="T597" s="28">
        <f t="shared" si="145"/>
        <v>0</v>
      </c>
      <c r="U597" s="28">
        <f t="shared" si="111"/>
        <v>0</v>
      </c>
      <c r="V597" s="87">
        <f t="shared" si="137"/>
        <v>100</v>
      </c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>
        <v>0</v>
      </c>
      <c r="AJ597" s="29">
        <f t="shared" si="147"/>
        <v>0</v>
      </c>
      <c r="AK597" s="136">
        <f t="shared" si="148"/>
        <v>28000000</v>
      </c>
      <c r="AL597" s="29">
        <f t="shared" si="143"/>
        <v>100</v>
      </c>
      <c r="AM597" s="26"/>
    </row>
    <row r="598" spans="1:39" ht="24.75" customHeight="1" x14ac:dyDescent="0.25">
      <c r="A598" s="26"/>
      <c r="B598" s="97"/>
      <c r="C598" s="97"/>
      <c r="D598" s="97"/>
      <c r="E598" s="97"/>
      <c r="F598" s="97"/>
      <c r="G598" s="97"/>
      <c r="H598" s="97"/>
      <c r="I598" s="98"/>
      <c r="J598" s="97" t="s">
        <v>407</v>
      </c>
      <c r="K598" s="27"/>
      <c r="L598" s="31"/>
      <c r="M598" s="563" t="s">
        <v>414</v>
      </c>
      <c r="N598" s="564"/>
      <c r="O598" s="198"/>
      <c r="P598" s="190"/>
      <c r="Q598" s="28">
        <v>1500000</v>
      </c>
      <c r="R598" s="29">
        <f t="shared" si="149"/>
        <v>0.5212677231025854</v>
      </c>
      <c r="S598" s="29">
        <v>100</v>
      </c>
      <c r="T598" s="28">
        <f t="shared" si="145"/>
        <v>0</v>
      </c>
      <c r="U598" s="28">
        <f t="shared" si="111"/>
        <v>0</v>
      </c>
      <c r="V598" s="87">
        <v>100</v>
      </c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>
        <v>0</v>
      </c>
      <c r="AJ598" s="29">
        <f t="shared" si="147"/>
        <v>0</v>
      </c>
      <c r="AK598" s="136">
        <f t="shared" si="148"/>
        <v>1500000</v>
      </c>
      <c r="AL598" s="29">
        <f t="shared" si="143"/>
        <v>100</v>
      </c>
      <c r="AM598" s="26"/>
    </row>
    <row r="599" spans="1:39" s="86" customFormat="1" ht="24.75" customHeight="1" x14ac:dyDescent="0.25">
      <c r="A599" s="21">
        <f>SUM(A585+1)</f>
        <v>68</v>
      </c>
      <c r="B599" s="99"/>
      <c r="C599" s="99"/>
      <c r="D599" s="99"/>
      <c r="E599" s="99"/>
      <c r="F599" s="99"/>
      <c r="G599" s="99"/>
      <c r="H599" s="99"/>
      <c r="I599" s="100"/>
      <c r="J599" s="122" t="s">
        <v>524</v>
      </c>
      <c r="K599" s="22"/>
      <c r="L599" s="72"/>
      <c r="M599" s="568" t="s">
        <v>204</v>
      </c>
      <c r="N599" s="546"/>
      <c r="O599" s="197"/>
      <c r="P599" s="189"/>
      <c r="Q599" s="23">
        <f>SUM(Q600:Q608)</f>
        <v>551480000</v>
      </c>
      <c r="R599" s="24">
        <f>Q599/Q$216*100</f>
        <v>3.5143578895300869</v>
      </c>
      <c r="S599" s="24">
        <v>100</v>
      </c>
      <c r="T599" s="23">
        <f t="shared" si="145"/>
        <v>0</v>
      </c>
      <c r="U599" s="23">
        <f t="shared" si="111"/>
        <v>0</v>
      </c>
      <c r="V599" s="90">
        <f t="shared" si="137"/>
        <v>100</v>
      </c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>
        <f>SUM(AI600:AI608)</f>
        <v>0</v>
      </c>
      <c r="AJ599" s="24">
        <f t="shared" si="147"/>
        <v>0</v>
      </c>
      <c r="AK599" s="134">
        <f t="shared" si="148"/>
        <v>551480000</v>
      </c>
      <c r="AL599" s="24">
        <f t="shared" si="143"/>
        <v>100</v>
      </c>
      <c r="AM599" s="21"/>
    </row>
    <row r="600" spans="1:39" ht="24.75" customHeight="1" x14ac:dyDescent="0.25">
      <c r="A600" s="26"/>
      <c r="B600" s="97"/>
      <c r="C600" s="97"/>
      <c r="D600" s="97"/>
      <c r="E600" s="97"/>
      <c r="F600" s="97"/>
      <c r="G600" s="97"/>
      <c r="H600" s="97"/>
      <c r="I600" s="98"/>
      <c r="J600" s="97" t="s">
        <v>257</v>
      </c>
      <c r="K600" s="27"/>
      <c r="L600" s="31"/>
      <c r="M600" s="563" t="s">
        <v>258</v>
      </c>
      <c r="N600" s="564"/>
      <c r="O600" s="198"/>
      <c r="P600" s="190"/>
      <c r="Q600" s="28">
        <v>5520000</v>
      </c>
      <c r="R600" s="29">
        <f>Q600/Q$599*100</f>
        <v>1.000942917240879</v>
      </c>
      <c r="S600" s="29">
        <v>100</v>
      </c>
      <c r="T600" s="28">
        <f t="shared" si="145"/>
        <v>0</v>
      </c>
      <c r="U600" s="28">
        <f t="shared" si="111"/>
        <v>0</v>
      </c>
      <c r="V600" s="87">
        <f t="shared" si="137"/>
        <v>100</v>
      </c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>
        <v>0</v>
      </c>
      <c r="AJ600" s="29">
        <f t="shared" si="147"/>
        <v>0</v>
      </c>
      <c r="AK600" s="136">
        <f t="shared" si="148"/>
        <v>5520000</v>
      </c>
      <c r="AL600" s="29">
        <f t="shared" si="143"/>
        <v>100</v>
      </c>
      <c r="AM600" s="26"/>
    </row>
    <row r="601" spans="1:39" ht="24.75" customHeight="1" x14ac:dyDescent="0.25">
      <c r="A601" s="26"/>
      <c r="B601" s="97"/>
      <c r="C601" s="97"/>
      <c r="D601" s="97"/>
      <c r="E601" s="97"/>
      <c r="F601" s="97"/>
      <c r="G601" s="97"/>
      <c r="H601" s="97"/>
      <c r="I601" s="98"/>
      <c r="J601" s="97" t="s">
        <v>326</v>
      </c>
      <c r="K601" s="27"/>
      <c r="L601" s="31"/>
      <c r="M601" s="563" t="s">
        <v>327</v>
      </c>
      <c r="N601" s="564"/>
      <c r="O601" s="198"/>
      <c r="P601" s="190"/>
      <c r="Q601" s="28">
        <v>280800000</v>
      </c>
      <c r="R601" s="29">
        <f t="shared" ref="R601:R608" si="150">Q601/Q$599*100</f>
        <v>50.917531007470807</v>
      </c>
      <c r="S601" s="29">
        <v>100</v>
      </c>
      <c r="T601" s="28">
        <f t="shared" si="145"/>
        <v>0</v>
      </c>
      <c r="U601" s="28">
        <f t="shared" si="111"/>
        <v>0</v>
      </c>
      <c r="V601" s="87">
        <f t="shared" si="137"/>
        <v>100</v>
      </c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>
        <v>0</v>
      </c>
      <c r="AJ601" s="29">
        <f t="shared" si="147"/>
        <v>0</v>
      </c>
      <c r="AK601" s="136">
        <f t="shared" si="148"/>
        <v>280800000</v>
      </c>
      <c r="AL601" s="29">
        <f t="shared" si="143"/>
        <v>100</v>
      </c>
      <c r="AM601" s="26"/>
    </row>
    <row r="602" spans="1:39" ht="24.75" customHeight="1" x14ac:dyDescent="0.25">
      <c r="A602" s="26"/>
      <c r="B602" s="97"/>
      <c r="C602" s="97"/>
      <c r="D602" s="97"/>
      <c r="E602" s="97"/>
      <c r="F602" s="97"/>
      <c r="G602" s="97"/>
      <c r="H602" s="97"/>
      <c r="I602" s="98"/>
      <c r="J602" s="97" t="s">
        <v>315</v>
      </c>
      <c r="K602" s="27"/>
      <c r="L602" s="31"/>
      <c r="M602" s="563" t="s">
        <v>271</v>
      </c>
      <c r="N602" s="564"/>
      <c r="O602" s="198"/>
      <c r="P602" s="190"/>
      <c r="Q602" s="28">
        <v>1660000</v>
      </c>
      <c r="R602" s="29">
        <f t="shared" si="150"/>
        <v>0.30100819612678609</v>
      </c>
      <c r="S602" s="29">
        <v>100</v>
      </c>
      <c r="T602" s="28">
        <f t="shared" si="145"/>
        <v>0</v>
      </c>
      <c r="U602" s="28">
        <f t="shared" si="111"/>
        <v>0</v>
      </c>
      <c r="V602" s="87">
        <f t="shared" si="137"/>
        <v>100</v>
      </c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>
        <v>0</v>
      </c>
      <c r="AJ602" s="29">
        <f t="shared" si="147"/>
        <v>0</v>
      </c>
      <c r="AK602" s="136">
        <f t="shared" si="148"/>
        <v>1660000</v>
      </c>
      <c r="AL602" s="29">
        <f t="shared" si="143"/>
        <v>100</v>
      </c>
      <c r="AM602" s="26"/>
    </row>
    <row r="603" spans="1:39" ht="24.75" customHeight="1" x14ac:dyDescent="0.25">
      <c r="A603" s="26"/>
      <c r="B603" s="97"/>
      <c r="C603" s="97"/>
      <c r="D603" s="97"/>
      <c r="E603" s="97"/>
      <c r="F603" s="97"/>
      <c r="G603" s="97"/>
      <c r="H603" s="97"/>
      <c r="I603" s="98"/>
      <c r="J603" s="97" t="s">
        <v>328</v>
      </c>
      <c r="K603" s="27"/>
      <c r="L603" s="31"/>
      <c r="M603" s="563" t="s">
        <v>329</v>
      </c>
      <c r="N603" s="564"/>
      <c r="O603" s="198"/>
      <c r="P603" s="190"/>
      <c r="Q603" s="28">
        <v>20000000</v>
      </c>
      <c r="R603" s="29">
        <f t="shared" si="150"/>
        <v>3.6266047726118806</v>
      </c>
      <c r="S603" s="29">
        <v>100</v>
      </c>
      <c r="T603" s="28">
        <f t="shared" si="145"/>
        <v>0</v>
      </c>
      <c r="U603" s="28">
        <f t="shared" si="111"/>
        <v>0</v>
      </c>
      <c r="V603" s="87">
        <f t="shared" si="137"/>
        <v>100</v>
      </c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>
        <v>0</v>
      </c>
      <c r="AJ603" s="29">
        <f t="shared" si="147"/>
        <v>0</v>
      </c>
      <c r="AK603" s="136">
        <f t="shared" si="148"/>
        <v>20000000</v>
      </c>
      <c r="AL603" s="29">
        <f t="shared" si="143"/>
        <v>100</v>
      </c>
      <c r="AM603" s="26"/>
    </row>
    <row r="604" spans="1:39" ht="30" customHeight="1" x14ac:dyDescent="0.25">
      <c r="A604" s="26"/>
      <c r="B604" s="97"/>
      <c r="C604" s="97"/>
      <c r="D604" s="97"/>
      <c r="E604" s="97"/>
      <c r="F604" s="97"/>
      <c r="G604" s="97"/>
      <c r="H604" s="97"/>
      <c r="I604" s="98"/>
      <c r="J604" s="97" t="s">
        <v>318</v>
      </c>
      <c r="K604" s="27"/>
      <c r="L604" s="31"/>
      <c r="M604" s="563" t="s">
        <v>319</v>
      </c>
      <c r="N604" s="564"/>
      <c r="O604" s="198"/>
      <c r="P604" s="190"/>
      <c r="Q604" s="28">
        <v>80000000</v>
      </c>
      <c r="R604" s="29">
        <f t="shared" si="150"/>
        <v>14.506419090447523</v>
      </c>
      <c r="S604" s="29">
        <v>100</v>
      </c>
      <c r="T604" s="28">
        <f t="shared" si="145"/>
        <v>0</v>
      </c>
      <c r="U604" s="28">
        <f t="shared" si="111"/>
        <v>0</v>
      </c>
      <c r="V604" s="87">
        <f t="shared" si="137"/>
        <v>100</v>
      </c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>
        <v>0</v>
      </c>
      <c r="AJ604" s="29">
        <f t="shared" si="147"/>
        <v>0</v>
      </c>
      <c r="AK604" s="136">
        <f t="shared" si="148"/>
        <v>80000000</v>
      </c>
      <c r="AL604" s="29">
        <f t="shared" si="143"/>
        <v>100</v>
      </c>
      <c r="AM604" s="26"/>
    </row>
    <row r="605" spans="1:39" ht="24.75" customHeight="1" x14ac:dyDescent="0.25">
      <c r="A605" s="26"/>
      <c r="B605" s="97"/>
      <c r="C605" s="97"/>
      <c r="D605" s="97"/>
      <c r="E605" s="97"/>
      <c r="F605" s="97"/>
      <c r="G605" s="97"/>
      <c r="H605" s="97"/>
      <c r="I605" s="98"/>
      <c r="J605" s="97" t="s">
        <v>280</v>
      </c>
      <c r="K605" s="27"/>
      <c r="L605" s="31"/>
      <c r="M605" s="563" t="s">
        <v>281</v>
      </c>
      <c r="N605" s="564"/>
      <c r="O605" s="198"/>
      <c r="P605" s="190"/>
      <c r="Q605" s="28">
        <v>55000000</v>
      </c>
      <c r="R605" s="29">
        <f t="shared" si="150"/>
        <v>9.9731631246826726</v>
      </c>
      <c r="S605" s="29">
        <v>100</v>
      </c>
      <c r="T605" s="28">
        <f t="shared" si="145"/>
        <v>0</v>
      </c>
      <c r="U605" s="28">
        <f t="shared" si="111"/>
        <v>0</v>
      </c>
      <c r="V605" s="87">
        <f t="shared" si="137"/>
        <v>100</v>
      </c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>
        <v>0</v>
      </c>
      <c r="AJ605" s="29">
        <f t="shared" si="147"/>
        <v>0</v>
      </c>
      <c r="AK605" s="136">
        <f t="shared" si="148"/>
        <v>55000000</v>
      </c>
      <c r="AL605" s="29">
        <f t="shared" si="143"/>
        <v>100</v>
      </c>
      <c r="AM605" s="26"/>
    </row>
    <row r="606" spans="1:39" ht="24.75" customHeight="1" x14ac:dyDescent="0.25">
      <c r="A606" s="26"/>
      <c r="B606" s="97"/>
      <c r="C606" s="97"/>
      <c r="D606" s="97"/>
      <c r="E606" s="97"/>
      <c r="F606" s="97"/>
      <c r="G606" s="97"/>
      <c r="H606" s="97"/>
      <c r="I606" s="98"/>
      <c r="J606" s="97" t="s">
        <v>284</v>
      </c>
      <c r="K606" s="27"/>
      <c r="L606" s="31"/>
      <c r="M606" s="563" t="s">
        <v>285</v>
      </c>
      <c r="N606" s="564"/>
      <c r="O606" s="198"/>
      <c r="P606" s="190"/>
      <c r="Q606" s="28">
        <v>2000000</v>
      </c>
      <c r="R606" s="29">
        <f t="shared" si="150"/>
        <v>0.36266047726118805</v>
      </c>
      <c r="S606" s="29">
        <v>100</v>
      </c>
      <c r="T606" s="28">
        <f t="shared" si="145"/>
        <v>0</v>
      </c>
      <c r="U606" s="28">
        <f t="shared" si="111"/>
        <v>0</v>
      </c>
      <c r="V606" s="87">
        <f t="shared" si="137"/>
        <v>100</v>
      </c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>
        <v>0</v>
      </c>
      <c r="AJ606" s="29">
        <f t="shared" si="147"/>
        <v>0</v>
      </c>
      <c r="AK606" s="136">
        <f t="shared" si="148"/>
        <v>2000000</v>
      </c>
      <c r="AL606" s="29">
        <f t="shared" si="143"/>
        <v>100</v>
      </c>
      <c r="AM606" s="26"/>
    </row>
    <row r="607" spans="1:39" ht="24.75" customHeight="1" x14ac:dyDescent="0.25">
      <c r="A607" s="26"/>
      <c r="B607" s="97"/>
      <c r="C607" s="97"/>
      <c r="D607" s="97"/>
      <c r="E607" s="97"/>
      <c r="F607" s="97"/>
      <c r="G607" s="97"/>
      <c r="H607" s="97"/>
      <c r="I607" s="98"/>
      <c r="J607" s="97" t="s">
        <v>282</v>
      </c>
      <c r="K607" s="27"/>
      <c r="L607" s="31"/>
      <c r="M607" s="563" t="s">
        <v>283</v>
      </c>
      <c r="N607" s="564"/>
      <c r="O607" s="198"/>
      <c r="P607" s="190"/>
      <c r="Q607" s="28">
        <v>105000000</v>
      </c>
      <c r="R607" s="29">
        <f t="shared" si="150"/>
        <v>19.039675056212374</v>
      </c>
      <c r="S607" s="29">
        <v>100</v>
      </c>
      <c r="T607" s="28">
        <f t="shared" si="145"/>
        <v>0</v>
      </c>
      <c r="U607" s="28">
        <f t="shared" si="111"/>
        <v>0</v>
      </c>
      <c r="V607" s="87">
        <f t="shared" si="137"/>
        <v>100</v>
      </c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>
        <v>0</v>
      </c>
      <c r="AJ607" s="29">
        <f t="shared" si="147"/>
        <v>0</v>
      </c>
      <c r="AK607" s="136">
        <f t="shared" si="148"/>
        <v>105000000</v>
      </c>
      <c r="AL607" s="29">
        <f t="shared" si="143"/>
        <v>100</v>
      </c>
      <c r="AM607" s="26"/>
    </row>
    <row r="608" spans="1:39" ht="24.75" customHeight="1" x14ac:dyDescent="0.25">
      <c r="A608" s="26"/>
      <c r="B608" s="97"/>
      <c r="C608" s="97"/>
      <c r="D608" s="97"/>
      <c r="E608" s="97"/>
      <c r="F608" s="97"/>
      <c r="G608" s="97"/>
      <c r="H608" s="97"/>
      <c r="I608" s="98"/>
      <c r="J608" s="97" t="s">
        <v>407</v>
      </c>
      <c r="K608" s="27"/>
      <c r="L608" s="31"/>
      <c r="M608" s="563" t="s">
        <v>414</v>
      </c>
      <c r="N608" s="564"/>
      <c r="O608" s="198"/>
      <c r="P608" s="190"/>
      <c r="Q608" s="28">
        <v>1500000</v>
      </c>
      <c r="R608" s="29">
        <f t="shared" si="150"/>
        <v>0.27199535794589108</v>
      </c>
      <c r="S608" s="29">
        <v>100</v>
      </c>
      <c r="T608" s="28">
        <f t="shared" si="145"/>
        <v>0</v>
      </c>
      <c r="U608" s="28">
        <f t="shared" si="111"/>
        <v>0</v>
      </c>
      <c r="V608" s="87">
        <v>100</v>
      </c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>
        <v>0</v>
      </c>
      <c r="AJ608" s="29">
        <f t="shared" si="147"/>
        <v>0</v>
      </c>
      <c r="AK608" s="136">
        <f t="shared" si="148"/>
        <v>1500000</v>
      </c>
      <c r="AL608" s="29">
        <f t="shared" si="143"/>
        <v>100</v>
      </c>
      <c r="AM608" s="26"/>
    </row>
    <row r="609" spans="1:39" s="41" customFormat="1" ht="24.75" customHeight="1" x14ac:dyDescent="0.25">
      <c r="A609" s="21">
        <f>SUM(A599+1)</f>
        <v>69</v>
      </c>
      <c r="B609" s="99"/>
      <c r="C609" s="99"/>
      <c r="D609" s="99"/>
      <c r="E609" s="99"/>
      <c r="F609" s="99"/>
      <c r="G609" s="99"/>
      <c r="H609" s="99"/>
      <c r="I609" s="100"/>
      <c r="J609" s="122" t="s">
        <v>525</v>
      </c>
      <c r="K609" s="22"/>
      <c r="L609" s="72"/>
      <c r="M609" s="566" t="s">
        <v>205</v>
      </c>
      <c r="N609" s="567"/>
      <c r="O609" s="197"/>
      <c r="P609" s="189"/>
      <c r="Q609" s="23">
        <f>SUM(Q610:Q624)</f>
        <v>487484600</v>
      </c>
      <c r="R609" s="24">
        <f>Q609/Q$216*100</f>
        <v>3.1065412164256521</v>
      </c>
      <c r="S609" s="24">
        <v>100</v>
      </c>
      <c r="T609" s="23">
        <f t="shared" si="145"/>
        <v>0</v>
      </c>
      <c r="U609" s="23">
        <f t="shared" si="111"/>
        <v>0</v>
      </c>
      <c r="V609" s="90">
        <f t="shared" si="137"/>
        <v>100</v>
      </c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>
        <f>SUM(AI610:AI624)</f>
        <v>0</v>
      </c>
      <c r="AJ609" s="24">
        <f t="shared" si="147"/>
        <v>0</v>
      </c>
      <c r="AK609" s="134">
        <f t="shared" si="148"/>
        <v>487484600</v>
      </c>
      <c r="AL609" s="24">
        <f t="shared" si="143"/>
        <v>100</v>
      </c>
      <c r="AM609" s="21"/>
    </row>
    <row r="610" spans="1:39" ht="24.75" customHeight="1" x14ac:dyDescent="0.25">
      <c r="A610" s="26"/>
      <c r="B610" s="97"/>
      <c r="C610" s="97"/>
      <c r="D610" s="97"/>
      <c r="E610" s="97"/>
      <c r="F610" s="97"/>
      <c r="G610" s="97"/>
      <c r="H610" s="97"/>
      <c r="I610" s="98"/>
      <c r="J610" s="97" t="s">
        <v>257</v>
      </c>
      <c r="K610" s="27"/>
      <c r="L610" s="31"/>
      <c r="M610" s="563" t="s">
        <v>258</v>
      </c>
      <c r="N610" s="564"/>
      <c r="O610" s="198"/>
      <c r="P610" s="190"/>
      <c r="Q610" s="28">
        <v>3900000</v>
      </c>
      <c r="R610" s="29">
        <f>Q610/Q$609*100</f>
        <v>0.80002527259322653</v>
      </c>
      <c r="S610" s="29">
        <v>100</v>
      </c>
      <c r="T610" s="28">
        <f t="shared" si="145"/>
        <v>0</v>
      </c>
      <c r="U610" s="28">
        <f t="shared" si="111"/>
        <v>0</v>
      </c>
      <c r="V610" s="87">
        <f t="shared" si="137"/>
        <v>100</v>
      </c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>
        <v>0</v>
      </c>
      <c r="AJ610" s="29">
        <f t="shared" si="147"/>
        <v>0</v>
      </c>
      <c r="AK610" s="136">
        <f t="shared" si="148"/>
        <v>3900000</v>
      </c>
      <c r="AL610" s="29">
        <f t="shared" si="143"/>
        <v>100</v>
      </c>
      <c r="AM610" s="26"/>
    </row>
    <row r="611" spans="1:39" ht="24.75" customHeight="1" x14ac:dyDescent="0.25">
      <c r="A611" s="26"/>
      <c r="B611" s="97"/>
      <c r="C611" s="97"/>
      <c r="D611" s="97"/>
      <c r="E611" s="97"/>
      <c r="F611" s="97"/>
      <c r="G611" s="97"/>
      <c r="H611" s="97"/>
      <c r="I611" s="98"/>
      <c r="J611" s="97" t="s">
        <v>259</v>
      </c>
      <c r="K611" s="27"/>
      <c r="L611" s="31"/>
      <c r="M611" s="563" t="s">
        <v>260</v>
      </c>
      <c r="N611" s="564"/>
      <c r="O611" s="198"/>
      <c r="P611" s="190"/>
      <c r="Q611" s="28">
        <v>2400000</v>
      </c>
      <c r="R611" s="29">
        <f t="shared" ref="R611:R624" si="151">Q611/Q$609*100</f>
        <v>0.49232324467275479</v>
      </c>
      <c r="S611" s="29">
        <v>100</v>
      </c>
      <c r="T611" s="28">
        <f t="shared" si="145"/>
        <v>0</v>
      </c>
      <c r="U611" s="28">
        <f t="shared" si="111"/>
        <v>0</v>
      </c>
      <c r="V611" s="87">
        <f t="shared" si="137"/>
        <v>100</v>
      </c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>
        <v>0</v>
      </c>
      <c r="AJ611" s="29">
        <f t="shared" si="147"/>
        <v>0</v>
      </c>
      <c r="AK611" s="136">
        <f t="shared" si="148"/>
        <v>2400000</v>
      </c>
      <c r="AL611" s="29">
        <f t="shared" si="143"/>
        <v>100</v>
      </c>
      <c r="AM611" s="26"/>
    </row>
    <row r="612" spans="1:39" ht="24.75" customHeight="1" x14ac:dyDescent="0.25">
      <c r="A612" s="26"/>
      <c r="B612" s="97"/>
      <c r="C612" s="97"/>
      <c r="D612" s="97"/>
      <c r="E612" s="97"/>
      <c r="F612" s="97"/>
      <c r="G612" s="97"/>
      <c r="H612" s="97"/>
      <c r="I612" s="98"/>
      <c r="J612" s="97" t="s">
        <v>273</v>
      </c>
      <c r="K612" s="27"/>
      <c r="L612" s="31"/>
      <c r="M612" s="563" t="s">
        <v>322</v>
      </c>
      <c r="N612" s="564"/>
      <c r="O612" s="198"/>
      <c r="P612" s="190"/>
      <c r="Q612" s="28">
        <v>25200000</v>
      </c>
      <c r="R612" s="29">
        <f t="shared" si="151"/>
        <v>5.1693940690639257</v>
      </c>
      <c r="S612" s="29">
        <v>100</v>
      </c>
      <c r="T612" s="28">
        <f t="shared" si="145"/>
        <v>0</v>
      </c>
      <c r="U612" s="28">
        <f t="shared" si="111"/>
        <v>0</v>
      </c>
      <c r="V612" s="87">
        <f t="shared" si="137"/>
        <v>100</v>
      </c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>
        <v>0</v>
      </c>
      <c r="AJ612" s="29">
        <f t="shared" si="147"/>
        <v>0</v>
      </c>
      <c r="AK612" s="136">
        <f t="shared" si="148"/>
        <v>25200000</v>
      </c>
      <c r="AL612" s="29">
        <f t="shared" si="143"/>
        <v>100</v>
      </c>
      <c r="AM612" s="26"/>
    </row>
    <row r="613" spans="1:39" ht="24.75" customHeight="1" x14ac:dyDescent="0.25">
      <c r="A613" s="26"/>
      <c r="B613" s="97"/>
      <c r="C613" s="97"/>
      <c r="D613" s="97"/>
      <c r="E613" s="97"/>
      <c r="F613" s="97"/>
      <c r="G613" s="97"/>
      <c r="H613" s="97"/>
      <c r="I613" s="98"/>
      <c r="J613" s="97" t="s">
        <v>326</v>
      </c>
      <c r="K613" s="27"/>
      <c r="L613" s="31"/>
      <c r="M613" s="563" t="s">
        <v>327</v>
      </c>
      <c r="N613" s="564"/>
      <c r="O613" s="198"/>
      <c r="P613" s="190"/>
      <c r="Q613" s="28">
        <v>50250000</v>
      </c>
      <c r="R613" s="29">
        <f t="shared" si="151"/>
        <v>10.308017935335803</v>
      </c>
      <c r="S613" s="29">
        <v>100</v>
      </c>
      <c r="T613" s="28">
        <f t="shared" si="145"/>
        <v>0</v>
      </c>
      <c r="U613" s="28">
        <f t="shared" si="111"/>
        <v>0</v>
      </c>
      <c r="V613" s="87">
        <f t="shared" si="137"/>
        <v>100</v>
      </c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>
        <v>0</v>
      </c>
      <c r="AJ613" s="29">
        <f t="shared" si="147"/>
        <v>0</v>
      </c>
      <c r="AK613" s="136">
        <f t="shared" si="148"/>
        <v>50250000</v>
      </c>
      <c r="AL613" s="29">
        <f t="shared" si="143"/>
        <v>100</v>
      </c>
      <c r="AM613" s="26"/>
    </row>
    <row r="614" spans="1:39" ht="24.75" customHeight="1" x14ac:dyDescent="0.25">
      <c r="A614" s="26"/>
      <c r="B614" s="97"/>
      <c r="C614" s="97"/>
      <c r="D614" s="97"/>
      <c r="E614" s="97"/>
      <c r="F614" s="97"/>
      <c r="G614" s="97"/>
      <c r="H614" s="97"/>
      <c r="I614" s="98"/>
      <c r="J614" s="97" t="s">
        <v>323</v>
      </c>
      <c r="K614" s="27"/>
      <c r="L614" s="31"/>
      <c r="M614" s="563" t="s">
        <v>324</v>
      </c>
      <c r="N614" s="564"/>
      <c r="O614" s="198"/>
      <c r="P614" s="190"/>
      <c r="Q614" s="28">
        <v>13413000</v>
      </c>
      <c r="R614" s="29">
        <f t="shared" si="151"/>
        <v>2.7514715336648581</v>
      </c>
      <c r="S614" s="29">
        <v>100</v>
      </c>
      <c r="T614" s="28">
        <f t="shared" si="145"/>
        <v>0</v>
      </c>
      <c r="U614" s="28">
        <f t="shared" si="111"/>
        <v>0</v>
      </c>
      <c r="V614" s="87">
        <f t="shared" si="137"/>
        <v>100</v>
      </c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>
        <v>0</v>
      </c>
      <c r="AJ614" s="29">
        <f t="shared" si="147"/>
        <v>0</v>
      </c>
      <c r="AK614" s="136">
        <f t="shared" si="148"/>
        <v>13413000</v>
      </c>
      <c r="AL614" s="29">
        <f t="shared" si="143"/>
        <v>100</v>
      </c>
      <c r="AM614" s="26"/>
    </row>
    <row r="615" spans="1:39" ht="29.25" customHeight="1" x14ac:dyDescent="0.25">
      <c r="A615" s="26"/>
      <c r="B615" s="97"/>
      <c r="C615" s="97"/>
      <c r="D615" s="97"/>
      <c r="E615" s="97"/>
      <c r="F615" s="97"/>
      <c r="G615" s="97"/>
      <c r="H615" s="97"/>
      <c r="I615" s="98"/>
      <c r="J615" s="97" t="s">
        <v>253</v>
      </c>
      <c r="K615" s="27"/>
      <c r="L615" s="31"/>
      <c r="M615" s="563" t="s">
        <v>254</v>
      </c>
      <c r="N615" s="564"/>
      <c r="O615" s="198"/>
      <c r="P615" s="190"/>
      <c r="Q615" s="28">
        <v>1850000</v>
      </c>
      <c r="R615" s="29">
        <f t="shared" si="151"/>
        <v>0.37949916776858184</v>
      </c>
      <c r="S615" s="29">
        <v>100</v>
      </c>
      <c r="T615" s="28">
        <f t="shared" si="145"/>
        <v>0</v>
      </c>
      <c r="U615" s="28">
        <f t="shared" si="111"/>
        <v>0</v>
      </c>
      <c r="V615" s="87">
        <f t="shared" si="137"/>
        <v>100</v>
      </c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>
        <v>0</v>
      </c>
      <c r="AJ615" s="29">
        <f t="shared" si="147"/>
        <v>0</v>
      </c>
      <c r="AK615" s="136">
        <f t="shared" si="148"/>
        <v>1850000</v>
      </c>
      <c r="AL615" s="29">
        <f t="shared" si="143"/>
        <v>100</v>
      </c>
      <c r="AM615" s="26"/>
    </row>
    <row r="616" spans="1:39" ht="24.75" customHeight="1" x14ac:dyDescent="0.25">
      <c r="A616" s="26"/>
      <c r="B616" s="97"/>
      <c r="C616" s="97"/>
      <c r="D616" s="97"/>
      <c r="E616" s="97"/>
      <c r="F616" s="97"/>
      <c r="G616" s="97"/>
      <c r="H616" s="97"/>
      <c r="I616" s="98"/>
      <c r="J616" s="97" t="s">
        <v>269</v>
      </c>
      <c r="K616" s="27"/>
      <c r="L616" s="31"/>
      <c r="M616" s="563" t="s">
        <v>270</v>
      </c>
      <c r="N616" s="564"/>
      <c r="O616" s="198"/>
      <c r="P616" s="190"/>
      <c r="Q616" s="28">
        <v>9000000</v>
      </c>
      <c r="R616" s="29">
        <f t="shared" si="151"/>
        <v>1.8462121675228305</v>
      </c>
      <c r="S616" s="29">
        <v>100</v>
      </c>
      <c r="T616" s="28">
        <f t="shared" si="145"/>
        <v>0</v>
      </c>
      <c r="U616" s="28">
        <f t="shared" si="111"/>
        <v>0</v>
      </c>
      <c r="V616" s="87">
        <f t="shared" si="137"/>
        <v>100</v>
      </c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>
        <v>0</v>
      </c>
      <c r="AJ616" s="29">
        <f t="shared" si="147"/>
        <v>0</v>
      </c>
      <c r="AK616" s="136">
        <f t="shared" si="148"/>
        <v>9000000</v>
      </c>
      <c r="AL616" s="29">
        <f t="shared" si="143"/>
        <v>100</v>
      </c>
      <c r="AM616" s="26"/>
    </row>
    <row r="617" spans="1:39" ht="24.75" customHeight="1" x14ac:dyDescent="0.25">
      <c r="A617" s="26"/>
      <c r="B617" s="97"/>
      <c r="C617" s="97"/>
      <c r="D617" s="97"/>
      <c r="E617" s="97"/>
      <c r="F617" s="97"/>
      <c r="G617" s="97"/>
      <c r="H617" s="97"/>
      <c r="I617" s="98"/>
      <c r="J617" s="97" t="s">
        <v>315</v>
      </c>
      <c r="K617" s="27"/>
      <c r="L617" s="31"/>
      <c r="M617" s="563" t="s">
        <v>271</v>
      </c>
      <c r="N617" s="564"/>
      <c r="O617" s="198"/>
      <c r="P617" s="190"/>
      <c r="Q617" s="28">
        <v>4136600</v>
      </c>
      <c r="R617" s="29">
        <f t="shared" si="151"/>
        <v>0.84856013913054884</v>
      </c>
      <c r="S617" s="29">
        <v>100</v>
      </c>
      <c r="T617" s="28">
        <f t="shared" si="145"/>
        <v>0</v>
      </c>
      <c r="U617" s="28">
        <f t="shared" si="111"/>
        <v>0</v>
      </c>
      <c r="V617" s="87">
        <f t="shared" si="137"/>
        <v>100</v>
      </c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>
        <v>0</v>
      </c>
      <c r="AJ617" s="29">
        <f t="shared" si="147"/>
        <v>0</v>
      </c>
      <c r="AK617" s="136">
        <f t="shared" si="148"/>
        <v>4136600</v>
      </c>
      <c r="AL617" s="29">
        <f t="shared" si="143"/>
        <v>100</v>
      </c>
      <c r="AM617" s="26"/>
    </row>
    <row r="618" spans="1:39" ht="24.75" customHeight="1" x14ac:dyDescent="0.25">
      <c r="A618" s="26"/>
      <c r="B618" s="97"/>
      <c r="C618" s="97"/>
      <c r="D618" s="97"/>
      <c r="E618" s="97"/>
      <c r="F618" s="97"/>
      <c r="G618" s="97"/>
      <c r="H618" s="97"/>
      <c r="I618" s="98"/>
      <c r="J618" s="97" t="s">
        <v>328</v>
      </c>
      <c r="K618" s="27"/>
      <c r="L618" s="31"/>
      <c r="M618" s="563" t="s">
        <v>329</v>
      </c>
      <c r="N618" s="564"/>
      <c r="O618" s="198"/>
      <c r="P618" s="190"/>
      <c r="Q618" s="28">
        <v>13125000</v>
      </c>
      <c r="R618" s="29">
        <f t="shared" si="151"/>
        <v>2.6923927443041276</v>
      </c>
      <c r="S618" s="29">
        <v>100</v>
      </c>
      <c r="T618" s="28">
        <f t="shared" si="145"/>
        <v>0</v>
      </c>
      <c r="U618" s="28">
        <f t="shared" si="111"/>
        <v>0</v>
      </c>
      <c r="V618" s="87">
        <f t="shared" si="137"/>
        <v>100</v>
      </c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>
        <v>0</v>
      </c>
      <c r="AJ618" s="29">
        <f t="shared" si="147"/>
        <v>0</v>
      </c>
      <c r="AK618" s="136">
        <f t="shared" si="148"/>
        <v>13125000</v>
      </c>
      <c r="AL618" s="29">
        <f t="shared" si="143"/>
        <v>100</v>
      </c>
      <c r="AM618" s="26"/>
    </row>
    <row r="619" spans="1:39" ht="29.25" customHeight="1" x14ac:dyDescent="0.25">
      <c r="A619" s="26"/>
      <c r="B619" s="97"/>
      <c r="C619" s="97"/>
      <c r="D619" s="97"/>
      <c r="E619" s="97"/>
      <c r="F619" s="97"/>
      <c r="G619" s="97"/>
      <c r="H619" s="97"/>
      <c r="I619" s="98"/>
      <c r="J619" s="97" t="s">
        <v>318</v>
      </c>
      <c r="K619" s="27"/>
      <c r="L619" s="31"/>
      <c r="M619" s="563" t="s">
        <v>319</v>
      </c>
      <c r="N619" s="564"/>
      <c r="O619" s="198"/>
      <c r="P619" s="190"/>
      <c r="Q619" s="28">
        <v>199200000</v>
      </c>
      <c r="R619" s="29">
        <f t="shared" si="151"/>
        <v>40.862829307838652</v>
      </c>
      <c r="S619" s="29">
        <v>100</v>
      </c>
      <c r="T619" s="28">
        <f t="shared" si="145"/>
        <v>0</v>
      </c>
      <c r="U619" s="28">
        <f t="shared" si="111"/>
        <v>0</v>
      </c>
      <c r="V619" s="87">
        <f t="shared" si="137"/>
        <v>100</v>
      </c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>
        <v>0</v>
      </c>
      <c r="AJ619" s="29">
        <f t="shared" si="147"/>
        <v>0</v>
      </c>
      <c r="AK619" s="136">
        <f t="shared" si="148"/>
        <v>199200000</v>
      </c>
      <c r="AL619" s="29">
        <f t="shared" si="143"/>
        <v>100</v>
      </c>
      <c r="AM619" s="26"/>
    </row>
    <row r="620" spans="1:39" ht="24.75" customHeight="1" x14ac:dyDescent="0.25">
      <c r="A620" s="26"/>
      <c r="B620" s="97"/>
      <c r="C620" s="97"/>
      <c r="D620" s="97"/>
      <c r="E620" s="97"/>
      <c r="F620" s="97"/>
      <c r="G620" s="97"/>
      <c r="H620" s="97"/>
      <c r="I620" s="98"/>
      <c r="J620" s="97" t="s">
        <v>280</v>
      </c>
      <c r="K620" s="27"/>
      <c r="L620" s="31"/>
      <c r="M620" s="563" t="s">
        <v>281</v>
      </c>
      <c r="N620" s="564"/>
      <c r="O620" s="198"/>
      <c r="P620" s="190"/>
      <c r="Q620" s="28">
        <v>33350000</v>
      </c>
      <c r="R620" s="29">
        <f t="shared" si="151"/>
        <v>6.8412417540984887</v>
      </c>
      <c r="S620" s="29">
        <v>100</v>
      </c>
      <c r="T620" s="28">
        <f t="shared" si="145"/>
        <v>0</v>
      </c>
      <c r="U620" s="28">
        <f t="shared" si="111"/>
        <v>0</v>
      </c>
      <c r="V620" s="87">
        <f t="shared" si="137"/>
        <v>100</v>
      </c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>
        <v>0</v>
      </c>
      <c r="AJ620" s="29">
        <f t="shared" si="147"/>
        <v>0</v>
      </c>
      <c r="AK620" s="136">
        <f t="shared" si="148"/>
        <v>33350000</v>
      </c>
      <c r="AL620" s="29">
        <f t="shared" si="143"/>
        <v>100</v>
      </c>
      <c r="AM620" s="26"/>
    </row>
    <row r="621" spans="1:39" ht="24.75" customHeight="1" x14ac:dyDescent="0.25">
      <c r="A621" s="26"/>
      <c r="B621" s="97"/>
      <c r="C621" s="97"/>
      <c r="D621" s="97"/>
      <c r="E621" s="97"/>
      <c r="F621" s="97"/>
      <c r="G621" s="97"/>
      <c r="H621" s="97"/>
      <c r="I621" s="98"/>
      <c r="J621" s="97" t="s">
        <v>284</v>
      </c>
      <c r="K621" s="27"/>
      <c r="L621" s="31"/>
      <c r="M621" s="563" t="s">
        <v>285</v>
      </c>
      <c r="N621" s="564"/>
      <c r="O621" s="198"/>
      <c r="P621" s="190"/>
      <c r="Q621" s="28">
        <v>8800000</v>
      </c>
      <c r="R621" s="29">
        <f t="shared" si="151"/>
        <v>1.8051852304667677</v>
      </c>
      <c r="S621" s="29">
        <v>100</v>
      </c>
      <c r="T621" s="28">
        <f t="shared" si="145"/>
        <v>0</v>
      </c>
      <c r="U621" s="28">
        <f t="shared" si="111"/>
        <v>0</v>
      </c>
      <c r="V621" s="87">
        <f t="shared" si="137"/>
        <v>100</v>
      </c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>
        <v>0</v>
      </c>
      <c r="AJ621" s="29">
        <f t="shared" si="147"/>
        <v>0</v>
      </c>
      <c r="AK621" s="136">
        <f t="shared" si="148"/>
        <v>8800000</v>
      </c>
      <c r="AL621" s="29">
        <f t="shared" si="143"/>
        <v>100</v>
      </c>
      <c r="AM621" s="26"/>
    </row>
    <row r="622" spans="1:39" ht="24.75" customHeight="1" x14ac:dyDescent="0.25">
      <c r="A622" s="26"/>
      <c r="B622" s="97"/>
      <c r="C622" s="97"/>
      <c r="D622" s="97"/>
      <c r="E622" s="97"/>
      <c r="F622" s="97"/>
      <c r="G622" s="97"/>
      <c r="H622" s="97"/>
      <c r="I622" s="98"/>
      <c r="J622" s="97" t="s">
        <v>282</v>
      </c>
      <c r="K622" s="27"/>
      <c r="L622" s="31"/>
      <c r="M622" s="563" t="s">
        <v>283</v>
      </c>
      <c r="N622" s="564"/>
      <c r="O622" s="198"/>
      <c r="P622" s="190"/>
      <c r="Q622" s="28">
        <v>60560000</v>
      </c>
      <c r="R622" s="29">
        <f t="shared" si="151"/>
        <v>12.422956540575845</v>
      </c>
      <c r="S622" s="29">
        <v>100</v>
      </c>
      <c r="T622" s="28">
        <f t="shared" si="145"/>
        <v>0</v>
      </c>
      <c r="U622" s="28">
        <f t="shared" si="111"/>
        <v>0</v>
      </c>
      <c r="V622" s="87">
        <f t="shared" si="137"/>
        <v>100</v>
      </c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>
        <v>0</v>
      </c>
      <c r="AJ622" s="29">
        <f t="shared" si="147"/>
        <v>0</v>
      </c>
      <c r="AK622" s="136">
        <f t="shared" si="148"/>
        <v>60560000</v>
      </c>
      <c r="AL622" s="29">
        <f t="shared" si="143"/>
        <v>100</v>
      </c>
      <c r="AM622" s="26"/>
    </row>
    <row r="623" spans="1:39" ht="24.75" customHeight="1" x14ac:dyDescent="0.25">
      <c r="A623" s="26"/>
      <c r="B623" s="97"/>
      <c r="C623" s="97"/>
      <c r="D623" s="97"/>
      <c r="E623" s="97"/>
      <c r="F623" s="97"/>
      <c r="G623" s="97"/>
      <c r="H623" s="97"/>
      <c r="I623" s="98"/>
      <c r="J623" s="97" t="s">
        <v>320</v>
      </c>
      <c r="K623" s="27"/>
      <c r="L623" s="31"/>
      <c r="M623" s="563" t="s">
        <v>321</v>
      </c>
      <c r="N623" s="564"/>
      <c r="O623" s="198"/>
      <c r="P623" s="190"/>
      <c r="Q623" s="28">
        <v>55800000</v>
      </c>
      <c r="R623" s="29">
        <f t="shared" si="151"/>
        <v>11.446515438641548</v>
      </c>
      <c r="S623" s="29">
        <v>100</v>
      </c>
      <c r="T623" s="28">
        <f t="shared" si="145"/>
        <v>0</v>
      </c>
      <c r="U623" s="28">
        <f t="shared" si="111"/>
        <v>0</v>
      </c>
      <c r="V623" s="87">
        <f t="shared" si="137"/>
        <v>100</v>
      </c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>
        <v>0</v>
      </c>
      <c r="AJ623" s="29">
        <f t="shared" si="147"/>
        <v>0</v>
      </c>
      <c r="AK623" s="136">
        <f t="shared" si="148"/>
        <v>55800000</v>
      </c>
      <c r="AL623" s="29">
        <f t="shared" si="143"/>
        <v>100</v>
      </c>
      <c r="AM623" s="26"/>
    </row>
    <row r="624" spans="1:39" ht="24.75" customHeight="1" x14ac:dyDescent="0.25">
      <c r="A624" s="26"/>
      <c r="B624" s="97"/>
      <c r="C624" s="97"/>
      <c r="D624" s="97"/>
      <c r="E624" s="97"/>
      <c r="F624" s="97"/>
      <c r="G624" s="97"/>
      <c r="H624" s="97"/>
      <c r="I624" s="98"/>
      <c r="J624" s="97" t="s">
        <v>309</v>
      </c>
      <c r="K624" s="27"/>
      <c r="L624" s="31"/>
      <c r="M624" s="563" t="s">
        <v>310</v>
      </c>
      <c r="N624" s="564"/>
      <c r="O624" s="198"/>
      <c r="P624" s="190"/>
      <c r="Q624" s="28">
        <v>6500000</v>
      </c>
      <c r="R624" s="29">
        <f t="shared" si="151"/>
        <v>1.3333754543220442</v>
      </c>
      <c r="S624" s="29">
        <v>100</v>
      </c>
      <c r="T624" s="28">
        <f t="shared" si="145"/>
        <v>0</v>
      </c>
      <c r="U624" s="28">
        <f t="shared" si="111"/>
        <v>0</v>
      </c>
      <c r="V624" s="87">
        <f t="shared" si="137"/>
        <v>100</v>
      </c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>
        <v>0</v>
      </c>
      <c r="AJ624" s="29">
        <f t="shared" si="147"/>
        <v>0</v>
      </c>
      <c r="AK624" s="136">
        <f t="shared" si="148"/>
        <v>6500000</v>
      </c>
      <c r="AL624" s="29">
        <f t="shared" si="143"/>
        <v>100</v>
      </c>
      <c r="AM624" s="26"/>
    </row>
    <row r="625" spans="1:39" s="41" customFormat="1" ht="31.5" customHeight="1" x14ac:dyDescent="0.25">
      <c r="A625" s="21">
        <f>SUM(A609+1)</f>
        <v>70</v>
      </c>
      <c r="B625" s="99"/>
      <c r="C625" s="99"/>
      <c r="D625" s="99"/>
      <c r="E625" s="99"/>
      <c r="F625" s="99"/>
      <c r="G625" s="99"/>
      <c r="H625" s="99"/>
      <c r="I625" s="100"/>
      <c r="J625" s="122" t="s">
        <v>526</v>
      </c>
      <c r="K625" s="22"/>
      <c r="L625" s="72"/>
      <c r="M625" s="566" t="s">
        <v>206</v>
      </c>
      <c r="N625" s="567"/>
      <c r="O625" s="197"/>
      <c r="P625" s="189"/>
      <c r="Q625" s="23">
        <f>SUM(Q626:Q634)</f>
        <v>274600000</v>
      </c>
      <c r="R625" s="24">
        <f>Q625/Q$216*100</f>
        <v>1.7499141881209868</v>
      </c>
      <c r="S625" s="24">
        <v>100</v>
      </c>
      <c r="T625" s="23">
        <f t="shared" si="145"/>
        <v>0</v>
      </c>
      <c r="U625" s="23">
        <f t="shared" si="111"/>
        <v>0</v>
      </c>
      <c r="V625" s="90">
        <f t="shared" si="137"/>
        <v>100</v>
      </c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>
        <f>SUM(AI626:AI634)</f>
        <v>0</v>
      </c>
      <c r="AJ625" s="24">
        <f t="shared" si="147"/>
        <v>0</v>
      </c>
      <c r="AK625" s="134">
        <f t="shared" si="148"/>
        <v>274600000</v>
      </c>
      <c r="AL625" s="24">
        <f t="shared" si="143"/>
        <v>100</v>
      </c>
      <c r="AM625" s="21"/>
    </row>
    <row r="626" spans="1:39" ht="31.5" customHeight="1" x14ac:dyDescent="0.25">
      <c r="A626" s="26"/>
      <c r="B626" s="97"/>
      <c r="C626" s="97"/>
      <c r="D626" s="97"/>
      <c r="E626" s="97"/>
      <c r="F626" s="97"/>
      <c r="G626" s="97"/>
      <c r="H626" s="97"/>
      <c r="I626" s="98"/>
      <c r="J626" s="97" t="s">
        <v>257</v>
      </c>
      <c r="K626" s="27"/>
      <c r="L626" s="31"/>
      <c r="M626" s="563" t="s">
        <v>258</v>
      </c>
      <c r="N626" s="564"/>
      <c r="O626" s="198"/>
      <c r="P626" s="190"/>
      <c r="Q626" s="28">
        <v>3900000</v>
      </c>
      <c r="R626" s="29">
        <f>Q626/Q$625*100</f>
        <v>1.4202476329206117</v>
      </c>
      <c r="S626" s="29">
        <v>100</v>
      </c>
      <c r="T626" s="28">
        <f t="shared" si="145"/>
        <v>0</v>
      </c>
      <c r="U626" s="28">
        <f t="shared" si="111"/>
        <v>0</v>
      </c>
      <c r="V626" s="87">
        <f t="shared" si="137"/>
        <v>100</v>
      </c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>
        <v>0</v>
      </c>
      <c r="AJ626" s="29">
        <f t="shared" si="147"/>
        <v>0</v>
      </c>
      <c r="AK626" s="136">
        <f t="shared" si="148"/>
        <v>3900000</v>
      </c>
      <c r="AL626" s="29">
        <f t="shared" si="143"/>
        <v>100</v>
      </c>
      <c r="AM626" s="26"/>
    </row>
    <row r="627" spans="1:39" ht="31.5" customHeight="1" x14ac:dyDescent="0.25">
      <c r="A627" s="26"/>
      <c r="B627" s="97"/>
      <c r="C627" s="97"/>
      <c r="D627" s="97"/>
      <c r="E627" s="97"/>
      <c r="F627" s="97"/>
      <c r="G627" s="97"/>
      <c r="H627" s="97"/>
      <c r="I627" s="98"/>
      <c r="J627" s="97" t="s">
        <v>273</v>
      </c>
      <c r="K627" s="27"/>
      <c r="L627" s="31"/>
      <c r="M627" s="563" t="s">
        <v>322</v>
      </c>
      <c r="N627" s="564"/>
      <c r="O627" s="198"/>
      <c r="P627" s="190"/>
      <c r="Q627" s="28">
        <v>34800000</v>
      </c>
      <c r="R627" s="29">
        <f t="shared" ref="R627:R634" si="152">Q627/Q$625*100</f>
        <v>12.672978878368536</v>
      </c>
      <c r="S627" s="29">
        <v>100</v>
      </c>
      <c r="T627" s="28">
        <f t="shared" si="145"/>
        <v>0</v>
      </c>
      <c r="U627" s="28">
        <f t="shared" si="111"/>
        <v>0</v>
      </c>
      <c r="V627" s="87">
        <f t="shared" si="137"/>
        <v>100</v>
      </c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>
        <v>0</v>
      </c>
      <c r="AJ627" s="29">
        <f t="shared" si="147"/>
        <v>0</v>
      </c>
      <c r="AK627" s="136">
        <f t="shared" si="148"/>
        <v>34800000</v>
      </c>
      <c r="AL627" s="29">
        <f t="shared" si="143"/>
        <v>100</v>
      </c>
      <c r="AM627" s="26"/>
    </row>
    <row r="628" spans="1:39" ht="31.5" customHeight="1" x14ac:dyDescent="0.25">
      <c r="A628" s="26"/>
      <c r="B628" s="97"/>
      <c r="C628" s="97"/>
      <c r="D628" s="97"/>
      <c r="E628" s="97"/>
      <c r="F628" s="97"/>
      <c r="G628" s="97"/>
      <c r="H628" s="97"/>
      <c r="I628" s="98"/>
      <c r="J628" s="97" t="s">
        <v>323</v>
      </c>
      <c r="K628" s="27"/>
      <c r="L628" s="31"/>
      <c r="M628" s="563" t="s">
        <v>324</v>
      </c>
      <c r="N628" s="564"/>
      <c r="O628" s="198"/>
      <c r="P628" s="190"/>
      <c r="Q628" s="28">
        <v>37971000</v>
      </c>
      <c r="R628" s="29">
        <f t="shared" si="152"/>
        <v>13.82774945375091</v>
      </c>
      <c r="S628" s="29">
        <v>100</v>
      </c>
      <c r="T628" s="28">
        <f t="shared" si="145"/>
        <v>0</v>
      </c>
      <c r="U628" s="28">
        <f t="shared" si="111"/>
        <v>0</v>
      </c>
      <c r="V628" s="87">
        <f t="shared" si="137"/>
        <v>100</v>
      </c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>
        <v>0</v>
      </c>
      <c r="AJ628" s="29">
        <f t="shared" si="147"/>
        <v>0</v>
      </c>
      <c r="AK628" s="136">
        <f t="shared" si="148"/>
        <v>37971000</v>
      </c>
      <c r="AL628" s="29">
        <f t="shared" si="143"/>
        <v>100</v>
      </c>
      <c r="AM628" s="26"/>
    </row>
    <row r="629" spans="1:39" ht="31.5" customHeight="1" x14ac:dyDescent="0.25">
      <c r="A629" s="26"/>
      <c r="B629" s="97"/>
      <c r="C629" s="97"/>
      <c r="D629" s="97"/>
      <c r="E629" s="97"/>
      <c r="F629" s="97"/>
      <c r="G629" s="97"/>
      <c r="H629" s="97"/>
      <c r="I629" s="98"/>
      <c r="J629" s="97" t="s">
        <v>269</v>
      </c>
      <c r="K629" s="27"/>
      <c r="L629" s="31"/>
      <c r="M629" s="563" t="s">
        <v>270</v>
      </c>
      <c r="N629" s="564"/>
      <c r="O629" s="198"/>
      <c r="P629" s="190"/>
      <c r="Q629" s="28">
        <v>20400000</v>
      </c>
      <c r="R629" s="29">
        <f t="shared" si="152"/>
        <v>7.4289876183539691</v>
      </c>
      <c r="S629" s="29">
        <v>100</v>
      </c>
      <c r="T629" s="28">
        <f t="shared" si="145"/>
        <v>0</v>
      </c>
      <c r="U629" s="28">
        <f t="shared" si="111"/>
        <v>0</v>
      </c>
      <c r="V629" s="87">
        <f t="shared" si="137"/>
        <v>100</v>
      </c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>
        <v>0</v>
      </c>
      <c r="AJ629" s="29">
        <f t="shared" si="147"/>
        <v>0</v>
      </c>
      <c r="AK629" s="136">
        <f t="shared" si="148"/>
        <v>20400000</v>
      </c>
      <c r="AL629" s="29">
        <f t="shared" si="143"/>
        <v>100</v>
      </c>
      <c r="AM629" s="26"/>
    </row>
    <row r="630" spans="1:39" ht="31.5" customHeight="1" x14ac:dyDescent="0.25">
      <c r="A630" s="26"/>
      <c r="B630" s="97"/>
      <c r="C630" s="97"/>
      <c r="D630" s="97"/>
      <c r="E630" s="97"/>
      <c r="F630" s="97"/>
      <c r="G630" s="97"/>
      <c r="H630" s="97"/>
      <c r="I630" s="98"/>
      <c r="J630" s="97" t="s">
        <v>315</v>
      </c>
      <c r="K630" s="27"/>
      <c r="L630" s="31"/>
      <c r="M630" s="563" t="s">
        <v>271</v>
      </c>
      <c r="N630" s="564"/>
      <c r="O630" s="198"/>
      <c r="P630" s="190"/>
      <c r="Q630" s="28">
        <v>769000</v>
      </c>
      <c r="R630" s="29">
        <f t="shared" si="152"/>
        <v>0.28004369992716677</v>
      </c>
      <c r="S630" s="29">
        <v>100</v>
      </c>
      <c r="T630" s="28">
        <f t="shared" si="145"/>
        <v>0</v>
      </c>
      <c r="U630" s="28">
        <f t="shared" si="111"/>
        <v>0</v>
      </c>
      <c r="V630" s="87">
        <f t="shared" si="137"/>
        <v>100</v>
      </c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>
        <v>0</v>
      </c>
      <c r="AJ630" s="29">
        <f t="shared" si="147"/>
        <v>0</v>
      </c>
      <c r="AK630" s="136">
        <f t="shared" si="148"/>
        <v>769000</v>
      </c>
      <c r="AL630" s="29">
        <f t="shared" si="143"/>
        <v>100</v>
      </c>
      <c r="AM630" s="26"/>
    </row>
    <row r="631" spans="1:39" ht="31.5" customHeight="1" x14ac:dyDescent="0.25">
      <c r="A631" s="26"/>
      <c r="B631" s="97"/>
      <c r="C631" s="97"/>
      <c r="D631" s="97"/>
      <c r="E631" s="97"/>
      <c r="F631" s="97"/>
      <c r="G631" s="97"/>
      <c r="H631" s="97"/>
      <c r="I631" s="98"/>
      <c r="J631" s="97" t="s">
        <v>328</v>
      </c>
      <c r="K631" s="27"/>
      <c r="L631" s="31"/>
      <c r="M631" s="563" t="s">
        <v>329</v>
      </c>
      <c r="N631" s="564"/>
      <c r="O631" s="198"/>
      <c r="P631" s="190"/>
      <c r="Q631" s="28">
        <v>123600000</v>
      </c>
      <c r="R631" s="29">
        <f t="shared" si="152"/>
        <v>45.010924981791696</v>
      </c>
      <c r="S631" s="29">
        <v>100</v>
      </c>
      <c r="T631" s="28">
        <f t="shared" si="145"/>
        <v>0</v>
      </c>
      <c r="U631" s="28">
        <f t="shared" si="111"/>
        <v>0</v>
      </c>
      <c r="V631" s="87">
        <f t="shared" si="137"/>
        <v>100</v>
      </c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>
        <v>0</v>
      </c>
      <c r="AJ631" s="29">
        <f t="shared" si="147"/>
        <v>0</v>
      </c>
      <c r="AK631" s="136">
        <f t="shared" si="148"/>
        <v>123600000</v>
      </c>
      <c r="AL631" s="29">
        <f t="shared" si="143"/>
        <v>100</v>
      </c>
      <c r="AM631" s="26"/>
    </row>
    <row r="632" spans="1:39" ht="31.5" customHeight="1" x14ac:dyDescent="0.25">
      <c r="A632" s="26"/>
      <c r="B632" s="97"/>
      <c r="C632" s="97"/>
      <c r="D632" s="97"/>
      <c r="E632" s="97"/>
      <c r="F632" s="97"/>
      <c r="G632" s="97"/>
      <c r="H632" s="97"/>
      <c r="I632" s="98"/>
      <c r="J632" s="97" t="s">
        <v>339</v>
      </c>
      <c r="K632" s="27"/>
      <c r="L632" s="31"/>
      <c r="M632" s="563" t="s">
        <v>340</v>
      </c>
      <c r="N632" s="564"/>
      <c r="O632" s="198"/>
      <c r="P632" s="190"/>
      <c r="Q632" s="28">
        <v>37200000</v>
      </c>
      <c r="R632" s="29">
        <f t="shared" si="152"/>
        <v>13.546977421704298</v>
      </c>
      <c r="S632" s="29">
        <v>100</v>
      </c>
      <c r="T632" s="28">
        <f t="shared" si="145"/>
        <v>0</v>
      </c>
      <c r="U632" s="28">
        <f t="shared" si="111"/>
        <v>0</v>
      </c>
      <c r="V632" s="87">
        <f t="shared" si="137"/>
        <v>100</v>
      </c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>
        <v>0</v>
      </c>
      <c r="AJ632" s="29">
        <f t="shared" si="147"/>
        <v>0</v>
      </c>
      <c r="AK632" s="136">
        <f t="shared" si="148"/>
        <v>37200000</v>
      </c>
      <c r="AL632" s="29">
        <f t="shared" si="143"/>
        <v>100</v>
      </c>
      <c r="AM632" s="26"/>
    </row>
    <row r="633" spans="1:39" ht="31.5" customHeight="1" x14ac:dyDescent="0.25">
      <c r="A633" s="26"/>
      <c r="B633" s="97"/>
      <c r="C633" s="97"/>
      <c r="D633" s="97"/>
      <c r="E633" s="97"/>
      <c r="F633" s="97"/>
      <c r="G633" s="97"/>
      <c r="H633" s="97"/>
      <c r="I633" s="98"/>
      <c r="J633" s="97" t="s">
        <v>284</v>
      </c>
      <c r="K633" s="27"/>
      <c r="L633" s="31"/>
      <c r="M633" s="563" t="s">
        <v>285</v>
      </c>
      <c r="N633" s="564"/>
      <c r="O633" s="198"/>
      <c r="P633" s="190"/>
      <c r="Q633" s="28">
        <v>6360000</v>
      </c>
      <c r="R633" s="29">
        <f t="shared" si="152"/>
        <v>2.3160961398397668</v>
      </c>
      <c r="S633" s="29">
        <v>100</v>
      </c>
      <c r="T633" s="28">
        <f t="shared" si="145"/>
        <v>0</v>
      </c>
      <c r="U633" s="28">
        <f t="shared" si="111"/>
        <v>0</v>
      </c>
      <c r="V633" s="87">
        <f t="shared" si="137"/>
        <v>100</v>
      </c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>
        <v>0</v>
      </c>
      <c r="AJ633" s="29">
        <f t="shared" si="147"/>
        <v>0</v>
      </c>
      <c r="AK633" s="136">
        <f t="shared" si="148"/>
        <v>6360000</v>
      </c>
      <c r="AL633" s="29">
        <f t="shared" ref="AL633:AL694" si="153">AK633/Q633*100</f>
        <v>100</v>
      </c>
      <c r="AM633" s="26"/>
    </row>
    <row r="634" spans="1:39" ht="31.5" customHeight="1" x14ac:dyDescent="0.25">
      <c r="A634" s="26"/>
      <c r="B634" s="97"/>
      <c r="C634" s="97"/>
      <c r="D634" s="97"/>
      <c r="E634" s="97"/>
      <c r="F634" s="97"/>
      <c r="G634" s="97"/>
      <c r="H634" s="97"/>
      <c r="I634" s="98"/>
      <c r="J634" s="97" t="s">
        <v>282</v>
      </c>
      <c r="K634" s="27"/>
      <c r="L634" s="31"/>
      <c r="M634" s="563" t="s">
        <v>283</v>
      </c>
      <c r="N634" s="564"/>
      <c r="O634" s="198"/>
      <c r="P634" s="190"/>
      <c r="Q634" s="28">
        <v>9600000</v>
      </c>
      <c r="R634" s="29">
        <f t="shared" si="152"/>
        <v>3.4959941733430444</v>
      </c>
      <c r="S634" s="29">
        <v>100</v>
      </c>
      <c r="T634" s="28">
        <f t="shared" si="145"/>
        <v>0</v>
      </c>
      <c r="U634" s="28">
        <f t="shared" si="111"/>
        <v>0</v>
      </c>
      <c r="V634" s="87">
        <f t="shared" si="137"/>
        <v>100</v>
      </c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>
        <v>0</v>
      </c>
      <c r="AJ634" s="29">
        <f t="shared" si="147"/>
        <v>0</v>
      </c>
      <c r="AK634" s="136">
        <f t="shared" si="148"/>
        <v>9600000</v>
      </c>
      <c r="AL634" s="29">
        <f t="shared" si="153"/>
        <v>100</v>
      </c>
      <c r="AM634" s="26"/>
    </row>
    <row r="635" spans="1:39" s="41" customFormat="1" ht="28.5" customHeight="1" x14ac:dyDescent="0.25">
      <c r="A635" s="21">
        <f>SUM(A625+1)</f>
        <v>71</v>
      </c>
      <c r="B635" s="99"/>
      <c r="C635" s="99"/>
      <c r="D635" s="99"/>
      <c r="E635" s="99"/>
      <c r="F635" s="99"/>
      <c r="G635" s="99"/>
      <c r="H635" s="99"/>
      <c r="I635" s="100"/>
      <c r="J635" s="122" t="s">
        <v>527</v>
      </c>
      <c r="K635" s="22"/>
      <c r="L635" s="72"/>
      <c r="M635" s="568" t="s">
        <v>207</v>
      </c>
      <c r="N635" s="546"/>
      <c r="O635" s="197"/>
      <c r="P635" s="189"/>
      <c r="Q635" s="23">
        <f>SUM(Q636:Q644)</f>
        <v>199500000</v>
      </c>
      <c r="R635" s="24">
        <f>Q635/Q$216*100</f>
        <v>1.2713324127098939</v>
      </c>
      <c r="S635" s="24">
        <v>100</v>
      </c>
      <c r="T635" s="23">
        <f t="shared" si="145"/>
        <v>0</v>
      </c>
      <c r="U635" s="23">
        <f t="shared" si="111"/>
        <v>0</v>
      </c>
      <c r="V635" s="90">
        <f t="shared" si="137"/>
        <v>100</v>
      </c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>
        <f>SUM(AI636:AI644)</f>
        <v>0</v>
      </c>
      <c r="AJ635" s="24">
        <f t="shared" si="147"/>
        <v>0</v>
      </c>
      <c r="AK635" s="134">
        <f t="shared" si="148"/>
        <v>199500000</v>
      </c>
      <c r="AL635" s="24">
        <f t="shared" si="153"/>
        <v>100</v>
      </c>
      <c r="AM635" s="21"/>
    </row>
    <row r="636" spans="1:39" ht="28.5" customHeight="1" x14ac:dyDescent="0.25">
      <c r="A636" s="26"/>
      <c r="B636" s="97"/>
      <c r="C636" s="97"/>
      <c r="D636" s="97"/>
      <c r="E636" s="97"/>
      <c r="F636" s="97"/>
      <c r="G636" s="97"/>
      <c r="H636" s="97"/>
      <c r="I636" s="98"/>
      <c r="J636" s="97" t="s">
        <v>257</v>
      </c>
      <c r="K636" s="27"/>
      <c r="L636" s="31"/>
      <c r="M636" s="563" t="s">
        <v>258</v>
      </c>
      <c r="N636" s="564"/>
      <c r="O636" s="198"/>
      <c r="P636" s="190"/>
      <c r="Q636" s="28">
        <v>3360000</v>
      </c>
      <c r="R636" s="29">
        <f>Q636/Q$635*100</f>
        <v>1.6842105263157894</v>
      </c>
      <c r="S636" s="29">
        <v>100</v>
      </c>
      <c r="T636" s="28">
        <f t="shared" si="145"/>
        <v>0</v>
      </c>
      <c r="U636" s="28">
        <f t="shared" si="111"/>
        <v>0</v>
      </c>
      <c r="V636" s="87">
        <f t="shared" si="137"/>
        <v>100</v>
      </c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>
        <v>0</v>
      </c>
      <c r="AJ636" s="29">
        <f t="shared" si="147"/>
        <v>0</v>
      </c>
      <c r="AK636" s="136">
        <f t="shared" si="148"/>
        <v>3360000</v>
      </c>
      <c r="AL636" s="29">
        <f t="shared" si="153"/>
        <v>100</v>
      </c>
      <c r="AM636" s="26"/>
    </row>
    <row r="637" spans="1:39" ht="28.5" customHeight="1" x14ac:dyDescent="0.25">
      <c r="A637" s="26"/>
      <c r="B637" s="97"/>
      <c r="C637" s="97"/>
      <c r="D637" s="97"/>
      <c r="E637" s="97"/>
      <c r="F637" s="97"/>
      <c r="G637" s="97"/>
      <c r="H637" s="97"/>
      <c r="I637" s="98"/>
      <c r="J637" s="97" t="s">
        <v>273</v>
      </c>
      <c r="K637" s="27"/>
      <c r="L637" s="31"/>
      <c r="M637" s="563" t="s">
        <v>322</v>
      </c>
      <c r="N637" s="564"/>
      <c r="O637" s="198"/>
      <c r="P637" s="190"/>
      <c r="Q637" s="28">
        <v>37800000</v>
      </c>
      <c r="R637" s="29">
        <f t="shared" ref="R637:R644" si="154">Q637/Q$635*100</f>
        <v>18.947368421052634</v>
      </c>
      <c r="S637" s="29">
        <v>100</v>
      </c>
      <c r="T637" s="28">
        <f t="shared" si="145"/>
        <v>0</v>
      </c>
      <c r="U637" s="28">
        <f t="shared" si="111"/>
        <v>0</v>
      </c>
      <c r="V637" s="87">
        <f t="shared" si="137"/>
        <v>100</v>
      </c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>
        <v>0</v>
      </c>
      <c r="AJ637" s="29">
        <f t="shared" si="147"/>
        <v>0</v>
      </c>
      <c r="AK637" s="136">
        <f t="shared" si="148"/>
        <v>37800000</v>
      </c>
      <c r="AL637" s="29">
        <f t="shared" si="153"/>
        <v>100</v>
      </c>
      <c r="AM637" s="26"/>
    </row>
    <row r="638" spans="1:39" ht="28.5" customHeight="1" x14ac:dyDescent="0.25">
      <c r="A638" s="26"/>
      <c r="B638" s="97"/>
      <c r="C638" s="97"/>
      <c r="D638" s="97"/>
      <c r="E638" s="97"/>
      <c r="F638" s="97"/>
      <c r="G638" s="97"/>
      <c r="H638" s="97"/>
      <c r="I638" s="98"/>
      <c r="J638" s="97" t="s">
        <v>323</v>
      </c>
      <c r="K638" s="27"/>
      <c r="L638" s="31"/>
      <c r="M638" s="563" t="s">
        <v>324</v>
      </c>
      <c r="N638" s="564"/>
      <c r="O638" s="198"/>
      <c r="P638" s="190"/>
      <c r="Q638" s="28">
        <v>22750000</v>
      </c>
      <c r="R638" s="29">
        <f t="shared" si="154"/>
        <v>11.403508771929824</v>
      </c>
      <c r="S638" s="29">
        <v>100</v>
      </c>
      <c r="T638" s="28">
        <f t="shared" si="145"/>
        <v>0</v>
      </c>
      <c r="U638" s="28">
        <f t="shared" si="111"/>
        <v>0</v>
      </c>
      <c r="V638" s="87">
        <f t="shared" si="137"/>
        <v>100</v>
      </c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>
        <v>0</v>
      </c>
      <c r="AJ638" s="29">
        <f t="shared" si="147"/>
        <v>0</v>
      </c>
      <c r="AK638" s="136">
        <f t="shared" si="148"/>
        <v>22750000</v>
      </c>
      <c r="AL638" s="29">
        <f t="shared" si="153"/>
        <v>100</v>
      </c>
      <c r="AM638" s="26"/>
    </row>
    <row r="639" spans="1:39" ht="28.5" customHeight="1" x14ac:dyDescent="0.25">
      <c r="A639" s="26"/>
      <c r="B639" s="97"/>
      <c r="C639" s="97"/>
      <c r="D639" s="97"/>
      <c r="E639" s="97"/>
      <c r="F639" s="97"/>
      <c r="G639" s="97"/>
      <c r="H639" s="97"/>
      <c r="I639" s="98"/>
      <c r="J639" s="97" t="s">
        <v>269</v>
      </c>
      <c r="K639" s="27"/>
      <c r="L639" s="31"/>
      <c r="M639" s="563" t="s">
        <v>270</v>
      </c>
      <c r="N639" s="564"/>
      <c r="O639" s="198"/>
      <c r="P639" s="190"/>
      <c r="Q639" s="28">
        <v>5400000</v>
      </c>
      <c r="R639" s="29">
        <f t="shared" si="154"/>
        <v>2.7067669172932329</v>
      </c>
      <c r="S639" s="29">
        <v>100</v>
      </c>
      <c r="T639" s="28">
        <f t="shared" si="145"/>
        <v>0</v>
      </c>
      <c r="U639" s="28">
        <f t="shared" si="111"/>
        <v>0</v>
      </c>
      <c r="V639" s="87">
        <f t="shared" si="137"/>
        <v>100</v>
      </c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>
        <v>0</v>
      </c>
      <c r="AJ639" s="29">
        <f t="shared" si="147"/>
        <v>0</v>
      </c>
      <c r="AK639" s="136">
        <f t="shared" si="148"/>
        <v>5400000</v>
      </c>
      <c r="AL639" s="29">
        <f t="shared" si="153"/>
        <v>100</v>
      </c>
      <c r="AM639" s="26"/>
    </row>
    <row r="640" spans="1:39" ht="28.5" customHeight="1" x14ac:dyDescent="0.25">
      <c r="A640" s="26"/>
      <c r="B640" s="97"/>
      <c r="C640" s="97"/>
      <c r="D640" s="97"/>
      <c r="E640" s="97"/>
      <c r="F640" s="97"/>
      <c r="G640" s="97"/>
      <c r="H640" s="97"/>
      <c r="I640" s="98"/>
      <c r="J640" s="97" t="s">
        <v>315</v>
      </c>
      <c r="K640" s="27"/>
      <c r="L640" s="31"/>
      <c r="M640" s="563" t="s">
        <v>271</v>
      </c>
      <c r="N640" s="564"/>
      <c r="O640" s="198"/>
      <c r="P640" s="190"/>
      <c r="Q640" s="28">
        <v>9990000</v>
      </c>
      <c r="R640" s="29">
        <f t="shared" si="154"/>
        <v>5.007518796992481</v>
      </c>
      <c r="S640" s="29">
        <v>100</v>
      </c>
      <c r="T640" s="28">
        <f t="shared" si="145"/>
        <v>0</v>
      </c>
      <c r="U640" s="28">
        <f t="shared" si="111"/>
        <v>0</v>
      </c>
      <c r="V640" s="87">
        <f t="shared" si="137"/>
        <v>100</v>
      </c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>
        <v>0</v>
      </c>
      <c r="AJ640" s="29">
        <f t="shared" si="147"/>
        <v>0</v>
      </c>
      <c r="AK640" s="136">
        <f t="shared" si="148"/>
        <v>9990000</v>
      </c>
      <c r="AL640" s="29">
        <f t="shared" si="153"/>
        <v>100</v>
      </c>
      <c r="AM640" s="26"/>
    </row>
    <row r="641" spans="1:39" ht="28.5" customHeight="1" x14ac:dyDescent="0.25">
      <c r="A641" s="26"/>
      <c r="B641" s="97"/>
      <c r="C641" s="97"/>
      <c r="D641" s="97"/>
      <c r="E641" s="97"/>
      <c r="F641" s="97"/>
      <c r="G641" s="97"/>
      <c r="H641" s="97"/>
      <c r="I641" s="98"/>
      <c r="J641" s="97" t="s">
        <v>280</v>
      </c>
      <c r="K641" s="27"/>
      <c r="L641" s="31"/>
      <c r="M641" s="563" t="s">
        <v>281</v>
      </c>
      <c r="N641" s="564"/>
      <c r="O641" s="198"/>
      <c r="P641" s="190"/>
      <c r="Q641" s="28">
        <v>31200000</v>
      </c>
      <c r="R641" s="29">
        <f t="shared" si="154"/>
        <v>15.639097744360903</v>
      </c>
      <c r="S641" s="29">
        <v>100</v>
      </c>
      <c r="T641" s="28">
        <f t="shared" si="145"/>
        <v>0</v>
      </c>
      <c r="U641" s="28">
        <f t="shared" si="111"/>
        <v>0</v>
      </c>
      <c r="V641" s="87">
        <f t="shared" si="137"/>
        <v>100</v>
      </c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>
        <v>0</v>
      </c>
      <c r="AJ641" s="29">
        <f t="shared" ref="AJ641:AJ694" si="155">AI641/Q641*100</f>
        <v>0</v>
      </c>
      <c r="AK641" s="136">
        <f t="shared" si="148"/>
        <v>31200000</v>
      </c>
      <c r="AL641" s="29">
        <f t="shared" si="153"/>
        <v>100</v>
      </c>
      <c r="AM641" s="26"/>
    </row>
    <row r="642" spans="1:39" ht="28.5" customHeight="1" x14ac:dyDescent="0.25">
      <c r="A642" s="26"/>
      <c r="B642" s="97"/>
      <c r="C642" s="97"/>
      <c r="D642" s="97"/>
      <c r="E642" s="97"/>
      <c r="F642" s="97"/>
      <c r="G642" s="97"/>
      <c r="H642" s="97"/>
      <c r="I642" s="98"/>
      <c r="J642" s="97" t="s">
        <v>284</v>
      </c>
      <c r="K642" s="27"/>
      <c r="L642" s="31"/>
      <c r="M642" s="563" t="s">
        <v>285</v>
      </c>
      <c r="N642" s="564"/>
      <c r="O642" s="198"/>
      <c r="P642" s="190"/>
      <c r="Q642" s="28">
        <v>4500000</v>
      </c>
      <c r="R642" s="29">
        <f t="shared" si="154"/>
        <v>2.2556390977443606</v>
      </c>
      <c r="S642" s="29">
        <v>100</v>
      </c>
      <c r="T642" s="28">
        <f t="shared" si="145"/>
        <v>0</v>
      </c>
      <c r="U642" s="28">
        <f t="shared" si="111"/>
        <v>0</v>
      </c>
      <c r="V642" s="87">
        <f t="shared" si="137"/>
        <v>100</v>
      </c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>
        <v>0</v>
      </c>
      <c r="AJ642" s="29">
        <f t="shared" si="155"/>
        <v>0</v>
      </c>
      <c r="AK642" s="136">
        <f t="shared" si="148"/>
        <v>4500000</v>
      </c>
      <c r="AL642" s="29">
        <f t="shared" si="153"/>
        <v>100</v>
      </c>
      <c r="AM642" s="26"/>
    </row>
    <row r="643" spans="1:39" ht="28.5" customHeight="1" x14ac:dyDescent="0.25">
      <c r="A643" s="26"/>
      <c r="B643" s="97"/>
      <c r="C643" s="97"/>
      <c r="D643" s="97"/>
      <c r="E643" s="97"/>
      <c r="F643" s="97"/>
      <c r="G643" s="97"/>
      <c r="H643" s="97"/>
      <c r="I643" s="98"/>
      <c r="J643" s="97" t="s">
        <v>282</v>
      </c>
      <c r="K643" s="27"/>
      <c r="L643" s="31"/>
      <c r="M643" s="563" t="s">
        <v>283</v>
      </c>
      <c r="N643" s="564"/>
      <c r="O643" s="198"/>
      <c r="P643" s="190"/>
      <c r="Q643" s="28">
        <v>64500000</v>
      </c>
      <c r="R643" s="29">
        <f t="shared" si="154"/>
        <v>32.330827067669169</v>
      </c>
      <c r="S643" s="29">
        <v>100</v>
      </c>
      <c r="T643" s="28">
        <f t="shared" si="145"/>
        <v>0</v>
      </c>
      <c r="U643" s="28">
        <f t="shared" si="111"/>
        <v>0</v>
      </c>
      <c r="V643" s="87">
        <f t="shared" si="137"/>
        <v>100</v>
      </c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>
        <v>0</v>
      </c>
      <c r="AJ643" s="29">
        <f t="shared" si="155"/>
        <v>0</v>
      </c>
      <c r="AK643" s="136">
        <f t="shared" si="148"/>
        <v>64500000</v>
      </c>
      <c r="AL643" s="29">
        <f t="shared" si="153"/>
        <v>100</v>
      </c>
      <c r="AM643" s="26"/>
    </row>
    <row r="644" spans="1:39" ht="28.5" customHeight="1" x14ac:dyDescent="0.25">
      <c r="A644" s="26"/>
      <c r="B644" s="97"/>
      <c r="C644" s="97"/>
      <c r="D644" s="97"/>
      <c r="E644" s="97"/>
      <c r="F644" s="97"/>
      <c r="G644" s="97"/>
      <c r="H644" s="97"/>
      <c r="I644" s="98"/>
      <c r="J644" s="97" t="s">
        <v>320</v>
      </c>
      <c r="K644" s="27"/>
      <c r="L644" s="31"/>
      <c r="M644" s="563" t="s">
        <v>321</v>
      </c>
      <c r="N644" s="564"/>
      <c r="O644" s="198"/>
      <c r="P644" s="190"/>
      <c r="Q644" s="28">
        <v>20000000</v>
      </c>
      <c r="R644" s="29">
        <f t="shared" si="154"/>
        <v>10.025062656641603</v>
      </c>
      <c r="S644" s="29">
        <v>100</v>
      </c>
      <c r="T644" s="28">
        <f t="shared" si="145"/>
        <v>0</v>
      </c>
      <c r="U644" s="28">
        <f t="shared" si="111"/>
        <v>0</v>
      </c>
      <c r="V644" s="87">
        <f t="shared" si="137"/>
        <v>100</v>
      </c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>
        <v>0</v>
      </c>
      <c r="AJ644" s="29">
        <f t="shared" si="155"/>
        <v>0</v>
      </c>
      <c r="AK644" s="136">
        <f t="shared" si="148"/>
        <v>20000000</v>
      </c>
      <c r="AL644" s="29">
        <f t="shared" si="153"/>
        <v>100</v>
      </c>
      <c r="AM644" s="26"/>
    </row>
    <row r="645" spans="1:39" s="41" customFormat="1" ht="24.75" customHeight="1" x14ac:dyDescent="0.25">
      <c r="A645" s="21">
        <f>SUM(A635+1)</f>
        <v>72</v>
      </c>
      <c r="B645" s="99"/>
      <c r="C645" s="99"/>
      <c r="D645" s="99"/>
      <c r="E645" s="99"/>
      <c r="F645" s="99"/>
      <c r="G645" s="99"/>
      <c r="H645" s="99"/>
      <c r="I645" s="100"/>
      <c r="J645" s="122" t="s">
        <v>528</v>
      </c>
      <c r="K645" s="22"/>
      <c r="L645" s="72"/>
      <c r="M645" s="574" t="s">
        <v>208</v>
      </c>
      <c r="N645" s="567"/>
      <c r="O645" s="197"/>
      <c r="P645" s="189"/>
      <c r="Q645" s="23">
        <f>SUM(Q646:Q654)</f>
        <v>145700000</v>
      </c>
      <c r="R645" s="24">
        <f>Q645/Q$216*100</f>
        <v>0.92848687985880485</v>
      </c>
      <c r="S645" s="24">
        <v>100</v>
      </c>
      <c r="T645" s="23">
        <f t="shared" si="145"/>
        <v>0</v>
      </c>
      <c r="U645" s="23">
        <f t="shared" si="111"/>
        <v>0</v>
      </c>
      <c r="V645" s="90">
        <f t="shared" si="137"/>
        <v>100</v>
      </c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>
        <f>SUM(AI646:AI653)</f>
        <v>0</v>
      </c>
      <c r="AJ645" s="24">
        <f t="shared" si="155"/>
        <v>0</v>
      </c>
      <c r="AK645" s="134">
        <f t="shared" si="148"/>
        <v>145700000</v>
      </c>
      <c r="AL645" s="24">
        <f t="shared" si="153"/>
        <v>100</v>
      </c>
      <c r="AM645" s="21"/>
    </row>
    <row r="646" spans="1:39" ht="24.75" customHeight="1" x14ac:dyDescent="0.25">
      <c r="A646" s="26"/>
      <c r="B646" s="97"/>
      <c r="C646" s="97"/>
      <c r="D646" s="97"/>
      <c r="E646" s="97"/>
      <c r="F646" s="97"/>
      <c r="G646" s="97"/>
      <c r="H646" s="97"/>
      <c r="I646" s="98"/>
      <c r="J646" s="97" t="s">
        <v>257</v>
      </c>
      <c r="K646" s="27"/>
      <c r="L646" s="31"/>
      <c r="M646" s="577" t="s">
        <v>258</v>
      </c>
      <c r="N646" s="564"/>
      <c r="O646" s="198"/>
      <c r="P646" s="190"/>
      <c r="Q646" s="28">
        <v>1300000</v>
      </c>
      <c r="R646" s="29">
        <f>Q646/Q$645*100</f>
        <v>0.89224433768016476</v>
      </c>
      <c r="S646" s="29">
        <v>100</v>
      </c>
      <c r="T646" s="28">
        <f t="shared" si="145"/>
        <v>0</v>
      </c>
      <c r="U646" s="28">
        <f t="shared" si="111"/>
        <v>0</v>
      </c>
      <c r="V646" s="87">
        <f t="shared" si="137"/>
        <v>100</v>
      </c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>
        <v>0</v>
      </c>
      <c r="AJ646" s="29">
        <f t="shared" si="155"/>
        <v>0</v>
      </c>
      <c r="AK646" s="136">
        <f t="shared" si="148"/>
        <v>1300000</v>
      </c>
      <c r="AL646" s="29">
        <f t="shared" si="153"/>
        <v>100</v>
      </c>
      <c r="AM646" s="26"/>
    </row>
    <row r="647" spans="1:39" ht="24.75" customHeight="1" x14ac:dyDescent="0.25">
      <c r="A647" s="26"/>
      <c r="B647" s="97"/>
      <c r="C647" s="97"/>
      <c r="D647" s="97"/>
      <c r="E647" s="97"/>
      <c r="F647" s="97"/>
      <c r="G647" s="97"/>
      <c r="H647" s="97"/>
      <c r="I647" s="98"/>
      <c r="J647" s="97" t="s">
        <v>315</v>
      </c>
      <c r="K647" s="27"/>
      <c r="L647" s="31"/>
      <c r="M647" s="577" t="s">
        <v>271</v>
      </c>
      <c r="N647" s="564"/>
      <c r="O647" s="198"/>
      <c r="P647" s="190"/>
      <c r="Q647" s="28">
        <v>2000000</v>
      </c>
      <c r="R647" s="29">
        <f>Q647/Q$645*100</f>
        <v>1.3726835964310227</v>
      </c>
      <c r="S647" s="29">
        <v>100</v>
      </c>
      <c r="T647" s="28">
        <f t="shared" ref="T647:T685" si="156">AJ647</f>
        <v>0</v>
      </c>
      <c r="U647" s="28">
        <f t="shared" si="111"/>
        <v>0</v>
      </c>
      <c r="V647" s="87">
        <f t="shared" si="137"/>
        <v>100</v>
      </c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>
        <v>0</v>
      </c>
      <c r="AJ647" s="29">
        <f t="shared" si="155"/>
        <v>0</v>
      </c>
      <c r="AK647" s="136">
        <f t="shared" si="148"/>
        <v>2000000</v>
      </c>
      <c r="AL647" s="29">
        <f t="shared" si="153"/>
        <v>100</v>
      </c>
      <c r="AM647" s="26"/>
    </row>
    <row r="648" spans="1:39" ht="24.75" customHeight="1" x14ac:dyDescent="0.25">
      <c r="A648" s="26"/>
      <c r="B648" s="97"/>
      <c r="C648" s="97"/>
      <c r="D648" s="97"/>
      <c r="E648" s="97"/>
      <c r="F648" s="97"/>
      <c r="G648" s="97"/>
      <c r="H648" s="97"/>
      <c r="I648" s="98"/>
      <c r="J648" s="97" t="s">
        <v>316</v>
      </c>
      <c r="K648" s="27"/>
      <c r="L648" s="31"/>
      <c r="M648" s="577" t="s">
        <v>317</v>
      </c>
      <c r="N648" s="564"/>
      <c r="O648" s="198"/>
      <c r="P648" s="190"/>
      <c r="Q648" s="28">
        <v>1000000</v>
      </c>
      <c r="R648" s="29">
        <f t="shared" ref="R648:R654" si="157">Q648/Q$645*100</f>
        <v>0.68634179821551133</v>
      </c>
      <c r="S648" s="29">
        <v>100</v>
      </c>
      <c r="T648" s="28">
        <f t="shared" si="156"/>
        <v>0</v>
      </c>
      <c r="U648" s="28">
        <f t="shared" si="111"/>
        <v>0</v>
      </c>
      <c r="V648" s="87">
        <f t="shared" si="137"/>
        <v>100</v>
      </c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>
        <v>0</v>
      </c>
      <c r="AJ648" s="29">
        <f t="shared" si="155"/>
        <v>0</v>
      </c>
      <c r="AK648" s="136">
        <f t="shared" ref="AK648:AK694" si="158">Q648-AI648</f>
        <v>1000000</v>
      </c>
      <c r="AL648" s="29">
        <f t="shared" si="153"/>
        <v>100</v>
      </c>
      <c r="AM648" s="26"/>
    </row>
    <row r="649" spans="1:39" ht="24.75" customHeight="1" x14ac:dyDescent="0.25">
      <c r="A649" s="26"/>
      <c r="B649" s="97"/>
      <c r="C649" s="97"/>
      <c r="D649" s="97"/>
      <c r="E649" s="97"/>
      <c r="F649" s="97"/>
      <c r="G649" s="97"/>
      <c r="H649" s="97"/>
      <c r="I649" s="98"/>
      <c r="J649" s="97" t="s">
        <v>328</v>
      </c>
      <c r="K649" s="27"/>
      <c r="L649" s="31"/>
      <c r="M649" s="577" t="s">
        <v>329</v>
      </c>
      <c r="N649" s="564"/>
      <c r="O649" s="198"/>
      <c r="P649" s="190"/>
      <c r="Q649" s="28">
        <v>65000000</v>
      </c>
      <c r="R649" s="29">
        <f t="shared" si="157"/>
        <v>44.612216884008241</v>
      </c>
      <c r="S649" s="29">
        <v>100</v>
      </c>
      <c r="T649" s="28">
        <f t="shared" si="156"/>
        <v>0</v>
      </c>
      <c r="U649" s="28">
        <f t="shared" si="111"/>
        <v>0</v>
      </c>
      <c r="V649" s="87">
        <f t="shared" si="137"/>
        <v>100</v>
      </c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>
        <v>0</v>
      </c>
      <c r="AJ649" s="29">
        <f t="shared" si="155"/>
        <v>0</v>
      </c>
      <c r="AK649" s="136">
        <f t="shared" si="158"/>
        <v>65000000</v>
      </c>
      <c r="AL649" s="29">
        <f t="shared" si="153"/>
        <v>100</v>
      </c>
      <c r="AM649" s="26"/>
    </row>
    <row r="650" spans="1:39" ht="24.75" customHeight="1" x14ac:dyDescent="0.25">
      <c r="A650" s="26"/>
      <c r="B650" s="97"/>
      <c r="C650" s="97"/>
      <c r="D650" s="97"/>
      <c r="E650" s="97"/>
      <c r="F650" s="97"/>
      <c r="G650" s="97"/>
      <c r="H650" s="97"/>
      <c r="I650" s="98"/>
      <c r="J650" s="97" t="s">
        <v>284</v>
      </c>
      <c r="K650" s="27"/>
      <c r="L650" s="31"/>
      <c r="M650" s="577" t="s">
        <v>285</v>
      </c>
      <c r="N650" s="564"/>
      <c r="O650" s="198"/>
      <c r="P650" s="190"/>
      <c r="Q650" s="28">
        <v>3000000</v>
      </c>
      <c r="R650" s="29">
        <f t="shared" si="157"/>
        <v>2.0590253946465338</v>
      </c>
      <c r="S650" s="29">
        <v>100</v>
      </c>
      <c r="T650" s="28">
        <f t="shared" si="156"/>
        <v>0</v>
      </c>
      <c r="U650" s="28">
        <f t="shared" si="111"/>
        <v>0</v>
      </c>
      <c r="V650" s="87">
        <f t="shared" si="137"/>
        <v>100</v>
      </c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>
        <v>0</v>
      </c>
      <c r="AJ650" s="29">
        <f t="shared" si="155"/>
        <v>0</v>
      </c>
      <c r="AK650" s="136">
        <f t="shared" si="158"/>
        <v>3000000</v>
      </c>
      <c r="AL650" s="29">
        <f t="shared" si="153"/>
        <v>100</v>
      </c>
      <c r="AM650" s="26"/>
    </row>
    <row r="651" spans="1:39" ht="24.75" customHeight="1" x14ac:dyDescent="0.25">
      <c r="A651" s="26"/>
      <c r="B651" s="97"/>
      <c r="C651" s="97"/>
      <c r="D651" s="97"/>
      <c r="E651" s="97"/>
      <c r="F651" s="97"/>
      <c r="G651" s="97"/>
      <c r="H651" s="97"/>
      <c r="I651" s="98"/>
      <c r="J651" s="97" t="s">
        <v>282</v>
      </c>
      <c r="K651" s="27"/>
      <c r="L651" s="31"/>
      <c r="M651" s="577" t="s">
        <v>283</v>
      </c>
      <c r="N651" s="564"/>
      <c r="O651" s="198"/>
      <c r="P651" s="190"/>
      <c r="Q651" s="28">
        <v>25000000</v>
      </c>
      <c r="R651" s="29">
        <f t="shared" si="157"/>
        <v>17.158544955387782</v>
      </c>
      <c r="S651" s="29">
        <v>100</v>
      </c>
      <c r="T651" s="28">
        <f t="shared" si="156"/>
        <v>0</v>
      </c>
      <c r="U651" s="28">
        <f t="shared" si="111"/>
        <v>0</v>
      </c>
      <c r="V651" s="87">
        <f t="shared" si="137"/>
        <v>100</v>
      </c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>
        <v>0</v>
      </c>
      <c r="AJ651" s="29">
        <f t="shared" si="155"/>
        <v>0</v>
      </c>
      <c r="AK651" s="136">
        <f t="shared" si="158"/>
        <v>25000000</v>
      </c>
      <c r="AL651" s="29">
        <f t="shared" si="153"/>
        <v>100</v>
      </c>
      <c r="AM651" s="26"/>
    </row>
    <row r="652" spans="1:39" ht="24.75" customHeight="1" x14ac:dyDescent="0.25">
      <c r="A652" s="26"/>
      <c r="B652" s="97"/>
      <c r="C652" s="97"/>
      <c r="D652" s="97"/>
      <c r="E652" s="97"/>
      <c r="F652" s="97"/>
      <c r="G652" s="97"/>
      <c r="H652" s="97"/>
      <c r="I652" s="98"/>
      <c r="J652" s="97" t="s">
        <v>320</v>
      </c>
      <c r="K652" s="27"/>
      <c r="L652" s="31"/>
      <c r="M652" s="577" t="s">
        <v>321</v>
      </c>
      <c r="N652" s="564"/>
      <c r="O652" s="198"/>
      <c r="P652" s="190"/>
      <c r="Q652" s="28">
        <v>14400000</v>
      </c>
      <c r="R652" s="29">
        <f t="shared" si="157"/>
        <v>9.8833218943033625</v>
      </c>
      <c r="S652" s="29">
        <v>100</v>
      </c>
      <c r="T652" s="28">
        <f t="shared" si="156"/>
        <v>0</v>
      </c>
      <c r="U652" s="28">
        <f t="shared" si="111"/>
        <v>0</v>
      </c>
      <c r="V652" s="87">
        <f t="shared" si="137"/>
        <v>100</v>
      </c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>
        <v>0</v>
      </c>
      <c r="AJ652" s="29">
        <f t="shared" si="155"/>
        <v>0</v>
      </c>
      <c r="AK652" s="136">
        <f t="shared" si="158"/>
        <v>14400000</v>
      </c>
      <c r="AL652" s="29">
        <f t="shared" si="153"/>
        <v>100</v>
      </c>
      <c r="AM652" s="26"/>
    </row>
    <row r="653" spans="1:39" ht="24.75" customHeight="1" x14ac:dyDescent="0.25">
      <c r="A653" s="26"/>
      <c r="B653" s="97"/>
      <c r="C653" s="97"/>
      <c r="D653" s="97"/>
      <c r="E653" s="97"/>
      <c r="F653" s="97"/>
      <c r="G653" s="97"/>
      <c r="H653" s="97"/>
      <c r="I653" s="98"/>
      <c r="J653" s="97" t="s">
        <v>309</v>
      </c>
      <c r="K653" s="27"/>
      <c r="L653" s="31"/>
      <c r="M653" s="577" t="s">
        <v>310</v>
      </c>
      <c r="N653" s="564"/>
      <c r="O653" s="198"/>
      <c r="P653" s="190"/>
      <c r="Q653" s="28">
        <v>4000000</v>
      </c>
      <c r="R653" s="29">
        <f t="shared" si="157"/>
        <v>2.7453671928620453</v>
      </c>
      <c r="S653" s="29">
        <v>100</v>
      </c>
      <c r="T653" s="28">
        <f t="shared" si="156"/>
        <v>0</v>
      </c>
      <c r="U653" s="28">
        <f t="shared" si="111"/>
        <v>0</v>
      </c>
      <c r="V653" s="87">
        <f t="shared" si="137"/>
        <v>100</v>
      </c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>
        <v>0</v>
      </c>
      <c r="AJ653" s="29">
        <f t="shared" si="155"/>
        <v>0</v>
      </c>
      <c r="AK653" s="136">
        <f t="shared" si="158"/>
        <v>4000000</v>
      </c>
      <c r="AL653" s="29">
        <f t="shared" si="153"/>
        <v>100</v>
      </c>
      <c r="AM653" s="26"/>
    </row>
    <row r="654" spans="1:39" ht="24.75" customHeight="1" x14ac:dyDescent="0.25">
      <c r="A654" s="26"/>
      <c r="B654" s="97"/>
      <c r="C654" s="97"/>
      <c r="D654" s="97"/>
      <c r="E654" s="97"/>
      <c r="F654" s="97"/>
      <c r="G654" s="97"/>
      <c r="H654" s="97"/>
      <c r="I654" s="98"/>
      <c r="J654" s="97" t="s">
        <v>372</v>
      </c>
      <c r="K654" s="27"/>
      <c r="L654" s="31"/>
      <c r="M654" s="577" t="s">
        <v>373</v>
      </c>
      <c r="N654" s="564"/>
      <c r="O654" s="198"/>
      <c r="P654" s="190"/>
      <c r="Q654" s="28">
        <v>30000000</v>
      </c>
      <c r="R654" s="29">
        <f t="shared" si="157"/>
        <v>20.590253946465339</v>
      </c>
      <c r="S654" s="29">
        <v>100</v>
      </c>
      <c r="T654" s="28">
        <f t="shared" si="156"/>
        <v>0</v>
      </c>
      <c r="U654" s="28">
        <f t="shared" si="111"/>
        <v>0</v>
      </c>
      <c r="V654" s="87">
        <v>100</v>
      </c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>
        <v>0</v>
      </c>
      <c r="AJ654" s="29">
        <f t="shared" si="155"/>
        <v>0</v>
      </c>
      <c r="AK654" s="136">
        <f t="shared" si="158"/>
        <v>30000000</v>
      </c>
      <c r="AL654" s="29">
        <f t="shared" si="153"/>
        <v>100</v>
      </c>
      <c r="AM654" s="26"/>
    </row>
    <row r="655" spans="1:39" s="41" customFormat="1" ht="31.5" customHeight="1" x14ac:dyDescent="0.25">
      <c r="A655" s="21">
        <f>SUM(A645+1)</f>
        <v>73</v>
      </c>
      <c r="B655" s="99"/>
      <c r="C655" s="99"/>
      <c r="D655" s="99"/>
      <c r="E655" s="99"/>
      <c r="F655" s="99"/>
      <c r="G655" s="99"/>
      <c r="H655" s="99"/>
      <c r="I655" s="100"/>
      <c r="J655" s="122" t="s">
        <v>529</v>
      </c>
      <c r="K655" s="22"/>
      <c r="L655" s="72"/>
      <c r="M655" s="566" t="s">
        <v>209</v>
      </c>
      <c r="N655" s="567"/>
      <c r="O655" s="197"/>
      <c r="P655" s="189"/>
      <c r="Q655" s="23">
        <f>SUM(Q656:Q659)</f>
        <v>147900000</v>
      </c>
      <c r="R655" s="24">
        <f>Q655/Q$216*100</f>
        <v>0.94250658566312451</v>
      </c>
      <c r="S655" s="24">
        <v>100</v>
      </c>
      <c r="T655" s="23">
        <f t="shared" si="156"/>
        <v>0</v>
      </c>
      <c r="U655" s="23">
        <f t="shared" si="111"/>
        <v>0</v>
      </c>
      <c r="V655" s="90">
        <f t="shared" si="137"/>
        <v>100</v>
      </c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>
        <f>SUM(AI656:AI659)</f>
        <v>0</v>
      </c>
      <c r="AJ655" s="24">
        <f t="shared" si="155"/>
        <v>0</v>
      </c>
      <c r="AK655" s="134">
        <f t="shared" si="158"/>
        <v>147900000</v>
      </c>
      <c r="AL655" s="24">
        <f t="shared" si="153"/>
        <v>100</v>
      </c>
      <c r="AM655" s="21"/>
    </row>
    <row r="656" spans="1:39" ht="24.75" customHeight="1" x14ac:dyDescent="0.25">
      <c r="A656" s="26"/>
      <c r="B656" s="97"/>
      <c r="C656" s="97"/>
      <c r="D656" s="97"/>
      <c r="E656" s="97"/>
      <c r="F656" s="97"/>
      <c r="G656" s="97"/>
      <c r="H656" s="97"/>
      <c r="I656" s="98"/>
      <c r="J656" s="97" t="s">
        <v>347</v>
      </c>
      <c r="K656" s="27"/>
      <c r="L656" s="31"/>
      <c r="M656" s="563" t="s">
        <v>348</v>
      </c>
      <c r="N656" s="564"/>
      <c r="O656" s="198"/>
      <c r="P656" s="190"/>
      <c r="Q656" s="28">
        <v>51150000</v>
      </c>
      <c r="R656" s="29">
        <f>Q656/Q$655*100</f>
        <v>34.5841784989858</v>
      </c>
      <c r="S656" s="29">
        <v>100</v>
      </c>
      <c r="T656" s="28">
        <f t="shared" si="156"/>
        <v>0</v>
      </c>
      <c r="U656" s="28">
        <f t="shared" si="111"/>
        <v>0</v>
      </c>
      <c r="V656" s="87">
        <f t="shared" si="137"/>
        <v>100</v>
      </c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>
        <v>0</v>
      </c>
      <c r="AJ656" s="29">
        <f t="shared" si="155"/>
        <v>0</v>
      </c>
      <c r="AK656" s="136">
        <f t="shared" si="158"/>
        <v>51150000</v>
      </c>
      <c r="AL656" s="29">
        <f t="shared" si="153"/>
        <v>100</v>
      </c>
      <c r="AM656" s="26"/>
    </row>
    <row r="657" spans="1:39" ht="24.75" customHeight="1" x14ac:dyDescent="0.25">
      <c r="A657" s="26"/>
      <c r="B657" s="97"/>
      <c r="C657" s="97"/>
      <c r="D657" s="97"/>
      <c r="E657" s="97"/>
      <c r="F657" s="97"/>
      <c r="G657" s="97"/>
      <c r="H657" s="97"/>
      <c r="I657" s="98"/>
      <c r="J657" s="97" t="s">
        <v>315</v>
      </c>
      <c r="K657" s="27"/>
      <c r="L657" s="31"/>
      <c r="M657" s="563" t="s">
        <v>271</v>
      </c>
      <c r="N657" s="564"/>
      <c r="O657" s="198"/>
      <c r="P657" s="190"/>
      <c r="Q657" s="28">
        <v>26250000</v>
      </c>
      <c r="R657" s="29">
        <f>Q657/Q$655*100</f>
        <v>17.748478701825558</v>
      </c>
      <c r="S657" s="29">
        <v>100</v>
      </c>
      <c r="T657" s="28">
        <f t="shared" si="156"/>
        <v>0</v>
      </c>
      <c r="U657" s="28">
        <f t="shared" si="111"/>
        <v>0</v>
      </c>
      <c r="V657" s="87">
        <f t="shared" si="137"/>
        <v>100</v>
      </c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>
        <v>0</v>
      </c>
      <c r="AJ657" s="29">
        <f t="shared" si="155"/>
        <v>0</v>
      </c>
      <c r="AK657" s="136">
        <f t="shared" si="158"/>
        <v>26250000</v>
      </c>
      <c r="AL657" s="29">
        <f t="shared" si="153"/>
        <v>100</v>
      </c>
      <c r="AM657" s="26"/>
    </row>
    <row r="658" spans="1:39" ht="33" customHeight="1" x14ac:dyDescent="0.25">
      <c r="A658" s="26"/>
      <c r="B658" s="97"/>
      <c r="C658" s="97"/>
      <c r="D658" s="97"/>
      <c r="E658" s="97"/>
      <c r="F658" s="97"/>
      <c r="G658" s="97"/>
      <c r="H658" s="97"/>
      <c r="I658" s="98"/>
      <c r="J658" s="97" t="s">
        <v>318</v>
      </c>
      <c r="K658" s="27"/>
      <c r="L658" s="31"/>
      <c r="M658" s="563" t="s">
        <v>319</v>
      </c>
      <c r="N658" s="564"/>
      <c r="O658" s="198"/>
      <c r="P658" s="190"/>
      <c r="Q658" s="28">
        <v>58500000</v>
      </c>
      <c r="R658" s="29">
        <f>Q658/Q$655*100</f>
        <v>39.553752535496955</v>
      </c>
      <c r="S658" s="29">
        <v>100</v>
      </c>
      <c r="T658" s="28">
        <f t="shared" si="156"/>
        <v>0</v>
      </c>
      <c r="U658" s="28">
        <f t="shared" si="111"/>
        <v>0</v>
      </c>
      <c r="V658" s="87">
        <f t="shared" si="137"/>
        <v>100</v>
      </c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>
        <v>0</v>
      </c>
      <c r="AJ658" s="29">
        <f t="shared" si="155"/>
        <v>0</v>
      </c>
      <c r="AK658" s="136">
        <f t="shared" si="158"/>
        <v>58500000</v>
      </c>
      <c r="AL658" s="29">
        <f t="shared" si="153"/>
        <v>100</v>
      </c>
      <c r="AM658" s="26"/>
    </row>
    <row r="659" spans="1:39" ht="24.75" customHeight="1" x14ac:dyDescent="0.25">
      <c r="A659" s="26"/>
      <c r="B659" s="97"/>
      <c r="C659" s="97"/>
      <c r="D659" s="97"/>
      <c r="E659" s="97"/>
      <c r="F659" s="97"/>
      <c r="G659" s="97"/>
      <c r="H659" s="97"/>
      <c r="I659" s="98"/>
      <c r="J659" s="97" t="s">
        <v>280</v>
      </c>
      <c r="K659" s="27"/>
      <c r="L659" s="31"/>
      <c r="M659" s="563" t="s">
        <v>281</v>
      </c>
      <c r="N659" s="564"/>
      <c r="O659" s="198"/>
      <c r="P659" s="190"/>
      <c r="Q659" s="28">
        <v>12000000</v>
      </c>
      <c r="R659" s="29">
        <f>Q659/Q$655*100</f>
        <v>8.1135902636916839</v>
      </c>
      <c r="S659" s="29">
        <v>100</v>
      </c>
      <c r="T659" s="28">
        <f t="shared" si="156"/>
        <v>0</v>
      </c>
      <c r="U659" s="28">
        <f t="shared" si="111"/>
        <v>0</v>
      </c>
      <c r="V659" s="87">
        <f t="shared" si="137"/>
        <v>100</v>
      </c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>
        <v>0</v>
      </c>
      <c r="AJ659" s="29">
        <f t="shared" si="155"/>
        <v>0</v>
      </c>
      <c r="AK659" s="136">
        <f t="shared" si="158"/>
        <v>12000000</v>
      </c>
      <c r="AL659" s="29">
        <f t="shared" si="153"/>
        <v>100</v>
      </c>
      <c r="AM659" s="26"/>
    </row>
    <row r="660" spans="1:39" s="41" customFormat="1" ht="28.5" customHeight="1" x14ac:dyDescent="0.25">
      <c r="A660" s="21">
        <f>SUM(A655+1)</f>
        <v>74</v>
      </c>
      <c r="B660" s="99"/>
      <c r="C660" s="99"/>
      <c r="D660" s="99"/>
      <c r="E660" s="99"/>
      <c r="F660" s="99"/>
      <c r="G660" s="99"/>
      <c r="H660" s="99"/>
      <c r="I660" s="100"/>
      <c r="J660" s="122" t="s">
        <v>530</v>
      </c>
      <c r="K660" s="22"/>
      <c r="L660" s="72"/>
      <c r="M660" s="566" t="s">
        <v>210</v>
      </c>
      <c r="N660" s="566"/>
      <c r="O660" s="197"/>
      <c r="P660" s="189"/>
      <c r="Q660" s="23">
        <f>SUM(Q661:Q676)</f>
        <v>281210000</v>
      </c>
      <c r="R660" s="24">
        <f>Q660/Q$33*100</f>
        <v>0.82199261158776638</v>
      </c>
      <c r="S660" s="24">
        <v>100</v>
      </c>
      <c r="T660" s="23">
        <f t="shared" si="156"/>
        <v>0</v>
      </c>
      <c r="U660" s="23">
        <f t="shared" si="111"/>
        <v>0</v>
      </c>
      <c r="V660" s="90">
        <f t="shared" si="137"/>
        <v>100</v>
      </c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>
        <f>SUM(AI661:AI674)</f>
        <v>0</v>
      </c>
      <c r="AJ660" s="24">
        <f t="shared" si="155"/>
        <v>0</v>
      </c>
      <c r="AK660" s="134">
        <f t="shared" si="158"/>
        <v>281210000</v>
      </c>
      <c r="AL660" s="24">
        <f t="shared" si="153"/>
        <v>100</v>
      </c>
      <c r="AM660" s="21"/>
    </row>
    <row r="661" spans="1:39" ht="28.5" customHeight="1" x14ac:dyDescent="0.25">
      <c r="A661" s="26"/>
      <c r="B661" s="97"/>
      <c r="C661" s="97"/>
      <c r="D661" s="97"/>
      <c r="E661" s="97"/>
      <c r="F661" s="97"/>
      <c r="G661" s="97"/>
      <c r="H661" s="97"/>
      <c r="I661" s="98"/>
      <c r="J661" s="97" t="s">
        <v>257</v>
      </c>
      <c r="K661" s="27"/>
      <c r="L661" s="31"/>
      <c r="M661" s="563" t="s">
        <v>258</v>
      </c>
      <c r="N661" s="564"/>
      <c r="O661" s="198"/>
      <c r="P661" s="190"/>
      <c r="Q661" s="28">
        <v>1680000</v>
      </c>
      <c r="R661" s="29">
        <f>Q661/Q$660*100</f>
        <v>0.59741829949148328</v>
      </c>
      <c r="S661" s="29">
        <v>100</v>
      </c>
      <c r="T661" s="28">
        <f t="shared" si="156"/>
        <v>0</v>
      </c>
      <c r="U661" s="28">
        <f t="shared" si="111"/>
        <v>0</v>
      </c>
      <c r="V661" s="87">
        <f t="shared" si="137"/>
        <v>100</v>
      </c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>
        <v>0</v>
      </c>
      <c r="AJ661" s="29">
        <f t="shared" si="155"/>
        <v>0</v>
      </c>
      <c r="AK661" s="136">
        <f t="shared" si="158"/>
        <v>1680000</v>
      </c>
      <c r="AL661" s="29">
        <f t="shared" si="153"/>
        <v>100</v>
      </c>
      <c r="AM661" s="26"/>
    </row>
    <row r="662" spans="1:39" ht="28.5" customHeight="1" x14ac:dyDescent="0.25">
      <c r="A662" s="26"/>
      <c r="B662" s="97"/>
      <c r="C662" s="97"/>
      <c r="D662" s="97"/>
      <c r="E662" s="97"/>
      <c r="F662" s="97"/>
      <c r="G662" s="97"/>
      <c r="H662" s="97"/>
      <c r="I662" s="98"/>
      <c r="J662" s="97" t="s">
        <v>259</v>
      </c>
      <c r="K662" s="27"/>
      <c r="L662" s="31"/>
      <c r="M662" s="563" t="s">
        <v>260</v>
      </c>
      <c r="N662" s="564"/>
      <c r="O662" s="198"/>
      <c r="P662" s="190"/>
      <c r="Q662" s="28">
        <v>650000</v>
      </c>
      <c r="R662" s="29">
        <f t="shared" ref="R662:R676" si="159">Q662/Q$660*100</f>
        <v>0.23114398492230007</v>
      </c>
      <c r="S662" s="29">
        <v>100</v>
      </c>
      <c r="T662" s="28">
        <f t="shared" si="156"/>
        <v>0</v>
      </c>
      <c r="U662" s="28">
        <f t="shared" ref="U662:U676" si="160">R662*T662/100</f>
        <v>0</v>
      </c>
      <c r="V662" s="87">
        <f t="shared" si="137"/>
        <v>100</v>
      </c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>
        <v>0</v>
      </c>
      <c r="AJ662" s="29">
        <f t="shared" si="155"/>
        <v>0</v>
      </c>
      <c r="AK662" s="136">
        <f t="shared" si="158"/>
        <v>650000</v>
      </c>
      <c r="AL662" s="29">
        <f t="shared" si="153"/>
        <v>100</v>
      </c>
      <c r="AM662" s="26"/>
    </row>
    <row r="663" spans="1:39" ht="28.5" customHeight="1" x14ac:dyDescent="0.25">
      <c r="A663" s="26"/>
      <c r="B663" s="97"/>
      <c r="C663" s="97"/>
      <c r="D663" s="97"/>
      <c r="E663" s="97"/>
      <c r="F663" s="97"/>
      <c r="G663" s="97"/>
      <c r="H663" s="97"/>
      <c r="I663" s="98"/>
      <c r="J663" s="97" t="s">
        <v>326</v>
      </c>
      <c r="K663" s="27"/>
      <c r="L663" s="31"/>
      <c r="M663" s="563" t="s">
        <v>327</v>
      </c>
      <c r="N663" s="564"/>
      <c r="O663" s="198"/>
      <c r="P663" s="190"/>
      <c r="Q663" s="28">
        <v>17050000</v>
      </c>
      <c r="R663" s="29">
        <f t="shared" si="159"/>
        <v>6.0630845275772556</v>
      </c>
      <c r="S663" s="29">
        <v>100</v>
      </c>
      <c r="T663" s="28">
        <f t="shared" si="156"/>
        <v>0</v>
      </c>
      <c r="U663" s="28">
        <f t="shared" si="160"/>
        <v>0</v>
      </c>
      <c r="V663" s="87">
        <f t="shared" si="137"/>
        <v>100</v>
      </c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>
        <v>0</v>
      </c>
      <c r="AJ663" s="29">
        <f t="shared" si="155"/>
        <v>0</v>
      </c>
      <c r="AK663" s="136">
        <f t="shared" si="158"/>
        <v>17050000</v>
      </c>
      <c r="AL663" s="29">
        <f t="shared" si="153"/>
        <v>100</v>
      </c>
      <c r="AM663" s="26"/>
    </row>
    <row r="664" spans="1:39" ht="28.5" customHeight="1" x14ac:dyDescent="0.25">
      <c r="A664" s="26"/>
      <c r="B664" s="97"/>
      <c r="C664" s="97"/>
      <c r="D664" s="97"/>
      <c r="E664" s="97"/>
      <c r="F664" s="97"/>
      <c r="G664" s="97"/>
      <c r="H664" s="97"/>
      <c r="I664" s="98"/>
      <c r="J664" s="97" t="s">
        <v>375</v>
      </c>
      <c r="K664" s="27"/>
      <c r="L664" s="31"/>
      <c r="M664" s="569" t="s">
        <v>376</v>
      </c>
      <c r="N664" s="516"/>
      <c r="O664" s="198"/>
      <c r="P664" s="190"/>
      <c r="Q664" s="28">
        <v>150000000</v>
      </c>
      <c r="R664" s="29">
        <f t="shared" si="159"/>
        <v>53.340919597453862</v>
      </c>
      <c r="S664" s="29">
        <v>100</v>
      </c>
      <c r="T664" s="28">
        <f t="shared" si="156"/>
        <v>0</v>
      </c>
      <c r="U664" s="28">
        <f t="shared" si="160"/>
        <v>0</v>
      </c>
      <c r="V664" s="87">
        <f t="shared" si="137"/>
        <v>100</v>
      </c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>
        <v>0</v>
      </c>
      <c r="AJ664" s="29">
        <f t="shared" si="155"/>
        <v>0</v>
      </c>
      <c r="AK664" s="136">
        <f t="shared" si="158"/>
        <v>150000000</v>
      </c>
      <c r="AL664" s="29">
        <f t="shared" si="153"/>
        <v>100</v>
      </c>
      <c r="AM664" s="26"/>
    </row>
    <row r="665" spans="1:39" ht="28.5" customHeight="1" x14ac:dyDescent="0.25">
      <c r="A665" s="26"/>
      <c r="B665" s="97"/>
      <c r="C665" s="97"/>
      <c r="D665" s="97"/>
      <c r="E665" s="97"/>
      <c r="F665" s="97"/>
      <c r="G665" s="97"/>
      <c r="H665" s="97"/>
      <c r="I665" s="98"/>
      <c r="J665" s="97" t="s">
        <v>267</v>
      </c>
      <c r="K665" s="27"/>
      <c r="L665" s="31"/>
      <c r="M665" s="563" t="s">
        <v>268</v>
      </c>
      <c r="N665" s="564"/>
      <c r="O665" s="198"/>
      <c r="P665" s="190"/>
      <c r="Q665" s="28">
        <v>12500000</v>
      </c>
      <c r="R665" s="29">
        <f t="shared" si="159"/>
        <v>4.4450766331211549</v>
      </c>
      <c r="S665" s="29">
        <v>100</v>
      </c>
      <c r="T665" s="28">
        <f t="shared" si="156"/>
        <v>0</v>
      </c>
      <c r="U665" s="28">
        <f t="shared" si="160"/>
        <v>0</v>
      </c>
      <c r="V665" s="87">
        <f t="shared" si="137"/>
        <v>100</v>
      </c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>
        <v>0</v>
      </c>
      <c r="AJ665" s="29">
        <f t="shared" si="155"/>
        <v>0</v>
      </c>
      <c r="AK665" s="136">
        <f t="shared" si="158"/>
        <v>12500000</v>
      </c>
      <c r="AL665" s="29">
        <f t="shared" si="153"/>
        <v>100</v>
      </c>
      <c r="AM665" s="26"/>
    </row>
    <row r="666" spans="1:39" ht="28.5" customHeight="1" x14ac:dyDescent="0.25">
      <c r="A666" s="26"/>
      <c r="B666" s="97"/>
      <c r="C666" s="97"/>
      <c r="D666" s="97"/>
      <c r="E666" s="97"/>
      <c r="F666" s="97"/>
      <c r="G666" s="97"/>
      <c r="H666" s="97"/>
      <c r="I666" s="98"/>
      <c r="J666" s="97" t="s">
        <v>332</v>
      </c>
      <c r="K666" s="27"/>
      <c r="L666" s="31"/>
      <c r="M666" s="563" t="s">
        <v>351</v>
      </c>
      <c r="N666" s="564"/>
      <c r="O666" s="198"/>
      <c r="P666" s="190"/>
      <c r="Q666" s="28">
        <v>500000</v>
      </c>
      <c r="R666" s="29">
        <f t="shared" si="159"/>
        <v>0.17780306532484619</v>
      </c>
      <c r="S666" s="29">
        <v>100</v>
      </c>
      <c r="T666" s="28">
        <f t="shared" si="156"/>
        <v>0</v>
      </c>
      <c r="U666" s="28">
        <f t="shared" si="160"/>
        <v>0</v>
      </c>
      <c r="V666" s="87">
        <f t="shared" si="137"/>
        <v>100</v>
      </c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>
        <v>0</v>
      </c>
      <c r="AJ666" s="29">
        <f t="shared" si="155"/>
        <v>0</v>
      </c>
      <c r="AK666" s="136">
        <f t="shared" si="158"/>
        <v>500000</v>
      </c>
      <c r="AL666" s="29">
        <f t="shared" si="153"/>
        <v>100</v>
      </c>
      <c r="AM666" s="26"/>
    </row>
    <row r="667" spans="1:39" ht="28.5" customHeight="1" x14ac:dyDescent="0.25">
      <c r="A667" s="26"/>
      <c r="B667" s="97"/>
      <c r="C667" s="97"/>
      <c r="D667" s="97"/>
      <c r="E667" s="97"/>
      <c r="F667" s="97"/>
      <c r="G667" s="97"/>
      <c r="H667" s="97"/>
      <c r="I667" s="98"/>
      <c r="J667" s="97" t="s">
        <v>315</v>
      </c>
      <c r="K667" s="27"/>
      <c r="L667" s="31"/>
      <c r="M667" s="563" t="s">
        <v>271</v>
      </c>
      <c r="N667" s="564"/>
      <c r="O667" s="198"/>
      <c r="P667" s="190"/>
      <c r="Q667" s="28">
        <v>975000</v>
      </c>
      <c r="R667" s="29">
        <f t="shared" si="159"/>
        <v>0.34671597738345006</v>
      </c>
      <c r="S667" s="29">
        <v>100</v>
      </c>
      <c r="T667" s="28">
        <f t="shared" si="156"/>
        <v>0</v>
      </c>
      <c r="U667" s="28">
        <f t="shared" si="160"/>
        <v>0</v>
      </c>
      <c r="V667" s="87">
        <f t="shared" si="137"/>
        <v>100</v>
      </c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>
        <v>0</v>
      </c>
      <c r="AJ667" s="29">
        <f t="shared" si="155"/>
        <v>0</v>
      </c>
      <c r="AK667" s="136">
        <f t="shared" si="158"/>
        <v>975000</v>
      </c>
      <c r="AL667" s="29">
        <f t="shared" si="153"/>
        <v>100</v>
      </c>
      <c r="AM667" s="26"/>
    </row>
    <row r="668" spans="1:39" ht="28.5" customHeight="1" x14ac:dyDescent="0.25">
      <c r="A668" s="26"/>
      <c r="B668" s="97"/>
      <c r="C668" s="97"/>
      <c r="D668" s="97"/>
      <c r="E668" s="97"/>
      <c r="F668" s="97"/>
      <c r="G668" s="97"/>
      <c r="H668" s="97"/>
      <c r="I668" s="98"/>
      <c r="J668" s="97" t="s">
        <v>316</v>
      </c>
      <c r="K668" s="27"/>
      <c r="L668" s="31"/>
      <c r="M668" s="563" t="s">
        <v>317</v>
      </c>
      <c r="N668" s="564"/>
      <c r="O668" s="198"/>
      <c r="P668" s="190"/>
      <c r="Q668" s="28">
        <v>400000</v>
      </c>
      <c r="R668" s="29">
        <f t="shared" si="159"/>
        <v>0.14224245225987697</v>
      </c>
      <c r="S668" s="29">
        <v>100</v>
      </c>
      <c r="T668" s="28">
        <f t="shared" si="156"/>
        <v>0</v>
      </c>
      <c r="U668" s="28">
        <f t="shared" si="160"/>
        <v>0</v>
      </c>
      <c r="V668" s="87">
        <f t="shared" si="137"/>
        <v>100</v>
      </c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>
        <v>0</v>
      </c>
      <c r="AJ668" s="29">
        <f t="shared" si="155"/>
        <v>0</v>
      </c>
      <c r="AK668" s="136">
        <f t="shared" si="158"/>
        <v>400000</v>
      </c>
      <c r="AL668" s="29">
        <f t="shared" si="153"/>
        <v>100</v>
      </c>
      <c r="AM668" s="26"/>
    </row>
    <row r="669" spans="1:39" ht="28.5" customHeight="1" x14ac:dyDescent="0.25">
      <c r="A669" s="26"/>
      <c r="B669" s="97"/>
      <c r="C669" s="97"/>
      <c r="D669" s="97"/>
      <c r="E669" s="97"/>
      <c r="F669" s="97"/>
      <c r="G669" s="97"/>
      <c r="H669" s="97"/>
      <c r="I669" s="98"/>
      <c r="J669" s="97" t="s">
        <v>318</v>
      </c>
      <c r="K669" s="27"/>
      <c r="L669" s="31"/>
      <c r="M669" s="563" t="s">
        <v>319</v>
      </c>
      <c r="N669" s="564"/>
      <c r="O669" s="198"/>
      <c r="P669" s="190"/>
      <c r="Q669" s="28">
        <v>35000000</v>
      </c>
      <c r="R669" s="29">
        <f t="shared" si="159"/>
        <v>12.446214572739233</v>
      </c>
      <c r="S669" s="29">
        <v>100</v>
      </c>
      <c r="T669" s="28">
        <f t="shared" si="156"/>
        <v>0</v>
      </c>
      <c r="U669" s="28">
        <f t="shared" si="160"/>
        <v>0</v>
      </c>
      <c r="V669" s="87">
        <f t="shared" si="137"/>
        <v>100</v>
      </c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>
        <v>0</v>
      </c>
      <c r="AJ669" s="29">
        <f t="shared" si="155"/>
        <v>0</v>
      </c>
      <c r="AK669" s="136">
        <f t="shared" si="158"/>
        <v>35000000</v>
      </c>
      <c r="AL669" s="29">
        <f t="shared" si="153"/>
        <v>100</v>
      </c>
      <c r="AM669" s="26"/>
    </row>
    <row r="670" spans="1:39" ht="28.5" customHeight="1" x14ac:dyDescent="0.25">
      <c r="A670" s="26"/>
      <c r="B670" s="97"/>
      <c r="C670" s="97"/>
      <c r="D670" s="97"/>
      <c r="E670" s="97"/>
      <c r="F670" s="97"/>
      <c r="G670" s="97"/>
      <c r="H670" s="97"/>
      <c r="I670" s="98"/>
      <c r="J670" s="97" t="s">
        <v>280</v>
      </c>
      <c r="K670" s="27"/>
      <c r="L670" s="31"/>
      <c r="M670" s="563" t="s">
        <v>281</v>
      </c>
      <c r="N670" s="564"/>
      <c r="O670" s="198"/>
      <c r="P670" s="190"/>
      <c r="Q670" s="28">
        <v>1250000</v>
      </c>
      <c r="R670" s="29">
        <f t="shared" si="159"/>
        <v>0.44450766331211555</v>
      </c>
      <c r="S670" s="29">
        <v>100</v>
      </c>
      <c r="T670" s="28">
        <f t="shared" si="156"/>
        <v>0</v>
      </c>
      <c r="U670" s="28">
        <f t="shared" si="160"/>
        <v>0</v>
      </c>
      <c r="V670" s="87">
        <f t="shared" si="137"/>
        <v>100</v>
      </c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>
        <v>0</v>
      </c>
      <c r="AJ670" s="29">
        <f t="shared" si="155"/>
        <v>0</v>
      </c>
      <c r="AK670" s="136">
        <f t="shared" si="158"/>
        <v>1250000</v>
      </c>
      <c r="AL670" s="29">
        <f t="shared" si="153"/>
        <v>100</v>
      </c>
      <c r="AM670" s="26"/>
    </row>
    <row r="671" spans="1:39" ht="28.5" customHeight="1" x14ac:dyDescent="0.25">
      <c r="A671" s="26"/>
      <c r="B671" s="97"/>
      <c r="C671" s="97"/>
      <c r="D671" s="97"/>
      <c r="E671" s="97"/>
      <c r="F671" s="97"/>
      <c r="G671" s="97"/>
      <c r="H671" s="97"/>
      <c r="I671" s="98"/>
      <c r="J671" s="97" t="s">
        <v>284</v>
      </c>
      <c r="K671" s="27"/>
      <c r="L671" s="31"/>
      <c r="M671" s="563" t="s">
        <v>285</v>
      </c>
      <c r="N671" s="564"/>
      <c r="O671" s="198"/>
      <c r="P671" s="190"/>
      <c r="Q671" s="28">
        <v>2000000</v>
      </c>
      <c r="R671" s="29">
        <f t="shared" si="159"/>
        <v>0.71121226129938475</v>
      </c>
      <c r="S671" s="29">
        <v>100</v>
      </c>
      <c r="T671" s="28">
        <f t="shared" si="156"/>
        <v>0</v>
      </c>
      <c r="U671" s="28">
        <f t="shared" si="160"/>
        <v>0</v>
      </c>
      <c r="V671" s="87">
        <f t="shared" si="137"/>
        <v>100</v>
      </c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>
        <v>0</v>
      </c>
      <c r="AJ671" s="29">
        <f t="shared" si="155"/>
        <v>0</v>
      </c>
      <c r="AK671" s="136">
        <f t="shared" si="158"/>
        <v>2000000</v>
      </c>
      <c r="AL671" s="29">
        <f t="shared" si="153"/>
        <v>100</v>
      </c>
      <c r="AM671" s="26"/>
    </row>
    <row r="672" spans="1:39" ht="28.5" customHeight="1" x14ac:dyDescent="0.25">
      <c r="A672" s="26"/>
      <c r="B672" s="97"/>
      <c r="C672" s="97"/>
      <c r="D672" s="97"/>
      <c r="E672" s="97"/>
      <c r="F672" s="97"/>
      <c r="G672" s="97"/>
      <c r="H672" s="97"/>
      <c r="I672" s="98"/>
      <c r="J672" s="97" t="s">
        <v>282</v>
      </c>
      <c r="K672" s="27"/>
      <c r="L672" s="31"/>
      <c r="M672" s="563" t="s">
        <v>283</v>
      </c>
      <c r="N672" s="564"/>
      <c r="O672" s="198"/>
      <c r="P672" s="190"/>
      <c r="Q672" s="28">
        <v>19605000</v>
      </c>
      <c r="R672" s="29">
        <f t="shared" si="159"/>
        <v>6.9716581913872204</v>
      </c>
      <c r="S672" s="29">
        <v>100</v>
      </c>
      <c r="T672" s="28">
        <f t="shared" si="156"/>
        <v>0</v>
      </c>
      <c r="U672" s="28">
        <f t="shared" si="160"/>
        <v>0</v>
      </c>
      <c r="V672" s="87">
        <f t="shared" si="137"/>
        <v>100</v>
      </c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>
        <v>0</v>
      </c>
      <c r="AJ672" s="29">
        <f t="shared" si="155"/>
        <v>0</v>
      </c>
      <c r="AK672" s="136">
        <f t="shared" si="158"/>
        <v>19605000</v>
      </c>
      <c r="AL672" s="29">
        <f t="shared" si="153"/>
        <v>100</v>
      </c>
      <c r="AM672" s="26"/>
    </row>
    <row r="673" spans="1:39" ht="28.5" customHeight="1" x14ac:dyDescent="0.25">
      <c r="A673" s="26"/>
      <c r="B673" s="97"/>
      <c r="C673" s="97"/>
      <c r="D673" s="97"/>
      <c r="E673" s="97"/>
      <c r="F673" s="97"/>
      <c r="G673" s="97"/>
      <c r="H673" s="97"/>
      <c r="I673" s="98"/>
      <c r="J673" s="97" t="s">
        <v>320</v>
      </c>
      <c r="K673" s="27"/>
      <c r="L673" s="31"/>
      <c r="M673" s="563" t="s">
        <v>321</v>
      </c>
      <c r="N673" s="564"/>
      <c r="O673" s="198"/>
      <c r="P673" s="190"/>
      <c r="Q673" s="28">
        <v>7600000</v>
      </c>
      <c r="R673" s="29">
        <f t="shared" si="159"/>
        <v>2.7026065929376624</v>
      </c>
      <c r="S673" s="29">
        <v>100</v>
      </c>
      <c r="T673" s="28">
        <f t="shared" si="156"/>
        <v>0</v>
      </c>
      <c r="U673" s="28">
        <f t="shared" si="160"/>
        <v>0</v>
      </c>
      <c r="V673" s="87">
        <f t="shared" si="137"/>
        <v>100</v>
      </c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>
        <v>0</v>
      </c>
      <c r="AJ673" s="29">
        <f t="shared" si="155"/>
        <v>0</v>
      </c>
      <c r="AK673" s="136">
        <f t="shared" si="158"/>
        <v>7600000</v>
      </c>
      <c r="AL673" s="29">
        <f t="shared" si="153"/>
        <v>100</v>
      </c>
      <c r="AM673" s="26"/>
    </row>
    <row r="674" spans="1:39" ht="28.5" customHeight="1" x14ac:dyDescent="0.25">
      <c r="A674" s="26"/>
      <c r="B674" s="97"/>
      <c r="C674" s="97"/>
      <c r="D674" s="97"/>
      <c r="E674" s="97"/>
      <c r="F674" s="97"/>
      <c r="G674" s="97"/>
      <c r="H674" s="97"/>
      <c r="I674" s="98"/>
      <c r="J674" s="97" t="s">
        <v>309</v>
      </c>
      <c r="K674" s="27"/>
      <c r="L674" s="31"/>
      <c r="M674" s="563" t="s">
        <v>310</v>
      </c>
      <c r="N674" s="564"/>
      <c r="O674" s="198"/>
      <c r="P674" s="190"/>
      <c r="Q674" s="28">
        <v>1450000</v>
      </c>
      <c r="R674" s="29">
        <f t="shared" si="159"/>
        <v>0.51562888944205398</v>
      </c>
      <c r="S674" s="29">
        <v>100</v>
      </c>
      <c r="T674" s="28">
        <f t="shared" si="156"/>
        <v>0</v>
      </c>
      <c r="U674" s="28">
        <f t="shared" si="160"/>
        <v>0</v>
      </c>
      <c r="V674" s="87">
        <f t="shared" si="137"/>
        <v>100</v>
      </c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>
        <v>0</v>
      </c>
      <c r="AJ674" s="29">
        <f t="shared" si="155"/>
        <v>0</v>
      </c>
      <c r="AK674" s="136">
        <f t="shared" si="158"/>
        <v>1450000</v>
      </c>
      <c r="AL674" s="29">
        <f t="shared" si="153"/>
        <v>100</v>
      </c>
      <c r="AM674" s="26"/>
    </row>
    <row r="675" spans="1:39" ht="28.5" customHeight="1" x14ac:dyDescent="0.25">
      <c r="A675" s="26"/>
      <c r="B675" s="97"/>
      <c r="C675" s="97"/>
      <c r="D675" s="97"/>
      <c r="E675" s="97"/>
      <c r="F675" s="97"/>
      <c r="G675" s="97"/>
      <c r="H675" s="97"/>
      <c r="I675" s="98"/>
      <c r="J675" s="97" t="s">
        <v>407</v>
      </c>
      <c r="K675" s="27"/>
      <c r="L675" s="31"/>
      <c r="M675" s="563" t="s">
        <v>414</v>
      </c>
      <c r="N675" s="564"/>
      <c r="O675" s="198"/>
      <c r="P675" s="190"/>
      <c r="Q675" s="28">
        <v>550000</v>
      </c>
      <c r="R675" s="29">
        <f t="shared" si="159"/>
        <v>0.19558337185733082</v>
      </c>
      <c r="S675" s="29">
        <v>100</v>
      </c>
      <c r="T675" s="28">
        <f t="shared" si="156"/>
        <v>0</v>
      </c>
      <c r="U675" s="28">
        <f t="shared" si="160"/>
        <v>0</v>
      </c>
      <c r="V675" s="87">
        <v>100</v>
      </c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>
        <v>0</v>
      </c>
      <c r="AJ675" s="29">
        <f t="shared" si="155"/>
        <v>0</v>
      </c>
      <c r="AK675" s="136">
        <f t="shared" si="158"/>
        <v>550000</v>
      </c>
      <c r="AL675" s="29">
        <f t="shared" si="153"/>
        <v>100</v>
      </c>
      <c r="AM675" s="26"/>
    </row>
    <row r="676" spans="1:39" ht="28.5" customHeight="1" x14ac:dyDescent="0.25">
      <c r="A676" s="26"/>
      <c r="B676" s="97"/>
      <c r="C676" s="97"/>
      <c r="D676" s="97"/>
      <c r="E676" s="97"/>
      <c r="F676" s="97"/>
      <c r="G676" s="97"/>
      <c r="H676" s="97"/>
      <c r="I676" s="98"/>
      <c r="J676" s="97" t="s">
        <v>372</v>
      </c>
      <c r="K676" s="27"/>
      <c r="L676" s="31"/>
      <c r="M676" s="563" t="s">
        <v>373</v>
      </c>
      <c r="N676" s="564"/>
      <c r="O676" s="198"/>
      <c r="P676" s="190"/>
      <c r="Q676" s="28">
        <v>30000000</v>
      </c>
      <c r="R676" s="29">
        <f t="shared" si="159"/>
        <v>10.668183919490772</v>
      </c>
      <c r="S676" s="29">
        <v>100</v>
      </c>
      <c r="T676" s="28">
        <f t="shared" si="156"/>
        <v>0</v>
      </c>
      <c r="U676" s="28">
        <f t="shared" si="160"/>
        <v>0</v>
      </c>
      <c r="V676" s="87">
        <v>100</v>
      </c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>
        <v>0</v>
      </c>
      <c r="AJ676" s="29">
        <f t="shared" si="155"/>
        <v>0</v>
      </c>
      <c r="AK676" s="136">
        <f t="shared" si="158"/>
        <v>30000000</v>
      </c>
      <c r="AL676" s="29">
        <f t="shared" si="153"/>
        <v>100</v>
      </c>
      <c r="AM676" s="26"/>
    </row>
    <row r="677" spans="1:39" s="41" customFormat="1" ht="28.5" customHeight="1" x14ac:dyDescent="0.25">
      <c r="A677" s="21">
        <f>SUM(A660+1)</f>
        <v>75</v>
      </c>
      <c r="B677" s="99"/>
      <c r="C677" s="99"/>
      <c r="D677" s="99"/>
      <c r="E677" s="99"/>
      <c r="F677" s="99"/>
      <c r="G677" s="99"/>
      <c r="H677" s="99"/>
      <c r="I677" s="100"/>
      <c r="J677" s="99" t="s">
        <v>377</v>
      </c>
      <c r="K677" s="22"/>
      <c r="L677" s="72"/>
      <c r="M677" s="566" t="s">
        <v>378</v>
      </c>
      <c r="N677" s="566"/>
      <c r="O677" s="197">
        <v>355300000</v>
      </c>
      <c r="P677" s="189">
        <v>0</v>
      </c>
      <c r="Q677" s="23">
        <f>SUM(Q678:Q684)</f>
        <v>120080000</v>
      </c>
      <c r="R677" s="24">
        <f>Q677/Q$33*100</f>
        <v>0.35100057892485687</v>
      </c>
      <c r="S677" s="24">
        <v>100</v>
      </c>
      <c r="T677" s="23">
        <f t="shared" si="156"/>
        <v>0</v>
      </c>
      <c r="U677" s="23">
        <f>R677*T677/100</f>
        <v>0</v>
      </c>
      <c r="V677" s="90">
        <f t="shared" si="137"/>
        <v>100</v>
      </c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 t="e">
        <f>[2]april!N78</f>
        <v>#REF!</v>
      </c>
      <c r="AH677" s="23">
        <f>'[3]DES SKPD'!$N78</f>
        <v>0</v>
      </c>
      <c r="AI677" s="23">
        <f>SUM(AI678:AI684)</f>
        <v>0</v>
      </c>
      <c r="AJ677" s="24">
        <f t="shared" si="155"/>
        <v>0</v>
      </c>
      <c r="AK677" s="134">
        <f t="shared" si="158"/>
        <v>120080000</v>
      </c>
      <c r="AL677" s="24">
        <f t="shared" si="153"/>
        <v>100</v>
      </c>
      <c r="AM677" s="21"/>
    </row>
    <row r="678" spans="1:39" ht="28.5" customHeight="1" x14ac:dyDescent="0.25">
      <c r="A678" s="26"/>
      <c r="B678" s="97"/>
      <c r="C678" s="97"/>
      <c r="D678" s="97"/>
      <c r="E678" s="97"/>
      <c r="F678" s="97"/>
      <c r="G678" s="97"/>
      <c r="H678" s="97"/>
      <c r="I678" s="98"/>
      <c r="J678" s="97" t="s">
        <v>257</v>
      </c>
      <c r="K678" s="27"/>
      <c r="L678" s="31"/>
      <c r="M678" s="563" t="s">
        <v>258</v>
      </c>
      <c r="N678" s="564"/>
      <c r="O678" s="198"/>
      <c r="P678" s="190"/>
      <c r="Q678" s="28">
        <v>3360000</v>
      </c>
      <c r="R678" s="29">
        <f>Q678/Q$677*100</f>
        <v>2.7981345769487009</v>
      </c>
      <c r="S678" s="29">
        <v>100</v>
      </c>
      <c r="T678" s="28">
        <f t="shared" si="156"/>
        <v>0</v>
      </c>
      <c r="U678" s="28">
        <f t="shared" ref="U678:U685" si="161">R678*T678/100</f>
        <v>0</v>
      </c>
      <c r="V678" s="87">
        <f t="shared" si="137"/>
        <v>100</v>
      </c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>
        <v>0</v>
      </c>
      <c r="AJ678" s="29">
        <f t="shared" si="155"/>
        <v>0</v>
      </c>
      <c r="AK678" s="136">
        <f t="shared" si="158"/>
        <v>3360000</v>
      </c>
      <c r="AL678" s="29">
        <f t="shared" si="153"/>
        <v>100</v>
      </c>
      <c r="AM678" s="26"/>
    </row>
    <row r="679" spans="1:39" ht="28.5" customHeight="1" x14ac:dyDescent="0.25">
      <c r="A679" s="26"/>
      <c r="B679" s="97"/>
      <c r="C679" s="97"/>
      <c r="D679" s="97"/>
      <c r="E679" s="97"/>
      <c r="F679" s="97"/>
      <c r="G679" s="97"/>
      <c r="H679" s="97"/>
      <c r="I679" s="98"/>
      <c r="J679" s="97" t="s">
        <v>326</v>
      </c>
      <c r="K679" s="27"/>
      <c r="L679" s="31"/>
      <c r="M679" s="578" t="s">
        <v>327</v>
      </c>
      <c r="N679" s="579"/>
      <c r="O679" s="198"/>
      <c r="P679" s="190"/>
      <c r="Q679" s="28">
        <v>43650000</v>
      </c>
      <c r="R679" s="29">
        <f t="shared" ref="R679:R684" si="162">Q679/Q$677*100</f>
        <v>36.350766155896068</v>
      </c>
      <c r="S679" s="29">
        <v>100</v>
      </c>
      <c r="T679" s="28">
        <f t="shared" si="156"/>
        <v>0</v>
      </c>
      <c r="U679" s="28">
        <f t="shared" si="161"/>
        <v>0</v>
      </c>
      <c r="V679" s="87">
        <f t="shared" si="137"/>
        <v>100</v>
      </c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>
        <v>0</v>
      </c>
      <c r="AJ679" s="29">
        <f t="shared" si="155"/>
        <v>0</v>
      </c>
      <c r="AK679" s="136">
        <f t="shared" si="158"/>
        <v>43650000</v>
      </c>
      <c r="AL679" s="29">
        <f t="shared" si="153"/>
        <v>100</v>
      </c>
      <c r="AM679" s="26"/>
    </row>
    <row r="680" spans="1:39" ht="28.5" customHeight="1" x14ac:dyDescent="0.25">
      <c r="A680" s="26"/>
      <c r="B680" s="97"/>
      <c r="C680" s="97"/>
      <c r="D680" s="97"/>
      <c r="E680" s="97"/>
      <c r="F680" s="97"/>
      <c r="G680" s="97"/>
      <c r="H680" s="97"/>
      <c r="I680" s="98"/>
      <c r="J680" s="97" t="s">
        <v>323</v>
      </c>
      <c r="K680" s="27"/>
      <c r="L680" s="31"/>
      <c r="M680" s="563" t="s">
        <v>324</v>
      </c>
      <c r="N680" s="564"/>
      <c r="O680" s="198"/>
      <c r="P680" s="190"/>
      <c r="Q680" s="28">
        <v>11000000</v>
      </c>
      <c r="R680" s="29">
        <f t="shared" si="162"/>
        <v>9.1605596269153899</v>
      </c>
      <c r="S680" s="29">
        <v>100</v>
      </c>
      <c r="T680" s="28">
        <f t="shared" si="156"/>
        <v>0</v>
      </c>
      <c r="U680" s="28">
        <f t="shared" si="161"/>
        <v>0</v>
      </c>
      <c r="V680" s="87">
        <f t="shared" si="137"/>
        <v>100</v>
      </c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>
        <v>0</v>
      </c>
      <c r="AJ680" s="29">
        <f t="shared" si="155"/>
        <v>0</v>
      </c>
      <c r="AK680" s="136">
        <f t="shared" si="158"/>
        <v>11000000</v>
      </c>
      <c r="AL680" s="29">
        <f t="shared" si="153"/>
        <v>100</v>
      </c>
      <c r="AM680" s="26"/>
    </row>
    <row r="681" spans="1:39" ht="28.5" customHeight="1" x14ac:dyDescent="0.25">
      <c r="A681" s="26"/>
      <c r="B681" s="97"/>
      <c r="C681" s="97"/>
      <c r="D681" s="97"/>
      <c r="E681" s="97"/>
      <c r="F681" s="97"/>
      <c r="G681" s="97"/>
      <c r="H681" s="97"/>
      <c r="I681" s="98"/>
      <c r="J681" s="97" t="s">
        <v>315</v>
      </c>
      <c r="K681" s="27"/>
      <c r="L681" s="31"/>
      <c r="M681" s="563" t="s">
        <v>271</v>
      </c>
      <c r="N681" s="564"/>
      <c r="O681" s="198"/>
      <c r="P681" s="190"/>
      <c r="Q681" s="28">
        <v>3000000</v>
      </c>
      <c r="R681" s="29">
        <f t="shared" si="162"/>
        <v>2.4983344437041972</v>
      </c>
      <c r="S681" s="29">
        <v>100</v>
      </c>
      <c r="T681" s="28">
        <f t="shared" si="156"/>
        <v>0</v>
      </c>
      <c r="U681" s="28">
        <f t="shared" si="161"/>
        <v>0</v>
      </c>
      <c r="V681" s="87">
        <f t="shared" si="137"/>
        <v>100</v>
      </c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>
        <v>0</v>
      </c>
      <c r="AJ681" s="29">
        <f t="shared" si="155"/>
        <v>0</v>
      </c>
      <c r="AK681" s="136">
        <f t="shared" si="158"/>
        <v>3000000</v>
      </c>
      <c r="AL681" s="29">
        <f t="shared" si="153"/>
        <v>100</v>
      </c>
      <c r="AM681" s="26"/>
    </row>
    <row r="682" spans="1:39" ht="28.5" customHeight="1" x14ac:dyDescent="0.25">
      <c r="A682" s="26"/>
      <c r="B682" s="97"/>
      <c r="C682" s="97"/>
      <c r="D682" s="97"/>
      <c r="E682" s="97"/>
      <c r="F682" s="97"/>
      <c r="G682" s="97"/>
      <c r="H682" s="97"/>
      <c r="I682" s="98"/>
      <c r="J682" s="97" t="s">
        <v>280</v>
      </c>
      <c r="K682" s="27"/>
      <c r="L682" s="31"/>
      <c r="M682" s="563" t="s">
        <v>425</v>
      </c>
      <c r="N682" s="564"/>
      <c r="O682" s="198"/>
      <c r="P682" s="190"/>
      <c r="Q682" s="28">
        <v>7500000</v>
      </c>
      <c r="R682" s="29">
        <f t="shared" si="162"/>
        <v>6.2458361092604928</v>
      </c>
      <c r="S682" s="29">
        <v>100</v>
      </c>
      <c r="T682" s="28">
        <f t="shared" si="156"/>
        <v>0</v>
      </c>
      <c r="U682" s="28">
        <f t="shared" si="161"/>
        <v>0</v>
      </c>
      <c r="V682" s="87">
        <f t="shared" si="137"/>
        <v>100</v>
      </c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>
        <v>0</v>
      </c>
      <c r="AJ682" s="29">
        <f t="shared" si="155"/>
        <v>0</v>
      </c>
      <c r="AK682" s="136">
        <f t="shared" si="158"/>
        <v>7500000</v>
      </c>
      <c r="AL682" s="29">
        <f t="shared" si="153"/>
        <v>100</v>
      </c>
      <c r="AM682" s="26"/>
    </row>
    <row r="683" spans="1:39" ht="28.5" customHeight="1" x14ac:dyDescent="0.25">
      <c r="A683" s="26"/>
      <c r="B683" s="97"/>
      <c r="C683" s="97"/>
      <c r="D683" s="97"/>
      <c r="E683" s="97"/>
      <c r="F683" s="97"/>
      <c r="G683" s="97"/>
      <c r="H683" s="97"/>
      <c r="I683" s="98"/>
      <c r="J683" s="97" t="s">
        <v>284</v>
      </c>
      <c r="K683" s="27"/>
      <c r="L683" s="31"/>
      <c r="M683" s="563" t="s">
        <v>285</v>
      </c>
      <c r="N683" s="564"/>
      <c r="O683" s="198"/>
      <c r="P683" s="190"/>
      <c r="Q683" s="28">
        <v>33000000</v>
      </c>
      <c r="R683" s="29">
        <f t="shared" si="162"/>
        <v>27.48167888074617</v>
      </c>
      <c r="S683" s="29">
        <v>100</v>
      </c>
      <c r="T683" s="28">
        <f t="shared" si="156"/>
        <v>0</v>
      </c>
      <c r="U683" s="28">
        <f t="shared" si="161"/>
        <v>0</v>
      </c>
      <c r="V683" s="87">
        <f t="shared" si="137"/>
        <v>100</v>
      </c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>
        <v>0</v>
      </c>
      <c r="AJ683" s="29">
        <f t="shared" si="155"/>
        <v>0</v>
      </c>
      <c r="AK683" s="136">
        <f t="shared" si="158"/>
        <v>33000000</v>
      </c>
      <c r="AL683" s="29">
        <f t="shared" si="153"/>
        <v>100</v>
      </c>
      <c r="AM683" s="26"/>
    </row>
    <row r="684" spans="1:39" ht="28.5" customHeight="1" x14ac:dyDescent="0.25">
      <c r="A684" s="26"/>
      <c r="B684" s="97"/>
      <c r="C684" s="97"/>
      <c r="D684" s="97"/>
      <c r="E684" s="97"/>
      <c r="F684" s="97"/>
      <c r="G684" s="97"/>
      <c r="H684" s="97"/>
      <c r="I684" s="98"/>
      <c r="J684" s="97" t="s">
        <v>282</v>
      </c>
      <c r="K684" s="27"/>
      <c r="L684" s="31"/>
      <c r="M684" s="563" t="s">
        <v>283</v>
      </c>
      <c r="N684" s="564"/>
      <c r="O684" s="198"/>
      <c r="P684" s="190"/>
      <c r="Q684" s="28">
        <v>18570000</v>
      </c>
      <c r="R684" s="29">
        <f t="shared" si="162"/>
        <v>15.46469020652898</v>
      </c>
      <c r="S684" s="29">
        <v>100</v>
      </c>
      <c r="T684" s="28">
        <f t="shared" si="156"/>
        <v>0</v>
      </c>
      <c r="U684" s="28">
        <f t="shared" si="161"/>
        <v>0</v>
      </c>
      <c r="V684" s="87">
        <f t="shared" si="137"/>
        <v>100</v>
      </c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>
        <v>0</v>
      </c>
      <c r="AJ684" s="29">
        <f t="shared" si="155"/>
        <v>0</v>
      </c>
      <c r="AK684" s="136">
        <f t="shared" si="158"/>
        <v>18570000</v>
      </c>
      <c r="AL684" s="29">
        <f t="shared" si="153"/>
        <v>100</v>
      </c>
      <c r="AM684" s="26"/>
    </row>
    <row r="685" spans="1:39" ht="28.5" customHeight="1" x14ac:dyDescent="0.25">
      <c r="A685" s="51" t="s">
        <v>38</v>
      </c>
      <c r="B685" s="547" t="s">
        <v>145</v>
      </c>
      <c r="C685" s="547"/>
      <c r="D685" s="547"/>
      <c r="E685" s="547"/>
      <c r="F685" s="547"/>
      <c r="G685" s="547"/>
      <c r="H685" s="547"/>
      <c r="I685" s="548"/>
      <c r="J685" s="148" t="s">
        <v>531</v>
      </c>
      <c r="K685" s="52"/>
      <c r="L685" s="549" t="s">
        <v>532</v>
      </c>
      <c r="M685" s="549"/>
      <c r="N685" s="550"/>
      <c r="O685" s="192" t="e">
        <f>SUM(O686:O1161)</f>
        <v>#REF!</v>
      </c>
      <c r="P685" s="192" t="e">
        <f>SUM(P686:P1161)</f>
        <v>#REF!</v>
      </c>
      <c r="Q685" s="55">
        <f>SUM(Q686)</f>
        <v>280537351</v>
      </c>
      <c r="R685" s="57">
        <f>Q685/Q$53*100</f>
        <v>1.2204438676180711</v>
      </c>
      <c r="S685" s="57">
        <v>100</v>
      </c>
      <c r="T685" s="55">
        <f t="shared" si="156"/>
        <v>0</v>
      </c>
      <c r="U685" s="127">
        <f t="shared" si="161"/>
        <v>0</v>
      </c>
      <c r="V685" s="117">
        <f t="shared" si="137"/>
        <v>100</v>
      </c>
      <c r="W685" s="55">
        <f t="shared" ref="W685:AH685" si="163">SUM(W686:W1161)</f>
        <v>0</v>
      </c>
      <c r="X685" s="55">
        <f t="shared" si="163"/>
        <v>0</v>
      </c>
      <c r="Y685" s="55">
        <f t="shared" si="163"/>
        <v>0</v>
      </c>
      <c r="Z685" s="55">
        <f t="shared" si="163"/>
        <v>0</v>
      </c>
      <c r="AA685" s="55">
        <f t="shared" si="163"/>
        <v>0</v>
      </c>
      <c r="AB685" s="55">
        <f t="shared" si="163"/>
        <v>0</v>
      </c>
      <c r="AC685" s="55">
        <f t="shared" si="163"/>
        <v>0</v>
      </c>
      <c r="AD685" s="55">
        <f t="shared" si="163"/>
        <v>0</v>
      </c>
      <c r="AE685" s="55">
        <f t="shared" si="163"/>
        <v>0</v>
      </c>
      <c r="AF685" s="55">
        <f t="shared" si="163"/>
        <v>0</v>
      </c>
      <c r="AG685" s="55" t="e">
        <f t="shared" si="163"/>
        <v>#REF!</v>
      </c>
      <c r="AH685" s="55">
        <f t="shared" si="163"/>
        <v>0</v>
      </c>
      <c r="AI685" s="55">
        <f>SUM(AI686)</f>
        <v>0</v>
      </c>
      <c r="AJ685" s="57">
        <f t="shared" si="155"/>
        <v>0</v>
      </c>
      <c r="AK685" s="137">
        <f>SUM(Q685-AI685)</f>
        <v>280537351</v>
      </c>
      <c r="AL685" s="57">
        <f t="shared" si="153"/>
        <v>100</v>
      </c>
      <c r="AM685" s="51"/>
    </row>
    <row r="686" spans="1:39" s="41" customFormat="1" ht="28.5" customHeight="1" x14ac:dyDescent="0.25">
      <c r="A686" s="21">
        <f>SUM(A677+1)</f>
        <v>76</v>
      </c>
      <c r="B686" s="99"/>
      <c r="C686" s="99"/>
      <c r="D686" s="99"/>
      <c r="E686" s="99"/>
      <c r="F686" s="99"/>
      <c r="G686" s="99"/>
      <c r="H686" s="99"/>
      <c r="I686" s="100"/>
      <c r="J686" s="99" t="s">
        <v>381</v>
      </c>
      <c r="K686" s="22"/>
      <c r="L686" s="72"/>
      <c r="M686" s="568" t="s">
        <v>533</v>
      </c>
      <c r="N686" s="568"/>
      <c r="O686" s="197">
        <v>355300000</v>
      </c>
      <c r="P686" s="189">
        <v>0</v>
      </c>
      <c r="Q686" s="23">
        <f>SUM(Q687:Q694)</f>
        <v>280537351</v>
      </c>
      <c r="R686" s="24">
        <f>Q686/Q$33*100</f>
        <v>0.82002642081150712</v>
      </c>
      <c r="S686" s="24">
        <v>100</v>
      </c>
      <c r="T686" s="23">
        <f>AJ686</f>
        <v>0</v>
      </c>
      <c r="U686" s="23">
        <f>R686*T686/100</f>
        <v>0</v>
      </c>
      <c r="V686" s="90">
        <f>S686-T686</f>
        <v>100</v>
      </c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 t="e">
        <f>[2]april!N87</f>
        <v>#REF!</v>
      </c>
      <c r="AH686" s="23">
        <f>'[3]DES SKPD'!$N87</f>
        <v>0</v>
      </c>
      <c r="AI686" s="23">
        <f>SUM(AI687:AI694)</f>
        <v>0</v>
      </c>
      <c r="AJ686" s="29">
        <f t="shared" si="155"/>
        <v>0</v>
      </c>
      <c r="AK686" s="134">
        <f t="shared" si="158"/>
        <v>280537351</v>
      </c>
      <c r="AL686" s="24">
        <f t="shared" si="153"/>
        <v>100</v>
      </c>
      <c r="AM686" s="21"/>
    </row>
    <row r="687" spans="1:39" ht="28.5" customHeight="1" x14ac:dyDescent="0.25">
      <c r="A687" s="26"/>
      <c r="B687" s="97"/>
      <c r="C687" s="97"/>
      <c r="D687" s="97"/>
      <c r="E687" s="97"/>
      <c r="F687" s="97"/>
      <c r="G687" s="97"/>
      <c r="H687" s="97"/>
      <c r="I687" s="98"/>
      <c r="J687" s="97" t="s">
        <v>257</v>
      </c>
      <c r="K687" s="27"/>
      <c r="L687" s="31"/>
      <c r="M687" s="577" t="s">
        <v>258</v>
      </c>
      <c r="N687" s="564"/>
      <c r="O687" s="198"/>
      <c r="P687" s="190"/>
      <c r="Q687" s="28">
        <v>4500000</v>
      </c>
      <c r="R687" s="29">
        <f t="shared" ref="R687:R694" si="164">Q687/Q$686*100</f>
        <v>1.6040644798132424</v>
      </c>
      <c r="S687" s="29">
        <v>100</v>
      </c>
      <c r="T687" s="28">
        <f t="shared" ref="T687:T694" si="165">AJ687</f>
        <v>0</v>
      </c>
      <c r="U687" s="28">
        <f t="shared" ref="U687:U694" si="166">R687*T687/100</f>
        <v>0</v>
      </c>
      <c r="V687" s="87">
        <f t="shared" ref="V687:V694" si="167">S687-T687</f>
        <v>100</v>
      </c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>
        <v>0</v>
      </c>
      <c r="AJ687" s="29">
        <f t="shared" si="155"/>
        <v>0</v>
      </c>
      <c r="AK687" s="136">
        <f t="shared" si="158"/>
        <v>4500000</v>
      </c>
      <c r="AL687" s="29">
        <f t="shared" si="153"/>
        <v>100</v>
      </c>
      <c r="AM687" s="26"/>
    </row>
    <row r="688" spans="1:39" ht="28.5" customHeight="1" x14ac:dyDescent="0.25">
      <c r="A688" s="26"/>
      <c r="B688" s="97"/>
      <c r="C688" s="97"/>
      <c r="D688" s="97"/>
      <c r="E688" s="97"/>
      <c r="F688" s="97"/>
      <c r="G688" s="97"/>
      <c r="H688" s="97"/>
      <c r="I688" s="98"/>
      <c r="J688" s="97" t="s">
        <v>326</v>
      </c>
      <c r="K688" s="27"/>
      <c r="L688" s="31"/>
      <c r="M688" s="577" t="s">
        <v>327</v>
      </c>
      <c r="N688" s="564"/>
      <c r="O688" s="198"/>
      <c r="P688" s="190"/>
      <c r="Q688" s="28">
        <v>55800000</v>
      </c>
      <c r="R688" s="29">
        <f t="shared" si="164"/>
        <v>19.890399549684208</v>
      </c>
      <c r="S688" s="29">
        <v>100</v>
      </c>
      <c r="T688" s="28">
        <f t="shared" si="165"/>
        <v>0</v>
      </c>
      <c r="U688" s="28">
        <f t="shared" si="166"/>
        <v>0</v>
      </c>
      <c r="V688" s="87">
        <f t="shared" si="167"/>
        <v>100</v>
      </c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>
        <v>0</v>
      </c>
      <c r="AJ688" s="29">
        <f t="shared" si="155"/>
        <v>0</v>
      </c>
      <c r="AK688" s="136">
        <f t="shared" si="158"/>
        <v>55800000</v>
      </c>
      <c r="AL688" s="29">
        <f t="shared" si="153"/>
        <v>100</v>
      </c>
      <c r="AM688" s="26"/>
    </row>
    <row r="689" spans="1:83" ht="28.5" customHeight="1" x14ac:dyDescent="0.25">
      <c r="A689" s="26"/>
      <c r="B689" s="97"/>
      <c r="C689" s="97"/>
      <c r="D689" s="97"/>
      <c r="E689" s="97"/>
      <c r="F689" s="97"/>
      <c r="G689" s="97"/>
      <c r="H689" s="97"/>
      <c r="I689" s="98"/>
      <c r="J689" s="97" t="s">
        <v>534</v>
      </c>
      <c r="K689" s="27"/>
      <c r="L689" s="31"/>
      <c r="M689" s="577" t="s">
        <v>535</v>
      </c>
      <c r="N689" s="564"/>
      <c r="O689" s="198"/>
      <c r="P689" s="190"/>
      <c r="Q689" s="28">
        <v>100000000</v>
      </c>
      <c r="R689" s="29">
        <f t="shared" si="164"/>
        <v>35.645877329183165</v>
      </c>
      <c r="S689" s="29">
        <v>100</v>
      </c>
      <c r="T689" s="28">
        <f t="shared" si="165"/>
        <v>0</v>
      </c>
      <c r="U689" s="28">
        <f t="shared" si="166"/>
        <v>0</v>
      </c>
      <c r="V689" s="87">
        <f t="shared" si="167"/>
        <v>100</v>
      </c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>
        <v>0</v>
      </c>
      <c r="AJ689" s="29">
        <f t="shared" si="155"/>
        <v>0</v>
      </c>
      <c r="AK689" s="136">
        <f t="shared" si="158"/>
        <v>100000000</v>
      </c>
      <c r="AL689" s="29">
        <f t="shared" si="153"/>
        <v>100</v>
      </c>
      <c r="AM689" s="26"/>
    </row>
    <row r="690" spans="1:83" ht="28.5" customHeight="1" x14ac:dyDescent="0.25">
      <c r="A690" s="26"/>
      <c r="B690" s="97"/>
      <c r="C690" s="97"/>
      <c r="D690" s="97"/>
      <c r="E690" s="97"/>
      <c r="F690" s="97"/>
      <c r="G690" s="97"/>
      <c r="H690" s="97"/>
      <c r="I690" s="98"/>
      <c r="J690" s="97" t="s">
        <v>536</v>
      </c>
      <c r="K690" s="27"/>
      <c r="L690" s="31"/>
      <c r="M690" s="577" t="s">
        <v>271</v>
      </c>
      <c r="N690" s="564"/>
      <c r="O690" s="198"/>
      <c r="P690" s="190"/>
      <c r="Q690" s="28">
        <v>3500000</v>
      </c>
      <c r="R690" s="29">
        <f t="shared" si="164"/>
        <v>1.2476057065214108</v>
      </c>
      <c r="S690" s="29">
        <v>100</v>
      </c>
      <c r="T690" s="28">
        <f t="shared" si="165"/>
        <v>0</v>
      </c>
      <c r="U690" s="28">
        <f t="shared" si="166"/>
        <v>0</v>
      </c>
      <c r="V690" s="87">
        <f t="shared" si="167"/>
        <v>100</v>
      </c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>
        <v>0</v>
      </c>
      <c r="AJ690" s="29">
        <f t="shared" si="155"/>
        <v>0</v>
      </c>
      <c r="AK690" s="136">
        <f t="shared" si="158"/>
        <v>3500000</v>
      </c>
      <c r="AL690" s="29">
        <f t="shared" si="153"/>
        <v>100</v>
      </c>
      <c r="AM690" s="26"/>
    </row>
    <row r="691" spans="1:83" ht="28.5" customHeight="1" x14ac:dyDescent="0.25">
      <c r="A691" s="26"/>
      <c r="B691" s="97"/>
      <c r="C691" s="97"/>
      <c r="D691" s="97"/>
      <c r="E691" s="97"/>
      <c r="F691" s="97"/>
      <c r="G691" s="97"/>
      <c r="H691" s="97"/>
      <c r="I691" s="98"/>
      <c r="J691" s="97" t="s">
        <v>502</v>
      </c>
      <c r="K691" s="27"/>
      <c r="L691" s="31"/>
      <c r="M691" s="577" t="s">
        <v>319</v>
      </c>
      <c r="N691" s="564"/>
      <c r="O691" s="198"/>
      <c r="P691" s="190"/>
      <c r="Q691" s="28">
        <v>52000000</v>
      </c>
      <c r="R691" s="29">
        <f t="shared" si="164"/>
        <v>18.535856211175243</v>
      </c>
      <c r="S691" s="29">
        <v>100</v>
      </c>
      <c r="T691" s="28">
        <f t="shared" si="165"/>
        <v>0</v>
      </c>
      <c r="U691" s="28">
        <f t="shared" si="166"/>
        <v>0</v>
      </c>
      <c r="V691" s="87">
        <f t="shared" si="167"/>
        <v>100</v>
      </c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>
        <v>0</v>
      </c>
      <c r="AJ691" s="29">
        <f t="shared" si="155"/>
        <v>0</v>
      </c>
      <c r="AK691" s="136">
        <f t="shared" si="158"/>
        <v>52000000</v>
      </c>
      <c r="AL691" s="29">
        <f t="shared" si="153"/>
        <v>100</v>
      </c>
      <c r="AM691" s="26"/>
    </row>
    <row r="692" spans="1:83" ht="28.5" customHeight="1" x14ac:dyDescent="0.25">
      <c r="A692" s="26"/>
      <c r="B692" s="97"/>
      <c r="C692" s="97"/>
      <c r="D692" s="97"/>
      <c r="E692" s="97"/>
      <c r="F692" s="97"/>
      <c r="G692" s="97"/>
      <c r="H692" s="97"/>
      <c r="I692" s="98"/>
      <c r="J692" s="97" t="s">
        <v>537</v>
      </c>
      <c r="K692" s="27"/>
      <c r="L692" s="31"/>
      <c r="M692" s="586" t="s">
        <v>285</v>
      </c>
      <c r="N692" s="587"/>
      <c r="O692" s="198"/>
      <c r="P692" s="190"/>
      <c r="Q692" s="28">
        <v>5000000</v>
      </c>
      <c r="R692" s="29">
        <f t="shared" si="164"/>
        <v>1.7822938664591583</v>
      </c>
      <c r="S692" s="29">
        <v>100</v>
      </c>
      <c r="T692" s="28">
        <f t="shared" si="165"/>
        <v>0</v>
      </c>
      <c r="U692" s="28">
        <f t="shared" si="166"/>
        <v>0</v>
      </c>
      <c r="V692" s="87">
        <f t="shared" si="167"/>
        <v>100</v>
      </c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>
        <v>0</v>
      </c>
      <c r="AJ692" s="29">
        <f t="shared" si="155"/>
        <v>0</v>
      </c>
      <c r="AK692" s="136">
        <f t="shared" si="158"/>
        <v>5000000</v>
      </c>
      <c r="AL692" s="29">
        <f t="shared" si="153"/>
        <v>100</v>
      </c>
      <c r="AM692" s="26"/>
    </row>
    <row r="693" spans="1:83" ht="28.5" customHeight="1" x14ac:dyDescent="0.25">
      <c r="A693" s="26"/>
      <c r="B693" s="97"/>
      <c r="C693" s="97"/>
      <c r="D693" s="97"/>
      <c r="E693" s="97"/>
      <c r="F693" s="97"/>
      <c r="G693" s="97"/>
      <c r="H693" s="97"/>
      <c r="I693" s="98"/>
      <c r="J693" s="97" t="s">
        <v>538</v>
      </c>
      <c r="K693" s="27"/>
      <c r="L693" s="31"/>
      <c r="M693" s="586" t="s">
        <v>283</v>
      </c>
      <c r="N693" s="587"/>
      <c r="O693" s="198"/>
      <c r="P693" s="190"/>
      <c r="Q693" s="28">
        <v>15737351</v>
      </c>
      <c r="R693" s="29">
        <f t="shared" si="164"/>
        <v>5.60971683232298</v>
      </c>
      <c r="S693" s="29">
        <v>100</v>
      </c>
      <c r="T693" s="28">
        <f t="shared" si="165"/>
        <v>0</v>
      </c>
      <c r="U693" s="28">
        <f t="shared" si="166"/>
        <v>0</v>
      </c>
      <c r="V693" s="87">
        <f t="shared" si="167"/>
        <v>100</v>
      </c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>
        <v>0</v>
      </c>
      <c r="AJ693" s="29">
        <f t="shared" si="155"/>
        <v>0</v>
      </c>
      <c r="AK693" s="136">
        <f t="shared" si="158"/>
        <v>15737351</v>
      </c>
      <c r="AL693" s="29">
        <f t="shared" si="153"/>
        <v>100</v>
      </c>
      <c r="AM693" s="26"/>
    </row>
    <row r="694" spans="1:83" ht="24.75" customHeight="1" x14ac:dyDescent="0.25">
      <c r="A694" s="26"/>
      <c r="B694" s="513" t="s">
        <v>158</v>
      </c>
      <c r="C694" s="513"/>
      <c r="D694" s="513"/>
      <c r="E694" s="513"/>
      <c r="F694" s="513"/>
      <c r="G694" s="513"/>
      <c r="H694" s="513"/>
      <c r="I694" s="514"/>
      <c r="J694" s="97" t="s">
        <v>539</v>
      </c>
      <c r="K694" s="78"/>
      <c r="L694" s="79"/>
      <c r="M694" s="588" t="s">
        <v>321</v>
      </c>
      <c r="N694" s="589"/>
      <c r="O694" s="199"/>
      <c r="P694" s="199"/>
      <c r="Q694" s="80">
        <v>44000000</v>
      </c>
      <c r="R694" s="29">
        <f t="shared" si="164"/>
        <v>15.684186024840594</v>
      </c>
      <c r="S694" s="29">
        <v>100</v>
      </c>
      <c r="T694" s="28">
        <f t="shared" si="165"/>
        <v>0</v>
      </c>
      <c r="U694" s="28">
        <f t="shared" si="166"/>
        <v>0</v>
      </c>
      <c r="V694" s="87">
        <f t="shared" si="167"/>
        <v>100</v>
      </c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28">
        <v>0</v>
      </c>
      <c r="AJ694" s="29">
        <f t="shared" si="155"/>
        <v>0</v>
      </c>
      <c r="AK694" s="136">
        <f t="shared" si="158"/>
        <v>44000000</v>
      </c>
      <c r="AL694" s="29">
        <f t="shared" si="153"/>
        <v>100</v>
      </c>
      <c r="AM694" s="26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</row>
    <row r="695" spans="1:83" s="16" customFormat="1" ht="24" customHeight="1" x14ac:dyDescent="0.25">
      <c r="B695" s="580" t="s">
        <v>166</v>
      </c>
      <c r="C695" s="580"/>
      <c r="D695" s="580"/>
      <c r="E695" s="580"/>
      <c r="F695" s="580"/>
      <c r="G695" s="580"/>
      <c r="H695" s="580"/>
      <c r="I695" s="580"/>
      <c r="J695" s="103"/>
      <c r="L695" s="581"/>
      <c r="M695" s="581"/>
      <c r="N695" s="581"/>
      <c r="O695" s="200" t="e">
        <f>SUM(#REF!)</f>
        <v>#REF!</v>
      </c>
      <c r="P695" s="200" t="e">
        <f>SUM(#REF!)</f>
        <v>#REF!</v>
      </c>
      <c r="Q695" s="17"/>
      <c r="R695" s="18"/>
      <c r="S695" s="18"/>
      <c r="T695" s="17"/>
      <c r="U695" s="17"/>
      <c r="V695" s="118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8"/>
      <c r="AK695" s="139"/>
      <c r="AL695" s="18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19"/>
      <c r="CE695" s="19"/>
    </row>
    <row r="696" spans="1:83" s="19" customFormat="1" ht="24" customHeight="1" x14ac:dyDescent="0.2">
      <c r="B696" s="44"/>
      <c r="C696" s="44"/>
      <c r="D696" s="44"/>
      <c r="E696" s="44"/>
      <c r="F696" s="44"/>
      <c r="G696" s="44"/>
      <c r="H696" s="44"/>
      <c r="I696" s="44"/>
      <c r="J696" s="44"/>
      <c r="L696" s="45"/>
      <c r="M696" s="45"/>
      <c r="N696" s="45"/>
      <c r="O696" s="201"/>
      <c r="P696" s="201"/>
      <c r="Q696" s="42"/>
      <c r="R696" s="43"/>
      <c r="S696" s="43"/>
      <c r="T696" s="42"/>
      <c r="U696" s="42"/>
      <c r="V696" s="119"/>
      <c r="W696" s="42"/>
      <c r="X696" s="42"/>
      <c r="Y696" s="42"/>
      <c r="Z696" s="42"/>
      <c r="AA696" s="42"/>
      <c r="AB696" s="42"/>
      <c r="AC696" s="42"/>
      <c r="AD696" s="42"/>
      <c r="AE696" s="42"/>
      <c r="AF696" s="42"/>
      <c r="AG696" s="42"/>
      <c r="AH696" s="42"/>
      <c r="AI696" s="582" t="s">
        <v>542</v>
      </c>
      <c r="AJ696" s="582"/>
      <c r="AK696" s="582"/>
      <c r="AL696" s="582"/>
    </row>
    <row r="697" spans="1:83" s="19" customFormat="1" ht="24" customHeight="1" x14ac:dyDescent="0.25">
      <c r="B697" s="44"/>
      <c r="C697" s="44"/>
      <c r="D697" s="44"/>
      <c r="E697" s="44"/>
      <c r="F697" s="44"/>
      <c r="G697" s="44"/>
      <c r="H697" s="44"/>
      <c r="I697" s="44"/>
      <c r="J697" s="44"/>
      <c r="L697" s="45"/>
      <c r="M697" s="45"/>
      <c r="N697" s="45"/>
      <c r="O697" s="201"/>
      <c r="P697" s="201"/>
      <c r="Q697" s="42"/>
      <c r="R697" s="43"/>
      <c r="S697" s="43"/>
      <c r="T697" s="42"/>
      <c r="U697" s="42"/>
      <c r="V697" s="119"/>
      <c r="W697" s="42"/>
      <c r="X697" s="42"/>
      <c r="Y697" s="42"/>
      <c r="Z697" s="42"/>
      <c r="AA697" s="42"/>
      <c r="AB697" s="42"/>
      <c r="AC697" s="42"/>
      <c r="AD697" s="42"/>
      <c r="AE697" s="42"/>
      <c r="AF697" s="42"/>
      <c r="AG697" s="42"/>
      <c r="AH697" s="42"/>
      <c r="AI697" s="583" t="s">
        <v>543</v>
      </c>
      <c r="AJ697" s="583"/>
      <c r="AK697" s="583"/>
      <c r="AL697" s="583"/>
    </row>
    <row r="698" spans="1:83" s="19" customFormat="1" ht="24" customHeight="1" x14ac:dyDescent="0.25">
      <c r="B698" s="44"/>
      <c r="C698" s="44"/>
      <c r="D698" s="44"/>
      <c r="E698" s="44"/>
      <c r="F698" s="44"/>
      <c r="G698" s="44"/>
      <c r="H698" s="44"/>
      <c r="I698" s="44"/>
      <c r="J698" s="44"/>
      <c r="L698" s="45"/>
      <c r="M698" s="45"/>
      <c r="N698" s="45"/>
      <c r="O698" s="201"/>
      <c r="P698" s="201"/>
      <c r="Q698" s="42"/>
      <c r="R698" s="43"/>
      <c r="S698" s="43"/>
      <c r="T698" s="42"/>
      <c r="U698" s="42"/>
      <c r="V698" s="119"/>
      <c r="W698" s="42"/>
      <c r="X698" s="42"/>
      <c r="Y698" s="42"/>
      <c r="Z698" s="42"/>
      <c r="AA698" s="42"/>
      <c r="AB698" s="42"/>
      <c r="AC698" s="42"/>
      <c r="AD698" s="42"/>
      <c r="AE698" s="42"/>
      <c r="AF698" s="42"/>
      <c r="AG698" s="42"/>
      <c r="AH698" s="42"/>
      <c r="AI698" s="86"/>
      <c r="AJ698" s="41"/>
      <c r="AK698" s="140"/>
      <c r="AL698" s="43"/>
    </row>
    <row r="699" spans="1:83" ht="13.5" customHeight="1" x14ac:dyDescent="0.25">
      <c r="AI699" s="86"/>
      <c r="AJ699" s="41"/>
      <c r="AK699" s="140"/>
    </row>
    <row r="700" spans="1:83" ht="13.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11"/>
      <c r="O700" s="185"/>
      <c r="P700" s="185"/>
      <c r="Q700" s="2"/>
      <c r="R700" s="2"/>
      <c r="S700" s="2"/>
      <c r="T700" s="2"/>
      <c r="U700" s="2"/>
      <c r="V700" s="13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86"/>
      <c r="AJ700" s="41"/>
      <c r="AK700" s="140"/>
      <c r="AL700" s="2"/>
      <c r="AM700" s="2"/>
    </row>
    <row r="701" spans="1:83" ht="13.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185"/>
      <c r="P701" s="185"/>
      <c r="Q701" s="2"/>
      <c r="R701" s="2"/>
      <c r="S701" s="2"/>
      <c r="T701" s="2"/>
      <c r="U701" s="2"/>
      <c r="V701" s="13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86"/>
      <c r="AJ701" s="41"/>
      <c r="AK701" s="140"/>
      <c r="AL701" s="2"/>
      <c r="AM701" s="2"/>
    </row>
    <row r="702" spans="1:83" ht="13.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AI702" s="584" t="s">
        <v>216</v>
      </c>
      <c r="AJ702" s="584"/>
      <c r="AK702" s="584"/>
      <c r="AL702" s="584"/>
    </row>
    <row r="703" spans="1:83" ht="13.5" customHeight="1" x14ac:dyDescent="0.25">
      <c r="A703" s="1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AI703" s="585" t="s">
        <v>217</v>
      </c>
      <c r="AJ703" s="585"/>
      <c r="AK703" s="585"/>
      <c r="AL703" s="585"/>
    </row>
    <row r="704" spans="1:83" ht="13.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21" ht="13.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21" ht="13.5" customHeight="1" x14ac:dyDescent="0.25">
      <c r="A706" s="10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21" ht="13.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21" ht="13.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21" ht="13.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21" ht="13.5" customHeight="1" x14ac:dyDescent="0.25">
      <c r="A710" s="10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21" ht="13.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21" ht="13.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21" ht="13.5" customHeight="1" x14ac:dyDescent="0.25">
      <c r="A713" s="1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21" ht="13.5" customHeight="1" x14ac:dyDescent="0.25">
      <c r="A714" s="13"/>
      <c r="B714" s="14"/>
      <c r="C714" s="14"/>
      <c r="D714" s="14"/>
      <c r="E714" s="14"/>
      <c r="F714" s="14"/>
      <c r="G714" s="14"/>
      <c r="H714" s="14"/>
      <c r="I714" s="14"/>
      <c r="J714" s="14"/>
      <c r="K714" s="13"/>
      <c r="L714" s="2"/>
      <c r="M714" s="2"/>
      <c r="N714" s="2"/>
    </row>
    <row r="715" spans="1:21" ht="13.5" customHeight="1" x14ac:dyDescent="0.25">
      <c r="A715" s="13">
        <v>0</v>
      </c>
      <c r="B715" s="14"/>
      <c r="C715" s="14"/>
      <c r="D715" s="14"/>
      <c r="E715" s="14"/>
      <c r="F715" s="14"/>
      <c r="G715" s="14"/>
      <c r="H715" s="14"/>
      <c r="I715" s="14"/>
      <c r="J715" s="14"/>
      <c r="K715" s="13" t="s">
        <v>190</v>
      </c>
      <c r="L715" s="2"/>
      <c r="M715" s="2"/>
      <c r="N715" s="2"/>
    </row>
    <row r="716" spans="1:21" ht="13.5" customHeight="1" x14ac:dyDescent="0.25">
      <c r="A716" s="13">
        <f>A714-A715</f>
        <v>0</v>
      </c>
      <c r="B716" s="14"/>
      <c r="C716" s="14"/>
      <c r="D716" s="14"/>
      <c r="E716" s="14"/>
      <c r="F716" s="14"/>
      <c r="G716" s="14"/>
      <c r="H716" s="14"/>
      <c r="I716" s="14"/>
      <c r="J716" s="14"/>
      <c r="K716" s="13" t="s">
        <v>191</v>
      </c>
      <c r="L716" s="2"/>
      <c r="M716" s="2"/>
      <c r="N716" s="2"/>
    </row>
    <row r="717" spans="1:21" ht="13.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21" ht="13.5" customHeight="1" x14ac:dyDescent="0.25">
      <c r="A718" s="2">
        <v>7</v>
      </c>
      <c r="B718" s="2"/>
      <c r="C718" s="2"/>
      <c r="D718" s="2"/>
      <c r="E718" s="2"/>
      <c r="F718" s="2"/>
      <c r="G718" s="2"/>
      <c r="H718" s="2"/>
      <c r="I718" s="2"/>
      <c r="J718" s="2"/>
      <c r="K718" s="2" t="s">
        <v>168</v>
      </c>
      <c r="L718" s="2"/>
      <c r="M718" s="2"/>
      <c r="N718" s="11" t="s">
        <v>169</v>
      </c>
      <c r="O718" s="185"/>
      <c r="P718" s="185"/>
      <c r="Q718" s="2"/>
      <c r="R718" s="2"/>
      <c r="S718" s="2"/>
      <c r="T718" s="2"/>
      <c r="U718" s="2"/>
    </row>
    <row r="719" spans="1:21" ht="13.5" customHeight="1" x14ac:dyDescent="0.25">
      <c r="A719" s="2" t="e">
        <f>#REF!</f>
        <v>#REF!</v>
      </c>
      <c r="B719" s="2"/>
      <c r="C719" s="2"/>
      <c r="D719" s="2"/>
      <c r="E719" s="2"/>
      <c r="F719" s="2"/>
      <c r="G719" s="2"/>
      <c r="H719" s="2"/>
      <c r="I719" s="2"/>
      <c r="J719" s="2"/>
      <c r="K719" s="2" t="s">
        <v>170</v>
      </c>
      <c r="L719" s="2"/>
      <c r="M719" s="2"/>
      <c r="N719" s="2" t="s">
        <v>171</v>
      </c>
      <c r="O719" s="185"/>
      <c r="P719" s="185"/>
      <c r="Q719" s="2"/>
      <c r="R719" s="2"/>
      <c r="S719" s="2"/>
      <c r="T719" s="2"/>
      <c r="U719" s="2"/>
    </row>
    <row r="720" spans="1:21" ht="13.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 t="s">
        <v>172</v>
      </c>
    </row>
    <row r="721" spans="1:14" ht="13.5" customHeight="1" x14ac:dyDescent="0.25">
      <c r="A721" s="12">
        <f>COUNTIF(T117:T713,"&gt;=95")</f>
        <v>0</v>
      </c>
      <c r="B721" s="2"/>
      <c r="C721" s="2"/>
      <c r="D721" s="2"/>
      <c r="E721" s="2"/>
      <c r="F721" s="2"/>
      <c r="G721" s="2"/>
      <c r="H721" s="2"/>
      <c r="I721" s="2"/>
      <c r="J721" s="2"/>
      <c r="K721" s="2" t="s">
        <v>173</v>
      </c>
      <c r="L721" s="2"/>
      <c r="M721" s="2"/>
      <c r="N721" s="2" t="s">
        <v>174</v>
      </c>
    </row>
    <row r="722" spans="1:14" ht="13.5" customHeight="1" x14ac:dyDescent="0.25">
      <c r="A722" s="2" t="e">
        <f>A719-A721</f>
        <v>#REF!</v>
      </c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 t="s">
        <v>175</v>
      </c>
    </row>
    <row r="723" spans="1:14" ht="13.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 t="s">
        <v>176</v>
      </c>
    </row>
    <row r="724" spans="1:14" ht="13.5" customHeight="1" x14ac:dyDescent="0.25">
      <c r="A724" s="10">
        <v>2</v>
      </c>
      <c r="B724" s="2"/>
      <c r="C724" s="2"/>
      <c r="D724" s="2"/>
      <c r="E724" s="2"/>
      <c r="F724" s="2"/>
      <c r="G724" s="2"/>
      <c r="H724" s="2"/>
      <c r="I724" s="2"/>
      <c r="J724" s="2"/>
      <c r="K724" s="2" t="s">
        <v>177</v>
      </c>
      <c r="L724" s="2"/>
      <c r="M724" s="2"/>
      <c r="N724" s="2" t="s">
        <v>178</v>
      </c>
    </row>
    <row r="725" spans="1:14" ht="13.5" customHeight="1" x14ac:dyDescent="0.25">
      <c r="A725" s="2">
        <f>A718-A724</f>
        <v>5</v>
      </c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 t="s">
        <v>179</v>
      </c>
    </row>
    <row r="726" spans="1:14" ht="13.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 t="s">
        <v>180</v>
      </c>
    </row>
    <row r="727" spans="1:14" ht="13.5" customHeight="1" x14ac:dyDescent="0.25">
      <c r="A727" s="2">
        <v>7</v>
      </c>
      <c r="B727" s="2"/>
      <c r="C727" s="2"/>
      <c r="D727" s="2"/>
      <c r="E727" s="2"/>
      <c r="F727" s="2"/>
      <c r="G727" s="2"/>
      <c r="H727" s="2"/>
      <c r="I727" s="2"/>
      <c r="J727" s="2"/>
      <c r="K727" s="2" t="s">
        <v>181</v>
      </c>
      <c r="L727" s="2"/>
      <c r="M727" s="2"/>
      <c r="N727" s="2" t="s">
        <v>182</v>
      </c>
    </row>
    <row r="728" spans="1:14" ht="13.5" customHeight="1" x14ac:dyDescent="0.25">
      <c r="A728" s="10">
        <v>3</v>
      </c>
      <c r="B728" s="2"/>
      <c r="C728" s="2"/>
      <c r="D728" s="2"/>
      <c r="E728" s="2"/>
      <c r="F728" s="2"/>
      <c r="G728" s="2"/>
      <c r="H728" s="2"/>
      <c r="I728" s="2"/>
      <c r="J728" s="2"/>
      <c r="K728" s="2" t="s">
        <v>183</v>
      </c>
      <c r="L728" s="2"/>
      <c r="M728" s="2"/>
      <c r="N728" s="2" t="s">
        <v>184</v>
      </c>
    </row>
    <row r="729" spans="1:14" ht="13.5" customHeight="1" x14ac:dyDescent="0.25">
      <c r="A729" s="2">
        <f>A727-A728</f>
        <v>4</v>
      </c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 t="s">
        <v>185</v>
      </c>
    </row>
    <row r="730" spans="1:14" ht="13.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 t="s">
        <v>186</v>
      </c>
    </row>
    <row r="731" spans="1:14" ht="13.5" customHeight="1" x14ac:dyDescent="0.25">
      <c r="A731" s="12">
        <f>COUNTIF(T117:T713,"0")</f>
        <v>578</v>
      </c>
      <c r="B731" s="2"/>
      <c r="C731" s="2"/>
      <c r="D731" s="2"/>
      <c r="E731" s="2"/>
      <c r="F731" s="2"/>
      <c r="G731" s="2"/>
      <c r="H731" s="2"/>
      <c r="I731" s="2"/>
      <c r="J731" s="2"/>
      <c r="K731" s="2" t="s">
        <v>187</v>
      </c>
      <c r="L731" s="2"/>
      <c r="M731" s="2"/>
      <c r="N731" s="2" t="s">
        <v>188</v>
      </c>
    </row>
    <row r="732" spans="1:14" ht="13.5" customHeight="1" x14ac:dyDescent="0.25">
      <c r="A732" s="13" t="e">
        <f>A719-(A721+A731)</f>
        <v>#REF!</v>
      </c>
      <c r="B732" s="14"/>
      <c r="C732" s="14"/>
      <c r="D732" s="14"/>
      <c r="E732" s="14"/>
      <c r="F732" s="14"/>
      <c r="G732" s="14"/>
      <c r="H732" s="14"/>
      <c r="I732" s="14"/>
      <c r="J732" s="14"/>
      <c r="K732" s="13" t="s">
        <v>189</v>
      </c>
      <c r="L732" s="2"/>
      <c r="M732" s="2"/>
      <c r="N732" s="2"/>
    </row>
  </sheetData>
  <autoFilter ref="A1:A732" xr:uid="{00000000-0009-0000-0000-000000000000}"/>
  <mergeCells count="805">
    <mergeCell ref="B695:I695"/>
    <mergeCell ref="L695:N695"/>
    <mergeCell ref="AI696:AL696"/>
    <mergeCell ref="AI697:AL697"/>
    <mergeCell ref="AI702:AL702"/>
    <mergeCell ref="AI703:AL703"/>
    <mergeCell ref="M690:N690"/>
    <mergeCell ref="M691:N691"/>
    <mergeCell ref="M692:N692"/>
    <mergeCell ref="M693:N693"/>
    <mergeCell ref="B694:I694"/>
    <mergeCell ref="M694:N694"/>
    <mergeCell ref="B685:I685"/>
    <mergeCell ref="L685:N685"/>
    <mergeCell ref="M686:N686"/>
    <mergeCell ref="M687:N687"/>
    <mergeCell ref="M688:N688"/>
    <mergeCell ref="M689:N689"/>
    <mergeCell ref="M679:N679"/>
    <mergeCell ref="M680:N680"/>
    <mergeCell ref="M681:N681"/>
    <mergeCell ref="M682:N682"/>
    <mergeCell ref="M683:N683"/>
    <mergeCell ref="M684:N684"/>
    <mergeCell ref="M673:N673"/>
    <mergeCell ref="M674:N674"/>
    <mergeCell ref="M675:N675"/>
    <mergeCell ref="M676:N676"/>
    <mergeCell ref="M677:N677"/>
    <mergeCell ref="M678:N678"/>
    <mergeCell ref="M667:N667"/>
    <mergeCell ref="M668:N668"/>
    <mergeCell ref="M669:N669"/>
    <mergeCell ref="M670:N670"/>
    <mergeCell ref="M671:N671"/>
    <mergeCell ref="M672:N672"/>
    <mergeCell ref="M661:N661"/>
    <mergeCell ref="M662:N662"/>
    <mergeCell ref="M663:N663"/>
    <mergeCell ref="M664:N664"/>
    <mergeCell ref="M665:N665"/>
    <mergeCell ref="M666:N666"/>
    <mergeCell ref="M655:N655"/>
    <mergeCell ref="M656:N656"/>
    <mergeCell ref="M657:N657"/>
    <mergeCell ref="M658:N658"/>
    <mergeCell ref="M659:N659"/>
    <mergeCell ref="M660:N660"/>
    <mergeCell ref="M649:N649"/>
    <mergeCell ref="M650:N650"/>
    <mergeCell ref="M651:N651"/>
    <mergeCell ref="M652:N652"/>
    <mergeCell ref="M653:N653"/>
    <mergeCell ref="M654:N654"/>
    <mergeCell ref="M643:N643"/>
    <mergeCell ref="M644:N644"/>
    <mergeCell ref="M645:N645"/>
    <mergeCell ref="M646:N646"/>
    <mergeCell ref="M647:N647"/>
    <mergeCell ref="M648:N648"/>
    <mergeCell ref="M637:N637"/>
    <mergeCell ref="M638:N638"/>
    <mergeCell ref="M639:N639"/>
    <mergeCell ref="M640:N640"/>
    <mergeCell ref="M641:N641"/>
    <mergeCell ref="M642:N642"/>
    <mergeCell ref="M631:N631"/>
    <mergeCell ref="M632:N632"/>
    <mergeCell ref="M633:N633"/>
    <mergeCell ref="M634:N634"/>
    <mergeCell ref="M635:N635"/>
    <mergeCell ref="M636:N636"/>
    <mergeCell ref="M625:N625"/>
    <mergeCell ref="M626:N626"/>
    <mergeCell ref="M627:N627"/>
    <mergeCell ref="M628:N628"/>
    <mergeCell ref="M629:N629"/>
    <mergeCell ref="M630:N630"/>
    <mergeCell ref="M619:N619"/>
    <mergeCell ref="M620:N620"/>
    <mergeCell ref="M621:N621"/>
    <mergeCell ref="M622:N622"/>
    <mergeCell ref="M623:N623"/>
    <mergeCell ref="M624:N624"/>
    <mergeCell ref="M613:N613"/>
    <mergeCell ref="M614:N614"/>
    <mergeCell ref="M615:N615"/>
    <mergeCell ref="M616:N616"/>
    <mergeCell ref="M617:N617"/>
    <mergeCell ref="M618:N618"/>
    <mergeCell ref="M607:N607"/>
    <mergeCell ref="M608:N608"/>
    <mergeCell ref="M609:N609"/>
    <mergeCell ref="M610:N610"/>
    <mergeCell ref="M611:N611"/>
    <mergeCell ref="M612:N612"/>
    <mergeCell ref="M601:N601"/>
    <mergeCell ref="M602:N602"/>
    <mergeCell ref="M603:N603"/>
    <mergeCell ref="M604:N604"/>
    <mergeCell ref="M605:N605"/>
    <mergeCell ref="M606:N606"/>
    <mergeCell ref="M595:N595"/>
    <mergeCell ref="M596:N596"/>
    <mergeCell ref="M597:N597"/>
    <mergeCell ref="M598:N598"/>
    <mergeCell ref="M599:N599"/>
    <mergeCell ref="M600:N600"/>
    <mergeCell ref="M589:N589"/>
    <mergeCell ref="M590:N590"/>
    <mergeCell ref="M591:N591"/>
    <mergeCell ref="M592:N592"/>
    <mergeCell ref="M593:N593"/>
    <mergeCell ref="M594:N594"/>
    <mergeCell ref="M583:N583"/>
    <mergeCell ref="M584:N584"/>
    <mergeCell ref="M585:N585"/>
    <mergeCell ref="M586:N586"/>
    <mergeCell ref="M587:N587"/>
    <mergeCell ref="M588:N588"/>
    <mergeCell ref="M577:N577"/>
    <mergeCell ref="M578:N578"/>
    <mergeCell ref="M579:N579"/>
    <mergeCell ref="M580:N580"/>
    <mergeCell ref="M581:N581"/>
    <mergeCell ref="M582:N582"/>
    <mergeCell ref="M571:N571"/>
    <mergeCell ref="M572:N572"/>
    <mergeCell ref="M573:N573"/>
    <mergeCell ref="M574:N574"/>
    <mergeCell ref="M575:N575"/>
    <mergeCell ref="M576:N576"/>
    <mergeCell ref="M567:N567"/>
    <mergeCell ref="M568:N568"/>
    <mergeCell ref="M569:N569"/>
    <mergeCell ref="M570:N570"/>
    <mergeCell ref="M559:N559"/>
    <mergeCell ref="M560:N560"/>
    <mergeCell ref="M561:N561"/>
    <mergeCell ref="M562:N562"/>
    <mergeCell ref="M563:N563"/>
    <mergeCell ref="M564:N564"/>
    <mergeCell ref="M558:N558"/>
    <mergeCell ref="M548:N548"/>
    <mergeCell ref="M549:N549"/>
    <mergeCell ref="M550:N550"/>
    <mergeCell ref="M551:N551"/>
    <mergeCell ref="M552:N552"/>
    <mergeCell ref="M553:N553"/>
    <mergeCell ref="M565:N565"/>
    <mergeCell ref="M566:N566"/>
    <mergeCell ref="B554:I554"/>
    <mergeCell ref="M554:N554"/>
    <mergeCell ref="M542:N542"/>
    <mergeCell ref="M543:N543"/>
    <mergeCell ref="M544:N544"/>
    <mergeCell ref="M545:N545"/>
    <mergeCell ref="M555:N555"/>
    <mergeCell ref="M556:N556"/>
    <mergeCell ref="M557:N557"/>
    <mergeCell ref="M546:N546"/>
    <mergeCell ref="M547:N547"/>
    <mergeCell ref="B541:I541"/>
    <mergeCell ref="M541:N541"/>
    <mergeCell ref="M530:N530"/>
    <mergeCell ref="M531:N531"/>
    <mergeCell ref="M532:N532"/>
    <mergeCell ref="M533:N533"/>
    <mergeCell ref="M534:N534"/>
    <mergeCell ref="B535:I535"/>
    <mergeCell ref="M537:N537"/>
    <mergeCell ref="M538:N538"/>
    <mergeCell ref="M539:N539"/>
    <mergeCell ref="M540:N540"/>
    <mergeCell ref="M535:N535"/>
    <mergeCell ref="M536:N536"/>
    <mergeCell ref="M527:N527"/>
    <mergeCell ref="M528:N528"/>
    <mergeCell ref="M529:N529"/>
    <mergeCell ref="M507:N507"/>
    <mergeCell ref="M508:N508"/>
    <mergeCell ref="M514:N514"/>
    <mergeCell ref="M515:N515"/>
    <mergeCell ref="M516:N516"/>
    <mergeCell ref="M506:N506"/>
    <mergeCell ref="M518:N518"/>
    <mergeCell ref="M519:N519"/>
    <mergeCell ref="M520:N520"/>
    <mergeCell ref="M521:N521"/>
    <mergeCell ref="M522:N522"/>
    <mergeCell ref="M523:N523"/>
    <mergeCell ref="M524:N524"/>
    <mergeCell ref="M525:N525"/>
    <mergeCell ref="M526:N526"/>
    <mergeCell ref="B517:I517"/>
    <mergeCell ref="M517:N517"/>
    <mergeCell ref="M495:N495"/>
    <mergeCell ref="M496:N496"/>
    <mergeCell ref="M497:N497"/>
    <mergeCell ref="M498:N498"/>
    <mergeCell ref="M499:N499"/>
    <mergeCell ref="M500:N500"/>
    <mergeCell ref="M501:N501"/>
    <mergeCell ref="M502:N502"/>
    <mergeCell ref="B509:I509"/>
    <mergeCell ref="M509:N509"/>
    <mergeCell ref="M510:N510"/>
    <mergeCell ref="M511:N511"/>
    <mergeCell ref="M512:N512"/>
    <mergeCell ref="M513:N513"/>
    <mergeCell ref="M479:N479"/>
    <mergeCell ref="M480:N480"/>
    <mergeCell ref="M492:N492"/>
    <mergeCell ref="M493:N493"/>
    <mergeCell ref="B494:I494"/>
    <mergeCell ref="M494:N494"/>
    <mergeCell ref="M503:N503"/>
    <mergeCell ref="M504:N504"/>
    <mergeCell ref="M505:N505"/>
    <mergeCell ref="M481:N481"/>
    <mergeCell ref="M482:N482"/>
    <mergeCell ref="M483:N483"/>
    <mergeCell ref="M484:N484"/>
    <mergeCell ref="M485:N485"/>
    <mergeCell ref="M486:N486"/>
    <mergeCell ref="M487:N487"/>
    <mergeCell ref="M488:N488"/>
    <mergeCell ref="M489:N489"/>
    <mergeCell ref="M490:N490"/>
    <mergeCell ref="M491:N491"/>
    <mergeCell ref="B465:I465"/>
    <mergeCell ref="M465:N465"/>
    <mergeCell ref="M472:N472"/>
    <mergeCell ref="M473:N473"/>
    <mergeCell ref="M474:N474"/>
    <mergeCell ref="M475:N475"/>
    <mergeCell ref="M476:N476"/>
    <mergeCell ref="M477:N477"/>
    <mergeCell ref="M478:N478"/>
    <mergeCell ref="M460:N460"/>
    <mergeCell ref="M466:N466"/>
    <mergeCell ref="M467:N467"/>
    <mergeCell ref="M468:N468"/>
    <mergeCell ref="M469:N469"/>
    <mergeCell ref="M470:N470"/>
    <mergeCell ref="M471:N471"/>
    <mergeCell ref="M462:N462"/>
    <mergeCell ref="M463:N463"/>
    <mergeCell ref="M455:N455"/>
    <mergeCell ref="M456:N456"/>
    <mergeCell ref="M457:N457"/>
    <mergeCell ref="M458:N458"/>
    <mergeCell ref="B459:I459"/>
    <mergeCell ref="M459:N459"/>
    <mergeCell ref="M464:N464"/>
    <mergeCell ref="M461:N461"/>
    <mergeCell ref="M438:N438"/>
    <mergeCell ref="M439:N439"/>
    <mergeCell ref="M440:N440"/>
    <mergeCell ref="M441:N441"/>
    <mergeCell ref="M442:N442"/>
    <mergeCell ref="M443:N443"/>
    <mergeCell ref="M444:N444"/>
    <mergeCell ref="M445:N445"/>
    <mergeCell ref="M449:N449"/>
    <mergeCell ref="M450:N450"/>
    <mergeCell ref="M451:N451"/>
    <mergeCell ref="M452:N452"/>
    <mergeCell ref="M453:N453"/>
    <mergeCell ref="M454:N454"/>
    <mergeCell ref="M447:N447"/>
    <mergeCell ref="M448:N448"/>
    <mergeCell ref="B437:I437"/>
    <mergeCell ref="M437:N437"/>
    <mergeCell ref="B446:I446"/>
    <mergeCell ref="M446:N446"/>
    <mergeCell ref="M421:N421"/>
    <mergeCell ref="M422:N422"/>
    <mergeCell ref="M423:N423"/>
    <mergeCell ref="B424:I424"/>
    <mergeCell ref="M424:N424"/>
    <mergeCell ref="M425:N425"/>
    <mergeCell ref="M426:N426"/>
    <mergeCell ref="M427:N427"/>
    <mergeCell ref="M428:N428"/>
    <mergeCell ref="M429:N429"/>
    <mergeCell ref="M430:N430"/>
    <mergeCell ref="M431:N431"/>
    <mergeCell ref="M432:N432"/>
    <mergeCell ref="M433:N433"/>
    <mergeCell ref="M434:N434"/>
    <mergeCell ref="M435:N435"/>
    <mergeCell ref="M436:N436"/>
    <mergeCell ref="M415:N415"/>
    <mergeCell ref="M416:N416"/>
    <mergeCell ref="M417:N417"/>
    <mergeCell ref="M418:N418"/>
    <mergeCell ref="M419:N419"/>
    <mergeCell ref="M420:N420"/>
    <mergeCell ref="M409:N409"/>
    <mergeCell ref="M410:N410"/>
    <mergeCell ref="M411:N411"/>
    <mergeCell ref="M412:N412"/>
    <mergeCell ref="M413:N413"/>
    <mergeCell ref="M414:N414"/>
    <mergeCell ref="M385:N385"/>
    <mergeCell ref="M386:N386"/>
    <mergeCell ref="M403:N403"/>
    <mergeCell ref="M404:N404"/>
    <mergeCell ref="M405:N405"/>
    <mergeCell ref="M406:N406"/>
    <mergeCell ref="M407:N407"/>
    <mergeCell ref="M408:N408"/>
    <mergeCell ref="M399:N399"/>
    <mergeCell ref="M400:N400"/>
    <mergeCell ref="M401:N401"/>
    <mergeCell ref="M402:N402"/>
    <mergeCell ref="B398:I398"/>
    <mergeCell ref="M398:N398"/>
    <mergeCell ref="M387:N387"/>
    <mergeCell ref="M388:N388"/>
    <mergeCell ref="M389:N389"/>
    <mergeCell ref="B390:I390"/>
    <mergeCell ref="M390:N390"/>
    <mergeCell ref="M375:N375"/>
    <mergeCell ref="M376:N376"/>
    <mergeCell ref="M377:N377"/>
    <mergeCell ref="M378:N378"/>
    <mergeCell ref="M379:N379"/>
    <mergeCell ref="M380:N380"/>
    <mergeCell ref="M392:N392"/>
    <mergeCell ref="M393:N393"/>
    <mergeCell ref="M394:N394"/>
    <mergeCell ref="M395:N395"/>
    <mergeCell ref="M396:N396"/>
    <mergeCell ref="M397:N397"/>
    <mergeCell ref="M391:N391"/>
    <mergeCell ref="M381:N381"/>
    <mergeCell ref="M382:N382"/>
    <mergeCell ref="M383:N383"/>
    <mergeCell ref="M384:N384"/>
    <mergeCell ref="B374:I374"/>
    <mergeCell ref="M374:N374"/>
    <mergeCell ref="M364:N364"/>
    <mergeCell ref="M365:N365"/>
    <mergeCell ref="M366:N366"/>
    <mergeCell ref="M367:N367"/>
    <mergeCell ref="M368:N368"/>
    <mergeCell ref="M369:N369"/>
    <mergeCell ref="M353:N353"/>
    <mergeCell ref="M354:N354"/>
    <mergeCell ref="M355:N355"/>
    <mergeCell ref="M356:N356"/>
    <mergeCell ref="M357:N357"/>
    <mergeCell ref="M358:N358"/>
    <mergeCell ref="M359:N359"/>
    <mergeCell ref="M360:N360"/>
    <mergeCell ref="M361:N361"/>
    <mergeCell ref="M362:N362"/>
    <mergeCell ref="M370:N370"/>
    <mergeCell ref="M371:N371"/>
    <mergeCell ref="M372:N372"/>
    <mergeCell ref="M373:N373"/>
    <mergeCell ref="B363:I363"/>
    <mergeCell ref="M363:N363"/>
    <mergeCell ref="M342:N342"/>
    <mergeCell ref="M343:N343"/>
    <mergeCell ref="B331:I331"/>
    <mergeCell ref="M331:N331"/>
    <mergeCell ref="M332:N332"/>
    <mergeCell ref="M337:N337"/>
    <mergeCell ref="M338:N338"/>
    <mergeCell ref="M339:N339"/>
    <mergeCell ref="M340:N340"/>
    <mergeCell ref="M341:N341"/>
    <mergeCell ref="M348:N348"/>
    <mergeCell ref="B349:I349"/>
    <mergeCell ref="M349:N349"/>
    <mergeCell ref="M350:N350"/>
    <mergeCell ref="M351:N351"/>
    <mergeCell ref="M352:N352"/>
    <mergeCell ref="M344:N344"/>
    <mergeCell ref="M345:N345"/>
    <mergeCell ref="M346:N346"/>
    <mergeCell ref="M347:N347"/>
    <mergeCell ref="M319:N319"/>
    <mergeCell ref="M320:N320"/>
    <mergeCell ref="M321:N321"/>
    <mergeCell ref="M322:N322"/>
    <mergeCell ref="M333:N333"/>
    <mergeCell ref="M334:N334"/>
    <mergeCell ref="M323:N323"/>
    <mergeCell ref="M324:N324"/>
    <mergeCell ref="M336:N336"/>
    <mergeCell ref="M335:N335"/>
    <mergeCell ref="M325:N325"/>
    <mergeCell ref="M326:N326"/>
    <mergeCell ref="M327:N327"/>
    <mergeCell ref="M328:N328"/>
    <mergeCell ref="M329:N329"/>
    <mergeCell ref="M330:N330"/>
    <mergeCell ref="B304:I304"/>
    <mergeCell ref="M304:N304"/>
    <mergeCell ref="M305:N305"/>
    <mergeCell ref="M306:N306"/>
    <mergeCell ref="B318:I318"/>
    <mergeCell ref="M318:N318"/>
    <mergeCell ref="M315:N315"/>
    <mergeCell ref="M316:N316"/>
    <mergeCell ref="M317:N317"/>
    <mergeCell ref="M301:N301"/>
    <mergeCell ref="M280:N280"/>
    <mergeCell ref="M281:N281"/>
    <mergeCell ref="M282:N282"/>
    <mergeCell ref="M283:N283"/>
    <mergeCell ref="M284:N284"/>
    <mergeCell ref="M285:N285"/>
    <mergeCell ref="M313:N313"/>
    <mergeCell ref="M314:N314"/>
    <mergeCell ref="M291:N291"/>
    <mergeCell ref="M292:N292"/>
    <mergeCell ref="M293:N293"/>
    <mergeCell ref="M294:N294"/>
    <mergeCell ref="M295:N295"/>
    <mergeCell ref="M296:N296"/>
    <mergeCell ref="M297:N297"/>
    <mergeCell ref="M307:N307"/>
    <mergeCell ref="M308:N308"/>
    <mergeCell ref="M309:N309"/>
    <mergeCell ref="M310:N310"/>
    <mergeCell ref="M311:N311"/>
    <mergeCell ref="M312:N312"/>
    <mergeCell ref="M302:N302"/>
    <mergeCell ref="M303:N303"/>
    <mergeCell ref="B286:I286"/>
    <mergeCell ref="M286:N286"/>
    <mergeCell ref="M287:N287"/>
    <mergeCell ref="M288:N288"/>
    <mergeCell ref="M289:N289"/>
    <mergeCell ref="M290:N290"/>
    <mergeCell ref="M298:N298"/>
    <mergeCell ref="M299:N299"/>
    <mergeCell ref="M300:N300"/>
    <mergeCell ref="B293:I293"/>
    <mergeCell ref="B275:I275"/>
    <mergeCell ref="M275:N275"/>
    <mergeCell ref="M276:N276"/>
    <mergeCell ref="M277:N277"/>
    <mergeCell ref="M278:N278"/>
    <mergeCell ref="M279:N279"/>
    <mergeCell ref="M269:N269"/>
    <mergeCell ref="M270:N270"/>
    <mergeCell ref="M271:N271"/>
    <mergeCell ref="M272:N272"/>
    <mergeCell ref="M273:N273"/>
    <mergeCell ref="M274:N274"/>
    <mergeCell ref="M264:N264"/>
    <mergeCell ref="M265:N265"/>
    <mergeCell ref="M266:N266"/>
    <mergeCell ref="B267:I267"/>
    <mergeCell ref="M267:N267"/>
    <mergeCell ref="M268:N268"/>
    <mergeCell ref="M258:N258"/>
    <mergeCell ref="M259:N259"/>
    <mergeCell ref="M260:N260"/>
    <mergeCell ref="M261:N261"/>
    <mergeCell ref="M262:N262"/>
    <mergeCell ref="M263:N263"/>
    <mergeCell ref="M253:N253"/>
    <mergeCell ref="B254:I254"/>
    <mergeCell ref="M254:N254"/>
    <mergeCell ref="M255:N255"/>
    <mergeCell ref="M256:N256"/>
    <mergeCell ref="M257:N257"/>
    <mergeCell ref="M247:N247"/>
    <mergeCell ref="M248:N248"/>
    <mergeCell ref="M249:N249"/>
    <mergeCell ref="M250:N250"/>
    <mergeCell ref="M251:N251"/>
    <mergeCell ref="M252:N252"/>
    <mergeCell ref="M243:N243"/>
    <mergeCell ref="M244:N244"/>
    <mergeCell ref="M245:N245"/>
    <mergeCell ref="M246:N246"/>
    <mergeCell ref="M236:N236"/>
    <mergeCell ref="M237:N237"/>
    <mergeCell ref="M238:N238"/>
    <mergeCell ref="M239:N239"/>
    <mergeCell ref="M240:N240"/>
    <mergeCell ref="M241:N241"/>
    <mergeCell ref="M235:N235"/>
    <mergeCell ref="M224:N224"/>
    <mergeCell ref="M225:N225"/>
    <mergeCell ref="M226:N226"/>
    <mergeCell ref="M227:N227"/>
    <mergeCell ref="M228:N228"/>
    <mergeCell ref="M229:N229"/>
    <mergeCell ref="B242:I242"/>
    <mergeCell ref="M242:N242"/>
    <mergeCell ref="M230:N230"/>
    <mergeCell ref="M231:N231"/>
    <mergeCell ref="M232:N232"/>
    <mergeCell ref="M218:N218"/>
    <mergeCell ref="M219:N219"/>
    <mergeCell ref="M220:N220"/>
    <mergeCell ref="M221:N221"/>
    <mergeCell ref="M233:N233"/>
    <mergeCell ref="M234:N234"/>
    <mergeCell ref="B208:I208"/>
    <mergeCell ref="M208:N208"/>
    <mergeCell ref="M209:N209"/>
    <mergeCell ref="M210:N210"/>
    <mergeCell ref="M211:N211"/>
    <mergeCell ref="M212:N212"/>
    <mergeCell ref="M222:N222"/>
    <mergeCell ref="M223:N223"/>
    <mergeCell ref="B216:I216"/>
    <mergeCell ref="L216:N216"/>
    <mergeCell ref="B217:I217"/>
    <mergeCell ref="M217:N217"/>
    <mergeCell ref="M213:N213"/>
    <mergeCell ref="M214:N214"/>
    <mergeCell ref="M215:N215"/>
    <mergeCell ref="M202:N202"/>
    <mergeCell ref="M203:N203"/>
    <mergeCell ref="M204:N204"/>
    <mergeCell ref="M205:N205"/>
    <mergeCell ref="M206:N206"/>
    <mergeCell ref="M207:N207"/>
    <mergeCell ref="M196:N196"/>
    <mergeCell ref="M197:N197"/>
    <mergeCell ref="M198:N198"/>
    <mergeCell ref="M199:N199"/>
    <mergeCell ref="M200:N200"/>
    <mergeCell ref="M201:N201"/>
    <mergeCell ref="M190:N190"/>
    <mergeCell ref="M191:N191"/>
    <mergeCell ref="M192:N192"/>
    <mergeCell ref="M193:N193"/>
    <mergeCell ref="M194:N194"/>
    <mergeCell ref="B195:I195"/>
    <mergeCell ref="M195:N195"/>
    <mergeCell ref="M185:N185"/>
    <mergeCell ref="M186:N186"/>
    <mergeCell ref="M187:N187"/>
    <mergeCell ref="B188:I188"/>
    <mergeCell ref="M188:N188"/>
    <mergeCell ref="M189:N189"/>
    <mergeCell ref="M179:N179"/>
    <mergeCell ref="M180:N180"/>
    <mergeCell ref="M181:N181"/>
    <mergeCell ref="M182:N182"/>
    <mergeCell ref="M183:N183"/>
    <mergeCell ref="M184:N184"/>
    <mergeCell ref="M173:N173"/>
    <mergeCell ref="M174:N174"/>
    <mergeCell ref="M175:N175"/>
    <mergeCell ref="M176:N176"/>
    <mergeCell ref="M177:N177"/>
    <mergeCell ref="M178:N178"/>
    <mergeCell ref="M168:N168"/>
    <mergeCell ref="M169:N169"/>
    <mergeCell ref="M170:N170"/>
    <mergeCell ref="B171:I171"/>
    <mergeCell ref="M171:N171"/>
    <mergeCell ref="M172:N172"/>
    <mergeCell ref="M162:N162"/>
    <mergeCell ref="M163:N163"/>
    <mergeCell ref="M164:N164"/>
    <mergeCell ref="M165:N165"/>
    <mergeCell ref="M166:N166"/>
    <mergeCell ref="M167:N167"/>
    <mergeCell ref="M158:N158"/>
    <mergeCell ref="B159:I159"/>
    <mergeCell ref="L159:N159"/>
    <mergeCell ref="B160:I160"/>
    <mergeCell ref="M160:N160"/>
    <mergeCell ref="M161:N161"/>
    <mergeCell ref="M152:N152"/>
    <mergeCell ref="M153:N153"/>
    <mergeCell ref="M154:N154"/>
    <mergeCell ref="M155:N155"/>
    <mergeCell ref="M156:N156"/>
    <mergeCell ref="M157:N157"/>
    <mergeCell ref="M147:N147"/>
    <mergeCell ref="M148:N148"/>
    <mergeCell ref="M149:N149"/>
    <mergeCell ref="B150:I150"/>
    <mergeCell ref="M150:N150"/>
    <mergeCell ref="M151:N151"/>
    <mergeCell ref="M142:N142"/>
    <mergeCell ref="M143:N143"/>
    <mergeCell ref="M144:N144"/>
    <mergeCell ref="B145:I145"/>
    <mergeCell ref="L145:N145"/>
    <mergeCell ref="B146:I146"/>
    <mergeCell ref="M146:N146"/>
    <mergeCell ref="M137:N137"/>
    <mergeCell ref="M138:N138"/>
    <mergeCell ref="M139:N139"/>
    <mergeCell ref="M140:N140"/>
    <mergeCell ref="B141:I141"/>
    <mergeCell ref="M141:N141"/>
    <mergeCell ref="M131:N131"/>
    <mergeCell ref="M132:N132"/>
    <mergeCell ref="M133:N133"/>
    <mergeCell ref="M134:N134"/>
    <mergeCell ref="M135:N135"/>
    <mergeCell ref="B136:I136"/>
    <mergeCell ref="L136:N136"/>
    <mergeCell ref="M125:N125"/>
    <mergeCell ref="M126:N126"/>
    <mergeCell ref="M127:N127"/>
    <mergeCell ref="M128:N128"/>
    <mergeCell ref="M129:N129"/>
    <mergeCell ref="B130:I130"/>
    <mergeCell ref="M130:N130"/>
    <mergeCell ref="M120:N120"/>
    <mergeCell ref="M121:N121"/>
    <mergeCell ref="B122:I122"/>
    <mergeCell ref="M122:N122"/>
    <mergeCell ref="M123:N123"/>
    <mergeCell ref="M124:N124"/>
    <mergeCell ref="M115:N115"/>
    <mergeCell ref="M116:N116"/>
    <mergeCell ref="B117:I117"/>
    <mergeCell ref="M117:N117"/>
    <mergeCell ref="M118:N118"/>
    <mergeCell ref="M119:N119"/>
    <mergeCell ref="M110:N110"/>
    <mergeCell ref="M111:N111"/>
    <mergeCell ref="M112:N112"/>
    <mergeCell ref="B113:I113"/>
    <mergeCell ref="M113:N113"/>
    <mergeCell ref="M114:N114"/>
    <mergeCell ref="M105:N105"/>
    <mergeCell ref="M106:N106"/>
    <mergeCell ref="M107:N107"/>
    <mergeCell ref="M108:N108"/>
    <mergeCell ref="B109:I109"/>
    <mergeCell ref="M109:N109"/>
    <mergeCell ref="B100:I100"/>
    <mergeCell ref="M100:N100"/>
    <mergeCell ref="M101:N101"/>
    <mergeCell ref="M102:N102"/>
    <mergeCell ref="M103:N103"/>
    <mergeCell ref="M104:N104"/>
    <mergeCell ref="B96:I96"/>
    <mergeCell ref="M96:N96"/>
    <mergeCell ref="M97:N97"/>
    <mergeCell ref="M98:N98"/>
    <mergeCell ref="B99:I99"/>
    <mergeCell ref="L99:N99"/>
    <mergeCell ref="M91:N91"/>
    <mergeCell ref="M92:N92"/>
    <mergeCell ref="B93:I93"/>
    <mergeCell ref="M93:N93"/>
    <mergeCell ref="M94:N94"/>
    <mergeCell ref="M95:N95"/>
    <mergeCell ref="M86:N86"/>
    <mergeCell ref="M87:N87"/>
    <mergeCell ref="M88:N88"/>
    <mergeCell ref="B89:I89"/>
    <mergeCell ref="M89:N89"/>
    <mergeCell ref="M90:N90"/>
    <mergeCell ref="M80:N80"/>
    <mergeCell ref="M81:N81"/>
    <mergeCell ref="M82:N82"/>
    <mergeCell ref="M83:N83"/>
    <mergeCell ref="M84:N84"/>
    <mergeCell ref="B85:I85"/>
    <mergeCell ref="M85:N85"/>
    <mergeCell ref="M75:N75"/>
    <mergeCell ref="M76:N76"/>
    <mergeCell ref="M77:N77"/>
    <mergeCell ref="B78:I78"/>
    <mergeCell ref="M78:N78"/>
    <mergeCell ref="M79:N79"/>
    <mergeCell ref="M70:N70"/>
    <mergeCell ref="M71:N71"/>
    <mergeCell ref="B72:I72"/>
    <mergeCell ref="M72:N72"/>
    <mergeCell ref="M73:N73"/>
    <mergeCell ref="M74:N74"/>
    <mergeCell ref="M65:N65"/>
    <mergeCell ref="M66:N66"/>
    <mergeCell ref="M67:N67"/>
    <mergeCell ref="B68:I68"/>
    <mergeCell ref="M68:N68"/>
    <mergeCell ref="M69:N69"/>
    <mergeCell ref="B61:I61"/>
    <mergeCell ref="M61:N61"/>
    <mergeCell ref="M62:N62"/>
    <mergeCell ref="B63:I63"/>
    <mergeCell ref="M63:N63"/>
    <mergeCell ref="M64:N64"/>
    <mergeCell ref="M56:N56"/>
    <mergeCell ref="B57:I57"/>
    <mergeCell ref="M57:N57"/>
    <mergeCell ref="M58:N58"/>
    <mergeCell ref="M59:N59"/>
    <mergeCell ref="M60:N60"/>
    <mergeCell ref="B53:I53"/>
    <mergeCell ref="L53:N53"/>
    <mergeCell ref="B54:I54"/>
    <mergeCell ref="L54:N54"/>
    <mergeCell ref="B55:I55"/>
    <mergeCell ref="M55:N55"/>
    <mergeCell ref="L46:N46"/>
    <mergeCell ref="L47:N47"/>
    <mergeCell ref="L48:N48"/>
    <mergeCell ref="L49:N49"/>
    <mergeCell ref="L50:N50"/>
    <mergeCell ref="L51:N51"/>
    <mergeCell ref="L40:N40"/>
    <mergeCell ref="L41:N41"/>
    <mergeCell ref="L42:N42"/>
    <mergeCell ref="L43:N43"/>
    <mergeCell ref="L44:N44"/>
    <mergeCell ref="L45:N45"/>
    <mergeCell ref="B35:I35"/>
    <mergeCell ref="L35:N35"/>
    <mergeCell ref="L36:N36"/>
    <mergeCell ref="L37:N37"/>
    <mergeCell ref="L38:N38"/>
    <mergeCell ref="L39:N39"/>
    <mergeCell ref="B29:I29"/>
    <mergeCell ref="L29:N29"/>
    <mergeCell ref="B30:I30"/>
    <mergeCell ref="L30:N30"/>
    <mergeCell ref="L31:N31"/>
    <mergeCell ref="L33:N33"/>
    <mergeCell ref="B27:I27"/>
    <mergeCell ref="L27:N27"/>
    <mergeCell ref="B32:I32"/>
    <mergeCell ref="L32:N32"/>
    <mergeCell ref="B28:I28"/>
    <mergeCell ref="L28:N28"/>
    <mergeCell ref="B24:I24"/>
    <mergeCell ref="L24:N24"/>
    <mergeCell ref="B25:I25"/>
    <mergeCell ref="L25:N25"/>
    <mergeCell ref="B26:I26"/>
    <mergeCell ref="L26:N26"/>
    <mergeCell ref="B21:I21"/>
    <mergeCell ref="L21:N21"/>
    <mergeCell ref="B22:I22"/>
    <mergeCell ref="L22:N22"/>
    <mergeCell ref="B23:I23"/>
    <mergeCell ref="L23:N23"/>
    <mergeCell ref="B18:I18"/>
    <mergeCell ref="L18:N18"/>
    <mergeCell ref="B19:I19"/>
    <mergeCell ref="L19:N19"/>
    <mergeCell ref="B20:I20"/>
    <mergeCell ref="L20:N20"/>
    <mergeCell ref="B15:I15"/>
    <mergeCell ref="L15:N15"/>
    <mergeCell ref="B16:I16"/>
    <mergeCell ref="L16:N16"/>
    <mergeCell ref="B17:I17"/>
    <mergeCell ref="L17:N17"/>
    <mergeCell ref="B10:I10"/>
    <mergeCell ref="L10:N10"/>
    <mergeCell ref="B12:I12"/>
    <mergeCell ref="L12:N12"/>
    <mergeCell ref="B14:I14"/>
    <mergeCell ref="L14:N14"/>
    <mergeCell ref="B8:I8"/>
    <mergeCell ref="K8:N8"/>
    <mergeCell ref="AM5:AM7"/>
    <mergeCell ref="R5:R7"/>
    <mergeCell ref="S5:S7"/>
    <mergeCell ref="T5:AI5"/>
    <mergeCell ref="AJ5:AJ7"/>
    <mergeCell ref="AK5:AK7"/>
    <mergeCell ref="AL5:AL7"/>
    <mergeCell ref="AA6:AA7"/>
    <mergeCell ref="AP5:AP7"/>
    <mergeCell ref="T6:U6"/>
    <mergeCell ref="V6:V7"/>
    <mergeCell ref="W6:W7"/>
    <mergeCell ref="X6:X7"/>
    <mergeCell ref="Y6:Y7"/>
    <mergeCell ref="Z6:Z7"/>
    <mergeCell ref="AE6:AE7"/>
    <mergeCell ref="AF6:AF7"/>
    <mergeCell ref="AB6:AB7"/>
    <mergeCell ref="AC6:AC7"/>
    <mergeCell ref="AD6:AD7"/>
    <mergeCell ref="AG6:AG7"/>
    <mergeCell ref="AH6:AH7"/>
    <mergeCell ref="AI6:AI7"/>
    <mergeCell ref="AN5:AN7"/>
    <mergeCell ref="B1:AM1"/>
    <mergeCell ref="A2:AM2"/>
    <mergeCell ref="A3:AO3"/>
    <mergeCell ref="A5:A7"/>
    <mergeCell ref="B5:I7"/>
    <mergeCell ref="J5:J7"/>
    <mergeCell ref="K5:N7"/>
    <mergeCell ref="O5:O7"/>
    <mergeCell ref="P5:P7"/>
    <mergeCell ref="Q5:Q7"/>
    <mergeCell ref="AO5:AO7"/>
  </mergeCells>
  <printOptions horizontalCentered="1"/>
  <pageMargins left="0.23622047244094491" right="0.11811023622047245" top="0.51181102362204722" bottom="0.43307086614173229" header="0.35433070866141736" footer="0.35433070866141736"/>
  <pageSetup paperSize="258" scale="75" fitToWidth="0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outlinePr summaryBelow="0" summaryRight="0"/>
    <pageSetUpPr autoPageBreaks="0"/>
  </sheetPr>
  <dimension ref="A1:CE725"/>
  <sheetViews>
    <sheetView tabSelected="1" showOutlineSymbols="0" view="pageBreakPreview" zoomScale="80" zoomScaleSheetLayoutView="80" workbookViewId="0">
      <pane ySplit="8" topLeftCell="A230" activePane="bottomLeft" state="frozen"/>
      <selection activeCell="Q553" sqref="Q553"/>
      <selection pane="bottomLeft" activeCell="AI230" sqref="AI230"/>
    </sheetView>
  </sheetViews>
  <sheetFormatPr defaultRowHeight="13.5" customHeight="1" x14ac:dyDescent="0.25"/>
  <cols>
    <col min="1" max="1" width="5" style="205" customWidth="1"/>
    <col min="2" max="2" width="1.140625" style="205" hidden="1" customWidth="1"/>
    <col min="3" max="3" width="1.7109375" style="205" hidden="1" customWidth="1"/>
    <col min="4" max="5" width="1.140625" style="205" hidden="1" customWidth="1"/>
    <col min="6" max="6" width="1.7109375" style="205" hidden="1" customWidth="1"/>
    <col min="7" max="7" width="2" style="205" hidden="1" customWidth="1"/>
    <col min="8" max="8" width="8.5703125" style="205" hidden="1" customWidth="1"/>
    <col min="9" max="9" width="1.140625" style="205" hidden="1" customWidth="1"/>
    <col min="10" max="10" width="22.5703125" style="205" customWidth="1"/>
    <col min="11" max="11" width="2.28515625" style="205" customWidth="1"/>
    <col min="12" max="12" width="1.7109375" style="205" customWidth="1"/>
    <col min="13" max="13" width="5.85546875" style="205" customWidth="1"/>
    <col min="14" max="14" width="30.7109375" style="205" customWidth="1"/>
    <col min="15" max="16" width="16.42578125" style="205" hidden="1" customWidth="1"/>
    <col min="17" max="17" width="21.85546875" style="205" customWidth="1"/>
    <col min="18" max="18" width="8.28515625" style="205" customWidth="1"/>
    <col min="19" max="19" width="8" style="205" customWidth="1"/>
    <col min="20" max="20" width="11" style="205" bestFit="1" customWidth="1"/>
    <col min="21" max="21" width="11" style="205" customWidth="1"/>
    <col min="22" max="22" width="11" style="331" customWidth="1"/>
    <col min="23" max="31" width="15.85546875" style="205" hidden="1" customWidth="1"/>
    <col min="32" max="32" width="18.28515625" style="205" hidden="1" customWidth="1"/>
    <col min="33" max="34" width="15.85546875" style="205" hidden="1" customWidth="1"/>
    <col min="35" max="35" width="22.42578125" style="335" customWidth="1"/>
    <col min="36" max="36" width="14.7109375" style="205" customWidth="1"/>
    <col min="37" max="37" width="24.28515625" style="407" customWidth="1"/>
    <col min="38" max="38" width="9.5703125" style="205" customWidth="1"/>
    <col min="39" max="39" width="6.85546875" style="205" customWidth="1"/>
    <col min="40" max="42" width="0" style="205" hidden="1" customWidth="1"/>
    <col min="43" max="43" width="9.140625" style="205"/>
    <col min="44" max="44" width="20.140625" style="205" bestFit="1" customWidth="1"/>
    <col min="45" max="45" width="15.85546875" style="205" bestFit="1" customWidth="1"/>
    <col min="46" max="16384" width="9.140625" style="205"/>
  </cols>
  <sheetData>
    <row r="1" spans="1:45" ht="13.5" customHeight="1" x14ac:dyDescent="0.25">
      <c r="A1" s="203"/>
      <c r="B1" s="646" t="s">
        <v>0</v>
      </c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C1" s="646"/>
      <c r="AD1" s="646"/>
      <c r="AE1" s="646"/>
      <c r="AF1" s="646"/>
      <c r="AG1" s="646"/>
      <c r="AH1" s="646"/>
      <c r="AI1" s="646"/>
      <c r="AJ1" s="646"/>
      <c r="AK1" s="646"/>
      <c r="AL1" s="646"/>
      <c r="AM1" s="646"/>
      <c r="AN1" s="204"/>
      <c r="AO1" s="204"/>
      <c r="AP1" s="204"/>
    </row>
    <row r="2" spans="1:45" s="206" customFormat="1" ht="13.5" customHeight="1" x14ac:dyDescent="0.25">
      <c r="A2" s="646" t="s">
        <v>541</v>
      </c>
      <c r="B2" s="646"/>
      <c r="C2" s="646"/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C2" s="646"/>
      <c r="AD2" s="646"/>
      <c r="AE2" s="646"/>
      <c r="AF2" s="646"/>
      <c r="AG2" s="646"/>
      <c r="AH2" s="646"/>
      <c r="AI2" s="646"/>
      <c r="AJ2" s="646"/>
      <c r="AK2" s="646"/>
      <c r="AL2" s="646"/>
      <c r="AM2" s="646"/>
    </row>
    <row r="3" spans="1:45" ht="13.5" customHeight="1" x14ac:dyDescent="0.25">
      <c r="A3" s="646" t="s">
        <v>650</v>
      </c>
      <c r="B3" s="646"/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C3" s="646"/>
      <c r="AD3" s="646"/>
      <c r="AE3" s="646"/>
      <c r="AF3" s="646"/>
      <c r="AG3" s="646"/>
      <c r="AH3" s="646"/>
      <c r="AI3" s="646"/>
      <c r="AJ3" s="646"/>
      <c r="AK3" s="646"/>
      <c r="AL3" s="646"/>
      <c r="AM3" s="646"/>
      <c r="AN3" s="646"/>
      <c r="AO3" s="646"/>
      <c r="AP3" s="204"/>
    </row>
    <row r="4" spans="1:45" ht="13.5" customHeight="1" x14ac:dyDescent="0.25">
      <c r="A4" s="203" t="s">
        <v>426</v>
      </c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3"/>
      <c r="S4" s="203"/>
      <c r="T4" s="204"/>
      <c r="U4" s="204"/>
      <c r="V4" s="208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402"/>
      <c r="AL4" s="204"/>
      <c r="AM4" s="204"/>
      <c r="AN4" s="204"/>
      <c r="AO4" s="204"/>
      <c r="AP4" s="204"/>
    </row>
    <row r="5" spans="1:45" ht="13.5" customHeight="1" x14ac:dyDescent="0.25">
      <c r="A5" s="497" t="s">
        <v>1</v>
      </c>
      <c r="B5" s="497" t="s">
        <v>56</v>
      </c>
      <c r="C5" s="497"/>
      <c r="D5" s="497"/>
      <c r="E5" s="497"/>
      <c r="F5" s="497"/>
      <c r="G5" s="497"/>
      <c r="H5" s="497"/>
      <c r="I5" s="497"/>
      <c r="J5" s="498" t="s">
        <v>192</v>
      </c>
      <c r="K5" s="497" t="s">
        <v>2</v>
      </c>
      <c r="L5" s="497"/>
      <c r="M5" s="497"/>
      <c r="N5" s="497"/>
      <c r="O5" s="497" t="s">
        <v>57</v>
      </c>
      <c r="P5" s="498" t="s">
        <v>58</v>
      </c>
      <c r="Q5" s="497" t="s">
        <v>3</v>
      </c>
      <c r="R5" s="497" t="s">
        <v>4</v>
      </c>
      <c r="S5" s="497" t="s">
        <v>59</v>
      </c>
      <c r="T5" s="505" t="s">
        <v>60</v>
      </c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0"/>
      <c r="AI5" s="506"/>
      <c r="AJ5" s="497" t="s">
        <v>5</v>
      </c>
      <c r="AK5" s="647" t="s">
        <v>61</v>
      </c>
      <c r="AL5" s="497" t="s">
        <v>5</v>
      </c>
      <c r="AM5" s="497" t="s">
        <v>62</v>
      </c>
      <c r="AN5" s="497" t="s">
        <v>63</v>
      </c>
      <c r="AO5" s="497" t="s">
        <v>64</v>
      </c>
      <c r="AP5" s="497" t="s">
        <v>62</v>
      </c>
    </row>
    <row r="6" spans="1:45" ht="13.5" customHeight="1" x14ac:dyDescent="0.25">
      <c r="A6" s="497"/>
      <c r="B6" s="497"/>
      <c r="C6" s="497"/>
      <c r="D6" s="497"/>
      <c r="E6" s="497"/>
      <c r="F6" s="497"/>
      <c r="G6" s="497"/>
      <c r="H6" s="497"/>
      <c r="I6" s="497"/>
      <c r="J6" s="499"/>
      <c r="K6" s="497"/>
      <c r="L6" s="497"/>
      <c r="M6" s="497"/>
      <c r="N6" s="497"/>
      <c r="O6" s="497"/>
      <c r="P6" s="499"/>
      <c r="Q6" s="497"/>
      <c r="R6" s="497"/>
      <c r="S6" s="497"/>
      <c r="T6" s="505" t="s">
        <v>65</v>
      </c>
      <c r="U6" s="506"/>
      <c r="V6" s="507" t="s">
        <v>66</v>
      </c>
      <c r="W6" s="498" t="s">
        <v>67</v>
      </c>
      <c r="X6" s="498" t="s">
        <v>68</v>
      </c>
      <c r="Y6" s="498" t="s">
        <v>69</v>
      </c>
      <c r="Z6" s="498" t="s">
        <v>70</v>
      </c>
      <c r="AA6" s="498" t="s">
        <v>71</v>
      </c>
      <c r="AB6" s="498" t="s">
        <v>72</v>
      </c>
      <c r="AC6" s="498" t="s">
        <v>73</v>
      </c>
      <c r="AD6" s="498" t="s">
        <v>74</v>
      </c>
      <c r="AE6" s="498" t="s">
        <v>75</v>
      </c>
      <c r="AF6" s="498" t="s">
        <v>76</v>
      </c>
      <c r="AG6" s="498" t="s">
        <v>77</v>
      </c>
      <c r="AH6" s="498" t="s">
        <v>78</v>
      </c>
      <c r="AI6" s="498" t="s">
        <v>79</v>
      </c>
      <c r="AJ6" s="497"/>
      <c r="AK6" s="647"/>
      <c r="AL6" s="497"/>
      <c r="AM6" s="497"/>
      <c r="AN6" s="497"/>
      <c r="AO6" s="497"/>
      <c r="AP6" s="497"/>
    </row>
    <row r="7" spans="1:45" ht="34.5" customHeight="1" x14ac:dyDescent="0.25">
      <c r="A7" s="497"/>
      <c r="B7" s="497"/>
      <c r="C7" s="497"/>
      <c r="D7" s="497"/>
      <c r="E7" s="497"/>
      <c r="F7" s="497"/>
      <c r="G7" s="497"/>
      <c r="H7" s="497"/>
      <c r="I7" s="497"/>
      <c r="J7" s="500"/>
      <c r="K7" s="497"/>
      <c r="L7" s="497"/>
      <c r="M7" s="497"/>
      <c r="N7" s="497"/>
      <c r="O7" s="497"/>
      <c r="P7" s="500"/>
      <c r="Q7" s="497"/>
      <c r="R7" s="497"/>
      <c r="S7" s="497"/>
      <c r="T7" s="475" t="s">
        <v>80</v>
      </c>
      <c r="U7" s="475" t="s">
        <v>6</v>
      </c>
      <c r="V7" s="508"/>
      <c r="W7" s="500"/>
      <c r="X7" s="500"/>
      <c r="Y7" s="500"/>
      <c r="Z7" s="500"/>
      <c r="AA7" s="500"/>
      <c r="AB7" s="500"/>
      <c r="AC7" s="500"/>
      <c r="AD7" s="500"/>
      <c r="AE7" s="500"/>
      <c r="AF7" s="500"/>
      <c r="AG7" s="500"/>
      <c r="AH7" s="500"/>
      <c r="AI7" s="500"/>
      <c r="AJ7" s="497"/>
      <c r="AK7" s="647"/>
      <c r="AL7" s="497"/>
      <c r="AM7" s="497"/>
      <c r="AN7" s="497"/>
      <c r="AO7" s="497"/>
      <c r="AP7" s="497"/>
    </row>
    <row r="8" spans="1:45" s="210" customFormat="1" ht="13.5" customHeight="1" x14ac:dyDescent="0.25">
      <c r="A8" s="476">
        <v>1</v>
      </c>
      <c r="B8" s="509">
        <v>2</v>
      </c>
      <c r="C8" s="509"/>
      <c r="D8" s="509"/>
      <c r="E8" s="509"/>
      <c r="F8" s="509"/>
      <c r="G8" s="509"/>
      <c r="H8" s="509"/>
      <c r="I8" s="509"/>
      <c r="J8" s="476"/>
      <c r="K8" s="509">
        <v>2</v>
      </c>
      <c r="L8" s="509"/>
      <c r="M8" s="509"/>
      <c r="N8" s="509"/>
      <c r="O8" s="476">
        <v>3</v>
      </c>
      <c r="P8" s="476">
        <v>3</v>
      </c>
      <c r="Q8" s="476">
        <v>4</v>
      </c>
      <c r="R8" s="476">
        <v>5</v>
      </c>
      <c r="S8" s="476">
        <v>6</v>
      </c>
      <c r="T8" s="476">
        <v>7</v>
      </c>
      <c r="U8" s="476" t="s">
        <v>81</v>
      </c>
      <c r="V8" s="107" t="s">
        <v>82</v>
      </c>
      <c r="W8" s="476"/>
      <c r="X8" s="476"/>
      <c r="Y8" s="476"/>
      <c r="Z8" s="476"/>
      <c r="AA8" s="476"/>
      <c r="AB8" s="476"/>
      <c r="AC8" s="476"/>
      <c r="AD8" s="476"/>
      <c r="AE8" s="476"/>
      <c r="AF8" s="476"/>
      <c r="AG8" s="476"/>
      <c r="AH8" s="476"/>
      <c r="AI8" s="476">
        <v>10</v>
      </c>
      <c r="AJ8" s="476" t="s">
        <v>83</v>
      </c>
      <c r="AK8" s="403" t="s">
        <v>84</v>
      </c>
      <c r="AL8" s="476" t="s">
        <v>85</v>
      </c>
      <c r="AM8" s="476">
        <v>14</v>
      </c>
      <c r="AN8" s="476"/>
      <c r="AO8" s="476"/>
      <c r="AP8" s="476">
        <v>12</v>
      </c>
    </row>
    <row r="9" spans="1:45" ht="13.5" customHeight="1" thickBot="1" x14ac:dyDescent="0.3">
      <c r="A9" s="211" t="s">
        <v>544</v>
      </c>
      <c r="B9" s="212"/>
      <c r="C9" s="212"/>
      <c r="D9" s="212"/>
      <c r="E9" s="212"/>
      <c r="F9" s="212"/>
      <c r="G9" s="212"/>
      <c r="H9" s="212"/>
      <c r="I9" s="213"/>
      <c r="J9" s="212"/>
      <c r="K9" s="214"/>
      <c r="L9" s="212"/>
      <c r="M9" s="212"/>
      <c r="N9" s="213"/>
      <c r="O9" s="211"/>
      <c r="P9" s="211"/>
      <c r="Q9" s="211"/>
      <c r="R9" s="211"/>
      <c r="S9" s="211"/>
      <c r="T9" s="211"/>
      <c r="U9" s="211"/>
      <c r="V9" s="215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 t="s">
        <v>215</v>
      </c>
      <c r="AJ9" s="211"/>
      <c r="AK9" s="404"/>
      <c r="AL9" s="211"/>
      <c r="AM9" s="211"/>
      <c r="AN9" s="217"/>
      <c r="AO9" s="217"/>
      <c r="AP9" s="217"/>
    </row>
    <row r="10" spans="1:45" s="226" customFormat="1" ht="29.25" customHeight="1" thickTop="1" thickBot="1" x14ac:dyDescent="0.3">
      <c r="A10" s="218"/>
      <c r="B10" s="643" t="s">
        <v>86</v>
      </c>
      <c r="C10" s="644"/>
      <c r="D10" s="644"/>
      <c r="E10" s="644"/>
      <c r="F10" s="644"/>
      <c r="G10" s="644"/>
      <c r="H10" s="644"/>
      <c r="I10" s="645"/>
      <c r="J10" s="494" t="s">
        <v>193</v>
      </c>
      <c r="K10" s="220"/>
      <c r="L10" s="644" t="s">
        <v>87</v>
      </c>
      <c r="M10" s="644"/>
      <c r="N10" s="645"/>
      <c r="O10" s="221">
        <f>SUM(O14,O24,O26)</f>
        <v>57230250000</v>
      </c>
      <c r="P10" s="221">
        <f>SUM(P14,P24,P26)</f>
        <v>57230250000</v>
      </c>
      <c r="Q10" s="221">
        <f>SUM(Q14,Q24,Q26)</f>
        <v>124313865783</v>
      </c>
      <c r="R10" s="222">
        <f>Q10/Q10*100</f>
        <v>100</v>
      </c>
      <c r="S10" s="221">
        <f>S14</f>
        <v>100</v>
      </c>
      <c r="T10" s="221">
        <f>SUM(AJ10)</f>
        <v>67.708706744690801</v>
      </c>
      <c r="U10" s="221">
        <f>AJ10</f>
        <v>67.708706744690801</v>
      </c>
      <c r="V10" s="223">
        <f>S10-T10</f>
        <v>32.291293255309199</v>
      </c>
      <c r="W10" s="221">
        <f t="shared" ref="W10:AI10" si="0">SUM(W14,W24,W26)</f>
        <v>0</v>
      </c>
      <c r="X10" s="221" t="e">
        <f t="shared" si="0"/>
        <v>#REF!</v>
      </c>
      <c r="Y10" s="221" t="e">
        <f t="shared" si="0"/>
        <v>#REF!</v>
      </c>
      <c r="Z10" s="221" t="e">
        <f t="shared" si="0"/>
        <v>#REF!</v>
      </c>
      <c r="AA10" s="221" t="e">
        <f t="shared" si="0"/>
        <v>#REF!</v>
      </c>
      <c r="AB10" s="221">
        <f t="shared" si="0"/>
        <v>33313624753</v>
      </c>
      <c r="AC10" s="221" t="e">
        <f t="shared" si="0"/>
        <v>#REF!</v>
      </c>
      <c r="AD10" s="221" t="e">
        <f t="shared" si="0"/>
        <v>#REF!</v>
      </c>
      <c r="AE10" s="221" t="e">
        <f t="shared" si="0"/>
        <v>#REF!</v>
      </c>
      <c r="AF10" s="221" t="e">
        <f t="shared" si="0"/>
        <v>#REF!</v>
      </c>
      <c r="AG10" s="221" t="e">
        <f t="shared" si="0"/>
        <v>#REF!</v>
      </c>
      <c r="AH10" s="221">
        <f t="shared" si="0"/>
        <v>78185513265</v>
      </c>
      <c r="AI10" s="221">
        <f t="shared" si="0"/>
        <v>84171310826</v>
      </c>
      <c r="AJ10" s="224">
        <f>AI10/Q10*100</f>
        <v>67.708706744690801</v>
      </c>
      <c r="AK10" s="221">
        <f>SUM(AK14,AK24,AK26)</f>
        <v>40142554957</v>
      </c>
      <c r="AL10" s="224">
        <f>AK10/Q10*100</f>
        <v>32.291293255309192</v>
      </c>
      <c r="AM10" s="224"/>
    </row>
    <row r="11" spans="1:45" s="235" customFormat="1" ht="13.5" customHeight="1" thickTop="1" thickBot="1" x14ac:dyDescent="0.3">
      <c r="A11" s="227"/>
      <c r="B11" s="482"/>
      <c r="C11" s="482"/>
      <c r="D11" s="482"/>
      <c r="E11" s="482"/>
      <c r="F11" s="482"/>
      <c r="G11" s="482"/>
      <c r="H11" s="482"/>
      <c r="I11" s="481"/>
      <c r="J11" s="482"/>
      <c r="K11" s="230"/>
      <c r="L11" s="482"/>
      <c r="M11" s="482"/>
      <c r="N11" s="481"/>
      <c r="O11" s="231"/>
      <c r="P11" s="231"/>
      <c r="Q11" s="231"/>
      <c r="R11" s="231"/>
      <c r="S11" s="231"/>
      <c r="T11" s="231"/>
      <c r="U11" s="231"/>
      <c r="V11" s="232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3"/>
      <c r="AK11" s="231"/>
      <c r="AL11" s="233"/>
      <c r="AM11" s="233"/>
    </row>
    <row r="12" spans="1:45" s="226" customFormat="1" ht="29.25" customHeight="1" thickTop="1" thickBot="1" x14ac:dyDescent="0.3">
      <c r="A12" s="218"/>
      <c r="B12" s="643" t="s">
        <v>86</v>
      </c>
      <c r="C12" s="644"/>
      <c r="D12" s="644"/>
      <c r="E12" s="644"/>
      <c r="F12" s="644"/>
      <c r="G12" s="644"/>
      <c r="H12" s="644"/>
      <c r="I12" s="645"/>
      <c r="J12" s="494" t="s">
        <v>194</v>
      </c>
      <c r="K12" s="220"/>
      <c r="L12" s="644" t="s">
        <v>195</v>
      </c>
      <c r="M12" s="644"/>
      <c r="N12" s="645"/>
      <c r="O12" s="221" t="e">
        <f>SUM(#REF!,O26,O33)</f>
        <v>#REF!</v>
      </c>
      <c r="P12" s="221" t="e">
        <f>SUM(#REF!,P26,P33)</f>
        <v>#REF!</v>
      </c>
      <c r="Q12" s="221">
        <f>SUM(Q14+Q24+Q26)</f>
        <v>124313865783</v>
      </c>
      <c r="R12" s="222">
        <f>Q12/Q12*100</f>
        <v>100</v>
      </c>
      <c r="S12" s="221">
        <v>100</v>
      </c>
      <c r="T12" s="221">
        <f>SUM(AJ12)</f>
        <v>67.708706744690801</v>
      </c>
      <c r="U12" s="221">
        <f>AJ12</f>
        <v>67.708706744690801</v>
      </c>
      <c r="V12" s="223">
        <f>S12-T12</f>
        <v>32.291293255309199</v>
      </c>
      <c r="W12" s="221">
        <f t="shared" ref="W12:AH12" si="1">SUM(W16,W26,W33)</f>
        <v>0</v>
      </c>
      <c r="X12" s="221" t="e">
        <f t="shared" si="1"/>
        <v>#REF!</v>
      </c>
      <c r="Y12" s="221" t="e">
        <f t="shared" si="1"/>
        <v>#REF!</v>
      </c>
      <c r="Z12" s="221" t="e">
        <f t="shared" si="1"/>
        <v>#REF!</v>
      </c>
      <c r="AA12" s="221" t="e">
        <f t="shared" si="1"/>
        <v>#REF!</v>
      </c>
      <c r="AB12" s="221">
        <f t="shared" si="1"/>
        <v>5549197752</v>
      </c>
      <c r="AC12" s="221" t="e">
        <f t="shared" si="1"/>
        <v>#REF!</v>
      </c>
      <c r="AD12" s="221" t="e">
        <f t="shared" si="1"/>
        <v>#REF!</v>
      </c>
      <c r="AE12" s="221" t="e">
        <f t="shared" si="1"/>
        <v>#REF!</v>
      </c>
      <c r="AF12" s="221" t="e">
        <f t="shared" si="1"/>
        <v>#REF!</v>
      </c>
      <c r="AG12" s="221" t="e">
        <f t="shared" si="1"/>
        <v>#REF!</v>
      </c>
      <c r="AH12" s="221">
        <f t="shared" si="1"/>
        <v>11081028822</v>
      </c>
      <c r="AI12" s="221">
        <f>SUM(AI14+AI24+AI26)</f>
        <v>84171310826</v>
      </c>
      <c r="AJ12" s="224">
        <f>AI12/Q12*100</f>
        <v>67.708706744690801</v>
      </c>
      <c r="AK12" s="221">
        <f>SUM(AK14+AK24+AK26)</f>
        <v>40142554957</v>
      </c>
      <c r="AL12" s="224">
        <f>AK12/Q12*100</f>
        <v>32.291293255309192</v>
      </c>
      <c r="AM12" s="224"/>
    </row>
    <row r="13" spans="1:45" s="235" customFormat="1" ht="13.5" customHeight="1" thickTop="1" x14ac:dyDescent="0.25">
      <c r="A13" s="227"/>
      <c r="B13" s="482"/>
      <c r="C13" s="482"/>
      <c r="D13" s="482"/>
      <c r="E13" s="482"/>
      <c r="F13" s="482"/>
      <c r="G13" s="482"/>
      <c r="H13" s="482"/>
      <c r="I13" s="481"/>
      <c r="J13" s="482"/>
      <c r="K13" s="230"/>
      <c r="L13" s="482"/>
      <c r="M13" s="482"/>
      <c r="N13" s="481"/>
      <c r="O13" s="231"/>
      <c r="P13" s="231"/>
      <c r="Q13" s="231"/>
      <c r="R13" s="231"/>
      <c r="S13" s="231"/>
      <c r="T13" s="231"/>
      <c r="U13" s="231"/>
      <c r="V13" s="232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3"/>
      <c r="AK13" s="231"/>
      <c r="AL13" s="233"/>
      <c r="AM13" s="233"/>
    </row>
    <row r="14" spans="1:45" s="226" customFormat="1" ht="28.5" customHeight="1" x14ac:dyDescent="0.25">
      <c r="A14" s="236" t="s">
        <v>7</v>
      </c>
      <c r="B14" s="642" t="s">
        <v>88</v>
      </c>
      <c r="C14" s="626"/>
      <c r="D14" s="626"/>
      <c r="E14" s="626"/>
      <c r="F14" s="626"/>
      <c r="G14" s="626"/>
      <c r="H14" s="626"/>
      <c r="I14" s="627"/>
      <c r="J14" s="484" t="s">
        <v>213</v>
      </c>
      <c r="K14" s="238"/>
      <c r="L14" s="626" t="s">
        <v>89</v>
      </c>
      <c r="M14" s="626"/>
      <c r="N14" s="627"/>
      <c r="O14" s="239">
        <v>53000250000</v>
      </c>
      <c r="P14" s="239">
        <f>O14</f>
        <v>53000250000</v>
      </c>
      <c r="Q14" s="239">
        <f>SUM(Q15:Q23)</f>
        <v>114000000000</v>
      </c>
      <c r="R14" s="240">
        <f>Q14/Q14*100</f>
        <v>100</v>
      </c>
      <c r="S14" s="240">
        <v>100</v>
      </c>
      <c r="T14" s="239">
        <f>AJ14</f>
        <v>67.919552756140362</v>
      </c>
      <c r="U14" s="239">
        <f>SUM(R14*T14)</f>
        <v>6791.9552756140365</v>
      </c>
      <c r="V14" s="241">
        <f>S14-T14</f>
        <v>32.080447243859638</v>
      </c>
      <c r="W14" s="239"/>
      <c r="X14" s="239" t="e">
        <f>#REF!</f>
        <v>#REF!</v>
      </c>
      <c r="Y14" s="239" t="e">
        <f>#REF!</f>
        <v>#REF!</v>
      </c>
      <c r="Z14" s="239" t="e">
        <f>#REF!</f>
        <v>#REF!</v>
      </c>
      <c r="AA14" s="239" t="e">
        <f>#REF!</f>
        <v>#REF!</v>
      </c>
      <c r="AB14" s="239">
        <v>27766121137</v>
      </c>
      <c r="AC14" s="239" t="e">
        <f>#REF!</f>
        <v>#REF!</v>
      </c>
      <c r="AD14" s="239" t="e">
        <f>#REF!</f>
        <v>#REF!</v>
      </c>
      <c r="AE14" s="239" t="e">
        <f>#REF!</f>
        <v>#REF!</v>
      </c>
      <c r="AF14" s="239" t="e">
        <f>[1]April!$N$12</f>
        <v>#REF!</v>
      </c>
      <c r="AG14" s="239" t="e">
        <f>[2]april!$N$12</f>
        <v>#REF!</v>
      </c>
      <c r="AH14" s="239">
        <f>'[3]DES SKPD'!$N$12</f>
        <v>67029484443</v>
      </c>
      <c r="AI14" s="239">
        <f>SUM(AI15:AI23)</f>
        <v>77428290142</v>
      </c>
      <c r="AJ14" s="240">
        <f t="shared" ref="AJ14:AJ27" si="2">AI14/Q14*100</f>
        <v>67.919552756140362</v>
      </c>
      <c r="AK14" s="239">
        <f>Q14-AI14</f>
        <v>36571709858</v>
      </c>
      <c r="AL14" s="240">
        <f t="shared" ref="AL14:AL27" si="3">AK14/Q14*100</f>
        <v>32.080447243859652</v>
      </c>
      <c r="AM14" s="236"/>
    </row>
    <row r="15" spans="1:45" ht="28.5" customHeight="1" x14ac:dyDescent="0.25">
      <c r="A15" s="243">
        <v>1</v>
      </c>
      <c r="B15" s="639" t="s">
        <v>90</v>
      </c>
      <c r="C15" s="597"/>
      <c r="D15" s="597"/>
      <c r="E15" s="597"/>
      <c r="F15" s="597"/>
      <c r="G15" s="597"/>
      <c r="H15" s="597"/>
      <c r="I15" s="598"/>
      <c r="J15" s="477" t="s">
        <v>355</v>
      </c>
      <c r="K15" s="245"/>
      <c r="L15" s="597" t="s">
        <v>389</v>
      </c>
      <c r="M15" s="597"/>
      <c r="N15" s="598"/>
      <c r="O15" s="180"/>
      <c r="P15" s="180"/>
      <c r="Q15" s="180">
        <v>4000000000</v>
      </c>
      <c r="R15" s="181">
        <f>Q15/Q$10*100</f>
        <v>3.2176619838870804</v>
      </c>
      <c r="S15" s="181">
        <v>100</v>
      </c>
      <c r="T15" s="180">
        <f>AJ15</f>
        <v>76.444185849999997</v>
      </c>
      <c r="U15" s="180">
        <f>R15*T15/100</f>
        <v>2.4597155069874366</v>
      </c>
      <c r="V15" s="182">
        <f t="shared" ref="V15:V26" si="4">S15-T15</f>
        <v>23.555814150000003</v>
      </c>
      <c r="W15" s="180"/>
      <c r="X15" s="180"/>
      <c r="Y15" s="180"/>
      <c r="Z15" s="180"/>
      <c r="AA15" s="180"/>
      <c r="AB15" s="180">
        <v>0</v>
      </c>
      <c r="AC15" s="180"/>
      <c r="AD15" s="180"/>
      <c r="AE15" s="180"/>
      <c r="AF15" s="180"/>
      <c r="AG15" s="180"/>
      <c r="AH15" s="180"/>
      <c r="AI15" s="180">
        <f>(431044330+333208441+275726549+410229067+542186223+221479028+470424334+373469462)</f>
        <v>3057767434</v>
      </c>
      <c r="AJ15" s="181">
        <f t="shared" si="2"/>
        <v>76.444185849999997</v>
      </c>
      <c r="AK15" s="180">
        <f>SUM(Q15-AI15)</f>
        <v>942232566</v>
      </c>
      <c r="AL15" s="181">
        <f t="shared" si="3"/>
        <v>23.55581415</v>
      </c>
      <c r="AM15" s="243"/>
      <c r="AR15" s="247">
        <v>114000000000</v>
      </c>
      <c r="AS15" s="248">
        <f>Q14-AR15</f>
        <v>0</v>
      </c>
    </row>
    <row r="16" spans="1:45" ht="28.5" customHeight="1" x14ac:dyDescent="0.25">
      <c r="A16" s="243">
        <v>2</v>
      </c>
      <c r="B16" s="639" t="s">
        <v>91</v>
      </c>
      <c r="C16" s="597"/>
      <c r="D16" s="597"/>
      <c r="E16" s="597"/>
      <c r="F16" s="597"/>
      <c r="G16" s="597"/>
      <c r="H16" s="597"/>
      <c r="I16" s="598"/>
      <c r="J16" s="477" t="s">
        <v>356</v>
      </c>
      <c r="K16" s="245"/>
      <c r="L16" s="597" t="s">
        <v>390</v>
      </c>
      <c r="M16" s="597"/>
      <c r="N16" s="598"/>
      <c r="O16" s="180"/>
      <c r="P16" s="180"/>
      <c r="Q16" s="180">
        <v>16748000000</v>
      </c>
      <c r="R16" s="181">
        <f t="shared" ref="R16:R25" si="5">Q16/Q$10*100</f>
        <v>13.472350726535204</v>
      </c>
      <c r="S16" s="181">
        <v>100</v>
      </c>
      <c r="T16" s="180">
        <f>AJ16</f>
        <v>84.231977818246946</v>
      </c>
      <c r="U16" s="180">
        <f>R16*T16/100</f>
        <v>11.348027475571564</v>
      </c>
      <c r="V16" s="182">
        <f t="shared" si="4"/>
        <v>15.768022181753054</v>
      </c>
      <c r="W16" s="180"/>
      <c r="X16" s="180"/>
      <c r="Y16" s="180"/>
      <c r="Z16" s="180"/>
      <c r="AA16" s="180"/>
      <c r="AB16" s="180">
        <v>0</v>
      </c>
      <c r="AC16" s="180"/>
      <c r="AD16" s="180"/>
      <c r="AE16" s="180"/>
      <c r="AF16" s="180"/>
      <c r="AG16" s="180"/>
      <c r="AH16" s="180"/>
      <c r="AI16" s="180">
        <f>(1914892402+1775904849+1319972393+1696852245+1901936169+1440653757+2093936766+1963023064)</f>
        <v>14107171645</v>
      </c>
      <c r="AJ16" s="181">
        <f t="shared" si="2"/>
        <v>84.231977818246946</v>
      </c>
      <c r="AK16" s="180">
        <f t="shared" ref="AK16:AK32" si="6">SUM(Q16-AI16)</f>
        <v>2640828355</v>
      </c>
      <c r="AL16" s="249">
        <f t="shared" si="3"/>
        <v>15.768022181753045</v>
      </c>
      <c r="AM16" s="243"/>
    </row>
    <row r="17" spans="1:39" ht="28.5" customHeight="1" x14ac:dyDescent="0.25">
      <c r="A17" s="243">
        <v>3</v>
      </c>
      <c r="B17" s="639" t="s">
        <v>92</v>
      </c>
      <c r="C17" s="597"/>
      <c r="D17" s="597"/>
      <c r="E17" s="597"/>
      <c r="F17" s="597"/>
      <c r="G17" s="597"/>
      <c r="H17" s="597"/>
      <c r="I17" s="598"/>
      <c r="J17" s="477" t="s">
        <v>357</v>
      </c>
      <c r="K17" s="245"/>
      <c r="L17" s="597" t="s">
        <v>391</v>
      </c>
      <c r="M17" s="597"/>
      <c r="N17" s="598"/>
      <c r="O17" s="180"/>
      <c r="P17" s="180"/>
      <c r="Q17" s="180">
        <v>714500000</v>
      </c>
      <c r="R17" s="181">
        <f t="shared" si="5"/>
        <v>0.57475487187182972</v>
      </c>
      <c r="S17" s="181">
        <v>100</v>
      </c>
      <c r="T17" s="180">
        <f>AJ17</f>
        <v>269.68985262421273</v>
      </c>
      <c r="U17" s="180">
        <f>R17*T17/100</f>
        <v>1.5500555669016203</v>
      </c>
      <c r="V17" s="182">
        <f t="shared" si="4"/>
        <v>-169.68985262421273</v>
      </c>
      <c r="W17" s="180"/>
      <c r="X17" s="180"/>
      <c r="Y17" s="180"/>
      <c r="Z17" s="180"/>
      <c r="AA17" s="180"/>
      <c r="AB17" s="180">
        <v>0</v>
      </c>
      <c r="AC17" s="180"/>
      <c r="AD17" s="180"/>
      <c r="AE17" s="180"/>
      <c r="AF17" s="180"/>
      <c r="AG17" s="180"/>
      <c r="AH17" s="180"/>
      <c r="AI17" s="180">
        <f>(78879037+65981530+49950581+654064553+259098029+228995847+326727778+263236642)</f>
        <v>1926933997</v>
      </c>
      <c r="AJ17" s="181">
        <f t="shared" si="2"/>
        <v>269.68985262421273</v>
      </c>
      <c r="AK17" s="180">
        <f t="shared" si="6"/>
        <v>-1212433997</v>
      </c>
      <c r="AL17" s="181">
        <f t="shared" si="3"/>
        <v>-169.68985262421273</v>
      </c>
      <c r="AM17" s="243"/>
    </row>
    <row r="18" spans="1:39" ht="28.5" customHeight="1" x14ac:dyDescent="0.25">
      <c r="A18" s="243">
        <v>4</v>
      </c>
      <c r="B18" s="639" t="s">
        <v>93</v>
      </c>
      <c r="C18" s="597"/>
      <c r="D18" s="597"/>
      <c r="E18" s="597"/>
      <c r="F18" s="597"/>
      <c r="G18" s="597"/>
      <c r="H18" s="597"/>
      <c r="I18" s="598"/>
      <c r="J18" s="477" t="s">
        <v>358</v>
      </c>
      <c r="K18" s="245"/>
      <c r="L18" s="597" t="s">
        <v>392</v>
      </c>
      <c r="M18" s="597"/>
      <c r="N18" s="598"/>
      <c r="O18" s="180"/>
      <c r="P18" s="180"/>
      <c r="Q18" s="180">
        <v>4296000000</v>
      </c>
      <c r="R18" s="181">
        <f t="shared" si="5"/>
        <v>3.4557689706947241</v>
      </c>
      <c r="S18" s="181">
        <v>100</v>
      </c>
      <c r="T18" s="180">
        <f t="shared" ref="T18:T32" si="7">AJ18</f>
        <v>71.580429562383614</v>
      </c>
      <c r="U18" s="180">
        <f t="shared" ref="U18:U23" si="8">R18*T18/100</f>
        <v>2.4736542739068463</v>
      </c>
      <c r="V18" s="182">
        <f t="shared" si="4"/>
        <v>28.419570437616386</v>
      </c>
      <c r="W18" s="180"/>
      <c r="X18" s="180"/>
      <c r="Y18" s="180"/>
      <c r="Z18" s="180"/>
      <c r="AA18" s="180"/>
      <c r="AB18" s="180">
        <v>0</v>
      </c>
      <c r="AC18" s="180"/>
      <c r="AD18" s="180"/>
      <c r="AE18" s="180"/>
      <c r="AF18" s="180"/>
      <c r="AG18" s="180"/>
      <c r="AH18" s="180"/>
      <c r="AI18" s="180">
        <f>(583660366+480801633+270494857+445824057+209625737+107503985+335466376+641718243)</f>
        <v>3075095254</v>
      </c>
      <c r="AJ18" s="181">
        <f t="shared" si="2"/>
        <v>71.580429562383614</v>
      </c>
      <c r="AK18" s="180">
        <f t="shared" si="6"/>
        <v>1220904746</v>
      </c>
      <c r="AL18" s="249">
        <f t="shared" si="3"/>
        <v>28.419570437616386</v>
      </c>
      <c r="AM18" s="243"/>
    </row>
    <row r="19" spans="1:39" ht="28.5" customHeight="1" x14ac:dyDescent="0.25">
      <c r="A19" s="243">
        <v>5</v>
      </c>
      <c r="B19" s="639" t="s">
        <v>94</v>
      </c>
      <c r="C19" s="597"/>
      <c r="D19" s="597"/>
      <c r="E19" s="597"/>
      <c r="F19" s="597"/>
      <c r="G19" s="597"/>
      <c r="H19" s="597"/>
      <c r="I19" s="598"/>
      <c r="J19" s="477" t="s">
        <v>359</v>
      </c>
      <c r="K19" s="245"/>
      <c r="L19" s="597" t="s">
        <v>393</v>
      </c>
      <c r="M19" s="597"/>
      <c r="N19" s="598"/>
      <c r="O19" s="180"/>
      <c r="P19" s="180"/>
      <c r="Q19" s="180">
        <v>29977500000</v>
      </c>
      <c r="R19" s="181">
        <f t="shared" si="5"/>
        <v>24.114365530493735</v>
      </c>
      <c r="S19" s="181">
        <v>100</v>
      </c>
      <c r="T19" s="180">
        <f t="shared" si="7"/>
        <v>68.132809747310489</v>
      </c>
      <c r="U19" s="180">
        <f t="shared" si="8"/>
        <v>16.429794788662317</v>
      </c>
      <c r="V19" s="182">
        <f t="shared" si="4"/>
        <v>31.867190252689511</v>
      </c>
      <c r="W19" s="180"/>
      <c r="X19" s="180"/>
      <c r="Y19" s="180"/>
      <c r="Z19" s="180"/>
      <c r="AA19" s="180"/>
      <c r="AB19" s="180">
        <v>0</v>
      </c>
      <c r="AC19" s="180"/>
      <c r="AD19" s="180"/>
      <c r="AE19" s="180"/>
      <c r="AF19" s="180"/>
      <c r="AG19" s="180"/>
      <c r="AH19" s="180"/>
      <c r="AI19" s="180">
        <f>(2568866323+2496068783+2393680264+2434431784+2585521355+2686176773+2588245175+2671522585)</f>
        <v>20424513042</v>
      </c>
      <c r="AJ19" s="181">
        <f t="shared" si="2"/>
        <v>68.132809747310489</v>
      </c>
      <c r="AK19" s="180">
        <f t="shared" si="6"/>
        <v>9552986958</v>
      </c>
      <c r="AL19" s="249">
        <f t="shared" si="3"/>
        <v>31.867190252689515</v>
      </c>
      <c r="AM19" s="243"/>
    </row>
    <row r="20" spans="1:39" ht="28.5" customHeight="1" x14ac:dyDescent="0.25">
      <c r="A20" s="243">
        <v>6</v>
      </c>
      <c r="B20" s="639" t="s">
        <v>95</v>
      </c>
      <c r="C20" s="597"/>
      <c r="D20" s="597"/>
      <c r="E20" s="597"/>
      <c r="F20" s="597"/>
      <c r="G20" s="597"/>
      <c r="H20" s="597"/>
      <c r="I20" s="598"/>
      <c r="J20" s="477" t="s">
        <v>360</v>
      </c>
      <c r="K20" s="245"/>
      <c r="L20" s="597" t="s">
        <v>394</v>
      </c>
      <c r="M20" s="597"/>
      <c r="N20" s="598"/>
      <c r="O20" s="180"/>
      <c r="P20" s="180"/>
      <c r="Q20" s="180">
        <v>900000000</v>
      </c>
      <c r="R20" s="181">
        <f t="shared" si="5"/>
        <v>0.72397394637459311</v>
      </c>
      <c r="S20" s="181">
        <v>100</v>
      </c>
      <c r="T20" s="180">
        <f t="shared" si="7"/>
        <v>92.05685311111111</v>
      </c>
      <c r="U20" s="180">
        <f t="shared" si="8"/>
        <v>0.66646763237677353</v>
      </c>
      <c r="V20" s="182">
        <f t="shared" si="4"/>
        <v>7.9431468888888901</v>
      </c>
      <c r="W20" s="180"/>
      <c r="X20" s="180"/>
      <c r="Y20" s="180"/>
      <c r="Z20" s="180"/>
      <c r="AA20" s="180"/>
      <c r="AB20" s="180">
        <v>0</v>
      </c>
      <c r="AC20" s="180"/>
      <c r="AD20" s="180"/>
      <c r="AE20" s="180"/>
      <c r="AF20" s="180"/>
      <c r="AG20" s="180"/>
      <c r="AH20" s="180"/>
      <c r="AI20" s="180">
        <f>(106607217+102146277+80605167+99122150+109683367+105953467+123894733+100499300)</f>
        <v>828511678</v>
      </c>
      <c r="AJ20" s="181">
        <f t="shared" si="2"/>
        <v>92.05685311111111</v>
      </c>
      <c r="AK20" s="180">
        <f t="shared" si="6"/>
        <v>71488322</v>
      </c>
      <c r="AL20" s="181">
        <f t="shared" si="3"/>
        <v>7.9431468888888883</v>
      </c>
      <c r="AM20" s="243"/>
    </row>
    <row r="21" spans="1:39" ht="28.5" customHeight="1" x14ac:dyDescent="0.25">
      <c r="A21" s="243">
        <v>7</v>
      </c>
      <c r="B21" s="639" t="s">
        <v>96</v>
      </c>
      <c r="C21" s="597"/>
      <c r="D21" s="597"/>
      <c r="E21" s="597"/>
      <c r="F21" s="597"/>
      <c r="G21" s="597"/>
      <c r="H21" s="597"/>
      <c r="I21" s="598"/>
      <c r="J21" s="477" t="s">
        <v>361</v>
      </c>
      <c r="K21" s="245"/>
      <c r="L21" s="597" t="s">
        <v>97</v>
      </c>
      <c r="M21" s="597"/>
      <c r="N21" s="598"/>
      <c r="O21" s="180"/>
      <c r="P21" s="180"/>
      <c r="Q21" s="180">
        <v>300000000</v>
      </c>
      <c r="R21" s="181">
        <f t="shared" si="5"/>
        <v>0.24132464879153101</v>
      </c>
      <c r="S21" s="181">
        <v>100</v>
      </c>
      <c r="T21" s="180">
        <f t="shared" si="7"/>
        <v>81.291242333333329</v>
      </c>
      <c r="U21" s="180">
        <f t="shared" si="8"/>
        <v>0.19617580505918905</v>
      </c>
      <c r="V21" s="182">
        <f t="shared" si="4"/>
        <v>18.708757666666671</v>
      </c>
      <c r="W21" s="180"/>
      <c r="X21" s="180"/>
      <c r="Y21" s="180"/>
      <c r="Z21" s="180"/>
      <c r="AA21" s="180"/>
      <c r="AB21" s="180">
        <v>0</v>
      </c>
      <c r="AC21" s="180"/>
      <c r="AD21" s="180"/>
      <c r="AE21" s="180"/>
      <c r="AF21" s="180"/>
      <c r="AG21" s="180"/>
      <c r="AH21" s="180"/>
      <c r="AI21" s="180">
        <f>(28657603+30376120+28120950+28724784+32229464+25532231+34005237+36227338)</f>
        <v>243873727</v>
      </c>
      <c r="AJ21" s="181">
        <f t="shared" si="2"/>
        <v>81.291242333333329</v>
      </c>
      <c r="AK21" s="180">
        <f t="shared" si="6"/>
        <v>56126273</v>
      </c>
      <c r="AL21" s="181">
        <f t="shared" si="3"/>
        <v>18.708757666666667</v>
      </c>
      <c r="AM21" s="243"/>
    </row>
    <row r="22" spans="1:39" ht="28.5" customHeight="1" x14ac:dyDescent="0.25">
      <c r="A22" s="243">
        <v>8</v>
      </c>
      <c r="B22" s="639" t="s">
        <v>98</v>
      </c>
      <c r="C22" s="597"/>
      <c r="D22" s="597"/>
      <c r="E22" s="597"/>
      <c r="F22" s="597"/>
      <c r="G22" s="597"/>
      <c r="H22" s="597"/>
      <c r="I22" s="598"/>
      <c r="J22" s="477" t="s">
        <v>362</v>
      </c>
      <c r="K22" s="245"/>
      <c r="L22" s="597" t="s">
        <v>363</v>
      </c>
      <c r="M22" s="597"/>
      <c r="N22" s="598"/>
      <c r="O22" s="180"/>
      <c r="P22" s="180"/>
      <c r="Q22" s="180">
        <v>22900000000</v>
      </c>
      <c r="R22" s="181">
        <f t="shared" si="5"/>
        <v>18.421114857753533</v>
      </c>
      <c r="S22" s="181">
        <v>100</v>
      </c>
      <c r="T22" s="180">
        <f t="shared" si="7"/>
        <v>40.36106031441048</v>
      </c>
      <c r="U22" s="180">
        <f t="shared" si="8"/>
        <v>7.4349572783247337</v>
      </c>
      <c r="V22" s="182">
        <f t="shared" si="4"/>
        <v>59.63893968558952</v>
      </c>
      <c r="W22" s="180"/>
      <c r="X22" s="180"/>
      <c r="Y22" s="180"/>
      <c r="Z22" s="180"/>
      <c r="AA22" s="180"/>
      <c r="AB22" s="180">
        <v>0</v>
      </c>
      <c r="AC22" s="180"/>
      <c r="AD22" s="180"/>
      <c r="AE22" s="180"/>
      <c r="AF22" s="180"/>
      <c r="AG22" s="180"/>
      <c r="AH22" s="180"/>
      <c r="AI22" s="180">
        <f>(420432023+534056614+411915844+1363066652+1634298094+676980229+1854714788+2347218568)</f>
        <v>9242682812</v>
      </c>
      <c r="AJ22" s="181">
        <f t="shared" si="2"/>
        <v>40.36106031441048</v>
      </c>
      <c r="AK22" s="180">
        <f t="shared" si="6"/>
        <v>13657317188</v>
      </c>
      <c r="AL22" s="249">
        <f t="shared" si="3"/>
        <v>59.63893968558952</v>
      </c>
      <c r="AM22" s="243"/>
    </row>
    <row r="23" spans="1:39" ht="32.25" customHeight="1" x14ac:dyDescent="0.25">
      <c r="A23" s="243">
        <v>9</v>
      </c>
      <c r="B23" s="639" t="s">
        <v>99</v>
      </c>
      <c r="C23" s="597"/>
      <c r="D23" s="597"/>
      <c r="E23" s="597"/>
      <c r="F23" s="597"/>
      <c r="G23" s="597"/>
      <c r="H23" s="597"/>
      <c r="I23" s="598"/>
      <c r="J23" s="477" t="s">
        <v>364</v>
      </c>
      <c r="K23" s="245"/>
      <c r="L23" s="597" t="s">
        <v>100</v>
      </c>
      <c r="M23" s="597"/>
      <c r="N23" s="598"/>
      <c r="O23" s="180"/>
      <c r="P23" s="180"/>
      <c r="Q23" s="180">
        <v>34164000000</v>
      </c>
      <c r="R23" s="181">
        <f>Q23/Q$10*100</f>
        <v>27.482051004379553</v>
      </c>
      <c r="S23" s="181">
        <v>100</v>
      </c>
      <c r="T23" s="180">
        <f t="shared" si="7"/>
        <v>71.776550032197633</v>
      </c>
      <c r="U23" s="180">
        <f t="shared" si="8"/>
        <v>19.725668089032563</v>
      </c>
      <c r="V23" s="182">
        <f>S23-T23</f>
        <v>28.223449967802367</v>
      </c>
      <c r="W23" s="180"/>
      <c r="X23" s="180"/>
      <c r="Y23" s="180"/>
      <c r="Z23" s="180"/>
      <c r="AA23" s="180"/>
      <c r="AB23" s="180">
        <v>0</v>
      </c>
      <c r="AC23" s="180"/>
      <c r="AD23" s="180"/>
      <c r="AE23" s="180"/>
      <c r="AF23" s="180"/>
      <c r="AG23" s="180"/>
      <c r="AH23" s="180"/>
      <c r="AI23" s="180">
        <f>(3105790473+2487428016+3324117884+3597921750+3625913945+2332727287+2104760385+3943080813)</f>
        <v>24521740553</v>
      </c>
      <c r="AJ23" s="181">
        <f t="shared" si="2"/>
        <v>71.776550032197633</v>
      </c>
      <c r="AK23" s="180">
        <f t="shared" si="6"/>
        <v>9642259447</v>
      </c>
      <c r="AL23" s="181">
        <f t="shared" si="3"/>
        <v>28.223449967802367</v>
      </c>
      <c r="AM23" s="243"/>
    </row>
    <row r="24" spans="1:39" s="226" customFormat="1" ht="27.75" customHeight="1" x14ac:dyDescent="0.25">
      <c r="A24" s="236" t="s">
        <v>8</v>
      </c>
      <c r="B24" s="642" t="s">
        <v>101</v>
      </c>
      <c r="C24" s="626"/>
      <c r="D24" s="626"/>
      <c r="E24" s="626"/>
      <c r="F24" s="626"/>
      <c r="G24" s="626"/>
      <c r="H24" s="626"/>
      <c r="I24" s="627"/>
      <c r="J24" s="484" t="s">
        <v>214</v>
      </c>
      <c r="K24" s="238"/>
      <c r="L24" s="626" t="s">
        <v>102</v>
      </c>
      <c r="M24" s="626"/>
      <c r="N24" s="627"/>
      <c r="O24" s="239">
        <v>80000000</v>
      </c>
      <c r="P24" s="239">
        <f>O24</f>
        <v>80000000</v>
      </c>
      <c r="Q24" s="239">
        <f>SUM(Q25)</f>
        <v>161362180</v>
      </c>
      <c r="R24" s="240">
        <f>Q24/Q24*100</f>
        <v>100</v>
      </c>
      <c r="S24" s="240">
        <v>100</v>
      </c>
      <c r="T24" s="239">
        <f t="shared" si="7"/>
        <v>37.183434185135575</v>
      </c>
      <c r="U24" s="239">
        <f>AJ24</f>
        <v>37.183434185135575</v>
      </c>
      <c r="V24" s="241">
        <f t="shared" si="4"/>
        <v>62.816565814864425</v>
      </c>
      <c r="W24" s="239"/>
      <c r="X24" s="239" t="e">
        <f>#REF!</f>
        <v>#REF!</v>
      </c>
      <c r="Y24" s="239" t="e">
        <f>#REF!</f>
        <v>#REF!</v>
      </c>
      <c r="Z24" s="239" t="e">
        <f>#REF!</f>
        <v>#REF!</v>
      </c>
      <c r="AA24" s="239" t="e">
        <f>#REF!</f>
        <v>#REF!</v>
      </c>
      <c r="AB24" s="239">
        <v>15000000</v>
      </c>
      <c r="AC24" s="239" t="e">
        <f>#REF!</f>
        <v>#REF!</v>
      </c>
      <c r="AD24" s="239" t="e">
        <f>#REF!</f>
        <v>#REF!</v>
      </c>
      <c r="AE24" s="239" t="e">
        <f>#REF!</f>
        <v>#REF!</v>
      </c>
      <c r="AF24" s="239" t="e">
        <f>[1]April!$N$13</f>
        <v>#REF!</v>
      </c>
      <c r="AG24" s="239" t="e">
        <f>[2]april!$N$13</f>
        <v>#REF!</v>
      </c>
      <c r="AH24" s="239">
        <f>'[3]DES SKPD'!$N$13</f>
        <v>75000000</v>
      </c>
      <c r="AI24" s="239">
        <f>SUM(AI25)</f>
        <v>60000000</v>
      </c>
      <c r="AJ24" s="240">
        <f t="shared" si="2"/>
        <v>37.183434185135575</v>
      </c>
      <c r="AK24" s="239">
        <f t="shared" si="6"/>
        <v>101362180</v>
      </c>
      <c r="AL24" s="240">
        <f t="shared" si="3"/>
        <v>62.816565814864425</v>
      </c>
      <c r="AM24" s="236"/>
    </row>
    <row r="25" spans="1:39" ht="21" customHeight="1" x14ac:dyDescent="0.25">
      <c r="A25" s="243">
        <v>10</v>
      </c>
      <c r="B25" s="639" t="s">
        <v>103</v>
      </c>
      <c r="C25" s="597"/>
      <c r="D25" s="597"/>
      <c r="E25" s="597"/>
      <c r="F25" s="597"/>
      <c r="G25" s="597"/>
      <c r="H25" s="597"/>
      <c r="I25" s="598"/>
      <c r="J25" s="477" t="s">
        <v>365</v>
      </c>
      <c r="K25" s="245"/>
      <c r="L25" s="597" t="s">
        <v>540</v>
      </c>
      <c r="M25" s="597"/>
      <c r="N25" s="598"/>
      <c r="O25" s="180"/>
      <c r="P25" s="180"/>
      <c r="Q25" s="180">
        <v>161362180</v>
      </c>
      <c r="R25" s="181">
        <f t="shared" si="5"/>
        <v>0.12980223805578603</v>
      </c>
      <c r="S25" s="181">
        <v>100</v>
      </c>
      <c r="T25" s="180">
        <f t="shared" si="7"/>
        <v>37.183434185135575</v>
      </c>
      <c r="U25" s="180">
        <f>R25*T25/100</f>
        <v>4.8264929758306201E-2</v>
      </c>
      <c r="V25" s="182">
        <f>S25-T25</f>
        <v>62.816565814864425</v>
      </c>
      <c r="W25" s="180"/>
      <c r="X25" s="180"/>
      <c r="Y25" s="180"/>
      <c r="Z25" s="180"/>
      <c r="AA25" s="180"/>
      <c r="AB25" s="180">
        <v>0</v>
      </c>
      <c r="AC25" s="231" t="e">
        <f>#REF!</f>
        <v>#REF!</v>
      </c>
      <c r="AD25" s="180"/>
      <c r="AE25" s="180"/>
      <c r="AF25" s="180"/>
      <c r="AG25" s="180"/>
      <c r="AH25" s="180"/>
      <c r="AI25" s="180">
        <f>38400000+7200000+14400000+0</f>
        <v>60000000</v>
      </c>
      <c r="AJ25" s="181">
        <f t="shared" si="2"/>
        <v>37.183434185135575</v>
      </c>
      <c r="AK25" s="180">
        <f t="shared" si="6"/>
        <v>101362180</v>
      </c>
      <c r="AL25" s="181">
        <f t="shared" si="3"/>
        <v>62.816565814864425</v>
      </c>
      <c r="AM25" s="243"/>
    </row>
    <row r="26" spans="1:39" s="226" customFormat="1" ht="27.75" customHeight="1" x14ac:dyDescent="0.25">
      <c r="A26" s="236" t="s">
        <v>29</v>
      </c>
      <c r="B26" s="642" t="s">
        <v>104</v>
      </c>
      <c r="C26" s="626"/>
      <c r="D26" s="626"/>
      <c r="E26" s="626"/>
      <c r="F26" s="626"/>
      <c r="G26" s="626"/>
      <c r="H26" s="626"/>
      <c r="I26" s="627"/>
      <c r="J26" s="484" t="s">
        <v>366</v>
      </c>
      <c r="K26" s="238"/>
      <c r="L26" s="626" t="s">
        <v>105</v>
      </c>
      <c r="M26" s="626"/>
      <c r="N26" s="627"/>
      <c r="O26" s="239">
        <v>4150000000</v>
      </c>
      <c r="P26" s="239">
        <f>O26</f>
        <v>4150000000</v>
      </c>
      <c r="Q26" s="239">
        <f>SUM(Q27:Q34)</f>
        <v>10152503603</v>
      </c>
      <c r="R26" s="240">
        <f>Q26/Q26*100</f>
        <v>100</v>
      </c>
      <c r="S26" s="240">
        <v>100</v>
      </c>
      <c r="T26" s="239">
        <f t="shared" si="7"/>
        <v>65.826331566385363</v>
      </c>
      <c r="U26" s="239">
        <f>AJ26</f>
        <v>65.826331566385363</v>
      </c>
      <c r="V26" s="241">
        <f t="shared" si="4"/>
        <v>34.173668433614637</v>
      </c>
      <c r="W26" s="239"/>
      <c r="X26" s="239" t="e">
        <f>#REF!</f>
        <v>#REF!</v>
      </c>
      <c r="Y26" s="239" t="e">
        <f>#REF!</f>
        <v>#REF!</v>
      </c>
      <c r="Z26" s="239" t="e">
        <f>#REF!</f>
        <v>#REF!</v>
      </c>
      <c r="AA26" s="239" t="e">
        <f>#REF!</f>
        <v>#REF!</v>
      </c>
      <c r="AB26" s="239">
        <v>5532503616</v>
      </c>
      <c r="AC26" s="239" t="e">
        <f>#REF!</f>
        <v>#REF!</v>
      </c>
      <c r="AD26" s="239" t="e">
        <f>#REF!</f>
        <v>#REF!</v>
      </c>
      <c r="AE26" s="239" t="e">
        <f>#REF!</f>
        <v>#REF!</v>
      </c>
      <c r="AF26" s="239" t="e">
        <f>[1]April!$N$14</f>
        <v>#REF!</v>
      </c>
      <c r="AG26" s="239" t="e">
        <f>[2]april!$N$14</f>
        <v>#REF!</v>
      </c>
      <c r="AH26" s="239">
        <f>'[3]DES SKPD'!$N$14</f>
        <v>11081028822</v>
      </c>
      <c r="AI26" s="239">
        <f>SUM(AI27:AI34)</f>
        <v>6683020684</v>
      </c>
      <c r="AJ26" s="240">
        <f t="shared" si="2"/>
        <v>65.826331566385363</v>
      </c>
      <c r="AK26" s="405">
        <f>SUM(Q26-AI26)</f>
        <v>3469482919</v>
      </c>
      <c r="AL26" s="240">
        <f t="shared" si="3"/>
        <v>34.173668433614637</v>
      </c>
      <c r="AM26" s="236"/>
    </row>
    <row r="27" spans="1:39" ht="24.95" customHeight="1" x14ac:dyDescent="0.25">
      <c r="A27" s="243">
        <v>11</v>
      </c>
      <c r="B27" s="639" t="s">
        <v>106</v>
      </c>
      <c r="C27" s="597"/>
      <c r="D27" s="597"/>
      <c r="E27" s="597"/>
      <c r="F27" s="597"/>
      <c r="G27" s="597"/>
      <c r="H27" s="597"/>
      <c r="I27" s="598"/>
      <c r="J27" s="477" t="s">
        <v>367</v>
      </c>
      <c r="K27" s="245"/>
      <c r="L27" s="597" t="s">
        <v>107</v>
      </c>
      <c r="M27" s="597"/>
      <c r="N27" s="598"/>
      <c r="O27" s="180">
        <v>2869514353</v>
      </c>
      <c r="P27" s="180"/>
      <c r="Q27" s="180">
        <v>9463503603</v>
      </c>
      <c r="R27" s="181">
        <f t="shared" ref="R27" si="9">Q27/Q$10*100</f>
        <v>7.6125889444378787</v>
      </c>
      <c r="S27" s="181">
        <v>100</v>
      </c>
      <c r="T27" s="180">
        <f t="shared" si="7"/>
        <v>35.442658329381523</v>
      </c>
      <c r="U27" s="180">
        <f t="shared" ref="U27:U32" si="10">R27*T27/100</f>
        <v>2.6981038895973888</v>
      </c>
      <c r="V27" s="182">
        <f>S27-T27</f>
        <v>64.557341670618484</v>
      </c>
      <c r="W27" s="180">
        <v>0</v>
      </c>
      <c r="X27" s="180">
        <v>0</v>
      </c>
      <c r="Y27" s="180">
        <f>[4]MARET!$N$14</f>
        <v>1079679809</v>
      </c>
      <c r="Z27" s="180">
        <v>3345735931</v>
      </c>
      <c r="AA27" s="180" t="e">
        <f>[5]maret!$Q$166</f>
        <v>#REF!</v>
      </c>
      <c r="AB27" s="180">
        <f>[6]JUNI!$S$166</f>
        <v>2116323666</v>
      </c>
      <c r="AC27" s="180"/>
      <c r="AD27" s="180"/>
      <c r="AE27" s="180"/>
      <c r="AF27" s="180"/>
      <c r="AG27" s="180"/>
      <c r="AH27" s="180"/>
      <c r="AI27" s="180">
        <f>(290269423+304174322+383891482+487632037+539164997+426101669+450109830+472773488)</f>
        <v>3354117248</v>
      </c>
      <c r="AJ27" s="181">
        <f t="shared" si="2"/>
        <v>35.442658329381523</v>
      </c>
      <c r="AK27" s="180">
        <f t="shared" si="6"/>
        <v>6109386355</v>
      </c>
      <c r="AL27" s="181">
        <f t="shared" si="3"/>
        <v>64.55734167061847</v>
      </c>
      <c r="AM27" s="243"/>
    </row>
    <row r="28" spans="1:39" ht="24.95" customHeight="1" x14ac:dyDescent="0.25">
      <c r="A28" s="243">
        <v>12</v>
      </c>
      <c r="B28" s="639" t="s">
        <v>108</v>
      </c>
      <c r="C28" s="597"/>
      <c r="D28" s="597"/>
      <c r="E28" s="597"/>
      <c r="F28" s="597"/>
      <c r="G28" s="597"/>
      <c r="H28" s="597"/>
      <c r="I28" s="598"/>
      <c r="J28" s="477"/>
      <c r="K28" s="245"/>
      <c r="L28" s="597" t="s">
        <v>110</v>
      </c>
      <c r="M28" s="597"/>
      <c r="N28" s="598"/>
      <c r="O28" s="180"/>
      <c r="P28" s="180"/>
      <c r="Q28" s="180">
        <v>0</v>
      </c>
      <c r="R28" s="181">
        <f>AI28/Q$10*100</f>
        <v>1.8592488250945152</v>
      </c>
      <c r="S28" s="181">
        <v>0</v>
      </c>
      <c r="T28" s="180">
        <f>AJ28</f>
        <v>0</v>
      </c>
      <c r="U28" s="180">
        <f>R28*T28/100</f>
        <v>0</v>
      </c>
      <c r="V28" s="182">
        <f>T28-S28</f>
        <v>0</v>
      </c>
      <c r="W28" s="180">
        <v>0</v>
      </c>
      <c r="X28" s="180">
        <v>0</v>
      </c>
      <c r="Y28" s="180" t="e">
        <f>'[7]LRA RINCIAN nBJEK'!$N$334</f>
        <v>#REF!</v>
      </c>
      <c r="Z28" s="180" t="e">
        <f>'[8]DPKD versi ekbang'!$P$334</f>
        <v>#REF!</v>
      </c>
      <c r="AA28" s="180" t="e">
        <f>[5]maret!$Q$224</f>
        <v>#REF!</v>
      </c>
      <c r="AB28" s="180">
        <f>[6]JUNI!$S$224</f>
        <v>1216233073</v>
      </c>
      <c r="AC28" s="180"/>
      <c r="AD28" s="180"/>
      <c r="AE28" s="180"/>
      <c r="AF28" s="180"/>
      <c r="AG28" s="180"/>
      <c r="AH28" s="180"/>
      <c r="AI28" s="180">
        <f>193697642+221823585+363364923+332978349+1030574366+25336545+123120170+20408509</f>
        <v>2311304089</v>
      </c>
      <c r="AJ28" s="181">
        <v>0</v>
      </c>
      <c r="AK28" s="180">
        <f>SUM(Q28-AI28)</f>
        <v>-2311304089</v>
      </c>
      <c r="AL28" s="181">
        <v>0</v>
      </c>
      <c r="AM28" s="243"/>
    </row>
    <row r="29" spans="1:39" ht="24.95" customHeight="1" x14ac:dyDescent="0.25">
      <c r="A29" s="243">
        <v>13</v>
      </c>
      <c r="B29" s="639" t="s">
        <v>108</v>
      </c>
      <c r="C29" s="597"/>
      <c r="D29" s="597"/>
      <c r="E29" s="597"/>
      <c r="F29" s="597"/>
      <c r="G29" s="597"/>
      <c r="H29" s="597"/>
      <c r="I29" s="598"/>
      <c r="J29" s="477" t="s">
        <v>382</v>
      </c>
      <c r="K29" s="245"/>
      <c r="L29" s="597" t="s">
        <v>368</v>
      </c>
      <c r="M29" s="597"/>
      <c r="N29" s="598"/>
      <c r="O29" s="180"/>
      <c r="P29" s="180"/>
      <c r="Q29" s="180">
        <v>689000000</v>
      </c>
      <c r="R29" s="181">
        <f>AI29/Q$10*100</f>
        <v>0.67980055617863833</v>
      </c>
      <c r="S29" s="181">
        <v>0</v>
      </c>
      <c r="T29" s="180">
        <f t="shared" si="7"/>
        <v>122.65404223512337</v>
      </c>
      <c r="U29" s="180">
        <f t="shared" si="10"/>
        <v>0.83380286128995063</v>
      </c>
      <c r="V29" s="182">
        <f t="shared" ref="V29:V32" si="11">T29-S29</f>
        <v>122.65404223512337</v>
      </c>
      <c r="W29" s="180">
        <v>0</v>
      </c>
      <c r="X29" s="180">
        <v>0</v>
      </c>
      <c r="Y29" s="180" t="e">
        <f>'[7]LRA RINCIAN nBJEK'!$N$334</f>
        <v>#REF!</v>
      </c>
      <c r="Z29" s="180" t="e">
        <f>'[8]DPKD versi ekbang'!$P$334</f>
        <v>#REF!</v>
      </c>
      <c r="AA29" s="180" t="e">
        <f>[5]maret!$Q$265</f>
        <v>#REF!</v>
      </c>
      <c r="AB29" s="180">
        <f>[6]JUNI!$S$265</f>
        <v>727292590</v>
      </c>
      <c r="AC29" s="180"/>
      <c r="AD29" s="180"/>
      <c r="AE29" s="180"/>
      <c r="AF29" s="180"/>
      <c r="AG29" s="180"/>
      <c r="AH29" s="180"/>
      <c r="AI29" s="180">
        <f>(79828289+0+341150471+76728663+0+0+262416344+84962584)</f>
        <v>845086351</v>
      </c>
      <c r="AJ29" s="181">
        <f>AI29/Q29*100</f>
        <v>122.65404223512337</v>
      </c>
      <c r="AK29" s="180">
        <f t="shared" si="6"/>
        <v>-156086351</v>
      </c>
      <c r="AL29" s="181">
        <f>AK29/Q29*100</f>
        <v>-22.654042235123367</v>
      </c>
      <c r="AM29" s="243"/>
    </row>
    <row r="30" spans="1:39" ht="24.95" customHeight="1" x14ac:dyDescent="0.25">
      <c r="A30" s="243">
        <v>14</v>
      </c>
      <c r="B30" s="493"/>
      <c r="C30" s="477"/>
      <c r="D30" s="477"/>
      <c r="E30" s="477"/>
      <c r="F30" s="477"/>
      <c r="G30" s="477"/>
      <c r="H30" s="477"/>
      <c r="I30" s="478"/>
      <c r="J30" s="477"/>
      <c r="K30" s="245"/>
      <c r="L30" s="597" t="s">
        <v>637</v>
      </c>
      <c r="M30" s="597"/>
      <c r="N30" s="598"/>
      <c r="O30" s="180"/>
      <c r="P30" s="180"/>
      <c r="Q30" s="180">
        <v>0</v>
      </c>
      <c r="R30" s="181">
        <f>AI30/Q$10*100</f>
        <v>1.7511415048422491E-2</v>
      </c>
      <c r="S30" s="181">
        <v>0</v>
      </c>
      <c r="T30" s="180">
        <f t="shared" si="7"/>
        <v>0</v>
      </c>
      <c r="U30" s="180">
        <f t="shared" si="10"/>
        <v>0</v>
      </c>
      <c r="V30" s="182">
        <f t="shared" si="11"/>
        <v>0</v>
      </c>
      <c r="W30" s="180">
        <v>0</v>
      </c>
      <c r="X30" s="180">
        <v>0</v>
      </c>
      <c r="Y30" s="180" t="e">
        <f>'[7]LRA RINCIAN nBJEK'!$N$334</f>
        <v>#REF!</v>
      </c>
      <c r="Z30" s="180" t="e">
        <f>'[8]DPKD versi ekbang'!$P$334</f>
        <v>#REF!</v>
      </c>
      <c r="AA30" s="180" t="e">
        <f>[5]maret!$Q$265</f>
        <v>#REF!</v>
      </c>
      <c r="AB30" s="180">
        <f>[6]JUNI!$S$265</f>
        <v>727292590</v>
      </c>
      <c r="AC30" s="180"/>
      <c r="AD30" s="180"/>
      <c r="AE30" s="180"/>
      <c r="AF30" s="180"/>
      <c r="AG30" s="180"/>
      <c r="AH30" s="180"/>
      <c r="AI30" s="180">
        <f>(21716842+52275+0+0+0)</f>
        <v>21769117</v>
      </c>
      <c r="AJ30" s="181">
        <v>0</v>
      </c>
      <c r="AK30" s="180">
        <f t="shared" ref="AK30" si="12">SUM(Q30-AI30)</f>
        <v>-21769117</v>
      </c>
      <c r="AL30" s="181">
        <v>0</v>
      </c>
      <c r="AM30" s="243"/>
    </row>
    <row r="31" spans="1:39" ht="24.95" customHeight="1" thickBot="1" x14ac:dyDescent="0.3">
      <c r="A31" s="243">
        <v>15</v>
      </c>
      <c r="B31" s="636" t="s">
        <v>108</v>
      </c>
      <c r="C31" s="637"/>
      <c r="D31" s="637"/>
      <c r="E31" s="637"/>
      <c r="F31" s="637"/>
      <c r="G31" s="637"/>
      <c r="H31" s="637"/>
      <c r="I31" s="638"/>
      <c r="J31" s="477"/>
      <c r="K31" s="245"/>
      <c r="L31" s="660" t="s">
        <v>385</v>
      </c>
      <c r="M31" s="660"/>
      <c r="N31" s="661"/>
      <c r="O31" s="180"/>
      <c r="P31" s="180"/>
      <c r="Q31" s="180"/>
      <c r="R31" s="181">
        <f>Q31/Q$10*100</f>
        <v>0</v>
      </c>
      <c r="S31" s="181">
        <v>0</v>
      </c>
      <c r="T31" s="180">
        <f t="shared" si="7"/>
        <v>0</v>
      </c>
      <c r="U31" s="180">
        <f t="shared" si="10"/>
        <v>0</v>
      </c>
      <c r="V31" s="182">
        <f t="shared" si="11"/>
        <v>0</v>
      </c>
      <c r="W31" s="180">
        <v>0</v>
      </c>
      <c r="X31" s="180">
        <v>0</v>
      </c>
      <c r="Y31" s="180" t="e">
        <f>'[7]LRA RINCIAN nBJEK'!$N$334</f>
        <v>#REF!</v>
      </c>
      <c r="Z31" s="180" t="e">
        <f>'[8]DPKD versi ekbang'!$P$334</f>
        <v>#REF!</v>
      </c>
      <c r="AA31" s="180" t="e">
        <f>[5]maret!$Q$269</f>
        <v>#REF!</v>
      </c>
      <c r="AB31" s="180">
        <f>[6]JUNI!$S$269</f>
        <v>319903749</v>
      </c>
      <c r="AC31" s="180"/>
      <c r="AD31" s="180"/>
      <c r="AE31" s="180"/>
      <c r="AF31" s="180"/>
      <c r="AG31" s="180"/>
      <c r="AH31" s="180"/>
      <c r="AI31" s="180">
        <f>21+20+20+85020+43216000+592028</f>
        <v>43893109</v>
      </c>
      <c r="AJ31" s="181">
        <v>0</v>
      </c>
      <c r="AK31" s="180">
        <f t="shared" si="6"/>
        <v>-43893109</v>
      </c>
      <c r="AL31" s="181">
        <v>0</v>
      </c>
      <c r="AM31" s="243"/>
    </row>
    <row r="32" spans="1:39" ht="24.95" customHeight="1" thickTop="1" thickBot="1" x14ac:dyDescent="0.3">
      <c r="A32" s="243">
        <v>16</v>
      </c>
      <c r="B32" s="491"/>
      <c r="C32" s="491"/>
      <c r="D32" s="491"/>
      <c r="E32" s="491"/>
      <c r="F32" s="491"/>
      <c r="G32" s="491"/>
      <c r="H32" s="491"/>
      <c r="I32" s="492"/>
      <c r="J32" s="477"/>
      <c r="K32" s="245"/>
      <c r="L32" s="597" t="s">
        <v>384</v>
      </c>
      <c r="M32" s="597"/>
      <c r="N32" s="598"/>
      <c r="O32" s="180">
        <v>599994905</v>
      </c>
      <c r="P32" s="180"/>
      <c r="Q32" s="180"/>
      <c r="R32" s="181">
        <f>Q32/Q$10*100</f>
        <v>0</v>
      </c>
      <c r="S32" s="181">
        <v>0</v>
      </c>
      <c r="T32" s="180">
        <f t="shared" si="7"/>
        <v>0</v>
      </c>
      <c r="U32" s="180">
        <f t="shared" si="10"/>
        <v>0</v>
      </c>
      <c r="V32" s="182">
        <f t="shared" si="11"/>
        <v>0</v>
      </c>
      <c r="W32" s="180">
        <v>0</v>
      </c>
      <c r="X32" s="180">
        <v>0</v>
      </c>
      <c r="Y32" s="180" t="e">
        <f>'[7]LRA RINCIAN nBJEK'!$N$334</f>
        <v>#REF!</v>
      </c>
      <c r="Z32" s="180" t="e">
        <f>'[8]DPKD versi ekbang'!$P$334</f>
        <v>#REF!</v>
      </c>
      <c r="AA32" s="180" t="e">
        <f>[5]maret!$Q$269</f>
        <v>#REF!</v>
      </c>
      <c r="AB32" s="180">
        <f>[6]JUNI!$S$269</f>
        <v>319903749</v>
      </c>
      <c r="AC32" s="180"/>
      <c r="AD32" s="180"/>
      <c r="AE32" s="180"/>
      <c r="AF32" s="180"/>
      <c r="AG32" s="180"/>
      <c r="AH32" s="180"/>
      <c r="AI32" s="180">
        <f>750000+750000+750000+500000</f>
        <v>2750000</v>
      </c>
      <c r="AJ32" s="181">
        <v>0</v>
      </c>
      <c r="AK32" s="180">
        <f t="shared" si="6"/>
        <v>-2750000</v>
      </c>
      <c r="AL32" s="181">
        <v>0</v>
      </c>
      <c r="AM32" s="243"/>
    </row>
    <row r="33" spans="1:39" ht="24.95" customHeight="1" thickTop="1" x14ac:dyDescent="0.25">
      <c r="A33" s="243">
        <v>17</v>
      </c>
      <c r="B33" s="639" t="s">
        <v>108</v>
      </c>
      <c r="C33" s="597"/>
      <c r="D33" s="597"/>
      <c r="E33" s="597"/>
      <c r="F33" s="597"/>
      <c r="G33" s="597"/>
      <c r="H33" s="597"/>
      <c r="I33" s="598"/>
      <c r="J33" s="477"/>
      <c r="K33" s="245"/>
      <c r="L33" s="597" t="s">
        <v>109</v>
      </c>
      <c r="M33" s="597"/>
      <c r="N33" s="598"/>
      <c r="O33" s="180"/>
      <c r="P33" s="180"/>
      <c r="Q33" s="180"/>
      <c r="R33" s="181">
        <f>AI33/Q$10*100</f>
        <v>8.3740272530593157E-2</v>
      </c>
      <c r="S33" s="181">
        <v>0</v>
      </c>
      <c r="T33" s="180">
        <f>AJ33</f>
        <v>0</v>
      </c>
      <c r="U33" s="180">
        <f>R33*T33/100</f>
        <v>0</v>
      </c>
      <c r="V33" s="182">
        <f>T33-S33</f>
        <v>0</v>
      </c>
      <c r="W33" s="180">
        <v>0</v>
      </c>
      <c r="X33" s="180">
        <v>0</v>
      </c>
      <c r="Y33" s="180" t="e">
        <f>'[7]LRA RINCIAN nBJEK'!$N$334</f>
        <v>#REF!</v>
      </c>
      <c r="Z33" s="180" t="e">
        <f>'[8]DPKD versi ekbang'!$P$334</f>
        <v>#REF!</v>
      </c>
      <c r="AA33" s="180" t="e">
        <f>[5]maret!$Q$198</f>
        <v>#REF!</v>
      </c>
      <c r="AB33" s="180">
        <f>[6]JUNI!$S$198</f>
        <v>16694136</v>
      </c>
      <c r="AC33" s="180"/>
      <c r="AD33" s="180"/>
      <c r="AE33" s="180"/>
      <c r="AF33" s="180"/>
      <c r="AG33" s="180"/>
      <c r="AH33" s="180"/>
      <c r="AI33" s="180">
        <f>(20455657+13844128+16921231+8582487+4044328+861896+9003404+30387639)</f>
        <v>104100770</v>
      </c>
      <c r="AJ33" s="181">
        <v>0</v>
      </c>
      <c r="AK33" s="180">
        <f>SUM(Q33-AI33)</f>
        <v>-104100770</v>
      </c>
      <c r="AL33" s="181">
        <v>0</v>
      </c>
      <c r="AM33" s="243"/>
    </row>
    <row r="34" spans="1:39" ht="24.95" customHeight="1" thickBot="1" x14ac:dyDescent="0.3">
      <c r="A34" s="243">
        <v>18</v>
      </c>
      <c r="B34" s="477"/>
      <c r="C34" s="477"/>
      <c r="D34" s="477"/>
      <c r="E34" s="477"/>
      <c r="F34" s="477"/>
      <c r="G34" s="477"/>
      <c r="H34" s="477"/>
      <c r="I34" s="478"/>
      <c r="J34" s="477"/>
      <c r="K34" s="245"/>
      <c r="L34" s="637" t="s">
        <v>638</v>
      </c>
      <c r="M34" s="637"/>
      <c r="N34" s="638"/>
      <c r="O34" s="180"/>
      <c r="P34" s="180"/>
      <c r="Q34" s="180"/>
      <c r="R34" s="181">
        <f>AI34/Q$10*100</f>
        <v>0</v>
      </c>
      <c r="S34" s="181">
        <v>1</v>
      </c>
      <c r="T34" s="180">
        <f>AJ34</f>
        <v>1</v>
      </c>
      <c r="U34" s="180">
        <f>R34*T34/100</f>
        <v>0</v>
      </c>
      <c r="V34" s="182">
        <f>T34-S34</f>
        <v>0</v>
      </c>
      <c r="W34" s="180">
        <v>0</v>
      </c>
      <c r="X34" s="180">
        <v>0</v>
      </c>
      <c r="Y34" s="180" t="e">
        <f>'[7]LRA RINCIAN nBJEK'!$N$334</f>
        <v>#REF!</v>
      </c>
      <c r="Z34" s="180" t="e">
        <f>'[8]DPKD versi ekbang'!$P$334</f>
        <v>#REF!</v>
      </c>
      <c r="AA34" s="180" t="e">
        <f>[5]maret!$Q$198</f>
        <v>#REF!</v>
      </c>
      <c r="AB34" s="180">
        <f>[6]JUNI!$S$198</f>
        <v>16694136</v>
      </c>
      <c r="AC34" s="180"/>
      <c r="AD34" s="180"/>
      <c r="AE34" s="180"/>
      <c r="AF34" s="180"/>
      <c r="AG34" s="180"/>
      <c r="AH34" s="180"/>
      <c r="AI34" s="180"/>
      <c r="AJ34" s="181">
        <v>1</v>
      </c>
      <c r="AK34" s="180">
        <f>SUM(Q34-AI34)</f>
        <v>0</v>
      </c>
      <c r="AL34" s="181">
        <v>1</v>
      </c>
      <c r="AM34" s="243"/>
    </row>
    <row r="35" spans="1:39" s="256" customFormat="1" ht="27.75" customHeight="1" thickTop="1" thickBot="1" x14ac:dyDescent="0.3">
      <c r="A35" s="218"/>
      <c r="B35" s="254"/>
      <c r="C35" s="254"/>
      <c r="D35" s="254"/>
      <c r="E35" s="254"/>
      <c r="F35" s="254"/>
      <c r="G35" s="254"/>
      <c r="H35" s="254"/>
      <c r="I35" s="255"/>
      <c r="J35" s="254" t="s">
        <v>211</v>
      </c>
      <c r="K35" s="220"/>
      <c r="L35" s="640" t="s">
        <v>9</v>
      </c>
      <c r="M35" s="640"/>
      <c r="N35" s="641"/>
      <c r="O35" s="221" t="e">
        <f>SUM(O37:O58)</f>
        <v>#REF!</v>
      </c>
      <c r="P35" s="221" t="e">
        <f>SUM(P37:P58)</f>
        <v>#REF!</v>
      </c>
      <c r="Q35" s="221">
        <f>SUM(Q37+Q58)</f>
        <v>31786252581</v>
      </c>
      <c r="R35" s="222">
        <f>Q35/Q35*100</f>
        <v>100</v>
      </c>
      <c r="S35" s="221">
        <f>S37</f>
        <v>100</v>
      </c>
      <c r="T35" s="221">
        <f>AJ35</f>
        <v>60.421408717679626</v>
      </c>
      <c r="U35" s="221">
        <f>SUM(R35*T35/100)</f>
        <v>60.421408717679626</v>
      </c>
      <c r="V35" s="223">
        <f>S35-T35</f>
        <v>39.578591282320374</v>
      </c>
      <c r="W35" s="221">
        <f t="shared" ref="W35:AH35" si="13">SUM(W37:W58)</f>
        <v>0</v>
      </c>
      <c r="X35" s="221" t="e">
        <f t="shared" si="13"/>
        <v>#REF!</v>
      </c>
      <c r="Y35" s="221" t="e">
        <f t="shared" si="13"/>
        <v>#REF!</v>
      </c>
      <c r="Z35" s="221" t="e">
        <f t="shared" si="13"/>
        <v>#REF!</v>
      </c>
      <c r="AA35" s="221" t="e">
        <f t="shared" si="13"/>
        <v>#REF!</v>
      </c>
      <c r="AB35" s="221">
        <f t="shared" si="13"/>
        <v>13148060099</v>
      </c>
      <c r="AC35" s="221" t="e">
        <f t="shared" si="13"/>
        <v>#REF!</v>
      </c>
      <c r="AD35" s="221" t="e">
        <f t="shared" si="13"/>
        <v>#REF!</v>
      </c>
      <c r="AE35" s="221" t="e">
        <f t="shared" si="13"/>
        <v>#REF!</v>
      </c>
      <c r="AF35" s="221" t="e">
        <f t="shared" si="13"/>
        <v>#REF!</v>
      </c>
      <c r="AG35" s="221" t="e">
        <f t="shared" si="13"/>
        <v>#REF!</v>
      </c>
      <c r="AH35" s="221" t="e">
        <f t="shared" si="13"/>
        <v>#REF!</v>
      </c>
      <c r="AI35" s="221">
        <f>SUM(AI38+AI58)</f>
        <v>19205701588</v>
      </c>
      <c r="AJ35" s="224">
        <f>AI35/Q35*100</f>
        <v>60.421408717679626</v>
      </c>
      <c r="AK35" s="221">
        <f>SUM(AK38+AK58)</f>
        <v>12580550993</v>
      </c>
      <c r="AL35" s="224">
        <f>AK35/Q35*100</f>
        <v>39.578591282320367</v>
      </c>
      <c r="AM35" s="218"/>
    </row>
    <row r="36" spans="1:39" ht="13.5" customHeight="1" thickTop="1" x14ac:dyDescent="0.25">
      <c r="A36" s="243"/>
      <c r="B36" s="257"/>
      <c r="C36" s="257"/>
      <c r="D36" s="257"/>
      <c r="E36" s="257"/>
      <c r="F36" s="257"/>
      <c r="G36" s="257"/>
      <c r="H36" s="257"/>
      <c r="I36" s="258"/>
      <c r="J36" s="257"/>
      <c r="K36" s="245"/>
      <c r="L36" s="257"/>
      <c r="M36" s="257"/>
      <c r="N36" s="258"/>
      <c r="O36" s="243"/>
      <c r="P36" s="243"/>
      <c r="Q36" s="243"/>
      <c r="R36" s="243"/>
      <c r="S36" s="243"/>
      <c r="T36" s="243"/>
      <c r="U36" s="243"/>
      <c r="V36" s="182"/>
      <c r="W36" s="243"/>
      <c r="X36" s="243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73"/>
      <c r="AL36" s="243"/>
      <c r="AM36" s="243"/>
    </row>
    <row r="37" spans="1:39" s="226" customFormat="1" ht="28.5" customHeight="1" x14ac:dyDescent="0.25">
      <c r="A37" s="260"/>
      <c r="B37" s="633" t="s">
        <v>111</v>
      </c>
      <c r="C37" s="633"/>
      <c r="D37" s="633"/>
      <c r="E37" s="633"/>
      <c r="F37" s="633"/>
      <c r="G37" s="633"/>
      <c r="H37" s="633"/>
      <c r="I37" s="633"/>
      <c r="J37" s="490" t="s">
        <v>212</v>
      </c>
      <c r="K37" s="262"/>
      <c r="L37" s="634" t="s">
        <v>10</v>
      </c>
      <c r="M37" s="633"/>
      <c r="N37" s="633"/>
      <c r="O37" s="263">
        <v>6663803304</v>
      </c>
      <c r="P37" s="263">
        <f>O37</f>
        <v>6663803304</v>
      </c>
      <c r="Q37" s="263">
        <f>SUM(Q38)</f>
        <v>11607289675</v>
      </c>
      <c r="R37" s="222">
        <f>Q37/Q35*100</f>
        <v>36.516697416348386</v>
      </c>
      <c r="S37" s="260">
        <v>100</v>
      </c>
      <c r="T37" s="263">
        <f>AJ37</f>
        <v>80.368028525143188</v>
      </c>
      <c r="U37" s="263">
        <f>R37*T37/100</f>
        <v>29.347749796011094</v>
      </c>
      <c r="V37" s="264">
        <f>S37-T37</f>
        <v>19.631971474856812</v>
      </c>
      <c r="W37" s="263"/>
      <c r="X37" s="263" t="e">
        <f>#REF!</f>
        <v>#REF!</v>
      </c>
      <c r="Y37" s="263" t="e">
        <f>#REF!</f>
        <v>#REF!</v>
      </c>
      <c r="Z37" s="263" t="e">
        <f>#REF!</f>
        <v>#REF!</v>
      </c>
      <c r="AA37" s="263" t="e">
        <f>#REF!</f>
        <v>#REF!</v>
      </c>
      <c r="AB37" s="263">
        <v>2898050817</v>
      </c>
      <c r="AC37" s="263" t="e">
        <f>#REF!</f>
        <v>#REF!</v>
      </c>
      <c r="AD37" s="263" t="e">
        <f>#REF!</f>
        <v>#REF!</v>
      </c>
      <c r="AE37" s="263" t="e">
        <f>#REF!</f>
        <v>#REF!</v>
      </c>
      <c r="AF37" s="263" t="e">
        <f>[1]April!$N$17</f>
        <v>#REF!</v>
      </c>
      <c r="AG37" s="263" t="e">
        <f>[2]april!$N$17</f>
        <v>#REF!</v>
      </c>
      <c r="AH37" s="263">
        <f>'[3]DES SKPD'!$N$17</f>
        <v>8257610364</v>
      </c>
      <c r="AI37" s="263">
        <f>SUM(AI38)</f>
        <v>9328549877</v>
      </c>
      <c r="AJ37" s="260">
        <f>AI37/Q37*100</f>
        <v>80.368028525143188</v>
      </c>
      <c r="AK37" s="263">
        <f>SUM(AK38)</f>
        <v>2278739798</v>
      </c>
      <c r="AL37" s="260">
        <f>AK37/Q37*100</f>
        <v>19.631971474856812</v>
      </c>
      <c r="AM37" s="222"/>
    </row>
    <row r="38" spans="1:39" s="226" customFormat="1" ht="28.5" customHeight="1" x14ac:dyDescent="0.25">
      <c r="A38" s="260"/>
      <c r="B38" s="266"/>
      <c r="C38" s="266"/>
      <c r="D38" s="266"/>
      <c r="E38" s="266"/>
      <c r="F38" s="266"/>
      <c r="G38" s="266"/>
      <c r="H38" s="266"/>
      <c r="I38" s="267"/>
      <c r="J38" s="268" t="s">
        <v>219</v>
      </c>
      <c r="K38" s="262"/>
      <c r="L38" s="635" t="s">
        <v>218</v>
      </c>
      <c r="M38" s="635"/>
      <c r="N38" s="634"/>
      <c r="O38" s="263"/>
      <c r="P38" s="263"/>
      <c r="Q38" s="263">
        <f>SUM(Q39+Q51+Q55)</f>
        <v>11607289675</v>
      </c>
      <c r="R38" s="222">
        <f>Q38/Q35*100</f>
        <v>36.516697416348386</v>
      </c>
      <c r="S38" s="260">
        <v>100</v>
      </c>
      <c r="T38" s="263">
        <f t="shared" ref="T38:T56" si="14">AJ38</f>
        <v>80.368028525143188</v>
      </c>
      <c r="U38" s="263">
        <f>R38*T38/100</f>
        <v>29.347749796011094</v>
      </c>
      <c r="V38" s="264">
        <f t="shared" ref="V38:V56" si="15">S38-T38</f>
        <v>19.631971474856812</v>
      </c>
      <c r="W38" s="263"/>
      <c r="X38" s="263"/>
      <c r="Y38" s="263"/>
      <c r="Z38" s="263"/>
      <c r="AA38" s="263"/>
      <c r="AB38" s="263"/>
      <c r="AC38" s="263"/>
      <c r="AD38" s="263"/>
      <c r="AE38" s="263"/>
      <c r="AF38" s="263"/>
      <c r="AG38" s="263"/>
      <c r="AH38" s="263"/>
      <c r="AI38" s="263">
        <f>SUM(AI39+AI51+AI55)</f>
        <v>9328549877</v>
      </c>
      <c r="AJ38" s="260">
        <f t="shared" ref="AJ38:AJ56" si="16">AI38/Q38*100</f>
        <v>80.368028525143188</v>
      </c>
      <c r="AK38" s="263">
        <f>SUM(AK39+AK51+AK55)</f>
        <v>2278739798</v>
      </c>
      <c r="AL38" s="260">
        <f t="shared" ref="AL38:AL56" si="17">AK38/Q38*100</f>
        <v>19.631971474856812</v>
      </c>
      <c r="AM38" s="222"/>
    </row>
    <row r="39" spans="1:39" s="226" customFormat="1" ht="28.5" customHeight="1" x14ac:dyDescent="0.25">
      <c r="A39" s="269" t="s">
        <v>7</v>
      </c>
      <c r="B39" s="266"/>
      <c r="C39" s="266"/>
      <c r="D39" s="266"/>
      <c r="E39" s="266"/>
      <c r="F39" s="266"/>
      <c r="G39" s="266"/>
      <c r="H39" s="266"/>
      <c r="I39" s="267"/>
      <c r="J39" s="268" t="s">
        <v>220</v>
      </c>
      <c r="K39" s="262"/>
      <c r="L39" s="635" t="s">
        <v>221</v>
      </c>
      <c r="M39" s="635"/>
      <c r="N39" s="634"/>
      <c r="O39" s="263"/>
      <c r="P39" s="263"/>
      <c r="Q39" s="263">
        <f>SUM(Q40:Q50)</f>
        <v>4242771195</v>
      </c>
      <c r="R39" s="222">
        <f>Q39/Q38*100</f>
        <v>36.552643328426285</v>
      </c>
      <c r="S39" s="260">
        <v>100</v>
      </c>
      <c r="T39" s="263">
        <f t="shared" si="14"/>
        <v>68.389621679799305</v>
      </c>
      <c r="U39" s="263">
        <f>R39*T39/100</f>
        <v>24.998214486277138</v>
      </c>
      <c r="V39" s="264">
        <f t="shared" si="15"/>
        <v>31.610378320200695</v>
      </c>
      <c r="W39" s="263"/>
      <c r="X39" s="263"/>
      <c r="Y39" s="263"/>
      <c r="Z39" s="263"/>
      <c r="AA39" s="263"/>
      <c r="AB39" s="263"/>
      <c r="AC39" s="263"/>
      <c r="AD39" s="263"/>
      <c r="AE39" s="263"/>
      <c r="AF39" s="263"/>
      <c r="AG39" s="263"/>
      <c r="AH39" s="263"/>
      <c r="AI39" s="263">
        <f>SUM(AI40:AI50)</f>
        <v>2901615169</v>
      </c>
      <c r="AJ39" s="260">
        <f t="shared" si="16"/>
        <v>68.389621679799305</v>
      </c>
      <c r="AK39" s="263">
        <f t="shared" ref="AK39:AK56" si="18">Q39-AI39</f>
        <v>1341156026</v>
      </c>
      <c r="AL39" s="260">
        <f t="shared" si="17"/>
        <v>31.610378320200695</v>
      </c>
      <c r="AM39" s="222"/>
    </row>
    <row r="40" spans="1:39" s="235" customFormat="1" ht="28.5" customHeight="1" x14ac:dyDescent="0.25">
      <c r="A40" s="259">
        <v>1</v>
      </c>
      <c r="B40" s="485"/>
      <c r="C40" s="485"/>
      <c r="D40" s="485"/>
      <c r="E40" s="485"/>
      <c r="F40" s="485"/>
      <c r="G40" s="485"/>
      <c r="H40" s="485"/>
      <c r="I40" s="486"/>
      <c r="J40" s="485" t="s">
        <v>222</v>
      </c>
      <c r="K40" s="272"/>
      <c r="L40" s="628" t="s">
        <v>223</v>
      </c>
      <c r="M40" s="628"/>
      <c r="N40" s="629"/>
      <c r="O40" s="180"/>
      <c r="P40" s="180"/>
      <c r="Q40" s="180">
        <v>2590996506</v>
      </c>
      <c r="R40" s="181">
        <f>Q40/Q$35*100</f>
        <v>8.1513116382544233</v>
      </c>
      <c r="S40" s="273">
        <v>100</v>
      </c>
      <c r="T40" s="180">
        <f t="shared" si="14"/>
        <v>67.496424481863045</v>
      </c>
      <c r="U40" s="180">
        <f t="shared" ref="U40:U48" si="19">SUM(R40*T40)</f>
        <v>550.18439041957106</v>
      </c>
      <c r="V40" s="274">
        <f t="shared" si="15"/>
        <v>32.503575518136955</v>
      </c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>
        <f>889090600+227149400+218059800+221489400+193040800</f>
        <v>1748830000</v>
      </c>
      <c r="AJ40" s="181">
        <f t="shared" si="16"/>
        <v>67.496424481863045</v>
      </c>
      <c r="AK40" s="180">
        <f t="shared" si="18"/>
        <v>842166506</v>
      </c>
      <c r="AL40" s="181">
        <f t="shared" si="17"/>
        <v>32.503575518136955</v>
      </c>
      <c r="AM40" s="181"/>
    </row>
    <row r="41" spans="1:39" s="235" customFormat="1" ht="28.5" customHeight="1" x14ac:dyDescent="0.25">
      <c r="A41" s="259">
        <v>2</v>
      </c>
      <c r="B41" s="485"/>
      <c r="C41" s="485"/>
      <c r="D41" s="485"/>
      <c r="E41" s="485"/>
      <c r="F41" s="485"/>
      <c r="G41" s="485"/>
      <c r="H41" s="485"/>
      <c r="I41" s="486"/>
      <c r="J41" s="485" t="s">
        <v>224</v>
      </c>
      <c r="K41" s="272"/>
      <c r="L41" s="628" t="s">
        <v>225</v>
      </c>
      <c r="M41" s="628"/>
      <c r="N41" s="629"/>
      <c r="O41" s="180"/>
      <c r="P41" s="180"/>
      <c r="Q41" s="180">
        <v>327556228</v>
      </c>
      <c r="R41" s="181">
        <f t="shared" ref="R41:R56" si="20">Q41/Q$35*100</f>
        <v>1.0304965241350732</v>
      </c>
      <c r="S41" s="273">
        <v>100</v>
      </c>
      <c r="T41" s="180">
        <f>AJ41</f>
        <v>57.679532199277858</v>
      </c>
      <c r="U41" s="180">
        <f t="shared" si="19"/>
        <v>59.438557445092869</v>
      </c>
      <c r="V41" s="275">
        <f t="shared" si="15"/>
        <v>42.320467800722142</v>
      </c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>
        <f>94829412+24966432+23966134+24403854+20767068</f>
        <v>188932900</v>
      </c>
      <c r="AJ41" s="181">
        <f t="shared" si="16"/>
        <v>57.679532199277858</v>
      </c>
      <c r="AK41" s="180">
        <f t="shared" si="18"/>
        <v>138623328</v>
      </c>
      <c r="AL41" s="181">
        <f t="shared" si="17"/>
        <v>42.320467800722142</v>
      </c>
      <c r="AM41" s="181"/>
    </row>
    <row r="42" spans="1:39" s="235" customFormat="1" ht="28.5" customHeight="1" x14ac:dyDescent="0.25">
      <c r="A42" s="259">
        <v>3</v>
      </c>
      <c r="B42" s="485"/>
      <c r="C42" s="485"/>
      <c r="D42" s="485"/>
      <c r="E42" s="485"/>
      <c r="F42" s="485"/>
      <c r="G42" s="485"/>
      <c r="H42" s="485"/>
      <c r="I42" s="486"/>
      <c r="J42" s="485" t="s">
        <v>226</v>
      </c>
      <c r="K42" s="272"/>
      <c r="L42" s="628" t="s">
        <v>227</v>
      </c>
      <c r="M42" s="628"/>
      <c r="N42" s="629"/>
      <c r="O42" s="180"/>
      <c r="P42" s="180"/>
      <c r="Q42" s="180">
        <v>316058750</v>
      </c>
      <c r="R42" s="181">
        <f t="shared" si="20"/>
        <v>0.99432529580074436</v>
      </c>
      <c r="S42" s="273">
        <v>100</v>
      </c>
      <c r="T42" s="180">
        <f t="shared" si="14"/>
        <v>55.919983230965762</v>
      </c>
      <c r="U42" s="180">
        <f t="shared" si="19"/>
        <v>55.602653867302699</v>
      </c>
      <c r="V42" s="275">
        <f t="shared" si="15"/>
        <v>44.080016769034238</v>
      </c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>
        <f>88100000+22025000+22025000+22025000+22565000</f>
        <v>176740000</v>
      </c>
      <c r="AJ42" s="181">
        <f>AI42/Q42*100</f>
        <v>55.919983230965762</v>
      </c>
      <c r="AK42" s="180">
        <f t="shared" si="18"/>
        <v>139318750</v>
      </c>
      <c r="AL42" s="181">
        <f t="shared" si="17"/>
        <v>44.080016769034238</v>
      </c>
      <c r="AM42" s="181"/>
    </row>
    <row r="43" spans="1:39" s="235" customFormat="1" ht="28.5" customHeight="1" x14ac:dyDescent="0.25">
      <c r="A43" s="259">
        <v>4</v>
      </c>
      <c r="B43" s="485"/>
      <c r="C43" s="485"/>
      <c r="D43" s="485"/>
      <c r="E43" s="485"/>
      <c r="F43" s="485"/>
      <c r="G43" s="485"/>
      <c r="H43" s="485"/>
      <c r="I43" s="486"/>
      <c r="J43" s="485" t="s">
        <v>228</v>
      </c>
      <c r="K43" s="272"/>
      <c r="L43" s="628" t="s">
        <v>229</v>
      </c>
      <c r="M43" s="628"/>
      <c r="N43" s="629"/>
      <c r="O43" s="180"/>
      <c r="P43" s="180"/>
      <c r="Q43" s="180">
        <v>100378250</v>
      </c>
      <c r="R43" s="181">
        <f t="shared" si="20"/>
        <v>0.31579139360391406</v>
      </c>
      <c r="S43" s="273">
        <v>100</v>
      </c>
      <c r="T43" s="180">
        <f t="shared" si="14"/>
        <v>51.460351221504666</v>
      </c>
      <c r="U43" s="180">
        <f t="shared" si="19"/>
        <v>16.250736027585841</v>
      </c>
      <c r="V43" s="275">
        <f t="shared" si="15"/>
        <v>48.539648778495334</v>
      </c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>
        <f>27295000+6455000+6460000+6470000+4975000</f>
        <v>51655000</v>
      </c>
      <c r="AJ43" s="181">
        <f t="shared" si="16"/>
        <v>51.460351221504666</v>
      </c>
      <c r="AK43" s="180">
        <f t="shared" si="18"/>
        <v>48723250</v>
      </c>
      <c r="AL43" s="181">
        <f t="shared" si="17"/>
        <v>48.539648778495341</v>
      </c>
      <c r="AM43" s="181"/>
    </row>
    <row r="44" spans="1:39" s="235" customFormat="1" ht="28.5" customHeight="1" x14ac:dyDescent="0.25">
      <c r="A44" s="259">
        <v>5</v>
      </c>
      <c r="B44" s="485"/>
      <c r="C44" s="485"/>
      <c r="D44" s="485"/>
      <c r="E44" s="485"/>
      <c r="F44" s="485"/>
      <c r="G44" s="485"/>
      <c r="H44" s="485"/>
      <c r="I44" s="486"/>
      <c r="J44" s="485" t="s">
        <v>230</v>
      </c>
      <c r="K44" s="272"/>
      <c r="L44" s="628" t="s">
        <v>231</v>
      </c>
      <c r="M44" s="628"/>
      <c r="N44" s="629"/>
      <c r="O44" s="180"/>
      <c r="P44" s="180"/>
      <c r="Q44" s="180">
        <v>220316124</v>
      </c>
      <c r="R44" s="273">
        <f t="shared" si="20"/>
        <v>0.69311764083726035</v>
      </c>
      <c r="S44" s="273">
        <v>100</v>
      </c>
      <c r="T44" s="180">
        <f t="shared" si="14"/>
        <v>55.124580895404641</v>
      </c>
      <c r="U44" s="180">
        <f t="shared" si="19"/>
        <v>38.207819462365578</v>
      </c>
      <c r="V44" s="275">
        <f t="shared" si="15"/>
        <v>44.875419104595359</v>
      </c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>
        <f>61919100+15353040+15353040+15353040+13470120</f>
        <v>121448340</v>
      </c>
      <c r="AJ44" s="273">
        <f t="shared" si="16"/>
        <v>55.124580895404641</v>
      </c>
      <c r="AK44" s="180">
        <f t="shared" si="18"/>
        <v>98867784</v>
      </c>
      <c r="AL44" s="273">
        <f t="shared" si="17"/>
        <v>44.875419104595359</v>
      </c>
      <c r="AM44" s="181"/>
    </row>
    <row r="45" spans="1:39" s="235" customFormat="1" ht="28.5" customHeight="1" x14ac:dyDescent="0.25">
      <c r="A45" s="259">
        <v>6</v>
      </c>
      <c r="B45" s="485"/>
      <c r="C45" s="485"/>
      <c r="D45" s="485"/>
      <c r="E45" s="485"/>
      <c r="F45" s="485"/>
      <c r="G45" s="485"/>
      <c r="H45" s="485"/>
      <c r="I45" s="486"/>
      <c r="J45" s="485" t="s">
        <v>232</v>
      </c>
      <c r="K45" s="272"/>
      <c r="L45" s="628" t="s">
        <v>234</v>
      </c>
      <c r="M45" s="628"/>
      <c r="N45" s="629"/>
      <c r="O45" s="180"/>
      <c r="P45" s="180"/>
      <c r="Q45" s="180">
        <v>868720</v>
      </c>
      <c r="R45" s="273">
        <f t="shared" si="20"/>
        <v>2.7330054015844291E-3</v>
      </c>
      <c r="S45" s="273">
        <v>100</v>
      </c>
      <c r="T45" s="180">
        <f t="shared" si="14"/>
        <v>84.237268625103596</v>
      </c>
      <c r="U45" s="180">
        <f t="shared" si="19"/>
        <v>0.23022091016712667</v>
      </c>
      <c r="V45" s="275">
        <f t="shared" si="15"/>
        <v>15.762731374896404</v>
      </c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>
        <f>363234+92138+92138+92138+92138</f>
        <v>731786</v>
      </c>
      <c r="AJ45" s="273">
        <f t="shared" si="16"/>
        <v>84.237268625103596</v>
      </c>
      <c r="AK45" s="180">
        <f t="shared" si="18"/>
        <v>136934</v>
      </c>
      <c r="AL45" s="273">
        <f t="shared" si="17"/>
        <v>15.762731374896399</v>
      </c>
      <c r="AM45" s="181"/>
    </row>
    <row r="46" spans="1:39" s="235" customFormat="1" ht="28.5" customHeight="1" x14ac:dyDescent="0.25">
      <c r="A46" s="259">
        <v>7</v>
      </c>
      <c r="B46" s="485"/>
      <c r="C46" s="485"/>
      <c r="D46" s="485"/>
      <c r="E46" s="485"/>
      <c r="F46" s="485"/>
      <c r="G46" s="485"/>
      <c r="H46" s="485"/>
      <c r="I46" s="486"/>
      <c r="J46" s="485" t="s">
        <v>233</v>
      </c>
      <c r="K46" s="272"/>
      <c r="L46" s="628" t="s">
        <v>235</v>
      </c>
      <c r="M46" s="628"/>
      <c r="N46" s="629"/>
      <c r="O46" s="180"/>
      <c r="P46" s="180"/>
      <c r="Q46" s="180">
        <v>45647</v>
      </c>
      <c r="R46" s="273">
        <f t="shared" si="20"/>
        <v>1.4360610733737503E-4</v>
      </c>
      <c r="S46" s="273">
        <v>100</v>
      </c>
      <c r="T46" s="180">
        <f t="shared" si="14"/>
        <v>65.031655968628826</v>
      </c>
      <c r="U46" s="180">
        <f t="shared" si="19"/>
        <v>9.3389429673581565E-3</v>
      </c>
      <c r="V46" s="275">
        <f t="shared" si="15"/>
        <v>34.968344031371174</v>
      </c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>
        <f>14589+5519+3319+3333+2925</f>
        <v>29685</v>
      </c>
      <c r="AJ46" s="273">
        <f t="shared" si="16"/>
        <v>65.031655968628826</v>
      </c>
      <c r="AK46" s="180">
        <f t="shared" si="18"/>
        <v>15962</v>
      </c>
      <c r="AL46" s="273">
        <f t="shared" si="17"/>
        <v>34.968344031371174</v>
      </c>
      <c r="AM46" s="181"/>
    </row>
    <row r="47" spans="1:39" s="235" customFormat="1" ht="28.5" customHeight="1" x14ac:dyDescent="0.25">
      <c r="A47" s="259">
        <v>8</v>
      </c>
      <c r="B47" s="485"/>
      <c r="C47" s="485"/>
      <c r="D47" s="485"/>
      <c r="E47" s="485"/>
      <c r="F47" s="485"/>
      <c r="G47" s="485"/>
      <c r="H47" s="485"/>
      <c r="I47" s="486"/>
      <c r="J47" s="485" t="s">
        <v>236</v>
      </c>
      <c r="K47" s="272"/>
      <c r="L47" s="628" t="s">
        <v>237</v>
      </c>
      <c r="M47" s="628"/>
      <c r="N47" s="629"/>
      <c r="O47" s="180"/>
      <c r="P47" s="180"/>
      <c r="Q47" s="180">
        <v>104506702</v>
      </c>
      <c r="R47" s="273">
        <f t="shared" si="20"/>
        <v>0.32877956196216762</v>
      </c>
      <c r="S47" s="273">
        <v>100</v>
      </c>
      <c r="T47" s="180">
        <f t="shared" si="14"/>
        <v>55.62601621473042</v>
      </c>
      <c r="U47" s="180">
        <f t="shared" si="19"/>
        <v>18.288697244779502</v>
      </c>
      <c r="V47" s="275">
        <f t="shared" si="15"/>
        <v>44.37398378526958</v>
      </c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>
        <f>29517615+7563482+7260779+7376802+6414237</f>
        <v>58132915</v>
      </c>
      <c r="AJ47" s="273">
        <f t="shared" si="16"/>
        <v>55.62601621473042</v>
      </c>
      <c r="AK47" s="180">
        <f t="shared" si="18"/>
        <v>46373787</v>
      </c>
      <c r="AL47" s="273">
        <f t="shared" si="17"/>
        <v>44.37398378526958</v>
      </c>
      <c r="AM47" s="181"/>
    </row>
    <row r="48" spans="1:39" s="235" customFormat="1" ht="28.5" customHeight="1" x14ac:dyDescent="0.25">
      <c r="A48" s="259">
        <v>9</v>
      </c>
      <c r="B48" s="485"/>
      <c r="C48" s="485"/>
      <c r="D48" s="485"/>
      <c r="E48" s="485"/>
      <c r="F48" s="485"/>
      <c r="G48" s="485"/>
      <c r="H48" s="485"/>
      <c r="I48" s="486"/>
      <c r="J48" s="485" t="s">
        <v>238</v>
      </c>
      <c r="K48" s="272"/>
      <c r="L48" s="628" t="s">
        <v>239</v>
      </c>
      <c r="M48" s="628"/>
      <c r="N48" s="629"/>
      <c r="O48" s="180"/>
      <c r="P48" s="180"/>
      <c r="Q48" s="180">
        <v>17042404</v>
      </c>
      <c r="R48" s="273">
        <f t="shared" si="20"/>
        <v>5.3615643922073949E-2</v>
      </c>
      <c r="S48" s="273">
        <v>100</v>
      </c>
      <c r="T48" s="180">
        <f t="shared" si="14"/>
        <v>87.145434411717972</v>
      </c>
      <c r="U48" s="180">
        <f t="shared" si="19"/>
        <v>4.6723585808531203</v>
      </c>
      <c r="V48" s="275">
        <f t="shared" si="15"/>
        <v>12.854565588282028</v>
      </c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>
        <f>6663947+2151304+2093371+2124451+1818604</f>
        <v>14851677</v>
      </c>
      <c r="AJ48" s="273">
        <f t="shared" si="16"/>
        <v>87.145434411717972</v>
      </c>
      <c r="AK48" s="180">
        <f t="shared" si="18"/>
        <v>2190727</v>
      </c>
      <c r="AL48" s="273">
        <f t="shared" si="17"/>
        <v>12.85456558828203</v>
      </c>
      <c r="AM48" s="181"/>
    </row>
    <row r="49" spans="1:39" s="235" customFormat="1" ht="28.5" customHeight="1" x14ac:dyDescent="0.25">
      <c r="A49" s="259">
        <v>10</v>
      </c>
      <c r="B49" s="485"/>
      <c r="C49" s="485"/>
      <c r="D49" s="485"/>
      <c r="E49" s="485"/>
      <c r="F49" s="485"/>
      <c r="G49" s="485"/>
      <c r="H49" s="485"/>
      <c r="I49" s="486"/>
      <c r="J49" s="485" t="s">
        <v>641</v>
      </c>
      <c r="K49" s="272"/>
      <c r="L49" s="628" t="s">
        <v>643</v>
      </c>
      <c r="M49" s="628"/>
      <c r="N49" s="629"/>
      <c r="O49" s="180"/>
      <c r="P49" s="180"/>
      <c r="Q49" s="180">
        <v>269688283</v>
      </c>
      <c r="R49" s="273">
        <f t="shared" si="20"/>
        <v>0.84844315105330848</v>
      </c>
      <c r="S49" s="273">
        <v>100</v>
      </c>
      <c r="T49" s="180">
        <f t="shared" si="14"/>
        <v>100</v>
      </c>
      <c r="U49" s="180">
        <f t="shared" ref="U49:U50" si="21">SUM(R49*T49)</f>
        <v>84.84431510533085</v>
      </c>
      <c r="V49" s="275">
        <f t="shared" si="15"/>
        <v>0</v>
      </c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>
        <v>269688283</v>
      </c>
      <c r="AJ49" s="273">
        <f t="shared" si="16"/>
        <v>100</v>
      </c>
      <c r="AK49" s="180">
        <f t="shared" si="18"/>
        <v>0</v>
      </c>
      <c r="AL49" s="273">
        <f t="shared" si="17"/>
        <v>0</v>
      </c>
      <c r="AM49" s="181"/>
    </row>
    <row r="50" spans="1:39" s="235" customFormat="1" ht="28.5" customHeight="1" x14ac:dyDescent="0.25">
      <c r="A50" s="259">
        <v>11</v>
      </c>
      <c r="B50" s="485"/>
      <c r="C50" s="485"/>
      <c r="D50" s="485"/>
      <c r="E50" s="485"/>
      <c r="F50" s="485"/>
      <c r="G50" s="485"/>
      <c r="H50" s="485"/>
      <c r="I50" s="486"/>
      <c r="J50" s="485" t="s">
        <v>642</v>
      </c>
      <c r="K50" s="272"/>
      <c r="L50" s="654" t="s">
        <v>644</v>
      </c>
      <c r="M50" s="654"/>
      <c r="N50" s="655"/>
      <c r="O50" s="180"/>
      <c r="P50" s="180"/>
      <c r="Q50" s="180">
        <v>295313581</v>
      </c>
      <c r="R50" s="273">
        <f t="shared" si="20"/>
        <v>0.929060700840594</v>
      </c>
      <c r="S50" s="273">
        <v>100</v>
      </c>
      <c r="T50" s="180">
        <f t="shared" si="14"/>
        <v>91.622803828991522</v>
      </c>
      <c r="U50" s="180">
        <f t="shared" si="21"/>
        <v>85.123146338343119</v>
      </c>
      <c r="V50" s="276">
        <f t="shared" si="15"/>
        <v>8.3771961710084781</v>
      </c>
      <c r="W50" s="180"/>
      <c r="X50" s="180"/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>
        <v>270574583</v>
      </c>
      <c r="AJ50" s="273">
        <f t="shared" si="16"/>
        <v>91.622803828991522</v>
      </c>
      <c r="AK50" s="180">
        <f t="shared" si="18"/>
        <v>24738998</v>
      </c>
      <c r="AL50" s="273">
        <f t="shared" si="17"/>
        <v>8.377196171008471</v>
      </c>
      <c r="AM50" s="181"/>
    </row>
    <row r="51" spans="1:39" s="235" customFormat="1" ht="28.5" customHeight="1" x14ac:dyDescent="0.25">
      <c r="A51" s="277" t="s">
        <v>8</v>
      </c>
      <c r="B51" s="488"/>
      <c r="C51" s="488"/>
      <c r="D51" s="488"/>
      <c r="E51" s="488"/>
      <c r="F51" s="488"/>
      <c r="G51" s="488"/>
      <c r="H51" s="488"/>
      <c r="I51" s="488"/>
      <c r="J51" s="488" t="s">
        <v>240</v>
      </c>
      <c r="K51" s="279"/>
      <c r="L51" s="630" t="s">
        <v>241</v>
      </c>
      <c r="M51" s="631"/>
      <c r="N51" s="631"/>
      <c r="O51" s="280"/>
      <c r="P51" s="280"/>
      <c r="Q51" s="280">
        <f>SUM(Q52:Q54)</f>
        <v>2764518480</v>
      </c>
      <c r="R51" s="222">
        <f>Q51/Q38*100</f>
        <v>23.817088721015313</v>
      </c>
      <c r="S51" s="281">
        <v>100</v>
      </c>
      <c r="T51" s="280">
        <f t="shared" si="14"/>
        <v>83.000855903122769</v>
      </c>
      <c r="U51" s="280">
        <f t="shared" ref="U51:U56" si="22">R51*T51/100</f>
        <v>19.768387489648827</v>
      </c>
      <c r="V51" s="282">
        <f t="shared" si="15"/>
        <v>16.999144096877231</v>
      </c>
      <c r="W51" s="280"/>
      <c r="X51" s="280"/>
      <c r="Y51" s="280"/>
      <c r="Z51" s="280"/>
      <c r="AA51" s="280"/>
      <c r="AB51" s="280"/>
      <c r="AC51" s="280"/>
      <c r="AD51" s="280"/>
      <c r="AE51" s="280"/>
      <c r="AF51" s="280"/>
      <c r="AG51" s="280"/>
      <c r="AH51" s="280"/>
      <c r="AI51" s="280">
        <f>SUM(AI52:AI54)</f>
        <v>2294574000</v>
      </c>
      <c r="AJ51" s="281">
        <f t="shared" si="16"/>
        <v>83.000855903122769</v>
      </c>
      <c r="AK51" s="280">
        <f t="shared" si="18"/>
        <v>469944480</v>
      </c>
      <c r="AL51" s="281">
        <f t="shared" si="17"/>
        <v>16.999144096877224</v>
      </c>
      <c r="AM51" s="284"/>
    </row>
    <row r="52" spans="1:39" s="235" customFormat="1" ht="28.5" customHeight="1" x14ac:dyDescent="0.25">
      <c r="A52" s="259">
        <v>1</v>
      </c>
      <c r="B52" s="485"/>
      <c r="C52" s="485"/>
      <c r="D52" s="485"/>
      <c r="E52" s="485"/>
      <c r="F52" s="485"/>
      <c r="G52" s="485"/>
      <c r="H52" s="485"/>
      <c r="I52" s="486"/>
      <c r="J52" s="485" t="s">
        <v>242</v>
      </c>
      <c r="K52" s="272"/>
      <c r="L52" s="628" t="s">
        <v>243</v>
      </c>
      <c r="M52" s="628"/>
      <c r="N52" s="629"/>
      <c r="O52" s="180"/>
      <c r="P52" s="180"/>
      <c r="Q52" s="180">
        <v>2501913480</v>
      </c>
      <c r="R52" s="273">
        <f t="shared" si="20"/>
        <v>7.87105517904146</v>
      </c>
      <c r="S52" s="273">
        <v>100</v>
      </c>
      <c r="T52" s="180">
        <f t="shared" si="14"/>
        <v>84.984153808548172</v>
      </c>
      <c r="U52" s="285">
        <f t="shared" si="22"/>
        <v>6.6891496397122907</v>
      </c>
      <c r="V52" s="275">
        <f t="shared" si="15"/>
        <v>15.015846191451828</v>
      </c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>
        <f>698105000+237825000+479200000+481600000+229500000</f>
        <v>2126230000</v>
      </c>
      <c r="AJ52" s="273">
        <f t="shared" si="16"/>
        <v>84.984153808548172</v>
      </c>
      <c r="AK52" s="180">
        <f t="shared" si="18"/>
        <v>375683480</v>
      </c>
      <c r="AL52" s="273">
        <f t="shared" si="17"/>
        <v>15.015846191451832</v>
      </c>
      <c r="AM52" s="181"/>
    </row>
    <row r="53" spans="1:39" s="235" customFormat="1" ht="28.5" customHeight="1" x14ac:dyDescent="0.25">
      <c r="A53" s="259">
        <v>2</v>
      </c>
      <c r="B53" s="485"/>
      <c r="C53" s="485"/>
      <c r="D53" s="485"/>
      <c r="E53" s="485"/>
      <c r="F53" s="485"/>
      <c r="G53" s="485"/>
      <c r="H53" s="485"/>
      <c r="I53" s="486"/>
      <c r="J53" s="485" t="s">
        <v>244</v>
      </c>
      <c r="K53" s="272"/>
      <c r="L53" s="628" t="s">
        <v>245</v>
      </c>
      <c r="M53" s="628"/>
      <c r="N53" s="629"/>
      <c r="O53" s="180"/>
      <c r="P53" s="180"/>
      <c r="Q53" s="180">
        <v>218325000</v>
      </c>
      <c r="R53" s="273">
        <f t="shared" si="20"/>
        <v>0.68685353658361781</v>
      </c>
      <c r="S53" s="273">
        <v>100</v>
      </c>
      <c r="T53" s="180">
        <f t="shared" si="14"/>
        <v>77.107065155158594</v>
      </c>
      <c r="U53" s="180">
        <f t="shared" si="22"/>
        <v>0.5296126039740412</v>
      </c>
      <c r="V53" s="275">
        <f t="shared" si="15"/>
        <v>22.892934844841406</v>
      </c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>
        <f>55640000+18704000+37600000+37600000+18800000</f>
        <v>168344000</v>
      </c>
      <c r="AJ53" s="273">
        <f t="shared" si="16"/>
        <v>77.107065155158594</v>
      </c>
      <c r="AK53" s="180">
        <f t="shared" si="18"/>
        <v>49981000</v>
      </c>
      <c r="AL53" s="273">
        <f t="shared" si="17"/>
        <v>22.892934844841406</v>
      </c>
      <c r="AM53" s="181"/>
    </row>
    <row r="54" spans="1:39" s="235" customFormat="1" ht="28.5" customHeight="1" x14ac:dyDescent="0.25">
      <c r="A54" s="259">
        <v>3</v>
      </c>
      <c r="B54" s="485"/>
      <c r="C54" s="485"/>
      <c r="D54" s="485"/>
      <c r="E54" s="485"/>
      <c r="F54" s="485"/>
      <c r="G54" s="485"/>
      <c r="H54" s="485"/>
      <c r="I54" s="486"/>
      <c r="J54" s="485" t="s">
        <v>645</v>
      </c>
      <c r="K54" s="272"/>
      <c r="L54" s="654" t="s">
        <v>646</v>
      </c>
      <c r="M54" s="654"/>
      <c r="N54" s="655"/>
      <c r="O54" s="180"/>
      <c r="P54" s="180"/>
      <c r="Q54" s="180">
        <v>44280000</v>
      </c>
      <c r="R54" s="273">
        <f t="shared" si="20"/>
        <v>0.1393055060113253</v>
      </c>
      <c r="S54" s="273">
        <v>100</v>
      </c>
      <c r="T54" s="180">
        <f t="shared" si="14"/>
        <v>0</v>
      </c>
      <c r="U54" s="286">
        <f t="shared" si="22"/>
        <v>0</v>
      </c>
      <c r="V54" s="276">
        <f t="shared" si="15"/>
        <v>100</v>
      </c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>
        <v>0</v>
      </c>
      <c r="AJ54" s="273">
        <f t="shared" si="16"/>
        <v>0</v>
      </c>
      <c r="AK54" s="180">
        <f t="shared" si="18"/>
        <v>44280000</v>
      </c>
      <c r="AL54" s="273">
        <f t="shared" si="17"/>
        <v>100</v>
      </c>
      <c r="AM54" s="181"/>
    </row>
    <row r="55" spans="1:39" s="235" customFormat="1" ht="28.5" customHeight="1" x14ac:dyDescent="0.25">
      <c r="A55" s="277" t="s">
        <v>29</v>
      </c>
      <c r="B55" s="489"/>
      <c r="C55" s="489"/>
      <c r="D55" s="489"/>
      <c r="E55" s="489"/>
      <c r="F55" s="489"/>
      <c r="G55" s="489"/>
      <c r="H55" s="489"/>
      <c r="I55" s="487"/>
      <c r="J55" s="489" t="s">
        <v>246</v>
      </c>
      <c r="K55" s="279"/>
      <c r="L55" s="632" t="s">
        <v>247</v>
      </c>
      <c r="M55" s="632"/>
      <c r="N55" s="630"/>
      <c r="O55" s="280"/>
      <c r="P55" s="280"/>
      <c r="Q55" s="280">
        <f>SUM(Q56)</f>
        <v>4600000000</v>
      </c>
      <c r="R55" s="222">
        <f>Q55/Q38*100</f>
        <v>39.630267950558405</v>
      </c>
      <c r="S55" s="281">
        <v>100</v>
      </c>
      <c r="T55" s="280">
        <f t="shared" si="14"/>
        <v>89.833928434782607</v>
      </c>
      <c r="U55" s="280">
        <f t="shared" si="22"/>
        <v>35.601426549217223</v>
      </c>
      <c r="V55" s="282">
        <f t="shared" si="15"/>
        <v>10.166071565217393</v>
      </c>
      <c r="W55" s="280"/>
      <c r="X55" s="280"/>
      <c r="Y55" s="280"/>
      <c r="Z55" s="280"/>
      <c r="AA55" s="280"/>
      <c r="AB55" s="280"/>
      <c r="AC55" s="280"/>
      <c r="AD55" s="280"/>
      <c r="AE55" s="280"/>
      <c r="AF55" s="280"/>
      <c r="AG55" s="280"/>
      <c r="AH55" s="280"/>
      <c r="AI55" s="263">
        <f>SUM(AI56)</f>
        <v>4132360708</v>
      </c>
      <c r="AJ55" s="281">
        <f t="shared" si="16"/>
        <v>89.833928434782607</v>
      </c>
      <c r="AK55" s="280">
        <f t="shared" si="18"/>
        <v>467639292</v>
      </c>
      <c r="AL55" s="281">
        <f t="shared" si="17"/>
        <v>10.166071565217392</v>
      </c>
      <c r="AM55" s="284"/>
    </row>
    <row r="56" spans="1:39" s="235" customFormat="1" ht="28.5" customHeight="1" x14ac:dyDescent="0.25">
      <c r="A56" s="259">
        <v>1</v>
      </c>
      <c r="B56" s="485"/>
      <c r="C56" s="485"/>
      <c r="D56" s="485"/>
      <c r="E56" s="485"/>
      <c r="F56" s="485"/>
      <c r="G56" s="485"/>
      <c r="H56" s="485"/>
      <c r="I56" s="486"/>
      <c r="J56" s="485" t="s">
        <v>248</v>
      </c>
      <c r="K56" s="272"/>
      <c r="L56" s="628" t="s">
        <v>427</v>
      </c>
      <c r="M56" s="628"/>
      <c r="N56" s="629"/>
      <c r="O56" s="180"/>
      <c r="P56" s="180"/>
      <c r="Q56" s="180">
        <v>4600000000</v>
      </c>
      <c r="R56" s="273">
        <f t="shared" si="20"/>
        <v>14.471665032793505</v>
      </c>
      <c r="S56" s="273">
        <v>100</v>
      </c>
      <c r="T56" s="180">
        <f t="shared" si="14"/>
        <v>89.833928434782607</v>
      </c>
      <c r="U56" s="285">
        <f t="shared" si="22"/>
        <v>13.000465208881176</v>
      </c>
      <c r="V56" s="274">
        <f t="shared" si="15"/>
        <v>10.166071565217393</v>
      </c>
      <c r="W56" s="180"/>
      <c r="X56" s="180"/>
      <c r="Y56" s="180"/>
      <c r="Z56" s="180"/>
      <c r="AA56" s="180"/>
      <c r="AB56" s="180"/>
      <c r="AC56" s="180"/>
      <c r="AD56" s="180"/>
      <c r="AE56" s="180"/>
      <c r="AF56" s="180"/>
      <c r="AG56" s="180"/>
      <c r="AH56" s="180"/>
      <c r="AI56" s="180">
        <f>2764898780+1367461928</f>
        <v>4132360708</v>
      </c>
      <c r="AJ56" s="273">
        <f t="shared" si="16"/>
        <v>89.833928434782607</v>
      </c>
      <c r="AK56" s="180">
        <f t="shared" si="18"/>
        <v>467639292</v>
      </c>
      <c r="AL56" s="273">
        <f t="shared" si="17"/>
        <v>10.166071565217392</v>
      </c>
      <c r="AM56" s="181"/>
    </row>
    <row r="57" spans="1:39" ht="13.5" customHeight="1" x14ac:dyDescent="0.25">
      <c r="A57" s="243"/>
      <c r="B57" s="257"/>
      <c r="C57" s="257"/>
      <c r="D57" s="257"/>
      <c r="E57" s="257"/>
      <c r="F57" s="257"/>
      <c r="G57" s="257"/>
      <c r="H57" s="257"/>
      <c r="I57" s="258"/>
      <c r="J57" s="257"/>
      <c r="K57" s="245"/>
      <c r="L57" s="257"/>
      <c r="M57" s="257"/>
      <c r="N57" s="258"/>
      <c r="O57" s="243"/>
      <c r="P57" s="243"/>
      <c r="Q57" s="243"/>
      <c r="R57" s="243"/>
      <c r="S57" s="243"/>
      <c r="T57" s="243"/>
      <c r="U57" s="243"/>
      <c r="V57" s="182"/>
      <c r="W57" s="243"/>
      <c r="X57" s="243"/>
      <c r="Y57" s="243"/>
      <c r="Z57" s="243"/>
      <c r="AA57" s="243"/>
      <c r="AB57" s="243"/>
      <c r="AC57" s="243"/>
      <c r="AD57" s="243"/>
      <c r="AE57" s="243"/>
      <c r="AF57" s="243"/>
      <c r="AG57" s="243"/>
      <c r="AH57" s="243"/>
      <c r="AI57" s="243"/>
      <c r="AJ57" s="243"/>
      <c r="AK57" s="273"/>
      <c r="AL57" s="243"/>
      <c r="AM57" s="243"/>
    </row>
    <row r="58" spans="1:39" s="226" customFormat="1" ht="24.75" customHeight="1" x14ac:dyDescent="0.25">
      <c r="A58" s="289"/>
      <c r="B58" s="607" t="s">
        <v>112</v>
      </c>
      <c r="C58" s="607"/>
      <c r="D58" s="607"/>
      <c r="E58" s="607"/>
      <c r="F58" s="607"/>
      <c r="G58" s="607"/>
      <c r="H58" s="607"/>
      <c r="I58" s="608"/>
      <c r="J58" s="480" t="s">
        <v>441</v>
      </c>
      <c r="K58" s="291"/>
      <c r="L58" s="607" t="s">
        <v>11</v>
      </c>
      <c r="M58" s="607"/>
      <c r="N58" s="608"/>
      <c r="O58" s="263" t="e">
        <f>SUM(O59,O124,O161,O168,O180,O248,O688)</f>
        <v>#REF!</v>
      </c>
      <c r="P58" s="263" t="e">
        <f>SUM(P59,P124,P161,P168,P180,P248,P688)</f>
        <v>#REF!</v>
      </c>
      <c r="Q58" s="263">
        <f>SUM(Q59,Q124,Q161,Q168,Q180,Q248+Q679)</f>
        <v>20178962906</v>
      </c>
      <c r="R58" s="222">
        <f>Q58/Q35*100</f>
        <v>63.483302583651614</v>
      </c>
      <c r="S58" s="222">
        <f>S59</f>
        <v>100</v>
      </c>
      <c r="T58" s="263">
        <f t="shared" ref="T58:T143" si="23">AJ58</f>
        <v>48.947766825336373</v>
      </c>
      <c r="U58" s="263">
        <f t="shared" ref="U58:U94" si="24">R58*T58/100</f>
        <v>31.073658921668535</v>
      </c>
      <c r="V58" s="292">
        <f t="shared" ref="V58:V131" si="25">S58-T58</f>
        <v>51.052233174663627</v>
      </c>
      <c r="W58" s="263">
        <f>SUM(W59:W92)</f>
        <v>0</v>
      </c>
      <c r="X58" s="263" t="e">
        <f t="shared" ref="X58:AH58" si="26">SUM(X59,X124,X161,X168,X180,X248,X688)</f>
        <v>#REF!</v>
      </c>
      <c r="Y58" s="263" t="e">
        <f t="shared" si="26"/>
        <v>#REF!</v>
      </c>
      <c r="Z58" s="263" t="e">
        <f t="shared" si="26"/>
        <v>#REF!</v>
      </c>
      <c r="AA58" s="263" t="e">
        <f t="shared" si="26"/>
        <v>#REF!</v>
      </c>
      <c r="AB58" s="263">
        <f t="shared" si="26"/>
        <v>10250009282</v>
      </c>
      <c r="AC58" s="263" t="e">
        <f t="shared" si="26"/>
        <v>#REF!</v>
      </c>
      <c r="AD58" s="263" t="e">
        <f t="shared" si="26"/>
        <v>#REF!</v>
      </c>
      <c r="AE58" s="263" t="e">
        <f t="shared" si="26"/>
        <v>#REF!</v>
      </c>
      <c r="AF58" s="263" t="e">
        <f t="shared" si="26"/>
        <v>#REF!</v>
      </c>
      <c r="AG58" s="263" t="e">
        <f t="shared" si="26"/>
        <v>#REF!</v>
      </c>
      <c r="AH58" s="263" t="e">
        <f t="shared" si="26"/>
        <v>#REF!</v>
      </c>
      <c r="AI58" s="263">
        <f>SUM(AI59,AI124,AI161,AI168,AI180,AI248,AI679)</f>
        <v>9877151711</v>
      </c>
      <c r="AJ58" s="222">
        <f t="shared" ref="AJ58:AJ143" si="27">AI58/Q58*100</f>
        <v>48.947766825336373</v>
      </c>
      <c r="AK58" s="263">
        <f>SUM(Q58-AI58)</f>
        <v>10301811195</v>
      </c>
      <c r="AL58" s="222">
        <f t="shared" ref="AL58:AL143" si="28">AK58/Q58*100</f>
        <v>51.052233174663627</v>
      </c>
      <c r="AM58" s="240"/>
    </row>
    <row r="59" spans="1:39" s="226" customFormat="1" ht="28.5" customHeight="1" x14ac:dyDescent="0.25">
      <c r="A59" s="236" t="s">
        <v>7</v>
      </c>
      <c r="B59" s="626" t="s">
        <v>113</v>
      </c>
      <c r="C59" s="626"/>
      <c r="D59" s="626"/>
      <c r="E59" s="626"/>
      <c r="F59" s="626"/>
      <c r="G59" s="626"/>
      <c r="H59" s="626"/>
      <c r="I59" s="627"/>
      <c r="J59" s="484" t="s">
        <v>439</v>
      </c>
      <c r="K59" s="238"/>
      <c r="L59" s="626" t="s">
        <v>12</v>
      </c>
      <c r="M59" s="626"/>
      <c r="N59" s="627"/>
      <c r="O59" s="239">
        <f>SUM(O60:O94)</f>
        <v>1502806500</v>
      </c>
      <c r="P59" s="239">
        <f>SUM(P60:P94)</f>
        <v>1794406500</v>
      </c>
      <c r="Q59" s="239">
        <f>SUM(Q60+Q62+Q66+Q68+Q72+Q75+Q81+Q83+Q86+Q89+Q92+Q94+Q96+Q110)</f>
        <v>2525913744</v>
      </c>
      <c r="R59" s="240">
        <f>Q59/Q$58*100</f>
        <v>12.517559776320052</v>
      </c>
      <c r="S59" s="240">
        <f>S60</f>
        <v>100</v>
      </c>
      <c r="T59" s="293">
        <f t="shared" si="23"/>
        <v>57.992662199157031</v>
      </c>
      <c r="U59" s="293">
        <f t="shared" si="24"/>
        <v>7.2592661566588443</v>
      </c>
      <c r="V59" s="241">
        <f t="shared" si="25"/>
        <v>42.007337800842969</v>
      </c>
      <c r="W59" s="239">
        <f t="shared" ref="W59:AH59" si="29">SUM(W60:W94)</f>
        <v>0</v>
      </c>
      <c r="X59" s="239" t="e">
        <f t="shared" si="29"/>
        <v>#REF!</v>
      </c>
      <c r="Y59" s="239" t="e">
        <f t="shared" si="29"/>
        <v>#REF!</v>
      </c>
      <c r="Z59" s="239" t="e">
        <f t="shared" si="29"/>
        <v>#REF!</v>
      </c>
      <c r="AA59" s="239" t="e">
        <f t="shared" si="29"/>
        <v>#REF!</v>
      </c>
      <c r="AB59" s="239">
        <f t="shared" si="29"/>
        <v>1228213226</v>
      </c>
      <c r="AC59" s="239" t="e">
        <f t="shared" si="29"/>
        <v>#REF!</v>
      </c>
      <c r="AD59" s="239" t="e">
        <f t="shared" si="29"/>
        <v>#REF!</v>
      </c>
      <c r="AE59" s="239" t="e">
        <f t="shared" si="29"/>
        <v>#REF!</v>
      </c>
      <c r="AF59" s="239" t="e">
        <f t="shared" si="29"/>
        <v>#REF!</v>
      </c>
      <c r="AG59" s="239" t="e">
        <f t="shared" si="29"/>
        <v>#REF!</v>
      </c>
      <c r="AH59" s="239">
        <f t="shared" si="29"/>
        <v>3676337600</v>
      </c>
      <c r="AI59" s="239">
        <f>SUM(AI60+AI62+AI66+AI68+AI72+AI75+AI81+AI83+AI86+AI89+AI92+AI94+AI96+AI110)</f>
        <v>1464844625</v>
      </c>
      <c r="AJ59" s="240">
        <f t="shared" si="27"/>
        <v>57.992662199157031</v>
      </c>
      <c r="AK59" s="239">
        <f>SUM(Q59-AI59)</f>
        <v>1061069119</v>
      </c>
      <c r="AL59" s="240">
        <f t="shared" si="28"/>
        <v>42.007337800842976</v>
      </c>
      <c r="AM59" s="236"/>
    </row>
    <row r="60" spans="1:39" s="297" customFormat="1" ht="24.75" customHeight="1" x14ac:dyDescent="0.25">
      <c r="A60" s="227">
        <v>1</v>
      </c>
      <c r="B60" s="615" t="s">
        <v>114</v>
      </c>
      <c r="C60" s="615"/>
      <c r="D60" s="615"/>
      <c r="E60" s="615"/>
      <c r="F60" s="615"/>
      <c r="G60" s="615"/>
      <c r="H60" s="615"/>
      <c r="I60" s="614"/>
      <c r="J60" s="482" t="s">
        <v>442</v>
      </c>
      <c r="K60" s="230"/>
      <c r="L60" s="294"/>
      <c r="M60" s="615" t="s">
        <v>13</v>
      </c>
      <c r="N60" s="614"/>
      <c r="O60" s="295">
        <v>26300000</v>
      </c>
      <c r="P60" s="231">
        <v>28400000</v>
      </c>
      <c r="Q60" s="231">
        <f>SUM(Q61)</f>
        <v>27000000</v>
      </c>
      <c r="R60" s="233">
        <f>Q60/Q$59*100</f>
        <v>1.0689201111532491</v>
      </c>
      <c r="S60" s="233">
        <v>100</v>
      </c>
      <c r="T60" s="231">
        <f t="shared" si="23"/>
        <v>34.468518518518522</v>
      </c>
      <c r="U60" s="231">
        <f t="shared" si="24"/>
        <v>0.36844092646102644</v>
      </c>
      <c r="V60" s="296">
        <f t="shared" si="25"/>
        <v>65.531481481481478</v>
      </c>
      <c r="W60" s="231"/>
      <c r="X60" s="231" t="e">
        <f>#REF!</f>
        <v>#REF!</v>
      </c>
      <c r="Y60" s="231" t="e">
        <f>#REF!</f>
        <v>#REF!</v>
      </c>
      <c r="Z60" s="231" t="e">
        <f>#REF!</f>
        <v>#REF!</v>
      </c>
      <c r="AA60" s="231" t="e">
        <f>#REF!</f>
        <v>#REF!</v>
      </c>
      <c r="AB60" s="231">
        <v>5828000</v>
      </c>
      <c r="AC60" s="231" t="e">
        <f>#REF!</f>
        <v>#REF!</v>
      </c>
      <c r="AD60" s="231" t="e">
        <f>#REF!</f>
        <v>#REF!</v>
      </c>
      <c r="AE60" s="231" t="e">
        <f>#REF!</f>
        <v>#REF!</v>
      </c>
      <c r="AF60" s="231" t="e">
        <f>[1]April!N21</f>
        <v>#REF!</v>
      </c>
      <c r="AG60" s="231" t="e">
        <f>[2]april!N21</f>
        <v>#REF!</v>
      </c>
      <c r="AH60" s="231">
        <f>'[3]DES SKPD'!$N21</f>
        <v>14378000</v>
      </c>
      <c r="AI60" s="231">
        <f>SUM(AI61)</f>
        <v>9306500</v>
      </c>
      <c r="AJ60" s="233">
        <f>AI60/Q60*100</f>
        <v>34.468518518518522</v>
      </c>
      <c r="AK60" s="231">
        <f>Q60-AI60</f>
        <v>17693500</v>
      </c>
      <c r="AL60" s="233">
        <f>AK60/Q60*100</f>
        <v>65.531481481481478</v>
      </c>
      <c r="AM60" s="227"/>
    </row>
    <row r="61" spans="1:39" ht="29.25" customHeight="1" x14ac:dyDescent="0.25">
      <c r="A61" s="243"/>
      <c r="B61" s="477"/>
      <c r="C61" s="477"/>
      <c r="D61" s="477"/>
      <c r="E61" s="477"/>
      <c r="F61" s="477"/>
      <c r="G61" s="477"/>
      <c r="H61" s="477"/>
      <c r="I61" s="478"/>
      <c r="J61" s="477" t="s">
        <v>249</v>
      </c>
      <c r="K61" s="245"/>
      <c r="L61" s="257"/>
      <c r="M61" s="597" t="s">
        <v>250</v>
      </c>
      <c r="N61" s="598"/>
      <c r="O61" s="299"/>
      <c r="P61" s="180"/>
      <c r="Q61" s="180">
        <v>27000000</v>
      </c>
      <c r="R61" s="181">
        <f>Q61/Q$60*100</f>
        <v>100</v>
      </c>
      <c r="S61" s="181">
        <v>100</v>
      </c>
      <c r="T61" s="180">
        <f t="shared" si="23"/>
        <v>34.468518518518522</v>
      </c>
      <c r="U61" s="180">
        <f t="shared" si="24"/>
        <v>34.468518518518522</v>
      </c>
      <c r="V61" s="182">
        <f t="shared" si="25"/>
        <v>65.531481481481478</v>
      </c>
      <c r="W61" s="180"/>
      <c r="X61" s="180" t="e">
        <f>#REF!</f>
        <v>#REF!</v>
      </c>
      <c r="Y61" s="180" t="e">
        <f>#REF!</f>
        <v>#REF!</v>
      </c>
      <c r="Z61" s="180" t="e">
        <f>#REF!</f>
        <v>#REF!</v>
      </c>
      <c r="AA61" s="180" t="e">
        <f>#REF!</f>
        <v>#REF!</v>
      </c>
      <c r="AB61" s="180">
        <v>5828001</v>
      </c>
      <c r="AC61" s="180" t="e">
        <f>#REF!</f>
        <v>#REF!</v>
      </c>
      <c r="AD61" s="180" t="e">
        <f>#REF!</f>
        <v>#REF!</v>
      </c>
      <c r="AE61" s="180" t="e">
        <f>#REF!</f>
        <v>#REF!</v>
      </c>
      <c r="AF61" s="180" t="e">
        <f>[1]April!N22</f>
        <v>#REF!</v>
      </c>
      <c r="AG61" s="180" t="e">
        <f>[2]april!N22</f>
        <v>#REF!</v>
      </c>
      <c r="AH61" s="180">
        <f>'[3]DES SKPD'!$N22</f>
        <v>238296148</v>
      </c>
      <c r="AI61" s="180">
        <f>7849000+1457500</f>
        <v>9306500</v>
      </c>
      <c r="AJ61" s="181">
        <f>AI61/Q61*100</f>
        <v>34.468518518518522</v>
      </c>
      <c r="AK61" s="180">
        <f>Q61-AI61</f>
        <v>17693500</v>
      </c>
      <c r="AL61" s="181">
        <f>AK61/Q61*100</f>
        <v>65.531481481481478</v>
      </c>
      <c r="AM61" s="243"/>
    </row>
    <row r="62" spans="1:39" s="297" customFormat="1" ht="29.25" customHeight="1" x14ac:dyDescent="0.25">
      <c r="A62" s="227">
        <f>A60+1</f>
        <v>2</v>
      </c>
      <c r="B62" s="615" t="s">
        <v>115</v>
      </c>
      <c r="C62" s="615"/>
      <c r="D62" s="615"/>
      <c r="E62" s="615"/>
      <c r="F62" s="615"/>
      <c r="G62" s="615"/>
      <c r="H62" s="615"/>
      <c r="I62" s="614"/>
      <c r="J62" s="482" t="s">
        <v>443</v>
      </c>
      <c r="K62" s="230"/>
      <c r="L62" s="294"/>
      <c r="M62" s="615" t="s">
        <v>14</v>
      </c>
      <c r="N62" s="614"/>
      <c r="O62" s="295">
        <v>31000000</v>
      </c>
      <c r="P62" s="231">
        <f>[9]Sheet1!$U$35</f>
        <v>320500000</v>
      </c>
      <c r="Q62" s="231">
        <f>SUM(Q63:Q65)</f>
        <v>380000000</v>
      </c>
      <c r="R62" s="233">
        <f>Q62/Q$59*100</f>
        <v>15.044060823638322</v>
      </c>
      <c r="S62" s="233">
        <v>100</v>
      </c>
      <c r="T62" s="231">
        <f t="shared" si="23"/>
        <v>62.270596052631575</v>
      </c>
      <c r="U62" s="231">
        <f t="shared" si="24"/>
        <v>9.3680263454000183</v>
      </c>
      <c r="V62" s="296">
        <f t="shared" si="25"/>
        <v>37.729403947368425</v>
      </c>
      <c r="W62" s="231"/>
      <c r="X62" s="231" t="e">
        <f>#REF!</f>
        <v>#REF!</v>
      </c>
      <c r="Y62" s="231" t="e">
        <f>#REF!</f>
        <v>#REF!</v>
      </c>
      <c r="Z62" s="231" t="e">
        <f>#REF!</f>
        <v>#REF!</v>
      </c>
      <c r="AA62" s="231" t="e">
        <f>#REF!</f>
        <v>#REF!</v>
      </c>
      <c r="AB62" s="231">
        <v>61516789</v>
      </c>
      <c r="AC62" s="231" t="e">
        <f>#REF!</f>
        <v>#REF!</v>
      </c>
      <c r="AD62" s="231" t="e">
        <f>#REF!</f>
        <v>#REF!</v>
      </c>
      <c r="AE62" s="231" t="e">
        <f>#REF!</f>
        <v>#REF!</v>
      </c>
      <c r="AF62" s="231" t="e">
        <f>[1]April!N22</f>
        <v>#REF!</v>
      </c>
      <c r="AG62" s="231" t="e">
        <f>[2]april!N22</f>
        <v>#REF!</v>
      </c>
      <c r="AH62" s="231">
        <f>'[3]DES SKPD'!$N22</f>
        <v>238296148</v>
      </c>
      <c r="AI62" s="231">
        <f>SUM(AI63:AI65)</f>
        <v>236628265</v>
      </c>
      <c r="AJ62" s="233">
        <f t="shared" si="27"/>
        <v>62.270596052631575</v>
      </c>
      <c r="AK62" s="231">
        <f t="shared" ref="AK62:AK123" si="30">Q62-AI62</f>
        <v>143371735</v>
      </c>
      <c r="AL62" s="233">
        <f t="shared" si="28"/>
        <v>37.729403947368425</v>
      </c>
      <c r="AM62" s="227"/>
    </row>
    <row r="63" spans="1:39" ht="23.25" customHeight="1" x14ac:dyDescent="0.25">
      <c r="A63" s="243"/>
      <c r="B63" s="477"/>
      <c r="C63" s="477"/>
      <c r="D63" s="477"/>
      <c r="E63" s="477"/>
      <c r="F63" s="477"/>
      <c r="G63" s="477"/>
      <c r="H63" s="477"/>
      <c r="I63" s="478"/>
      <c r="J63" s="477" t="s">
        <v>251</v>
      </c>
      <c r="K63" s="245"/>
      <c r="L63" s="257"/>
      <c r="M63" s="597" t="s">
        <v>252</v>
      </c>
      <c r="N63" s="598"/>
      <c r="O63" s="299"/>
      <c r="P63" s="180"/>
      <c r="Q63" s="180">
        <v>2808000</v>
      </c>
      <c r="R63" s="181">
        <f>Q63/Q$62*100</f>
        <v>0.73894736842105269</v>
      </c>
      <c r="S63" s="181">
        <v>101</v>
      </c>
      <c r="T63" s="180">
        <f t="shared" si="23"/>
        <v>29.696581196581196</v>
      </c>
      <c r="U63" s="180">
        <f t="shared" si="24"/>
        <v>0.21944210526315788</v>
      </c>
      <c r="V63" s="182">
        <f t="shared" si="25"/>
        <v>71.303418803418808</v>
      </c>
      <c r="W63" s="180"/>
      <c r="X63" s="180" t="e">
        <f>#REF!</f>
        <v>#REF!</v>
      </c>
      <c r="Y63" s="180" t="e">
        <f>#REF!</f>
        <v>#REF!</v>
      </c>
      <c r="Z63" s="180" t="e">
        <f>#REF!</f>
        <v>#REF!</v>
      </c>
      <c r="AA63" s="180" t="e">
        <f>#REF!</f>
        <v>#REF!</v>
      </c>
      <c r="AB63" s="180">
        <v>61516790</v>
      </c>
      <c r="AC63" s="180" t="e">
        <f>#REF!</f>
        <v>#REF!</v>
      </c>
      <c r="AD63" s="180" t="e">
        <f>#REF!</f>
        <v>#REF!</v>
      </c>
      <c r="AE63" s="180" t="e">
        <f>#REF!</f>
        <v>#REF!</v>
      </c>
      <c r="AF63" s="180" t="e">
        <f>[1]April!N23</f>
        <v>#REF!</v>
      </c>
      <c r="AG63" s="180" t="e">
        <f>[2]april!N23</f>
        <v>#REF!</v>
      </c>
      <c r="AH63" s="180">
        <f>'[3]DES SKPD'!$N23</f>
        <v>24482700</v>
      </c>
      <c r="AI63" s="180">
        <f>292951+97654+443275</f>
        <v>833880</v>
      </c>
      <c r="AJ63" s="181">
        <f t="shared" si="27"/>
        <v>29.696581196581196</v>
      </c>
      <c r="AK63" s="180">
        <f t="shared" si="30"/>
        <v>1974120</v>
      </c>
      <c r="AL63" s="181">
        <f t="shared" si="28"/>
        <v>70.303418803418808</v>
      </c>
      <c r="AM63" s="243"/>
    </row>
    <row r="64" spans="1:39" ht="23.25" customHeight="1" x14ac:dyDescent="0.25">
      <c r="A64" s="243"/>
      <c r="B64" s="477"/>
      <c r="C64" s="477"/>
      <c r="D64" s="477"/>
      <c r="E64" s="477"/>
      <c r="F64" s="477"/>
      <c r="G64" s="477"/>
      <c r="H64" s="477"/>
      <c r="I64" s="478"/>
      <c r="J64" s="477" t="s">
        <v>409</v>
      </c>
      <c r="K64" s="245"/>
      <c r="L64" s="257"/>
      <c r="M64" s="597" t="s">
        <v>410</v>
      </c>
      <c r="N64" s="598"/>
      <c r="O64" s="299"/>
      <c r="P64" s="180"/>
      <c r="Q64" s="180">
        <v>24000000</v>
      </c>
      <c r="R64" s="181">
        <f>Q64/Q$62*100</f>
        <v>6.3157894736842106</v>
      </c>
      <c r="S64" s="181">
        <v>102</v>
      </c>
      <c r="T64" s="180">
        <f t="shared" si="23"/>
        <v>1.897</v>
      </c>
      <c r="U64" s="180">
        <f t="shared" si="24"/>
        <v>0.11981052631578948</v>
      </c>
      <c r="V64" s="182">
        <f t="shared" si="25"/>
        <v>100.10299999999999</v>
      </c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>
        <v>455280</v>
      </c>
      <c r="AJ64" s="181">
        <f>AI64/Q64*100</f>
        <v>1.897</v>
      </c>
      <c r="AK64" s="180">
        <f>Q64-AI64</f>
        <v>23544720</v>
      </c>
      <c r="AL64" s="181">
        <f>AK64/Q64*100</f>
        <v>98.102999999999994</v>
      </c>
      <c r="AM64" s="243"/>
    </row>
    <row r="65" spans="1:39" ht="48.75" customHeight="1" x14ac:dyDescent="0.25">
      <c r="A65" s="243"/>
      <c r="B65" s="477"/>
      <c r="C65" s="477"/>
      <c r="D65" s="477"/>
      <c r="E65" s="477"/>
      <c r="F65" s="477"/>
      <c r="G65" s="477"/>
      <c r="H65" s="477"/>
      <c r="I65" s="478"/>
      <c r="J65" s="477" t="s">
        <v>253</v>
      </c>
      <c r="K65" s="245"/>
      <c r="L65" s="257"/>
      <c r="M65" s="597" t="s">
        <v>254</v>
      </c>
      <c r="N65" s="598"/>
      <c r="O65" s="299"/>
      <c r="P65" s="180"/>
      <c r="Q65" s="180">
        <v>353192000</v>
      </c>
      <c r="R65" s="181">
        <f>Q65/Q$62*100</f>
        <v>92.945263157894743</v>
      </c>
      <c r="S65" s="181">
        <v>102</v>
      </c>
      <c r="T65" s="180">
        <f t="shared" si="23"/>
        <v>66.632059899431468</v>
      </c>
      <c r="U65" s="180">
        <f t="shared" si="24"/>
        <v>61.931343421052631</v>
      </c>
      <c r="V65" s="182">
        <f t="shared" si="25"/>
        <v>35.367940100568532</v>
      </c>
      <c r="W65" s="180"/>
      <c r="X65" s="180" t="e">
        <f>#REF!</f>
        <v>#REF!</v>
      </c>
      <c r="Y65" s="180" t="e">
        <f>#REF!</f>
        <v>#REF!</v>
      </c>
      <c r="Z65" s="180" t="e">
        <f>#REF!</f>
        <v>#REF!</v>
      </c>
      <c r="AA65" s="180" t="e">
        <f>#REF!</f>
        <v>#REF!</v>
      </c>
      <c r="AB65" s="180">
        <v>61516791</v>
      </c>
      <c r="AC65" s="180" t="e">
        <f>#REF!</f>
        <v>#REF!</v>
      </c>
      <c r="AD65" s="180" t="e">
        <f>#REF!</f>
        <v>#REF!</v>
      </c>
      <c r="AE65" s="180" t="e">
        <f>#REF!</f>
        <v>#REF!</v>
      </c>
      <c r="AF65" s="180" t="e">
        <f>[1]April!N24</f>
        <v>#REF!</v>
      </c>
      <c r="AG65" s="180" t="e">
        <f>[2]april!N24</f>
        <v>#REF!</v>
      </c>
      <c r="AH65" s="180">
        <f>'[3]DES SKPD'!$N24</f>
        <v>201339002</v>
      </c>
      <c r="AI65" s="429">
        <f>134368000+33599500+172605+33599500+33599500</f>
        <v>235339105</v>
      </c>
      <c r="AJ65" s="181">
        <f t="shared" si="27"/>
        <v>66.632059899431468</v>
      </c>
      <c r="AK65" s="180">
        <f t="shared" si="30"/>
        <v>117852895</v>
      </c>
      <c r="AL65" s="181">
        <f t="shared" si="28"/>
        <v>33.367940100568525</v>
      </c>
      <c r="AM65" s="243"/>
    </row>
    <row r="66" spans="1:39" s="297" customFormat="1" ht="45.75" customHeight="1" x14ac:dyDescent="0.25">
      <c r="A66" s="227">
        <f>A62+1</f>
        <v>3</v>
      </c>
      <c r="B66" s="615" t="s">
        <v>116</v>
      </c>
      <c r="C66" s="615"/>
      <c r="D66" s="615"/>
      <c r="E66" s="615"/>
      <c r="F66" s="615"/>
      <c r="G66" s="615"/>
      <c r="H66" s="615"/>
      <c r="I66" s="614"/>
      <c r="J66" s="482" t="s">
        <v>444</v>
      </c>
      <c r="K66" s="230"/>
      <c r="L66" s="294"/>
      <c r="M66" s="615" t="s">
        <v>117</v>
      </c>
      <c r="N66" s="614"/>
      <c r="O66" s="295">
        <v>32800000</v>
      </c>
      <c r="P66" s="231">
        <f>O66</f>
        <v>32800000</v>
      </c>
      <c r="Q66" s="231">
        <f>SUM(Q67)</f>
        <v>66540000</v>
      </c>
      <c r="R66" s="233">
        <f>Q66/Q$59*100</f>
        <v>2.6342942294865632</v>
      </c>
      <c r="S66" s="233">
        <v>100</v>
      </c>
      <c r="T66" s="231">
        <f t="shared" si="23"/>
        <v>43.05425308085362</v>
      </c>
      <c r="U66" s="231">
        <f t="shared" si="24"/>
        <v>1.1341757044574678</v>
      </c>
      <c r="V66" s="296">
        <f t="shared" si="25"/>
        <v>56.94574691914638</v>
      </c>
      <c r="W66" s="231"/>
      <c r="X66" s="231" t="e">
        <f>#REF!</f>
        <v>#REF!</v>
      </c>
      <c r="Y66" s="231" t="e">
        <f>#REF!</f>
        <v>#REF!</v>
      </c>
      <c r="Z66" s="231" t="e">
        <f>#REF!</f>
        <v>#REF!</v>
      </c>
      <c r="AA66" s="231" t="e">
        <f>#REF!</f>
        <v>#REF!</v>
      </c>
      <c r="AB66" s="231">
        <v>9127800</v>
      </c>
      <c r="AC66" s="231" t="e">
        <f>#REF!</f>
        <v>#REF!</v>
      </c>
      <c r="AD66" s="231" t="e">
        <f>#REF!</f>
        <v>#REF!</v>
      </c>
      <c r="AE66" s="231" t="e">
        <f>#REF!</f>
        <v>#REF!</v>
      </c>
      <c r="AF66" s="231" t="e">
        <f>[1]April!N23</f>
        <v>#REF!</v>
      </c>
      <c r="AG66" s="231" t="e">
        <f>[2]april!N23</f>
        <v>#REF!</v>
      </c>
      <c r="AH66" s="231">
        <f>'[3]DES SKPD'!$N23</f>
        <v>24482700</v>
      </c>
      <c r="AI66" s="231">
        <f>SUM(AI67)</f>
        <v>28648300</v>
      </c>
      <c r="AJ66" s="233">
        <f t="shared" si="27"/>
        <v>43.05425308085362</v>
      </c>
      <c r="AK66" s="231">
        <f t="shared" si="30"/>
        <v>37891700</v>
      </c>
      <c r="AL66" s="233">
        <f t="shared" si="28"/>
        <v>56.94574691914638</v>
      </c>
      <c r="AM66" s="227"/>
    </row>
    <row r="67" spans="1:39" s="297" customFormat="1" ht="28.5" customHeight="1" x14ac:dyDescent="0.25">
      <c r="A67" s="227"/>
      <c r="B67" s="482"/>
      <c r="C67" s="482"/>
      <c r="D67" s="482"/>
      <c r="E67" s="482"/>
      <c r="F67" s="482"/>
      <c r="G67" s="482"/>
      <c r="H67" s="482"/>
      <c r="I67" s="481"/>
      <c r="J67" s="477" t="s">
        <v>255</v>
      </c>
      <c r="K67" s="245"/>
      <c r="L67" s="257"/>
      <c r="M67" s="597" t="s">
        <v>256</v>
      </c>
      <c r="N67" s="598"/>
      <c r="O67" s="299"/>
      <c r="P67" s="180"/>
      <c r="Q67" s="180">
        <v>66540000</v>
      </c>
      <c r="R67" s="181">
        <f>Q67/Q$66*100</f>
        <v>100</v>
      </c>
      <c r="S67" s="181">
        <v>100</v>
      </c>
      <c r="T67" s="180">
        <f t="shared" si="23"/>
        <v>43.05425308085362</v>
      </c>
      <c r="U67" s="180">
        <f t="shared" si="24"/>
        <v>43.05425308085362</v>
      </c>
      <c r="V67" s="182">
        <f t="shared" si="25"/>
        <v>56.94574691914638</v>
      </c>
      <c r="W67" s="180"/>
      <c r="X67" s="180" t="e">
        <f>#REF!</f>
        <v>#REF!</v>
      </c>
      <c r="Y67" s="180" t="e">
        <f>#REF!</f>
        <v>#REF!</v>
      </c>
      <c r="Z67" s="180" t="e">
        <f>#REF!</f>
        <v>#REF!</v>
      </c>
      <c r="AA67" s="180" t="e">
        <f>#REF!</f>
        <v>#REF!</v>
      </c>
      <c r="AB67" s="180">
        <v>9127801</v>
      </c>
      <c r="AC67" s="180" t="e">
        <f>#REF!</f>
        <v>#REF!</v>
      </c>
      <c r="AD67" s="180" t="e">
        <f>#REF!</f>
        <v>#REF!</v>
      </c>
      <c r="AE67" s="180" t="e">
        <f>#REF!</f>
        <v>#REF!</v>
      </c>
      <c r="AF67" s="180" t="e">
        <f>[1]April!N24</f>
        <v>#REF!</v>
      </c>
      <c r="AG67" s="180" t="e">
        <f>[2]april!N24</f>
        <v>#REF!</v>
      </c>
      <c r="AH67" s="180">
        <f>'[3]DES SKPD'!$N24</f>
        <v>201339002</v>
      </c>
      <c r="AI67" s="180">
        <f>19325100+9323200</f>
        <v>28648300</v>
      </c>
      <c r="AJ67" s="181">
        <f t="shared" si="27"/>
        <v>43.05425308085362</v>
      </c>
      <c r="AK67" s="180">
        <f t="shared" si="30"/>
        <v>37891700</v>
      </c>
      <c r="AL67" s="181">
        <f t="shared" si="28"/>
        <v>56.94574691914638</v>
      </c>
      <c r="AM67" s="227"/>
    </row>
    <row r="68" spans="1:39" s="297" customFormat="1" ht="24.75" customHeight="1" x14ac:dyDescent="0.25">
      <c r="A68" s="227">
        <f>A66+1</f>
        <v>4</v>
      </c>
      <c r="B68" s="615" t="s">
        <v>118</v>
      </c>
      <c r="C68" s="615"/>
      <c r="D68" s="615"/>
      <c r="E68" s="615"/>
      <c r="F68" s="615"/>
      <c r="G68" s="615"/>
      <c r="H68" s="615"/>
      <c r="I68" s="614"/>
      <c r="J68" s="482" t="s">
        <v>445</v>
      </c>
      <c r="K68" s="230"/>
      <c r="L68" s="294"/>
      <c r="M68" s="615" t="s">
        <v>15</v>
      </c>
      <c r="N68" s="614"/>
      <c r="O68" s="295">
        <v>218550000</v>
      </c>
      <c r="P68" s="231">
        <f>O68</f>
        <v>218550000</v>
      </c>
      <c r="Q68" s="231">
        <f>SUM(Q69:Q71)</f>
        <v>336900000</v>
      </c>
      <c r="R68" s="233">
        <f>Q68/Q$59*100</f>
        <v>13.337747609167765</v>
      </c>
      <c r="S68" s="233">
        <v>100</v>
      </c>
      <c r="T68" s="231">
        <f t="shared" si="23"/>
        <v>35.246957554170379</v>
      </c>
      <c r="U68" s="231">
        <f t="shared" si="24"/>
        <v>4.7011502384857371</v>
      </c>
      <c r="V68" s="296">
        <f t="shared" si="25"/>
        <v>64.753042445829621</v>
      </c>
      <c r="W68" s="231"/>
      <c r="X68" s="231" t="e">
        <f>#REF!</f>
        <v>#REF!</v>
      </c>
      <c r="Y68" s="231" t="e">
        <f>#REF!</f>
        <v>#REF!</v>
      </c>
      <c r="Z68" s="231" t="e">
        <f>#REF!</f>
        <v>#REF!</v>
      </c>
      <c r="AA68" s="231" t="e">
        <f>#REF!</f>
        <v>#REF!</v>
      </c>
      <c r="AB68" s="231">
        <v>103406334</v>
      </c>
      <c r="AC68" s="231" t="e">
        <f>#REF!</f>
        <v>#REF!</v>
      </c>
      <c r="AD68" s="231" t="e">
        <f>#REF!</f>
        <v>#REF!</v>
      </c>
      <c r="AE68" s="231" t="e">
        <f>#REF!</f>
        <v>#REF!</v>
      </c>
      <c r="AF68" s="231" t="e">
        <f>[1]April!N24</f>
        <v>#REF!</v>
      </c>
      <c r="AG68" s="231" t="e">
        <f>[2]april!N24</f>
        <v>#REF!</v>
      </c>
      <c r="AH68" s="231">
        <f>'[3]DES SKPD'!$N24</f>
        <v>201339002</v>
      </c>
      <c r="AI68" s="231">
        <f>SUM(AI69:AI71)</f>
        <v>118747000</v>
      </c>
      <c r="AJ68" s="233">
        <f t="shared" si="27"/>
        <v>35.246957554170379</v>
      </c>
      <c r="AK68" s="231">
        <f t="shared" si="30"/>
        <v>218153000</v>
      </c>
      <c r="AL68" s="233">
        <f t="shared" si="28"/>
        <v>64.753042445829621</v>
      </c>
      <c r="AM68" s="227"/>
    </row>
    <row r="69" spans="1:39" ht="24.75" customHeight="1" x14ac:dyDescent="0.25">
      <c r="A69" s="243"/>
      <c r="B69" s="477"/>
      <c r="C69" s="477"/>
      <c r="D69" s="477"/>
      <c r="E69" s="477"/>
      <c r="F69" s="477"/>
      <c r="G69" s="477"/>
      <c r="H69" s="477"/>
      <c r="I69" s="478"/>
      <c r="J69" s="477" t="s">
        <v>259</v>
      </c>
      <c r="K69" s="245"/>
      <c r="L69" s="257"/>
      <c r="M69" s="597" t="s">
        <v>260</v>
      </c>
      <c r="N69" s="598"/>
      <c r="O69" s="299"/>
      <c r="P69" s="180"/>
      <c r="Q69" s="180">
        <v>1500000</v>
      </c>
      <c r="R69" s="181">
        <f>Q69/Q$68*100</f>
        <v>0.44523597506678536</v>
      </c>
      <c r="S69" s="181">
        <v>100</v>
      </c>
      <c r="T69" s="180">
        <f t="shared" si="23"/>
        <v>0</v>
      </c>
      <c r="U69" s="180">
        <f t="shared" si="24"/>
        <v>0</v>
      </c>
      <c r="V69" s="182">
        <f t="shared" si="25"/>
        <v>100</v>
      </c>
      <c r="W69" s="180"/>
      <c r="X69" s="180" t="e">
        <f>#REF!</f>
        <v>#REF!</v>
      </c>
      <c r="Y69" s="180" t="e">
        <f>#REF!</f>
        <v>#REF!</v>
      </c>
      <c r="Z69" s="180" t="e">
        <f>#REF!</f>
        <v>#REF!</v>
      </c>
      <c r="AA69" s="180" t="e">
        <f>#REF!</f>
        <v>#REF!</v>
      </c>
      <c r="AB69" s="180">
        <v>103406335</v>
      </c>
      <c r="AC69" s="180" t="e">
        <f>#REF!</f>
        <v>#REF!</v>
      </c>
      <c r="AD69" s="180" t="e">
        <f>#REF!</f>
        <v>#REF!</v>
      </c>
      <c r="AE69" s="180" t="e">
        <f>#REF!</f>
        <v>#REF!</v>
      </c>
      <c r="AF69" s="180" t="e">
        <f>[1]April!N26</f>
        <v>#REF!</v>
      </c>
      <c r="AG69" s="180" t="e">
        <f>[2]april!N26</f>
        <v>#REF!</v>
      </c>
      <c r="AH69" s="180">
        <f>'[3]DES SKPD'!$N26</f>
        <v>449102800</v>
      </c>
      <c r="AI69" s="180">
        <v>0</v>
      </c>
      <c r="AJ69" s="181">
        <f t="shared" si="27"/>
        <v>0</v>
      </c>
      <c r="AK69" s="180">
        <f t="shared" si="30"/>
        <v>1500000</v>
      </c>
      <c r="AL69" s="181">
        <f t="shared" si="28"/>
        <v>100</v>
      </c>
      <c r="AM69" s="243"/>
    </row>
    <row r="70" spans="1:39" ht="26.25" customHeight="1" x14ac:dyDescent="0.25">
      <c r="A70" s="243"/>
      <c r="B70" s="477"/>
      <c r="C70" s="477"/>
      <c r="D70" s="477"/>
      <c r="E70" s="477"/>
      <c r="F70" s="477"/>
      <c r="G70" s="477"/>
      <c r="H70" s="477"/>
      <c r="I70" s="478"/>
      <c r="J70" s="477" t="s">
        <v>261</v>
      </c>
      <c r="K70" s="245"/>
      <c r="L70" s="257"/>
      <c r="M70" s="597" t="s">
        <v>262</v>
      </c>
      <c r="N70" s="598"/>
      <c r="O70" s="299"/>
      <c r="P70" s="180"/>
      <c r="Q70" s="180">
        <v>120000000</v>
      </c>
      <c r="R70" s="181">
        <f>Q70/Q$68*100</f>
        <v>35.618878005342829</v>
      </c>
      <c r="S70" s="181">
        <v>100</v>
      </c>
      <c r="T70" s="180">
        <f t="shared" si="23"/>
        <v>45.622500000000002</v>
      </c>
      <c r="U70" s="180">
        <f t="shared" si="24"/>
        <v>16.250222617987532</v>
      </c>
      <c r="V70" s="182">
        <f t="shared" si="25"/>
        <v>54.377499999999998</v>
      </c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G70" s="180"/>
      <c r="AH70" s="180"/>
      <c r="AI70" s="180">
        <f>27423000+27324000</f>
        <v>54747000</v>
      </c>
      <c r="AJ70" s="181">
        <f t="shared" si="27"/>
        <v>45.622500000000002</v>
      </c>
      <c r="AK70" s="180">
        <f t="shared" si="30"/>
        <v>65253000</v>
      </c>
      <c r="AL70" s="181">
        <f t="shared" si="28"/>
        <v>54.377499999999998</v>
      </c>
      <c r="AM70" s="243"/>
    </row>
    <row r="71" spans="1:39" ht="24.75" customHeight="1" x14ac:dyDescent="0.25">
      <c r="A71" s="243"/>
      <c r="B71" s="477"/>
      <c r="C71" s="477"/>
      <c r="D71" s="477"/>
      <c r="E71" s="477"/>
      <c r="F71" s="477"/>
      <c r="G71" s="477"/>
      <c r="H71" s="477"/>
      <c r="I71" s="478"/>
      <c r="J71" s="477" t="s">
        <v>263</v>
      </c>
      <c r="K71" s="245"/>
      <c r="L71" s="257"/>
      <c r="M71" s="597" t="s">
        <v>264</v>
      </c>
      <c r="N71" s="598"/>
      <c r="O71" s="299"/>
      <c r="P71" s="180"/>
      <c r="Q71" s="180">
        <v>215400000</v>
      </c>
      <c r="R71" s="181">
        <f>Q71/Q$68*100</f>
        <v>63.935886019590384</v>
      </c>
      <c r="S71" s="181">
        <v>100</v>
      </c>
      <c r="T71" s="180">
        <f t="shared" si="23"/>
        <v>29.71216341689879</v>
      </c>
      <c r="U71" s="180">
        <f t="shared" si="24"/>
        <v>18.996734936182843</v>
      </c>
      <c r="V71" s="182">
        <f t="shared" si="25"/>
        <v>70.28783658310121</v>
      </c>
      <c r="W71" s="180"/>
      <c r="X71" s="180" t="e">
        <f>#REF!</f>
        <v>#REF!</v>
      </c>
      <c r="Y71" s="180" t="e">
        <f>#REF!</f>
        <v>#REF!</v>
      </c>
      <c r="Z71" s="180" t="e">
        <f>#REF!</f>
        <v>#REF!</v>
      </c>
      <c r="AA71" s="180" t="e">
        <f>#REF!</f>
        <v>#REF!</v>
      </c>
      <c r="AB71" s="180">
        <v>103406335</v>
      </c>
      <c r="AC71" s="180" t="e">
        <f>#REF!</f>
        <v>#REF!</v>
      </c>
      <c r="AD71" s="180" t="e">
        <f>#REF!</f>
        <v>#REF!</v>
      </c>
      <c r="AE71" s="180" t="e">
        <f>#REF!</f>
        <v>#REF!</v>
      </c>
      <c r="AF71" s="180" t="e">
        <f>[1]April!N26</f>
        <v>#REF!</v>
      </c>
      <c r="AG71" s="180" t="e">
        <f>[2]april!N26</f>
        <v>#REF!</v>
      </c>
      <c r="AH71" s="180">
        <f>'[3]DES SKPD'!$N26</f>
        <v>449102800</v>
      </c>
      <c r="AI71" s="180">
        <f>38400000+25600000</f>
        <v>64000000</v>
      </c>
      <c r="AJ71" s="181">
        <f t="shared" si="27"/>
        <v>29.71216341689879</v>
      </c>
      <c r="AK71" s="180">
        <f t="shared" si="30"/>
        <v>151400000</v>
      </c>
      <c r="AL71" s="181">
        <f t="shared" si="28"/>
        <v>70.28783658310121</v>
      </c>
      <c r="AM71" s="243"/>
    </row>
    <row r="72" spans="1:39" s="297" customFormat="1" ht="24.75" customHeight="1" x14ac:dyDescent="0.25">
      <c r="A72" s="227">
        <f>A68+1</f>
        <v>5</v>
      </c>
      <c r="B72" s="615" t="s">
        <v>119</v>
      </c>
      <c r="C72" s="615"/>
      <c r="D72" s="615"/>
      <c r="E72" s="615"/>
      <c r="F72" s="615"/>
      <c r="G72" s="615"/>
      <c r="H72" s="615"/>
      <c r="I72" s="614"/>
      <c r="J72" s="482" t="s">
        <v>446</v>
      </c>
      <c r="K72" s="230"/>
      <c r="L72" s="294"/>
      <c r="M72" s="615" t="s">
        <v>16</v>
      </c>
      <c r="N72" s="614"/>
      <c r="O72" s="295">
        <v>201527500</v>
      </c>
      <c r="P72" s="231">
        <f>O72</f>
        <v>201527500</v>
      </c>
      <c r="Q72" s="231">
        <f>SUM(Q73:Q74)</f>
        <v>411693900</v>
      </c>
      <c r="R72" s="233">
        <f>Q72/Q$59*100</f>
        <v>16.298810716633877</v>
      </c>
      <c r="S72" s="233">
        <v>100</v>
      </c>
      <c r="T72" s="231">
        <f t="shared" si="23"/>
        <v>74.410696879404824</v>
      </c>
      <c r="U72" s="231">
        <f t="shared" si="24"/>
        <v>12.128058637302383</v>
      </c>
      <c r="V72" s="296">
        <f t="shared" si="25"/>
        <v>25.589303120595176</v>
      </c>
      <c r="W72" s="231"/>
      <c r="X72" s="231" t="e">
        <f>#REF!</f>
        <v>#REF!</v>
      </c>
      <c r="Y72" s="231" t="e">
        <f>#REF!</f>
        <v>#REF!</v>
      </c>
      <c r="Z72" s="231" t="e">
        <f>#REF!</f>
        <v>#REF!</v>
      </c>
      <c r="AA72" s="231" t="e">
        <f>#REF!</f>
        <v>#REF!</v>
      </c>
      <c r="AB72" s="231">
        <v>99905000</v>
      </c>
      <c r="AC72" s="231" t="e">
        <f>#REF!</f>
        <v>#REF!</v>
      </c>
      <c r="AD72" s="231" t="e">
        <f>#REF!</f>
        <v>#REF!</v>
      </c>
      <c r="AE72" s="231" t="e">
        <f>#REF!</f>
        <v>#REF!</v>
      </c>
      <c r="AF72" s="231" t="e">
        <f>[1]April!N25</f>
        <v>#REF!</v>
      </c>
      <c r="AG72" s="231" t="e">
        <f>[2]april!N25</f>
        <v>#REF!</v>
      </c>
      <c r="AH72" s="231">
        <f>'[3]DES SKPD'!$N25</f>
        <v>229473500</v>
      </c>
      <c r="AI72" s="231">
        <f>SUM(AI73:AI74)</f>
        <v>306344300</v>
      </c>
      <c r="AJ72" s="233">
        <f>AI72/Q72*100</f>
        <v>74.410696879404824</v>
      </c>
      <c r="AK72" s="231">
        <f>Q72-AI72</f>
        <v>105349600</v>
      </c>
      <c r="AL72" s="233">
        <f>AK72/Q72*100</f>
        <v>25.589303120595179</v>
      </c>
      <c r="AM72" s="227"/>
    </row>
    <row r="73" spans="1:39" ht="29.25" customHeight="1" x14ac:dyDescent="0.25">
      <c r="A73" s="243"/>
      <c r="B73" s="477"/>
      <c r="C73" s="477"/>
      <c r="D73" s="477"/>
      <c r="E73" s="477"/>
      <c r="F73" s="477"/>
      <c r="G73" s="477"/>
      <c r="H73" s="477"/>
      <c r="I73" s="478"/>
      <c r="J73" s="477" t="s">
        <v>259</v>
      </c>
      <c r="K73" s="245"/>
      <c r="L73" s="257"/>
      <c r="M73" s="597" t="s">
        <v>260</v>
      </c>
      <c r="N73" s="598"/>
      <c r="O73" s="299"/>
      <c r="P73" s="180"/>
      <c r="Q73" s="180">
        <v>2400000</v>
      </c>
      <c r="R73" s="181">
        <f>Q73/Q$72*100</f>
        <v>0.58295738654374041</v>
      </c>
      <c r="S73" s="181">
        <v>100</v>
      </c>
      <c r="T73" s="180">
        <f t="shared" si="23"/>
        <v>0</v>
      </c>
      <c r="U73" s="180">
        <f t="shared" si="24"/>
        <v>0</v>
      </c>
      <c r="V73" s="182">
        <f t="shared" si="25"/>
        <v>100</v>
      </c>
      <c r="W73" s="180"/>
      <c r="X73" s="180"/>
      <c r="Y73" s="180"/>
      <c r="Z73" s="180"/>
      <c r="AA73" s="180"/>
      <c r="AB73" s="180"/>
      <c r="AC73" s="180"/>
      <c r="AD73" s="180"/>
      <c r="AE73" s="180"/>
      <c r="AF73" s="180"/>
      <c r="AG73" s="180"/>
      <c r="AH73" s="180"/>
      <c r="AI73" s="180">
        <v>0</v>
      </c>
      <c r="AJ73" s="181">
        <f t="shared" si="27"/>
        <v>0</v>
      </c>
      <c r="AK73" s="180">
        <f t="shared" si="30"/>
        <v>2400000</v>
      </c>
      <c r="AL73" s="181">
        <f t="shared" si="28"/>
        <v>100</v>
      </c>
      <c r="AM73" s="243"/>
    </row>
    <row r="74" spans="1:39" ht="24.75" customHeight="1" x14ac:dyDescent="0.25">
      <c r="A74" s="243"/>
      <c r="B74" s="477"/>
      <c r="C74" s="477"/>
      <c r="D74" s="477"/>
      <c r="E74" s="477"/>
      <c r="F74" s="477"/>
      <c r="G74" s="477"/>
      <c r="H74" s="477"/>
      <c r="I74" s="478"/>
      <c r="J74" s="477" t="s">
        <v>265</v>
      </c>
      <c r="K74" s="245"/>
      <c r="L74" s="257"/>
      <c r="M74" s="597" t="s">
        <v>266</v>
      </c>
      <c r="N74" s="598"/>
      <c r="O74" s="299"/>
      <c r="P74" s="180"/>
      <c r="Q74" s="180">
        <v>409293900</v>
      </c>
      <c r="R74" s="181">
        <f>Q74/Q$72*100</f>
        <v>99.41704261345626</v>
      </c>
      <c r="S74" s="181">
        <v>100</v>
      </c>
      <c r="T74" s="180">
        <f t="shared" si="23"/>
        <v>74.84702312934543</v>
      </c>
      <c r="U74" s="180">
        <f t="shared" si="24"/>
        <v>74.41069687940481</v>
      </c>
      <c r="V74" s="182">
        <f t="shared" si="25"/>
        <v>25.15297687065457</v>
      </c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>
        <f>101874100+102374600+102095600</f>
        <v>306344300</v>
      </c>
      <c r="AJ74" s="181">
        <f t="shared" si="27"/>
        <v>74.84702312934543</v>
      </c>
      <c r="AK74" s="180">
        <f t="shared" si="30"/>
        <v>102949600</v>
      </c>
      <c r="AL74" s="181">
        <f t="shared" si="28"/>
        <v>25.152976870654559</v>
      </c>
      <c r="AM74" s="243"/>
    </row>
    <row r="75" spans="1:39" s="297" customFormat="1" ht="27.75" customHeight="1" x14ac:dyDescent="0.25">
      <c r="A75" s="227">
        <f>A72+1</f>
        <v>6</v>
      </c>
      <c r="B75" s="615" t="s">
        <v>120</v>
      </c>
      <c r="C75" s="615"/>
      <c r="D75" s="615"/>
      <c r="E75" s="615"/>
      <c r="F75" s="615"/>
      <c r="G75" s="615"/>
      <c r="H75" s="615"/>
      <c r="I75" s="614"/>
      <c r="J75" s="482" t="s">
        <v>447</v>
      </c>
      <c r="K75" s="230"/>
      <c r="L75" s="294"/>
      <c r="M75" s="615" t="s">
        <v>17</v>
      </c>
      <c r="N75" s="614"/>
      <c r="O75" s="295">
        <v>261210000</v>
      </c>
      <c r="P75" s="231">
        <f>O75</f>
        <v>261210000</v>
      </c>
      <c r="Q75" s="231">
        <f>SUM(Q76:Q80)</f>
        <v>422840000</v>
      </c>
      <c r="R75" s="233">
        <f>Q75/Q$59*100</f>
        <v>16.740080733334811</v>
      </c>
      <c r="S75" s="233">
        <v>100</v>
      </c>
      <c r="T75" s="231">
        <f t="shared" si="23"/>
        <v>61.377353135937938</v>
      </c>
      <c r="U75" s="231">
        <f t="shared" si="24"/>
        <v>10.274618466940018</v>
      </c>
      <c r="V75" s="296">
        <f t="shared" si="25"/>
        <v>38.622646864062062</v>
      </c>
      <c r="W75" s="231"/>
      <c r="X75" s="231" t="e">
        <f>#REF!</f>
        <v>#REF!</v>
      </c>
      <c r="Y75" s="231" t="e">
        <f>#REF!</f>
        <v>#REF!</v>
      </c>
      <c r="Z75" s="231" t="e">
        <f>#REF!</f>
        <v>#REF!</v>
      </c>
      <c r="AA75" s="231" t="e">
        <f>#REF!</f>
        <v>#REF!</v>
      </c>
      <c r="AB75" s="231">
        <v>171140000</v>
      </c>
      <c r="AC75" s="231" t="e">
        <f>#REF!</f>
        <v>#REF!</v>
      </c>
      <c r="AD75" s="231" t="e">
        <f>#REF!</f>
        <v>#REF!</v>
      </c>
      <c r="AE75" s="231" t="e">
        <f>#REF!</f>
        <v>#REF!</v>
      </c>
      <c r="AF75" s="231" t="e">
        <f>[1]April!N26</f>
        <v>#REF!</v>
      </c>
      <c r="AG75" s="231" t="e">
        <f>[2]april!N26</f>
        <v>#REF!</v>
      </c>
      <c r="AH75" s="231">
        <f>'[3]DES SKPD'!$N26</f>
        <v>449102800</v>
      </c>
      <c r="AI75" s="231">
        <f>SUM(AI76:AI80)</f>
        <v>259528000</v>
      </c>
      <c r="AJ75" s="233">
        <f t="shared" si="27"/>
        <v>61.377353135937938</v>
      </c>
      <c r="AK75" s="231">
        <f t="shared" si="30"/>
        <v>163312000</v>
      </c>
      <c r="AL75" s="233">
        <f t="shared" si="28"/>
        <v>38.622646864062055</v>
      </c>
      <c r="AM75" s="227"/>
    </row>
    <row r="76" spans="1:39" s="297" customFormat="1" ht="27.75" customHeight="1" x14ac:dyDescent="0.25">
      <c r="A76" s="227"/>
      <c r="B76" s="482"/>
      <c r="C76" s="482"/>
      <c r="D76" s="482"/>
      <c r="E76" s="482"/>
      <c r="F76" s="482"/>
      <c r="G76" s="482"/>
      <c r="H76" s="482"/>
      <c r="I76" s="481"/>
      <c r="J76" s="477" t="s">
        <v>259</v>
      </c>
      <c r="K76" s="245"/>
      <c r="L76" s="257"/>
      <c r="M76" s="597" t="s">
        <v>260</v>
      </c>
      <c r="N76" s="598"/>
      <c r="O76" s="299"/>
      <c r="P76" s="180"/>
      <c r="Q76" s="180">
        <v>2400000</v>
      </c>
      <c r="R76" s="181">
        <f>Q76/Q$75*100</f>
        <v>0.56759057799640522</v>
      </c>
      <c r="S76" s="181">
        <v>100</v>
      </c>
      <c r="T76" s="180">
        <f t="shared" si="23"/>
        <v>0</v>
      </c>
      <c r="U76" s="180">
        <f t="shared" si="24"/>
        <v>0</v>
      </c>
      <c r="V76" s="182">
        <f t="shared" si="25"/>
        <v>100</v>
      </c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>
        <v>0</v>
      </c>
      <c r="AJ76" s="181">
        <f t="shared" si="27"/>
        <v>0</v>
      </c>
      <c r="AK76" s="180">
        <f t="shared" si="30"/>
        <v>2400000</v>
      </c>
      <c r="AL76" s="181">
        <f t="shared" si="28"/>
        <v>100</v>
      </c>
      <c r="AM76" s="227"/>
    </row>
    <row r="77" spans="1:39" s="297" customFormat="1" ht="27.75" customHeight="1" x14ac:dyDescent="0.25">
      <c r="A77" s="227"/>
      <c r="B77" s="482"/>
      <c r="C77" s="482"/>
      <c r="D77" s="482"/>
      <c r="E77" s="482"/>
      <c r="F77" s="482"/>
      <c r="G77" s="482"/>
      <c r="H77" s="482"/>
      <c r="I77" s="481"/>
      <c r="J77" s="477" t="s">
        <v>267</v>
      </c>
      <c r="K77" s="245"/>
      <c r="L77" s="257"/>
      <c r="M77" s="597" t="s">
        <v>268</v>
      </c>
      <c r="N77" s="598"/>
      <c r="O77" s="299"/>
      <c r="P77" s="180"/>
      <c r="Q77" s="180">
        <v>8000000</v>
      </c>
      <c r="R77" s="181">
        <f>Q77/Q$75*100</f>
        <v>1.8919685933213508</v>
      </c>
      <c r="S77" s="181">
        <v>100</v>
      </c>
      <c r="T77" s="180">
        <f t="shared" si="23"/>
        <v>0</v>
      </c>
      <c r="U77" s="180">
        <f t="shared" si="24"/>
        <v>0</v>
      </c>
      <c r="V77" s="182">
        <f t="shared" si="25"/>
        <v>100</v>
      </c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>
        <v>0</v>
      </c>
      <c r="AJ77" s="181">
        <f t="shared" si="27"/>
        <v>0</v>
      </c>
      <c r="AK77" s="180">
        <f t="shared" si="30"/>
        <v>8000000</v>
      </c>
      <c r="AL77" s="181">
        <f t="shared" si="28"/>
        <v>100</v>
      </c>
      <c r="AM77" s="227"/>
    </row>
    <row r="78" spans="1:39" s="297" customFormat="1" ht="27.75" customHeight="1" x14ac:dyDescent="0.25">
      <c r="A78" s="227"/>
      <c r="B78" s="482"/>
      <c r="C78" s="482"/>
      <c r="D78" s="482"/>
      <c r="E78" s="482"/>
      <c r="F78" s="482"/>
      <c r="G78" s="482"/>
      <c r="H78" s="482"/>
      <c r="I78" s="481"/>
      <c r="J78" s="477" t="s">
        <v>269</v>
      </c>
      <c r="K78" s="245"/>
      <c r="L78" s="257"/>
      <c r="M78" s="597" t="s">
        <v>270</v>
      </c>
      <c r="N78" s="598"/>
      <c r="O78" s="299"/>
      <c r="P78" s="180"/>
      <c r="Q78" s="180">
        <v>383113000</v>
      </c>
      <c r="R78" s="181">
        <f>Q78/Q$75*100</f>
        <v>90.604720461640326</v>
      </c>
      <c r="S78" s="181">
        <v>100</v>
      </c>
      <c r="T78" s="180">
        <f t="shared" si="23"/>
        <v>65.653736626008524</v>
      </c>
      <c r="U78" s="180">
        <f t="shared" si="24"/>
        <v>59.485384542616593</v>
      </c>
      <c r="V78" s="182">
        <f t="shared" si="25"/>
        <v>34.346263373991476</v>
      </c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>
        <f>125938000+117590000+8000000</f>
        <v>251528000</v>
      </c>
      <c r="AJ78" s="181">
        <f t="shared" si="27"/>
        <v>65.653736626008524</v>
      </c>
      <c r="AK78" s="180">
        <f t="shared" si="30"/>
        <v>131585000</v>
      </c>
      <c r="AL78" s="181">
        <f t="shared" si="28"/>
        <v>34.346263373991484</v>
      </c>
      <c r="AM78" s="227"/>
    </row>
    <row r="79" spans="1:39" s="297" customFormat="1" ht="27.75" customHeight="1" x14ac:dyDescent="0.25">
      <c r="A79" s="227"/>
      <c r="B79" s="482"/>
      <c r="C79" s="482"/>
      <c r="D79" s="482"/>
      <c r="E79" s="482"/>
      <c r="F79" s="482"/>
      <c r="G79" s="482"/>
      <c r="H79" s="482"/>
      <c r="I79" s="481"/>
      <c r="J79" s="477" t="s">
        <v>315</v>
      </c>
      <c r="K79" s="245"/>
      <c r="L79" s="257"/>
      <c r="M79" s="597" t="s">
        <v>271</v>
      </c>
      <c r="N79" s="598"/>
      <c r="O79" s="299"/>
      <c r="P79" s="180"/>
      <c r="Q79" s="180">
        <v>19327000</v>
      </c>
      <c r="R79" s="181">
        <f>Q79/Q$75*100</f>
        <v>4.5707596253902185</v>
      </c>
      <c r="S79" s="181">
        <v>100</v>
      </c>
      <c r="T79" s="180">
        <f t="shared" si="23"/>
        <v>41.392870078129043</v>
      </c>
      <c r="U79" s="180">
        <f t="shared" si="24"/>
        <v>1.8919685933213508</v>
      </c>
      <c r="V79" s="182">
        <f t="shared" si="25"/>
        <v>58.607129921870957</v>
      </c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>
        <v>8000000</v>
      </c>
      <c r="AJ79" s="181">
        <f t="shared" si="27"/>
        <v>41.392870078129043</v>
      </c>
      <c r="AK79" s="180">
        <f t="shared" si="30"/>
        <v>11327000</v>
      </c>
      <c r="AL79" s="181">
        <f t="shared" si="28"/>
        <v>58.607129921870957</v>
      </c>
      <c r="AM79" s="227"/>
    </row>
    <row r="80" spans="1:39" s="297" customFormat="1" ht="27.75" customHeight="1" x14ac:dyDescent="0.25">
      <c r="A80" s="227"/>
      <c r="B80" s="482"/>
      <c r="C80" s="482"/>
      <c r="D80" s="482"/>
      <c r="E80" s="482"/>
      <c r="F80" s="482"/>
      <c r="G80" s="482"/>
      <c r="H80" s="482"/>
      <c r="I80" s="481"/>
      <c r="J80" s="477" t="s">
        <v>316</v>
      </c>
      <c r="K80" s="245"/>
      <c r="L80" s="257"/>
      <c r="M80" s="597" t="s">
        <v>317</v>
      </c>
      <c r="N80" s="598"/>
      <c r="O80" s="299"/>
      <c r="P80" s="180"/>
      <c r="Q80" s="180">
        <v>10000000</v>
      </c>
      <c r="R80" s="181">
        <f>Q80/Q$75*100</f>
        <v>2.3649607416516885</v>
      </c>
      <c r="S80" s="181">
        <v>100</v>
      </c>
      <c r="T80" s="180">
        <f t="shared" si="23"/>
        <v>0</v>
      </c>
      <c r="U80" s="180">
        <f t="shared" si="24"/>
        <v>0</v>
      </c>
      <c r="V80" s="182">
        <f t="shared" si="25"/>
        <v>100</v>
      </c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>
        <v>0</v>
      </c>
      <c r="AJ80" s="181">
        <f t="shared" si="27"/>
        <v>0</v>
      </c>
      <c r="AK80" s="180">
        <f t="shared" si="30"/>
        <v>10000000</v>
      </c>
      <c r="AL80" s="181">
        <f t="shared" si="28"/>
        <v>100</v>
      </c>
      <c r="AM80" s="227"/>
    </row>
    <row r="81" spans="1:39" s="297" customFormat="1" ht="28.5" customHeight="1" x14ac:dyDescent="0.25">
      <c r="A81" s="227">
        <f>A75+1</f>
        <v>7</v>
      </c>
      <c r="B81" s="615" t="s">
        <v>121</v>
      </c>
      <c r="C81" s="615"/>
      <c r="D81" s="615"/>
      <c r="E81" s="615"/>
      <c r="F81" s="615"/>
      <c r="G81" s="615"/>
      <c r="H81" s="615"/>
      <c r="I81" s="614"/>
      <c r="J81" s="482" t="s">
        <v>448</v>
      </c>
      <c r="K81" s="230"/>
      <c r="L81" s="294"/>
      <c r="M81" s="615" t="s">
        <v>18</v>
      </c>
      <c r="N81" s="614"/>
      <c r="O81" s="295">
        <v>20900000</v>
      </c>
      <c r="P81" s="231">
        <f>O81</f>
        <v>20900000</v>
      </c>
      <c r="Q81" s="231">
        <f>SUM(Q82:Q82)</f>
        <v>21100000</v>
      </c>
      <c r="R81" s="233">
        <f>Q81/Q$59*100</f>
        <v>0.83534127204939101</v>
      </c>
      <c r="S81" s="233">
        <v>100</v>
      </c>
      <c r="T81" s="231">
        <f t="shared" si="23"/>
        <v>66.274881516587683</v>
      </c>
      <c r="U81" s="231">
        <f t="shared" si="24"/>
        <v>0.5536214383098903</v>
      </c>
      <c r="V81" s="296">
        <f t="shared" si="25"/>
        <v>33.725118483412317</v>
      </c>
      <c r="W81" s="231"/>
      <c r="X81" s="231" t="e">
        <f>#REF!</f>
        <v>#REF!</v>
      </c>
      <c r="Y81" s="231" t="e">
        <f>#REF!</f>
        <v>#REF!</v>
      </c>
      <c r="Z81" s="231" t="e">
        <f>#REF!</f>
        <v>#REF!</v>
      </c>
      <c r="AA81" s="231" t="e">
        <f>#REF!</f>
        <v>#REF!</v>
      </c>
      <c r="AB81" s="231">
        <v>12597300</v>
      </c>
      <c r="AC81" s="231" t="e">
        <f>#REF!</f>
        <v>#REF!</v>
      </c>
      <c r="AD81" s="231" t="e">
        <f>#REF!</f>
        <v>#REF!</v>
      </c>
      <c r="AE81" s="231" t="e">
        <f>#REF!</f>
        <v>#REF!</v>
      </c>
      <c r="AF81" s="231" t="e">
        <f>[1]April!N27</f>
        <v>#REF!</v>
      </c>
      <c r="AG81" s="231">
        <v>27808300</v>
      </c>
      <c r="AH81" s="231">
        <f>'[3]DES SKPD'!$N27</f>
        <v>35785800</v>
      </c>
      <c r="AI81" s="231">
        <f>SUM(AI82:AI82)</f>
        <v>13984000</v>
      </c>
      <c r="AJ81" s="233">
        <f t="shared" si="27"/>
        <v>66.274881516587683</v>
      </c>
      <c r="AK81" s="231">
        <f t="shared" si="30"/>
        <v>7116000</v>
      </c>
      <c r="AL81" s="233">
        <f t="shared" si="28"/>
        <v>33.725118483412317</v>
      </c>
      <c r="AM81" s="227"/>
    </row>
    <row r="82" spans="1:39" ht="36" customHeight="1" x14ac:dyDescent="0.25">
      <c r="A82" s="243"/>
      <c r="B82" s="477"/>
      <c r="C82" s="477"/>
      <c r="D82" s="477"/>
      <c r="E82" s="477"/>
      <c r="F82" s="477"/>
      <c r="G82" s="477"/>
      <c r="H82" s="477"/>
      <c r="I82" s="478"/>
      <c r="J82" s="477" t="s">
        <v>272</v>
      </c>
      <c r="K82" s="245"/>
      <c r="L82" s="257"/>
      <c r="M82" s="597" t="s">
        <v>429</v>
      </c>
      <c r="N82" s="598"/>
      <c r="O82" s="299"/>
      <c r="P82" s="180"/>
      <c r="Q82" s="180">
        <v>21100000</v>
      </c>
      <c r="R82" s="181">
        <f>Q82/Q$81*100</f>
        <v>100</v>
      </c>
      <c r="S82" s="181">
        <v>100</v>
      </c>
      <c r="T82" s="180">
        <f t="shared" si="23"/>
        <v>66.274881516587683</v>
      </c>
      <c r="U82" s="180">
        <f t="shared" si="24"/>
        <v>66.274881516587683</v>
      </c>
      <c r="V82" s="182">
        <f t="shared" si="25"/>
        <v>33.725118483412317</v>
      </c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231"/>
      <c r="AH82" s="180"/>
      <c r="AI82" s="180">
        <f>9985500+3998500</f>
        <v>13984000</v>
      </c>
      <c r="AJ82" s="181">
        <f t="shared" si="27"/>
        <v>66.274881516587683</v>
      </c>
      <c r="AK82" s="180">
        <f t="shared" si="30"/>
        <v>7116000</v>
      </c>
      <c r="AL82" s="181">
        <f t="shared" si="28"/>
        <v>33.725118483412317</v>
      </c>
      <c r="AM82" s="243"/>
    </row>
    <row r="83" spans="1:39" s="297" customFormat="1" ht="29.25" customHeight="1" x14ac:dyDescent="0.25">
      <c r="A83" s="227">
        <f>A81+1</f>
        <v>8</v>
      </c>
      <c r="B83" s="482"/>
      <c r="C83" s="482"/>
      <c r="D83" s="482"/>
      <c r="E83" s="482"/>
      <c r="F83" s="482"/>
      <c r="G83" s="482"/>
      <c r="H83" s="482"/>
      <c r="I83" s="481"/>
      <c r="J83" s="482" t="s">
        <v>449</v>
      </c>
      <c r="K83" s="230"/>
      <c r="L83" s="294"/>
      <c r="M83" s="615" t="s">
        <v>196</v>
      </c>
      <c r="N83" s="614"/>
      <c r="O83" s="300"/>
      <c r="P83" s="231"/>
      <c r="Q83" s="231">
        <f>SUM(Q84:Q85)</f>
        <v>36200000</v>
      </c>
      <c r="R83" s="233">
        <f>Q83/Q$59*100</f>
        <v>1.4331447416202823</v>
      </c>
      <c r="S83" s="233">
        <v>100</v>
      </c>
      <c r="T83" s="231">
        <f t="shared" si="23"/>
        <v>52.872928176795575</v>
      </c>
      <c r="U83" s="231">
        <f t="shared" si="24"/>
        <v>0.75774558990641439</v>
      </c>
      <c r="V83" s="296">
        <f t="shared" si="25"/>
        <v>47.127071823204425</v>
      </c>
      <c r="W83" s="231"/>
      <c r="X83" s="231" t="e">
        <f>#REF!</f>
        <v>#REF!</v>
      </c>
      <c r="Y83" s="231" t="e">
        <f>#REF!</f>
        <v>#REF!</v>
      </c>
      <c r="Z83" s="231" t="e">
        <f>#REF!</f>
        <v>#REF!</v>
      </c>
      <c r="AA83" s="231" t="e">
        <f>#REF!</f>
        <v>#REF!</v>
      </c>
      <c r="AB83" s="231">
        <v>12597300</v>
      </c>
      <c r="AC83" s="231" t="e">
        <f>#REF!</f>
        <v>#REF!</v>
      </c>
      <c r="AD83" s="231" t="e">
        <f>#REF!</f>
        <v>#REF!</v>
      </c>
      <c r="AE83" s="231" t="e">
        <f>#REF!</f>
        <v>#REF!</v>
      </c>
      <c r="AF83" s="231" t="e">
        <f>[1]April!N28</f>
        <v>#REF!</v>
      </c>
      <c r="AG83" s="231">
        <v>27808300</v>
      </c>
      <c r="AH83" s="231">
        <f>'[3]DES SKPD'!$N28</f>
        <v>46904000</v>
      </c>
      <c r="AI83" s="231">
        <f>SUM(AI84:AI85)</f>
        <v>19140000</v>
      </c>
      <c r="AJ83" s="233">
        <f t="shared" si="27"/>
        <v>52.872928176795575</v>
      </c>
      <c r="AK83" s="231">
        <f t="shared" si="30"/>
        <v>17060000</v>
      </c>
      <c r="AL83" s="233">
        <f t="shared" si="28"/>
        <v>47.127071823204417</v>
      </c>
      <c r="AM83" s="227"/>
    </row>
    <row r="84" spans="1:39" s="297" customFormat="1" ht="24.75" customHeight="1" x14ac:dyDescent="0.25">
      <c r="A84" s="227"/>
      <c r="B84" s="482"/>
      <c r="C84" s="482"/>
      <c r="D84" s="482"/>
      <c r="E84" s="482"/>
      <c r="F84" s="482"/>
      <c r="G84" s="482"/>
      <c r="H84" s="482"/>
      <c r="I84" s="481"/>
      <c r="J84" s="477" t="s">
        <v>411</v>
      </c>
      <c r="K84" s="230"/>
      <c r="L84" s="294"/>
      <c r="M84" s="597" t="s">
        <v>412</v>
      </c>
      <c r="N84" s="598"/>
      <c r="O84" s="300"/>
      <c r="P84" s="231"/>
      <c r="Q84" s="180">
        <v>17000000</v>
      </c>
      <c r="R84" s="181">
        <f>Q84/Q$83*100</f>
        <v>46.961325966850829</v>
      </c>
      <c r="S84" s="181">
        <v>100</v>
      </c>
      <c r="T84" s="180">
        <f t="shared" si="23"/>
        <v>0</v>
      </c>
      <c r="U84" s="180">
        <f t="shared" si="24"/>
        <v>0</v>
      </c>
      <c r="V84" s="182">
        <f t="shared" si="25"/>
        <v>100</v>
      </c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231"/>
      <c r="AH84" s="180"/>
      <c r="AI84" s="180">
        <v>0</v>
      </c>
      <c r="AJ84" s="181">
        <f t="shared" si="27"/>
        <v>0</v>
      </c>
      <c r="AK84" s="180">
        <f t="shared" si="30"/>
        <v>17000000</v>
      </c>
      <c r="AL84" s="181">
        <f t="shared" si="28"/>
        <v>100</v>
      </c>
      <c r="AM84" s="227"/>
    </row>
    <row r="85" spans="1:39" ht="24.75" customHeight="1" x14ac:dyDescent="0.25">
      <c r="A85" s="243"/>
      <c r="B85" s="477"/>
      <c r="C85" s="477"/>
      <c r="D85" s="477"/>
      <c r="E85" s="477"/>
      <c r="F85" s="477"/>
      <c r="G85" s="477"/>
      <c r="H85" s="477"/>
      <c r="I85" s="478"/>
      <c r="J85" s="477" t="s">
        <v>546</v>
      </c>
      <c r="K85" s="245"/>
      <c r="L85" s="257"/>
      <c r="M85" s="597" t="s">
        <v>431</v>
      </c>
      <c r="N85" s="598"/>
      <c r="O85" s="301"/>
      <c r="P85" s="180"/>
      <c r="Q85" s="180">
        <v>19200000</v>
      </c>
      <c r="R85" s="181">
        <f>Q85/Q$83*100</f>
        <v>53.038674033149171</v>
      </c>
      <c r="S85" s="181">
        <v>100</v>
      </c>
      <c r="T85" s="180">
        <f t="shared" si="23"/>
        <v>99.6875</v>
      </c>
      <c r="U85" s="180">
        <f t="shared" si="24"/>
        <v>52.872928176795575</v>
      </c>
      <c r="V85" s="182">
        <f t="shared" si="25"/>
        <v>0.3125</v>
      </c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231"/>
      <c r="AH85" s="180"/>
      <c r="AI85" s="180">
        <v>19140000</v>
      </c>
      <c r="AJ85" s="181">
        <f t="shared" si="27"/>
        <v>99.6875</v>
      </c>
      <c r="AK85" s="180">
        <f t="shared" si="30"/>
        <v>60000</v>
      </c>
      <c r="AL85" s="181">
        <f t="shared" si="28"/>
        <v>0.3125</v>
      </c>
      <c r="AM85" s="243"/>
    </row>
    <row r="86" spans="1:39" s="297" customFormat="1" ht="31.5" customHeight="1" x14ac:dyDescent="0.25">
      <c r="A86" s="227">
        <f>A83+1</f>
        <v>9</v>
      </c>
      <c r="B86" s="615" t="s">
        <v>121</v>
      </c>
      <c r="C86" s="615"/>
      <c r="D86" s="615"/>
      <c r="E86" s="615"/>
      <c r="F86" s="615"/>
      <c r="G86" s="615"/>
      <c r="H86" s="615"/>
      <c r="I86" s="614"/>
      <c r="J86" s="482" t="s">
        <v>450</v>
      </c>
      <c r="K86" s="230"/>
      <c r="L86" s="294"/>
      <c r="M86" s="615" t="s">
        <v>19</v>
      </c>
      <c r="N86" s="614"/>
      <c r="O86" s="295">
        <v>50800000</v>
      </c>
      <c r="P86" s="231">
        <f>O86</f>
        <v>50800000</v>
      </c>
      <c r="Q86" s="302">
        <f>SUM(Q87:Q88)</f>
        <v>42270000</v>
      </c>
      <c r="R86" s="233">
        <f>Q86/Q$59*100</f>
        <v>1.6734538184610313</v>
      </c>
      <c r="S86" s="233">
        <v>100</v>
      </c>
      <c r="T86" s="231">
        <f t="shared" si="23"/>
        <v>53.655074520936829</v>
      </c>
      <c r="U86" s="231">
        <f t="shared" si="24"/>
        <v>0.89789289336872924</v>
      </c>
      <c r="V86" s="296">
        <f t="shared" si="25"/>
        <v>46.344925479063171</v>
      </c>
      <c r="W86" s="231"/>
      <c r="X86" s="231" t="e">
        <f>#REF!</f>
        <v>#REF!</v>
      </c>
      <c r="Y86" s="231" t="e">
        <f>#REF!</f>
        <v>#REF!</v>
      </c>
      <c r="Z86" s="231" t="e">
        <f>#REF!</f>
        <v>#REF!</v>
      </c>
      <c r="AA86" s="231" t="e">
        <f>#REF!</f>
        <v>#REF!</v>
      </c>
      <c r="AB86" s="231">
        <v>23113500</v>
      </c>
      <c r="AC86" s="231" t="e">
        <f>#REF!</f>
        <v>#REF!</v>
      </c>
      <c r="AD86" s="231" t="e">
        <f>#REF!</f>
        <v>#REF!</v>
      </c>
      <c r="AE86" s="231" t="e">
        <f>#REF!</f>
        <v>#REF!</v>
      </c>
      <c r="AF86" s="231" t="e">
        <f>[1]April!N28</f>
        <v>#REF!</v>
      </c>
      <c r="AG86" s="231" t="e">
        <f>[2]april!N28</f>
        <v>#REF!</v>
      </c>
      <c r="AH86" s="231">
        <f>'[3]DES SKPD'!$N28</f>
        <v>46904000</v>
      </c>
      <c r="AI86" s="231">
        <f>SUM(AI87:AI88)</f>
        <v>22680000</v>
      </c>
      <c r="AJ86" s="233">
        <f t="shared" si="27"/>
        <v>53.655074520936829</v>
      </c>
      <c r="AK86" s="231">
        <f t="shared" si="30"/>
        <v>19590000</v>
      </c>
      <c r="AL86" s="233">
        <f t="shared" si="28"/>
        <v>46.344925479063164</v>
      </c>
      <c r="AM86" s="227"/>
    </row>
    <row r="87" spans="1:39" ht="24.75" customHeight="1" x14ac:dyDescent="0.25">
      <c r="A87" s="243"/>
      <c r="B87" s="477"/>
      <c r="C87" s="477"/>
      <c r="D87" s="477"/>
      <c r="E87" s="477"/>
      <c r="F87" s="477"/>
      <c r="G87" s="477"/>
      <c r="H87" s="477"/>
      <c r="I87" s="478"/>
      <c r="J87" s="477" t="s">
        <v>276</v>
      </c>
      <c r="K87" s="245"/>
      <c r="L87" s="257"/>
      <c r="M87" s="597" t="s">
        <v>277</v>
      </c>
      <c r="N87" s="598"/>
      <c r="O87" s="299"/>
      <c r="P87" s="180"/>
      <c r="Q87" s="180">
        <v>37600000</v>
      </c>
      <c r="R87" s="181">
        <f>Q87/Q$86*100</f>
        <v>88.951975396262128</v>
      </c>
      <c r="S87" s="181">
        <v>100</v>
      </c>
      <c r="T87" s="180">
        <f t="shared" si="23"/>
        <v>49.946808510638299</v>
      </c>
      <c r="U87" s="180">
        <f t="shared" si="24"/>
        <v>44.428672817601139</v>
      </c>
      <c r="V87" s="182">
        <f t="shared" si="25"/>
        <v>50.053191489361701</v>
      </c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>
        <f>3130000+6260000+9390000</f>
        <v>18780000</v>
      </c>
      <c r="AJ87" s="181">
        <f t="shared" si="27"/>
        <v>49.946808510638299</v>
      </c>
      <c r="AK87" s="180">
        <f t="shared" si="30"/>
        <v>18820000</v>
      </c>
      <c r="AL87" s="181">
        <f t="shared" si="28"/>
        <v>50.053191489361701</v>
      </c>
      <c r="AM87" s="243"/>
    </row>
    <row r="88" spans="1:39" ht="39.75" customHeight="1" x14ac:dyDescent="0.25">
      <c r="A88" s="243"/>
      <c r="B88" s="477"/>
      <c r="C88" s="477"/>
      <c r="D88" s="477"/>
      <c r="E88" s="477"/>
      <c r="F88" s="477"/>
      <c r="G88" s="477"/>
      <c r="H88" s="477"/>
      <c r="I88" s="478"/>
      <c r="J88" s="477" t="s">
        <v>432</v>
      </c>
      <c r="K88" s="245"/>
      <c r="L88" s="257"/>
      <c r="M88" s="597" t="s">
        <v>433</v>
      </c>
      <c r="N88" s="598"/>
      <c r="O88" s="299"/>
      <c r="P88" s="180"/>
      <c r="Q88" s="180">
        <v>4670000</v>
      </c>
      <c r="R88" s="181">
        <f>Q88/Q$86*100</f>
        <v>11.048024603737876</v>
      </c>
      <c r="S88" s="181">
        <v>100</v>
      </c>
      <c r="T88" s="180">
        <f t="shared" si="23"/>
        <v>83.511777301927197</v>
      </c>
      <c r="U88" s="180">
        <f t="shared" si="24"/>
        <v>9.2264017033357</v>
      </c>
      <c r="V88" s="182">
        <f t="shared" si="25"/>
        <v>16.488222698072803</v>
      </c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>
        <v>3900000</v>
      </c>
      <c r="AJ88" s="181">
        <f t="shared" si="27"/>
        <v>83.511777301927197</v>
      </c>
      <c r="AK88" s="180">
        <f t="shared" si="30"/>
        <v>770000</v>
      </c>
      <c r="AL88" s="181">
        <f t="shared" si="28"/>
        <v>16.488222698072803</v>
      </c>
      <c r="AM88" s="243"/>
    </row>
    <row r="89" spans="1:39" s="297" customFormat="1" ht="30.75" customHeight="1" x14ac:dyDescent="0.25">
      <c r="A89" s="227">
        <f>A86+1</f>
        <v>10</v>
      </c>
      <c r="B89" s="615" t="s">
        <v>122</v>
      </c>
      <c r="C89" s="615"/>
      <c r="D89" s="615"/>
      <c r="E89" s="615"/>
      <c r="F89" s="615"/>
      <c r="G89" s="615"/>
      <c r="H89" s="615"/>
      <c r="I89" s="614"/>
      <c r="J89" s="482" t="s">
        <v>451</v>
      </c>
      <c r="K89" s="230"/>
      <c r="L89" s="294"/>
      <c r="M89" s="615" t="s">
        <v>20</v>
      </c>
      <c r="N89" s="614"/>
      <c r="O89" s="295">
        <v>124190000</v>
      </c>
      <c r="P89" s="231">
        <f>O89</f>
        <v>124190000</v>
      </c>
      <c r="Q89" s="231">
        <f>SUM(Q90:Q91)</f>
        <v>118340000</v>
      </c>
      <c r="R89" s="233">
        <f>Q89/Q$59*100</f>
        <v>4.6850372575509454</v>
      </c>
      <c r="S89" s="233">
        <v>100</v>
      </c>
      <c r="T89" s="231">
        <f>AJ89</f>
        <v>52.492817306067266</v>
      </c>
      <c r="U89" s="231">
        <f t="shared" si="24"/>
        <v>2.4593080483274021</v>
      </c>
      <c r="V89" s="296">
        <f t="shared" si="25"/>
        <v>47.507182693932734</v>
      </c>
      <c r="W89" s="231"/>
      <c r="X89" s="231" t="e">
        <f>#REF!</f>
        <v>#REF!</v>
      </c>
      <c r="Y89" s="231" t="e">
        <f>#REF!</f>
        <v>#REF!</v>
      </c>
      <c r="Z89" s="231" t="e">
        <f>#REF!</f>
        <v>#REF!</v>
      </c>
      <c r="AA89" s="231" t="e">
        <f>#REF!</f>
        <v>#REF!</v>
      </c>
      <c r="AB89" s="231">
        <v>53635000</v>
      </c>
      <c r="AC89" s="231" t="e">
        <f>#REF!</f>
        <v>#REF!</v>
      </c>
      <c r="AD89" s="231" t="e">
        <f>#REF!</f>
        <v>#REF!</v>
      </c>
      <c r="AE89" s="231" t="e">
        <f>#REF!</f>
        <v>#REF!</v>
      </c>
      <c r="AF89" s="231" t="e">
        <f>[1]April!N29</f>
        <v>#REF!</v>
      </c>
      <c r="AG89" s="231" t="e">
        <f>[2]april!N29</f>
        <v>#REF!</v>
      </c>
      <c r="AH89" s="231">
        <f>'[3]DES SKPD'!$N29</f>
        <v>138020848</v>
      </c>
      <c r="AI89" s="231">
        <f>SUM(AI90:AI91)</f>
        <v>62120000</v>
      </c>
      <c r="AJ89" s="233">
        <f t="shared" si="27"/>
        <v>52.492817306067266</v>
      </c>
      <c r="AK89" s="231">
        <f t="shared" si="30"/>
        <v>56220000</v>
      </c>
      <c r="AL89" s="233">
        <f t="shared" si="28"/>
        <v>47.507182693932734</v>
      </c>
      <c r="AM89" s="227"/>
    </row>
    <row r="90" spans="1:39" ht="32.25" customHeight="1" x14ac:dyDescent="0.25">
      <c r="A90" s="243"/>
      <c r="B90" s="477"/>
      <c r="C90" s="477"/>
      <c r="D90" s="477"/>
      <c r="E90" s="477"/>
      <c r="F90" s="477"/>
      <c r="G90" s="477"/>
      <c r="H90" s="477"/>
      <c r="I90" s="478"/>
      <c r="J90" s="477" t="s">
        <v>278</v>
      </c>
      <c r="K90" s="245"/>
      <c r="L90" s="257"/>
      <c r="M90" s="597" t="s">
        <v>279</v>
      </c>
      <c r="N90" s="598"/>
      <c r="O90" s="299"/>
      <c r="P90" s="180"/>
      <c r="Q90" s="180">
        <v>54000000</v>
      </c>
      <c r="R90" s="181">
        <f>Q90/Q$89*100</f>
        <v>45.631232043265172</v>
      </c>
      <c r="S90" s="181">
        <v>100</v>
      </c>
      <c r="T90" s="180">
        <f>AJ90</f>
        <v>49.99074074074074</v>
      </c>
      <c r="U90" s="180">
        <f t="shared" si="24"/>
        <v>22.811390907554504</v>
      </c>
      <c r="V90" s="182">
        <f t="shared" si="25"/>
        <v>50.00925925925926</v>
      </c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>
        <f>9500000+9500000+7995000</f>
        <v>26995000</v>
      </c>
      <c r="AJ90" s="181">
        <f t="shared" si="27"/>
        <v>49.99074074074074</v>
      </c>
      <c r="AK90" s="180">
        <f t="shared" si="30"/>
        <v>27005000</v>
      </c>
      <c r="AL90" s="181">
        <f t="shared" si="28"/>
        <v>50.009259259259267</v>
      </c>
      <c r="AM90" s="243"/>
    </row>
    <row r="91" spans="1:39" ht="24.75" customHeight="1" x14ac:dyDescent="0.25">
      <c r="A91" s="243"/>
      <c r="B91" s="477"/>
      <c r="C91" s="477"/>
      <c r="D91" s="477"/>
      <c r="E91" s="477"/>
      <c r="F91" s="477"/>
      <c r="G91" s="477"/>
      <c r="H91" s="477"/>
      <c r="I91" s="478"/>
      <c r="J91" s="477" t="s">
        <v>280</v>
      </c>
      <c r="K91" s="245"/>
      <c r="L91" s="257"/>
      <c r="M91" s="597" t="s">
        <v>281</v>
      </c>
      <c r="N91" s="598"/>
      <c r="O91" s="299"/>
      <c r="P91" s="180"/>
      <c r="Q91" s="180">
        <v>64340000</v>
      </c>
      <c r="R91" s="181">
        <f>Q91/Q$89*100</f>
        <v>54.368767956734828</v>
      </c>
      <c r="S91" s="181">
        <v>100</v>
      </c>
      <c r="T91" s="180">
        <f>AJ91</f>
        <v>54.592788312092011</v>
      </c>
      <c r="U91" s="180">
        <f t="shared" si="24"/>
        <v>29.681426398512759</v>
      </c>
      <c r="V91" s="182">
        <f t="shared" si="25"/>
        <v>45.407211687907989</v>
      </c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>
        <f>14000000+5500000+15625000</f>
        <v>35125000</v>
      </c>
      <c r="AJ91" s="181">
        <f t="shared" si="27"/>
        <v>54.592788312092011</v>
      </c>
      <c r="AK91" s="180">
        <f t="shared" si="30"/>
        <v>29215000</v>
      </c>
      <c r="AL91" s="181">
        <f t="shared" si="28"/>
        <v>45.407211687907989</v>
      </c>
      <c r="AM91" s="243"/>
    </row>
    <row r="92" spans="1:39" s="297" customFormat="1" ht="31.5" customHeight="1" x14ac:dyDescent="0.25">
      <c r="A92" s="227">
        <f>A89+1</f>
        <v>11</v>
      </c>
      <c r="B92" s="615" t="s">
        <v>123</v>
      </c>
      <c r="C92" s="615"/>
      <c r="D92" s="615"/>
      <c r="E92" s="615"/>
      <c r="F92" s="615"/>
      <c r="G92" s="615"/>
      <c r="H92" s="615"/>
      <c r="I92" s="614"/>
      <c r="J92" s="482" t="s">
        <v>452</v>
      </c>
      <c r="K92" s="230"/>
      <c r="L92" s="294"/>
      <c r="M92" s="615" t="s">
        <v>21</v>
      </c>
      <c r="N92" s="614"/>
      <c r="O92" s="295">
        <v>517929000</v>
      </c>
      <c r="P92" s="231">
        <f>O92</f>
        <v>517929000</v>
      </c>
      <c r="Q92" s="231">
        <f>SUM(Q93:Q93)</f>
        <v>483349844</v>
      </c>
      <c r="R92" s="233">
        <f>Q92/Q$59*100</f>
        <v>19.135643295347617</v>
      </c>
      <c r="S92" s="233">
        <v>100</v>
      </c>
      <c r="T92" s="231">
        <f t="shared" si="23"/>
        <v>68.061108135994346</v>
      </c>
      <c r="U92" s="231">
        <f>R92*T92/100</f>
        <v>13.023930875764693</v>
      </c>
      <c r="V92" s="296">
        <f t="shared" si="25"/>
        <v>31.938891864005654</v>
      </c>
      <c r="W92" s="231"/>
      <c r="X92" s="231" t="e">
        <f>#REF!</f>
        <v>#REF!</v>
      </c>
      <c r="Y92" s="231" t="e">
        <f>#REF!</f>
        <v>#REF!</v>
      </c>
      <c r="Z92" s="231" t="e">
        <f>#REF!</f>
        <v>#REF!</v>
      </c>
      <c r="AA92" s="231" t="e">
        <f>#REF!</f>
        <v>#REF!</v>
      </c>
      <c r="AB92" s="231">
        <v>317394150</v>
      </c>
      <c r="AC92" s="231" t="e">
        <f>#REF!</f>
        <v>#REF!</v>
      </c>
      <c r="AD92" s="231" t="e">
        <f>#REF!</f>
        <v>#REF!</v>
      </c>
      <c r="AE92" s="231" t="e">
        <f>#REF!</f>
        <v>#REF!</v>
      </c>
      <c r="AF92" s="231" t="e">
        <f>[1]April!N30</f>
        <v>#REF!</v>
      </c>
      <c r="AG92" s="231" t="e">
        <f>[2]april!N30</f>
        <v>#REF!</v>
      </c>
      <c r="AH92" s="231">
        <f>'[3]DES SKPD'!$N30</f>
        <v>660543350</v>
      </c>
      <c r="AI92" s="231">
        <f>SUM(AI93:AI93)</f>
        <v>328973260</v>
      </c>
      <c r="AJ92" s="233">
        <f t="shared" si="27"/>
        <v>68.061108135994346</v>
      </c>
      <c r="AK92" s="231">
        <f t="shared" si="30"/>
        <v>154376584</v>
      </c>
      <c r="AL92" s="233">
        <f t="shared" si="28"/>
        <v>31.938891864005647</v>
      </c>
      <c r="AM92" s="227"/>
    </row>
    <row r="93" spans="1:39" ht="26.25" customHeight="1" x14ac:dyDescent="0.25">
      <c r="A93" s="243"/>
      <c r="B93" s="477"/>
      <c r="C93" s="477"/>
      <c r="D93" s="477"/>
      <c r="E93" s="477"/>
      <c r="F93" s="477"/>
      <c r="G93" s="477"/>
      <c r="H93" s="477"/>
      <c r="I93" s="478"/>
      <c r="J93" s="477" t="s">
        <v>282</v>
      </c>
      <c r="K93" s="245"/>
      <c r="L93" s="257"/>
      <c r="M93" s="597" t="s">
        <v>283</v>
      </c>
      <c r="N93" s="598"/>
      <c r="O93" s="299"/>
      <c r="P93" s="180"/>
      <c r="Q93" s="180">
        <v>483349844</v>
      </c>
      <c r="R93" s="181">
        <f>Q93/Q$92*100</f>
        <v>100</v>
      </c>
      <c r="S93" s="181">
        <v>100</v>
      </c>
      <c r="T93" s="180">
        <f t="shared" si="23"/>
        <v>68.061108135994346</v>
      </c>
      <c r="U93" s="180">
        <f>R93*T93/100</f>
        <v>68.061108135994346</v>
      </c>
      <c r="V93" s="182">
        <f t="shared" si="25"/>
        <v>31.938891864005654</v>
      </c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>
        <f>50584820+136332200+99856500+42199740</f>
        <v>328973260</v>
      </c>
      <c r="AJ93" s="181">
        <f t="shared" si="27"/>
        <v>68.061108135994346</v>
      </c>
      <c r="AK93" s="180">
        <f t="shared" si="30"/>
        <v>154376584</v>
      </c>
      <c r="AL93" s="181">
        <f t="shared" si="28"/>
        <v>31.938891864005647</v>
      </c>
      <c r="AM93" s="243"/>
    </row>
    <row r="94" spans="1:39" s="297" customFormat="1" ht="30.75" customHeight="1" x14ac:dyDescent="0.25">
      <c r="A94" s="227">
        <f>A92+1</f>
        <v>12</v>
      </c>
      <c r="B94" s="615" t="s">
        <v>124</v>
      </c>
      <c r="C94" s="615"/>
      <c r="D94" s="615"/>
      <c r="E94" s="615"/>
      <c r="F94" s="615"/>
      <c r="G94" s="615"/>
      <c r="H94" s="615"/>
      <c r="I94" s="614"/>
      <c r="J94" s="482" t="s">
        <v>453</v>
      </c>
      <c r="K94" s="230"/>
      <c r="L94" s="294"/>
      <c r="M94" s="615" t="s">
        <v>22</v>
      </c>
      <c r="N94" s="614"/>
      <c r="O94" s="295">
        <v>17600000</v>
      </c>
      <c r="P94" s="231">
        <f>O94</f>
        <v>17600000</v>
      </c>
      <c r="Q94" s="231">
        <f>SUM(Q95:Q95)</f>
        <v>31400000</v>
      </c>
      <c r="R94" s="233">
        <f>Q94/Q$59*100</f>
        <v>1.2431144996374826</v>
      </c>
      <c r="S94" s="233">
        <v>100</v>
      </c>
      <c r="T94" s="231">
        <f t="shared" si="23"/>
        <v>5.7643312101910826</v>
      </c>
      <c r="U94" s="231">
        <f t="shared" si="24"/>
        <v>7.1657237081014125E-2</v>
      </c>
      <c r="V94" s="296">
        <f t="shared" si="25"/>
        <v>94.235668789808912</v>
      </c>
      <c r="W94" s="231"/>
      <c r="X94" s="231" t="e">
        <f>#REF!</f>
        <v>#REF!</v>
      </c>
      <c r="Y94" s="231" t="e">
        <f>#REF!</f>
        <v>#REF!</v>
      </c>
      <c r="Z94" s="231" t="e">
        <f>#REF!</f>
        <v>#REF!</v>
      </c>
      <c r="AA94" s="231" t="e">
        <f>#REF!</f>
        <v>#REF!</v>
      </c>
      <c r="AB94" s="231">
        <v>13150000</v>
      </c>
      <c r="AC94" s="231" t="e">
        <f>#REF!</f>
        <v>#REF!</v>
      </c>
      <c r="AD94" s="231" t="e">
        <f>#REF!</f>
        <v>#REF!</v>
      </c>
      <c r="AE94" s="231" t="e">
        <f>#REF!</f>
        <v>#REF!</v>
      </c>
      <c r="AF94" s="231" t="e">
        <f>[1]April!N31</f>
        <v>#REF!</v>
      </c>
      <c r="AG94" s="231" t="e">
        <f>[2]april!N31</f>
        <v>#REF!</v>
      </c>
      <c r="AH94" s="231">
        <f>'[3]DES SKPD'!$N31</f>
        <v>27445000</v>
      </c>
      <c r="AI94" s="231">
        <f>SUM(AI95:AI95)</f>
        <v>1810000</v>
      </c>
      <c r="AJ94" s="233">
        <f t="shared" si="27"/>
        <v>5.7643312101910826</v>
      </c>
      <c r="AK94" s="231">
        <f t="shared" si="30"/>
        <v>29590000</v>
      </c>
      <c r="AL94" s="233">
        <f t="shared" si="28"/>
        <v>94.235668789808912</v>
      </c>
      <c r="AM94" s="227"/>
    </row>
    <row r="95" spans="1:39" ht="26.25" customHeight="1" x14ac:dyDescent="0.25">
      <c r="A95" s="243"/>
      <c r="B95" s="477"/>
      <c r="C95" s="477"/>
      <c r="D95" s="477"/>
      <c r="E95" s="477"/>
      <c r="F95" s="477"/>
      <c r="G95" s="477"/>
      <c r="H95" s="477"/>
      <c r="I95" s="478"/>
      <c r="J95" s="477" t="s">
        <v>284</v>
      </c>
      <c r="K95" s="245"/>
      <c r="L95" s="257"/>
      <c r="M95" s="597" t="s">
        <v>285</v>
      </c>
      <c r="N95" s="598"/>
      <c r="O95" s="299"/>
      <c r="P95" s="180"/>
      <c r="Q95" s="180">
        <v>31400000</v>
      </c>
      <c r="R95" s="181">
        <f>Q95/Q$94*100</f>
        <v>100</v>
      </c>
      <c r="S95" s="181">
        <v>100</v>
      </c>
      <c r="T95" s="180">
        <f t="shared" si="23"/>
        <v>5.7643312101910826</v>
      </c>
      <c r="U95" s="180">
        <f>R95*T95/100</f>
        <v>5.7643312101910826</v>
      </c>
      <c r="V95" s="182">
        <f t="shared" si="25"/>
        <v>94.235668789808912</v>
      </c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>
        <v>1810000</v>
      </c>
      <c r="AJ95" s="181">
        <f t="shared" si="27"/>
        <v>5.7643312101910826</v>
      </c>
      <c r="AK95" s="180">
        <f t="shared" si="30"/>
        <v>29590000</v>
      </c>
      <c r="AL95" s="181">
        <f t="shared" si="28"/>
        <v>94.235668789808912</v>
      </c>
      <c r="AM95" s="243"/>
    </row>
    <row r="96" spans="1:39" ht="26.25" customHeight="1" x14ac:dyDescent="0.25">
      <c r="A96" s="227">
        <f>A94+1</f>
        <v>13</v>
      </c>
      <c r="B96" s="615" t="s">
        <v>124</v>
      </c>
      <c r="C96" s="615"/>
      <c r="D96" s="615"/>
      <c r="E96" s="615"/>
      <c r="F96" s="615"/>
      <c r="G96" s="615"/>
      <c r="H96" s="615"/>
      <c r="I96" s="614"/>
      <c r="J96" s="482" t="s">
        <v>547</v>
      </c>
      <c r="K96" s="230"/>
      <c r="L96" s="294"/>
      <c r="M96" s="615" t="s">
        <v>548</v>
      </c>
      <c r="N96" s="614"/>
      <c r="O96" s="295">
        <v>17600000</v>
      </c>
      <c r="P96" s="231">
        <f>O96</f>
        <v>17600000</v>
      </c>
      <c r="Q96" s="231">
        <f>SUM(Q97:Q109)</f>
        <v>71640000</v>
      </c>
      <c r="R96" s="233">
        <f>Q96/Q$59*100</f>
        <v>2.8362013615932877</v>
      </c>
      <c r="S96" s="233">
        <v>100</v>
      </c>
      <c r="T96" s="231">
        <f t="shared" si="23"/>
        <v>30.234505862646564</v>
      </c>
      <c r="U96" s="231">
        <f t="shared" ref="U96" si="31">R96*T96/100</f>
        <v>0.85751146694738423</v>
      </c>
      <c r="V96" s="296">
        <f t="shared" si="25"/>
        <v>69.765494137353443</v>
      </c>
      <c r="W96" s="231"/>
      <c r="X96" s="231" t="e">
        <f>#REF!</f>
        <v>#REF!</v>
      </c>
      <c r="Y96" s="231" t="e">
        <f>#REF!</f>
        <v>#REF!</v>
      </c>
      <c r="Z96" s="231" t="e">
        <f>#REF!</f>
        <v>#REF!</v>
      </c>
      <c r="AA96" s="231" t="e">
        <f>#REF!</f>
        <v>#REF!</v>
      </c>
      <c r="AB96" s="231">
        <v>13150000</v>
      </c>
      <c r="AC96" s="231" t="e">
        <f>#REF!</f>
        <v>#REF!</v>
      </c>
      <c r="AD96" s="231" t="e">
        <f>#REF!</f>
        <v>#REF!</v>
      </c>
      <c r="AE96" s="231" t="e">
        <f>#REF!</f>
        <v>#REF!</v>
      </c>
      <c r="AF96" s="231" t="e">
        <f>[1]April!N33</f>
        <v>#REF!</v>
      </c>
      <c r="AG96" s="231" t="e">
        <f>[2]april!N33</f>
        <v>#REF!</v>
      </c>
      <c r="AH96" s="231" t="e">
        <f>'[3]DES SKPD'!$N33</f>
        <v>#REF!</v>
      </c>
      <c r="AI96" s="231">
        <f>SUM(AI97:AI109)</f>
        <v>21660000</v>
      </c>
      <c r="AJ96" s="233">
        <f t="shared" si="27"/>
        <v>30.234505862646564</v>
      </c>
      <c r="AK96" s="231">
        <f t="shared" si="30"/>
        <v>49980000</v>
      </c>
      <c r="AL96" s="233">
        <f t="shared" si="28"/>
        <v>69.765494137353429</v>
      </c>
      <c r="AM96" s="227"/>
    </row>
    <row r="97" spans="1:39" ht="26.25" customHeight="1" x14ac:dyDescent="0.25">
      <c r="A97" s="243"/>
      <c r="B97" s="477"/>
      <c r="C97" s="477"/>
      <c r="D97" s="477"/>
      <c r="E97" s="477"/>
      <c r="F97" s="477"/>
      <c r="G97" s="477"/>
      <c r="H97" s="477"/>
      <c r="I97" s="478"/>
      <c r="J97" s="477" t="s">
        <v>265</v>
      </c>
      <c r="K97" s="245"/>
      <c r="L97" s="257"/>
      <c r="M97" s="597" t="s">
        <v>266</v>
      </c>
      <c r="N97" s="598"/>
      <c r="O97" s="299"/>
      <c r="P97" s="180"/>
      <c r="Q97" s="180">
        <v>12590000</v>
      </c>
      <c r="R97" s="181">
        <f>Q97/Q$94*100</f>
        <v>40.095541401273884</v>
      </c>
      <c r="S97" s="181">
        <v>100</v>
      </c>
      <c r="T97" s="180">
        <f t="shared" si="23"/>
        <v>52.343129467831616</v>
      </c>
      <c r="U97" s="180">
        <f>R97*T97/100</f>
        <v>20.987261146496817</v>
      </c>
      <c r="V97" s="182">
        <f t="shared" si="25"/>
        <v>47.656870532168384</v>
      </c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>
        <f>3000000+3590000</f>
        <v>6590000</v>
      </c>
      <c r="AJ97" s="181">
        <f t="shared" si="27"/>
        <v>52.343129467831616</v>
      </c>
      <c r="AK97" s="180">
        <f t="shared" si="30"/>
        <v>6000000</v>
      </c>
      <c r="AL97" s="181">
        <f t="shared" si="28"/>
        <v>47.656870532168391</v>
      </c>
      <c r="AM97" s="243"/>
    </row>
    <row r="98" spans="1:39" ht="26.25" customHeight="1" x14ac:dyDescent="0.25">
      <c r="A98" s="243"/>
      <c r="B98" s="477"/>
      <c r="C98" s="477"/>
      <c r="D98" s="477"/>
      <c r="E98" s="477"/>
      <c r="F98" s="477"/>
      <c r="G98" s="477"/>
      <c r="H98" s="477"/>
      <c r="I98" s="478"/>
      <c r="J98" s="477" t="s">
        <v>272</v>
      </c>
      <c r="K98" s="245"/>
      <c r="L98" s="257"/>
      <c r="M98" s="597" t="s">
        <v>429</v>
      </c>
      <c r="N98" s="598"/>
      <c r="O98" s="299"/>
      <c r="P98" s="180"/>
      <c r="Q98" s="180">
        <v>3000000</v>
      </c>
      <c r="R98" s="181">
        <f t="shared" ref="R98:R109" si="32">Q98/Q$94*100</f>
        <v>9.5541401273885356</v>
      </c>
      <c r="S98" s="181">
        <v>100</v>
      </c>
      <c r="T98" s="180">
        <f t="shared" si="23"/>
        <v>50</v>
      </c>
      <c r="U98" s="180">
        <f t="shared" ref="U98:U110" si="33">R98*T98/100</f>
        <v>4.7770700636942678</v>
      </c>
      <c r="V98" s="182">
        <f t="shared" si="25"/>
        <v>50</v>
      </c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>
        <f>750000+750000</f>
        <v>1500000</v>
      </c>
      <c r="AJ98" s="181">
        <f t="shared" si="27"/>
        <v>50</v>
      </c>
      <c r="AK98" s="180">
        <f t="shared" si="30"/>
        <v>1500000</v>
      </c>
      <c r="AL98" s="181">
        <f t="shared" si="28"/>
        <v>50</v>
      </c>
      <c r="AM98" s="243"/>
    </row>
    <row r="99" spans="1:39" ht="26.25" customHeight="1" x14ac:dyDescent="0.25">
      <c r="A99" s="243"/>
      <c r="B99" s="477"/>
      <c r="C99" s="477"/>
      <c r="D99" s="477"/>
      <c r="E99" s="477"/>
      <c r="F99" s="477"/>
      <c r="G99" s="477"/>
      <c r="H99" s="477"/>
      <c r="I99" s="478"/>
      <c r="J99" s="477" t="s">
        <v>249</v>
      </c>
      <c r="K99" s="245"/>
      <c r="L99" s="257"/>
      <c r="M99" s="597" t="s">
        <v>250</v>
      </c>
      <c r="N99" s="598"/>
      <c r="O99" s="299"/>
      <c r="P99" s="180"/>
      <c r="Q99" s="180">
        <v>390000</v>
      </c>
      <c r="R99" s="181">
        <f t="shared" si="32"/>
        <v>1.2420382165605097</v>
      </c>
      <c r="S99" s="181">
        <v>100</v>
      </c>
      <c r="T99" s="180">
        <f t="shared" si="23"/>
        <v>100</v>
      </c>
      <c r="U99" s="180">
        <f t="shared" si="33"/>
        <v>1.2420382165605097</v>
      </c>
      <c r="V99" s="182">
        <f t="shared" si="25"/>
        <v>0</v>
      </c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>
        <v>390000</v>
      </c>
      <c r="AJ99" s="181">
        <f t="shared" si="27"/>
        <v>100</v>
      </c>
      <c r="AK99" s="180">
        <f t="shared" si="30"/>
        <v>0</v>
      </c>
      <c r="AL99" s="181">
        <f t="shared" si="28"/>
        <v>0</v>
      </c>
      <c r="AM99" s="243"/>
    </row>
    <row r="100" spans="1:39" ht="26.25" customHeight="1" x14ac:dyDescent="0.25">
      <c r="A100" s="243"/>
      <c r="B100" s="477"/>
      <c r="C100" s="477"/>
      <c r="D100" s="477"/>
      <c r="E100" s="477"/>
      <c r="F100" s="477"/>
      <c r="G100" s="477"/>
      <c r="H100" s="477"/>
      <c r="I100" s="478"/>
      <c r="J100" s="477" t="s">
        <v>261</v>
      </c>
      <c r="K100" s="245"/>
      <c r="L100" s="257"/>
      <c r="M100" s="597" t="s">
        <v>262</v>
      </c>
      <c r="N100" s="598"/>
      <c r="O100" s="299"/>
      <c r="P100" s="180"/>
      <c r="Q100" s="180">
        <v>3700000</v>
      </c>
      <c r="R100" s="181">
        <f t="shared" si="32"/>
        <v>11.783439490445859</v>
      </c>
      <c r="S100" s="181">
        <v>100</v>
      </c>
      <c r="T100" s="180">
        <f t="shared" si="23"/>
        <v>54.054054054054056</v>
      </c>
      <c r="U100" s="180">
        <f t="shared" si="33"/>
        <v>6.369426751592357</v>
      </c>
      <c r="V100" s="182">
        <f t="shared" si="25"/>
        <v>45.945945945945944</v>
      </c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>
        <f>1000000+1000000</f>
        <v>2000000</v>
      </c>
      <c r="AJ100" s="181">
        <f t="shared" si="27"/>
        <v>54.054054054054056</v>
      </c>
      <c r="AK100" s="180">
        <f t="shared" si="30"/>
        <v>1700000</v>
      </c>
      <c r="AL100" s="181">
        <f t="shared" si="28"/>
        <v>45.945945945945951</v>
      </c>
      <c r="AM100" s="243"/>
    </row>
    <row r="101" spans="1:39" ht="26.25" customHeight="1" x14ac:dyDescent="0.25">
      <c r="A101" s="243"/>
      <c r="B101" s="477"/>
      <c r="C101" s="477"/>
      <c r="D101" s="477"/>
      <c r="E101" s="477"/>
      <c r="F101" s="477"/>
      <c r="G101" s="477"/>
      <c r="H101" s="477"/>
      <c r="I101" s="478"/>
      <c r="J101" s="477" t="s">
        <v>315</v>
      </c>
      <c r="K101" s="245"/>
      <c r="L101" s="257"/>
      <c r="M101" s="597" t="s">
        <v>271</v>
      </c>
      <c r="N101" s="598"/>
      <c r="O101" s="299"/>
      <c r="P101" s="180"/>
      <c r="Q101" s="180">
        <v>2000000</v>
      </c>
      <c r="R101" s="181">
        <f t="shared" si="32"/>
        <v>6.369426751592357</v>
      </c>
      <c r="S101" s="181">
        <v>100</v>
      </c>
      <c r="T101" s="180">
        <f t="shared" si="23"/>
        <v>40</v>
      </c>
      <c r="U101" s="180">
        <f t="shared" si="33"/>
        <v>2.547770700636943</v>
      </c>
      <c r="V101" s="182">
        <f t="shared" si="25"/>
        <v>60</v>
      </c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>
        <f>400000+400000</f>
        <v>800000</v>
      </c>
      <c r="AJ101" s="181">
        <f t="shared" si="27"/>
        <v>40</v>
      </c>
      <c r="AK101" s="180">
        <f t="shared" si="30"/>
        <v>1200000</v>
      </c>
      <c r="AL101" s="181">
        <f t="shared" si="28"/>
        <v>60</v>
      </c>
      <c r="AM101" s="243"/>
    </row>
    <row r="102" spans="1:39" ht="26.25" customHeight="1" x14ac:dyDescent="0.25">
      <c r="A102" s="243"/>
      <c r="B102" s="477"/>
      <c r="C102" s="477"/>
      <c r="D102" s="477"/>
      <c r="E102" s="477"/>
      <c r="F102" s="477"/>
      <c r="G102" s="477"/>
      <c r="H102" s="477"/>
      <c r="I102" s="478"/>
      <c r="J102" s="477" t="s">
        <v>278</v>
      </c>
      <c r="K102" s="245"/>
      <c r="L102" s="257"/>
      <c r="M102" s="597" t="s">
        <v>279</v>
      </c>
      <c r="N102" s="598"/>
      <c r="O102" s="299"/>
      <c r="P102" s="180"/>
      <c r="Q102" s="180">
        <v>2160000</v>
      </c>
      <c r="R102" s="181">
        <f t="shared" si="32"/>
        <v>6.8789808917197455</v>
      </c>
      <c r="S102" s="181">
        <v>100</v>
      </c>
      <c r="T102" s="180">
        <f t="shared" si="23"/>
        <v>50</v>
      </c>
      <c r="U102" s="180">
        <f t="shared" si="33"/>
        <v>3.4394904458598727</v>
      </c>
      <c r="V102" s="182">
        <f t="shared" si="25"/>
        <v>50</v>
      </c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>
        <f>540000+540000</f>
        <v>1080000</v>
      </c>
      <c r="AJ102" s="181">
        <f t="shared" si="27"/>
        <v>50</v>
      </c>
      <c r="AK102" s="180">
        <f t="shared" si="30"/>
        <v>1080000</v>
      </c>
      <c r="AL102" s="181">
        <f t="shared" si="28"/>
        <v>50</v>
      </c>
      <c r="AM102" s="243"/>
    </row>
    <row r="103" spans="1:39" ht="26.25" customHeight="1" x14ac:dyDescent="0.25">
      <c r="A103" s="243"/>
      <c r="B103" s="477"/>
      <c r="C103" s="477"/>
      <c r="D103" s="477"/>
      <c r="E103" s="477"/>
      <c r="F103" s="477"/>
      <c r="G103" s="477"/>
      <c r="H103" s="477"/>
      <c r="I103" s="478"/>
      <c r="J103" s="477" t="s">
        <v>284</v>
      </c>
      <c r="K103" s="245"/>
      <c r="L103" s="257"/>
      <c r="M103" s="597" t="s">
        <v>285</v>
      </c>
      <c r="N103" s="598"/>
      <c r="O103" s="299"/>
      <c r="P103" s="180"/>
      <c r="Q103" s="180">
        <v>15000000</v>
      </c>
      <c r="R103" s="181">
        <f t="shared" si="32"/>
        <v>47.770700636942678</v>
      </c>
      <c r="S103" s="181">
        <v>100</v>
      </c>
      <c r="T103" s="180">
        <f t="shared" si="23"/>
        <v>0</v>
      </c>
      <c r="U103" s="180">
        <f t="shared" si="33"/>
        <v>0</v>
      </c>
      <c r="V103" s="182">
        <f t="shared" si="25"/>
        <v>100</v>
      </c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>
        <v>0</v>
      </c>
      <c r="AJ103" s="181">
        <f t="shared" si="27"/>
        <v>0</v>
      </c>
      <c r="AK103" s="180">
        <f t="shared" si="30"/>
        <v>15000000</v>
      </c>
      <c r="AL103" s="181">
        <f t="shared" si="28"/>
        <v>100</v>
      </c>
      <c r="AM103" s="243"/>
    </row>
    <row r="104" spans="1:39" ht="26.25" customHeight="1" x14ac:dyDescent="0.25">
      <c r="A104" s="243"/>
      <c r="B104" s="477"/>
      <c r="C104" s="477"/>
      <c r="D104" s="477"/>
      <c r="E104" s="477"/>
      <c r="F104" s="477"/>
      <c r="G104" s="477"/>
      <c r="H104" s="477"/>
      <c r="I104" s="478"/>
      <c r="J104" s="477" t="s">
        <v>282</v>
      </c>
      <c r="K104" s="245"/>
      <c r="L104" s="257"/>
      <c r="M104" s="597" t="s">
        <v>503</v>
      </c>
      <c r="N104" s="598"/>
      <c r="O104" s="299"/>
      <c r="P104" s="180"/>
      <c r="Q104" s="180">
        <v>10000000</v>
      </c>
      <c r="R104" s="181">
        <f t="shared" si="32"/>
        <v>31.847133757961782</v>
      </c>
      <c r="S104" s="181">
        <v>100</v>
      </c>
      <c r="T104" s="180">
        <f t="shared" si="23"/>
        <v>0</v>
      </c>
      <c r="U104" s="180">
        <f t="shared" si="33"/>
        <v>0</v>
      </c>
      <c r="V104" s="182">
        <f t="shared" si="25"/>
        <v>100</v>
      </c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>
        <v>0</v>
      </c>
      <c r="AJ104" s="181">
        <f t="shared" si="27"/>
        <v>0</v>
      </c>
      <c r="AK104" s="180">
        <f t="shared" si="30"/>
        <v>10000000</v>
      </c>
      <c r="AL104" s="181">
        <f t="shared" si="28"/>
        <v>100</v>
      </c>
      <c r="AM104" s="243"/>
    </row>
    <row r="105" spans="1:39" ht="26.25" customHeight="1" x14ac:dyDescent="0.25">
      <c r="A105" s="243"/>
      <c r="B105" s="477"/>
      <c r="C105" s="477"/>
      <c r="D105" s="477"/>
      <c r="E105" s="477"/>
      <c r="F105" s="477"/>
      <c r="G105" s="477"/>
      <c r="H105" s="477"/>
      <c r="I105" s="478"/>
      <c r="J105" s="477" t="s">
        <v>304</v>
      </c>
      <c r="K105" s="245"/>
      <c r="L105" s="257"/>
      <c r="M105" s="597" t="s">
        <v>549</v>
      </c>
      <c r="N105" s="598"/>
      <c r="O105" s="299"/>
      <c r="P105" s="180"/>
      <c r="Q105" s="180">
        <v>6000000</v>
      </c>
      <c r="R105" s="181">
        <f t="shared" si="32"/>
        <v>19.108280254777071</v>
      </c>
      <c r="S105" s="181">
        <v>100</v>
      </c>
      <c r="T105" s="180">
        <f t="shared" si="23"/>
        <v>50</v>
      </c>
      <c r="U105" s="180">
        <f t="shared" si="33"/>
        <v>9.5541401273885356</v>
      </c>
      <c r="V105" s="182">
        <f t="shared" si="25"/>
        <v>50</v>
      </c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>
        <f>500000+2500000</f>
        <v>3000000</v>
      </c>
      <c r="AJ105" s="181">
        <f t="shared" si="27"/>
        <v>50</v>
      </c>
      <c r="AK105" s="180">
        <f t="shared" si="30"/>
        <v>3000000</v>
      </c>
      <c r="AL105" s="181">
        <f t="shared" si="28"/>
        <v>50</v>
      </c>
      <c r="AM105" s="243"/>
    </row>
    <row r="106" spans="1:39" ht="26.25" customHeight="1" x14ac:dyDescent="0.25">
      <c r="A106" s="243"/>
      <c r="B106" s="477"/>
      <c r="C106" s="477"/>
      <c r="D106" s="477"/>
      <c r="E106" s="477"/>
      <c r="F106" s="477"/>
      <c r="G106" s="477"/>
      <c r="H106" s="477"/>
      <c r="I106" s="478"/>
      <c r="J106" s="477" t="s">
        <v>551</v>
      </c>
      <c r="K106" s="245"/>
      <c r="L106" s="257"/>
      <c r="M106" s="597" t="s">
        <v>550</v>
      </c>
      <c r="N106" s="598"/>
      <c r="O106" s="299"/>
      <c r="P106" s="180"/>
      <c r="Q106" s="180">
        <v>10800000</v>
      </c>
      <c r="R106" s="181">
        <f t="shared" si="32"/>
        <v>34.394904458598724</v>
      </c>
      <c r="S106" s="181">
        <v>100</v>
      </c>
      <c r="T106" s="180">
        <f t="shared" si="23"/>
        <v>58.333333333333336</v>
      </c>
      <c r="U106" s="180">
        <f t="shared" si="33"/>
        <v>20.063694267515924</v>
      </c>
      <c r="V106" s="182">
        <f t="shared" si="25"/>
        <v>41.666666666666664</v>
      </c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>
        <f>1800000+900000+900000+900000+900000+900000</f>
        <v>6300000</v>
      </c>
      <c r="AJ106" s="181">
        <f t="shared" si="27"/>
        <v>58.333333333333336</v>
      </c>
      <c r="AK106" s="180">
        <f t="shared" si="30"/>
        <v>4500000</v>
      </c>
      <c r="AL106" s="181">
        <f t="shared" si="28"/>
        <v>41.666666666666671</v>
      </c>
      <c r="AM106" s="243"/>
    </row>
    <row r="107" spans="1:39" ht="26.25" customHeight="1" x14ac:dyDescent="0.25">
      <c r="A107" s="243"/>
      <c r="B107" s="477"/>
      <c r="C107" s="477"/>
      <c r="D107" s="477"/>
      <c r="E107" s="477"/>
      <c r="F107" s="477"/>
      <c r="G107" s="477"/>
      <c r="H107" s="477"/>
      <c r="I107" s="478"/>
      <c r="J107" s="477" t="s">
        <v>553</v>
      </c>
      <c r="K107" s="245"/>
      <c r="L107" s="257"/>
      <c r="M107" s="597" t="s">
        <v>552</v>
      </c>
      <c r="N107" s="598"/>
      <c r="O107" s="299"/>
      <c r="P107" s="180"/>
      <c r="Q107" s="180">
        <v>1500000</v>
      </c>
      <c r="R107" s="181">
        <f t="shared" si="32"/>
        <v>4.7770700636942678</v>
      </c>
      <c r="S107" s="181">
        <v>100</v>
      </c>
      <c r="T107" s="180">
        <f t="shared" si="23"/>
        <v>0</v>
      </c>
      <c r="U107" s="180">
        <f t="shared" si="33"/>
        <v>0</v>
      </c>
      <c r="V107" s="182">
        <f t="shared" si="25"/>
        <v>100</v>
      </c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>
        <v>0</v>
      </c>
      <c r="AJ107" s="181">
        <f t="shared" si="27"/>
        <v>0</v>
      </c>
      <c r="AK107" s="180">
        <f t="shared" si="30"/>
        <v>1500000</v>
      </c>
      <c r="AL107" s="181">
        <f t="shared" si="28"/>
        <v>100</v>
      </c>
      <c r="AM107" s="243"/>
    </row>
    <row r="108" spans="1:39" ht="26.25" customHeight="1" x14ac:dyDescent="0.25">
      <c r="A108" s="243"/>
      <c r="B108" s="477"/>
      <c r="C108" s="477"/>
      <c r="D108" s="477"/>
      <c r="E108" s="477"/>
      <c r="F108" s="477"/>
      <c r="G108" s="477"/>
      <c r="H108" s="477"/>
      <c r="I108" s="478"/>
      <c r="J108" s="477" t="s">
        <v>554</v>
      </c>
      <c r="K108" s="245"/>
      <c r="L108" s="257"/>
      <c r="M108" s="597" t="s">
        <v>431</v>
      </c>
      <c r="N108" s="598"/>
      <c r="O108" s="299"/>
      <c r="P108" s="180"/>
      <c r="Q108" s="180">
        <v>2000000</v>
      </c>
      <c r="R108" s="181">
        <f t="shared" si="32"/>
        <v>6.369426751592357</v>
      </c>
      <c r="S108" s="181">
        <v>100</v>
      </c>
      <c r="T108" s="180">
        <f t="shared" si="23"/>
        <v>0</v>
      </c>
      <c r="U108" s="180">
        <f t="shared" si="33"/>
        <v>0</v>
      </c>
      <c r="V108" s="182">
        <f t="shared" si="25"/>
        <v>100</v>
      </c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>
        <v>0</v>
      </c>
      <c r="AJ108" s="181">
        <f t="shared" si="27"/>
        <v>0</v>
      </c>
      <c r="AK108" s="180">
        <f t="shared" si="30"/>
        <v>2000000</v>
      </c>
      <c r="AL108" s="181">
        <f t="shared" si="28"/>
        <v>100</v>
      </c>
      <c r="AM108" s="243"/>
    </row>
    <row r="109" spans="1:39" ht="26.25" customHeight="1" x14ac:dyDescent="0.25">
      <c r="A109" s="243"/>
      <c r="B109" s="477"/>
      <c r="C109" s="477"/>
      <c r="D109" s="477"/>
      <c r="E109" s="477"/>
      <c r="F109" s="477"/>
      <c r="G109" s="477"/>
      <c r="H109" s="477"/>
      <c r="I109" s="478"/>
      <c r="J109" s="477" t="s">
        <v>274</v>
      </c>
      <c r="K109" s="245"/>
      <c r="L109" s="257"/>
      <c r="M109" s="597" t="s">
        <v>555</v>
      </c>
      <c r="N109" s="598"/>
      <c r="O109" s="299"/>
      <c r="P109" s="180"/>
      <c r="Q109" s="180">
        <v>2500000</v>
      </c>
      <c r="R109" s="181">
        <f t="shared" si="32"/>
        <v>7.9617834394904454</v>
      </c>
      <c r="S109" s="181">
        <v>100</v>
      </c>
      <c r="T109" s="180">
        <f t="shared" si="23"/>
        <v>0</v>
      </c>
      <c r="U109" s="180">
        <f t="shared" si="33"/>
        <v>0</v>
      </c>
      <c r="V109" s="182">
        <f t="shared" si="25"/>
        <v>100</v>
      </c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>
        <v>0</v>
      </c>
      <c r="AJ109" s="181">
        <f t="shared" si="27"/>
        <v>0</v>
      </c>
      <c r="AK109" s="180">
        <f t="shared" si="30"/>
        <v>2500000</v>
      </c>
      <c r="AL109" s="181">
        <f t="shared" si="28"/>
        <v>100</v>
      </c>
      <c r="AM109" s="243"/>
    </row>
    <row r="110" spans="1:39" ht="26.25" customHeight="1" x14ac:dyDescent="0.25">
      <c r="A110" s="227">
        <f>A96+1</f>
        <v>14</v>
      </c>
      <c r="B110" s="615" t="s">
        <v>124</v>
      </c>
      <c r="C110" s="615"/>
      <c r="D110" s="615"/>
      <c r="E110" s="615"/>
      <c r="F110" s="615"/>
      <c r="G110" s="615"/>
      <c r="H110" s="615"/>
      <c r="I110" s="614"/>
      <c r="J110" s="482" t="s">
        <v>547</v>
      </c>
      <c r="K110" s="230"/>
      <c r="L110" s="294"/>
      <c r="M110" s="615" t="s">
        <v>556</v>
      </c>
      <c r="N110" s="614"/>
      <c r="O110" s="295">
        <v>17600000</v>
      </c>
      <c r="P110" s="231">
        <f>O110</f>
        <v>17600000</v>
      </c>
      <c r="Q110" s="231">
        <f>SUM(Q111:Q123)</f>
        <v>76640000</v>
      </c>
      <c r="R110" s="233">
        <f>Q110/Q$59*100</f>
        <v>3.0341495303253714</v>
      </c>
      <c r="S110" s="233">
        <v>100</v>
      </c>
      <c r="T110" s="231">
        <f t="shared" si="23"/>
        <v>46.02687891440501</v>
      </c>
      <c r="U110" s="231">
        <f t="shared" si="33"/>
        <v>1.3965243304048471</v>
      </c>
      <c r="V110" s="296">
        <f t="shared" si="25"/>
        <v>53.97312108559499</v>
      </c>
      <c r="W110" s="231"/>
      <c r="X110" s="231" t="e">
        <f>#REF!</f>
        <v>#REF!</v>
      </c>
      <c r="Y110" s="231" t="e">
        <f>#REF!</f>
        <v>#REF!</v>
      </c>
      <c r="Z110" s="231" t="e">
        <f>#REF!</f>
        <v>#REF!</v>
      </c>
      <c r="AA110" s="231" t="e">
        <f>#REF!</f>
        <v>#REF!</v>
      </c>
      <c r="AB110" s="231">
        <v>13150000</v>
      </c>
      <c r="AC110" s="231" t="e">
        <f>#REF!</f>
        <v>#REF!</v>
      </c>
      <c r="AD110" s="231" t="e">
        <f>#REF!</f>
        <v>#REF!</v>
      </c>
      <c r="AE110" s="231" t="e">
        <f>#REF!</f>
        <v>#REF!</v>
      </c>
      <c r="AF110" s="231" t="e">
        <f>[1]April!N47</f>
        <v>#REF!</v>
      </c>
      <c r="AG110" s="231" t="e">
        <f>[2]april!N47</f>
        <v>#REF!</v>
      </c>
      <c r="AH110" s="231" t="e">
        <f>'[3]DES SKPD'!$N47</f>
        <v>#REF!</v>
      </c>
      <c r="AI110" s="231">
        <f>SUM(AI111:AI123)</f>
        <v>35275000</v>
      </c>
      <c r="AJ110" s="233">
        <f t="shared" si="27"/>
        <v>46.02687891440501</v>
      </c>
      <c r="AK110" s="231">
        <f t="shared" si="30"/>
        <v>41365000</v>
      </c>
      <c r="AL110" s="233">
        <f t="shared" si="28"/>
        <v>53.97312108559499</v>
      </c>
      <c r="AM110" s="243"/>
    </row>
    <row r="111" spans="1:39" ht="26.25" customHeight="1" x14ac:dyDescent="0.25">
      <c r="A111" s="243"/>
      <c r="B111" s="477"/>
      <c r="C111" s="477"/>
      <c r="D111" s="477"/>
      <c r="E111" s="477"/>
      <c r="F111" s="477"/>
      <c r="G111" s="477"/>
      <c r="H111" s="477"/>
      <c r="I111" s="478"/>
      <c r="J111" s="477" t="s">
        <v>265</v>
      </c>
      <c r="K111" s="245"/>
      <c r="L111" s="257"/>
      <c r="M111" s="597" t="s">
        <v>266</v>
      </c>
      <c r="N111" s="598"/>
      <c r="O111" s="299"/>
      <c r="P111" s="180"/>
      <c r="Q111" s="180">
        <v>6530000</v>
      </c>
      <c r="R111" s="181">
        <f t="shared" ref="R111:R123" si="34">Q111/Q$94*100</f>
        <v>20.796178343949045</v>
      </c>
      <c r="S111" s="181">
        <v>100</v>
      </c>
      <c r="T111" s="180">
        <f t="shared" si="23"/>
        <v>49.770290964777949</v>
      </c>
      <c r="U111" s="180">
        <f>R111*T111/100</f>
        <v>10.35031847133758</v>
      </c>
      <c r="V111" s="182">
        <f t="shared" si="25"/>
        <v>50.229709035222051</v>
      </c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>
        <f>1600000+1650000</f>
        <v>3250000</v>
      </c>
      <c r="AJ111" s="181">
        <f t="shared" si="27"/>
        <v>49.770290964777949</v>
      </c>
      <c r="AK111" s="180">
        <f t="shared" si="30"/>
        <v>3280000</v>
      </c>
      <c r="AL111" s="181">
        <f t="shared" si="28"/>
        <v>50.229709035222051</v>
      </c>
      <c r="AM111" s="243"/>
    </row>
    <row r="112" spans="1:39" ht="26.25" customHeight="1" x14ac:dyDescent="0.25">
      <c r="A112" s="243"/>
      <c r="B112" s="477"/>
      <c r="C112" s="477"/>
      <c r="D112" s="477"/>
      <c r="E112" s="477"/>
      <c r="F112" s="477"/>
      <c r="G112" s="477"/>
      <c r="H112" s="477"/>
      <c r="I112" s="478"/>
      <c r="J112" s="477" t="s">
        <v>272</v>
      </c>
      <c r="K112" s="245"/>
      <c r="L112" s="257"/>
      <c r="M112" s="597" t="s">
        <v>429</v>
      </c>
      <c r="N112" s="598"/>
      <c r="O112" s="299"/>
      <c r="P112" s="180"/>
      <c r="Q112" s="180">
        <v>2000000</v>
      </c>
      <c r="R112" s="181">
        <f t="shared" si="34"/>
        <v>6.369426751592357</v>
      </c>
      <c r="S112" s="181">
        <v>100</v>
      </c>
      <c r="T112" s="180">
        <f t="shared" si="23"/>
        <v>50</v>
      </c>
      <c r="U112" s="180">
        <f t="shared" ref="U112:U123" si="35">R112*T112/100</f>
        <v>3.1847133757961785</v>
      </c>
      <c r="V112" s="182">
        <f t="shared" si="25"/>
        <v>50</v>
      </c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>
        <f>500000+500000</f>
        <v>1000000</v>
      </c>
      <c r="AJ112" s="181">
        <f t="shared" si="27"/>
        <v>50</v>
      </c>
      <c r="AK112" s="180">
        <f t="shared" si="30"/>
        <v>1000000</v>
      </c>
      <c r="AL112" s="181">
        <f t="shared" si="28"/>
        <v>50</v>
      </c>
      <c r="AM112" s="243"/>
    </row>
    <row r="113" spans="1:39" ht="26.25" customHeight="1" x14ac:dyDescent="0.25">
      <c r="A113" s="243"/>
      <c r="B113" s="477"/>
      <c r="C113" s="477"/>
      <c r="D113" s="477"/>
      <c r="E113" s="477"/>
      <c r="F113" s="477"/>
      <c r="G113" s="477"/>
      <c r="H113" s="477"/>
      <c r="I113" s="478"/>
      <c r="J113" s="477" t="s">
        <v>249</v>
      </c>
      <c r="K113" s="245"/>
      <c r="L113" s="257"/>
      <c r="M113" s="597" t="s">
        <v>250</v>
      </c>
      <c r="N113" s="598"/>
      <c r="O113" s="299"/>
      <c r="P113" s="180"/>
      <c r="Q113" s="180">
        <v>240000</v>
      </c>
      <c r="R113" s="181">
        <f t="shared" si="34"/>
        <v>0.76433121019108285</v>
      </c>
      <c r="S113" s="181">
        <v>100</v>
      </c>
      <c r="T113" s="180">
        <f t="shared" si="23"/>
        <v>50</v>
      </c>
      <c r="U113" s="180">
        <f t="shared" si="35"/>
        <v>0.38216560509554143</v>
      </c>
      <c r="V113" s="182">
        <f t="shared" si="25"/>
        <v>50</v>
      </c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>
        <f>60000+60000</f>
        <v>120000</v>
      </c>
      <c r="AJ113" s="181">
        <f t="shared" si="27"/>
        <v>50</v>
      </c>
      <c r="AK113" s="180">
        <f t="shared" si="30"/>
        <v>120000</v>
      </c>
      <c r="AL113" s="181">
        <f t="shared" si="28"/>
        <v>50</v>
      </c>
      <c r="AM113" s="243"/>
    </row>
    <row r="114" spans="1:39" ht="26.25" customHeight="1" x14ac:dyDescent="0.25">
      <c r="A114" s="243"/>
      <c r="B114" s="477"/>
      <c r="C114" s="477"/>
      <c r="D114" s="477"/>
      <c r="E114" s="477"/>
      <c r="F114" s="477"/>
      <c r="G114" s="477"/>
      <c r="H114" s="477"/>
      <c r="I114" s="478"/>
      <c r="J114" s="477" t="s">
        <v>261</v>
      </c>
      <c r="K114" s="245"/>
      <c r="L114" s="257"/>
      <c r="M114" s="597" t="s">
        <v>262</v>
      </c>
      <c r="N114" s="598"/>
      <c r="O114" s="299"/>
      <c r="P114" s="180"/>
      <c r="Q114" s="180">
        <v>3300000</v>
      </c>
      <c r="R114" s="181">
        <f t="shared" si="34"/>
        <v>10.509554140127388</v>
      </c>
      <c r="S114" s="181">
        <v>100</v>
      </c>
      <c r="T114" s="180">
        <f t="shared" si="23"/>
        <v>48.484848484848484</v>
      </c>
      <c r="U114" s="180">
        <f t="shared" si="35"/>
        <v>5.0955414012738851</v>
      </c>
      <c r="V114" s="182">
        <f t="shared" si="25"/>
        <v>51.515151515151516</v>
      </c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>
        <f>800000+800000</f>
        <v>1600000</v>
      </c>
      <c r="AJ114" s="181">
        <f t="shared" si="27"/>
        <v>48.484848484848484</v>
      </c>
      <c r="AK114" s="180">
        <f t="shared" si="30"/>
        <v>1700000</v>
      </c>
      <c r="AL114" s="181">
        <f t="shared" si="28"/>
        <v>51.515151515151516</v>
      </c>
      <c r="AM114" s="243"/>
    </row>
    <row r="115" spans="1:39" ht="26.25" customHeight="1" x14ac:dyDescent="0.25">
      <c r="A115" s="243"/>
      <c r="B115" s="477"/>
      <c r="C115" s="477"/>
      <c r="D115" s="477"/>
      <c r="E115" s="477"/>
      <c r="F115" s="477"/>
      <c r="G115" s="477"/>
      <c r="H115" s="477"/>
      <c r="I115" s="478"/>
      <c r="J115" s="477" t="s">
        <v>409</v>
      </c>
      <c r="K115" s="245"/>
      <c r="L115" s="257"/>
      <c r="M115" s="597" t="s">
        <v>410</v>
      </c>
      <c r="N115" s="598"/>
      <c r="O115" s="299"/>
      <c r="P115" s="180"/>
      <c r="Q115" s="180">
        <v>12000000</v>
      </c>
      <c r="R115" s="181">
        <f t="shared" si="34"/>
        <v>38.216560509554142</v>
      </c>
      <c r="S115" s="181">
        <v>101</v>
      </c>
      <c r="T115" s="180">
        <f t="shared" si="23"/>
        <v>41.291666666666664</v>
      </c>
      <c r="U115" s="180">
        <f t="shared" si="35"/>
        <v>15.780254777070063</v>
      </c>
      <c r="V115" s="182">
        <f t="shared" si="25"/>
        <v>59.708333333333336</v>
      </c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>
        <f>982500+1987500+1985000</f>
        <v>4955000</v>
      </c>
      <c r="AJ115" s="181">
        <f t="shared" si="27"/>
        <v>41.291666666666664</v>
      </c>
      <c r="AK115" s="180">
        <f t="shared" si="30"/>
        <v>7045000</v>
      </c>
      <c r="AL115" s="181">
        <f t="shared" si="28"/>
        <v>58.708333333333329</v>
      </c>
      <c r="AM115" s="243"/>
    </row>
    <row r="116" spans="1:39" ht="26.25" customHeight="1" x14ac:dyDescent="0.25">
      <c r="A116" s="243"/>
      <c r="B116" s="477"/>
      <c r="C116" s="477"/>
      <c r="D116" s="477"/>
      <c r="E116" s="477"/>
      <c r="F116" s="477"/>
      <c r="G116" s="477"/>
      <c r="H116" s="477"/>
      <c r="I116" s="478"/>
      <c r="J116" s="477" t="s">
        <v>315</v>
      </c>
      <c r="K116" s="245"/>
      <c r="L116" s="257"/>
      <c r="M116" s="597" t="s">
        <v>271</v>
      </c>
      <c r="N116" s="598"/>
      <c r="O116" s="299"/>
      <c r="P116" s="180"/>
      <c r="Q116" s="180">
        <v>2000000</v>
      </c>
      <c r="R116" s="181">
        <f t="shared" si="34"/>
        <v>6.369426751592357</v>
      </c>
      <c r="S116" s="181">
        <v>100</v>
      </c>
      <c r="T116" s="180">
        <f t="shared" si="23"/>
        <v>50</v>
      </c>
      <c r="U116" s="180">
        <f t="shared" si="35"/>
        <v>3.1847133757961785</v>
      </c>
      <c r="V116" s="182">
        <f t="shared" si="25"/>
        <v>50</v>
      </c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>
        <f>500000+500000</f>
        <v>1000000</v>
      </c>
      <c r="AJ116" s="181">
        <f t="shared" si="27"/>
        <v>50</v>
      </c>
      <c r="AK116" s="180">
        <f t="shared" si="30"/>
        <v>1000000</v>
      </c>
      <c r="AL116" s="181">
        <f t="shared" si="28"/>
        <v>50</v>
      </c>
      <c r="AM116" s="243"/>
    </row>
    <row r="117" spans="1:39" ht="26.25" customHeight="1" x14ac:dyDescent="0.25">
      <c r="A117" s="243"/>
      <c r="B117" s="477"/>
      <c r="C117" s="477"/>
      <c r="D117" s="477"/>
      <c r="E117" s="477"/>
      <c r="F117" s="477"/>
      <c r="G117" s="477"/>
      <c r="H117" s="477"/>
      <c r="I117" s="478"/>
      <c r="J117" s="477" t="s">
        <v>278</v>
      </c>
      <c r="K117" s="245"/>
      <c r="L117" s="257"/>
      <c r="M117" s="597" t="s">
        <v>279</v>
      </c>
      <c r="N117" s="598"/>
      <c r="O117" s="299"/>
      <c r="P117" s="180"/>
      <c r="Q117" s="180">
        <v>2160000</v>
      </c>
      <c r="R117" s="181">
        <f t="shared" si="34"/>
        <v>6.8789808917197455</v>
      </c>
      <c r="S117" s="181">
        <v>100</v>
      </c>
      <c r="T117" s="180">
        <f t="shared" si="23"/>
        <v>46.296296296296298</v>
      </c>
      <c r="U117" s="180">
        <f t="shared" si="35"/>
        <v>3.1847133757961785</v>
      </c>
      <c r="V117" s="182">
        <f t="shared" si="25"/>
        <v>53.703703703703702</v>
      </c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>
        <f>500000+500000</f>
        <v>1000000</v>
      </c>
      <c r="AJ117" s="181">
        <f t="shared" si="27"/>
        <v>46.296296296296298</v>
      </c>
      <c r="AK117" s="180">
        <f t="shared" si="30"/>
        <v>1160000</v>
      </c>
      <c r="AL117" s="181">
        <f t="shared" si="28"/>
        <v>53.703703703703709</v>
      </c>
      <c r="AM117" s="243"/>
    </row>
    <row r="118" spans="1:39" ht="26.25" customHeight="1" x14ac:dyDescent="0.25">
      <c r="A118" s="243"/>
      <c r="B118" s="477"/>
      <c r="C118" s="477"/>
      <c r="D118" s="477"/>
      <c r="E118" s="477"/>
      <c r="F118" s="477"/>
      <c r="G118" s="477"/>
      <c r="H118" s="477"/>
      <c r="I118" s="478"/>
      <c r="J118" s="477" t="s">
        <v>284</v>
      </c>
      <c r="K118" s="245"/>
      <c r="L118" s="257"/>
      <c r="M118" s="597" t="s">
        <v>285</v>
      </c>
      <c r="N118" s="598"/>
      <c r="O118" s="299"/>
      <c r="P118" s="180"/>
      <c r="Q118" s="180">
        <v>18900000</v>
      </c>
      <c r="R118" s="181">
        <f t="shared" si="34"/>
        <v>60.191082802547768</v>
      </c>
      <c r="S118" s="181">
        <v>100</v>
      </c>
      <c r="T118" s="180">
        <f t="shared" si="23"/>
        <v>50</v>
      </c>
      <c r="U118" s="180">
        <f t="shared" si="35"/>
        <v>30.095541401273884</v>
      </c>
      <c r="V118" s="182">
        <f t="shared" si="25"/>
        <v>50</v>
      </c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>
        <f>4650000+4800000</f>
        <v>9450000</v>
      </c>
      <c r="AJ118" s="181">
        <f t="shared" si="27"/>
        <v>50</v>
      </c>
      <c r="AK118" s="180">
        <f t="shared" si="30"/>
        <v>9450000</v>
      </c>
      <c r="AL118" s="181">
        <f t="shared" si="28"/>
        <v>50</v>
      </c>
      <c r="AM118" s="243"/>
    </row>
    <row r="119" spans="1:39" ht="26.25" customHeight="1" x14ac:dyDescent="0.25">
      <c r="A119" s="243"/>
      <c r="B119" s="477"/>
      <c r="C119" s="477"/>
      <c r="D119" s="477"/>
      <c r="E119" s="477"/>
      <c r="F119" s="477"/>
      <c r="G119" s="477"/>
      <c r="H119" s="477"/>
      <c r="I119" s="478"/>
      <c r="J119" s="477" t="s">
        <v>282</v>
      </c>
      <c r="K119" s="245"/>
      <c r="L119" s="257"/>
      <c r="M119" s="597" t="s">
        <v>503</v>
      </c>
      <c r="N119" s="598"/>
      <c r="O119" s="299"/>
      <c r="P119" s="180"/>
      <c r="Q119" s="180">
        <v>4110000</v>
      </c>
      <c r="R119" s="181">
        <f t="shared" si="34"/>
        <v>13.089171974522293</v>
      </c>
      <c r="S119" s="181">
        <v>100</v>
      </c>
      <c r="T119" s="180">
        <f t="shared" si="23"/>
        <v>0</v>
      </c>
      <c r="U119" s="180">
        <f t="shared" si="35"/>
        <v>0</v>
      </c>
      <c r="V119" s="182">
        <f t="shared" si="25"/>
        <v>100</v>
      </c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>
        <v>0</v>
      </c>
      <c r="AJ119" s="181">
        <f t="shared" si="27"/>
        <v>0</v>
      </c>
      <c r="AK119" s="180">
        <f t="shared" si="30"/>
        <v>4110000</v>
      </c>
      <c r="AL119" s="181">
        <f t="shared" si="28"/>
        <v>100</v>
      </c>
      <c r="AM119" s="243"/>
    </row>
    <row r="120" spans="1:39" ht="26.25" customHeight="1" x14ac:dyDescent="0.25">
      <c r="A120" s="243"/>
      <c r="B120" s="477"/>
      <c r="C120" s="477"/>
      <c r="D120" s="477"/>
      <c r="E120" s="477"/>
      <c r="F120" s="477"/>
      <c r="G120" s="477"/>
      <c r="H120" s="477"/>
      <c r="I120" s="478"/>
      <c r="J120" s="477" t="s">
        <v>304</v>
      </c>
      <c r="K120" s="245"/>
      <c r="L120" s="257"/>
      <c r="M120" s="597" t="s">
        <v>549</v>
      </c>
      <c r="N120" s="598"/>
      <c r="O120" s="299"/>
      <c r="P120" s="180"/>
      <c r="Q120" s="180">
        <v>2000000</v>
      </c>
      <c r="R120" s="181">
        <f t="shared" si="34"/>
        <v>6.369426751592357</v>
      </c>
      <c r="S120" s="181">
        <v>100</v>
      </c>
      <c r="T120" s="180">
        <f t="shared" si="23"/>
        <v>50</v>
      </c>
      <c r="U120" s="180">
        <f t="shared" si="35"/>
        <v>3.1847133757961785</v>
      </c>
      <c r="V120" s="182">
        <f t="shared" si="25"/>
        <v>50</v>
      </c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>
        <f>500000+500000</f>
        <v>1000000</v>
      </c>
      <c r="AJ120" s="181">
        <f t="shared" si="27"/>
        <v>50</v>
      </c>
      <c r="AK120" s="180">
        <f t="shared" si="30"/>
        <v>1000000</v>
      </c>
      <c r="AL120" s="181">
        <f t="shared" si="28"/>
        <v>50</v>
      </c>
      <c r="AM120" s="243"/>
    </row>
    <row r="121" spans="1:39" ht="26.25" customHeight="1" x14ac:dyDescent="0.25">
      <c r="A121" s="243"/>
      <c r="B121" s="477"/>
      <c r="C121" s="477"/>
      <c r="D121" s="477"/>
      <c r="E121" s="477"/>
      <c r="F121" s="477"/>
      <c r="G121" s="477"/>
      <c r="H121" s="477"/>
      <c r="I121" s="478"/>
      <c r="J121" s="477" t="s">
        <v>551</v>
      </c>
      <c r="K121" s="245"/>
      <c r="L121" s="257"/>
      <c r="M121" s="597" t="s">
        <v>550</v>
      </c>
      <c r="N121" s="598"/>
      <c r="O121" s="299"/>
      <c r="P121" s="180"/>
      <c r="Q121" s="180">
        <v>20400000</v>
      </c>
      <c r="R121" s="181">
        <f t="shared" si="34"/>
        <v>64.968152866242036</v>
      </c>
      <c r="S121" s="181">
        <v>100</v>
      </c>
      <c r="T121" s="180">
        <f t="shared" si="23"/>
        <v>58.333333333333336</v>
      </c>
      <c r="U121" s="180">
        <f t="shared" si="35"/>
        <v>37.898089171974519</v>
      </c>
      <c r="V121" s="182">
        <f t="shared" si="25"/>
        <v>41.666666666666664</v>
      </c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>
        <f>3400000+1700000+1700000+1700000+1700000+1700000</f>
        <v>11900000</v>
      </c>
      <c r="AJ121" s="181">
        <f t="shared" si="27"/>
        <v>58.333333333333336</v>
      </c>
      <c r="AK121" s="180">
        <f t="shared" si="30"/>
        <v>8500000</v>
      </c>
      <c r="AL121" s="181">
        <f t="shared" si="28"/>
        <v>41.666666666666671</v>
      </c>
      <c r="AM121" s="243"/>
    </row>
    <row r="122" spans="1:39" ht="26.25" customHeight="1" x14ac:dyDescent="0.25">
      <c r="A122" s="243"/>
      <c r="B122" s="477"/>
      <c r="C122" s="477"/>
      <c r="D122" s="477"/>
      <c r="E122" s="477"/>
      <c r="F122" s="477"/>
      <c r="G122" s="477"/>
      <c r="H122" s="477"/>
      <c r="I122" s="478"/>
      <c r="J122" s="477" t="s">
        <v>554</v>
      </c>
      <c r="K122" s="245"/>
      <c r="L122" s="257"/>
      <c r="M122" s="597" t="s">
        <v>431</v>
      </c>
      <c r="N122" s="598"/>
      <c r="O122" s="299"/>
      <c r="P122" s="180"/>
      <c r="Q122" s="180">
        <v>2000000</v>
      </c>
      <c r="R122" s="181">
        <f t="shared" si="34"/>
        <v>6.369426751592357</v>
      </c>
      <c r="S122" s="181">
        <v>100</v>
      </c>
      <c r="T122" s="180">
        <f t="shared" si="23"/>
        <v>0</v>
      </c>
      <c r="U122" s="180">
        <f t="shared" si="35"/>
        <v>0</v>
      </c>
      <c r="V122" s="182">
        <f t="shared" si="25"/>
        <v>100</v>
      </c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>
        <v>0</v>
      </c>
      <c r="AJ122" s="181">
        <f t="shared" si="27"/>
        <v>0</v>
      </c>
      <c r="AK122" s="180">
        <f t="shared" si="30"/>
        <v>2000000</v>
      </c>
      <c r="AL122" s="181">
        <f t="shared" si="28"/>
        <v>100</v>
      </c>
      <c r="AM122" s="243"/>
    </row>
    <row r="123" spans="1:39" ht="26.25" customHeight="1" x14ac:dyDescent="0.25">
      <c r="A123" s="243"/>
      <c r="B123" s="477"/>
      <c r="C123" s="477"/>
      <c r="D123" s="477"/>
      <c r="E123" s="477"/>
      <c r="F123" s="477"/>
      <c r="G123" s="477"/>
      <c r="H123" s="477"/>
      <c r="I123" s="478"/>
      <c r="J123" s="477" t="s">
        <v>274</v>
      </c>
      <c r="K123" s="245"/>
      <c r="L123" s="257"/>
      <c r="M123" s="597" t="s">
        <v>555</v>
      </c>
      <c r="N123" s="598"/>
      <c r="O123" s="299"/>
      <c r="P123" s="180"/>
      <c r="Q123" s="180">
        <v>1000000</v>
      </c>
      <c r="R123" s="181">
        <f t="shared" si="34"/>
        <v>3.1847133757961785</v>
      </c>
      <c r="S123" s="181">
        <v>100</v>
      </c>
      <c r="T123" s="180">
        <f t="shared" si="23"/>
        <v>0</v>
      </c>
      <c r="U123" s="180">
        <f t="shared" si="35"/>
        <v>0</v>
      </c>
      <c r="V123" s="182">
        <f t="shared" si="25"/>
        <v>100</v>
      </c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>
        <v>0</v>
      </c>
      <c r="AJ123" s="181">
        <f t="shared" si="27"/>
        <v>0</v>
      </c>
      <c r="AK123" s="180">
        <f t="shared" si="30"/>
        <v>1000000</v>
      </c>
      <c r="AL123" s="181">
        <f t="shared" si="28"/>
        <v>100</v>
      </c>
      <c r="AM123" s="243"/>
    </row>
    <row r="124" spans="1:39" s="226" customFormat="1" ht="27" customHeight="1" x14ac:dyDescent="0.25">
      <c r="A124" s="289" t="s">
        <v>8</v>
      </c>
      <c r="B124" s="625" t="s">
        <v>125</v>
      </c>
      <c r="C124" s="625"/>
      <c r="D124" s="625"/>
      <c r="E124" s="625"/>
      <c r="F124" s="625"/>
      <c r="G124" s="625"/>
      <c r="H124" s="625"/>
      <c r="I124" s="625"/>
      <c r="J124" s="483" t="s">
        <v>440</v>
      </c>
      <c r="K124" s="291"/>
      <c r="L124" s="608" t="s">
        <v>23</v>
      </c>
      <c r="M124" s="625"/>
      <c r="N124" s="625"/>
      <c r="O124" s="263">
        <f>SUM(O127:O158)</f>
        <v>2275595000</v>
      </c>
      <c r="P124" s="263">
        <f>SUM(P127:P158)</f>
        <v>1979635000</v>
      </c>
      <c r="Q124" s="263">
        <f>SUM(Q125+Q127+Q139+Q141+Q144+Q148+Q155+Q157+Q159)</f>
        <v>3511736000</v>
      </c>
      <c r="R124" s="222">
        <f>Q124/Q$58*100</f>
        <v>17.402955822649453</v>
      </c>
      <c r="S124" s="222">
        <v>100</v>
      </c>
      <c r="T124" s="263">
        <f t="shared" si="23"/>
        <v>67.36642939560376</v>
      </c>
      <c r="U124" s="263">
        <f>SUM(R124*T124/100)</f>
        <v>11.723749947013257</v>
      </c>
      <c r="V124" s="292">
        <f>SUM(S124-T124)</f>
        <v>32.63357060439624</v>
      </c>
      <c r="W124" s="263">
        <f t="shared" ref="W124:AH124" si="36">SUM(W127:W158)</f>
        <v>0</v>
      </c>
      <c r="X124" s="263" t="e">
        <f t="shared" si="36"/>
        <v>#REF!</v>
      </c>
      <c r="Y124" s="263" t="e">
        <f t="shared" si="36"/>
        <v>#REF!</v>
      </c>
      <c r="Z124" s="263" t="e">
        <f t="shared" si="36"/>
        <v>#REF!</v>
      </c>
      <c r="AA124" s="263" t="e">
        <f t="shared" si="36"/>
        <v>#REF!</v>
      </c>
      <c r="AB124" s="263">
        <f t="shared" si="36"/>
        <v>3331855358</v>
      </c>
      <c r="AC124" s="263" t="e">
        <f t="shared" si="36"/>
        <v>#REF!</v>
      </c>
      <c r="AD124" s="263" t="e">
        <f t="shared" si="36"/>
        <v>#REF!</v>
      </c>
      <c r="AE124" s="263" t="e">
        <f t="shared" si="36"/>
        <v>#REF!</v>
      </c>
      <c r="AF124" s="263" t="e">
        <f t="shared" si="36"/>
        <v>#REF!</v>
      </c>
      <c r="AG124" s="263" t="e">
        <f t="shared" si="36"/>
        <v>#REF!</v>
      </c>
      <c r="AH124" s="263" t="e">
        <f t="shared" si="36"/>
        <v>#REF!</v>
      </c>
      <c r="AI124" s="263">
        <f>SUM(AI125+AI127+AI139+AI141+AI144+AI148+AI155+AI157+AI159)</f>
        <v>2365731153</v>
      </c>
      <c r="AJ124" s="222">
        <f t="shared" si="27"/>
        <v>67.36642939560376</v>
      </c>
      <c r="AK124" s="263">
        <f>SUM(Q124-AI124)</f>
        <v>1146004847</v>
      </c>
      <c r="AL124" s="222">
        <f t="shared" si="28"/>
        <v>32.633570604396226</v>
      </c>
      <c r="AM124" s="236"/>
    </row>
    <row r="125" spans="1:39" s="235" customFormat="1" ht="27" customHeight="1" x14ac:dyDescent="0.25">
      <c r="A125" s="227">
        <f>A110+1</f>
        <v>15</v>
      </c>
      <c r="B125" s="615" t="s">
        <v>126</v>
      </c>
      <c r="C125" s="615"/>
      <c r="D125" s="615"/>
      <c r="E125" s="615"/>
      <c r="F125" s="615"/>
      <c r="G125" s="615"/>
      <c r="H125" s="615"/>
      <c r="I125" s="614"/>
      <c r="J125" s="304" t="s">
        <v>557</v>
      </c>
      <c r="K125" s="230"/>
      <c r="L125" s="294"/>
      <c r="M125" s="615" t="s">
        <v>558</v>
      </c>
      <c r="N125" s="614"/>
      <c r="O125" s="295">
        <v>833155000</v>
      </c>
      <c r="P125" s="231">
        <f>O125</f>
        <v>833155000</v>
      </c>
      <c r="Q125" s="231">
        <f>SUM(Q126)</f>
        <v>318296000</v>
      </c>
      <c r="R125" s="233">
        <f>Q125/Q$59*100</f>
        <v>12.60122206294943</v>
      </c>
      <c r="S125" s="233">
        <v>100</v>
      </c>
      <c r="T125" s="231">
        <f t="shared" si="23"/>
        <v>35.419860758539222</v>
      </c>
      <c r="U125" s="231">
        <f t="shared" ref="U125:U140" si="37">R125*T125/100</f>
        <v>4.4633353085710121</v>
      </c>
      <c r="V125" s="296">
        <f t="shared" ref="V125:V126" si="38">S125-T125</f>
        <v>64.580139241460785</v>
      </c>
      <c r="W125" s="231"/>
      <c r="X125" s="231" t="e">
        <f>#REF!</f>
        <v>#REF!</v>
      </c>
      <c r="Y125" s="231" t="e">
        <f>#REF!</f>
        <v>#REF!</v>
      </c>
      <c r="Z125" s="231" t="e">
        <f>#REF!</f>
        <v>#REF!</v>
      </c>
      <c r="AA125" s="231" t="e">
        <f>#REF!</f>
        <v>#REF!</v>
      </c>
      <c r="AB125" s="231">
        <v>139212000</v>
      </c>
      <c r="AC125" s="231" t="e">
        <f>#REF!</f>
        <v>#REF!</v>
      </c>
      <c r="AD125" s="231" t="e">
        <f>#REF!</f>
        <v>#REF!</v>
      </c>
      <c r="AE125" s="231" t="e">
        <f>#REF!</f>
        <v>#REF!</v>
      </c>
      <c r="AF125" s="231" t="e">
        <f>[1]April!N30</f>
        <v>#REF!</v>
      </c>
      <c r="AG125" s="231" t="e">
        <f>[2]april!N30</f>
        <v>#REF!</v>
      </c>
      <c r="AH125" s="231">
        <f>'[3]DES SKPD'!$N30</f>
        <v>660543350</v>
      </c>
      <c r="AI125" s="231">
        <f>SUM(AI126)</f>
        <v>112740000</v>
      </c>
      <c r="AJ125" s="233">
        <f t="shared" si="27"/>
        <v>35.419860758539222</v>
      </c>
      <c r="AK125" s="231">
        <f t="shared" ref="AK125:AK160" si="39">Q125-AI125</f>
        <v>205556000</v>
      </c>
      <c r="AL125" s="233">
        <f t="shared" si="28"/>
        <v>64.58013924146077</v>
      </c>
      <c r="AM125" s="227"/>
    </row>
    <row r="126" spans="1:39" s="235" customFormat="1" ht="27" customHeight="1" x14ac:dyDescent="0.25">
      <c r="A126" s="243"/>
      <c r="B126" s="477"/>
      <c r="C126" s="477"/>
      <c r="D126" s="477"/>
      <c r="E126" s="477"/>
      <c r="F126" s="477"/>
      <c r="G126" s="477"/>
      <c r="H126" s="477"/>
      <c r="I126" s="478"/>
      <c r="J126" s="477" t="s">
        <v>434</v>
      </c>
      <c r="K126" s="245"/>
      <c r="L126" s="257"/>
      <c r="M126" s="597" t="s">
        <v>559</v>
      </c>
      <c r="N126" s="598"/>
      <c r="O126" s="299"/>
      <c r="P126" s="180"/>
      <c r="Q126" s="180">
        <v>318296000</v>
      </c>
      <c r="R126" s="181">
        <f t="shared" ref="R126" si="40">Q126/Q$94*100</f>
        <v>1013.6815286624204</v>
      </c>
      <c r="S126" s="181">
        <v>100</v>
      </c>
      <c r="T126" s="180">
        <f t="shared" si="23"/>
        <v>35.419860758539222</v>
      </c>
      <c r="U126" s="180">
        <f t="shared" si="37"/>
        <v>359.04458598726114</v>
      </c>
      <c r="V126" s="182">
        <f t="shared" si="38"/>
        <v>64.580139241460785</v>
      </c>
      <c r="W126" s="180"/>
      <c r="X126" s="180" t="e">
        <f>#REF!</f>
        <v>#REF!</v>
      </c>
      <c r="Y126" s="180" t="e">
        <f>#REF!</f>
        <v>#REF!</v>
      </c>
      <c r="Z126" s="180" t="e">
        <f>#REF!</f>
        <v>#REF!</v>
      </c>
      <c r="AA126" s="180" t="e">
        <f>#REF!</f>
        <v>#REF!</v>
      </c>
      <c r="AB126" s="180">
        <v>139212001</v>
      </c>
      <c r="AC126" s="180" t="e">
        <f>#REF!</f>
        <v>#REF!</v>
      </c>
      <c r="AD126" s="180" t="e">
        <f>#REF!</f>
        <v>#REF!</v>
      </c>
      <c r="AE126" s="180" t="e">
        <f>#REF!</f>
        <v>#REF!</v>
      </c>
      <c r="AF126" s="180" t="e">
        <f>[1]April!N32</f>
        <v>#REF!</v>
      </c>
      <c r="AG126" s="180" t="e">
        <f>[2]april!N32</f>
        <v>#REF!</v>
      </c>
      <c r="AH126" s="180" t="e">
        <f>'[3]DES SKPD'!$N32</f>
        <v>#REF!</v>
      </c>
      <c r="AI126" s="180">
        <f>61250000+51490000</f>
        <v>112740000</v>
      </c>
      <c r="AJ126" s="181">
        <f t="shared" si="27"/>
        <v>35.419860758539222</v>
      </c>
      <c r="AK126" s="180">
        <f t="shared" si="39"/>
        <v>205556000</v>
      </c>
      <c r="AL126" s="181">
        <f t="shared" si="28"/>
        <v>64.58013924146077</v>
      </c>
      <c r="AM126" s="227"/>
    </row>
    <row r="127" spans="1:39" s="297" customFormat="1" ht="33" customHeight="1" x14ac:dyDescent="0.25">
      <c r="A127" s="227">
        <f>A125+1</f>
        <v>16</v>
      </c>
      <c r="B127" s="615" t="s">
        <v>126</v>
      </c>
      <c r="C127" s="615"/>
      <c r="D127" s="615"/>
      <c r="E127" s="615"/>
      <c r="F127" s="615"/>
      <c r="G127" s="615"/>
      <c r="H127" s="615"/>
      <c r="I127" s="614"/>
      <c r="J127" s="304" t="s">
        <v>455</v>
      </c>
      <c r="K127" s="230"/>
      <c r="L127" s="294"/>
      <c r="M127" s="615" t="s">
        <v>24</v>
      </c>
      <c r="N127" s="614"/>
      <c r="O127" s="295">
        <v>833155000</v>
      </c>
      <c r="P127" s="231">
        <f>O127</f>
        <v>833155000</v>
      </c>
      <c r="Q127" s="231">
        <f>SUM(Q128:Q138)</f>
        <v>1068800000</v>
      </c>
      <c r="R127" s="233">
        <f>Q127/Q$59*100</f>
        <v>42.313400548170108</v>
      </c>
      <c r="S127" s="233">
        <v>100</v>
      </c>
      <c r="T127" s="231">
        <f t="shared" si="23"/>
        <v>86.810366766467055</v>
      </c>
      <c r="U127" s="231">
        <f t="shared" si="37"/>
        <v>36.732418207230751</v>
      </c>
      <c r="V127" s="296">
        <f t="shared" si="25"/>
        <v>13.189633233532945</v>
      </c>
      <c r="W127" s="231"/>
      <c r="X127" s="231" t="e">
        <f>#REF!</f>
        <v>#REF!</v>
      </c>
      <c r="Y127" s="231" t="e">
        <f>#REF!</f>
        <v>#REF!</v>
      </c>
      <c r="Z127" s="231" t="e">
        <f>#REF!</f>
        <v>#REF!</v>
      </c>
      <c r="AA127" s="231" t="e">
        <f>#REF!</f>
        <v>#REF!</v>
      </c>
      <c r="AB127" s="231">
        <v>139212000</v>
      </c>
      <c r="AC127" s="231" t="e">
        <f>#REF!</f>
        <v>#REF!</v>
      </c>
      <c r="AD127" s="231" t="e">
        <f>#REF!</f>
        <v>#REF!</v>
      </c>
      <c r="AE127" s="231" t="e">
        <f>#REF!</f>
        <v>#REF!</v>
      </c>
      <c r="AF127" s="231" t="e">
        <f>[1]April!N35</f>
        <v>#REF!</v>
      </c>
      <c r="AG127" s="231" t="e">
        <f>[2]april!N35</f>
        <v>#REF!</v>
      </c>
      <c r="AH127" s="231">
        <f>'[3]DES SKPD'!$N35</f>
        <v>979532000</v>
      </c>
      <c r="AI127" s="231">
        <f>SUM(AI128:AI138)</f>
        <v>927829200</v>
      </c>
      <c r="AJ127" s="233">
        <f t="shared" si="27"/>
        <v>86.810366766467055</v>
      </c>
      <c r="AK127" s="231">
        <f t="shared" si="39"/>
        <v>140970800</v>
      </c>
      <c r="AL127" s="233">
        <f t="shared" si="28"/>
        <v>13.189633233532936</v>
      </c>
      <c r="AM127" s="227"/>
    </row>
    <row r="128" spans="1:39" ht="24.75" customHeight="1" x14ac:dyDescent="0.25">
      <c r="A128" s="243"/>
      <c r="B128" s="477"/>
      <c r="C128" s="477"/>
      <c r="D128" s="477"/>
      <c r="E128" s="477"/>
      <c r="F128" s="477"/>
      <c r="G128" s="477"/>
      <c r="H128" s="477"/>
      <c r="I128" s="478"/>
      <c r="J128" s="477" t="s">
        <v>561</v>
      </c>
      <c r="K128" s="245"/>
      <c r="L128" s="257"/>
      <c r="M128" s="597" t="s">
        <v>560</v>
      </c>
      <c r="N128" s="598"/>
      <c r="O128" s="299"/>
      <c r="P128" s="180"/>
      <c r="Q128" s="180">
        <v>35000000</v>
      </c>
      <c r="R128" s="181">
        <f t="shared" ref="R128:R138" si="41">Q128/Q$127*100</f>
        <v>3.2747005988023949</v>
      </c>
      <c r="S128" s="181">
        <v>100</v>
      </c>
      <c r="T128" s="180">
        <f t="shared" si="23"/>
        <v>99.285714285714292</v>
      </c>
      <c r="U128" s="180">
        <f t="shared" si="37"/>
        <v>3.2513098802395213</v>
      </c>
      <c r="V128" s="182">
        <f t="shared" si="25"/>
        <v>0.7142857142857082</v>
      </c>
      <c r="W128" s="180"/>
      <c r="X128" s="180" t="e">
        <f>#REF!</f>
        <v>#REF!</v>
      </c>
      <c r="Y128" s="180" t="e">
        <f>#REF!</f>
        <v>#REF!</v>
      </c>
      <c r="Z128" s="180" t="e">
        <f>#REF!</f>
        <v>#REF!</v>
      </c>
      <c r="AA128" s="180" t="e">
        <f>#REF!</f>
        <v>#REF!</v>
      </c>
      <c r="AB128" s="180">
        <v>139212001</v>
      </c>
      <c r="AC128" s="180" t="e">
        <f>#REF!</f>
        <v>#REF!</v>
      </c>
      <c r="AD128" s="180" t="e">
        <f>#REF!</f>
        <v>#REF!</v>
      </c>
      <c r="AE128" s="180" t="e">
        <f>#REF!</f>
        <v>#REF!</v>
      </c>
      <c r="AF128" s="180" t="e">
        <f>[1]April!N37</f>
        <v>#REF!</v>
      </c>
      <c r="AG128" s="180" t="e">
        <f>[2]april!N37</f>
        <v>#REF!</v>
      </c>
      <c r="AH128" s="180">
        <f>'[3]DES SKPD'!$N37</f>
        <v>0</v>
      </c>
      <c r="AI128" s="180">
        <v>34750000</v>
      </c>
      <c r="AJ128" s="181">
        <f t="shared" si="27"/>
        <v>99.285714285714292</v>
      </c>
      <c r="AK128" s="180">
        <f t="shared" si="39"/>
        <v>250000</v>
      </c>
      <c r="AL128" s="181">
        <f t="shared" si="28"/>
        <v>0.7142857142857143</v>
      </c>
      <c r="AM128" s="243"/>
    </row>
    <row r="129" spans="1:39" ht="33" customHeight="1" x14ac:dyDescent="0.25">
      <c r="A129" s="243"/>
      <c r="B129" s="477"/>
      <c r="C129" s="477"/>
      <c r="D129" s="477"/>
      <c r="E129" s="477"/>
      <c r="F129" s="477"/>
      <c r="G129" s="477"/>
      <c r="H129" s="477"/>
      <c r="I129" s="478"/>
      <c r="J129" s="477" t="s">
        <v>563</v>
      </c>
      <c r="K129" s="245"/>
      <c r="L129" s="257"/>
      <c r="M129" s="597" t="s">
        <v>562</v>
      </c>
      <c r="N129" s="598"/>
      <c r="O129" s="299"/>
      <c r="P129" s="180"/>
      <c r="Q129" s="180">
        <v>110000000</v>
      </c>
      <c r="R129" s="181">
        <f t="shared" si="41"/>
        <v>10.29191616766467</v>
      </c>
      <c r="S129" s="181">
        <v>100</v>
      </c>
      <c r="T129" s="180">
        <f t="shared" si="23"/>
        <v>98.636363636363626</v>
      </c>
      <c r="U129" s="180">
        <f t="shared" si="37"/>
        <v>10.151571856287424</v>
      </c>
      <c r="V129" s="182">
        <f t="shared" si="25"/>
        <v>1.363636363636374</v>
      </c>
      <c r="W129" s="180"/>
      <c r="X129" s="180" t="e">
        <f>#REF!</f>
        <v>#REF!</v>
      </c>
      <c r="Y129" s="180" t="e">
        <f>#REF!</f>
        <v>#REF!</v>
      </c>
      <c r="Z129" s="180" t="e">
        <f>#REF!</f>
        <v>#REF!</v>
      </c>
      <c r="AA129" s="180" t="e">
        <f>#REF!</f>
        <v>#REF!</v>
      </c>
      <c r="AB129" s="180">
        <v>139212002</v>
      </c>
      <c r="AC129" s="180" t="e">
        <f>#REF!</f>
        <v>#REF!</v>
      </c>
      <c r="AD129" s="180" t="e">
        <f>#REF!</f>
        <v>#REF!</v>
      </c>
      <c r="AE129" s="180" t="e">
        <f>#REF!</f>
        <v>#REF!</v>
      </c>
      <c r="AF129" s="180" t="e">
        <f>[1]April!N37</f>
        <v>#REF!</v>
      </c>
      <c r="AG129" s="180" t="e">
        <f>[2]april!N37</f>
        <v>#REF!</v>
      </c>
      <c r="AH129" s="180">
        <f>'[3]DES SKPD'!$N37</f>
        <v>0</v>
      </c>
      <c r="AI129" s="180">
        <v>108500000</v>
      </c>
      <c r="AJ129" s="181">
        <f t="shared" si="27"/>
        <v>98.636363636363626</v>
      </c>
      <c r="AK129" s="180">
        <f t="shared" si="39"/>
        <v>1500000</v>
      </c>
      <c r="AL129" s="181">
        <f t="shared" si="28"/>
        <v>1.3636363636363635</v>
      </c>
      <c r="AM129" s="243"/>
    </row>
    <row r="130" spans="1:39" ht="27" customHeight="1" x14ac:dyDescent="0.25">
      <c r="A130" s="243"/>
      <c r="B130" s="477"/>
      <c r="C130" s="477"/>
      <c r="D130" s="477"/>
      <c r="E130" s="477"/>
      <c r="F130" s="477"/>
      <c r="G130" s="477"/>
      <c r="H130" s="477"/>
      <c r="I130" s="478"/>
      <c r="J130" s="477" t="s">
        <v>564</v>
      </c>
      <c r="K130" s="245"/>
      <c r="L130" s="257"/>
      <c r="M130" s="597" t="s">
        <v>565</v>
      </c>
      <c r="N130" s="598"/>
      <c r="O130" s="299"/>
      <c r="P130" s="180"/>
      <c r="Q130" s="180">
        <v>25000000</v>
      </c>
      <c r="R130" s="181">
        <f t="shared" si="41"/>
        <v>2.3390718562874251</v>
      </c>
      <c r="S130" s="181">
        <v>100</v>
      </c>
      <c r="T130" s="180">
        <f t="shared" si="23"/>
        <v>0</v>
      </c>
      <c r="U130" s="180">
        <f t="shared" si="37"/>
        <v>0</v>
      </c>
      <c r="V130" s="182">
        <f t="shared" si="25"/>
        <v>100</v>
      </c>
      <c r="W130" s="180"/>
      <c r="X130" s="180" t="e">
        <f>#REF!</f>
        <v>#REF!</v>
      </c>
      <c r="Y130" s="180" t="e">
        <f>#REF!</f>
        <v>#REF!</v>
      </c>
      <c r="Z130" s="180" t="e">
        <f>#REF!</f>
        <v>#REF!</v>
      </c>
      <c r="AA130" s="180" t="e">
        <f>#REF!</f>
        <v>#REF!</v>
      </c>
      <c r="AB130" s="180">
        <v>139212003</v>
      </c>
      <c r="AC130" s="180" t="e">
        <f>#REF!</f>
        <v>#REF!</v>
      </c>
      <c r="AD130" s="180" t="e">
        <f>#REF!</f>
        <v>#REF!</v>
      </c>
      <c r="AE130" s="180" t="e">
        <f>#REF!</f>
        <v>#REF!</v>
      </c>
      <c r="AF130" s="180" t="e">
        <f>[1]April!N38</f>
        <v>#REF!</v>
      </c>
      <c r="AG130" s="180" t="e">
        <f>[2]april!N38</f>
        <v>#REF!</v>
      </c>
      <c r="AH130" s="180">
        <f>'[3]DES SKPD'!$N38</f>
        <v>322038365</v>
      </c>
      <c r="AI130" s="180">
        <v>0</v>
      </c>
      <c r="AJ130" s="181">
        <f t="shared" si="27"/>
        <v>0</v>
      </c>
      <c r="AK130" s="180">
        <f t="shared" si="39"/>
        <v>25000000</v>
      </c>
      <c r="AL130" s="181">
        <f t="shared" si="28"/>
        <v>100</v>
      </c>
      <c r="AM130" s="243"/>
    </row>
    <row r="131" spans="1:39" ht="27.75" customHeight="1" x14ac:dyDescent="0.25">
      <c r="A131" s="243"/>
      <c r="B131" s="477"/>
      <c r="C131" s="477"/>
      <c r="D131" s="477"/>
      <c r="E131" s="477"/>
      <c r="F131" s="477"/>
      <c r="G131" s="477"/>
      <c r="H131" s="477"/>
      <c r="I131" s="478"/>
      <c r="J131" s="477" t="s">
        <v>566</v>
      </c>
      <c r="K131" s="245"/>
      <c r="L131" s="257"/>
      <c r="M131" s="597" t="s">
        <v>567</v>
      </c>
      <c r="N131" s="598"/>
      <c r="O131" s="299"/>
      <c r="P131" s="180"/>
      <c r="Q131" s="180">
        <v>12000000</v>
      </c>
      <c r="R131" s="181">
        <f t="shared" si="41"/>
        <v>1.1227544910179641</v>
      </c>
      <c r="S131" s="181">
        <v>100</v>
      </c>
      <c r="T131" s="180">
        <f t="shared" si="23"/>
        <v>82.415000000000006</v>
      </c>
      <c r="U131" s="180">
        <f t="shared" si="37"/>
        <v>0.92531811377245521</v>
      </c>
      <c r="V131" s="182">
        <f t="shared" si="25"/>
        <v>17.584999999999994</v>
      </c>
      <c r="W131" s="180"/>
      <c r="X131" s="180" t="e">
        <f>#REF!</f>
        <v>#REF!</v>
      </c>
      <c r="Y131" s="180" t="e">
        <f>#REF!</f>
        <v>#REF!</v>
      </c>
      <c r="Z131" s="180" t="e">
        <f>#REF!</f>
        <v>#REF!</v>
      </c>
      <c r="AA131" s="180" t="e">
        <f>#REF!</f>
        <v>#REF!</v>
      </c>
      <c r="AB131" s="180">
        <v>139212004</v>
      </c>
      <c r="AC131" s="180" t="e">
        <f>#REF!</f>
        <v>#REF!</v>
      </c>
      <c r="AD131" s="180" t="e">
        <f>#REF!</f>
        <v>#REF!</v>
      </c>
      <c r="AE131" s="180" t="e">
        <f>#REF!</f>
        <v>#REF!</v>
      </c>
      <c r="AF131" s="180" t="e">
        <f>[1]April!N39</f>
        <v>#REF!</v>
      </c>
      <c r="AG131" s="180" t="e">
        <f>[2]april!N39</f>
        <v>#REF!</v>
      </c>
      <c r="AH131" s="180">
        <f>'[3]DES SKPD'!$N39</f>
        <v>676934270</v>
      </c>
      <c r="AI131" s="180">
        <v>9889800</v>
      </c>
      <c r="AJ131" s="181">
        <f t="shared" si="27"/>
        <v>82.415000000000006</v>
      </c>
      <c r="AK131" s="180">
        <f t="shared" si="39"/>
        <v>2110200</v>
      </c>
      <c r="AL131" s="181">
        <f t="shared" si="28"/>
        <v>17.585000000000001</v>
      </c>
      <c r="AM131" s="243"/>
    </row>
    <row r="132" spans="1:39" ht="27.75" customHeight="1" x14ac:dyDescent="0.25">
      <c r="A132" s="243"/>
      <c r="B132" s="477"/>
      <c r="C132" s="477"/>
      <c r="D132" s="477"/>
      <c r="E132" s="477"/>
      <c r="F132" s="477"/>
      <c r="G132" s="477"/>
      <c r="H132" s="477"/>
      <c r="I132" s="478"/>
      <c r="J132" s="477" t="s">
        <v>435</v>
      </c>
      <c r="K132" s="245"/>
      <c r="L132" s="257"/>
      <c r="M132" s="597" t="s">
        <v>396</v>
      </c>
      <c r="N132" s="598"/>
      <c r="O132" s="299"/>
      <c r="P132" s="180"/>
      <c r="Q132" s="180">
        <v>42500000</v>
      </c>
      <c r="R132" s="181">
        <f t="shared" si="41"/>
        <v>3.9764221556886228</v>
      </c>
      <c r="S132" s="181">
        <v>100</v>
      </c>
      <c r="T132" s="180">
        <f t="shared" si="23"/>
        <v>97.294117647058826</v>
      </c>
      <c r="U132" s="180">
        <f t="shared" si="37"/>
        <v>3.8688248502994016</v>
      </c>
      <c r="V132" s="182">
        <f t="shared" ref="V132:V153" si="42">S132-T132</f>
        <v>2.705882352941174</v>
      </c>
      <c r="W132" s="180"/>
      <c r="X132" s="180" t="e">
        <f>#REF!</f>
        <v>#REF!</v>
      </c>
      <c r="Y132" s="180" t="e">
        <f>#REF!</f>
        <v>#REF!</v>
      </c>
      <c r="Z132" s="180" t="e">
        <f>#REF!</f>
        <v>#REF!</v>
      </c>
      <c r="AA132" s="180" t="e">
        <f>#REF!</f>
        <v>#REF!</v>
      </c>
      <c r="AB132" s="180">
        <v>139212004</v>
      </c>
      <c r="AC132" s="180" t="e">
        <f>#REF!</f>
        <v>#REF!</v>
      </c>
      <c r="AD132" s="180" t="e">
        <f>#REF!</f>
        <v>#REF!</v>
      </c>
      <c r="AE132" s="180" t="e">
        <f>#REF!</f>
        <v>#REF!</v>
      </c>
      <c r="AF132" s="180" t="e">
        <f>[1]April!N40</f>
        <v>#REF!</v>
      </c>
      <c r="AG132" s="180" t="e">
        <f>[2]april!N40</f>
        <v>#REF!</v>
      </c>
      <c r="AH132" s="180">
        <f>'[3]DES SKPD'!$N40</f>
        <v>140440000</v>
      </c>
      <c r="AI132" s="180">
        <v>41350000</v>
      </c>
      <c r="AJ132" s="181">
        <f t="shared" si="27"/>
        <v>97.294117647058826</v>
      </c>
      <c r="AK132" s="180">
        <f t="shared" si="39"/>
        <v>1150000</v>
      </c>
      <c r="AL132" s="181">
        <f t="shared" si="28"/>
        <v>2.7058823529411762</v>
      </c>
      <c r="AM132" s="243"/>
    </row>
    <row r="133" spans="1:39" ht="27.75" customHeight="1" x14ac:dyDescent="0.25">
      <c r="A133" s="243"/>
      <c r="B133" s="477"/>
      <c r="C133" s="477"/>
      <c r="D133" s="477"/>
      <c r="E133" s="477"/>
      <c r="F133" s="477"/>
      <c r="G133" s="477"/>
      <c r="H133" s="477"/>
      <c r="I133" s="478"/>
      <c r="J133" s="477" t="s">
        <v>400</v>
      </c>
      <c r="K133" s="245"/>
      <c r="L133" s="257"/>
      <c r="M133" s="597" t="s">
        <v>568</v>
      </c>
      <c r="N133" s="598"/>
      <c r="O133" s="299"/>
      <c r="P133" s="180"/>
      <c r="Q133" s="180">
        <v>493300000</v>
      </c>
      <c r="R133" s="181">
        <f t="shared" si="41"/>
        <v>46.154565868263475</v>
      </c>
      <c r="S133" s="181">
        <v>100</v>
      </c>
      <c r="T133" s="180">
        <f t="shared" si="23"/>
        <v>83.323575917291706</v>
      </c>
      <c r="U133" s="180">
        <f t="shared" si="37"/>
        <v>38.457634730538921</v>
      </c>
      <c r="V133" s="182">
        <f t="shared" si="42"/>
        <v>16.676424082708294</v>
      </c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>
        <v>411035200</v>
      </c>
      <c r="AJ133" s="181">
        <f t="shared" si="27"/>
        <v>83.323575917291706</v>
      </c>
      <c r="AK133" s="180">
        <f t="shared" si="39"/>
        <v>82264800</v>
      </c>
      <c r="AL133" s="181">
        <f t="shared" si="28"/>
        <v>16.676424082708291</v>
      </c>
      <c r="AM133" s="243"/>
    </row>
    <row r="134" spans="1:39" ht="27.75" customHeight="1" x14ac:dyDescent="0.25">
      <c r="A134" s="243"/>
      <c r="B134" s="477"/>
      <c r="C134" s="477"/>
      <c r="D134" s="477"/>
      <c r="E134" s="477"/>
      <c r="F134" s="477"/>
      <c r="G134" s="477"/>
      <c r="H134" s="477"/>
      <c r="I134" s="478"/>
      <c r="J134" s="477" t="s">
        <v>569</v>
      </c>
      <c r="K134" s="245"/>
      <c r="L134" s="257"/>
      <c r="M134" s="597" t="s">
        <v>570</v>
      </c>
      <c r="N134" s="598"/>
      <c r="O134" s="299"/>
      <c r="P134" s="180"/>
      <c r="Q134" s="180">
        <v>50000000</v>
      </c>
      <c r="R134" s="181">
        <f t="shared" si="41"/>
        <v>4.6781437125748502</v>
      </c>
      <c r="S134" s="181">
        <v>100</v>
      </c>
      <c r="T134" s="180">
        <f t="shared" si="23"/>
        <v>98.346800000000002</v>
      </c>
      <c r="U134" s="180">
        <f t="shared" si="37"/>
        <v>4.6008046407185628</v>
      </c>
      <c r="V134" s="182">
        <f t="shared" si="42"/>
        <v>1.6531999999999982</v>
      </c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>
        <v>49173400</v>
      </c>
      <c r="AJ134" s="181">
        <f t="shared" si="27"/>
        <v>98.346800000000002</v>
      </c>
      <c r="AK134" s="180">
        <f t="shared" si="39"/>
        <v>826600</v>
      </c>
      <c r="AL134" s="181">
        <f t="shared" si="28"/>
        <v>1.6532000000000002</v>
      </c>
      <c r="AM134" s="243"/>
    </row>
    <row r="135" spans="1:39" ht="27.75" customHeight="1" x14ac:dyDescent="0.25">
      <c r="A135" s="243"/>
      <c r="B135" s="477"/>
      <c r="C135" s="477"/>
      <c r="D135" s="477"/>
      <c r="E135" s="477"/>
      <c r="F135" s="477"/>
      <c r="G135" s="477"/>
      <c r="H135" s="477"/>
      <c r="I135" s="478"/>
      <c r="J135" s="477" t="s">
        <v>286</v>
      </c>
      <c r="K135" s="245"/>
      <c r="L135" s="257"/>
      <c r="M135" s="597" t="s">
        <v>571</v>
      </c>
      <c r="N135" s="598"/>
      <c r="O135" s="299"/>
      <c r="P135" s="180"/>
      <c r="Q135" s="180">
        <v>50000000</v>
      </c>
      <c r="R135" s="181">
        <f t="shared" si="41"/>
        <v>4.6781437125748502</v>
      </c>
      <c r="S135" s="181">
        <v>100</v>
      </c>
      <c r="T135" s="180">
        <f t="shared" si="23"/>
        <v>98.4</v>
      </c>
      <c r="U135" s="180">
        <f t="shared" si="37"/>
        <v>4.6032934131736525</v>
      </c>
      <c r="V135" s="182">
        <f t="shared" si="42"/>
        <v>1.5999999999999943</v>
      </c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>
        <v>49200000</v>
      </c>
      <c r="AJ135" s="181">
        <f t="shared" si="27"/>
        <v>98.4</v>
      </c>
      <c r="AK135" s="180">
        <f t="shared" si="39"/>
        <v>800000</v>
      </c>
      <c r="AL135" s="181">
        <f t="shared" si="28"/>
        <v>1.6</v>
      </c>
      <c r="AM135" s="243"/>
    </row>
    <row r="136" spans="1:39" ht="27.75" customHeight="1" x14ac:dyDescent="0.25">
      <c r="A136" s="243"/>
      <c r="B136" s="477"/>
      <c r="C136" s="477"/>
      <c r="D136" s="477"/>
      <c r="E136" s="477"/>
      <c r="F136" s="477"/>
      <c r="G136" s="477"/>
      <c r="H136" s="477"/>
      <c r="I136" s="478"/>
      <c r="J136" s="477" t="s">
        <v>402</v>
      </c>
      <c r="K136" s="245"/>
      <c r="L136" s="257"/>
      <c r="M136" s="597" t="s">
        <v>572</v>
      </c>
      <c r="N136" s="598"/>
      <c r="O136" s="299"/>
      <c r="P136" s="180"/>
      <c r="Q136" s="180">
        <v>192000000</v>
      </c>
      <c r="R136" s="181">
        <f t="shared" si="41"/>
        <v>17.964071856287426</v>
      </c>
      <c r="S136" s="181">
        <v>100</v>
      </c>
      <c r="T136" s="180">
        <f t="shared" si="23"/>
        <v>89.400468750000002</v>
      </c>
      <c r="U136" s="180">
        <f t="shared" si="37"/>
        <v>16.059964446107784</v>
      </c>
      <c r="V136" s="182">
        <f t="shared" si="42"/>
        <v>10.599531249999998</v>
      </c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>
        <v>171648900</v>
      </c>
      <c r="AJ136" s="181">
        <f t="shared" si="27"/>
        <v>89.400468750000002</v>
      </c>
      <c r="AK136" s="180">
        <f t="shared" si="39"/>
        <v>20351100</v>
      </c>
      <c r="AL136" s="181">
        <f t="shared" si="28"/>
        <v>10.59953125</v>
      </c>
      <c r="AM136" s="243"/>
    </row>
    <row r="137" spans="1:39" ht="27.75" customHeight="1" x14ac:dyDescent="0.25">
      <c r="A137" s="243"/>
      <c r="B137" s="477"/>
      <c r="C137" s="477"/>
      <c r="D137" s="477"/>
      <c r="E137" s="477"/>
      <c r="F137" s="477"/>
      <c r="G137" s="477"/>
      <c r="H137" s="477"/>
      <c r="I137" s="478"/>
      <c r="J137" s="477" t="s">
        <v>573</v>
      </c>
      <c r="K137" s="245"/>
      <c r="L137" s="257"/>
      <c r="M137" s="597" t="s">
        <v>574</v>
      </c>
      <c r="N137" s="598"/>
      <c r="O137" s="299"/>
      <c r="P137" s="180"/>
      <c r="Q137" s="180">
        <v>15000000</v>
      </c>
      <c r="R137" s="181">
        <f t="shared" si="41"/>
        <v>1.403443113772455</v>
      </c>
      <c r="S137" s="181">
        <v>100</v>
      </c>
      <c r="T137" s="180">
        <f t="shared" si="23"/>
        <v>81.879333333333335</v>
      </c>
      <c r="U137" s="180">
        <f t="shared" si="37"/>
        <v>1.149129865269461</v>
      </c>
      <c r="V137" s="182">
        <f t="shared" si="42"/>
        <v>18.120666666666665</v>
      </c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>
        <v>12281900</v>
      </c>
      <c r="AJ137" s="181">
        <f t="shared" si="27"/>
        <v>81.879333333333335</v>
      </c>
      <c r="AK137" s="180">
        <f t="shared" si="39"/>
        <v>2718100</v>
      </c>
      <c r="AL137" s="181">
        <f t="shared" si="28"/>
        <v>18.120666666666665</v>
      </c>
      <c r="AM137" s="243"/>
    </row>
    <row r="138" spans="1:39" ht="27.75" customHeight="1" x14ac:dyDescent="0.25">
      <c r="A138" s="243"/>
      <c r="B138" s="477"/>
      <c r="C138" s="477"/>
      <c r="D138" s="477"/>
      <c r="E138" s="477"/>
      <c r="F138" s="477"/>
      <c r="G138" s="477"/>
      <c r="H138" s="477"/>
      <c r="I138" s="478"/>
      <c r="J138" s="477" t="s">
        <v>575</v>
      </c>
      <c r="K138" s="245"/>
      <c r="L138" s="257"/>
      <c r="M138" s="597" t="s">
        <v>576</v>
      </c>
      <c r="N138" s="598"/>
      <c r="O138" s="299"/>
      <c r="P138" s="180"/>
      <c r="Q138" s="180">
        <v>44000000</v>
      </c>
      <c r="R138" s="181">
        <f t="shared" si="41"/>
        <v>4.1167664670658679</v>
      </c>
      <c r="S138" s="181">
        <v>100</v>
      </c>
      <c r="T138" s="180">
        <f t="shared" si="23"/>
        <v>90.909090909090907</v>
      </c>
      <c r="U138" s="180">
        <f t="shared" si="37"/>
        <v>3.7425149700598799</v>
      </c>
      <c r="V138" s="182">
        <f t="shared" si="42"/>
        <v>9.0909090909090935</v>
      </c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>
        <v>40000000</v>
      </c>
      <c r="AJ138" s="181">
        <f t="shared" si="27"/>
        <v>90.909090909090907</v>
      </c>
      <c r="AK138" s="180">
        <f t="shared" si="39"/>
        <v>4000000</v>
      </c>
      <c r="AL138" s="181">
        <f t="shared" si="28"/>
        <v>9.0909090909090917</v>
      </c>
      <c r="AM138" s="243"/>
    </row>
    <row r="139" spans="1:39" s="297" customFormat="1" ht="24.75" customHeight="1" x14ac:dyDescent="0.25">
      <c r="A139" s="227">
        <f>A127+1</f>
        <v>17</v>
      </c>
      <c r="B139" s="615" t="s">
        <v>127</v>
      </c>
      <c r="C139" s="615"/>
      <c r="D139" s="615"/>
      <c r="E139" s="615"/>
      <c r="F139" s="615"/>
      <c r="G139" s="615"/>
      <c r="H139" s="615"/>
      <c r="I139" s="614"/>
      <c r="J139" s="304" t="s">
        <v>456</v>
      </c>
      <c r="K139" s="230"/>
      <c r="L139" s="294"/>
      <c r="M139" s="615" t="s">
        <v>579</v>
      </c>
      <c r="N139" s="614"/>
      <c r="O139" s="295">
        <v>68210000</v>
      </c>
      <c r="P139" s="231">
        <f>O139</f>
        <v>68210000</v>
      </c>
      <c r="Q139" s="231">
        <f>SUM(Q140:Q140)</f>
        <v>190800000</v>
      </c>
      <c r="R139" s="233">
        <f>Q139/Q$59*100</f>
        <v>7.5537021188162949</v>
      </c>
      <c r="S139" s="233">
        <v>100</v>
      </c>
      <c r="T139" s="231">
        <f t="shared" si="23"/>
        <v>46.80293501048218</v>
      </c>
      <c r="U139" s="231">
        <f t="shared" si="37"/>
        <v>3.535354293555006</v>
      </c>
      <c r="V139" s="296">
        <f t="shared" si="42"/>
        <v>53.19706498951782</v>
      </c>
      <c r="W139" s="231"/>
      <c r="X139" s="231" t="e">
        <f>#REF!</f>
        <v>#REF!</v>
      </c>
      <c r="Y139" s="231" t="e">
        <f>#REF!</f>
        <v>#REF!</v>
      </c>
      <c r="Z139" s="231" t="e">
        <f>#REF!</f>
        <v>#REF!</v>
      </c>
      <c r="AA139" s="231" t="e">
        <f>#REF!</f>
        <v>#REF!</v>
      </c>
      <c r="AB139" s="231">
        <v>139212000</v>
      </c>
      <c r="AC139" s="231" t="e">
        <f>#REF!</f>
        <v>#REF!</v>
      </c>
      <c r="AD139" s="231" t="e">
        <f>#REF!</f>
        <v>#REF!</v>
      </c>
      <c r="AE139" s="231" t="e">
        <f>#REF!</f>
        <v>#REF!</v>
      </c>
      <c r="AF139" s="231" t="e">
        <f>[1]April!N47</f>
        <v>#REF!</v>
      </c>
      <c r="AG139" s="231" t="e">
        <f>[2]april!N47</f>
        <v>#REF!</v>
      </c>
      <c r="AH139" s="231" t="e">
        <f>'[3]DES SKPD'!$N47</f>
        <v>#REF!</v>
      </c>
      <c r="AI139" s="231">
        <f>SUM(AI140)</f>
        <v>89300000</v>
      </c>
      <c r="AJ139" s="233">
        <f t="shared" si="27"/>
        <v>46.80293501048218</v>
      </c>
      <c r="AK139" s="231">
        <f t="shared" si="39"/>
        <v>101500000</v>
      </c>
      <c r="AL139" s="233">
        <f t="shared" si="28"/>
        <v>53.19706498951782</v>
      </c>
      <c r="AM139" s="227"/>
    </row>
    <row r="140" spans="1:39" ht="29.25" customHeight="1" x14ac:dyDescent="0.25">
      <c r="A140" s="243"/>
      <c r="B140" s="477"/>
      <c r="C140" s="477"/>
      <c r="D140" s="477"/>
      <c r="E140" s="477"/>
      <c r="F140" s="477"/>
      <c r="G140" s="477"/>
      <c r="H140" s="477"/>
      <c r="I140" s="478"/>
      <c r="J140" s="477" t="s">
        <v>577</v>
      </c>
      <c r="K140" s="245"/>
      <c r="L140" s="257"/>
      <c r="M140" s="597" t="s">
        <v>578</v>
      </c>
      <c r="N140" s="598"/>
      <c r="O140" s="299"/>
      <c r="P140" s="180"/>
      <c r="Q140" s="180">
        <v>190800000</v>
      </c>
      <c r="R140" s="181">
        <f t="shared" ref="R140" si="43">Q140/Q$127*100</f>
        <v>17.851796407185631</v>
      </c>
      <c r="S140" s="181">
        <v>100</v>
      </c>
      <c r="T140" s="180">
        <f t="shared" si="23"/>
        <v>46.80293501048218</v>
      </c>
      <c r="U140" s="180">
        <f t="shared" si="37"/>
        <v>8.3551646706586844</v>
      </c>
      <c r="V140" s="182">
        <f t="shared" si="42"/>
        <v>53.19706498951782</v>
      </c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>
        <v>89300000</v>
      </c>
      <c r="AJ140" s="181">
        <f t="shared" si="27"/>
        <v>46.80293501048218</v>
      </c>
      <c r="AK140" s="180">
        <f t="shared" si="39"/>
        <v>101500000</v>
      </c>
      <c r="AL140" s="181">
        <f t="shared" si="28"/>
        <v>53.19706498951782</v>
      </c>
      <c r="AM140" s="243"/>
    </row>
    <row r="141" spans="1:39" s="297" customFormat="1" ht="31.5" customHeight="1" x14ac:dyDescent="0.25">
      <c r="A141" s="227">
        <f>A139+1</f>
        <v>18</v>
      </c>
      <c r="B141" s="615" t="s">
        <v>128</v>
      </c>
      <c r="C141" s="615"/>
      <c r="D141" s="615"/>
      <c r="E141" s="615"/>
      <c r="F141" s="615"/>
      <c r="G141" s="615"/>
      <c r="H141" s="615"/>
      <c r="I141" s="614"/>
      <c r="J141" s="304" t="s">
        <v>457</v>
      </c>
      <c r="K141" s="230"/>
      <c r="L141" s="294"/>
      <c r="M141" s="615" t="s">
        <v>129</v>
      </c>
      <c r="N141" s="614"/>
      <c r="O141" s="295">
        <v>295960000</v>
      </c>
      <c r="P141" s="231">
        <v>0</v>
      </c>
      <c r="Q141" s="231">
        <f>SUM(Q142:Q143)</f>
        <v>326040000</v>
      </c>
      <c r="R141" s="233">
        <f>Q141/Q$59*100</f>
        <v>12.907804186681682</v>
      </c>
      <c r="S141" s="233">
        <v>100</v>
      </c>
      <c r="T141" s="231">
        <f t="shared" si="23"/>
        <v>98.760888234572448</v>
      </c>
      <c r="U141" s="231">
        <f>R141*T141/100</f>
        <v>12.747862066346158</v>
      </c>
      <c r="V141" s="296">
        <f t="shared" si="42"/>
        <v>1.2391117654275519</v>
      </c>
      <c r="W141" s="231"/>
      <c r="X141" s="231"/>
      <c r="Y141" s="231"/>
      <c r="Z141" s="231"/>
      <c r="AA141" s="231"/>
      <c r="AB141" s="231"/>
      <c r="AC141" s="231"/>
      <c r="AD141" s="231"/>
      <c r="AE141" s="231"/>
      <c r="AF141" s="231"/>
      <c r="AG141" s="231" t="e">
        <f>[2]april!N37</f>
        <v>#REF!</v>
      </c>
      <c r="AH141" s="231">
        <f>'[3]DES SKPD'!$N37</f>
        <v>0</v>
      </c>
      <c r="AI141" s="231">
        <f>SUM(AI142:AI143)</f>
        <v>322000000</v>
      </c>
      <c r="AJ141" s="233">
        <f t="shared" si="27"/>
        <v>98.760888234572448</v>
      </c>
      <c r="AK141" s="231">
        <f t="shared" si="39"/>
        <v>4040000</v>
      </c>
      <c r="AL141" s="233">
        <f t="shared" si="28"/>
        <v>1.239111765427555</v>
      </c>
      <c r="AM141" s="227"/>
    </row>
    <row r="142" spans="1:39" ht="24.75" customHeight="1" x14ac:dyDescent="0.25">
      <c r="A142" s="243"/>
      <c r="B142" s="477"/>
      <c r="C142" s="477"/>
      <c r="D142" s="477"/>
      <c r="E142" s="477"/>
      <c r="F142" s="477"/>
      <c r="G142" s="477"/>
      <c r="H142" s="477"/>
      <c r="I142" s="478"/>
      <c r="J142" s="477" t="s">
        <v>259</v>
      </c>
      <c r="K142" s="245"/>
      <c r="L142" s="257"/>
      <c r="M142" s="623" t="s">
        <v>260</v>
      </c>
      <c r="N142" s="624"/>
      <c r="O142" s="299"/>
      <c r="P142" s="180"/>
      <c r="Q142" s="180">
        <v>1040000</v>
      </c>
      <c r="R142" s="181">
        <f>Q142/Q$35*100</f>
        <v>3.271854703066358E-3</v>
      </c>
      <c r="S142" s="181">
        <v>100</v>
      </c>
      <c r="T142" s="180">
        <f t="shared" si="23"/>
        <v>0</v>
      </c>
      <c r="U142" s="180">
        <f>R142*T142/100</f>
        <v>0</v>
      </c>
      <c r="V142" s="182">
        <f t="shared" si="42"/>
        <v>100</v>
      </c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>
        <v>0</v>
      </c>
      <c r="AJ142" s="181">
        <f t="shared" si="27"/>
        <v>0</v>
      </c>
      <c r="AK142" s="180">
        <f t="shared" si="39"/>
        <v>1040000</v>
      </c>
      <c r="AL142" s="181">
        <f t="shared" si="28"/>
        <v>100</v>
      </c>
      <c r="AM142" s="243"/>
    </row>
    <row r="143" spans="1:39" ht="24.75" customHeight="1" x14ac:dyDescent="0.25">
      <c r="A143" s="243"/>
      <c r="B143" s="477"/>
      <c r="C143" s="477"/>
      <c r="D143" s="477"/>
      <c r="E143" s="477"/>
      <c r="F143" s="477"/>
      <c r="G143" s="477"/>
      <c r="H143" s="477"/>
      <c r="I143" s="478"/>
      <c r="J143" s="477" t="s">
        <v>288</v>
      </c>
      <c r="K143" s="245"/>
      <c r="L143" s="257"/>
      <c r="M143" s="597" t="s">
        <v>289</v>
      </c>
      <c r="N143" s="598"/>
      <c r="O143" s="299"/>
      <c r="P143" s="180"/>
      <c r="Q143" s="180">
        <v>325000000</v>
      </c>
      <c r="R143" s="181">
        <f>Q143/Q$141*100</f>
        <v>99.681020733652318</v>
      </c>
      <c r="S143" s="181">
        <v>100</v>
      </c>
      <c r="T143" s="180">
        <f t="shared" si="23"/>
        <v>99.07692307692308</v>
      </c>
      <c r="U143" s="180">
        <f>R143*T143/100</f>
        <v>98.760888234572448</v>
      </c>
      <c r="V143" s="182">
        <f t="shared" si="42"/>
        <v>0.9230769230769198</v>
      </c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 t="e">
        <f>[2]april!N39</f>
        <v>#REF!</v>
      </c>
      <c r="AH143" s="180">
        <f>'[3]DES SKPD'!$N39</f>
        <v>676934270</v>
      </c>
      <c r="AI143" s="180">
        <v>322000000</v>
      </c>
      <c r="AJ143" s="181">
        <f t="shared" si="27"/>
        <v>99.07692307692308</v>
      </c>
      <c r="AK143" s="180">
        <f t="shared" si="39"/>
        <v>3000000</v>
      </c>
      <c r="AL143" s="181">
        <f t="shared" si="28"/>
        <v>0.92307692307692313</v>
      </c>
      <c r="AM143" s="243"/>
    </row>
    <row r="144" spans="1:39" s="297" customFormat="1" ht="31.5" customHeight="1" x14ac:dyDescent="0.25">
      <c r="A144" s="227">
        <f>A141+1</f>
        <v>19</v>
      </c>
      <c r="B144" s="615" t="s">
        <v>128</v>
      </c>
      <c r="C144" s="615"/>
      <c r="D144" s="615"/>
      <c r="E144" s="615"/>
      <c r="F144" s="615"/>
      <c r="G144" s="615"/>
      <c r="H144" s="615"/>
      <c r="I144" s="614"/>
      <c r="J144" s="304" t="s">
        <v>458</v>
      </c>
      <c r="K144" s="230"/>
      <c r="L144" s="294"/>
      <c r="M144" s="615" t="s">
        <v>26</v>
      </c>
      <c r="N144" s="614"/>
      <c r="O144" s="295">
        <v>295960000</v>
      </c>
      <c r="P144" s="231">
        <f>O144</f>
        <v>295960000</v>
      </c>
      <c r="Q144" s="231">
        <f>SUM(Q145:Q147)</f>
        <v>151500000</v>
      </c>
      <c r="R144" s="233">
        <f>Q144/Q$59*100</f>
        <v>5.997829512582121</v>
      </c>
      <c r="S144" s="233">
        <v>100</v>
      </c>
      <c r="T144" s="231">
        <f t="shared" ref="T144:T207" si="44">AJ144</f>
        <v>65.478547854785475</v>
      </c>
      <c r="U144" s="231">
        <f>R144*T144/100</f>
        <v>3.9272916676445306</v>
      </c>
      <c r="V144" s="296">
        <f t="shared" si="42"/>
        <v>34.521452145214525</v>
      </c>
      <c r="W144" s="231"/>
      <c r="X144" s="231" t="e">
        <f>#REF!</f>
        <v>#REF!</v>
      </c>
      <c r="Y144" s="231" t="e">
        <f>#REF!</f>
        <v>#REF!</v>
      </c>
      <c r="Z144" s="231" t="e">
        <f>#REF!</f>
        <v>#REF!</v>
      </c>
      <c r="AA144" s="231" t="e">
        <f>#REF!</f>
        <v>#REF!</v>
      </c>
      <c r="AB144" s="231">
        <v>91844000</v>
      </c>
      <c r="AC144" s="231" t="e">
        <f>#REF!</f>
        <v>#REF!</v>
      </c>
      <c r="AD144" s="231" t="e">
        <f>#REF!</f>
        <v>#REF!</v>
      </c>
      <c r="AE144" s="231" t="e">
        <f>#REF!</f>
        <v>#REF!</v>
      </c>
      <c r="AF144" s="231" t="e">
        <f>[1]April!N38</f>
        <v>#REF!</v>
      </c>
      <c r="AG144" s="231" t="e">
        <f>[2]april!N38</f>
        <v>#REF!</v>
      </c>
      <c r="AH144" s="231">
        <f>'[3]DES SKPD'!$N38</f>
        <v>322038365</v>
      </c>
      <c r="AI144" s="231">
        <f>SUM(AI145:AI147)</f>
        <v>99200000</v>
      </c>
      <c r="AJ144" s="233">
        <f t="shared" ref="AJ144:AJ207" si="45">AI144/Q144*100</f>
        <v>65.478547854785475</v>
      </c>
      <c r="AK144" s="231">
        <f t="shared" si="39"/>
        <v>52300000</v>
      </c>
      <c r="AL144" s="233">
        <f t="shared" ref="AL144:AL207" si="46">AK144/Q144*100</f>
        <v>34.521452145214518</v>
      </c>
      <c r="AM144" s="227"/>
    </row>
    <row r="145" spans="1:39" ht="30.75" customHeight="1" x14ac:dyDescent="0.25">
      <c r="A145" s="243"/>
      <c r="B145" s="477"/>
      <c r="C145" s="477"/>
      <c r="D145" s="477"/>
      <c r="E145" s="477"/>
      <c r="F145" s="477"/>
      <c r="G145" s="477"/>
      <c r="H145" s="477"/>
      <c r="I145" s="478"/>
      <c r="J145" s="477" t="s">
        <v>259</v>
      </c>
      <c r="K145" s="245"/>
      <c r="L145" s="257"/>
      <c r="M145" s="597" t="s">
        <v>260</v>
      </c>
      <c r="N145" s="598"/>
      <c r="O145" s="299"/>
      <c r="P145" s="180"/>
      <c r="Q145" s="180">
        <v>800000</v>
      </c>
      <c r="R145" s="181">
        <f>Q145/Q$144*100</f>
        <v>0.528052805280528</v>
      </c>
      <c r="S145" s="181">
        <v>100</v>
      </c>
      <c r="T145" s="180">
        <f t="shared" si="44"/>
        <v>0</v>
      </c>
      <c r="U145" s="180">
        <f t="shared" ref="U145:U160" si="47">R145*T145/100</f>
        <v>0</v>
      </c>
      <c r="V145" s="182">
        <f t="shared" si="42"/>
        <v>100</v>
      </c>
      <c r="W145" s="180"/>
      <c r="X145" s="180" t="e">
        <f>#REF!</f>
        <v>#REF!</v>
      </c>
      <c r="Y145" s="180" t="e">
        <f>#REF!</f>
        <v>#REF!</v>
      </c>
      <c r="Z145" s="180" t="e">
        <f>#REF!</f>
        <v>#REF!</v>
      </c>
      <c r="AA145" s="180" t="e">
        <f>#REF!</f>
        <v>#REF!</v>
      </c>
      <c r="AB145" s="180">
        <v>91844002</v>
      </c>
      <c r="AC145" s="180" t="e">
        <f>#REF!</f>
        <v>#REF!</v>
      </c>
      <c r="AD145" s="180" t="e">
        <f>#REF!</f>
        <v>#REF!</v>
      </c>
      <c r="AE145" s="180" t="e">
        <f>#REF!</f>
        <v>#REF!</v>
      </c>
      <c r="AF145" s="180" t="e">
        <f>[1]April!N40</f>
        <v>#REF!</v>
      </c>
      <c r="AG145" s="180" t="e">
        <f>[2]april!N40</f>
        <v>#REF!</v>
      </c>
      <c r="AH145" s="180">
        <f>'[3]DES SKPD'!$N40</f>
        <v>140440000</v>
      </c>
      <c r="AI145" s="180">
        <v>0</v>
      </c>
      <c r="AJ145" s="181">
        <f t="shared" si="45"/>
        <v>0</v>
      </c>
      <c r="AK145" s="180">
        <f t="shared" si="39"/>
        <v>800000</v>
      </c>
      <c r="AL145" s="181">
        <f t="shared" si="46"/>
        <v>100</v>
      </c>
      <c r="AM145" s="243"/>
    </row>
    <row r="146" spans="1:39" ht="24.75" customHeight="1" x14ac:dyDescent="0.25">
      <c r="A146" s="243"/>
      <c r="B146" s="477"/>
      <c r="C146" s="477"/>
      <c r="D146" s="477"/>
      <c r="E146" s="477"/>
      <c r="F146" s="477"/>
      <c r="G146" s="477"/>
      <c r="H146" s="477"/>
      <c r="I146" s="478"/>
      <c r="J146" s="477" t="s">
        <v>290</v>
      </c>
      <c r="K146" s="245"/>
      <c r="L146" s="257"/>
      <c r="M146" s="597" t="s">
        <v>291</v>
      </c>
      <c r="N146" s="598"/>
      <c r="O146" s="299"/>
      <c r="P146" s="180"/>
      <c r="Q146" s="180">
        <v>95400000</v>
      </c>
      <c r="R146" s="181">
        <f>Q146/Q$144*100</f>
        <v>62.970297029702969</v>
      </c>
      <c r="S146" s="181">
        <v>100</v>
      </c>
      <c r="T146" s="180">
        <f t="shared" si="44"/>
        <v>46.331236897274636</v>
      </c>
      <c r="U146" s="180">
        <f t="shared" si="47"/>
        <v>29.174917491749174</v>
      </c>
      <c r="V146" s="182">
        <f t="shared" si="42"/>
        <v>53.668763102725364</v>
      </c>
      <c r="W146" s="180"/>
      <c r="X146" s="180" t="e">
        <f>#REF!</f>
        <v>#REF!</v>
      </c>
      <c r="Y146" s="180" t="e">
        <f>#REF!</f>
        <v>#REF!</v>
      </c>
      <c r="Z146" s="180" t="e">
        <f>#REF!</f>
        <v>#REF!</v>
      </c>
      <c r="AA146" s="180" t="e">
        <f>#REF!</f>
        <v>#REF!</v>
      </c>
      <c r="AB146" s="180">
        <v>91844003</v>
      </c>
      <c r="AC146" s="180" t="e">
        <f>#REF!</f>
        <v>#REF!</v>
      </c>
      <c r="AD146" s="180" t="e">
        <f>#REF!</f>
        <v>#REF!</v>
      </c>
      <c r="AE146" s="180" t="e">
        <f>#REF!</f>
        <v>#REF!</v>
      </c>
      <c r="AF146" s="180" t="e">
        <f>[1]April!N41</f>
        <v>#REF!</v>
      </c>
      <c r="AG146" s="180" t="e">
        <f>[2]april!N41</f>
        <v>#REF!</v>
      </c>
      <c r="AH146" s="180">
        <f>'[3]DES SKPD'!$N41</f>
        <v>231767600</v>
      </c>
      <c r="AI146" s="180">
        <f>10400000+5200000+7150000+7150000+7150000+7150000</f>
        <v>44200000</v>
      </c>
      <c r="AJ146" s="181">
        <f t="shared" si="45"/>
        <v>46.331236897274636</v>
      </c>
      <c r="AK146" s="180">
        <f t="shared" si="39"/>
        <v>51200000</v>
      </c>
      <c r="AL146" s="181">
        <f t="shared" si="46"/>
        <v>53.668763102725372</v>
      </c>
      <c r="AM146" s="243"/>
    </row>
    <row r="147" spans="1:39" ht="36" customHeight="1" x14ac:dyDescent="0.25">
      <c r="A147" s="243"/>
      <c r="B147" s="477"/>
      <c r="C147" s="477"/>
      <c r="D147" s="477"/>
      <c r="E147" s="477"/>
      <c r="F147" s="477"/>
      <c r="G147" s="477"/>
      <c r="H147" s="477"/>
      <c r="I147" s="478"/>
      <c r="J147" s="477" t="s">
        <v>292</v>
      </c>
      <c r="K147" s="245"/>
      <c r="L147" s="257"/>
      <c r="M147" s="597" t="s">
        <v>293</v>
      </c>
      <c r="N147" s="598"/>
      <c r="O147" s="299"/>
      <c r="P147" s="180"/>
      <c r="Q147" s="180">
        <v>55300000</v>
      </c>
      <c r="R147" s="181">
        <f>Q147/Q$144*100</f>
        <v>36.5016501650165</v>
      </c>
      <c r="S147" s="181">
        <v>100</v>
      </c>
      <c r="T147" s="180">
        <f t="shared" si="44"/>
        <v>99.457504520795652</v>
      </c>
      <c r="U147" s="180">
        <f t="shared" si="47"/>
        <v>36.303630363036298</v>
      </c>
      <c r="V147" s="182">
        <f t="shared" si="42"/>
        <v>0.54249547920434793</v>
      </c>
      <c r="W147" s="180"/>
      <c r="X147" s="180" t="e">
        <f>#REF!</f>
        <v>#REF!</v>
      </c>
      <c r="Y147" s="180" t="e">
        <f>#REF!</f>
        <v>#REF!</v>
      </c>
      <c r="Z147" s="180" t="e">
        <f>#REF!</f>
        <v>#REF!</v>
      </c>
      <c r="AA147" s="180" t="e">
        <f>#REF!</f>
        <v>#REF!</v>
      </c>
      <c r="AB147" s="180">
        <v>91844004</v>
      </c>
      <c r="AC147" s="180" t="e">
        <f>#REF!</f>
        <v>#REF!</v>
      </c>
      <c r="AD147" s="180" t="e">
        <f>#REF!</f>
        <v>#REF!</v>
      </c>
      <c r="AE147" s="180" t="e">
        <f>#REF!</f>
        <v>#REF!</v>
      </c>
      <c r="AF147" s="180" t="e">
        <f>[1]April!N42</f>
        <v>#REF!</v>
      </c>
      <c r="AG147" s="180" t="e">
        <f>[2]april!N42</f>
        <v>#REF!</v>
      </c>
      <c r="AH147" s="180" t="e">
        <f>'[3]DES SKPD'!$N42</f>
        <v>#REF!</v>
      </c>
      <c r="AI147" s="180">
        <v>55000000</v>
      </c>
      <c r="AJ147" s="181">
        <f t="shared" si="45"/>
        <v>99.457504520795652</v>
      </c>
      <c r="AK147" s="180">
        <f t="shared" si="39"/>
        <v>300000</v>
      </c>
      <c r="AL147" s="181">
        <f t="shared" si="46"/>
        <v>0.54249547920433994</v>
      </c>
      <c r="AM147" s="243"/>
    </row>
    <row r="148" spans="1:39" s="297" customFormat="1" ht="32.25" customHeight="1" x14ac:dyDescent="0.25">
      <c r="A148" s="227">
        <f>A144+1</f>
        <v>20</v>
      </c>
      <c r="B148" s="615" t="s">
        <v>130</v>
      </c>
      <c r="C148" s="615"/>
      <c r="D148" s="615"/>
      <c r="E148" s="615"/>
      <c r="F148" s="615"/>
      <c r="G148" s="615"/>
      <c r="H148" s="615"/>
      <c r="I148" s="614"/>
      <c r="J148" s="304" t="s">
        <v>459</v>
      </c>
      <c r="K148" s="230"/>
      <c r="L148" s="294"/>
      <c r="M148" s="615" t="s">
        <v>27</v>
      </c>
      <c r="N148" s="614"/>
      <c r="O148" s="295">
        <v>641710000</v>
      </c>
      <c r="P148" s="231">
        <f>O148</f>
        <v>641710000</v>
      </c>
      <c r="Q148" s="231">
        <f>SUM(Q149:Q154)</f>
        <v>1030500000</v>
      </c>
      <c r="R148" s="233">
        <f>Q148/Q$59*100</f>
        <v>40.797117575682343</v>
      </c>
      <c r="S148" s="233">
        <v>100</v>
      </c>
      <c r="T148" s="231">
        <f>AJ148</f>
        <v>53.568505870936434</v>
      </c>
      <c r="U148" s="231">
        <f>R148*T148/100</f>
        <v>21.854406323702236</v>
      </c>
      <c r="V148" s="296">
        <f>S148-T148</f>
        <v>46.431494129063566</v>
      </c>
      <c r="W148" s="231"/>
      <c r="X148" s="231" t="e">
        <f>#REF!</f>
        <v>#REF!</v>
      </c>
      <c r="Y148" s="231" t="e">
        <f>#REF!</f>
        <v>#REF!</v>
      </c>
      <c r="Z148" s="231" t="e">
        <f>#REF!</f>
        <v>#REF!</v>
      </c>
      <c r="AA148" s="231" t="e">
        <f>#REF!</f>
        <v>#REF!</v>
      </c>
      <c r="AB148" s="231">
        <v>335806263</v>
      </c>
      <c r="AC148" s="231" t="e">
        <f>#REF!</f>
        <v>#REF!</v>
      </c>
      <c r="AD148" s="231" t="e">
        <f>#REF!</f>
        <v>#REF!</v>
      </c>
      <c r="AE148" s="231" t="e">
        <f>#REF!</f>
        <v>#REF!</v>
      </c>
      <c r="AF148" s="231" t="e">
        <f>[1]April!N39</f>
        <v>#REF!</v>
      </c>
      <c r="AG148" s="231" t="e">
        <f>[2]april!N39</f>
        <v>#REF!</v>
      </c>
      <c r="AH148" s="231">
        <f>'[3]DES SKPD'!$N39</f>
        <v>676934270</v>
      </c>
      <c r="AI148" s="231">
        <f>SUM(AI149:AI154)</f>
        <v>552023453</v>
      </c>
      <c r="AJ148" s="233">
        <f>AI148/Q148*100</f>
        <v>53.568505870936434</v>
      </c>
      <c r="AK148" s="231">
        <f>Q148-AI148</f>
        <v>478476547</v>
      </c>
      <c r="AL148" s="233">
        <f>AK148/Q148*100</f>
        <v>46.431494129063559</v>
      </c>
      <c r="AM148" s="227"/>
    </row>
    <row r="149" spans="1:39" s="297" customFormat="1" ht="32.25" customHeight="1" x14ac:dyDescent="0.25">
      <c r="A149" s="227"/>
      <c r="B149" s="482"/>
      <c r="C149" s="482"/>
      <c r="D149" s="482"/>
      <c r="E149" s="482"/>
      <c r="F149" s="482"/>
      <c r="G149" s="482"/>
      <c r="H149" s="482"/>
      <c r="I149" s="481"/>
      <c r="J149" s="477" t="s">
        <v>259</v>
      </c>
      <c r="K149" s="245"/>
      <c r="L149" s="257"/>
      <c r="M149" s="597" t="s">
        <v>260</v>
      </c>
      <c r="N149" s="598"/>
      <c r="O149" s="299"/>
      <c r="P149" s="180"/>
      <c r="Q149" s="180">
        <v>800000</v>
      </c>
      <c r="R149" s="181">
        <f>Q149/Q$144*100</f>
        <v>0.528052805280528</v>
      </c>
      <c r="S149" s="181">
        <v>100</v>
      </c>
      <c r="T149" s="180">
        <f t="shared" ref="T149" si="48">AJ149</f>
        <v>0</v>
      </c>
      <c r="U149" s="180">
        <f t="shared" ref="U149" si="49">R149*T149/100</f>
        <v>0</v>
      </c>
      <c r="V149" s="182">
        <f t="shared" ref="V149" si="50">S149-T149</f>
        <v>100</v>
      </c>
      <c r="W149" s="180"/>
      <c r="X149" s="180" t="e">
        <f>#REF!</f>
        <v>#REF!</v>
      </c>
      <c r="Y149" s="180" t="e">
        <f>#REF!</f>
        <v>#REF!</v>
      </c>
      <c r="Z149" s="180" t="e">
        <f>#REF!</f>
        <v>#REF!</v>
      </c>
      <c r="AA149" s="180" t="e">
        <f>#REF!</f>
        <v>#REF!</v>
      </c>
      <c r="AB149" s="180">
        <v>91844002</v>
      </c>
      <c r="AC149" s="180" t="e">
        <f>#REF!</f>
        <v>#REF!</v>
      </c>
      <c r="AD149" s="180" t="e">
        <f>#REF!</f>
        <v>#REF!</v>
      </c>
      <c r="AE149" s="180" t="e">
        <f>#REF!</f>
        <v>#REF!</v>
      </c>
      <c r="AF149" s="180" t="e">
        <f>[1]April!N44</f>
        <v>#REF!</v>
      </c>
      <c r="AG149" s="180" t="e">
        <f>[2]april!N44</f>
        <v>#REF!</v>
      </c>
      <c r="AH149" s="180" t="e">
        <f>'[3]DES SKPD'!$N44</f>
        <v>#REF!</v>
      </c>
      <c r="AI149" s="180">
        <v>0</v>
      </c>
      <c r="AJ149" s="181">
        <f t="shared" ref="AJ149" si="51">AI149/Q149*100</f>
        <v>0</v>
      </c>
      <c r="AK149" s="180">
        <f t="shared" ref="AK149" si="52">Q149-AI149</f>
        <v>800000</v>
      </c>
      <c r="AL149" s="181">
        <f t="shared" ref="AL149" si="53">AK149/Q149*100</f>
        <v>100</v>
      </c>
      <c r="AM149" s="227"/>
    </row>
    <row r="150" spans="1:39" ht="28.5" customHeight="1" x14ac:dyDescent="0.25">
      <c r="A150" s="243"/>
      <c r="B150" s="477"/>
      <c r="C150" s="477"/>
      <c r="D150" s="477"/>
      <c r="E150" s="477"/>
      <c r="F150" s="477"/>
      <c r="G150" s="477"/>
      <c r="H150" s="477"/>
      <c r="I150" s="478"/>
      <c r="J150" s="477" t="s">
        <v>294</v>
      </c>
      <c r="K150" s="245"/>
      <c r="L150" s="257"/>
      <c r="M150" s="597" t="s">
        <v>295</v>
      </c>
      <c r="N150" s="598"/>
      <c r="O150" s="299"/>
      <c r="P150" s="180"/>
      <c r="Q150" s="180">
        <v>67090000</v>
      </c>
      <c r="R150" s="181">
        <f t="shared" ref="R150:R154" si="54">Q150/Q$148*100</f>
        <v>6.5104318292091223</v>
      </c>
      <c r="S150" s="181">
        <v>100</v>
      </c>
      <c r="T150" s="180">
        <f t="shared" si="44"/>
        <v>99.604710090922637</v>
      </c>
      <c r="U150" s="180">
        <f t="shared" si="47"/>
        <v>6.4846967491508973</v>
      </c>
      <c r="V150" s="182">
        <f t="shared" si="42"/>
        <v>0.39528990907736272</v>
      </c>
      <c r="W150" s="180"/>
      <c r="X150" s="180" t="e">
        <f>#REF!</f>
        <v>#REF!</v>
      </c>
      <c r="Y150" s="180" t="e">
        <f>#REF!</f>
        <v>#REF!</v>
      </c>
      <c r="Z150" s="180" t="e">
        <f>#REF!</f>
        <v>#REF!</v>
      </c>
      <c r="AA150" s="180" t="e">
        <f>#REF!</f>
        <v>#REF!</v>
      </c>
      <c r="AB150" s="180">
        <v>335806265</v>
      </c>
      <c r="AC150" s="180" t="e">
        <f>#REF!</f>
        <v>#REF!</v>
      </c>
      <c r="AD150" s="180" t="e">
        <f>#REF!</f>
        <v>#REF!</v>
      </c>
      <c r="AE150" s="180" t="e">
        <f>#REF!</f>
        <v>#REF!</v>
      </c>
      <c r="AF150" s="180" t="e">
        <f>[1]April!N41</f>
        <v>#REF!</v>
      </c>
      <c r="AG150" s="180" t="e">
        <f>[2]april!N41</f>
        <v>#REF!</v>
      </c>
      <c r="AH150" s="180">
        <f>'[3]DES SKPD'!$N41</f>
        <v>231767600</v>
      </c>
      <c r="AI150" s="180">
        <v>66824800</v>
      </c>
      <c r="AJ150" s="181">
        <f t="shared" si="45"/>
        <v>99.604710090922637</v>
      </c>
      <c r="AK150" s="180">
        <f t="shared" si="39"/>
        <v>265200</v>
      </c>
      <c r="AL150" s="181">
        <f t="shared" si="46"/>
        <v>0.39528990907735878</v>
      </c>
      <c r="AM150" s="243"/>
    </row>
    <row r="151" spans="1:39" ht="28.5" customHeight="1" x14ac:dyDescent="0.25">
      <c r="A151" s="243"/>
      <c r="B151" s="477"/>
      <c r="C151" s="477"/>
      <c r="D151" s="477"/>
      <c r="E151" s="477"/>
      <c r="F151" s="477"/>
      <c r="G151" s="477"/>
      <c r="H151" s="477"/>
      <c r="I151" s="478"/>
      <c r="J151" s="477" t="s">
        <v>296</v>
      </c>
      <c r="K151" s="245"/>
      <c r="L151" s="257"/>
      <c r="M151" s="597" t="s">
        <v>297</v>
      </c>
      <c r="N151" s="598"/>
      <c r="O151" s="299"/>
      <c r="P151" s="180"/>
      <c r="Q151" s="180">
        <v>297450000</v>
      </c>
      <c r="R151" s="181">
        <f t="shared" si="54"/>
        <v>28.864628820960696</v>
      </c>
      <c r="S151" s="181">
        <v>100</v>
      </c>
      <c r="T151" s="180">
        <f t="shared" si="44"/>
        <v>7.0483156833081191</v>
      </c>
      <c r="U151" s="180">
        <f t="shared" si="47"/>
        <v>2.0344701601164483</v>
      </c>
      <c r="V151" s="182">
        <f t="shared" si="42"/>
        <v>92.951684316691882</v>
      </c>
      <c r="W151" s="180"/>
      <c r="X151" s="180" t="e">
        <f>#REF!</f>
        <v>#REF!</v>
      </c>
      <c r="Y151" s="180" t="e">
        <f>#REF!</f>
        <v>#REF!</v>
      </c>
      <c r="Z151" s="180" t="e">
        <f>#REF!</f>
        <v>#REF!</v>
      </c>
      <c r="AA151" s="180" t="e">
        <f>#REF!</f>
        <v>#REF!</v>
      </c>
      <c r="AB151" s="180">
        <v>335806266</v>
      </c>
      <c r="AC151" s="180" t="e">
        <f>#REF!</f>
        <v>#REF!</v>
      </c>
      <c r="AD151" s="180" t="e">
        <f>#REF!</f>
        <v>#REF!</v>
      </c>
      <c r="AE151" s="180" t="e">
        <f>#REF!</f>
        <v>#REF!</v>
      </c>
      <c r="AF151" s="180" t="e">
        <f>[1]April!N42</f>
        <v>#REF!</v>
      </c>
      <c r="AG151" s="180" t="e">
        <f>[2]april!N42</f>
        <v>#REF!</v>
      </c>
      <c r="AH151" s="180" t="e">
        <f>'[3]DES SKPD'!$N42</f>
        <v>#REF!</v>
      </c>
      <c r="AI151" s="180">
        <f>8977800+11987415</f>
        <v>20965215</v>
      </c>
      <c r="AJ151" s="181">
        <f t="shared" si="45"/>
        <v>7.0483156833081191</v>
      </c>
      <c r="AK151" s="180">
        <f t="shared" si="39"/>
        <v>276484785</v>
      </c>
      <c r="AL151" s="181">
        <f t="shared" si="46"/>
        <v>92.951684316691882</v>
      </c>
      <c r="AM151" s="243"/>
    </row>
    <row r="152" spans="1:39" ht="28.5" customHeight="1" x14ac:dyDescent="0.25">
      <c r="A152" s="243"/>
      <c r="B152" s="477"/>
      <c r="C152" s="477"/>
      <c r="D152" s="477"/>
      <c r="E152" s="477"/>
      <c r="F152" s="477"/>
      <c r="G152" s="477"/>
      <c r="H152" s="477"/>
      <c r="I152" s="478"/>
      <c r="J152" s="477" t="s">
        <v>298</v>
      </c>
      <c r="K152" s="245"/>
      <c r="L152" s="257"/>
      <c r="M152" s="597" t="s">
        <v>299</v>
      </c>
      <c r="N152" s="598"/>
      <c r="O152" s="299"/>
      <c r="P152" s="180"/>
      <c r="Q152" s="180">
        <v>241500000</v>
      </c>
      <c r="R152" s="181">
        <f t="shared" si="54"/>
        <v>23.435225618631733</v>
      </c>
      <c r="S152" s="181">
        <v>100</v>
      </c>
      <c r="T152" s="180">
        <f t="shared" si="44"/>
        <v>55.512049689440992</v>
      </c>
      <c r="U152" s="180">
        <f t="shared" si="47"/>
        <v>13.009374090247452</v>
      </c>
      <c r="V152" s="182">
        <f t="shared" si="42"/>
        <v>44.487950310559008</v>
      </c>
      <c r="W152" s="180"/>
      <c r="X152" s="180" t="e">
        <f>#REF!</f>
        <v>#REF!</v>
      </c>
      <c r="Y152" s="180" t="e">
        <f>#REF!</f>
        <v>#REF!</v>
      </c>
      <c r="Z152" s="180" t="e">
        <f>#REF!</f>
        <v>#REF!</v>
      </c>
      <c r="AA152" s="180" t="e">
        <f>#REF!</f>
        <v>#REF!</v>
      </c>
      <c r="AB152" s="180">
        <v>335806267</v>
      </c>
      <c r="AC152" s="180" t="e">
        <f>#REF!</f>
        <v>#REF!</v>
      </c>
      <c r="AD152" s="180" t="e">
        <f>#REF!</f>
        <v>#REF!</v>
      </c>
      <c r="AE152" s="180" t="e">
        <f>#REF!</f>
        <v>#REF!</v>
      </c>
      <c r="AF152" s="180" t="e">
        <f>[1]April!N43</f>
        <v>#REF!</v>
      </c>
      <c r="AG152" s="180" t="e">
        <f>[2]april!N43</f>
        <v>#REF!</v>
      </c>
      <c r="AH152" s="180">
        <f>'[3]DES SKPD'!$N43</f>
        <v>38085000</v>
      </c>
      <c r="AI152" s="180">
        <f>59073775+74987825</f>
        <v>134061600</v>
      </c>
      <c r="AJ152" s="181">
        <f t="shared" si="45"/>
        <v>55.512049689440992</v>
      </c>
      <c r="AK152" s="180">
        <f t="shared" si="39"/>
        <v>107438400</v>
      </c>
      <c r="AL152" s="181">
        <f t="shared" si="46"/>
        <v>44.487950310559008</v>
      </c>
      <c r="AM152" s="243"/>
    </row>
    <row r="153" spans="1:39" ht="28.5" customHeight="1" x14ac:dyDescent="0.25">
      <c r="A153" s="243"/>
      <c r="B153" s="477"/>
      <c r="C153" s="477"/>
      <c r="D153" s="477"/>
      <c r="E153" s="477"/>
      <c r="F153" s="477"/>
      <c r="G153" s="477"/>
      <c r="H153" s="477"/>
      <c r="I153" s="478"/>
      <c r="J153" s="477" t="s">
        <v>581</v>
      </c>
      <c r="K153" s="245"/>
      <c r="L153" s="257"/>
      <c r="M153" s="597" t="s">
        <v>580</v>
      </c>
      <c r="N153" s="598"/>
      <c r="O153" s="299"/>
      <c r="P153" s="180"/>
      <c r="Q153" s="180">
        <v>411660000</v>
      </c>
      <c r="R153" s="181">
        <f t="shared" si="54"/>
        <v>39.94759825327511</v>
      </c>
      <c r="S153" s="181">
        <v>100</v>
      </c>
      <c r="T153" s="180">
        <f t="shared" si="44"/>
        <v>78.504551814604284</v>
      </c>
      <c r="U153" s="180">
        <f t="shared" si="47"/>
        <v>31.360682969432315</v>
      </c>
      <c r="V153" s="182">
        <f t="shared" si="42"/>
        <v>21.495448185395716</v>
      </c>
      <c r="W153" s="180"/>
      <c r="X153" s="180" t="e">
        <f>#REF!</f>
        <v>#REF!</v>
      </c>
      <c r="Y153" s="180" t="e">
        <f>#REF!</f>
        <v>#REF!</v>
      </c>
      <c r="Z153" s="180" t="e">
        <f>#REF!</f>
        <v>#REF!</v>
      </c>
      <c r="AA153" s="180" t="e">
        <f>#REF!</f>
        <v>#REF!</v>
      </c>
      <c r="AB153" s="180">
        <v>335806268</v>
      </c>
      <c r="AC153" s="180" t="e">
        <f>#REF!</f>
        <v>#REF!</v>
      </c>
      <c r="AD153" s="180" t="e">
        <f>#REF!</f>
        <v>#REF!</v>
      </c>
      <c r="AE153" s="180" t="e">
        <f>#REF!</f>
        <v>#REF!</v>
      </c>
      <c r="AF153" s="180" t="e">
        <f>[1]April!N44</f>
        <v>#REF!</v>
      </c>
      <c r="AG153" s="180" t="e">
        <f>[2]april!N44</f>
        <v>#REF!</v>
      </c>
      <c r="AH153" s="180" t="e">
        <f>'[3]DES SKPD'!$N44</f>
        <v>#REF!</v>
      </c>
      <c r="AI153" s="180">
        <f>38300000+153200000+38300000+6981150+9790688+38300000+38300000</f>
        <v>323171838</v>
      </c>
      <c r="AJ153" s="181">
        <f t="shared" si="45"/>
        <v>78.504551814604284</v>
      </c>
      <c r="AK153" s="180">
        <f t="shared" si="39"/>
        <v>88488162</v>
      </c>
      <c r="AL153" s="181">
        <f t="shared" si="46"/>
        <v>21.495448185395716</v>
      </c>
      <c r="AM153" s="243"/>
    </row>
    <row r="154" spans="1:39" ht="32.25" customHeight="1" x14ac:dyDescent="0.25">
      <c r="A154" s="243"/>
      <c r="B154" s="477"/>
      <c r="C154" s="477"/>
      <c r="D154" s="477"/>
      <c r="E154" s="477"/>
      <c r="F154" s="477"/>
      <c r="G154" s="477"/>
      <c r="H154" s="477"/>
      <c r="I154" s="478"/>
      <c r="J154" s="477" t="s">
        <v>551</v>
      </c>
      <c r="K154" s="245"/>
      <c r="L154" s="257"/>
      <c r="M154" s="597" t="s">
        <v>550</v>
      </c>
      <c r="N154" s="598"/>
      <c r="O154" s="299"/>
      <c r="P154" s="180"/>
      <c r="Q154" s="180">
        <v>12000000</v>
      </c>
      <c r="R154" s="181">
        <f t="shared" si="54"/>
        <v>1.1644832605531297</v>
      </c>
      <c r="S154" s="181"/>
      <c r="T154" s="180">
        <f t="shared" si="44"/>
        <v>58.333333333333336</v>
      </c>
      <c r="U154" s="180">
        <f t="shared" si="47"/>
        <v>0.6792819019893257</v>
      </c>
      <c r="V154" s="182">
        <f>S154-T154</f>
        <v>-58.333333333333336</v>
      </c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>
        <f>2000000+1000000+1000000+1000000+1000000+1000000</f>
        <v>7000000</v>
      </c>
      <c r="AJ154" s="181">
        <f t="shared" si="45"/>
        <v>58.333333333333336</v>
      </c>
      <c r="AK154" s="180">
        <f t="shared" si="39"/>
        <v>5000000</v>
      </c>
      <c r="AL154" s="181">
        <f t="shared" si="46"/>
        <v>41.666666666666671</v>
      </c>
      <c r="AM154" s="243"/>
    </row>
    <row r="155" spans="1:39" s="297" customFormat="1" ht="33.75" customHeight="1" x14ac:dyDescent="0.25">
      <c r="A155" s="227">
        <f>A148+1</f>
        <v>21</v>
      </c>
      <c r="B155" s="615" t="s">
        <v>131</v>
      </c>
      <c r="C155" s="615"/>
      <c r="D155" s="615"/>
      <c r="E155" s="615"/>
      <c r="F155" s="615"/>
      <c r="G155" s="615"/>
      <c r="H155" s="615"/>
      <c r="I155" s="614"/>
      <c r="J155" s="304" t="s">
        <v>460</v>
      </c>
      <c r="K155" s="230"/>
      <c r="L155" s="294"/>
      <c r="M155" s="615" t="s">
        <v>28</v>
      </c>
      <c r="N155" s="614"/>
      <c r="O155" s="295">
        <v>140600000</v>
      </c>
      <c r="P155" s="231">
        <f>O155</f>
        <v>140600000</v>
      </c>
      <c r="Q155" s="231">
        <f>SUM(Q156:Q156)</f>
        <v>96500000</v>
      </c>
      <c r="R155" s="233">
        <f>Q155/Q$124*100</f>
        <v>2.7479286597853601</v>
      </c>
      <c r="S155" s="233">
        <v>100</v>
      </c>
      <c r="T155" s="231">
        <f t="shared" si="44"/>
        <v>99.52435233160621</v>
      </c>
      <c r="U155" s="231">
        <f t="shared" si="47"/>
        <v>2.7348582011859661</v>
      </c>
      <c r="V155" s="296">
        <f>S155-T155</f>
        <v>0.47564766839379047</v>
      </c>
      <c r="W155" s="231"/>
      <c r="X155" s="231" t="e">
        <f>#REF!</f>
        <v>#REF!</v>
      </c>
      <c r="Y155" s="231" t="e">
        <f>#REF!</f>
        <v>#REF!</v>
      </c>
      <c r="Z155" s="231" t="e">
        <f>#REF!</f>
        <v>#REF!</v>
      </c>
      <c r="AA155" s="231" t="e">
        <f>#REF!</f>
        <v>#REF!</v>
      </c>
      <c r="AB155" s="231">
        <v>54780000</v>
      </c>
      <c r="AC155" s="231" t="e">
        <f>#REF!</f>
        <v>#REF!</v>
      </c>
      <c r="AD155" s="231" t="e">
        <f>#REF!</f>
        <v>#REF!</v>
      </c>
      <c r="AE155" s="231" t="e">
        <f>#REF!</f>
        <v>#REF!</v>
      </c>
      <c r="AF155" s="231" t="e">
        <f>[1]April!N40</f>
        <v>#REF!</v>
      </c>
      <c r="AG155" s="231">
        <v>140440000</v>
      </c>
      <c r="AH155" s="231">
        <f>'[3]DES SKPD'!$N40</f>
        <v>140440000</v>
      </c>
      <c r="AI155" s="231">
        <f>SUM(AI156:AI156)</f>
        <v>96041000</v>
      </c>
      <c r="AJ155" s="233">
        <f t="shared" si="45"/>
        <v>99.52435233160621</v>
      </c>
      <c r="AK155" s="231">
        <f t="shared" si="39"/>
        <v>459000</v>
      </c>
      <c r="AL155" s="233">
        <f t="shared" si="46"/>
        <v>0.47564766839378236</v>
      </c>
      <c r="AM155" s="227"/>
    </row>
    <row r="156" spans="1:39" ht="29.25" customHeight="1" x14ac:dyDescent="0.25">
      <c r="A156" s="243"/>
      <c r="B156" s="477"/>
      <c r="C156" s="477"/>
      <c r="D156" s="477"/>
      <c r="E156" s="477"/>
      <c r="F156" s="477"/>
      <c r="G156" s="477"/>
      <c r="H156" s="477"/>
      <c r="I156" s="478"/>
      <c r="J156" s="477" t="s">
        <v>302</v>
      </c>
      <c r="K156" s="245"/>
      <c r="L156" s="257"/>
      <c r="M156" s="597" t="s">
        <v>303</v>
      </c>
      <c r="N156" s="598"/>
      <c r="O156" s="299"/>
      <c r="P156" s="180"/>
      <c r="Q156" s="180">
        <v>96500000</v>
      </c>
      <c r="R156" s="181">
        <f>Q156/Q$155*100</f>
        <v>100</v>
      </c>
      <c r="S156" s="181">
        <v>100</v>
      </c>
      <c r="T156" s="180">
        <f t="shared" si="44"/>
        <v>99.52435233160621</v>
      </c>
      <c r="U156" s="180">
        <f t="shared" si="47"/>
        <v>99.52435233160621</v>
      </c>
      <c r="V156" s="182">
        <f t="shared" ref="V156:V219" si="55">S156-T156</f>
        <v>0.47564766839379047</v>
      </c>
      <c r="W156" s="180"/>
      <c r="X156" s="180" t="e">
        <f>#REF!</f>
        <v>#REF!</v>
      </c>
      <c r="Y156" s="180" t="e">
        <f>#REF!</f>
        <v>#REF!</v>
      </c>
      <c r="Z156" s="180" t="e">
        <f>#REF!</f>
        <v>#REF!</v>
      </c>
      <c r="AA156" s="180" t="e">
        <f>#REF!</f>
        <v>#REF!</v>
      </c>
      <c r="AB156" s="180">
        <v>54780002</v>
      </c>
      <c r="AC156" s="180" t="e">
        <f>#REF!</f>
        <v>#REF!</v>
      </c>
      <c r="AD156" s="180" t="e">
        <f>#REF!</f>
        <v>#REF!</v>
      </c>
      <c r="AE156" s="180" t="e">
        <f>#REF!</f>
        <v>#REF!</v>
      </c>
      <c r="AF156" s="180" t="e">
        <f>[1]April!N42</f>
        <v>#REF!</v>
      </c>
      <c r="AG156" s="231">
        <v>140440002</v>
      </c>
      <c r="AH156" s="180" t="e">
        <f>'[3]DES SKPD'!$N42</f>
        <v>#REF!</v>
      </c>
      <c r="AI156" s="180">
        <v>96041000</v>
      </c>
      <c r="AJ156" s="181">
        <f t="shared" si="45"/>
        <v>99.52435233160621</v>
      </c>
      <c r="AK156" s="180">
        <f t="shared" si="39"/>
        <v>459000</v>
      </c>
      <c r="AL156" s="181">
        <f t="shared" si="46"/>
        <v>0.47564766839378236</v>
      </c>
      <c r="AM156" s="243"/>
    </row>
    <row r="157" spans="1:39" s="297" customFormat="1" ht="33" customHeight="1" x14ac:dyDescent="0.25">
      <c r="A157" s="227">
        <f>SUM(A155+1)</f>
        <v>22</v>
      </c>
      <c r="B157" s="482"/>
      <c r="C157" s="482"/>
      <c r="D157" s="482"/>
      <c r="E157" s="482"/>
      <c r="F157" s="482"/>
      <c r="G157" s="482"/>
      <c r="H157" s="482"/>
      <c r="I157" s="481"/>
      <c r="J157" s="304" t="s">
        <v>461</v>
      </c>
      <c r="K157" s="230"/>
      <c r="L157" s="294"/>
      <c r="M157" s="615" t="s">
        <v>197</v>
      </c>
      <c r="N157" s="614"/>
      <c r="O157" s="295"/>
      <c r="P157" s="231"/>
      <c r="Q157" s="231">
        <f>SUM(Q158:Q158)</f>
        <v>230100000</v>
      </c>
      <c r="R157" s="233">
        <f>Q157/Q$124*100</f>
        <v>6.552314866493381</v>
      </c>
      <c r="S157" s="233">
        <v>100</v>
      </c>
      <c r="T157" s="231">
        <f t="shared" si="44"/>
        <v>72.402216427640155</v>
      </c>
      <c r="U157" s="231">
        <f t="shared" si="47"/>
        <v>4.7440211906589784</v>
      </c>
      <c r="V157" s="296">
        <f t="shared" si="55"/>
        <v>27.597783572359845</v>
      </c>
      <c r="W157" s="231"/>
      <c r="X157" s="231" t="e">
        <f>#REF!</f>
        <v>#REF!</v>
      </c>
      <c r="Y157" s="231" t="e">
        <f>#REF!</f>
        <v>#REF!</v>
      </c>
      <c r="Z157" s="231" t="e">
        <f>#REF!</f>
        <v>#REF!</v>
      </c>
      <c r="AA157" s="231" t="e">
        <f>#REF!</f>
        <v>#REF!</v>
      </c>
      <c r="AB157" s="231">
        <v>54780000</v>
      </c>
      <c r="AC157" s="231" t="e">
        <f>#REF!</f>
        <v>#REF!</v>
      </c>
      <c r="AD157" s="231" t="e">
        <f>#REF!</f>
        <v>#REF!</v>
      </c>
      <c r="AE157" s="231" t="e">
        <f>#REF!</f>
        <v>#REF!</v>
      </c>
      <c r="AF157" s="231" t="e">
        <f>[1]April!N41</f>
        <v>#REF!</v>
      </c>
      <c r="AG157" s="231">
        <v>140440000</v>
      </c>
      <c r="AH157" s="231">
        <f>'[3]DES SKPD'!$N41</f>
        <v>231767600</v>
      </c>
      <c r="AI157" s="231">
        <f>SUM(AI158:AI158)</f>
        <v>166597500</v>
      </c>
      <c r="AJ157" s="233">
        <f t="shared" si="45"/>
        <v>72.402216427640155</v>
      </c>
      <c r="AK157" s="231">
        <f t="shared" si="39"/>
        <v>63502500</v>
      </c>
      <c r="AL157" s="233">
        <f t="shared" si="46"/>
        <v>27.597783572359841</v>
      </c>
      <c r="AM157" s="227"/>
    </row>
    <row r="158" spans="1:39" ht="28.5" customHeight="1" x14ac:dyDescent="0.25">
      <c r="A158" s="243"/>
      <c r="B158" s="477"/>
      <c r="C158" s="477"/>
      <c r="D158" s="477"/>
      <c r="E158" s="477"/>
      <c r="F158" s="477"/>
      <c r="G158" s="477"/>
      <c r="H158" s="477"/>
      <c r="I158" s="478"/>
      <c r="J158" s="477" t="s">
        <v>304</v>
      </c>
      <c r="K158" s="245"/>
      <c r="L158" s="257"/>
      <c r="M158" s="597" t="s">
        <v>305</v>
      </c>
      <c r="N158" s="598"/>
      <c r="O158" s="299"/>
      <c r="P158" s="180"/>
      <c r="Q158" s="180">
        <v>230100000</v>
      </c>
      <c r="R158" s="181">
        <f>Q158/Q$157*100</f>
        <v>100</v>
      </c>
      <c r="S158" s="181">
        <v>100</v>
      </c>
      <c r="T158" s="180">
        <f t="shared" si="44"/>
        <v>72.402216427640155</v>
      </c>
      <c r="U158" s="180">
        <f t="shared" si="47"/>
        <v>72.402216427640155</v>
      </c>
      <c r="V158" s="182">
        <f t="shared" si="55"/>
        <v>27.597783572359845</v>
      </c>
      <c r="W158" s="180"/>
      <c r="X158" s="180" t="e">
        <f>#REF!</f>
        <v>#REF!</v>
      </c>
      <c r="Y158" s="180" t="e">
        <f>#REF!</f>
        <v>#REF!</v>
      </c>
      <c r="Z158" s="180" t="e">
        <f>#REF!</f>
        <v>#REF!</v>
      </c>
      <c r="AA158" s="180" t="e">
        <f>#REF!</f>
        <v>#REF!</v>
      </c>
      <c r="AB158" s="180">
        <v>54780002</v>
      </c>
      <c r="AC158" s="180" t="e">
        <f>#REF!</f>
        <v>#REF!</v>
      </c>
      <c r="AD158" s="180" t="e">
        <f>#REF!</f>
        <v>#REF!</v>
      </c>
      <c r="AE158" s="180" t="e">
        <f>#REF!</f>
        <v>#REF!</v>
      </c>
      <c r="AF158" s="180" t="e">
        <f>[1]April!N43</f>
        <v>#REF!</v>
      </c>
      <c r="AG158" s="231">
        <v>140440002</v>
      </c>
      <c r="AH158" s="180">
        <f>'[3]DES SKPD'!$N43</f>
        <v>38085000</v>
      </c>
      <c r="AI158" s="180">
        <f>42345000+52672500+10705000+60875000</f>
        <v>166597500</v>
      </c>
      <c r="AJ158" s="181">
        <f t="shared" si="45"/>
        <v>72.402216427640155</v>
      </c>
      <c r="AK158" s="180">
        <f t="shared" si="39"/>
        <v>63502500</v>
      </c>
      <c r="AL158" s="181">
        <f t="shared" si="46"/>
        <v>27.597783572359841</v>
      </c>
      <c r="AM158" s="243"/>
    </row>
    <row r="159" spans="1:39" ht="28.5" customHeight="1" x14ac:dyDescent="0.25">
      <c r="A159" s="227">
        <f>SUM(A157+1)</f>
        <v>23</v>
      </c>
      <c r="B159" s="482"/>
      <c r="C159" s="482"/>
      <c r="D159" s="482"/>
      <c r="E159" s="482"/>
      <c r="F159" s="482"/>
      <c r="G159" s="482"/>
      <c r="H159" s="482"/>
      <c r="I159" s="481"/>
      <c r="J159" s="304" t="s">
        <v>582</v>
      </c>
      <c r="K159" s="230"/>
      <c r="L159" s="294"/>
      <c r="M159" s="615" t="s">
        <v>583</v>
      </c>
      <c r="N159" s="614"/>
      <c r="O159" s="295"/>
      <c r="P159" s="231"/>
      <c r="Q159" s="231">
        <f>SUM(Q160:Q160)</f>
        <v>99200000</v>
      </c>
      <c r="R159" s="233">
        <f>Q159/Q$124*100</f>
        <v>2.8248137103700275</v>
      </c>
      <c r="S159" s="233">
        <v>100</v>
      </c>
      <c r="T159" s="231">
        <f t="shared" si="44"/>
        <v>0</v>
      </c>
      <c r="U159" s="231">
        <f t="shared" si="47"/>
        <v>0</v>
      </c>
      <c r="V159" s="296">
        <f t="shared" si="55"/>
        <v>100</v>
      </c>
      <c r="W159" s="231"/>
      <c r="X159" s="231" t="e">
        <f>#REF!</f>
        <v>#REF!</v>
      </c>
      <c r="Y159" s="231" t="e">
        <f>#REF!</f>
        <v>#REF!</v>
      </c>
      <c r="Z159" s="231" t="e">
        <f>#REF!</f>
        <v>#REF!</v>
      </c>
      <c r="AA159" s="231" t="e">
        <f>#REF!</f>
        <v>#REF!</v>
      </c>
      <c r="AB159" s="231">
        <v>54780000</v>
      </c>
      <c r="AC159" s="231" t="e">
        <f>#REF!</f>
        <v>#REF!</v>
      </c>
      <c r="AD159" s="231" t="e">
        <f>#REF!</f>
        <v>#REF!</v>
      </c>
      <c r="AE159" s="231" t="e">
        <f>#REF!</f>
        <v>#REF!</v>
      </c>
      <c r="AF159" s="231" t="e">
        <f>[1]April!N43</f>
        <v>#REF!</v>
      </c>
      <c r="AG159" s="231">
        <v>140440000</v>
      </c>
      <c r="AH159" s="231">
        <f>'[3]DES SKPD'!$N43</f>
        <v>38085000</v>
      </c>
      <c r="AI159" s="231">
        <f>SUM(AI160)</f>
        <v>0</v>
      </c>
      <c r="AJ159" s="233">
        <f t="shared" si="45"/>
        <v>0</v>
      </c>
      <c r="AK159" s="231">
        <f t="shared" si="39"/>
        <v>99200000</v>
      </c>
      <c r="AL159" s="233">
        <f t="shared" si="46"/>
        <v>100</v>
      </c>
      <c r="AM159" s="243"/>
    </row>
    <row r="160" spans="1:39" ht="28.5" customHeight="1" x14ac:dyDescent="0.25">
      <c r="A160" s="243"/>
      <c r="B160" s="477"/>
      <c r="C160" s="477"/>
      <c r="D160" s="477"/>
      <c r="E160" s="477"/>
      <c r="F160" s="477"/>
      <c r="G160" s="477"/>
      <c r="H160" s="477"/>
      <c r="I160" s="478"/>
      <c r="J160" s="477" t="s">
        <v>292</v>
      </c>
      <c r="K160" s="245"/>
      <c r="L160" s="257"/>
      <c r="M160" s="597" t="s">
        <v>584</v>
      </c>
      <c r="N160" s="598"/>
      <c r="O160" s="299"/>
      <c r="P160" s="180"/>
      <c r="Q160" s="180">
        <v>99200000</v>
      </c>
      <c r="R160" s="181">
        <f>Q160/Q$157*100</f>
        <v>43.111690569317688</v>
      </c>
      <c r="S160" s="181">
        <v>100</v>
      </c>
      <c r="T160" s="180">
        <f t="shared" si="44"/>
        <v>0</v>
      </c>
      <c r="U160" s="180">
        <f t="shared" si="47"/>
        <v>0</v>
      </c>
      <c r="V160" s="182">
        <f t="shared" si="55"/>
        <v>100</v>
      </c>
      <c r="W160" s="180"/>
      <c r="X160" s="180" t="e">
        <f>#REF!</f>
        <v>#REF!</v>
      </c>
      <c r="Y160" s="180" t="e">
        <f>#REF!</f>
        <v>#REF!</v>
      </c>
      <c r="Z160" s="180" t="e">
        <f>#REF!</f>
        <v>#REF!</v>
      </c>
      <c r="AA160" s="180" t="e">
        <f>#REF!</f>
        <v>#REF!</v>
      </c>
      <c r="AB160" s="180">
        <v>54780002</v>
      </c>
      <c r="AC160" s="180" t="e">
        <f>#REF!</f>
        <v>#REF!</v>
      </c>
      <c r="AD160" s="180" t="e">
        <f>#REF!</f>
        <v>#REF!</v>
      </c>
      <c r="AE160" s="180" t="e">
        <f>#REF!</f>
        <v>#REF!</v>
      </c>
      <c r="AF160" s="180" t="e">
        <f>[1]April!N45</f>
        <v>#REF!</v>
      </c>
      <c r="AG160" s="231">
        <v>140440002</v>
      </c>
      <c r="AH160" s="180">
        <f>'[3]DES SKPD'!$N45</f>
        <v>320566100</v>
      </c>
      <c r="AI160" s="180">
        <v>0</v>
      </c>
      <c r="AJ160" s="181">
        <f t="shared" si="45"/>
        <v>0</v>
      </c>
      <c r="AK160" s="180">
        <f t="shared" si="39"/>
        <v>99200000</v>
      </c>
      <c r="AL160" s="181">
        <f t="shared" si="46"/>
        <v>100</v>
      </c>
      <c r="AM160" s="243"/>
    </row>
    <row r="161" spans="1:39" s="226" customFormat="1" ht="29.25" customHeight="1" x14ac:dyDescent="0.25">
      <c r="A161" s="289" t="s">
        <v>29</v>
      </c>
      <c r="B161" s="607" t="s">
        <v>132</v>
      </c>
      <c r="C161" s="607"/>
      <c r="D161" s="607"/>
      <c r="E161" s="607"/>
      <c r="F161" s="607"/>
      <c r="G161" s="607"/>
      <c r="H161" s="607"/>
      <c r="I161" s="608"/>
      <c r="J161" s="483" t="s">
        <v>454</v>
      </c>
      <c r="K161" s="291"/>
      <c r="L161" s="607" t="s">
        <v>383</v>
      </c>
      <c r="M161" s="607"/>
      <c r="N161" s="608"/>
      <c r="O161" s="263">
        <f>SUM(O165)</f>
        <v>39710000</v>
      </c>
      <c r="P161" s="263">
        <f>SUM(P165)</f>
        <v>39710000</v>
      </c>
      <c r="Q161" s="263">
        <f>SUM(Q162+Q165)</f>
        <v>103000000</v>
      </c>
      <c r="R161" s="222">
        <f>Q161/Q$35*100</f>
        <v>0.32403945616907198</v>
      </c>
      <c r="S161" s="222">
        <v>100</v>
      </c>
      <c r="T161" s="263">
        <f t="shared" si="44"/>
        <v>26.844660194174757</v>
      </c>
      <c r="U161" s="263">
        <f>SUM(R161*T161/100)</f>
        <v>8.6987290903639228E-2</v>
      </c>
      <c r="V161" s="292">
        <f t="shared" si="55"/>
        <v>73.155339805825236</v>
      </c>
      <c r="W161" s="263">
        <f>SUM(W165)</f>
        <v>0</v>
      </c>
      <c r="X161" s="263" t="e">
        <f>SUM(X165)</f>
        <v>#REF!</v>
      </c>
      <c r="Y161" s="263" t="e">
        <f t="shared" ref="Y161:AH161" si="56">SUM(Y165)</f>
        <v>#REF!</v>
      </c>
      <c r="Z161" s="263" t="e">
        <f t="shared" si="56"/>
        <v>#REF!</v>
      </c>
      <c r="AA161" s="263" t="e">
        <f t="shared" si="56"/>
        <v>#REF!</v>
      </c>
      <c r="AB161" s="263">
        <f t="shared" si="56"/>
        <v>38085000</v>
      </c>
      <c r="AC161" s="263" t="e">
        <f t="shared" si="56"/>
        <v>#REF!</v>
      </c>
      <c r="AD161" s="263" t="e">
        <f t="shared" si="56"/>
        <v>#REF!</v>
      </c>
      <c r="AE161" s="263" t="e">
        <f t="shared" si="56"/>
        <v>#REF!</v>
      </c>
      <c r="AF161" s="263" t="e">
        <f t="shared" si="56"/>
        <v>#REF!</v>
      </c>
      <c r="AG161" s="263" t="e">
        <f t="shared" si="56"/>
        <v>#REF!</v>
      </c>
      <c r="AH161" s="263">
        <f t="shared" si="56"/>
        <v>38085000</v>
      </c>
      <c r="AI161" s="263">
        <f>SUM(AI162+AI165)</f>
        <v>27650000</v>
      </c>
      <c r="AJ161" s="222">
        <f t="shared" si="45"/>
        <v>26.844660194174757</v>
      </c>
      <c r="AK161" s="263">
        <f>SUM(Q161-AI161)</f>
        <v>75350000</v>
      </c>
      <c r="AL161" s="222">
        <f t="shared" si="46"/>
        <v>73.15533980582525</v>
      </c>
      <c r="AM161" s="289"/>
    </row>
    <row r="162" spans="1:39" s="235" customFormat="1" ht="29.25" customHeight="1" x14ac:dyDescent="0.25">
      <c r="A162" s="227">
        <f>A159+1</f>
        <v>24</v>
      </c>
      <c r="B162" s="482"/>
      <c r="C162" s="482"/>
      <c r="D162" s="482"/>
      <c r="E162" s="482"/>
      <c r="F162" s="482"/>
      <c r="G162" s="482"/>
      <c r="H162" s="482"/>
      <c r="I162" s="481"/>
      <c r="J162" s="304" t="s">
        <v>462</v>
      </c>
      <c r="K162" s="230"/>
      <c r="L162" s="482"/>
      <c r="M162" s="615" t="s">
        <v>386</v>
      </c>
      <c r="N162" s="614"/>
      <c r="O162" s="231"/>
      <c r="P162" s="231"/>
      <c r="Q162" s="231">
        <f>SUM(Q163:Q164)</f>
        <v>71000000</v>
      </c>
      <c r="R162" s="233">
        <f>Q162/Q$35*100</f>
        <v>0.2233670037670302</v>
      </c>
      <c r="S162" s="233">
        <v>100</v>
      </c>
      <c r="T162" s="231">
        <f t="shared" si="44"/>
        <v>0</v>
      </c>
      <c r="U162" s="231">
        <f t="shared" ref="U162:U167" si="57">R162*T162/100</f>
        <v>0</v>
      </c>
      <c r="V162" s="296">
        <f t="shared" si="55"/>
        <v>100</v>
      </c>
      <c r="W162" s="231"/>
      <c r="X162" s="231" t="e">
        <f>#REF!</f>
        <v>#REF!</v>
      </c>
      <c r="Y162" s="231" t="e">
        <f>#REF!</f>
        <v>#REF!</v>
      </c>
      <c r="Z162" s="231" t="e">
        <f>#REF!</f>
        <v>#REF!</v>
      </c>
      <c r="AA162" s="231" t="e">
        <f>#REF!</f>
        <v>#REF!</v>
      </c>
      <c r="AB162" s="231">
        <v>38085000</v>
      </c>
      <c r="AC162" s="231" t="e">
        <f>#REF!</f>
        <v>#REF!</v>
      </c>
      <c r="AD162" s="231" t="e">
        <f>#REF!</f>
        <v>#REF!</v>
      </c>
      <c r="AE162" s="231" t="e">
        <f>#REF!</f>
        <v>#REF!</v>
      </c>
      <c r="AF162" s="231" t="e">
        <f>[1]April!$N$43</f>
        <v>#REF!</v>
      </c>
      <c r="AG162" s="231" t="e">
        <f>[2]april!$N$43</f>
        <v>#REF!</v>
      </c>
      <c r="AH162" s="231">
        <f>'[3]DES SKPD'!$N39</f>
        <v>676934270</v>
      </c>
      <c r="AI162" s="231">
        <f>SUM(AI163:AI164)</f>
        <v>0</v>
      </c>
      <c r="AJ162" s="233">
        <f t="shared" si="45"/>
        <v>0</v>
      </c>
      <c r="AK162" s="231">
        <f t="shared" ref="AK162:AK167" si="58">Q162-AI162</f>
        <v>71000000</v>
      </c>
      <c r="AL162" s="233">
        <f t="shared" si="46"/>
        <v>100</v>
      </c>
      <c r="AM162" s="227"/>
    </row>
    <row r="163" spans="1:39" s="235" customFormat="1" ht="29.25" customHeight="1" x14ac:dyDescent="0.25">
      <c r="A163" s="227"/>
      <c r="B163" s="482"/>
      <c r="C163" s="482"/>
      <c r="D163" s="482"/>
      <c r="E163" s="482"/>
      <c r="F163" s="482"/>
      <c r="G163" s="482"/>
      <c r="H163" s="482"/>
      <c r="I163" s="481"/>
      <c r="J163" s="477" t="s">
        <v>259</v>
      </c>
      <c r="K163" s="245"/>
      <c r="L163" s="257"/>
      <c r="M163" s="597" t="s">
        <v>260</v>
      </c>
      <c r="N163" s="598"/>
      <c r="O163" s="231"/>
      <c r="P163" s="231"/>
      <c r="Q163" s="180">
        <v>800000</v>
      </c>
      <c r="R163" s="181">
        <f>Q163/Q$162*100</f>
        <v>1.1267605633802817</v>
      </c>
      <c r="S163" s="181">
        <v>100</v>
      </c>
      <c r="T163" s="180">
        <f t="shared" si="44"/>
        <v>0</v>
      </c>
      <c r="U163" s="180">
        <f t="shared" si="57"/>
        <v>0</v>
      </c>
      <c r="V163" s="182">
        <f t="shared" si="55"/>
        <v>100</v>
      </c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>
        <v>0</v>
      </c>
      <c r="AJ163" s="181">
        <f t="shared" si="45"/>
        <v>0</v>
      </c>
      <c r="AK163" s="180">
        <f t="shared" si="58"/>
        <v>800000</v>
      </c>
      <c r="AL163" s="181">
        <f t="shared" si="46"/>
        <v>100</v>
      </c>
      <c r="AM163" s="243"/>
    </row>
    <row r="164" spans="1:39" s="235" customFormat="1" ht="29.25" customHeight="1" x14ac:dyDescent="0.25">
      <c r="A164" s="227"/>
      <c r="B164" s="482"/>
      <c r="C164" s="482"/>
      <c r="D164" s="482"/>
      <c r="E164" s="482"/>
      <c r="F164" s="482"/>
      <c r="G164" s="482"/>
      <c r="H164" s="482"/>
      <c r="I164" s="481"/>
      <c r="J164" s="477" t="s">
        <v>387</v>
      </c>
      <c r="K164" s="230"/>
      <c r="L164" s="482"/>
      <c r="M164" s="597" t="s">
        <v>388</v>
      </c>
      <c r="N164" s="598"/>
      <c r="O164" s="231"/>
      <c r="P164" s="231"/>
      <c r="Q164" s="180">
        <v>70200000</v>
      </c>
      <c r="R164" s="181">
        <f>Q164/Q$162*100</f>
        <v>98.873239436619713</v>
      </c>
      <c r="S164" s="181">
        <v>100</v>
      </c>
      <c r="T164" s="180">
        <f t="shared" si="44"/>
        <v>0</v>
      </c>
      <c r="U164" s="180">
        <f t="shared" si="57"/>
        <v>0</v>
      </c>
      <c r="V164" s="182">
        <f t="shared" si="55"/>
        <v>100</v>
      </c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>
        <v>0</v>
      </c>
      <c r="AJ164" s="181">
        <f t="shared" si="45"/>
        <v>0</v>
      </c>
      <c r="AK164" s="180">
        <f t="shared" si="58"/>
        <v>70200000</v>
      </c>
      <c r="AL164" s="181">
        <f t="shared" si="46"/>
        <v>100</v>
      </c>
      <c r="AM164" s="243"/>
    </row>
    <row r="165" spans="1:39" s="297" customFormat="1" ht="28.5" customHeight="1" x14ac:dyDescent="0.25">
      <c r="A165" s="227">
        <f>A162+1</f>
        <v>25</v>
      </c>
      <c r="B165" s="615" t="s">
        <v>133</v>
      </c>
      <c r="C165" s="615"/>
      <c r="D165" s="615"/>
      <c r="E165" s="615"/>
      <c r="F165" s="615"/>
      <c r="G165" s="615"/>
      <c r="H165" s="615"/>
      <c r="I165" s="614"/>
      <c r="J165" s="304" t="s">
        <v>463</v>
      </c>
      <c r="K165" s="230"/>
      <c r="L165" s="294"/>
      <c r="M165" s="615" t="s">
        <v>134</v>
      </c>
      <c r="N165" s="614"/>
      <c r="O165" s="231">
        <v>39710000</v>
      </c>
      <c r="P165" s="231">
        <f>O165</f>
        <v>39710000</v>
      </c>
      <c r="Q165" s="231">
        <f>SUM(Q166:Q167)</f>
        <v>32000000</v>
      </c>
      <c r="R165" s="233">
        <f>Q165/Q$35*100</f>
        <v>0.10067245240204178</v>
      </c>
      <c r="S165" s="233">
        <v>100</v>
      </c>
      <c r="T165" s="231">
        <f t="shared" si="44"/>
        <v>86.40625</v>
      </c>
      <c r="U165" s="231">
        <f t="shared" si="57"/>
        <v>8.6987290903639228E-2</v>
      </c>
      <c r="V165" s="296">
        <f t="shared" si="55"/>
        <v>13.59375</v>
      </c>
      <c r="W165" s="231"/>
      <c r="X165" s="231" t="e">
        <f>#REF!</f>
        <v>#REF!</v>
      </c>
      <c r="Y165" s="231" t="e">
        <f>#REF!</f>
        <v>#REF!</v>
      </c>
      <c r="Z165" s="231" t="e">
        <f>#REF!</f>
        <v>#REF!</v>
      </c>
      <c r="AA165" s="231" t="e">
        <f>#REF!</f>
        <v>#REF!</v>
      </c>
      <c r="AB165" s="231">
        <v>38085000</v>
      </c>
      <c r="AC165" s="231" t="e">
        <f>#REF!</f>
        <v>#REF!</v>
      </c>
      <c r="AD165" s="231" t="e">
        <f>#REF!</f>
        <v>#REF!</v>
      </c>
      <c r="AE165" s="231" t="e">
        <f>#REF!</f>
        <v>#REF!</v>
      </c>
      <c r="AF165" s="231" t="e">
        <f>[1]April!$N$43</f>
        <v>#REF!</v>
      </c>
      <c r="AG165" s="231" t="e">
        <f>[2]april!$N$43</f>
        <v>#REF!</v>
      </c>
      <c r="AH165" s="231">
        <f>'[3]DES SKPD'!$N43</f>
        <v>38085000</v>
      </c>
      <c r="AI165" s="231">
        <f>SUM(AI166:AI167)</f>
        <v>27650000</v>
      </c>
      <c r="AJ165" s="233">
        <f t="shared" si="45"/>
        <v>86.40625</v>
      </c>
      <c r="AK165" s="231">
        <f t="shared" si="58"/>
        <v>4350000</v>
      </c>
      <c r="AL165" s="233">
        <f t="shared" si="46"/>
        <v>13.593749999999998</v>
      </c>
      <c r="AM165" s="227"/>
    </row>
    <row r="166" spans="1:39" ht="24.75" customHeight="1" x14ac:dyDescent="0.25">
      <c r="A166" s="243"/>
      <c r="B166" s="477"/>
      <c r="C166" s="477"/>
      <c r="D166" s="477"/>
      <c r="E166" s="477"/>
      <c r="F166" s="477"/>
      <c r="G166" s="477"/>
      <c r="H166" s="477"/>
      <c r="I166" s="478"/>
      <c r="J166" s="477" t="s">
        <v>259</v>
      </c>
      <c r="K166" s="245"/>
      <c r="L166" s="257"/>
      <c r="M166" s="597" t="s">
        <v>260</v>
      </c>
      <c r="N166" s="598"/>
      <c r="O166" s="180"/>
      <c r="P166" s="180"/>
      <c r="Q166" s="180">
        <v>800000</v>
      </c>
      <c r="R166" s="181">
        <f>Q166/Q$165*100</f>
        <v>2.5</v>
      </c>
      <c r="S166" s="181">
        <v>100</v>
      </c>
      <c r="T166" s="180">
        <f t="shared" si="44"/>
        <v>0</v>
      </c>
      <c r="U166" s="180">
        <f t="shared" si="57"/>
        <v>0</v>
      </c>
      <c r="V166" s="182">
        <f t="shared" si="55"/>
        <v>100</v>
      </c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>
        <v>0</v>
      </c>
      <c r="AJ166" s="181">
        <f t="shared" si="45"/>
        <v>0</v>
      </c>
      <c r="AK166" s="180">
        <f t="shared" si="58"/>
        <v>800000</v>
      </c>
      <c r="AL166" s="181">
        <f t="shared" si="46"/>
        <v>100</v>
      </c>
      <c r="AM166" s="243"/>
    </row>
    <row r="167" spans="1:39" ht="24.75" customHeight="1" x14ac:dyDescent="0.25">
      <c r="A167" s="243"/>
      <c r="B167" s="477"/>
      <c r="C167" s="477"/>
      <c r="D167" s="477"/>
      <c r="E167" s="477"/>
      <c r="F167" s="477"/>
      <c r="G167" s="477"/>
      <c r="H167" s="477"/>
      <c r="I167" s="478"/>
      <c r="J167" s="477" t="s">
        <v>311</v>
      </c>
      <c r="K167" s="245"/>
      <c r="L167" s="257"/>
      <c r="M167" s="597" t="s">
        <v>312</v>
      </c>
      <c r="N167" s="598"/>
      <c r="O167" s="180"/>
      <c r="P167" s="180"/>
      <c r="Q167" s="180">
        <v>31200000</v>
      </c>
      <c r="R167" s="181">
        <f>Q167/Q$165*100</f>
        <v>97.5</v>
      </c>
      <c r="S167" s="181">
        <v>100</v>
      </c>
      <c r="T167" s="180">
        <f t="shared" si="44"/>
        <v>88.621794871794862</v>
      </c>
      <c r="U167" s="180">
        <f t="shared" si="57"/>
        <v>86.406249999999986</v>
      </c>
      <c r="V167" s="182">
        <f t="shared" si="55"/>
        <v>11.378205128205138</v>
      </c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>
        <v>27650000</v>
      </c>
      <c r="AJ167" s="181">
        <f t="shared" si="45"/>
        <v>88.621794871794862</v>
      </c>
      <c r="AK167" s="180">
        <f t="shared" si="58"/>
        <v>3550000</v>
      </c>
      <c r="AL167" s="181">
        <f t="shared" si="46"/>
        <v>11.378205128205128</v>
      </c>
      <c r="AM167" s="243"/>
    </row>
    <row r="168" spans="1:39" s="226" customFormat="1" ht="28.5" customHeight="1" x14ac:dyDescent="0.25">
      <c r="A168" s="289" t="s">
        <v>30</v>
      </c>
      <c r="B168" s="607" t="s">
        <v>135</v>
      </c>
      <c r="C168" s="607"/>
      <c r="D168" s="607"/>
      <c r="E168" s="607"/>
      <c r="F168" s="607"/>
      <c r="G168" s="607"/>
      <c r="H168" s="607"/>
      <c r="I168" s="608"/>
      <c r="J168" s="483" t="s">
        <v>464</v>
      </c>
      <c r="K168" s="291"/>
      <c r="L168" s="607" t="s">
        <v>31</v>
      </c>
      <c r="M168" s="607"/>
      <c r="N168" s="608"/>
      <c r="O168" s="263">
        <f>SUM(O169:O171)</f>
        <v>789320000</v>
      </c>
      <c r="P168" s="263">
        <f>SUM(P169:P171)</f>
        <v>789320000</v>
      </c>
      <c r="Q168" s="263">
        <f>SUM(Q169+Q171)</f>
        <v>102870000</v>
      </c>
      <c r="R168" s="222">
        <f>Q168/Q$58*100</f>
        <v>0.50978833986266314</v>
      </c>
      <c r="S168" s="305">
        <v>100</v>
      </c>
      <c r="T168" s="306">
        <f t="shared" si="44"/>
        <v>47.905122970739768</v>
      </c>
      <c r="U168" s="263">
        <f>SUM(R168*T168/100)</f>
        <v>0.24421473110170155</v>
      </c>
      <c r="V168" s="307">
        <f t="shared" si="55"/>
        <v>52.094877029260232</v>
      </c>
      <c r="W168" s="263">
        <f t="shared" ref="W168:AH168" si="59">SUM(W169:W171)</f>
        <v>0</v>
      </c>
      <c r="X168" s="263" t="e">
        <f t="shared" si="59"/>
        <v>#REF!</v>
      </c>
      <c r="Y168" s="263" t="e">
        <f t="shared" si="59"/>
        <v>#REF!</v>
      </c>
      <c r="Z168" s="263" t="e">
        <f t="shared" si="59"/>
        <v>#REF!</v>
      </c>
      <c r="AA168" s="263" t="e">
        <f t="shared" si="59"/>
        <v>#REF!</v>
      </c>
      <c r="AB168" s="263">
        <f t="shared" si="59"/>
        <v>189087374</v>
      </c>
      <c r="AC168" s="263" t="e">
        <f t="shared" si="59"/>
        <v>#REF!</v>
      </c>
      <c r="AD168" s="263" t="e">
        <f t="shared" si="59"/>
        <v>#REF!</v>
      </c>
      <c r="AE168" s="263" t="e">
        <f t="shared" si="59"/>
        <v>#REF!</v>
      </c>
      <c r="AF168" s="263" t="e">
        <f t="shared" si="59"/>
        <v>#REF!</v>
      </c>
      <c r="AG168" s="263" t="e">
        <f t="shared" si="59"/>
        <v>#REF!</v>
      </c>
      <c r="AH168" s="263">
        <f t="shared" si="59"/>
        <v>663965174</v>
      </c>
      <c r="AI168" s="263">
        <f>SUM(AI169+AI171)</f>
        <v>49280000</v>
      </c>
      <c r="AJ168" s="222">
        <f t="shared" si="45"/>
        <v>47.905122970739768</v>
      </c>
      <c r="AK168" s="263">
        <f>SUM(Q168-AI168)</f>
        <v>53590000</v>
      </c>
      <c r="AL168" s="222">
        <f t="shared" si="46"/>
        <v>52.094877029260232</v>
      </c>
      <c r="AM168" s="289"/>
    </row>
    <row r="169" spans="1:39" s="297" customFormat="1" ht="29.25" customHeight="1" x14ac:dyDescent="0.25">
      <c r="A169" s="227">
        <f>A165+1</f>
        <v>26</v>
      </c>
      <c r="B169" s="615" t="s">
        <v>136</v>
      </c>
      <c r="C169" s="615"/>
      <c r="D169" s="615"/>
      <c r="E169" s="615"/>
      <c r="F169" s="615"/>
      <c r="G169" s="615"/>
      <c r="H169" s="615"/>
      <c r="I169" s="614"/>
      <c r="J169" s="304" t="s">
        <v>465</v>
      </c>
      <c r="K169" s="230"/>
      <c r="L169" s="294"/>
      <c r="M169" s="615" t="s">
        <v>32</v>
      </c>
      <c r="N169" s="614"/>
      <c r="O169" s="295">
        <v>350000000</v>
      </c>
      <c r="P169" s="231">
        <f>O169</f>
        <v>350000000</v>
      </c>
      <c r="Q169" s="231">
        <f>SUM(Q170:Q170)</f>
        <v>37300000</v>
      </c>
      <c r="R169" s="233">
        <f>Q169/Q$168*100</f>
        <v>36.259356469330221</v>
      </c>
      <c r="S169" s="233">
        <v>100</v>
      </c>
      <c r="T169" s="231">
        <f t="shared" si="44"/>
        <v>33.512064343163537</v>
      </c>
      <c r="U169" s="231">
        <f>R169*T169/100</f>
        <v>12.151258870418975</v>
      </c>
      <c r="V169" s="296">
        <f t="shared" si="55"/>
        <v>66.48793565683647</v>
      </c>
      <c r="W169" s="231"/>
      <c r="X169" s="231" t="e">
        <f>#REF!</f>
        <v>#REF!</v>
      </c>
      <c r="Y169" s="231" t="e">
        <f>#REF!</f>
        <v>#REF!</v>
      </c>
      <c r="Z169" s="231" t="e">
        <f>#REF!</f>
        <v>#REF!</v>
      </c>
      <c r="AA169" s="231" t="e">
        <f>#REF!</f>
        <v>#REF!</v>
      </c>
      <c r="AB169" s="231">
        <v>112882300</v>
      </c>
      <c r="AC169" s="231" t="e">
        <f>#REF!</f>
        <v>#REF!</v>
      </c>
      <c r="AD169" s="231" t="e">
        <f>#REF!</f>
        <v>#REF!</v>
      </c>
      <c r="AE169" s="231" t="e">
        <f>#REF!</f>
        <v>#REF!</v>
      </c>
      <c r="AF169" s="231" t="e">
        <f>[1]April!N45</f>
        <v>#REF!</v>
      </c>
      <c r="AG169" s="231" t="e">
        <f>[2]april!N45</f>
        <v>#REF!</v>
      </c>
      <c r="AH169" s="231">
        <f>'[3]DES SKPD'!$N45</f>
        <v>320566100</v>
      </c>
      <c r="AI169" s="231">
        <f>SUM(AI170:AI170)</f>
        <v>12500000</v>
      </c>
      <c r="AJ169" s="233">
        <f t="shared" si="45"/>
        <v>33.512064343163537</v>
      </c>
      <c r="AK169" s="231">
        <f t="shared" ref="AK169:AK179" si="60">Q169-AI169</f>
        <v>24800000</v>
      </c>
      <c r="AL169" s="233">
        <f t="shared" si="46"/>
        <v>66.487935656836456</v>
      </c>
      <c r="AM169" s="227"/>
    </row>
    <row r="170" spans="1:39" ht="29.25" customHeight="1" x14ac:dyDescent="0.25">
      <c r="A170" s="243"/>
      <c r="B170" s="477"/>
      <c r="C170" s="477"/>
      <c r="D170" s="477"/>
      <c r="E170" s="477"/>
      <c r="F170" s="477"/>
      <c r="G170" s="477"/>
      <c r="H170" s="477"/>
      <c r="I170" s="478"/>
      <c r="J170" s="477" t="s">
        <v>313</v>
      </c>
      <c r="K170" s="245"/>
      <c r="L170" s="257"/>
      <c r="M170" s="597" t="s">
        <v>314</v>
      </c>
      <c r="N170" s="598"/>
      <c r="O170" s="299"/>
      <c r="P170" s="180"/>
      <c r="Q170" s="180">
        <v>37300000</v>
      </c>
      <c r="R170" s="181">
        <f>Q170/Q$169*100</f>
        <v>100</v>
      </c>
      <c r="S170" s="181">
        <v>100</v>
      </c>
      <c r="T170" s="180">
        <f t="shared" si="44"/>
        <v>33.512064343163537</v>
      </c>
      <c r="U170" s="180">
        <f>R170*T170/100</f>
        <v>33.512064343163537</v>
      </c>
      <c r="V170" s="182">
        <f t="shared" si="55"/>
        <v>66.48793565683647</v>
      </c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>
        <v>12500000</v>
      </c>
      <c r="AJ170" s="181">
        <f t="shared" si="45"/>
        <v>33.512064343163537</v>
      </c>
      <c r="AK170" s="180">
        <f t="shared" si="60"/>
        <v>24800000</v>
      </c>
      <c r="AL170" s="181">
        <f t="shared" si="46"/>
        <v>66.487935656836456</v>
      </c>
      <c r="AM170" s="243"/>
    </row>
    <row r="171" spans="1:39" s="297" customFormat="1" ht="33.75" customHeight="1" x14ac:dyDescent="0.25">
      <c r="A171" s="227">
        <f>A169+1</f>
        <v>27</v>
      </c>
      <c r="B171" s="615" t="s">
        <v>137</v>
      </c>
      <c r="C171" s="615"/>
      <c r="D171" s="615"/>
      <c r="E171" s="615"/>
      <c r="F171" s="615"/>
      <c r="G171" s="615"/>
      <c r="H171" s="615"/>
      <c r="I171" s="614"/>
      <c r="J171" s="304" t="s">
        <v>466</v>
      </c>
      <c r="K171" s="230"/>
      <c r="L171" s="294"/>
      <c r="M171" s="615" t="s">
        <v>33</v>
      </c>
      <c r="N171" s="614"/>
      <c r="O171" s="295">
        <v>439320000</v>
      </c>
      <c r="P171" s="231">
        <f>O171</f>
        <v>439320000</v>
      </c>
      <c r="Q171" s="231">
        <f>SUM(Q172:Q179)</f>
        <v>65570000</v>
      </c>
      <c r="R171" s="233">
        <f>Q171/Q$168*100</f>
        <v>63.740643530669786</v>
      </c>
      <c r="S171" s="233">
        <v>100</v>
      </c>
      <c r="T171" s="231">
        <f t="shared" si="44"/>
        <v>56.092725331706575</v>
      </c>
      <c r="U171" s="231">
        <f>R171*T171/100</f>
        <v>35.753864100320797</v>
      </c>
      <c r="V171" s="296">
        <f t="shared" si="55"/>
        <v>43.907274668293425</v>
      </c>
      <c r="W171" s="231"/>
      <c r="X171" s="231" t="e">
        <f>#REF!</f>
        <v>#REF!</v>
      </c>
      <c r="Y171" s="231" t="e">
        <f>#REF!</f>
        <v>#REF!</v>
      </c>
      <c r="Z171" s="231" t="e">
        <f>#REF!</f>
        <v>#REF!</v>
      </c>
      <c r="AA171" s="231" t="e">
        <f>#REF!</f>
        <v>#REF!</v>
      </c>
      <c r="AB171" s="231">
        <v>76205074</v>
      </c>
      <c r="AC171" s="231" t="e">
        <f>#REF!</f>
        <v>#REF!</v>
      </c>
      <c r="AD171" s="231" t="e">
        <f>#REF!</f>
        <v>#REF!</v>
      </c>
      <c r="AE171" s="231" t="e">
        <f>#REF!</f>
        <v>#REF!</v>
      </c>
      <c r="AF171" s="231" t="e">
        <f>[1]April!N46</f>
        <v>#REF!</v>
      </c>
      <c r="AG171" s="231" t="e">
        <f>[2]april!N46</f>
        <v>#REF!</v>
      </c>
      <c r="AH171" s="231">
        <f>'[3]DES SKPD'!$N46</f>
        <v>343399074</v>
      </c>
      <c r="AI171" s="231">
        <f>SUM(AI172:AI179)</f>
        <v>36780000</v>
      </c>
      <c r="AJ171" s="233">
        <f t="shared" si="45"/>
        <v>56.092725331706575</v>
      </c>
      <c r="AK171" s="231">
        <f t="shared" si="60"/>
        <v>28790000</v>
      </c>
      <c r="AL171" s="233">
        <f t="shared" si="46"/>
        <v>43.907274668293425</v>
      </c>
      <c r="AM171" s="227"/>
    </row>
    <row r="172" spans="1:39" ht="28.5" customHeight="1" x14ac:dyDescent="0.25">
      <c r="A172" s="243"/>
      <c r="B172" s="477"/>
      <c r="C172" s="477"/>
      <c r="D172" s="477"/>
      <c r="E172" s="477"/>
      <c r="F172" s="477"/>
      <c r="G172" s="477"/>
      <c r="H172" s="477"/>
      <c r="I172" s="478"/>
      <c r="J172" s="477" t="s">
        <v>259</v>
      </c>
      <c r="K172" s="245"/>
      <c r="L172" s="257"/>
      <c r="M172" s="597" t="s">
        <v>260</v>
      </c>
      <c r="N172" s="598"/>
      <c r="O172" s="299"/>
      <c r="P172" s="180"/>
      <c r="Q172" s="180">
        <v>770000</v>
      </c>
      <c r="R172" s="181">
        <f t="shared" ref="R172:R179" si="61">Q172/Q$171*100</f>
        <v>1.1743175232575873</v>
      </c>
      <c r="S172" s="181">
        <v>100</v>
      </c>
      <c r="T172" s="180">
        <f t="shared" si="44"/>
        <v>100</v>
      </c>
      <c r="U172" s="180">
        <f t="shared" ref="U172:U180" si="62">R172*T172/100</f>
        <v>1.1743175232575873</v>
      </c>
      <c r="V172" s="182">
        <f t="shared" si="55"/>
        <v>0</v>
      </c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>
        <v>770000</v>
      </c>
      <c r="AJ172" s="181">
        <f t="shared" si="45"/>
        <v>100</v>
      </c>
      <c r="AK172" s="180">
        <f t="shared" si="60"/>
        <v>0</v>
      </c>
      <c r="AL172" s="181">
        <f t="shared" si="46"/>
        <v>0</v>
      </c>
      <c r="AM172" s="243"/>
    </row>
    <row r="173" spans="1:39" ht="32.25" customHeight="1" x14ac:dyDescent="0.25">
      <c r="A173" s="243"/>
      <c r="B173" s="477"/>
      <c r="C173" s="477"/>
      <c r="D173" s="477"/>
      <c r="E173" s="477"/>
      <c r="F173" s="477"/>
      <c r="G173" s="477"/>
      <c r="H173" s="477"/>
      <c r="I173" s="478"/>
      <c r="J173" s="477" t="s">
        <v>315</v>
      </c>
      <c r="K173" s="245"/>
      <c r="L173" s="257"/>
      <c r="M173" s="597" t="s">
        <v>428</v>
      </c>
      <c r="N173" s="598"/>
      <c r="O173" s="299"/>
      <c r="P173" s="180"/>
      <c r="Q173" s="180">
        <v>1500000</v>
      </c>
      <c r="R173" s="181">
        <f t="shared" si="61"/>
        <v>2.2876315388134816</v>
      </c>
      <c r="S173" s="181">
        <v>100</v>
      </c>
      <c r="T173" s="180">
        <f t="shared" si="44"/>
        <v>60</v>
      </c>
      <c r="U173" s="180">
        <f t="shared" si="62"/>
        <v>1.3725789232880892</v>
      </c>
      <c r="V173" s="182">
        <f t="shared" si="55"/>
        <v>40</v>
      </c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>
        <v>900000</v>
      </c>
      <c r="AJ173" s="181">
        <f t="shared" si="45"/>
        <v>60</v>
      </c>
      <c r="AK173" s="180">
        <f t="shared" si="60"/>
        <v>600000</v>
      </c>
      <c r="AL173" s="181">
        <f t="shared" si="46"/>
        <v>40</v>
      </c>
      <c r="AM173" s="243"/>
    </row>
    <row r="174" spans="1:39" ht="32.25" customHeight="1" x14ac:dyDescent="0.25">
      <c r="A174" s="243"/>
      <c r="B174" s="477"/>
      <c r="C174" s="477"/>
      <c r="D174" s="477"/>
      <c r="E174" s="477"/>
      <c r="F174" s="477"/>
      <c r="G174" s="477"/>
      <c r="H174" s="477"/>
      <c r="I174" s="478"/>
      <c r="J174" s="477" t="s">
        <v>316</v>
      </c>
      <c r="K174" s="245"/>
      <c r="L174" s="257"/>
      <c r="M174" s="597" t="s">
        <v>317</v>
      </c>
      <c r="N174" s="598"/>
      <c r="O174" s="299"/>
      <c r="P174" s="180"/>
      <c r="Q174" s="180">
        <v>300000</v>
      </c>
      <c r="R174" s="181">
        <f t="shared" si="61"/>
        <v>0.45752630776269632</v>
      </c>
      <c r="S174" s="181">
        <v>100</v>
      </c>
      <c r="T174" s="180">
        <f t="shared" si="44"/>
        <v>50</v>
      </c>
      <c r="U174" s="180">
        <f t="shared" si="62"/>
        <v>0.22876315388134816</v>
      </c>
      <c r="V174" s="182">
        <f t="shared" si="55"/>
        <v>50</v>
      </c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>
        <v>150000</v>
      </c>
      <c r="AJ174" s="181">
        <f t="shared" si="45"/>
        <v>50</v>
      </c>
      <c r="AK174" s="180">
        <f t="shared" si="60"/>
        <v>150000</v>
      </c>
      <c r="AL174" s="181">
        <f t="shared" si="46"/>
        <v>50</v>
      </c>
      <c r="AM174" s="243"/>
    </row>
    <row r="175" spans="1:39" ht="30.75" customHeight="1" x14ac:dyDescent="0.25">
      <c r="A175" s="243"/>
      <c r="B175" s="477"/>
      <c r="C175" s="477"/>
      <c r="D175" s="477"/>
      <c r="E175" s="477"/>
      <c r="F175" s="477"/>
      <c r="G175" s="477"/>
      <c r="H175" s="477"/>
      <c r="I175" s="478"/>
      <c r="J175" s="477" t="s">
        <v>318</v>
      </c>
      <c r="K175" s="245"/>
      <c r="L175" s="257"/>
      <c r="M175" s="597" t="s">
        <v>319</v>
      </c>
      <c r="N175" s="598"/>
      <c r="O175" s="299"/>
      <c r="P175" s="180"/>
      <c r="Q175" s="180">
        <v>26250000</v>
      </c>
      <c r="R175" s="181">
        <f t="shared" si="61"/>
        <v>40.033551929235934</v>
      </c>
      <c r="S175" s="181">
        <v>100</v>
      </c>
      <c r="T175" s="180">
        <f t="shared" si="44"/>
        <v>93.333333333333329</v>
      </c>
      <c r="U175" s="180">
        <f t="shared" si="62"/>
        <v>37.36464846728687</v>
      </c>
      <c r="V175" s="182">
        <f t="shared" si="55"/>
        <v>6.6666666666666714</v>
      </c>
      <c r="W175" s="180"/>
      <c r="X175" s="180"/>
      <c r="Y175" s="180"/>
      <c r="Z175" s="180"/>
      <c r="AA175" s="180"/>
      <c r="AB175" s="180"/>
      <c r="AC175" s="180"/>
      <c r="AD175" s="180"/>
      <c r="AE175" s="180"/>
      <c r="AF175" s="180"/>
      <c r="AG175" s="180"/>
      <c r="AH175" s="180"/>
      <c r="AI175" s="180">
        <v>24500000</v>
      </c>
      <c r="AJ175" s="181">
        <f t="shared" si="45"/>
        <v>93.333333333333329</v>
      </c>
      <c r="AK175" s="180">
        <f t="shared" si="60"/>
        <v>1750000</v>
      </c>
      <c r="AL175" s="181">
        <f t="shared" si="46"/>
        <v>6.666666666666667</v>
      </c>
      <c r="AM175" s="243"/>
    </row>
    <row r="176" spans="1:39" ht="24.75" customHeight="1" x14ac:dyDescent="0.25">
      <c r="A176" s="243"/>
      <c r="B176" s="477"/>
      <c r="C176" s="477"/>
      <c r="D176" s="477"/>
      <c r="E176" s="477"/>
      <c r="F176" s="477"/>
      <c r="G176" s="477"/>
      <c r="H176" s="477"/>
      <c r="I176" s="478"/>
      <c r="J176" s="477" t="s">
        <v>284</v>
      </c>
      <c r="K176" s="245"/>
      <c r="L176" s="257"/>
      <c r="M176" s="597" t="s">
        <v>585</v>
      </c>
      <c r="N176" s="598"/>
      <c r="O176" s="299"/>
      <c r="P176" s="180"/>
      <c r="Q176" s="180">
        <v>12900000</v>
      </c>
      <c r="R176" s="181">
        <f t="shared" si="61"/>
        <v>19.673631233795945</v>
      </c>
      <c r="S176" s="181">
        <v>100</v>
      </c>
      <c r="T176" s="180">
        <f t="shared" si="44"/>
        <v>46.589147286821699</v>
      </c>
      <c r="U176" s="180">
        <f t="shared" si="62"/>
        <v>9.1657770321793492</v>
      </c>
      <c r="V176" s="182">
        <f t="shared" si="55"/>
        <v>53.410852713178301</v>
      </c>
      <c r="W176" s="180"/>
      <c r="X176" s="180"/>
      <c r="Y176" s="180"/>
      <c r="Z176" s="180"/>
      <c r="AA176" s="180"/>
      <c r="AB176" s="180"/>
      <c r="AC176" s="180"/>
      <c r="AD176" s="180"/>
      <c r="AE176" s="180"/>
      <c r="AF176" s="180"/>
      <c r="AG176" s="180"/>
      <c r="AH176" s="180"/>
      <c r="AI176" s="180">
        <v>6010000</v>
      </c>
      <c r="AJ176" s="181">
        <f t="shared" si="45"/>
        <v>46.589147286821699</v>
      </c>
      <c r="AK176" s="180">
        <f t="shared" si="60"/>
        <v>6890000</v>
      </c>
      <c r="AL176" s="181">
        <f t="shared" si="46"/>
        <v>53.410852713178294</v>
      </c>
      <c r="AM176" s="243"/>
    </row>
    <row r="177" spans="1:44" ht="24.75" customHeight="1" x14ac:dyDescent="0.25">
      <c r="A177" s="243"/>
      <c r="B177" s="477"/>
      <c r="C177" s="477"/>
      <c r="D177" s="477"/>
      <c r="E177" s="477"/>
      <c r="F177" s="477"/>
      <c r="G177" s="477"/>
      <c r="H177" s="477"/>
      <c r="I177" s="478"/>
      <c r="J177" s="477" t="s">
        <v>282</v>
      </c>
      <c r="K177" s="245"/>
      <c r="L177" s="257"/>
      <c r="M177" s="597" t="s">
        <v>586</v>
      </c>
      <c r="N177" s="598"/>
      <c r="O177" s="299"/>
      <c r="P177" s="180"/>
      <c r="Q177" s="180">
        <v>5000000</v>
      </c>
      <c r="R177" s="181">
        <f t="shared" si="61"/>
        <v>7.6254384627116059</v>
      </c>
      <c r="S177" s="181">
        <v>100</v>
      </c>
      <c r="T177" s="180">
        <f t="shared" si="44"/>
        <v>0</v>
      </c>
      <c r="U177" s="180">
        <f t="shared" si="62"/>
        <v>0</v>
      </c>
      <c r="V177" s="182">
        <f>S177-T177</f>
        <v>100</v>
      </c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>
        <v>0</v>
      </c>
      <c r="AJ177" s="181">
        <f t="shared" si="45"/>
        <v>0</v>
      </c>
      <c r="AK177" s="180">
        <f t="shared" si="60"/>
        <v>5000000</v>
      </c>
      <c r="AL177" s="181">
        <f t="shared" si="46"/>
        <v>100</v>
      </c>
      <c r="AM177" s="243"/>
    </row>
    <row r="178" spans="1:44" ht="24.75" customHeight="1" x14ac:dyDescent="0.25">
      <c r="A178" s="243"/>
      <c r="B178" s="477"/>
      <c r="C178" s="477"/>
      <c r="D178" s="477"/>
      <c r="E178" s="477"/>
      <c r="F178" s="477"/>
      <c r="G178" s="477"/>
      <c r="H178" s="477"/>
      <c r="I178" s="478"/>
      <c r="J178" s="477" t="s">
        <v>320</v>
      </c>
      <c r="K178" s="245"/>
      <c r="L178" s="257"/>
      <c r="M178" s="597" t="s">
        <v>321</v>
      </c>
      <c r="N178" s="598"/>
      <c r="O178" s="299"/>
      <c r="P178" s="180"/>
      <c r="Q178" s="180">
        <v>18400000</v>
      </c>
      <c r="R178" s="181">
        <f t="shared" si="61"/>
        <v>28.061613542778709</v>
      </c>
      <c r="S178" s="181">
        <v>100</v>
      </c>
      <c r="T178" s="180">
        <f t="shared" si="44"/>
        <v>21.739130434782609</v>
      </c>
      <c r="U178" s="180">
        <f t="shared" si="62"/>
        <v>6.1003507701692845</v>
      </c>
      <c r="V178" s="182">
        <f t="shared" ref="V178:V179" si="63">S178-T178</f>
        <v>78.260869565217391</v>
      </c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>
        <v>4000000</v>
      </c>
      <c r="AJ178" s="181">
        <f t="shared" si="45"/>
        <v>21.739130434782609</v>
      </c>
      <c r="AK178" s="180">
        <f t="shared" si="60"/>
        <v>14400000</v>
      </c>
      <c r="AL178" s="181">
        <f t="shared" si="46"/>
        <v>78.260869565217391</v>
      </c>
      <c r="AM178" s="243"/>
    </row>
    <row r="179" spans="1:44" ht="24.75" customHeight="1" x14ac:dyDescent="0.25">
      <c r="A179" s="243"/>
      <c r="B179" s="477"/>
      <c r="C179" s="477"/>
      <c r="D179" s="477"/>
      <c r="E179" s="477"/>
      <c r="F179" s="477"/>
      <c r="G179" s="477"/>
      <c r="H179" s="477"/>
      <c r="I179" s="478"/>
      <c r="J179" s="477" t="s">
        <v>407</v>
      </c>
      <c r="K179" s="245"/>
      <c r="L179" s="257"/>
      <c r="M179" s="597" t="s">
        <v>414</v>
      </c>
      <c r="N179" s="598"/>
      <c r="O179" s="299"/>
      <c r="P179" s="180"/>
      <c r="Q179" s="180">
        <v>450000</v>
      </c>
      <c r="R179" s="181">
        <f t="shared" si="61"/>
        <v>0.68628946164404447</v>
      </c>
      <c r="S179" s="181">
        <v>100</v>
      </c>
      <c r="T179" s="180">
        <f t="shared" si="44"/>
        <v>100</v>
      </c>
      <c r="U179" s="180">
        <f t="shared" si="62"/>
        <v>0.68628946164404458</v>
      </c>
      <c r="V179" s="182">
        <f t="shared" si="63"/>
        <v>0</v>
      </c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>
        <v>450000</v>
      </c>
      <c r="AJ179" s="181">
        <f t="shared" si="45"/>
        <v>100</v>
      </c>
      <c r="AK179" s="180">
        <f t="shared" si="60"/>
        <v>0</v>
      </c>
      <c r="AL179" s="181">
        <f t="shared" si="46"/>
        <v>0</v>
      </c>
      <c r="AM179" s="243"/>
    </row>
    <row r="180" spans="1:44" s="226" customFormat="1" ht="52.5" customHeight="1" x14ac:dyDescent="0.25">
      <c r="A180" s="289" t="s">
        <v>34</v>
      </c>
      <c r="B180" s="607" t="s">
        <v>138</v>
      </c>
      <c r="C180" s="607"/>
      <c r="D180" s="607"/>
      <c r="E180" s="607"/>
      <c r="F180" s="607"/>
      <c r="G180" s="607"/>
      <c r="H180" s="607"/>
      <c r="I180" s="608"/>
      <c r="J180" s="483" t="s">
        <v>467</v>
      </c>
      <c r="K180" s="291"/>
      <c r="L180" s="607" t="s">
        <v>35</v>
      </c>
      <c r="M180" s="607"/>
      <c r="N180" s="608"/>
      <c r="O180" s="263">
        <f>SUM(O181:O230)</f>
        <v>2212865000</v>
      </c>
      <c r="P180" s="263">
        <f>SUM(P181:P230)</f>
        <v>1923365000</v>
      </c>
      <c r="Q180" s="263">
        <f>SUM(Q181+Q193+Q201+Q209+Q216+Q222+Q230+Q241)</f>
        <v>1358098427</v>
      </c>
      <c r="R180" s="222">
        <f>Q180/Q$58*100</f>
        <v>6.7302687126511538</v>
      </c>
      <c r="S180" s="222">
        <f>S181</f>
        <v>100</v>
      </c>
      <c r="T180" s="263">
        <f t="shared" si="44"/>
        <v>42.748173361959132</v>
      </c>
      <c r="U180" s="263">
        <f t="shared" si="62"/>
        <v>2.8770669370098103</v>
      </c>
      <c r="V180" s="292">
        <f t="shared" si="55"/>
        <v>57.251826638040868</v>
      </c>
      <c r="W180" s="263">
        <f t="shared" ref="W180:AH180" si="64">SUM(W181:W230)</f>
        <v>0</v>
      </c>
      <c r="X180" s="263" t="e">
        <f t="shared" si="64"/>
        <v>#REF!</v>
      </c>
      <c r="Y180" s="263" t="e">
        <f t="shared" si="64"/>
        <v>#REF!</v>
      </c>
      <c r="Z180" s="263" t="e">
        <f t="shared" si="64"/>
        <v>#REF!</v>
      </c>
      <c r="AA180" s="263" t="e">
        <f t="shared" si="64"/>
        <v>#REF!</v>
      </c>
      <c r="AB180" s="263">
        <f t="shared" si="64"/>
        <v>1160108089</v>
      </c>
      <c r="AC180" s="263" t="e">
        <f t="shared" si="64"/>
        <v>#REF!</v>
      </c>
      <c r="AD180" s="263" t="e">
        <f t="shared" si="64"/>
        <v>#REF!</v>
      </c>
      <c r="AE180" s="263" t="e">
        <f t="shared" si="64"/>
        <v>#REF!</v>
      </c>
      <c r="AF180" s="263" t="e">
        <f t="shared" si="64"/>
        <v>#REF!</v>
      </c>
      <c r="AG180" s="263" t="e">
        <f t="shared" si="64"/>
        <v>#REF!</v>
      </c>
      <c r="AH180" s="263" t="e">
        <f t="shared" si="64"/>
        <v>#REF!</v>
      </c>
      <c r="AI180" s="263">
        <f>SUM(AI181+AI193+AI201+AI209+AI216+AI222+AI230+AI241)</f>
        <v>580562270</v>
      </c>
      <c r="AJ180" s="222">
        <f t="shared" si="45"/>
        <v>42.748173361959132</v>
      </c>
      <c r="AK180" s="263">
        <f>SUM(Q180-AI180)</f>
        <v>777536157</v>
      </c>
      <c r="AL180" s="222">
        <f t="shared" si="46"/>
        <v>57.251826638040868</v>
      </c>
      <c r="AM180" s="289"/>
    </row>
    <row r="181" spans="1:44" s="297" customFormat="1" ht="48.75" customHeight="1" x14ac:dyDescent="0.25">
      <c r="A181" s="227">
        <f>A171+1</f>
        <v>28</v>
      </c>
      <c r="B181" s="615" t="s">
        <v>139</v>
      </c>
      <c r="C181" s="615"/>
      <c r="D181" s="615"/>
      <c r="E181" s="615"/>
      <c r="F181" s="615"/>
      <c r="G181" s="615"/>
      <c r="H181" s="615"/>
      <c r="I181" s="614"/>
      <c r="J181" s="304" t="s">
        <v>468</v>
      </c>
      <c r="K181" s="230"/>
      <c r="L181" s="294"/>
      <c r="M181" s="615" t="s">
        <v>36</v>
      </c>
      <c r="N181" s="614"/>
      <c r="O181" s="300">
        <v>1093890000</v>
      </c>
      <c r="P181" s="231">
        <f>[9]Sheet1!$U$80</f>
        <v>804390000</v>
      </c>
      <c r="Q181" s="231">
        <f>SUM(Q182:Q192)</f>
        <v>496093427</v>
      </c>
      <c r="R181" s="233">
        <f>Q181/Q$180*100</f>
        <v>36.528532626008264</v>
      </c>
      <c r="S181" s="233">
        <v>100</v>
      </c>
      <c r="T181" s="231">
        <f t="shared" si="44"/>
        <v>47.418138841819406</v>
      </c>
      <c r="U181" s="231">
        <f>R181*T181/100</f>
        <v>17.321150317479898</v>
      </c>
      <c r="V181" s="296">
        <f t="shared" si="55"/>
        <v>52.581861158180594</v>
      </c>
      <c r="W181" s="231"/>
      <c r="X181" s="231" t="e">
        <f>#REF!</f>
        <v>#REF!</v>
      </c>
      <c r="Y181" s="231" t="e">
        <f>#REF!</f>
        <v>#REF!</v>
      </c>
      <c r="Z181" s="231" t="e">
        <f>#REF!</f>
        <v>#REF!</v>
      </c>
      <c r="AA181" s="231" t="e">
        <f>#REF!</f>
        <v>#REF!</v>
      </c>
      <c r="AB181" s="231">
        <v>258208050</v>
      </c>
      <c r="AC181" s="231" t="e">
        <f>#REF!</f>
        <v>#REF!</v>
      </c>
      <c r="AD181" s="231" t="e">
        <f>#REF!</f>
        <v>#REF!</v>
      </c>
      <c r="AE181" s="231" t="e">
        <f>#REF!</f>
        <v>#REF!</v>
      </c>
      <c r="AF181" s="231" t="e">
        <f>[1]April!N48</f>
        <v>#REF!</v>
      </c>
      <c r="AG181" s="231" t="e">
        <f>[2]april!N48</f>
        <v>#REF!</v>
      </c>
      <c r="AH181" s="231">
        <f>'[3]DES SKPD'!$N48</f>
        <v>531334050</v>
      </c>
      <c r="AI181" s="231">
        <f>SUM(AI182:AI192)</f>
        <v>235238270</v>
      </c>
      <c r="AJ181" s="233">
        <f t="shared" si="45"/>
        <v>47.418138841819406</v>
      </c>
      <c r="AK181" s="231">
        <f>Q181-AI181</f>
        <v>260855157</v>
      </c>
      <c r="AL181" s="233">
        <f t="shared" si="46"/>
        <v>52.581861158180601</v>
      </c>
      <c r="AM181" s="227"/>
    </row>
    <row r="182" spans="1:44" ht="28.5" customHeight="1" x14ac:dyDescent="0.25">
      <c r="A182" s="243"/>
      <c r="B182" s="477"/>
      <c r="C182" s="477"/>
      <c r="D182" s="477"/>
      <c r="E182" s="477"/>
      <c r="F182" s="477"/>
      <c r="G182" s="477"/>
      <c r="H182" s="477"/>
      <c r="I182" s="478"/>
      <c r="J182" s="477" t="s">
        <v>259</v>
      </c>
      <c r="K182" s="245"/>
      <c r="L182" s="257"/>
      <c r="M182" s="597" t="s">
        <v>260</v>
      </c>
      <c r="N182" s="598"/>
      <c r="O182" s="301"/>
      <c r="P182" s="180"/>
      <c r="Q182" s="180">
        <v>1096000</v>
      </c>
      <c r="R182" s="181">
        <f t="shared" ref="R182:R192" si="65">Q182/Q$181*100</f>
        <v>0.22092612809401324</v>
      </c>
      <c r="S182" s="181">
        <v>100</v>
      </c>
      <c r="T182" s="180">
        <f t="shared" si="44"/>
        <v>0</v>
      </c>
      <c r="U182" s="180">
        <f t="shared" ref="U182:U190" si="66">R182*T182/100</f>
        <v>0</v>
      </c>
      <c r="V182" s="182">
        <f t="shared" si="55"/>
        <v>100</v>
      </c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>
        <v>0</v>
      </c>
      <c r="AJ182" s="181">
        <f t="shared" si="45"/>
        <v>0</v>
      </c>
      <c r="AK182" s="180">
        <f t="shared" ref="AK182:AK245" si="67">Q182-AI182</f>
        <v>1096000</v>
      </c>
      <c r="AL182" s="181">
        <f t="shared" si="46"/>
        <v>100</v>
      </c>
      <c r="AM182" s="243"/>
      <c r="AR182" s="205">
        <f>SUM(69300000-48250000)</f>
        <v>21050000</v>
      </c>
    </row>
    <row r="183" spans="1:44" ht="28.5" customHeight="1" x14ac:dyDescent="0.25">
      <c r="A183" s="243"/>
      <c r="B183" s="477"/>
      <c r="C183" s="477"/>
      <c r="D183" s="477"/>
      <c r="E183" s="477"/>
      <c r="F183" s="477"/>
      <c r="G183" s="477"/>
      <c r="H183" s="477"/>
      <c r="I183" s="478"/>
      <c r="J183" s="477" t="s">
        <v>273</v>
      </c>
      <c r="K183" s="245"/>
      <c r="L183" s="257"/>
      <c r="M183" s="597" t="s">
        <v>322</v>
      </c>
      <c r="N183" s="598"/>
      <c r="O183" s="301"/>
      <c r="P183" s="180"/>
      <c r="Q183" s="180">
        <v>6900000</v>
      </c>
      <c r="R183" s="181">
        <f t="shared" si="65"/>
        <v>1.3908670473072002</v>
      </c>
      <c r="S183" s="181">
        <v>100</v>
      </c>
      <c r="T183" s="180">
        <f>AJ183</f>
        <v>100</v>
      </c>
      <c r="U183" s="180">
        <f t="shared" si="66"/>
        <v>1.3908670473072002</v>
      </c>
      <c r="V183" s="182">
        <f t="shared" si="55"/>
        <v>0</v>
      </c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>
        <v>6900000</v>
      </c>
      <c r="AJ183" s="181">
        <f>AI183/Q183*100</f>
        <v>100</v>
      </c>
      <c r="AK183" s="180">
        <f t="shared" si="67"/>
        <v>0</v>
      </c>
      <c r="AL183" s="181">
        <f t="shared" si="46"/>
        <v>0</v>
      </c>
      <c r="AM183" s="243"/>
    </row>
    <row r="184" spans="1:44" ht="28.5" customHeight="1" x14ac:dyDescent="0.25">
      <c r="A184" s="243"/>
      <c r="B184" s="477"/>
      <c r="C184" s="477"/>
      <c r="D184" s="477"/>
      <c r="E184" s="477"/>
      <c r="F184" s="477"/>
      <c r="G184" s="477"/>
      <c r="H184" s="477"/>
      <c r="I184" s="478"/>
      <c r="J184" s="477" t="s">
        <v>587</v>
      </c>
      <c r="K184" s="245"/>
      <c r="L184" s="257"/>
      <c r="M184" s="597" t="s">
        <v>588</v>
      </c>
      <c r="N184" s="598"/>
      <c r="O184" s="301"/>
      <c r="P184" s="180"/>
      <c r="Q184" s="180">
        <v>80900000</v>
      </c>
      <c r="R184" s="181">
        <f t="shared" si="65"/>
        <v>16.307412192340941</v>
      </c>
      <c r="S184" s="181">
        <v>100</v>
      </c>
      <c r="T184" s="180">
        <f>AJ184</f>
        <v>75.4017305315204</v>
      </c>
      <c r="U184" s="180">
        <f t="shared" si="66"/>
        <v>12.296070997933219</v>
      </c>
      <c r="V184" s="182">
        <f t="shared" si="55"/>
        <v>24.5982694684796</v>
      </c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>
        <v>61000000</v>
      </c>
      <c r="AJ184" s="181">
        <f>AI184/Q184*100</f>
        <v>75.4017305315204</v>
      </c>
      <c r="AK184" s="180">
        <f t="shared" si="67"/>
        <v>19900000</v>
      </c>
      <c r="AL184" s="181"/>
      <c r="AM184" s="243"/>
    </row>
    <row r="185" spans="1:44" ht="28.5" customHeight="1" x14ac:dyDescent="0.25">
      <c r="A185" s="243"/>
      <c r="B185" s="477"/>
      <c r="C185" s="477"/>
      <c r="D185" s="477"/>
      <c r="E185" s="477"/>
      <c r="F185" s="477"/>
      <c r="G185" s="477"/>
      <c r="H185" s="477"/>
      <c r="I185" s="478"/>
      <c r="J185" s="477" t="s">
        <v>323</v>
      </c>
      <c r="K185" s="245"/>
      <c r="L185" s="257"/>
      <c r="M185" s="597" t="s">
        <v>324</v>
      </c>
      <c r="N185" s="598"/>
      <c r="O185" s="301"/>
      <c r="P185" s="180"/>
      <c r="Q185" s="180">
        <v>23150000</v>
      </c>
      <c r="R185" s="181">
        <f t="shared" si="65"/>
        <v>4.6664597311828526</v>
      </c>
      <c r="S185" s="181">
        <v>100</v>
      </c>
      <c r="T185" s="180">
        <f t="shared" si="44"/>
        <v>57.8488120950324</v>
      </c>
      <c r="U185" s="180">
        <f t="shared" si="66"/>
        <v>2.6994915213823223</v>
      </c>
      <c r="V185" s="182">
        <f t="shared" si="55"/>
        <v>42.1511879049676</v>
      </c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>
        <v>13392000</v>
      </c>
      <c r="AJ185" s="181">
        <f t="shared" si="45"/>
        <v>57.8488120950324</v>
      </c>
      <c r="AK185" s="180">
        <f t="shared" si="67"/>
        <v>9758000</v>
      </c>
      <c r="AL185" s="181">
        <f t="shared" si="46"/>
        <v>42.1511879049676</v>
      </c>
      <c r="AM185" s="243"/>
    </row>
    <row r="186" spans="1:44" ht="28.5" customHeight="1" x14ac:dyDescent="0.25">
      <c r="A186" s="243"/>
      <c r="B186" s="477"/>
      <c r="C186" s="477"/>
      <c r="D186" s="477"/>
      <c r="E186" s="477"/>
      <c r="F186" s="477"/>
      <c r="G186" s="477"/>
      <c r="H186" s="477"/>
      <c r="I186" s="478"/>
      <c r="J186" s="477" t="s">
        <v>269</v>
      </c>
      <c r="K186" s="245"/>
      <c r="L186" s="257"/>
      <c r="M186" s="597" t="s">
        <v>589</v>
      </c>
      <c r="N186" s="598"/>
      <c r="O186" s="301"/>
      <c r="P186" s="180"/>
      <c r="Q186" s="180">
        <v>23500000</v>
      </c>
      <c r="R186" s="181">
        <f t="shared" si="65"/>
        <v>4.737010958220174</v>
      </c>
      <c r="S186" s="181">
        <v>100</v>
      </c>
      <c r="T186" s="180">
        <f t="shared" si="44"/>
        <v>27.659574468085108</v>
      </c>
      <c r="U186" s="180">
        <f t="shared" si="66"/>
        <v>1.3102370735502609</v>
      </c>
      <c r="V186" s="182">
        <f t="shared" si="55"/>
        <v>72.340425531914889</v>
      </c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>
        <v>6500000</v>
      </c>
      <c r="AJ186" s="181">
        <f t="shared" si="45"/>
        <v>27.659574468085108</v>
      </c>
      <c r="AK186" s="180">
        <f t="shared" si="67"/>
        <v>17000000</v>
      </c>
      <c r="AL186" s="181">
        <f t="shared" si="46"/>
        <v>72.340425531914903</v>
      </c>
      <c r="AM186" s="243"/>
    </row>
    <row r="187" spans="1:44" ht="28.5" customHeight="1" x14ac:dyDescent="0.25">
      <c r="A187" s="243"/>
      <c r="B187" s="477"/>
      <c r="C187" s="477"/>
      <c r="D187" s="477"/>
      <c r="E187" s="477"/>
      <c r="F187" s="477"/>
      <c r="G187" s="477"/>
      <c r="H187" s="477"/>
      <c r="I187" s="478"/>
      <c r="J187" s="477" t="s">
        <v>315</v>
      </c>
      <c r="K187" s="245"/>
      <c r="L187" s="257"/>
      <c r="M187" s="597" t="s">
        <v>271</v>
      </c>
      <c r="N187" s="598"/>
      <c r="O187" s="301"/>
      <c r="P187" s="180"/>
      <c r="Q187" s="180">
        <v>5200000</v>
      </c>
      <c r="R187" s="181">
        <f t="shared" si="65"/>
        <v>1.0481896588402086</v>
      </c>
      <c r="S187" s="181">
        <v>100</v>
      </c>
      <c r="T187" s="180">
        <f t="shared" si="44"/>
        <v>7.6730769230769225</v>
      </c>
      <c r="U187" s="180">
        <f t="shared" si="66"/>
        <v>8.0428398822546765E-2</v>
      </c>
      <c r="V187" s="182">
        <f t="shared" si="55"/>
        <v>92.32692307692308</v>
      </c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>
        <v>399000</v>
      </c>
      <c r="AJ187" s="181">
        <f t="shared" si="45"/>
        <v>7.6730769230769225</v>
      </c>
      <c r="AK187" s="180">
        <f t="shared" si="67"/>
        <v>4801000</v>
      </c>
      <c r="AL187" s="181">
        <f t="shared" si="46"/>
        <v>92.326923076923066</v>
      </c>
      <c r="AM187" s="243"/>
    </row>
    <row r="188" spans="1:44" ht="28.5" customHeight="1" x14ac:dyDescent="0.25">
      <c r="A188" s="243"/>
      <c r="B188" s="477"/>
      <c r="C188" s="477"/>
      <c r="D188" s="477"/>
      <c r="E188" s="477"/>
      <c r="F188" s="477"/>
      <c r="G188" s="477"/>
      <c r="H188" s="477"/>
      <c r="I188" s="478"/>
      <c r="J188" s="477" t="s">
        <v>328</v>
      </c>
      <c r="K188" s="245"/>
      <c r="L188" s="257"/>
      <c r="M188" s="597" t="s">
        <v>329</v>
      </c>
      <c r="N188" s="598"/>
      <c r="O188" s="301"/>
      <c r="P188" s="180"/>
      <c r="Q188" s="180">
        <v>36000000</v>
      </c>
      <c r="R188" s="181">
        <f t="shared" si="65"/>
        <v>7.2566976381245221</v>
      </c>
      <c r="S188" s="181">
        <v>100</v>
      </c>
      <c r="T188" s="180">
        <f t="shared" si="44"/>
        <v>50</v>
      </c>
      <c r="U188" s="180">
        <f t="shared" si="66"/>
        <v>3.628348819062261</v>
      </c>
      <c r="V188" s="182">
        <f t="shared" si="55"/>
        <v>50</v>
      </c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>
        <v>18000000</v>
      </c>
      <c r="AJ188" s="181">
        <f t="shared" si="45"/>
        <v>50</v>
      </c>
      <c r="AK188" s="180">
        <f t="shared" si="67"/>
        <v>18000000</v>
      </c>
      <c r="AL188" s="181">
        <f t="shared" si="46"/>
        <v>50</v>
      </c>
      <c r="AM188" s="243"/>
    </row>
    <row r="189" spans="1:44" ht="28.5" customHeight="1" x14ac:dyDescent="0.25">
      <c r="A189" s="243"/>
      <c r="B189" s="477"/>
      <c r="C189" s="477"/>
      <c r="D189" s="477"/>
      <c r="E189" s="477"/>
      <c r="F189" s="477"/>
      <c r="G189" s="477"/>
      <c r="H189" s="477"/>
      <c r="I189" s="478"/>
      <c r="J189" s="477" t="s">
        <v>280</v>
      </c>
      <c r="K189" s="245"/>
      <c r="L189" s="257"/>
      <c r="M189" s="597" t="s">
        <v>425</v>
      </c>
      <c r="N189" s="598"/>
      <c r="O189" s="301"/>
      <c r="P189" s="180"/>
      <c r="Q189" s="180">
        <v>40500000</v>
      </c>
      <c r="R189" s="181">
        <f t="shared" si="65"/>
        <v>8.1637848428900881</v>
      </c>
      <c r="S189" s="181">
        <v>100</v>
      </c>
      <c r="T189" s="180">
        <f t="shared" si="44"/>
        <v>4.3209876543209873</v>
      </c>
      <c r="U189" s="180">
        <f t="shared" si="66"/>
        <v>0.3527561351866087</v>
      </c>
      <c r="V189" s="182">
        <f t="shared" si="55"/>
        <v>95.679012345679013</v>
      </c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>
        <v>1750000</v>
      </c>
      <c r="AJ189" s="181">
        <f t="shared" si="45"/>
        <v>4.3209876543209873</v>
      </c>
      <c r="AK189" s="180">
        <f t="shared" si="67"/>
        <v>38750000</v>
      </c>
      <c r="AL189" s="181">
        <f t="shared" si="46"/>
        <v>95.679012345679013</v>
      </c>
      <c r="AM189" s="243"/>
    </row>
    <row r="190" spans="1:44" ht="28.5" customHeight="1" x14ac:dyDescent="0.25">
      <c r="A190" s="243"/>
      <c r="B190" s="477"/>
      <c r="C190" s="477"/>
      <c r="D190" s="477"/>
      <c r="E190" s="477"/>
      <c r="F190" s="477"/>
      <c r="G190" s="477"/>
      <c r="H190" s="477"/>
      <c r="I190" s="478"/>
      <c r="J190" s="477" t="s">
        <v>282</v>
      </c>
      <c r="K190" s="245"/>
      <c r="L190" s="257"/>
      <c r="M190" s="597" t="s">
        <v>590</v>
      </c>
      <c r="N190" s="598"/>
      <c r="O190" s="301"/>
      <c r="P190" s="180"/>
      <c r="Q190" s="180">
        <v>40047427</v>
      </c>
      <c r="R190" s="181">
        <f t="shared" si="65"/>
        <v>8.0725574701073395</v>
      </c>
      <c r="S190" s="181">
        <v>100</v>
      </c>
      <c r="T190" s="180">
        <f t="shared" si="44"/>
        <v>31.206174618908726</v>
      </c>
      <c r="U190" s="180">
        <f t="shared" si="66"/>
        <v>2.5191363803334572</v>
      </c>
      <c r="V190" s="182">
        <f t="shared" si="55"/>
        <v>68.793825381091267</v>
      </c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>
        <v>12497270</v>
      </c>
      <c r="AJ190" s="181">
        <f t="shared" si="45"/>
        <v>31.206174618908726</v>
      </c>
      <c r="AK190" s="180">
        <f t="shared" si="67"/>
        <v>27550157</v>
      </c>
      <c r="AL190" s="181">
        <f t="shared" si="46"/>
        <v>68.793825381091281</v>
      </c>
      <c r="AM190" s="243"/>
    </row>
    <row r="191" spans="1:44" ht="28.5" customHeight="1" x14ac:dyDescent="0.25">
      <c r="A191" s="243"/>
      <c r="B191" s="477"/>
      <c r="C191" s="477"/>
      <c r="D191" s="477"/>
      <c r="E191" s="477"/>
      <c r="F191" s="477"/>
      <c r="G191" s="477"/>
      <c r="H191" s="477"/>
      <c r="I191" s="478"/>
      <c r="J191" s="477" t="s">
        <v>306</v>
      </c>
      <c r="K191" s="245"/>
      <c r="L191" s="257"/>
      <c r="M191" s="597" t="s">
        <v>591</v>
      </c>
      <c r="N191" s="598"/>
      <c r="O191" s="301"/>
      <c r="P191" s="180"/>
      <c r="Q191" s="180">
        <v>40000000</v>
      </c>
      <c r="R191" s="181">
        <f t="shared" si="65"/>
        <v>8.0629973756939126</v>
      </c>
      <c r="S191" s="181">
        <v>100</v>
      </c>
      <c r="T191" s="180">
        <f>AJ192</f>
        <v>0</v>
      </c>
      <c r="U191" s="180">
        <f>R191*T191/100</f>
        <v>0</v>
      </c>
      <c r="V191" s="182">
        <f>S191-T191</f>
        <v>100</v>
      </c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>
        <v>0</v>
      </c>
      <c r="AJ191" s="181">
        <f>AI191/Q191*100</f>
        <v>0</v>
      </c>
      <c r="AK191" s="180">
        <f t="shared" si="67"/>
        <v>40000000</v>
      </c>
      <c r="AL191" s="181">
        <f t="shared" si="46"/>
        <v>100</v>
      </c>
      <c r="AM191" s="243"/>
    </row>
    <row r="192" spans="1:44" ht="28.5" customHeight="1" x14ac:dyDescent="0.25">
      <c r="A192" s="243"/>
      <c r="B192" s="477"/>
      <c r="C192" s="477"/>
      <c r="D192" s="477"/>
      <c r="E192" s="477"/>
      <c r="F192" s="477"/>
      <c r="G192" s="477"/>
      <c r="H192" s="477"/>
      <c r="I192" s="478"/>
      <c r="J192" s="477" t="s">
        <v>551</v>
      </c>
      <c r="K192" s="245"/>
      <c r="L192" s="257"/>
      <c r="M192" s="597" t="s">
        <v>550</v>
      </c>
      <c r="N192" s="598"/>
      <c r="O192" s="301"/>
      <c r="P192" s="180"/>
      <c r="Q192" s="180">
        <v>198800000</v>
      </c>
      <c r="R192" s="181">
        <f t="shared" si="65"/>
        <v>40.07309695719875</v>
      </c>
      <c r="S192" s="181">
        <v>100</v>
      </c>
      <c r="T192" s="180">
        <f>AJ193</f>
        <v>61.951628900587473</v>
      </c>
      <c r="U192" s="180">
        <f>R192*T192/100</f>
        <v>24.825936315896378</v>
      </c>
      <c r="V192" s="182">
        <f>S192-T192</f>
        <v>38.048371099412527</v>
      </c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>
        <f>32800000+16400000+16400000+16400000+16400000+16400000</f>
        <v>114800000</v>
      </c>
      <c r="AJ192" s="181">
        <f>AI191/Q191*100</f>
        <v>0</v>
      </c>
      <c r="AK192" s="180">
        <f t="shared" si="67"/>
        <v>84000000</v>
      </c>
      <c r="AL192" s="181">
        <f t="shared" si="46"/>
        <v>42.25352112676056</v>
      </c>
      <c r="AM192" s="243"/>
    </row>
    <row r="193" spans="1:39" s="297" customFormat="1" ht="28.5" customHeight="1" x14ac:dyDescent="0.25">
      <c r="A193" s="227">
        <f>A181+1</f>
        <v>29</v>
      </c>
      <c r="B193" s="615" t="s">
        <v>140</v>
      </c>
      <c r="C193" s="615"/>
      <c r="D193" s="615"/>
      <c r="E193" s="615"/>
      <c r="F193" s="615"/>
      <c r="G193" s="615"/>
      <c r="H193" s="615"/>
      <c r="I193" s="614"/>
      <c r="J193" s="304" t="s">
        <v>469</v>
      </c>
      <c r="K193" s="230"/>
      <c r="L193" s="294"/>
      <c r="M193" s="615" t="s">
        <v>37</v>
      </c>
      <c r="N193" s="614"/>
      <c r="O193" s="295">
        <v>144225000</v>
      </c>
      <c r="P193" s="231">
        <f>O193</f>
        <v>144225000</v>
      </c>
      <c r="Q193" s="231">
        <f>SUM(Q194:Q200)</f>
        <v>131070000</v>
      </c>
      <c r="R193" s="233">
        <f>Q193/Q$180*100</f>
        <v>9.6509941690698966</v>
      </c>
      <c r="S193" s="233">
        <v>100</v>
      </c>
      <c r="T193" s="231">
        <f t="shared" si="44"/>
        <v>61.951628900587473</v>
      </c>
      <c r="U193" s="231">
        <f>R193*T193/100</f>
        <v>5.9789480928395173</v>
      </c>
      <c r="V193" s="296">
        <f t="shared" si="55"/>
        <v>38.048371099412527</v>
      </c>
      <c r="W193" s="231"/>
      <c r="X193" s="231" t="e">
        <f>#REF!</f>
        <v>#REF!</v>
      </c>
      <c r="Y193" s="231" t="e">
        <f>#REF!</f>
        <v>#REF!</v>
      </c>
      <c r="Z193" s="231" t="e">
        <f>#REF!</f>
        <v>#REF!</v>
      </c>
      <c r="AA193" s="231" t="e">
        <f>#REF!</f>
        <v>#REF!</v>
      </c>
      <c r="AB193" s="231">
        <v>0</v>
      </c>
      <c r="AC193" s="231" t="e">
        <f>#REF!</f>
        <v>#REF!</v>
      </c>
      <c r="AD193" s="231" t="e">
        <f>#REF!</f>
        <v>#REF!</v>
      </c>
      <c r="AE193" s="231" t="e">
        <f>#REF!</f>
        <v>#REF!</v>
      </c>
      <c r="AF193" s="231" t="e">
        <f>[1]April!N49</f>
        <v>#REF!</v>
      </c>
      <c r="AG193" s="231" t="e">
        <f>[2]april!N49</f>
        <v>#REF!</v>
      </c>
      <c r="AH193" s="231">
        <f>'[3]DES SKPD'!$N49</f>
        <v>143100490</v>
      </c>
      <c r="AI193" s="231">
        <f>SUM(AI194:AI200)</f>
        <v>81200000</v>
      </c>
      <c r="AJ193" s="233">
        <f t="shared" si="45"/>
        <v>61.951628900587473</v>
      </c>
      <c r="AK193" s="231">
        <f t="shared" si="67"/>
        <v>49870000</v>
      </c>
      <c r="AL193" s="233">
        <f t="shared" si="46"/>
        <v>38.048371099412527</v>
      </c>
      <c r="AM193" s="227"/>
    </row>
    <row r="194" spans="1:39" ht="28.5" customHeight="1" x14ac:dyDescent="0.25">
      <c r="A194" s="243"/>
      <c r="B194" s="477"/>
      <c r="C194" s="477"/>
      <c r="D194" s="477"/>
      <c r="E194" s="477"/>
      <c r="F194" s="477"/>
      <c r="G194" s="477"/>
      <c r="H194" s="477"/>
      <c r="I194" s="478"/>
      <c r="J194" s="477" t="s">
        <v>326</v>
      </c>
      <c r="K194" s="245"/>
      <c r="L194" s="257"/>
      <c r="M194" s="597" t="s">
        <v>327</v>
      </c>
      <c r="N194" s="598"/>
      <c r="O194" s="299"/>
      <c r="P194" s="180"/>
      <c r="Q194" s="180">
        <v>16750000</v>
      </c>
      <c r="R194" s="181">
        <f t="shared" ref="R194:R200" si="68">Q194/Q$193*100</f>
        <v>12.779430838483252</v>
      </c>
      <c r="S194" s="181">
        <v>100</v>
      </c>
      <c r="T194" s="180">
        <f t="shared" si="44"/>
        <v>0</v>
      </c>
      <c r="U194" s="180">
        <f t="shared" ref="U194:U200" si="69">R194*T194/100</f>
        <v>0</v>
      </c>
      <c r="V194" s="182">
        <f t="shared" si="55"/>
        <v>100</v>
      </c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>
        <v>0</v>
      </c>
      <c r="AJ194" s="181">
        <f t="shared" si="45"/>
        <v>0</v>
      </c>
      <c r="AK194" s="180">
        <f t="shared" si="67"/>
        <v>16750000</v>
      </c>
      <c r="AL194" s="181">
        <f t="shared" si="46"/>
        <v>100</v>
      </c>
      <c r="AM194" s="243"/>
    </row>
    <row r="195" spans="1:39" ht="28.5" customHeight="1" x14ac:dyDescent="0.25">
      <c r="A195" s="243"/>
      <c r="B195" s="477"/>
      <c r="C195" s="477"/>
      <c r="D195" s="477"/>
      <c r="E195" s="477"/>
      <c r="F195" s="477"/>
      <c r="G195" s="477"/>
      <c r="H195" s="477"/>
      <c r="I195" s="478"/>
      <c r="J195" s="477" t="s">
        <v>323</v>
      </c>
      <c r="K195" s="245"/>
      <c r="L195" s="257"/>
      <c r="M195" s="597" t="s">
        <v>324</v>
      </c>
      <c r="N195" s="598"/>
      <c r="O195" s="299"/>
      <c r="P195" s="180"/>
      <c r="Q195" s="180">
        <v>9132000</v>
      </c>
      <c r="R195" s="181">
        <f t="shared" si="68"/>
        <v>6.9672693980315863</v>
      </c>
      <c r="S195" s="181">
        <v>100</v>
      </c>
      <c r="T195" s="180">
        <f t="shared" si="44"/>
        <v>0</v>
      </c>
      <c r="U195" s="180">
        <f t="shared" si="69"/>
        <v>0</v>
      </c>
      <c r="V195" s="182">
        <f t="shared" si="55"/>
        <v>100</v>
      </c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>
        <v>0</v>
      </c>
      <c r="AJ195" s="181">
        <f t="shared" si="45"/>
        <v>0</v>
      </c>
      <c r="AK195" s="180">
        <f t="shared" si="67"/>
        <v>9132000</v>
      </c>
      <c r="AL195" s="181">
        <f t="shared" si="46"/>
        <v>100</v>
      </c>
      <c r="AM195" s="243"/>
    </row>
    <row r="196" spans="1:39" ht="28.5" customHeight="1" x14ac:dyDescent="0.25">
      <c r="A196" s="243"/>
      <c r="B196" s="477"/>
      <c r="C196" s="477"/>
      <c r="D196" s="477"/>
      <c r="E196" s="477"/>
      <c r="F196" s="477"/>
      <c r="G196" s="477"/>
      <c r="H196" s="477"/>
      <c r="I196" s="478"/>
      <c r="J196" s="477" t="s">
        <v>269</v>
      </c>
      <c r="K196" s="245"/>
      <c r="L196" s="257"/>
      <c r="M196" s="597" t="s">
        <v>270</v>
      </c>
      <c r="N196" s="598"/>
      <c r="O196" s="299"/>
      <c r="P196" s="180"/>
      <c r="Q196" s="180">
        <v>13650000</v>
      </c>
      <c r="R196" s="181">
        <f t="shared" si="68"/>
        <v>10.414282444495308</v>
      </c>
      <c r="S196" s="181">
        <v>100</v>
      </c>
      <c r="T196" s="180">
        <f t="shared" si="44"/>
        <v>0</v>
      </c>
      <c r="U196" s="180">
        <f t="shared" si="69"/>
        <v>0</v>
      </c>
      <c r="V196" s="182">
        <f t="shared" si="55"/>
        <v>100</v>
      </c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>
        <v>0</v>
      </c>
      <c r="AJ196" s="181">
        <f t="shared" si="45"/>
        <v>0</v>
      </c>
      <c r="AK196" s="180">
        <f t="shared" si="67"/>
        <v>13650000</v>
      </c>
      <c r="AL196" s="181">
        <f t="shared" si="46"/>
        <v>100</v>
      </c>
      <c r="AM196" s="243"/>
    </row>
    <row r="197" spans="1:39" ht="28.5" customHeight="1" x14ac:dyDescent="0.25">
      <c r="A197" s="243"/>
      <c r="B197" s="477"/>
      <c r="C197" s="477"/>
      <c r="D197" s="477"/>
      <c r="E197" s="477"/>
      <c r="F197" s="477"/>
      <c r="G197" s="477"/>
      <c r="H197" s="477"/>
      <c r="I197" s="478"/>
      <c r="J197" s="477" t="s">
        <v>315</v>
      </c>
      <c r="K197" s="245"/>
      <c r="L197" s="257"/>
      <c r="M197" s="597" t="s">
        <v>271</v>
      </c>
      <c r="N197" s="598"/>
      <c r="O197" s="299"/>
      <c r="P197" s="180"/>
      <c r="Q197" s="180">
        <v>1418000</v>
      </c>
      <c r="R197" s="181">
        <f t="shared" si="68"/>
        <v>1.0818646524757762</v>
      </c>
      <c r="S197" s="181">
        <v>100</v>
      </c>
      <c r="T197" s="180">
        <f t="shared" si="44"/>
        <v>0</v>
      </c>
      <c r="U197" s="180">
        <f t="shared" si="69"/>
        <v>0</v>
      </c>
      <c r="V197" s="182">
        <f t="shared" si="55"/>
        <v>100</v>
      </c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>
        <v>0</v>
      </c>
      <c r="AJ197" s="181">
        <f t="shared" si="45"/>
        <v>0</v>
      </c>
      <c r="AK197" s="180">
        <f t="shared" si="67"/>
        <v>1418000</v>
      </c>
      <c r="AL197" s="181">
        <f t="shared" si="46"/>
        <v>100</v>
      </c>
      <c r="AM197" s="243"/>
    </row>
    <row r="198" spans="1:39" ht="28.5" customHeight="1" x14ac:dyDescent="0.25">
      <c r="A198" s="243"/>
      <c r="B198" s="477"/>
      <c r="C198" s="477"/>
      <c r="D198" s="477"/>
      <c r="E198" s="477"/>
      <c r="F198" s="477"/>
      <c r="G198" s="477"/>
      <c r="H198" s="477"/>
      <c r="I198" s="478"/>
      <c r="J198" s="477" t="s">
        <v>328</v>
      </c>
      <c r="K198" s="245"/>
      <c r="L198" s="257"/>
      <c r="M198" s="597" t="s">
        <v>329</v>
      </c>
      <c r="N198" s="598"/>
      <c r="O198" s="299"/>
      <c r="P198" s="180"/>
      <c r="Q198" s="180">
        <v>82500000</v>
      </c>
      <c r="R198" s="181">
        <f t="shared" si="68"/>
        <v>62.943465323872736</v>
      </c>
      <c r="S198" s="181">
        <v>100</v>
      </c>
      <c r="T198" s="180">
        <f t="shared" si="44"/>
        <v>98.424242424242422</v>
      </c>
      <c r="U198" s="180">
        <f t="shared" si="69"/>
        <v>61.951628900587465</v>
      </c>
      <c r="V198" s="182">
        <f t="shared" si="55"/>
        <v>1.5757575757575779</v>
      </c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>
        <v>81200000</v>
      </c>
      <c r="AJ198" s="181">
        <f t="shared" si="45"/>
        <v>98.424242424242422</v>
      </c>
      <c r="AK198" s="180">
        <f t="shared" si="67"/>
        <v>1300000</v>
      </c>
      <c r="AL198" s="181">
        <f t="shared" si="46"/>
        <v>1.5757575757575759</v>
      </c>
      <c r="AM198" s="243"/>
    </row>
    <row r="199" spans="1:39" ht="28.5" customHeight="1" x14ac:dyDescent="0.25">
      <c r="A199" s="243"/>
      <c r="B199" s="477"/>
      <c r="C199" s="477"/>
      <c r="D199" s="477"/>
      <c r="E199" s="477"/>
      <c r="F199" s="477"/>
      <c r="G199" s="477"/>
      <c r="H199" s="477"/>
      <c r="I199" s="478"/>
      <c r="J199" s="477" t="s">
        <v>284</v>
      </c>
      <c r="K199" s="245"/>
      <c r="L199" s="257"/>
      <c r="M199" s="597" t="s">
        <v>285</v>
      </c>
      <c r="N199" s="598"/>
      <c r="O199" s="299"/>
      <c r="P199" s="180"/>
      <c r="Q199" s="180">
        <v>2120000</v>
      </c>
      <c r="R199" s="181">
        <f t="shared" si="68"/>
        <v>1.617456321049821</v>
      </c>
      <c r="S199" s="181">
        <v>100</v>
      </c>
      <c r="T199" s="180">
        <f t="shared" si="44"/>
        <v>0</v>
      </c>
      <c r="U199" s="180">
        <f t="shared" si="69"/>
        <v>0</v>
      </c>
      <c r="V199" s="182">
        <f t="shared" si="55"/>
        <v>100</v>
      </c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>
        <v>0</v>
      </c>
      <c r="AJ199" s="181">
        <f t="shared" si="45"/>
        <v>0</v>
      </c>
      <c r="AK199" s="180">
        <f t="shared" si="67"/>
        <v>2120000</v>
      </c>
      <c r="AL199" s="181">
        <f t="shared" si="46"/>
        <v>100</v>
      </c>
      <c r="AM199" s="243"/>
    </row>
    <row r="200" spans="1:39" ht="28.5" customHeight="1" x14ac:dyDescent="0.25">
      <c r="A200" s="243"/>
      <c r="B200" s="477"/>
      <c r="C200" s="477"/>
      <c r="D200" s="477"/>
      <c r="E200" s="477"/>
      <c r="F200" s="477"/>
      <c r="G200" s="477"/>
      <c r="H200" s="477"/>
      <c r="I200" s="478"/>
      <c r="J200" s="477" t="s">
        <v>282</v>
      </c>
      <c r="K200" s="245"/>
      <c r="L200" s="257"/>
      <c r="M200" s="597" t="s">
        <v>283</v>
      </c>
      <c r="N200" s="598"/>
      <c r="O200" s="299"/>
      <c r="P200" s="180"/>
      <c r="Q200" s="180">
        <v>5500000</v>
      </c>
      <c r="R200" s="181">
        <f t="shared" si="68"/>
        <v>4.1962310215915153</v>
      </c>
      <c r="S200" s="181">
        <v>100</v>
      </c>
      <c r="T200" s="180">
        <f t="shared" si="44"/>
        <v>0</v>
      </c>
      <c r="U200" s="180">
        <f t="shared" si="69"/>
        <v>0</v>
      </c>
      <c r="V200" s="182">
        <f t="shared" si="55"/>
        <v>100</v>
      </c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>
        <v>0</v>
      </c>
      <c r="AJ200" s="181">
        <f t="shared" si="45"/>
        <v>0</v>
      </c>
      <c r="AK200" s="180">
        <f t="shared" si="67"/>
        <v>5500000</v>
      </c>
      <c r="AL200" s="181">
        <f t="shared" si="46"/>
        <v>100</v>
      </c>
      <c r="AM200" s="243"/>
    </row>
    <row r="201" spans="1:39" ht="28.5" customHeight="1" x14ac:dyDescent="0.25">
      <c r="A201" s="227">
        <v>30</v>
      </c>
      <c r="B201" s="477"/>
      <c r="C201" s="477"/>
      <c r="D201" s="477"/>
      <c r="E201" s="477"/>
      <c r="F201" s="477"/>
      <c r="G201" s="477"/>
      <c r="H201" s="477"/>
      <c r="I201" s="478"/>
      <c r="J201" s="304" t="s">
        <v>474</v>
      </c>
      <c r="K201" s="230"/>
      <c r="L201" s="294"/>
      <c r="M201" s="615" t="s">
        <v>470</v>
      </c>
      <c r="N201" s="614"/>
      <c r="O201" s="295">
        <v>144225000</v>
      </c>
      <c r="P201" s="231">
        <f>O201</f>
        <v>144225000</v>
      </c>
      <c r="Q201" s="231">
        <f>SUM(Q202:Q208)</f>
        <v>168774000</v>
      </c>
      <c r="R201" s="233">
        <f>Q201/Q$180*100</f>
        <v>12.427228884493804</v>
      </c>
      <c r="S201" s="233">
        <v>100</v>
      </c>
      <c r="T201" s="231">
        <f t="shared" si="44"/>
        <v>54.376266486544132</v>
      </c>
      <c r="U201" s="231">
        <f>R201*T201/100</f>
        <v>6.7574630951251367</v>
      </c>
      <c r="V201" s="296">
        <f t="shared" si="55"/>
        <v>45.623733513455868</v>
      </c>
      <c r="W201" s="231"/>
      <c r="X201" s="231" t="e">
        <f>#REF!</f>
        <v>#REF!</v>
      </c>
      <c r="Y201" s="231" t="e">
        <f>#REF!</f>
        <v>#REF!</v>
      </c>
      <c r="Z201" s="231" t="e">
        <f>#REF!</f>
        <v>#REF!</v>
      </c>
      <c r="AA201" s="231" t="e">
        <f>#REF!</f>
        <v>#REF!</v>
      </c>
      <c r="AB201" s="231">
        <v>0</v>
      </c>
      <c r="AC201" s="231" t="e">
        <f>#REF!</f>
        <v>#REF!</v>
      </c>
      <c r="AD201" s="231" t="e">
        <f>#REF!</f>
        <v>#REF!</v>
      </c>
      <c r="AE201" s="231" t="e">
        <f>#REF!</f>
        <v>#REF!</v>
      </c>
      <c r="AF201" s="231" t="e">
        <f>[1]April!N58</f>
        <v>#REF!</v>
      </c>
      <c r="AG201" s="231" t="e">
        <f>[2]april!N58</f>
        <v>#REF!</v>
      </c>
      <c r="AH201" s="231">
        <f>'[3]DES SKPD'!$N58</f>
        <v>133587000</v>
      </c>
      <c r="AI201" s="231">
        <f>SUM(AI202:AI208)</f>
        <v>91773000</v>
      </c>
      <c r="AJ201" s="233">
        <f t="shared" si="45"/>
        <v>54.376266486544132</v>
      </c>
      <c r="AK201" s="231">
        <f t="shared" si="67"/>
        <v>77001000</v>
      </c>
      <c r="AL201" s="233">
        <f t="shared" si="46"/>
        <v>45.623733513455868</v>
      </c>
      <c r="AM201" s="243"/>
    </row>
    <row r="202" spans="1:39" ht="28.5" customHeight="1" x14ac:dyDescent="0.25">
      <c r="A202" s="243"/>
      <c r="B202" s="477"/>
      <c r="C202" s="477"/>
      <c r="D202" s="477"/>
      <c r="E202" s="477"/>
      <c r="F202" s="477"/>
      <c r="G202" s="477"/>
      <c r="H202" s="477"/>
      <c r="I202" s="478"/>
      <c r="J202" s="477" t="s">
        <v>273</v>
      </c>
      <c r="K202" s="245"/>
      <c r="L202" s="257"/>
      <c r="M202" s="597" t="s">
        <v>322</v>
      </c>
      <c r="N202" s="598"/>
      <c r="O202" s="299"/>
      <c r="P202" s="180"/>
      <c r="Q202" s="180">
        <v>34600000</v>
      </c>
      <c r="R202" s="181">
        <f t="shared" ref="R202:R208" si="70">Q202/Q$201*100</f>
        <v>20.500788036071906</v>
      </c>
      <c r="S202" s="181">
        <v>100</v>
      </c>
      <c r="T202" s="180">
        <f t="shared" si="44"/>
        <v>52.312138728323696</v>
      </c>
      <c r="U202" s="180">
        <f t="shared" ref="U202:U208" si="71">R202*T202/100</f>
        <v>10.724400677829522</v>
      </c>
      <c r="V202" s="182">
        <f t="shared" si="55"/>
        <v>47.687861271676304</v>
      </c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>
        <v>18100000</v>
      </c>
      <c r="AJ202" s="181">
        <f t="shared" si="45"/>
        <v>52.312138728323696</v>
      </c>
      <c r="AK202" s="180">
        <f t="shared" si="67"/>
        <v>16500000</v>
      </c>
      <c r="AL202" s="181">
        <f t="shared" si="46"/>
        <v>47.687861271676304</v>
      </c>
      <c r="AM202" s="243"/>
    </row>
    <row r="203" spans="1:39" ht="28.5" customHeight="1" x14ac:dyDescent="0.25">
      <c r="A203" s="243"/>
      <c r="B203" s="477"/>
      <c r="C203" s="477"/>
      <c r="D203" s="477"/>
      <c r="E203" s="477"/>
      <c r="F203" s="477"/>
      <c r="G203" s="477"/>
      <c r="H203" s="477"/>
      <c r="I203" s="478"/>
      <c r="J203" s="477" t="s">
        <v>323</v>
      </c>
      <c r="K203" s="245"/>
      <c r="L203" s="257"/>
      <c r="M203" s="597" t="s">
        <v>324</v>
      </c>
      <c r="N203" s="598"/>
      <c r="O203" s="299"/>
      <c r="P203" s="180"/>
      <c r="Q203" s="180">
        <v>100464000</v>
      </c>
      <c r="R203" s="181">
        <f t="shared" si="70"/>
        <v>59.525756336876533</v>
      </c>
      <c r="S203" s="181">
        <v>100</v>
      </c>
      <c r="T203" s="180">
        <f t="shared" si="44"/>
        <v>51.713051441312309</v>
      </c>
      <c r="U203" s="180">
        <f t="shared" si="71"/>
        <v>30.782584995319183</v>
      </c>
      <c r="V203" s="182">
        <f t="shared" si="55"/>
        <v>48.286948558687691</v>
      </c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>
        <f>18502000+6021000+27430000</f>
        <v>51953000</v>
      </c>
      <c r="AJ203" s="181">
        <f t="shared" si="45"/>
        <v>51.713051441312309</v>
      </c>
      <c r="AK203" s="180">
        <f t="shared" si="67"/>
        <v>48511000</v>
      </c>
      <c r="AL203" s="181">
        <f t="shared" si="46"/>
        <v>48.286948558687683</v>
      </c>
      <c r="AM203" s="243"/>
    </row>
    <row r="204" spans="1:39" ht="28.5" customHeight="1" x14ac:dyDescent="0.25">
      <c r="A204" s="243"/>
      <c r="B204" s="477"/>
      <c r="C204" s="477"/>
      <c r="D204" s="477"/>
      <c r="E204" s="477"/>
      <c r="F204" s="477"/>
      <c r="G204" s="477"/>
      <c r="H204" s="477"/>
      <c r="I204" s="478"/>
      <c r="J204" s="477" t="s">
        <v>269</v>
      </c>
      <c r="K204" s="245"/>
      <c r="L204" s="257"/>
      <c r="M204" s="597" t="s">
        <v>270</v>
      </c>
      <c r="N204" s="598"/>
      <c r="O204" s="299"/>
      <c r="P204" s="180"/>
      <c r="Q204" s="180">
        <v>9000000</v>
      </c>
      <c r="R204" s="181">
        <f t="shared" si="70"/>
        <v>5.3325749226776642</v>
      </c>
      <c r="S204" s="181">
        <v>100</v>
      </c>
      <c r="T204" s="180">
        <f t="shared" si="44"/>
        <v>51.94444444444445</v>
      </c>
      <c r="U204" s="180">
        <f t="shared" si="71"/>
        <v>2.7699764181686759</v>
      </c>
      <c r="V204" s="182">
        <f t="shared" si="55"/>
        <v>48.05555555555555</v>
      </c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>
        <f>3400000+1275000</f>
        <v>4675000</v>
      </c>
      <c r="AJ204" s="181">
        <f t="shared" si="45"/>
        <v>51.94444444444445</v>
      </c>
      <c r="AK204" s="180">
        <f t="shared" si="67"/>
        <v>4325000</v>
      </c>
      <c r="AL204" s="181">
        <f t="shared" si="46"/>
        <v>48.055555555555557</v>
      </c>
      <c r="AM204" s="243"/>
    </row>
    <row r="205" spans="1:39" ht="28.5" customHeight="1" x14ac:dyDescent="0.25">
      <c r="A205" s="243"/>
      <c r="B205" s="477"/>
      <c r="C205" s="477"/>
      <c r="D205" s="477"/>
      <c r="E205" s="477"/>
      <c r="F205" s="477"/>
      <c r="G205" s="477"/>
      <c r="H205" s="477"/>
      <c r="I205" s="478"/>
      <c r="J205" s="477" t="s">
        <v>315</v>
      </c>
      <c r="K205" s="245"/>
      <c r="L205" s="257"/>
      <c r="M205" s="597" t="s">
        <v>271</v>
      </c>
      <c r="N205" s="598"/>
      <c r="O205" s="299"/>
      <c r="P205" s="180"/>
      <c r="Q205" s="180">
        <v>360000</v>
      </c>
      <c r="R205" s="181">
        <f t="shared" si="70"/>
        <v>0.21330299690710655</v>
      </c>
      <c r="S205" s="181">
        <v>100</v>
      </c>
      <c r="T205" s="180">
        <f t="shared" si="44"/>
        <v>0</v>
      </c>
      <c r="U205" s="180">
        <f t="shared" si="71"/>
        <v>0</v>
      </c>
      <c r="V205" s="182">
        <f t="shared" si="55"/>
        <v>100</v>
      </c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>
        <v>0</v>
      </c>
      <c r="AJ205" s="181">
        <f t="shared" si="45"/>
        <v>0</v>
      </c>
      <c r="AK205" s="180">
        <f t="shared" si="67"/>
        <v>360000</v>
      </c>
      <c r="AL205" s="181">
        <f t="shared" si="46"/>
        <v>100</v>
      </c>
      <c r="AM205" s="243"/>
    </row>
    <row r="206" spans="1:39" ht="28.5" customHeight="1" x14ac:dyDescent="0.25">
      <c r="A206" s="243"/>
      <c r="B206" s="477"/>
      <c r="C206" s="477"/>
      <c r="D206" s="477"/>
      <c r="E206" s="477"/>
      <c r="F206" s="477"/>
      <c r="G206" s="477"/>
      <c r="H206" s="477"/>
      <c r="I206" s="478"/>
      <c r="J206" s="477" t="s">
        <v>280</v>
      </c>
      <c r="K206" s="245"/>
      <c r="L206" s="257"/>
      <c r="M206" s="597" t="s">
        <v>425</v>
      </c>
      <c r="N206" s="598"/>
      <c r="O206" s="299"/>
      <c r="P206" s="180"/>
      <c r="Q206" s="180">
        <v>3500000</v>
      </c>
      <c r="R206" s="181">
        <f t="shared" si="70"/>
        <v>2.073779136596869</v>
      </c>
      <c r="S206" s="181">
        <v>100</v>
      </c>
      <c r="T206" s="180">
        <f t="shared" si="44"/>
        <v>100</v>
      </c>
      <c r="U206" s="180">
        <f t="shared" si="71"/>
        <v>2.073779136596869</v>
      </c>
      <c r="V206" s="182">
        <f t="shared" si="55"/>
        <v>0</v>
      </c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>
        <v>3500000</v>
      </c>
      <c r="AJ206" s="181">
        <f t="shared" si="45"/>
        <v>100</v>
      </c>
      <c r="AK206" s="180">
        <f t="shared" si="67"/>
        <v>0</v>
      </c>
      <c r="AL206" s="181">
        <f t="shared" si="46"/>
        <v>0</v>
      </c>
      <c r="AM206" s="243"/>
    </row>
    <row r="207" spans="1:39" ht="28.5" customHeight="1" x14ac:dyDescent="0.25">
      <c r="A207" s="243"/>
      <c r="B207" s="477"/>
      <c r="C207" s="477"/>
      <c r="D207" s="477"/>
      <c r="E207" s="477"/>
      <c r="F207" s="477"/>
      <c r="G207" s="477"/>
      <c r="H207" s="477"/>
      <c r="I207" s="478"/>
      <c r="J207" s="477" t="s">
        <v>284</v>
      </c>
      <c r="K207" s="245"/>
      <c r="L207" s="257"/>
      <c r="M207" s="597" t="s">
        <v>285</v>
      </c>
      <c r="N207" s="598"/>
      <c r="O207" s="299"/>
      <c r="P207" s="180"/>
      <c r="Q207" s="180">
        <v>5250000</v>
      </c>
      <c r="R207" s="181">
        <f t="shared" si="70"/>
        <v>3.1106687048953039</v>
      </c>
      <c r="S207" s="181">
        <v>100</v>
      </c>
      <c r="T207" s="180">
        <f t="shared" si="44"/>
        <v>73.714285714285708</v>
      </c>
      <c r="U207" s="180">
        <f t="shared" si="71"/>
        <v>2.2930072167513953</v>
      </c>
      <c r="V207" s="182">
        <f t="shared" si="55"/>
        <v>26.285714285714292</v>
      </c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>
        <f>2190000+1680000</f>
        <v>3870000</v>
      </c>
      <c r="AJ207" s="181">
        <f t="shared" si="45"/>
        <v>73.714285714285708</v>
      </c>
      <c r="AK207" s="180">
        <f t="shared" si="67"/>
        <v>1380000</v>
      </c>
      <c r="AL207" s="181">
        <f t="shared" si="46"/>
        <v>26.285714285714285</v>
      </c>
      <c r="AM207" s="243"/>
    </row>
    <row r="208" spans="1:39" ht="28.5" customHeight="1" x14ac:dyDescent="0.25">
      <c r="A208" s="243"/>
      <c r="B208" s="477"/>
      <c r="C208" s="477"/>
      <c r="D208" s="477"/>
      <c r="E208" s="477"/>
      <c r="F208" s="477"/>
      <c r="G208" s="477"/>
      <c r="H208" s="477"/>
      <c r="I208" s="478"/>
      <c r="J208" s="477" t="s">
        <v>282</v>
      </c>
      <c r="K208" s="245"/>
      <c r="L208" s="257"/>
      <c r="M208" s="597" t="s">
        <v>283</v>
      </c>
      <c r="N208" s="598"/>
      <c r="O208" s="299"/>
      <c r="P208" s="180"/>
      <c r="Q208" s="180">
        <v>15600000</v>
      </c>
      <c r="R208" s="181">
        <f t="shared" si="70"/>
        <v>9.2431298659746162</v>
      </c>
      <c r="S208" s="181">
        <v>100</v>
      </c>
      <c r="T208" s="180">
        <f t="shared" ref="T208:T280" si="72">AJ208</f>
        <v>62.019230769230774</v>
      </c>
      <c r="U208" s="180">
        <f t="shared" si="71"/>
        <v>5.7325180418784889</v>
      </c>
      <c r="V208" s="182">
        <f t="shared" si="55"/>
        <v>37.980769230769226</v>
      </c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80"/>
      <c r="AH208" s="180"/>
      <c r="AI208" s="180">
        <f>3765500+5909500</f>
        <v>9675000</v>
      </c>
      <c r="AJ208" s="181">
        <f t="shared" ref="AJ208:AJ280" si="73">AI208/Q208*100</f>
        <v>62.019230769230774</v>
      </c>
      <c r="AK208" s="180">
        <f t="shared" si="67"/>
        <v>5925000</v>
      </c>
      <c r="AL208" s="181">
        <f t="shared" ref="AL208:AL280" si="74">AK208/Q208*100</f>
        <v>37.980769230769226</v>
      </c>
      <c r="AM208" s="243"/>
    </row>
    <row r="209" spans="1:39" s="297" customFormat="1" ht="28.5" customHeight="1" x14ac:dyDescent="0.25">
      <c r="A209" s="227">
        <f>A201+1</f>
        <v>31</v>
      </c>
      <c r="B209" s="615" t="s">
        <v>141</v>
      </c>
      <c r="C209" s="615"/>
      <c r="D209" s="615"/>
      <c r="E209" s="615"/>
      <c r="F209" s="615"/>
      <c r="G209" s="615"/>
      <c r="H209" s="615"/>
      <c r="I209" s="614"/>
      <c r="J209" s="304" t="s">
        <v>475</v>
      </c>
      <c r="K209" s="230"/>
      <c r="L209" s="294"/>
      <c r="M209" s="615" t="s">
        <v>142</v>
      </c>
      <c r="N209" s="614"/>
      <c r="O209" s="295">
        <v>299485000</v>
      </c>
      <c r="P209" s="231">
        <f>O209</f>
        <v>299485000</v>
      </c>
      <c r="Q209" s="231">
        <f>SUM(Q210:Q215)</f>
        <v>142716000</v>
      </c>
      <c r="R209" s="233">
        <f>Q209/Q$180*100</f>
        <v>10.508516699725181</v>
      </c>
      <c r="S209" s="233">
        <v>100</v>
      </c>
      <c r="T209" s="231">
        <f t="shared" si="72"/>
        <v>0</v>
      </c>
      <c r="U209" s="231">
        <f>R209*T209/100</f>
        <v>0</v>
      </c>
      <c r="V209" s="296">
        <f t="shared" si="55"/>
        <v>100</v>
      </c>
      <c r="W209" s="231"/>
      <c r="X209" s="231" t="e">
        <f>#REF!</f>
        <v>#REF!</v>
      </c>
      <c r="Y209" s="231" t="e">
        <f>#REF!</f>
        <v>#REF!</v>
      </c>
      <c r="Z209" s="231" t="e">
        <f>#REF!</f>
        <v>#REF!</v>
      </c>
      <c r="AA209" s="231" t="e">
        <f>#REF!</f>
        <v>#REF!</v>
      </c>
      <c r="AB209" s="231">
        <v>4600000</v>
      </c>
      <c r="AC209" s="231" t="e">
        <f>#REF!</f>
        <v>#REF!</v>
      </c>
      <c r="AD209" s="231" t="e">
        <f>#REF!</f>
        <v>#REF!</v>
      </c>
      <c r="AE209" s="231" t="e">
        <f>#REF!</f>
        <v>#REF!</v>
      </c>
      <c r="AF209" s="231" t="e">
        <f>[1]April!N50</f>
        <v>#REF!</v>
      </c>
      <c r="AG209" s="231" t="e">
        <f>[2]april!N50</f>
        <v>#REF!</v>
      </c>
      <c r="AH209" s="231">
        <f>'[3]DES SKPD'!$N50</f>
        <v>221288650</v>
      </c>
      <c r="AI209" s="231">
        <f>SUM(AI210:AI215)</f>
        <v>0</v>
      </c>
      <c r="AJ209" s="233">
        <f t="shared" si="73"/>
        <v>0</v>
      </c>
      <c r="AK209" s="231">
        <f t="shared" si="67"/>
        <v>142716000</v>
      </c>
      <c r="AL209" s="233">
        <f t="shared" si="74"/>
        <v>100</v>
      </c>
      <c r="AM209" s="227"/>
    </row>
    <row r="210" spans="1:39" ht="28.5" customHeight="1" x14ac:dyDescent="0.25">
      <c r="A210" s="243"/>
      <c r="B210" s="477"/>
      <c r="C210" s="477"/>
      <c r="D210" s="477"/>
      <c r="E210" s="477"/>
      <c r="F210" s="477"/>
      <c r="G210" s="477"/>
      <c r="H210" s="477"/>
      <c r="I210" s="478"/>
      <c r="J210" s="477" t="s">
        <v>323</v>
      </c>
      <c r="K210" s="245"/>
      <c r="L210" s="257"/>
      <c r="M210" s="597" t="s">
        <v>324</v>
      </c>
      <c r="N210" s="598"/>
      <c r="O210" s="299"/>
      <c r="P210" s="180"/>
      <c r="Q210" s="180">
        <v>27408000</v>
      </c>
      <c r="R210" s="181">
        <f t="shared" ref="R210:R215" si="75">Q210/Q$209*100</f>
        <v>19.2045741192298</v>
      </c>
      <c r="S210" s="181">
        <v>100</v>
      </c>
      <c r="T210" s="180">
        <f t="shared" si="72"/>
        <v>0</v>
      </c>
      <c r="U210" s="180">
        <f t="shared" ref="U210:U229" si="76">R210*T210/100</f>
        <v>0</v>
      </c>
      <c r="V210" s="182">
        <f t="shared" si="55"/>
        <v>100</v>
      </c>
      <c r="W210" s="180"/>
      <c r="X210" s="180" t="e">
        <f>#REF!</f>
        <v>#REF!</v>
      </c>
      <c r="Y210" s="180" t="e">
        <f>#REF!</f>
        <v>#REF!</v>
      </c>
      <c r="Z210" s="180" t="e">
        <f>#REF!</f>
        <v>#REF!</v>
      </c>
      <c r="AA210" s="180" t="e">
        <f>#REF!</f>
        <v>#REF!</v>
      </c>
      <c r="AB210" s="180">
        <v>4600002</v>
      </c>
      <c r="AC210" s="180" t="e">
        <f>#REF!</f>
        <v>#REF!</v>
      </c>
      <c r="AD210" s="180" t="e">
        <f>#REF!</f>
        <v>#REF!</v>
      </c>
      <c r="AE210" s="180" t="e">
        <f>#REF!</f>
        <v>#REF!</v>
      </c>
      <c r="AF210" s="180" t="e">
        <f>[1]April!N52</f>
        <v>#REF!</v>
      </c>
      <c r="AG210" s="180" t="e">
        <f>[2]april!N52</f>
        <v>#REF!</v>
      </c>
      <c r="AH210" s="180">
        <f>'[3]DES SKPD'!$N52</f>
        <v>73668000</v>
      </c>
      <c r="AI210" s="180">
        <v>0</v>
      </c>
      <c r="AJ210" s="181">
        <f t="shared" si="73"/>
        <v>0</v>
      </c>
      <c r="AK210" s="180">
        <f t="shared" si="67"/>
        <v>27408000</v>
      </c>
      <c r="AL210" s="181">
        <f t="shared" si="74"/>
        <v>100</v>
      </c>
      <c r="AM210" s="243"/>
    </row>
    <row r="211" spans="1:39" ht="28.5" customHeight="1" x14ac:dyDescent="0.25">
      <c r="A211" s="243"/>
      <c r="B211" s="477"/>
      <c r="C211" s="477"/>
      <c r="D211" s="477"/>
      <c r="E211" s="477"/>
      <c r="F211" s="477"/>
      <c r="G211" s="477"/>
      <c r="H211" s="477"/>
      <c r="I211" s="478"/>
      <c r="J211" s="477" t="s">
        <v>269</v>
      </c>
      <c r="K211" s="245"/>
      <c r="L211" s="257"/>
      <c r="M211" s="597" t="s">
        <v>270</v>
      </c>
      <c r="N211" s="598"/>
      <c r="O211" s="299"/>
      <c r="P211" s="180"/>
      <c r="Q211" s="180">
        <v>17800000</v>
      </c>
      <c r="R211" s="181">
        <f t="shared" si="75"/>
        <v>12.472322654782927</v>
      </c>
      <c r="S211" s="181">
        <v>100</v>
      </c>
      <c r="T211" s="180">
        <f t="shared" si="72"/>
        <v>0</v>
      </c>
      <c r="U211" s="180">
        <f t="shared" si="76"/>
        <v>0</v>
      </c>
      <c r="V211" s="182">
        <f t="shared" si="55"/>
        <v>100</v>
      </c>
      <c r="W211" s="180"/>
      <c r="X211" s="180" t="e">
        <f>#REF!</f>
        <v>#REF!</v>
      </c>
      <c r="Y211" s="180" t="e">
        <f>#REF!</f>
        <v>#REF!</v>
      </c>
      <c r="Z211" s="180" t="e">
        <f>#REF!</f>
        <v>#REF!</v>
      </c>
      <c r="AA211" s="180" t="e">
        <f>#REF!</f>
        <v>#REF!</v>
      </c>
      <c r="AB211" s="180">
        <v>4600003</v>
      </c>
      <c r="AC211" s="180" t="e">
        <f>#REF!</f>
        <v>#REF!</v>
      </c>
      <c r="AD211" s="180" t="e">
        <f>#REF!</f>
        <v>#REF!</v>
      </c>
      <c r="AE211" s="180" t="e">
        <f>#REF!</f>
        <v>#REF!</v>
      </c>
      <c r="AF211" s="180" t="e">
        <f>[1]April!N53</f>
        <v>#REF!</v>
      </c>
      <c r="AG211" s="180" t="e">
        <f>[2]april!N53</f>
        <v>#REF!</v>
      </c>
      <c r="AH211" s="180" t="e">
        <f>'[3]DES SKPD'!$N53</f>
        <v>#REF!</v>
      </c>
      <c r="AI211" s="180">
        <v>0</v>
      </c>
      <c r="AJ211" s="181">
        <f t="shared" si="73"/>
        <v>0</v>
      </c>
      <c r="AK211" s="180">
        <f t="shared" si="67"/>
        <v>17800000</v>
      </c>
      <c r="AL211" s="181">
        <f t="shared" si="74"/>
        <v>100</v>
      </c>
      <c r="AM211" s="243"/>
    </row>
    <row r="212" spans="1:39" ht="28.5" customHeight="1" x14ac:dyDescent="0.25">
      <c r="A212" s="243"/>
      <c r="B212" s="477"/>
      <c r="C212" s="477"/>
      <c r="D212" s="477"/>
      <c r="E212" s="477"/>
      <c r="F212" s="477"/>
      <c r="G212" s="477"/>
      <c r="H212" s="477"/>
      <c r="I212" s="478"/>
      <c r="J212" s="477" t="s">
        <v>315</v>
      </c>
      <c r="K212" s="245"/>
      <c r="L212" s="257"/>
      <c r="M212" s="597" t="s">
        <v>271</v>
      </c>
      <c r="N212" s="598"/>
      <c r="O212" s="299"/>
      <c r="P212" s="180"/>
      <c r="Q212" s="180">
        <v>3648000</v>
      </c>
      <c r="R212" s="181">
        <f t="shared" si="75"/>
        <v>2.5561254519465235</v>
      </c>
      <c r="S212" s="181">
        <v>100</v>
      </c>
      <c r="T212" s="180">
        <f t="shared" si="72"/>
        <v>0</v>
      </c>
      <c r="U212" s="180">
        <f t="shared" si="76"/>
        <v>0</v>
      </c>
      <c r="V212" s="182">
        <f t="shared" si="55"/>
        <v>100</v>
      </c>
      <c r="W212" s="180"/>
      <c r="X212" s="180" t="e">
        <f>#REF!</f>
        <v>#REF!</v>
      </c>
      <c r="Y212" s="180" t="e">
        <f>#REF!</f>
        <v>#REF!</v>
      </c>
      <c r="Z212" s="180" t="e">
        <f>#REF!</f>
        <v>#REF!</v>
      </c>
      <c r="AA212" s="180" t="e">
        <f>#REF!</f>
        <v>#REF!</v>
      </c>
      <c r="AB212" s="180">
        <v>4600004</v>
      </c>
      <c r="AC212" s="180" t="e">
        <f>#REF!</f>
        <v>#REF!</v>
      </c>
      <c r="AD212" s="180" t="e">
        <f>#REF!</f>
        <v>#REF!</v>
      </c>
      <c r="AE212" s="180" t="e">
        <f>#REF!</f>
        <v>#REF!</v>
      </c>
      <c r="AF212" s="180" t="e">
        <f>[1]April!N54</f>
        <v>#REF!</v>
      </c>
      <c r="AG212" s="180" t="e">
        <f>[2]april!N54</f>
        <v>#REF!</v>
      </c>
      <c r="AH212" s="180">
        <f>'[3]DES SKPD'!$N54</f>
        <v>508172500</v>
      </c>
      <c r="AI212" s="180">
        <v>0</v>
      </c>
      <c r="AJ212" s="181">
        <f t="shared" si="73"/>
        <v>0</v>
      </c>
      <c r="AK212" s="180">
        <f t="shared" si="67"/>
        <v>3648000</v>
      </c>
      <c r="AL212" s="181">
        <f t="shared" si="74"/>
        <v>100</v>
      </c>
      <c r="AM212" s="243"/>
    </row>
    <row r="213" spans="1:39" ht="28.5" customHeight="1" x14ac:dyDescent="0.25">
      <c r="A213" s="243"/>
      <c r="B213" s="477"/>
      <c r="C213" s="477"/>
      <c r="D213" s="477"/>
      <c r="E213" s="477"/>
      <c r="F213" s="477"/>
      <c r="G213" s="477"/>
      <c r="H213" s="477"/>
      <c r="I213" s="478"/>
      <c r="J213" s="477" t="s">
        <v>328</v>
      </c>
      <c r="K213" s="245"/>
      <c r="L213" s="257"/>
      <c r="M213" s="597" t="s">
        <v>329</v>
      </c>
      <c r="N213" s="598"/>
      <c r="O213" s="299"/>
      <c r="P213" s="180"/>
      <c r="Q213" s="180">
        <v>36000000</v>
      </c>
      <c r="R213" s="181">
        <f t="shared" si="75"/>
        <v>25.224922223156476</v>
      </c>
      <c r="S213" s="181">
        <v>100</v>
      </c>
      <c r="T213" s="180">
        <f t="shared" si="72"/>
        <v>0</v>
      </c>
      <c r="U213" s="180">
        <f t="shared" si="76"/>
        <v>0</v>
      </c>
      <c r="V213" s="182">
        <f t="shared" si="55"/>
        <v>100</v>
      </c>
      <c r="W213" s="180"/>
      <c r="X213" s="180" t="e">
        <f>#REF!</f>
        <v>#REF!</v>
      </c>
      <c r="Y213" s="180" t="e">
        <f>#REF!</f>
        <v>#REF!</v>
      </c>
      <c r="Z213" s="180" t="e">
        <f>#REF!</f>
        <v>#REF!</v>
      </c>
      <c r="AA213" s="180" t="e">
        <f>#REF!</f>
        <v>#REF!</v>
      </c>
      <c r="AB213" s="180">
        <v>4600004</v>
      </c>
      <c r="AC213" s="180" t="e">
        <f>#REF!</f>
        <v>#REF!</v>
      </c>
      <c r="AD213" s="180" t="e">
        <f>#REF!</f>
        <v>#REF!</v>
      </c>
      <c r="AE213" s="180" t="e">
        <f>#REF!</f>
        <v>#REF!</v>
      </c>
      <c r="AF213" s="180" t="e">
        <f>[1]April!N55</f>
        <v>#REF!</v>
      </c>
      <c r="AG213" s="180" t="e">
        <f>[2]april!N55</f>
        <v>#REF!</v>
      </c>
      <c r="AH213" s="180" t="e">
        <f>'[3]DES SKPD'!$N55</f>
        <v>#REF!</v>
      </c>
      <c r="AI213" s="180">
        <v>0</v>
      </c>
      <c r="AJ213" s="181">
        <f t="shared" si="73"/>
        <v>0</v>
      </c>
      <c r="AK213" s="180">
        <f t="shared" si="67"/>
        <v>36000000</v>
      </c>
      <c r="AL213" s="181">
        <f t="shared" si="74"/>
        <v>100</v>
      </c>
      <c r="AM213" s="243"/>
    </row>
    <row r="214" spans="1:39" ht="28.5" customHeight="1" x14ac:dyDescent="0.25">
      <c r="A214" s="243"/>
      <c r="B214" s="477"/>
      <c r="C214" s="477"/>
      <c r="D214" s="477"/>
      <c r="E214" s="477"/>
      <c r="F214" s="477"/>
      <c r="G214" s="477"/>
      <c r="H214" s="477"/>
      <c r="I214" s="478"/>
      <c r="J214" s="477" t="s">
        <v>280</v>
      </c>
      <c r="K214" s="245"/>
      <c r="L214" s="257"/>
      <c r="M214" s="597" t="s">
        <v>281</v>
      </c>
      <c r="N214" s="598"/>
      <c r="O214" s="299"/>
      <c r="P214" s="180"/>
      <c r="Q214" s="180">
        <v>15750000</v>
      </c>
      <c r="R214" s="181">
        <f t="shared" si="75"/>
        <v>11.035903472630959</v>
      </c>
      <c r="S214" s="181">
        <v>100</v>
      </c>
      <c r="T214" s="180">
        <f t="shared" si="72"/>
        <v>0</v>
      </c>
      <c r="U214" s="180">
        <f t="shared" si="76"/>
        <v>0</v>
      </c>
      <c r="V214" s="182">
        <f t="shared" si="55"/>
        <v>100</v>
      </c>
      <c r="W214" s="180"/>
      <c r="X214" s="180" t="e">
        <f>#REF!</f>
        <v>#REF!</v>
      </c>
      <c r="Y214" s="180" t="e">
        <f>#REF!</f>
        <v>#REF!</v>
      </c>
      <c r="Z214" s="180" t="e">
        <f>#REF!</f>
        <v>#REF!</v>
      </c>
      <c r="AA214" s="180" t="e">
        <f>#REF!</f>
        <v>#REF!</v>
      </c>
      <c r="AB214" s="180">
        <v>4600005</v>
      </c>
      <c r="AC214" s="180" t="e">
        <f>#REF!</f>
        <v>#REF!</v>
      </c>
      <c r="AD214" s="180" t="e">
        <f>#REF!</f>
        <v>#REF!</v>
      </c>
      <c r="AE214" s="180" t="e">
        <f>#REF!</f>
        <v>#REF!</v>
      </c>
      <c r="AF214" s="180" t="e">
        <f>[1]April!N55</f>
        <v>#REF!</v>
      </c>
      <c r="AG214" s="180" t="e">
        <f>[2]april!N55</f>
        <v>#REF!</v>
      </c>
      <c r="AH214" s="180" t="e">
        <f>'[3]DES SKPD'!$N55</f>
        <v>#REF!</v>
      </c>
      <c r="AI214" s="180">
        <v>0</v>
      </c>
      <c r="AJ214" s="181">
        <f t="shared" si="73"/>
        <v>0</v>
      </c>
      <c r="AK214" s="180">
        <f t="shared" si="67"/>
        <v>15750000</v>
      </c>
      <c r="AL214" s="181">
        <f t="shared" si="74"/>
        <v>100</v>
      </c>
      <c r="AM214" s="243"/>
    </row>
    <row r="215" spans="1:39" ht="28.5" customHeight="1" x14ac:dyDescent="0.25">
      <c r="A215" s="243"/>
      <c r="B215" s="477"/>
      <c r="C215" s="477"/>
      <c r="D215" s="477"/>
      <c r="E215" s="477"/>
      <c r="F215" s="477"/>
      <c r="G215" s="477"/>
      <c r="H215" s="477"/>
      <c r="I215" s="478"/>
      <c r="J215" s="477" t="s">
        <v>282</v>
      </c>
      <c r="K215" s="245"/>
      <c r="L215" s="257"/>
      <c r="M215" s="597" t="s">
        <v>283</v>
      </c>
      <c r="N215" s="598"/>
      <c r="O215" s="299"/>
      <c r="P215" s="180"/>
      <c r="Q215" s="180">
        <v>42110000</v>
      </c>
      <c r="R215" s="181">
        <f t="shared" si="75"/>
        <v>29.506152078253312</v>
      </c>
      <c r="S215" s="181">
        <v>100</v>
      </c>
      <c r="T215" s="180">
        <f t="shared" si="72"/>
        <v>0</v>
      </c>
      <c r="U215" s="180">
        <f t="shared" si="76"/>
        <v>0</v>
      </c>
      <c r="V215" s="182">
        <f t="shared" si="55"/>
        <v>100</v>
      </c>
      <c r="W215" s="180"/>
      <c r="X215" s="180" t="e">
        <f>#REF!</f>
        <v>#REF!</v>
      </c>
      <c r="Y215" s="180" t="e">
        <f>#REF!</f>
        <v>#REF!</v>
      </c>
      <c r="Z215" s="180" t="e">
        <f>#REF!</f>
        <v>#REF!</v>
      </c>
      <c r="AA215" s="180" t="e">
        <f>#REF!</f>
        <v>#REF!</v>
      </c>
      <c r="AB215" s="180">
        <v>4600006</v>
      </c>
      <c r="AC215" s="180" t="e">
        <f>#REF!</f>
        <v>#REF!</v>
      </c>
      <c r="AD215" s="180" t="e">
        <f>#REF!</f>
        <v>#REF!</v>
      </c>
      <c r="AE215" s="180" t="e">
        <f>#REF!</f>
        <v>#REF!</v>
      </c>
      <c r="AF215" s="180" t="e">
        <f>[1]April!N56</f>
        <v>#REF!</v>
      </c>
      <c r="AG215" s="180" t="e">
        <f>[2]april!N56</f>
        <v>#REF!</v>
      </c>
      <c r="AH215" s="180">
        <f>'[3]DES SKPD'!$N56</f>
        <v>260098500</v>
      </c>
      <c r="AI215" s="180">
        <v>0</v>
      </c>
      <c r="AJ215" s="181">
        <f t="shared" si="73"/>
        <v>0</v>
      </c>
      <c r="AK215" s="180">
        <f t="shared" si="67"/>
        <v>42110000</v>
      </c>
      <c r="AL215" s="181">
        <f t="shared" si="74"/>
        <v>100</v>
      </c>
      <c r="AM215" s="243"/>
    </row>
    <row r="216" spans="1:39" s="297" customFormat="1" ht="32.25" customHeight="1" x14ac:dyDescent="0.25">
      <c r="A216" s="227">
        <f>A209+1</f>
        <v>32</v>
      </c>
      <c r="B216" s="615" t="s">
        <v>141</v>
      </c>
      <c r="C216" s="615"/>
      <c r="D216" s="615"/>
      <c r="E216" s="615"/>
      <c r="F216" s="615"/>
      <c r="G216" s="615"/>
      <c r="H216" s="615"/>
      <c r="I216" s="614"/>
      <c r="J216" s="304" t="s">
        <v>476</v>
      </c>
      <c r="K216" s="230"/>
      <c r="L216" s="294"/>
      <c r="M216" s="615" t="s">
        <v>143</v>
      </c>
      <c r="N216" s="614"/>
      <c r="O216" s="295">
        <v>359210000</v>
      </c>
      <c r="P216" s="231">
        <f>O216</f>
        <v>359210000</v>
      </c>
      <c r="Q216" s="231">
        <f>SUM(Q217:Q221)</f>
        <v>138060000</v>
      </c>
      <c r="R216" s="233">
        <f>Q216/Q$180*100</f>
        <v>10.16568440514069</v>
      </c>
      <c r="S216" s="233">
        <v>100</v>
      </c>
      <c r="T216" s="231">
        <f t="shared" si="72"/>
        <v>54.360423004490798</v>
      </c>
      <c r="U216" s="231">
        <f t="shared" si="76"/>
        <v>5.5261090439360325</v>
      </c>
      <c r="V216" s="296">
        <f t="shared" si="55"/>
        <v>45.639576995509202</v>
      </c>
      <c r="W216" s="231"/>
      <c r="X216" s="231" t="e">
        <f>#REF!</f>
        <v>#REF!</v>
      </c>
      <c r="Y216" s="231" t="e">
        <f>#REF!</f>
        <v>#REF!</v>
      </c>
      <c r="Z216" s="231" t="e">
        <f>#REF!</f>
        <v>#REF!</v>
      </c>
      <c r="AA216" s="231" t="e">
        <f>#REF!</f>
        <v>#REF!</v>
      </c>
      <c r="AB216" s="231">
        <v>173940000</v>
      </c>
      <c r="AC216" s="231" t="e">
        <f>#REF!</f>
        <v>#REF!</v>
      </c>
      <c r="AD216" s="231" t="e">
        <f>#REF!</f>
        <v>#REF!</v>
      </c>
      <c r="AE216" s="231" t="e">
        <f>#REF!</f>
        <v>#REF!</v>
      </c>
      <c r="AF216" s="231" t="e">
        <f>[1]April!N51</f>
        <v>#REF!</v>
      </c>
      <c r="AG216" s="231" t="e">
        <f>[2]april!N51</f>
        <v>#REF!</v>
      </c>
      <c r="AH216" s="231">
        <f>'[3]DES SKPD'!$N51</f>
        <v>317812000</v>
      </c>
      <c r="AI216" s="231">
        <f>SUM(AI217:AI221)</f>
        <v>75050000</v>
      </c>
      <c r="AJ216" s="233">
        <f t="shared" si="73"/>
        <v>54.360423004490798</v>
      </c>
      <c r="AK216" s="231">
        <f t="shared" si="67"/>
        <v>63010000</v>
      </c>
      <c r="AL216" s="233">
        <f t="shared" si="74"/>
        <v>45.639576995509202</v>
      </c>
      <c r="AM216" s="227"/>
    </row>
    <row r="217" spans="1:39" ht="28.5" customHeight="1" x14ac:dyDescent="0.25">
      <c r="A217" s="243"/>
      <c r="B217" s="477"/>
      <c r="C217" s="477"/>
      <c r="D217" s="477"/>
      <c r="E217" s="477"/>
      <c r="F217" s="477"/>
      <c r="G217" s="477"/>
      <c r="H217" s="477"/>
      <c r="I217" s="478"/>
      <c r="J217" s="477" t="s">
        <v>332</v>
      </c>
      <c r="K217" s="245"/>
      <c r="L217" s="257"/>
      <c r="M217" s="597" t="s">
        <v>335</v>
      </c>
      <c r="N217" s="598"/>
      <c r="O217" s="299"/>
      <c r="P217" s="180"/>
      <c r="Q217" s="180">
        <v>1000000</v>
      </c>
      <c r="R217" s="181">
        <f>Q217/Q$216*100</f>
        <v>0.72432275822106329</v>
      </c>
      <c r="S217" s="181">
        <v>100</v>
      </c>
      <c r="T217" s="180">
        <f t="shared" si="72"/>
        <v>25</v>
      </c>
      <c r="U217" s="180">
        <f t="shared" si="76"/>
        <v>0.18108068955526582</v>
      </c>
      <c r="V217" s="182">
        <f t="shared" si="55"/>
        <v>75</v>
      </c>
      <c r="W217" s="180"/>
      <c r="X217" s="180" t="e">
        <f>#REF!</f>
        <v>#REF!</v>
      </c>
      <c r="Y217" s="180" t="e">
        <f>#REF!</f>
        <v>#REF!</v>
      </c>
      <c r="Z217" s="180" t="e">
        <f>#REF!</f>
        <v>#REF!</v>
      </c>
      <c r="AA217" s="180" t="e">
        <f>#REF!</f>
        <v>#REF!</v>
      </c>
      <c r="AB217" s="180">
        <v>173940002</v>
      </c>
      <c r="AC217" s="180" t="e">
        <f>#REF!</f>
        <v>#REF!</v>
      </c>
      <c r="AD217" s="180" t="e">
        <f>#REF!</f>
        <v>#REF!</v>
      </c>
      <c r="AE217" s="180" t="e">
        <f>#REF!</f>
        <v>#REF!</v>
      </c>
      <c r="AF217" s="180" t="e">
        <f>[1]April!N53</f>
        <v>#REF!</v>
      </c>
      <c r="AG217" s="180" t="e">
        <f>[2]april!N53</f>
        <v>#REF!</v>
      </c>
      <c r="AH217" s="180" t="e">
        <f>'[3]DES SKPD'!$N53</f>
        <v>#REF!</v>
      </c>
      <c r="AI217" s="180">
        <v>250000</v>
      </c>
      <c r="AJ217" s="181">
        <f t="shared" si="73"/>
        <v>25</v>
      </c>
      <c r="AK217" s="180">
        <f t="shared" si="67"/>
        <v>750000</v>
      </c>
      <c r="AL217" s="181">
        <f t="shared" si="74"/>
        <v>75</v>
      </c>
      <c r="AM217" s="243"/>
    </row>
    <row r="218" spans="1:39" ht="28.5" customHeight="1" x14ac:dyDescent="0.25">
      <c r="A218" s="243"/>
      <c r="B218" s="477"/>
      <c r="C218" s="477"/>
      <c r="D218" s="477"/>
      <c r="E218" s="477"/>
      <c r="F218" s="477"/>
      <c r="G218" s="477"/>
      <c r="H218" s="477"/>
      <c r="I218" s="478"/>
      <c r="J218" s="477" t="s">
        <v>333</v>
      </c>
      <c r="K218" s="245"/>
      <c r="L218" s="257"/>
      <c r="M218" s="597" t="s">
        <v>334</v>
      </c>
      <c r="N218" s="598"/>
      <c r="O218" s="299"/>
      <c r="P218" s="180"/>
      <c r="Q218" s="180">
        <v>20000000</v>
      </c>
      <c r="R218" s="181">
        <f>Q218/Q$216*100</f>
        <v>14.486455164421267</v>
      </c>
      <c r="S218" s="181">
        <v>100</v>
      </c>
      <c r="T218" s="180">
        <f t="shared" si="72"/>
        <v>25</v>
      </c>
      <c r="U218" s="180">
        <f t="shared" si="76"/>
        <v>3.6216137911053168</v>
      </c>
      <c r="V218" s="182">
        <f t="shared" si="55"/>
        <v>75</v>
      </c>
      <c r="W218" s="180"/>
      <c r="X218" s="180" t="e">
        <f>#REF!</f>
        <v>#REF!</v>
      </c>
      <c r="Y218" s="180" t="e">
        <f>#REF!</f>
        <v>#REF!</v>
      </c>
      <c r="Z218" s="180" t="e">
        <f>#REF!</f>
        <v>#REF!</v>
      </c>
      <c r="AA218" s="180" t="e">
        <f>#REF!</f>
        <v>#REF!</v>
      </c>
      <c r="AB218" s="180">
        <v>173940003</v>
      </c>
      <c r="AC218" s="180" t="e">
        <f>#REF!</f>
        <v>#REF!</v>
      </c>
      <c r="AD218" s="180" t="e">
        <f>#REF!</f>
        <v>#REF!</v>
      </c>
      <c r="AE218" s="180" t="e">
        <f>#REF!</f>
        <v>#REF!</v>
      </c>
      <c r="AF218" s="180" t="e">
        <f>[1]April!N54</f>
        <v>#REF!</v>
      </c>
      <c r="AG218" s="180" t="e">
        <f>[2]april!N54</f>
        <v>#REF!</v>
      </c>
      <c r="AH218" s="180">
        <f>'[3]DES SKPD'!$N54</f>
        <v>508172500</v>
      </c>
      <c r="AI218" s="180">
        <v>5000000</v>
      </c>
      <c r="AJ218" s="181">
        <f t="shared" si="73"/>
        <v>25</v>
      </c>
      <c r="AK218" s="180">
        <f t="shared" si="67"/>
        <v>15000000</v>
      </c>
      <c r="AL218" s="181">
        <f t="shared" si="74"/>
        <v>75</v>
      </c>
      <c r="AM218" s="243"/>
    </row>
    <row r="219" spans="1:39" ht="28.5" customHeight="1" x14ac:dyDescent="0.25">
      <c r="A219" s="243"/>
      <c r="B219" s="477"/>
      <c r="C219" s="477"/>
      <c r="D219" s="477"/>
      <c r="E219" s="477"/>
      <c r="F219" s="477"/>
      <c r="G219" s="477"/>
      <c r="H219" s="477"/>
      <c r="I219" s="478"/>
      <c r="J219" s="477" t="s">
        <v>336</v>
      </c>
      <c r="K219" s="245"/>
      <c r="L219" s="257"/>
      <c r="M219" s="597" t="s">
        <v>337</v>
      </c>
      <c r="N219" s="598"/>
      <c r="O219" s="299"/>
      <c r="P219" s="180"/>
      <c r="Q219" s="180">
        <v>92100000</v>
      </c>
      <c r="R219" s="181">
        <f>Q219/Q$216*100</f>
        <v>66.710126032159934</v>
      </c>
      <c r="S219" s="181">
        <v>100</v>
      </c>
      <c r="T219" s="180">
        <f t="shared" si="72"/>
        <v>68.946796959826273</v>
      </c>
      <c r="U219" s="180">
        <f t="shared" si="76"/>
        <v>45.994495147037526</v>
      </c>
      <c r="V219" s="182">
        <f t="shared" si="55"/>
        <v>31.053203040173727</v>
      </c>
      <c r="W219" s="180"/>
      <c r="X219" s="180" t="e">
        <f>#REF!</f>
        <v>#REF!</v>
      </c>
      <c r="Y219" s="180" t="e">
        <f>#REF!</f>
        <v>#REF!</v>
      </c>
      <c r="Z219" s="180" t="e">
        <f>#REF!</f>
        <v>#REF!</v>
      </c>
      <c r="AA219" s="180" t="e">
        <f>#REF!</f>
        <v>#REF!</v>
      </c>
      <c r="AB219" s="180">
        <v>173940004</v>
      </c>
      <c r="AC219" s="180" t="e">
        <f>#REF!</f>
        <v>#REF!</v>
      </c>
      <c r="AD219" s="180" t="e">
        <f>#REF!</f>
        <v>#REF!</v>
      </c>
      <c r="AE219" s="180" t="e">
        <f>#REF!</f>
        <v>#REF!</v>
      </c>
      <c r="AF219" s="180" t="e">
        <f>[1]April!N55</f>
        <v>#REF!</v>
      </c>
      <c r="AG219" s="180" t="e">
        <f>[2]april!N55</f>
        <v>#REF!</v>
      </c>
      <c r="AH219" s="180" t="e">
        <f>'[3]DES SKPD'!$N55</f>
        <v>#REF!</v>
      </c>
      <c r="AI219" s="180">
        <f>25500000+18000000+20000000</f>
        <v>63500000</v>
      </c>
      <c r="AJ219" s="181">
        <f t="shared" si="73"/>
        <v>68.946796959826273</v>
      </c>
      <c r="AK219" s="180">
        <f t="shared" si="67"/>
        <v>28600000</v>
      </c>
      <c r="AL219" s="181">
        <f t="shared" si="74"/>
        <v>31.053203040173727</v>
      </c>
      <c r="AM219" s="243"/>
    </row>
    <row r="220" spans="1:39" ht="28.5" customHeight="1" x14ac:dyDescent="0.25">
      <c r="A220" s="243"/>
      <c r="B220" s="477"/>
      <c r="C220" s="477"/>
      <c r="D220" s="477"/>
      <c r="E220" s="477"/>
      <c r="F220" s="477"/>
      <c r="G220" s="477"/>
      <c r="H220" s="477"/>
      <c r="I220" s="478"/>
      <c r="J220" s="477" t="s">
        <v>309</v>
      </c>
      <c r="K220" s="245"/>
      <c r="L220" s="257"/>
      <c r="M220" s="597" t="s">
        <v>310</v>
      </c>
      <c r="N220" s="598"/>
      <c r="O220" s="299"/>
      <c r="P220" s="180"/>
      <c r="Q220" s="180">
        <v>21600000</v>
      </c>
      <c r="R220" s="181">
        <f>Q220/Q$216*100</f>
        <v>15.645371577574968</v>
      </c>
      <c r="S220" s="181">
        <v>100</v>
      </c>
      <c r="T220" s="180">
        <f t="shared" si="72"/>
        <v>29.166666666666668</v>
      </c>
      <c r="U220" s="180">
        <f t="shared" si="76"/>
        <v>4.5632333767926987</v>
      </c>
      <c r="V220" s="182">
        <f t="shared" ref="V220:V297" si="77">S220-T220</f>
        <v>70.833333333333329</v>
      </c>
      <c r="W220" s="180"/>
      <c r="X220" s="180" t="e">
        <f>#REF!</f>
        <v>#REF!</v>
      </c>
      <c r="Y220" s="180" t="e">
        <f>#REF!</f>
        <v>#REF!</v>
      </c>
      <c r="Z220" s="180" t="e">
        <f>#REF!</f>
        <v>#REF!</v>
      </c>
      <c r="AA220" s="180" t="e">
        <f>#REF!</f>
        <v>#REF!</v>
      </c>
      <c r="AB220" s="180">
        <v>173940006</v>
      </c>
      <c r="AC220" s="180" t="e">
        <f>#REF!</f>
        <v>#REF!</v>
      </c>
      <c r="AD220" s="180" t="e">
        <f>#REF!</f>
        <v>#REF!</v>
      </c>
      <c r="AE220" s="180" t="e">
        <f>#REF!</f>
        <v>#REF!</v>
      </c>
      <c r="AF220" s="180" t="e">
        <f>[1]April!N57</f>
        <v>#REF!</v>
      </c>
      <c r="AG220" s="180" t="e">
        <f>[2]april!N57</f>
        <v>#REF!</v>
      </c>
      <c r="AH220" s="180">
        <f>'[3]DES SKPD'!$N57</f>
        <v>371775000</v>
      </c>
      <c r="AI220" s="180">
        <f>900000+2700000+900000+900000+900000</f>
        <v>6300000</v>
      </c>
      <c r="AJ220" s="181">
        <f>AI220/Q220*100</f>
        <v>29.166666666666668</v>
      </c>
      <c r="AK220" s="180">
        <f>Q220-AI220</f>
        <v>15300000</v>
      </c>
      <c r="AL220" s="181">
        <f t="shared" si="74"/>
        <v>70.833333333333343</v>
      </c>
      <c r="AM220" s="243"/>
    </row>
    <row r="221" spans="1:39" s="428" customFormat="1" ht="28.5" customHeight="1" x14ac:dyDescent="0.25">
      <c r="A221" s="243"/>
      <c r="B221" s="477"/>
      <c r="C221" s="477"/>
      <c r="D221" s="477"/>
      <c r="E221" s="477"/>
      <c r="F221" s="477"/>
      <c r="G221" s="477"/>
      <c r="H221" s="477"/>
      <c r="I221" s="478"/>
      <c r="J221" s="477" t="s">
        <v>551</v>
      </c>
      <c r="K221" s="245"/>
      <c r="L221" s="257"/>
      <c r="M221" s="597" t="s">
        <v>550</v>
      </c>
      <c r="N221" s="598"/>
      <c r="O221" s="432"/>
      <c r="P221" s="180"/>
      <c r="Q221" s="180">
        <v>3360000</v>
      </c>
      <c r="R221" s="181">
        <f>Q221/Q$216*100</f>
        <v>2.4337244676227727</v>
      </c>
      <c r="S221" s="181">
        <v>100</v>
      </c>
      <c r="T221" s="180">
        <f t="shared" si="72"/>
        <v>0</v>
      </c>
      <c r="U221" s="180">
        <f t="shared" si="76"/>
        <v>0</v>
      </c>
      <c r="V221" s="182">
        <f t="shared" si="77"/>
        <v>100</v>
      </c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>
        <f>2700000-2700000</f>
        <v>0</v>
      </c>
      <c r="AJ221" s="181">
        <f>AI221/Q221*100</f>
        <v>0</v>
      </c>
      <c r="AK221" s="180">
        <f>Q221-AI221</f>
        <v>3360000</v>
      </c>
      <c r="AL221" s="181">
        <f t="shared" si="74"/>
        <v>100</v>
      </c>
      <c r="AM221" s="243"/>
    </row>
    <row r="222" spans="1:39" ht="28.5" customHeight="1" x14ac:dyDescent="0.25">
      <c r="A222" s="227">
        <v>33</v>
      </c>
      <c r="B222" s="477"/>
      <c r="C222" s="477"/>
      <c r="D222" s="477"/>
      <c r="E222" s="477"/>
      <c r="F222" s="477"/>
      <c r="G222" s="477"/>
      <c r="H222" s="477"/>
      <c r="I222" s="478"/>
      <c r="J222" s="304" t="s">
        <v>477</v>
      </c>
      <c r="K222" s="230"/>
      <c r="L222" s="294"/>
      <c r="M222" s="615" t="s">
        <v>472</v>
      </c>
      <c r="N222" s="614"/>
      <c r="O222" s="295">
        <v>85915000</v>
      </c>
      <c r="P222" s="231">
        <f>O222</f>
        <v>85915000</v>
      </c>
      <c r="Q222" s="231">
        <f>SUM(Q223:Q229)</f>
        <v>102020000</v>
      </c>
      <c r="R222" s="233">
        <f>Q222/Q$180*100</f>
        <v>7.5119739462005866</v>
      </c>
      <c r="S222" s="233">
        <v>100</v>
      </c>
      <c r="T222" s="231">
        <f t="shared" si="72"/>
        <v>47.369143305234267</v>
      </c>
      <c r="U222" s="231">
        <f t="shared" si="76"/>
        <v>3.5583577036276175</v>
      </c>
      <c r="V222" s="296">
        <f t="shared" si="77"/>
        <v>52.630856694765733</v>
      </c>
      <c r="W222" s="231"/>
      <c r="X222" s="231" t="e">
        <f>#REF!</f>
        <v>#REF!</v>
      </c>
      <c r="Y222" s="231" t="e">
        <f>#REF!</f>
        <v>#REF!</v>
      </c>
      <c r="Z222" s="231" t="e">
        <f>#REF!</f>
        <v>#REF!</v>
      </c>
      <c r="AA222" s="231" t="e">
        <f>#REF!</f>
        <v>#REF!</v>
      </c>
      <c r="AB222" s="231">
        <v>0</v>
      </c>
      <c r="AC222" s="231" t="e">
        <f>#REF!</f>
        <v>#REF!</v>
      </c>
      <c r="AD222" s="231" t="e">
        <f>#REF!</f>
        <v>#REF!</v>
      </c>
      <c r="AE222" s="231" t="e">
        <f>#REF!</f>
        <v>#REF!</v>
      </c>
      <c r="AF222" s="231" t="e">
        <f>[1]April!N45</f>
        <v>#REF!</v>
      </c>
      <c r="AG222" s="231" t="e">
        <f>[2]april!N45</f>
        <v>#REF!</v>
      </c>
      <c r="AH222" s="231">
        <f>'[3]DES SKPD'!$N45</f>
        <v>320566100</v>
      </c>
      <c r="AI222" s="231">
        <f>SUM(AI223:AI229)</f>
        <v>48326000</v>
      </c>
      <c r="AJ222" s="233">
        <f t="shared" si="73"/>
        <v>47.369143305234267</v>
      </c>
      <c r="AK222" s="231">
        <f t="shared" si="67"/>
        <v>53694000</v>
      </c>
      <c r="AL222" s="233">
        <f t="shared" si="74"/>
        <v>52.63085669476574</v>
      </c>
      <c r="AM222" s="243"/>
    </row>
    <row r="223" spans="1:39" ht="28.5" customHeight="1" x14ac:dyDescent="0.25">
      <c r="A223" s="243"/>
      <c r="B223" s="477"/>
      <c r="C223" s="477"/>
      <c r="D223" s="477"/>
      <c r="E223" s="477"/>
      <c r="F223" s="477"/>
      <c r="G223" s="477"/>
      <c r="H223" s="477"/>
      <c r="I223" s="478"/>
      <c r="J223" s="477" t="s">
        <v>257</v>
      </c>
      <c r="K223" s="245"/>
      <c r="L223" s="257"/>
      <c r="M223" s="597" t="s">
        <v>592</v>
      </c>
      <c r="N223" s="598"/>
      <c r="O223" s="299"/>
      <c r="P223" s="180"/>
      <c r="Q223" s="180">
        <v>1600000</v>
      </c>
      <c r="R223" s="181">
        <f t="shared" ref="R223:R229" si="78">Q223/Q$222*100</f>
        <v>1.5683199372672023</v>
      </c>
      <c r="S223" s="181">
        <v>100</v>
      </c>
      <c r="T223" s="180">
        <f t="shared" si="72"/>
        <v>48.125</v>
      </c>
      <c r="U223" s="180">
        <f t="shared" si="76"/>
        <v>0.75475396980984111</v>
      </c>
      <c r="V223" s="182">
        <f t="shared" si="77"/>
        <v>51.875</v>
      </c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>
        <v>770000</v>
      </c>
      <c r="AJ223" s="181">
        <f t="shared" si="73"/>
        <v>48.125</v>
      </c>
      <c r="AK223" s="180">
        <f t="shared" si="67"/>
        <v>830000</v>
      </c>
      <c r="AL223" s="181">
        <f t="shared" si="74"/>
        <v>51.875000000000007</v>
      </c>
      <c r="AM223" s="243"/>
    </row>
    <row r="224" spans="1:39" ht="28.5" customHeight="1" x14ac:dyDescent="0.25">
      <c r="A224" s="243"/>
      <c r="B224" s="477"/>
      <c r="C224" s="477"/>
      <c r="D224" s="477"/>
      <c r="E224" s="477"/>
      <c r="F224" s="477"/>
      <c r="G224" s="477"/>
      <c r="H224" s="477"/>
      <c r="I224" s="478"/>
      <c r="J224" s="477" t="s">
        <v>593</v>
      </c>
      <c r="K224" s="245"/>
      <c r="L224" s="257"/>
      <c r="M224" s="597" t="s">
        <v>270</v>
      </c>
      <c r="N224" s="598"/>
      <c r="O224" s="299"/>
      <c r="P224" s="180"/>
      <c r="Q224" s="180">
        <v>2000000</v>
      </c>
      <c r="R224" s="181">
        <f t="shared" si="78"/>
        <v>1.9603999215840031</v>
      </c>
      <c r="S224" s="181">
        <v>100</v>
      </c>
      <c r="T224" s="180">
        <f t="shared" si="72"/>
        <v>0</v>
      </c>
      <c r="U224" s="180">
        <f t="shared" si="76"/>
        <v>0</v>
      </c>
      <c r="V224" s="182">
        <f t="shared" si="77"/>
        <v>100</v>
      </c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>
        <v>0</v>
      </c>
      <c r="AJ224" s="181">
        <f t="shared" si="73"/>
        <v>0</v>
      </c>
      <c r="AK224" s="180">
        <f t="shared" si="67"/>
        <v>2000000</v>
      </c>
      <c r="AL224" s="181">
        <f t="shared" si="74"/>
        <v>100</v>
      </c>
      <c r="AM224" s="243"/>
    </row>
    <row r="225" spans="1:39" ht="28.5" customHeight="1" x14ac:dyDescent="0.25">
      <c r="A225" s="243"/>
      <c r="B225" s="477"/>
      <c r="C225" s="477"/>
      <c r="D225" s="477"/>
      <c r="E225" s="477"/>
      <c r="F225" s="477"/>
      <c r="G225" s="477"/>
      <c r="H225" s="477"/>
      <c r="I225" s="478"/>
      <c r="J225" s="477" t="s">
        <v>593</v>
      </c>
      <c r="K225" s="245"/>
      <c r="L225" s="257"/>
      <c r="M225" s="597" t="s">
        <v>428</v>
      </c>
      <c r="N225" s="598"/>
      <c r="O225" s="299"/>
      <c r="P225" s="180"/>
      <c r="Q225" s="180">
        <v>1500000</v>
      </c>
      <c r="R225" s="181">
        <f t="shared" si="78"/>
        <v>1.4702999411880022</v>
      </c>
      <c r="S225" s="181">
        <v>100</v>
      </c>
      <c r="T225" s="180">
        <f t="shared" si="72"/>
        <v>50</v>
      </c>
      <c r="U225" s="180">
        <f t="shared" si="76"/>
        <v>0.73514997059400111</v>
      </c>
      <c r="V225" s="182">
        <f t="shared" si="77"/>
        <v>50</v>
      </c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>
        <v>750000</v>
      </c>
      <c r="AJ225" s="181">
        <f t="shared" si="73"/>
        <v>50</v>
      </c>
      <c r="AK225" s="180">
        <f t="shared" si="67"/>
        <v>750000</v>
      </c>
      <c r="AL225" s="181">
        <f t="shared" si="74"/>
        <v>50</v>
      </c>
      <c r="AM225" s="243"/>
    </row>
    <row r="226" spans="1:39" ht="28.5" customHeight="1" x14ac:dyDescent="0.25">
      <c r="A226" s="243"/>
      <c r="B226" s="477"/>
      <c r="C226" s="477"/>
      <c r="D226" s="477"/>
      <c r="E226" s="477"/>
      <c r="F226" s="477"/>
      <c r="G226" s="477"/>
      <c r="H226" s="477"/>
      <c r="I226" s="478"/>
      <c r="J226" s="477" t="s">
        <v>318</v>
      </c>
      <c r="K226" s="245"/>
      <c r="L226" s="257"/>
      <c r="M226" s="597" t="s">
        <v>319</v>
      </c>
      <c r="N226" s="598"/>
      <c r="O226" s="299"/>
      <c r="P226" s="180"/>
      <c r="Q226" s="180">
        <v>22750000</v>
      </c>
      <c r="R226" s="181">
        <f t="shared" si="78"/>
        <v>22.299549108018034</v>
      </c>
      <c r="S226" s="181">
        <v>100</v>
      </c>
      <c r="T226" s="180">
        <f t="shared" si="72"/>
        <v>100</v>
      </c>
      <c r="U226" s="180">
        <f t="shared" si="76"/>
        <v>22.299549108018038</v>
      </c>
      <c r="V226" s="182">
        <f t="shared" si="77"/>
        <v>0</v>
      </c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>
        <v>22750000</v>
      </c>
      <c r="AJ226" s="181">
        <f t="shared" si="73"/>
        <v>100</v>
      </c>
      <c r="AK226" s="180">
        <f t="shared" si="67"/>
        <v>0</v>
      </c>
      <c r="AL226" s="181">
        <f t="shared" si="74"/>
        <v>0</v>
      </c>
      <c r="AM226" s="243"/>
    </row>
    <row r="227" spans="1:39" ht="28.5" customHeight="1" x14ac:dyDescent="0.25">
      <c r="A227" s="243"/>
      <c r="B227" s="477"/>
      <c r="C227" s="477"/>
      <c r="D227" s="477"/>
      <c r="E227" s="477"/>
      <c r="F227" s="477"/>
      <c r="G227" s="477"/>
      <c r="H227" s="477"/>
      <c r="I227" s="478"/>
      <c r="J227" s="477" t="s">
        <v>280</v>
      </c>
      <c r="K227" s="245"/>
      <c r="L227" s="257"/>
      <c r="M227" s="597" t="s">
        <v>425</v>
      </c>
      <c r="N227" s="598"/>
      <c r="O227" s="299"/>
      <c r="P227" s="180"/>
      <c r="Q227" s="180">
        <v>7000000</v>
      </c>
      <c r="R227" s="181">
        <f t="shared" si="78"/>
        <v>6.8613997255440111</v>
      </c>
      <c r="S227" s="181">
        <v>100</v>
      </c>
      <c r="T227" s="180">
        <f t="shared" si="72"/>
        <v>0</v>
      </c>
      <c r="U227" s="180">
        <f t="shared" si="76"/>
        <v>0</v>
      </c>
      <c r="V227" s="182">
        <f t="shared" si="77"/>
        <v>100</v>
      </c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>
        <v>0</v>
      </c>
      <c r="AJ227" s="181">
        <f t="shared" si="73"/>
        <v>0</v>
      </c>
      <c r="AK227" s="180">
        <f t="shared" si="67"/>
        <v>7000000</v>
      </c>
      <c r="AL227" s="181">
        <f t="shared" si="74"/>
        <v>100</v>
      </c>
      <c r="AM227" s="243"/>
    </row>
    <row r="228" spans="1:39" ht="28.5" customHeight="1" x14ac:dyDescent="0.25">
      <c r="A228" s="243"/>
      <c r="B228" s="477"/>
      <c r="C228" s="477"/>
      <c r="D228" s="477"/>
      <c r="E228" s="477"/>
      <c r="F228" s="477"/>
      <c r="G228" s="477"/>
      <c r="H228" s="477"/>
      <c r="I228" s="478"/>
      <c r="J228" s="477" t="s">
        <v>282</v>
      </c>
      <c r="K228" s="245"/>
      <c r="L228" s="257"/>
      <c r="M228" s="597" t="s">
        <v>590</v>
      </c>
      <c r="N228" s="598"/>
      <c r="O228" s="299"/>
      <c r="P228" s="180"/>
      <c r="Q228" s="180">
        <v>27170000</v>
      </c>
      <c r="R228" s="181">
        <f t="shared" si="78"/>
        <v>26.63203293471868</v>
      </c>
      <c r="S228" s="181">
        <v>100</v>
      </c>
      <c r="T228" s="180">
        <f t="shared" si="72"/>
        <v>88.538829591461166</v>
      </c>
      <c r="U228" s="180">
        <f t="shared" si="76"/>
        <v>23.579690256812388</v>
      </c>
      <c r="V228" s="182">
        <f>S228-T228</f>
        <v>11.461170408538834</v>
      </c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>
        <v>24056000</v>
      </c>
      <c r="AJ228" s="181">
        <f t="shared" si="73"/>
        <v>88.538829591461166</v>
      </c>
      <c r="AK228" s="180">
        <f t="shared" si="67"/>
        <v>3114000</v>
      </c>
      <c r="AL228" s="181">
        <f t="shared" si="74"/>
        <v>11.46117040853883</v>
      </c>
      <c r="AM228" s="243"/>
    </row>
    <row r="229" spans="1:39" ht="28.5" customHeight="1" x14ac:dyDescent="0.25">
      <c r="A229" s="243"/>
      <c r="B229" s="477"/>
      <c r="C229" s="477"/>
      <c r="D229" s="477"/>
      <c r="E229" s="477"/>
      <c r="F229" s="477"/>
      <c r="G229" s="477"/>
      <c r="H229" s="477"/>
      <c r="I229" s="478"/>
      <c r="J229" s="477" t="s">
        <v>594</v>
      </c>
      <c r="K229" s="245"/>
      <c r="L229" s="257"/>
      <c r="M229" s="597" t="s">
        <v>591</v>
      </c>
      <c r="N229" s="598"/>
      <c r="O229" s="299"/>
      <c r="P229" s="180"/>
      <c r="Q229" s="180">
        <v>40000000</v>
      </c>
      <c r="R229" s="181">
        <f t="shared" si="78"/>
        <v>39.20799843168006</v>
      </c>
      <c r="S229" s="181">
        <v>100</v>
      </c>
      <c r="T229" s="180">
        <f t="shared" si="72"/>
        <v>0</v>
      </c>
      <c r="U229" s="180">
        <f t="shared" si="76"/>
        <v>0</v>
      </c>
      <c r="V229" s="182">
        <f>S229-T229</f>
        <v>100</v>
      </c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>
        <v>0</v>
      </c>
      <c r="AJ229" s="181">
        <f t="shared" si="73"/>
        <v>0</v>
      </c>
      <c r="AK229" s="180">
        <f t="shared" si="67"/>
        <v>40000000</v>
      </c>
      <c r="AL229" s="181">
        <f t="shared" si="74"/>
        <v>100</v>
      </c>
      <c r="AM229" s="243"/>
    </row>
    <row r="230" spans="1:39" s="297" customFormat="1" ht="24.75" customHeight="1" x14ac:dyDescent="0.25">
      <c r="A230" s="227">
        <f>A222+1</f>
        <v>34</v>
      </c>
      <c r="B230" s="615" t="s">
        <v>144</v>
      </c>
      <c r="C230" s="615"/>
      <c r="D230" s="615"/>
      <c r="E230" s="615"/>
      <c r="F230" s="615"/>
      <c r="G230" s="615"/>
      <c r="H230" s="615"/>
      <c r="I230" s="614"/>
      <c r="J230" s="304" t="s">
        <v>478</v>
      </c>
      <c r="K230" s="230"/>
      <c r="L230" s="294"/>
      <c r="M230" s="615" t="s">
        <v>167</v>
      </c>
      <c r="N230" s="614"/>
      <c r="O230" s="295">
        <v>85915000</v>
      </c>
      <c r="P230" s="231">
        <f>O230</f>
        <v>85915000</v>
      </c>
      <c r="Q230" s="231">
        <f>SUM(Q231:Q240)</f>
        <v>131325000</v>
      </c>
      <c r="R230" s="233">
        <f>Q230/Q$180*100</f>
        <v>9.6697704223171161</v>
      </c>
      <c r="S230" s="233">
        <v>100</v>
      </c>
      <c r="T230" s="231">
        <f t="shared" si="72"/>
        <v>31.962687987816484</v>
      </c>
      <c r="U230" s="231">
        <f>R230*T230/100</f>
        <v>3.090718549223384</v>
      </c>
      <c r="V230" s="296">
        <f t="shared" si="77"/>
        <v>68.03731201218352</v>
      </c>
      <c r="W230" s="231"/>
      <c r="X230" s="231" t="e">
        <f>#REF!</f>
        <v>#REF!</v>
      </c>
      <c r="Y230" s="231" t="e">
        <f>#REF!</f>
        <v>#REF!</v>
      </c>
      <c r="Z230" s="231" t="e">
        <f>#REF!</f>
        <v>#REF!</v>
      </c>
      <c r="AA230" s="231" t="e">
        <f>#REF!</f>
        <v>#REF!</v>
      </c>
      <c r="AB230" s="231">
        <v>0</v>
      </c>
      <c r="AC230" s="231" t="e">
        <f>#REF!</f>
        <v>#REF!</v>
      </c>
      <c r="AD230" s="231" t="e">
        <f>#REF!</f>
        <v>#REF!</v>
      </c>
      <c r="AE230" s="231" t="e">
        <f>#REF!</f>
        <v>#REF!</v>
      </c>
      <c r="AF230" s="231" t="e">
        <f>[1]April!N52</f>
        <v>#REF!</v>
      </c>
      <c r="AG230" s="231" t="e">
        <f>[2]april!N52</f>
        <v>#REF!</v>
      </c>
      <c r="AH230" s="231">
        <f>'[3]DES SKPD'!$N52</f>
        <v>73668000</v>
      </c>
      <c r="AI230" s="231">
        <f>SUM(AI231:AI240)</f>
        <v>41975000</v>
      </c>
      <c r="AJ230" s="233">
        <f t="shared" si="73"/>
        <v>31.962687987816484</v>
      </c>
      <c r="AK230" s="231">
        <f t="shared" si="67"/>
        <v>89350000</v>
      </c>
      <c r="AL230" s="233">
        <f t="shared" si="74"/>
        <v>68.03731201218352</v>
      </c>
      <c r="AM230" s="227"/>
    </row>
    <row r="231" spans="1:39" ht="24.75" customHeight="1" x14ac:dyDescent="0.25">
      <c r="A231" s="243"/>
      <c r="B231" s="477"/>
      <c r="C231" s="477"/>
      <c r="D231" s="477"/>
      <c r="E231" s="477"/>
      <c r="F231" s="477"/>
      <c r="G231" s="477"/>
      <c r="H231" s="477"/>
      <c r="I231" s="478"/>
      <c r="J231" s="477" t="s">
        <v>273</v>
      </c>
      <c r="K231" s="245"/>
      <c r="L231" s="257"/>
      <c r="M231" s="597" t="s">
        <v>322</v>
      </c>
      <c r="N231" s="598"/>
      <c r="O231" s="299"/>
      <c r="P231" s="180"/>
      <c r="Q231" s="180">
        <v>4600000</v>
      </c>
      <c r="R231" s="181">
        <f t="shared" ref="R231:R240" si="79">Q231/Q$230*100</f>
        <v>3.5027603274319441</v>
      </c>
      <c r="S231" s="181">
        <v>100</v>
      </c>
      <c r="T231" s="180">
        <f t="shared" si="72"/>
        <v>0</v>
      </c>
      <c r="U231" s="180">
        <f t="shared" ref="U231:U301" si="80">R231*T231/100</f>
        <v>0</v>
      </c>
      <c r="V231" s="182">
        <f t="shared" si="77"/>
        <v>100</v>
      </c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>
        <v>0</v>
      </c>
      <c r="AJ231" s="181">
        <f t="shared" si="73"/>
        <v>0</v>
      </c>
      <c r="AK231" s="180">
        <f t="shared" si="67"/>
        <v>4600000</v>
      </c>
      <c r="AL231" s="181">
        <f t="shared" si="74"/>
        <v>100</v>
      </c>
      <c r="AM231" s="243"/>
    </row>
    <row r="232" spans="1:39" ht="24.75" customHeight="1" x14ac:dyDescent="0.25">
      <c r="A232" s="243"/>
      <c r="B232" s="477"/>
      <c r="C232" s="477"/>
      <c r="D232" s="477"/>
      <c r="E232" s="477"/>
      <c r="F232" s="477"/>
      <c r="G232" s="477"/>
      <c r="H232" s="477"/>
      <c r="I232" s="478"/>
      <c r="J232" s="477" t="s">
        <v>323</v>
      </c>
      <c r="K232" s="245"/>
      <c r="L232" s="257"/>
      <c r="M232" s="597" t="s">
        <v>324</v>
      </c>
      <c r="N232" s="598"/>
      <c r="O232" s="299"/>
      <c r="P232" s="180"/>
      <c r="Q232" s="180">
        <v>13776000</v>
      </c>
      <c r="R232" s="181">
        <f t="shared" si="79"/>
        <v>10.490005711022272</v>
      </c>
      <c r="S232" s="181">
        <v>100</v>
      </c>
      <c r="T232" s="180">
        <f t="shared" si="72"/>
        <v>0</v>
      </c>
      <c r="U232" s="180">
        <f t="shared" si="80"/>
        <v>0</v>
      </c>
      <c r="V232" s="182">
        <f t="shared" si="77"/>
        <v>100</v>
      </c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>
        <v>0</v>
      </c>
      <c r="AJ232" s="181">
        <f t="shared" si="73"/>
        <v>0</v>
      </c>
      <c r="AK232" s="180">
        <f t="shared" si="67"/>
        <v>13776000</v>
      </c>
      <c r="AL232" s="181">
        <f t="shared" si="74"/>
        <v>100</v>
      </c>
      <c r="AM232" s="243"/>
    </row>
    <row r="233" spans="1:39" ht="24.75" customHeight="1" x14ac:dyDescent="0.25">
      <c r="A233" s="243"/>
      <c r="B233" s="477"/>
      <c r="C233" s="477"/>
      <c r="D233" s="477"/>
      <c r="E233" s="477"/>
      <c r="F233" s="477"/>
      <c r="G233" s="477"/>
      <c r="H233" s="477"/>
      <c r="I233" s="478"/>
      <c r="J233" s="477" t="s">
        <v>269</v>
      </c>
      <c r="K233" s="245"/>
      <c r="L233" s="257"/>
      <c r="M233" s="597" t="s">
        <v>270</v>
      </c>
      <c r="N233" s="598"/>
      <c r="O233" s="299"/>
      <c r="P233" s="180"/>
      <c r="Q233" s="180">
        <v>4000000</v>
      </c>
      <c r="R233" s="181">
        <f t="shared" si="79"/>
        <v>3.0458785455929944</v>
      </c>
      <c r="S233" s="181">
        <v>100</v>
      </c>
      <c r="T233" s="180">
        <f t="shared" si="72"/>
        <v>0</v>
      </c>
      <c r="U233" s="180">
        <f t="shared" si="80"/>
        <v>0</v>
      </c>
      <c r="V233" s="182">
        <f t="shared" si="77"/>
        <v>100</v>
      </c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>
        <v>0</v>
      </c>
      <c r="AJ233" s="181">
        <f t="shared" si="73"/>
        <v>0</v>
      </c>
      <c r="AK233" s="180">
        <f t="shared" si="67"/>
        <v>4000000</v>
      </c>
      <c r="AL233" s="181">
        <f t="shared" si="74"/>
        <v>100</v>
      </c>
      <c r="AM233" s="243"/>
    </row>
    <row r="234" spans="1:39" ht="24.75" customHeight="1" x14ac:dyDescent="0.25">
      <c r="A234" s="243"/>
      <c r="B234" s="477"/>
      <c r="C234" s="477"/>
      <c r="D234" s="477"/>
      <c r="E234" s="477"/>
      <c r="F234" s="477"/>
      <c r="G234" s="477"/>
      <c r="H234" s="477"/>
      <c r="I234" s="478"/>
      <c r="J234" s="477" t="s">
        <v>315</v>
      </c>
      <c r="K234" s="245"/>
      <c r="L234" s="257"/>
      <c r="M234" s="597" t="s">
        <v>271</v>
      </c>
      <c r="N234" s="598"/>
      <c r="O234" s="299"/>
      <c r="P234" s="180"/>
      <c r="Q234" s="180">
        <v>2889000</v>
      </c>
      <c r="R234" s="181">
        <f t="shared" si="79"/>
        <v>2.1998857795545406</v>
      </c>
      <c r="S234" s="181">
        <v>100</v>
      </c>
      <c r="T234" s="180">
        <f t="shared" si="72"/>
        <v>18.172377985462099</v>
      </c>
      <c r="U234" s="180">
        <f t="shared" si="80"/>
        <v>0.39977155910908058</v>
      </c>
      <c r="V234" s="182">
        <f t="shared" si="77"/>
        <v>81.827622014537894</v>
      </c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>
        <v>525000</v>
      </c>
      <c r="AJ234" s="181">
        <f t="shared" si="73"/>
        <v>18.172377985462099</v>
      </c>
      <c r="AK234" s="180">
        <f t="shared" si="67"/>
        <v>2364000</v>
      </c>
      <c r="AL234" s="181">
        <f t="shared" si="74"/>
        <v>81.827622014537909</v>
      </c>
      <c r="AM234" s="243"/>
    </row>
    <row r="235" spans="1:39" ht="24.75" customHeight="1" x14ac:dyDescent="0.25">
      <c r="A235" s="243"/>
      <c r="B235" s="477"/>
      <c r="C235" s="477"/>
      <c r="D235" s="477"/>
      <c r="E235" s="477"/>
      <c r="F235" s="477"/>
      <c r="G235" s="477"/>
      <c r="H235" s="477"/>
      <c r="I235" s="478"/>
      <c r="J235" s="477" t="s">
        <v>328</v>
      </c>
      <c r="K235" s="245"/>
      <c r="L235" s="257"/>
      <c r="M235" s="597" t="s">
        <v>329</v>
      </c>
      <c r="N235" s="598"/>
      <c r="O235" s="299"/>
      <c r="P235" s="180"/>
      <c r="Q235" s="180">
        <v>47750000</v>
      </c>
      <c r="R235" s="181">
        <f t="shared" si="79"/>
        <v>36.360175138016373</v>
      </c>
      <c r="S235" s="181">
        <v>100</v>
      </c>
      <c r="T235" s="180">
        <f t="shared" si="72"/>
        <v>58.638743455497377</v>
      </c>
      <c r="U235" s="180">
        <f t="shared" si="80"/>
        <v>21.321149819150961</v>
      </c>
      <c r="V235" s="182">
        <f t="shared" si="77"/>
        <v>41.361256544502623</v>
      </c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>
        <v>28000000</v>
      </c>
      <c r="AJ235" s="181">
        <f t="shared" si="73"/>
        <v>58.638743455497377</v>
      </c>
      <c r="AK235" s="180">
        <f t="shared" si="67"/>
        <v>19750000</v>
      </c>
      <c r="AL235" s="181">
        <f t="shared" si="74"/>
        <v>41.361256544502616</v>
      </c>
      <c r="AM235" s="243"/>
    </row>
    <row r="236" spans="1:39" ht="24.75" customHeight="1" x14ac:dyDescent="0.25">
      <c r="A236" s="243"/>
      <c r="B236" s="477"/>
      <c r="C236" s="477"/>
      <c r="D236" s="477"/>
      <c r="E236" s="477"/>
      <c r="F236" s="477"/>
      <c r="G236" s="477"/>
      <c r="H236" s="477"/>
      <c r="I236" s="478"/>
      <c r="J236" s="477" t="s">
        <v>280</v>
      </c>
      <c r="K236" s="245"/>
      <c r="L236" s="257"/>
      <c r="M236" s="597" t="s">
        <v>281</v>
      </c>
      <c r="N236" s="598"/>
      <c r="O236" s="299"/>
      <c r="P236" s="180"/>
      <c r="Q236" s="180">
        <v>15750000</v>
      </c>
      <c r="R236" s="181">
        <f t="shared" si="79"/>
        <v>11.993146773272416</v>
      </c>
      <c r="S236" s="181">
        <v>100</v>
      </c>
      <c r="T236" s="180">
        <f t="shared" si="72"/>
        <v>14.285714285714285</v>
      </c>
      <c r="U236" s="180">
        <f t="shared" si="80"/>
        <v>1.7133066818960594</v>
      </c>
      <c r="V236" s="182">
        <f t="shared" si="77"/>
        <v>85.714285714285722</v>
      </c>
      <c r="W236" s="180"/>
      <c r="X236" s="180"/>
      <c r="Y236" s="180"/>
      <c r="Z236" s="180"/>
      <c r="AA236" s="180"/>
      <c r="AB236" s="180"/>
      <c r="AC236" s="180"/>
      <c r="AD236" s="180"/>
      <c r="AE236" s="180"/>
      <c r="AF236" s="180"/>
      <c r="AG236" s="180"/>
      <c r="AH236" s="180"/>
      <c r="AI236" s="180">
        <v>2250000</v>
      </c>
      <c r="AJ236" s="181">
        <f t="shared" si="73"/>
        <v>14.285714285714285</v>
      </c>
      <c r="AK236" s="180">
        <f t="shared" si="67"/>
        <v>13500000</v>
      </c>
      <c r="AL236" s="181">
        <f t="shared" si="74"/>
        <v>85.714285714285708</v>
      </c>
      <c r="AM236" s="243"/>
    </row>
    <row r="237" spans="1:39" ht="24.75" customHeight="1" x14ac:dyDescent="0.25">
      <c r="A237" s="243"/>
      <c r="B237" s="477"/>
      <c r="C237" s="477"/>
      <c r="D237" s="477"/>
      <c r="E237" s="477"/>
      <c r="F237" s="477"/>
      <c r="G237" s="477"/>
      <c r="H237" s="477"/>
      <c r="I237" s="478"/>
      <c r="J237" s="477" t="s">
        <v>284</v>
      </c>
      <c r="K237" s="245"/>
      <c r="L237" s="257"/>
      <c r="M237" s="597" t="s">
        <v>585</v>
      </c>
      <c r="N237" s="598"/>
      <c r="O237" s="299"/>
      <c r="P237" s="180"/>
      <c r="Q237" s="180">
        <v>5550000</v>
      </c>
      <c r="R237" s="181">
        <f t="shared" si="79"/>
        <v>4.2261564820102802</v>
      </c>
      <c r="S237" s="181">
        <v>100</v>
      </c>
      <c r="T237" s="180">
        <f t="shared" si="72"/>
        <v>49.549549549549546</v>
      </c>
      <c r="U237" s="180">
        <f t="shared" si="80"/>
        <v>2.0940415000951837</v>
      </c>
      <c r="V237" s="182">
        <f t="shared" si="77"/>
        <v>50.450450450450454</v>
      </c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>
        <v>2750000</v>
      </c>
      <c r="AJ237" s="181">
        <f t="shared" si="73"/>
        <v>49.549549549549546</v>
      </c>
      <c r="AK237" s="180">
        <f t="shared" si="67"/>
        <v>2800000</v>
      </c>
      <c r="AL237" s="181">
        <f t="shared" si="74"/>
        <v>50.450450450450447</v>
      </c>
      <c r="AM237" s="243"/>
    </row>
    <row r="238" spans="1:39" ht="24.75" customHeight="1" x14ac:dyDescent="0.25">
      <c r="A238" s="243"/>
      <c r="B238" s="477"/>
      <c r="C238" s="477"/>
      <c r="D238" s="477"/>
      <c r="E238" s="477"/>
      <c r="F238" s="477"/>
      <c r="G238" s="477"/>
      <c r="H238" s="477"/>
      <c r="I238" s="478"/>
      <c r="J238" s="477" t="s">
        <v>282</v>
      </c>
      <c r="K238" s="245"/>
      <c r="L238" s="257"/>
      <c r="M238" s="597" t="s">
        <v>503</v>
      </c>
      <c r="N238" s="598"/>
      <c r="O238" s="299"/>
      <c r="P238" s="180"/>
      <c r="Q238" s="180">
        <v>21160000</v>
      </c>
      <c r="R238" s="181">
        <f t="shared" si="79"/>
        <v>16.11269750618694</v>
      </c>
      <c r="S238" s="181">
        <v>100</v>
      </c>
      <c r="T238" s="180">
        <f t="shared" si="72"/>
        <v>0</v>
      </c>
      <c r="U238" s="180">
        <f t="shared" si="80"/>
        <v>0</v>
      </c>
      <c r="V238" s="182">
        <f t="shared" si="77"/>
        <v>100</v>
      </c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180"/>
      <c r="AI238" s="180">
        <v>0</v>
      </c>
      <c r="AJ238" s="181">
        <f t="shared" si="73"/>
        <v>0</v>
      </c>
      <c r="AK238" s="180">
        <f t="shared" si="67"/>
        <v>21160000</v>
      </c>
      <c r="AL238" s="181">
        <f t="shared" si="74"/>
        <v>100</v>
      </c>
      <c r="AM238" s="243"/>
    </row>
    <row r="239" spans="1:39" ht="24.75" customHeight="1" x14ac:dyDescent="0.25">
      <c r="A239" s="243"/>
      <c r="B239" s="477"/>
      <c r="C239" s="477"/>
      <c r="D239" s="477"/>
      <c r="E239" s="477"/>
      <c r="F239" s="477"/>
      <c r="G239" s="477"/>
      <c r="H239" s="477"/>
      <c r="I239" s="478"/>
      <c r="J239" s="477" t="s">
        <v>320</v>
      </c>
      <c r="K239" s="245"/>
      <c r="L239" s="257"/>
      <c r="M239" s="597" t="s">
        <v>321</v>
      </c>
      <c r="N239" s="598"/>
      <c r="O239" s="299"/>
      <c r="P239" s="180"/>
      <c r="Q239" s="180">
        <v>11200000</v>
      </c>
      <c r="R239" s="181">
        <f t="shared" si="79"/>
        <v>8.5284599276603839</v>
      </c>
      <c r="S239" s="181">
        <v>100</v>
      </c>
      <c r="T239" s="180">
        <f t="shared" si="72"/>
        <v>33.928571428571431</v>
      </c>
      <c r="U239" s="180">
        <f t="shared" si="80"/>
        <v>2.8935846183133447</v>
      </c>
      <c r="V239" s="182">
        <f t="shared" si="77"/>
        <v>66.071428571428569</v>
      </c>
      <c r="W239" s="180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80"/>
      <c r="AH239" s="180"/>
      <c r="AI239" s="180">
        <v>3800000</v>
      </c>
      <c r="AJ239" s="181">
        <f t="shared" si="73"/>
        <v>33.928571428571431</v>
      </c>
      <c r="AK239" s="180">
        <f t="shared" si="67"/>
        <v>7400000</v>
      </c>
      <c r="AL239" s="181">
        <f t="shared" si="74"/>
        <v>66.071428571428569</v>
      </c>
      <c r="AM239" s="243"/>
    </row>
    <row r="240" spans="1:39" ht="24.75" customHeight="1" x14ac:dyDescent="0.25">
      <c r="A240" s="243"/>
      <c r="B240" s="477"/>
      <c r="C240" s="477"/>
      <c r="D240" s="477"/>
      <c r="E240" s="477"/>
      <c r="F240" s="477"/>
      <c r="G240" s="477"/>
      <c r="H240" s="477"/>
      <c r="I240" s="478"/>
      <c r="J240" s="477" t="s">
        <v>407</v>
      </c>
      <c r="K240" s="245"/>
      <c r="L240" s="257"/>
      <c r="M240" s="597" t="s">
        <v>595</v>
      </c>
      <c r="N240" s="598"/>
      <c r="O240" s="299"/>
      <c r="P240" s="180"/>
      <c r="Q240" s="180">
        <v>4650000</v>
      </c>
      <c r="R240" s="181">
        <f t="shared" si="79"/>
        <v>3.5408338092518559</v>
      </c>
      <c r="S240" s="181">
        <v>100</v>
      </c>
      <c r="T240" s="180">
        <f t="shared" si="72"/>
        <v>100</v>
      </c>
      <c r="U240" s="180">
        <f t="shared" si="80"/>
        <v>3.5408338092518559</v>
      </c>
      <c r="V240" s="182">
        <f t="shared" si="77"/>
        <v>0</v>
      </c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180"/>
      <c r="AI240" s="180">
        <v>4650000</v>
      </c>
      <c r="AJ240" s="181">
        <f t="shared" si="73"/>
        <v>100</v>
      </c>
      <c r="AK240" s="180">
        <f t="shared" si="67"/>
        <v>0</v>
      </c>
      <c r="AL240" s="181">
        <f t="shared" si="74"/>
        <v>0</v>
      </c>
      <c r="AM240" s="243"/>
    </row>
    <row r="241" spans="1:39" s="297" customFormat="1" ht="24.75" customHeight="1" x14ac:dyDescent="0.25">
      <c r="A241" s="227">
        <f>A230+1</f>
        <v>35</v>
      </c>
      <c r="B241" s="618" t="s">
        <v>144</v>
      </c>
      <c r="C241" s="615"/>
      <c r="D241" s="615"/>
      <c r="E241" s="615"/>
      <c r="F241" s="615"/>
      <c r="G241" s="615"/>
      <c r="H241" s="615"/>
      <c r="I241" s="614"/>
      <c r="J241" s="304" t="s">
        <v>596</v>
      </c>
      <c r="K241" s="230"/>
      <c r="L241" s="294"/>
      <c r="M241" s="615" t="s">
        <v>639</v>
      </c>
      <c r="N241" s="614"/>
      <c r="O241" s="295">
        <v>85915000</v>
      </c>
      <c r="P241" s="231">
        <f>O241</f>
        <v>85915000</v>
      </c>
      <c r="Q241" s="231">
        <f>SUM(Q242:Q247)</f>
        <v>48040000</v>
      </c>
      <c r="R241" s="233">
        <f>Q241/Q$180*100</f>
        <v>3.5372988470444637</v>
      </c>
      <c r="S241" s="233">
        <v>100</v>
      </c>
      <c r="T241" s="231">
        <f>AJ241</f>
        <v>14.571190674437966</v>
      </c>
      <c r="U241" s="231">
        <f>R241*T241/100</f>
        <v>0.51542655972754459</v>
      </c>
      <c r="V241" s="296">
        <f t="shared" si="77"/>
        <v>85.428809325562028</v>
      </c>
      <c r="W241" s="231"/>
      <c r="X241" s="231" t="e">
        <f>#REF!</f>
        <v>#REF!</v>
      </c>
      <c r="Y241" s="231" t="e">
        <f>#REF!</f>
        <v>#REF!</v>
      </c>
      <c r="Z241" s="231" t="e">
        <f>#REF!</f>
        <v>#REF!</v>
      </c>
      <c r="AA241" s="231" t="e">
        <f>#REF!</f>
        <v>#REF!</v>
      </c>
      <c r="AB241" s="231">
        <v>0</v>
      </c>
      <c r="AC241" s="231" t="e">
        <f>#REF!</f>
        <v>#REF!</v>
      </c>
      <c r="AD241" s="231" t="e">
        <f>#REF!</f>
        <v>#REF!</v>
      </c>
      <c r="AE241" s="231" t="e">
        <f>#REF!</f>
        <v>#REF!</v>
      </c>
      <c r="AF241" s="231" t="e">
        <f>[1]April!N63</f>
        <v>#REF!</v>
      </c>
      <c r="AG241" s="231" t="e">
        <f>[2]april!N63</f>
        <v>#REF!</v>
      </c>
      <c r="AH241" s="231">
        <f>'[3]DES SKPD'!$N63</f>
        <v>174573000</v>
      </c>
      <c r="AI241" s="231">
        <f>SUM(AI242:AI247)</f>
        <v>7000000</v>
      </c>
      <c r="AJ241" s="233">
        <f>AI241/Q241*100</f>
        <v>14.571190674437966</v>
      </c>
      <c r="AK241" s="231">
        <f t="shared" si="67"/>
        <v>41040000</v>
      </c>
      <c r="AL241" s="233">
        <f t="shared" si="74"/>
        <v>85.428809325562028</v>
      </c>
      <c r="AM241" s="227"/>
    </row>
    <row r="242" spans="1:39" ht="24.75" customHeight="1" x14ac:dyDescent="0.25">
      <c r="A242" s="243"/>
      <c r="B242" s="477"/>
      <c r="C242" s="477"/>
      <c r="D242" s="477"/>
      <c r="E242" s="477"/>
      <c r="F242" s="477"/>
      <c r="G242" s="477"/>
      <c r="H242" s="477"/>
      <c r="I242" s="478"/>
      <c r="J242" s="477" t="s">
        <v>273</v>
      </c>
      <c r="K242" s="245"/>
      <c r="L242" s="257"/>
      <c r="M242" s="597" t="s">
        <v>322</v>
      </c>
      <c r="N242" s="598"/>
      <c r="O242" s="299"/>
      <c r="P242" s="180"/>
      <c r="Q242" s="180">
        <v>12400000</v>
      </c>
      <c r="R242" s="181">
        <f t="shared" ref="R242:R247" si="81">Q242/Q$230*100</f>
        <v>9.4422234913382841</v>
      </c>
      <c r="S242" s="181">
        <v>100</v>
      </c>
      <c r="T242" s="180">
        <f t="shared" ref="T242:T247" si="82">AJ242</f>
        <v>0</v>
      </c>
      <c r="U242" s="180">
        <f t="shared" ref="U242:U247" si="83">R242*T242/100</f>
        <v>0</v>
      </c>
      <c r="V242" s="182">
        <f t="shared" si="77"/>
        <v>100</v>
      </c>
      <c r="W242" s="180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180"/>
      <c r="AI242" s="180">
        <v>0</v>
      </c>
      <c r="AJ242" s="181">
        <f t="shared" ref="AJ242:AJ247" si="84">AI242/Q242*100</f>
        <v>0</v>
      </c>
      <c r="AK242" s="180">
        <f t="shared" si="67"/>
        <v>12400000</v>
      </c>
      <c r="AL242" s="181">
        <f t="shared" si="74"/>
        <v>100</v>
      </c>
      <c r="AM242" s="243"/>
    </row>
    <row r="243" spans="1:39" ht="24.75" customHeight="1" x14ac:dyDescent="0.25">
      <c r="A243" s="243"/>
      <c r="B243" s="477"/>
      <c r="C243" s="477"/>
      <c r="D243" s="477"/>
      <c r="E243" s="477"/>
      <c r="F243" s="477"/>
      <c r="G243" s="477"/>
      <c r="H243" s="477"/>
      <c r="I243" s="478"/>
      <c r="J243" s="477" t="s">
        <v>315</v>
      </c>
      <c r="K243" s="245"/>
      <c r="L243" s="257"/>
      <c r="M243" s="597" t="s">
        <v>599</v>
      </c>
      <c r="N243" s="598"/>
      <c r="O243" s="299"/>
      <c r="P243" s="180"/>
      <c r="Q243" s="180">
        <v>1000000</v>
      </c>
      <c r="R243" s="181">
        <f t="shared" si="81"/>
        <v>0.76146963639824861</v>
      </c>
      <c r="S243" s="181">
        <v>100</v>
      </c>
      <c r="T243" s="180">
        <f t="shared" si="82"/>
        <v>0</v>
      </c>
      <c r="U243" s="180">
        <f t="shared" si="83"/>
        <v>0</v>
      </c>
      <c r="V243" s="182">
        <f t="shared" si="77"/>
        <v>100</v>
      </c>
      <c r="W243" s="180"/>
      <c r="X243" s="180"/>
      <c r="Y243" s="180"/>
      <c r="Z243" s="180"/>
      <c r="AA243" s="180"/>
      <c r="AB243" s="180"/>
      <c r="AC243" s="180"/>
      <c r="AD243" s="180"/>
      <c r="AE243" s="180"/>
      <c r="AF243" s="180"/>
      <c r="AG243" s="180"/>
      <c r="AH243" s="180"/>
      <c r="AI243" s="180">
        <v>0</v>
      </c>
      <c r="AJ243" s="181">
        <f t="shared" si="84"/>
        <v>0</v>
      </c>
      <c r="AK243" s="180">
        <f t="shared" si="67"/>
        <v>1000000</v>
      </c>
      <c r="AL243" s="181">
        <f t="shared" si="74"/>
        <v>100</v>
      </c>
      <c r="AM243" s="243"/>
    </row>
    <row r="244" spans="1:39" ht="24.75" customHeight="1" x14ac:dyDescent="0.25">
      <c r="A244" s="243"/>
      <c r="B244" s="477"/>
      <c r="C244" s="477"/>
      <c r="D244" s="477"/>
      <c r="E244" s="477"/>
      <c r="F244" s="477"/>
      <c r="G244" s="477"/>
      <c r="H244" s="477"/>
      <c r="I244" s="478"/>
      <c r="J244" s="477" t="s">
        <v>318</v>
      </c>
      <c r="K244" s="245"/>
      <c r="L244" s="257"/>
      <c r="M244" s="597" t="s">
        <v>319</v>
      </c>
      <c r="N244" s="598"/>
      <c r="O244" s="299"/>
      <c r="P244" s="180"/>
      <c r="Q244" s="180">
        <v>14000000</v>
      </c>
      <c r="R244" s="181">
        <f t="shared" si="81"/>
        <v>10.66057490957548</v>
      </c>
      <c r="S244" s="181">
        <v>100</v>
      </c>
      <c r="T244" s="180">
        <f t="shared" si="82"/>
        <v>0</v>
      </c>
      <c r="U244" s="180">
        <f>R244*T244/100</f>
        <v>0</v>
      </c>
      <c r="V244" s="182">
        <f t="shared" si="77"/>
        <v>100</v>
      </c>
      <c r="W244" s="180"/>
      <c r="X244" s="180"/>
      <c r="Y244" s="180"/>
      <c r="Z244" s="180"/>
      <c r="AA244" s="180"/>
      <c r="AB244" s="180"/>
      <c r="AC244" s="180"/>
      <c r="AD244" s="180"/>
      <c r="AE244" s="180"/>
      <c r="AF244" s="180"/>
      <c r="AG244" s="180"/>
      <c r="AH244" s="180"/>
      <c r="AI244" s="180">
        <v>0</v>
      </c>
      <c r="AJ244" s="181">
        <f t="shared" si="84"/>
        <v>0</v>
      </c>
      <c r="AK244" s="180">
        <f t="shared" si="67"/>
        <v>14000000</v>
      </c>
      <c r="AL244" s="181">
        <f t="shared" si="74"/>
        <v>100</v>
      </c>
      <c r="AM244" s="243"/>
    </row>
    <row r="245" spans="1:39" ht="24.75" customHeight="1" x14ac:dyDescent="0.25">
      <c r="A245" s="243"/>
      <c r="B245" s="477"/>
      <c r="C245" s="477"/>
      <c r="D245" s="477"/>
      <c r="E245" s="477"/>
      <c r="F245" s="477"/>
      <c r="G245" s="477"/>
      <c r="H245" s="477"/>
      <c r="I245" s="478"/>
      <c r="J245" s="477" t="s">
        <v>537</v>
      </c>
      <c r="K245" s="245"/>
      <c r="L245" s="257"/>
      <c r="M245" s="597" t="s">
        <v>600</v>
      </c>
      <c r="N245" s="598"/>
      <c r="O245" s="299"/>
      <c r="P245" s="180"/>
      <c r="Q245" s="180">
        <v>2640000</v>
      </c>
      <c r="R245" s="181">
        <f t="shared" si="81"/>
        <v>2.0102798400913762</v>
      </c>
      <c r="S245" s="181">
        <v>100</v>
      </c>
      <c r="T245" s="180">
        <f t="shared" si="82"/>
        <v>0</v>
      </c>
      <c r="U245" s="180">
        <f t="shared" si="83"/>
        <v>0</v>
      </c>
      <c r="V245" s="182">
        <f t="shared" si="77"/>
        <v>100</v>
      </c>
      <c r="W245" s="180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180"/>
      <c r="AI245" s="180">
        <v>0</v>
      </c>
      <c r="AJ245" s="181">
        <f t="shared" si="84"/>
        <v>0</v>
      </c>
      <c r="AK245" s="180">
        <f t="shared" si="67"/>
        <v>2640000</v>
      </c>
      <c r="AL245" s="181">
        <f t="shared" si="74"/>
        <v>100</v>
      </c>
      <c r="AM245" s="243"/>
    </row>
    <row r="246" spans="1:39" ht="24.75" customHeight="1" x14ac:dyDescent="0.25">
      <c r="A246" s="243"/>
      <c r="B246" s="477"/>
      <c r="C246" s="477"/>
      <c r="D246" s="477"/>
      <c r="E246" s="477"/>
      <c r="F246" s="477"/>
      <c r="G246" s="477"/>
      <c r="H246" s="477"/>
      <c r="I246" s="478"/>
      <c r="J246" s="477" t="s">
        <v>320</v>
      </c>
      <c r="K246" s="245"/>
      <c r="L246" s="257"/>
      <c r="M246" s="597" t="s">
        <v>321</v>
      </c>
      <c r="N246" s="598"/>
      <c r="O246" s="299"/>
      <c r="P246" s="180"/>
      <c r="Q246" s="180">
        <v>6000000</v>
      </c>
      <c r="R246" s="181">
        <f t="shared" si="81"/>
        <v>4.5688178183894914</v>
      </c>
      <c r="S246" s="181">
        <v>100</v>
      </c>
      <c r="T246" s="180">
        <f t="shared" si="82"/>
        <v>0</v>
      </c>
      <c r="U246" s="180">
        <f t="shared" si="83"/>
        <v>0</v>
      </c>
      <c r="V246" s="182">
        <f t="shared" si="77"/>
        <v>100</v>
      </c>
      <c r="W246" s="180"/>
      <c r="X246" s="180"/>
      <c r="Y246" s="180"/>
      <c r="Z246" s="180"/>
      <c r="AA246" s="180"/>
      <c r="AB246" s="180"/>
      <c r="AC246" s="180"/>
      <c r="AD246" s="180"/>
      <c r="AE246" s="180"/>
      <c r="AF246" s="180"/>
      <c r="AG246" s="180"/>
      <c r="AH246" s="180"/>
      <c r="AI246" s="180">
        <v>0</v>
      </c>
      <c r="AJ246" s="181">
        <f t="shared" si="84"/>
        <v>0</v>
      </c>
      <c r="AK246" s="180">
        <f t="shared" ref="AK246:AK247" si="85">Q246-AI246</f>
        <v>6000000</v>
      </c>
      <c r="AL246" s="181">
        <f t="shared" si="74"/>
        <v>100</v>
      </c>
      <c r="AM246" s="243"/>
    </row>
    <row r="247" spans="1:39" ht="24.75" customHeight="1" x14ac:dyDescent="0.25">
      <c r="A247" s="243"/>
      <c r="B247" s="477"/>
      <c r="C247" s="477"/>
      <c r="D247" s="477"/>
      <c r="E247" s="477"/>
      <c r="F247" s="477"/>
      <c r="G247" s="477"/>
      <c r="H247" s="477"/>
      <c r="I247" s="478"/>
      <c r="J247" s="477" t="s">
        <v>598</v>
      </c>
      <c r="K247" s="245"/>
      <c r="L247" s="257"/>
      <c r="M247" s="621" t="s">
        <v>550</v>
      </c>
      <c r="N247" s="622"/>
      <c r="O247" s="299"/>
      <c r="P247" s="180"/>
      <c r="Q247" s="180">
        <v>12000000</v>
      </c>
      <c r="R247" s="181">
        <f t="shared" si="81"/>
        <v>9.1376356367789828</v>
      </c>
      <c r="S247" s="181">
        <v>100</v>
      </c>
      <c r="T247" s="180">
        <f t="shared" si="82"/>
        <v>58.333333333333336</v>
      </c>
      <c r="U247" s="180">
        <f t="shared" si="83"/>
        <v>5.3302874547877401</v>
      </c>
      <c r="V247" s="182">
        <f t="shared" si="77"/>
        <v>41.666666666666664</v>
      </c>
      <c r="W247" s="180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>
        <f>3000000+1000000+1000000+1000000+1000000</f>
        <v>7000000</v>
      </c>
      <c r="AJ247" s="181">
        <f t="shared" si="84"/>
        <v>58.333333333333336</v>
      </c>
      <c r="AK247" s="180">
        <f t="shared" si="85"/>
        <v>5000000</v>
      </c>
      <c r="AL247" s="181">
        <f t="shared" si="74"/>
        <v>41.666666666666671</v>
      </c>
      <c r="AM247" s="243"/>
    </row>
    <row r="248" spans="1:39" s="226" customFormat="1" ht="45.75" customHeight="1" x14ac:dyDescent="0.25">
      <c r="A248" s="289" t="s">
        <v>38</v>
      </c>
      <c r="B248" s="607" t="s">
        <v>145</v>
      </c>
      <c r="C248" s="607"/>
      <c r="D248" s="607"/>
      <c r="E248" s="607"/>
      <c r="F248" s="607"/>
      <c r="G248" s="607"/>
      <c r="H248" s="607"/>
      <c r="I248" s="608"/>
      <c r="J248" s="483" t="s">
        <v>473</v>
      </c>
      <c r="K248" s="291"/>
      <c r="L248" s="607" t="s">
        <v>39</v>
      </c>
      <c r="M248" s="607"/>
      <c r="N248" s="608"/>
      <c r="O248" s="263" t="e">
        <f>SUM(O249:O680)</f>
        <v>#REF!</v>
      </c>
      <c r="P248" s="263" t="e">
        <f>SUM(P249:P680)</f>
        <v>#REF!</v>
      </c>
      <c r="Q248" s="263">
        <f>SUM(Q249+Q264+Q275+Q287+Q297+Q309+Q317+Q325+Q332+Q339+Q350+Q356+Q364+Q377+Q387+Q400+Q408+Q422+Q425+Q436+Q447+Q457+Q466+Q476+Q483+Q490+Q495+Q504+Q511+Q523+Q530+Q542+Q553+Q562+Q572+Q585+Q594+Q608+Q618+Q627+Q637+Q644+Q659+Q673)</f>
        <v>11927844735</v>
      </c>
      <c r="R248" s="222">
        <f>Q248/Q$35*100</f>
        <v>37.525168166976002</v>
      </c>
      <c r="S248" s="222">
        <f>S249</f>
        <v>100</v>
      </c>
      <c r="T248" s="263">
        <f>AJ248</f>
        <v>43.406873345757049</v>
      </c>
      <c r="U248" s="308">
        <f t="shared" si="80"/>
        <v>16.288502219021616</v>
      </c>
      <c r="V248" s="292">
        <f t="shared" si="77"/>
        <v>56.593126654242951</v>
      </c>
      <c r="W248" s="263">
        <f t="shared" ref="W248:AH248" si="86">SUM(W249:W680)</f>
        <v>0</v>
      </c>
      <c r="X248" s="263" t="e">
        <f t="shared" si="86"/>
        <v>#REF!</v>
      </c>
      <c r="Y248" s="263" t="e">
        <f t="shared" si="86"/>
        <v>#REF!</v>
      </c>
      <c r="Z248" s="263" t="e">
        <f t="shared" si="86"/>
        <v>#REF!</v>
      </c>
      <c r="AA248" s="263" t="e">
        <f t="shared" si="86"/>
        <v>#REF!</v>
      </c>
      <c r="AB248" s="263">
        <f t="shared" si="86"/>
        <v>4302660235</v>
      </c>
      <c r="AC248" s="263" t="e">
        <f t="shared" si="86"/>
        <v>#REF!</v>
      </c>
      <c r="AD248" s="263" t="e">
        <f t="shared" si="86"/>
        <v>#REF!</v>
      </c>
      <c r="AE248" s="263" t="e">
        <f t="shared" si="86"/>
        <v>#REF!</v>
      </c>
      <c r="AF248" s="263" t="e">
        <f t="shared" si="86"/>
        <v>#REF!</v>
      </c>
      <c r="AG248" s="263" t="e">
        <f t="shared" si="86"/>
        <v>#REF!</v>
      </c>
      <c r="AH248" s="263" t="e">
        <f t="shared" si="86"/>
        <v>#REF!</v>
      </c>
      <c r="AI248" s="263">
        <f>SUM(AI249+AI264+AI275+AI287+AI297+AI309+AI317+AI325+AI332+AI339+AI350+AI356+AI364+AI377+AI387+AI400+AI408+AI422+AI425+AI436+AI447+AI457+AI466+AI476+AI483+AI490+AI495+AI504+AI511+AI523+AI530+AI542+AI553+AI562+AI572+AI585+AI594+AI608+AI618+AI627+AI637+AI644+AI659+AI673)</f>
        <v>5177504457</v>
      </c>
      <c r="AJ248" s="222">
        <f>AI248/Q248*100</f>
        <v>43.406873345757049</v>
      </c>
      <c r="AK248" s="263">
        <f>SUM(Q248-AI248)</f>
        <v>6750340278</v>
      </c>
      <c r="AL248" s="222">
        <f t="shared" si="74"/>
        <v>56.593126654242951</v>
      </c>
      <c r="AM248" s="289"/>
    </row>
    <row r="249" spans="1:39" s="297" customFormat="1" ht="24.75" customHeight="1" x14ac:dyDescent="0.25">
      <c r="A249" s="227">
        <f>A241+1</f>
        <v>36</v>
      </c>
      <c r="B249" s="615" t="s">
        <v>146</v>
      </c>
      <c r="C249" s="615"/>
      <c r="D249" s="615"/>
      <c r="E249" s="615"/>
      <c r="F249" s="615"/>
      <c r="G249" s="615"/>
      <c r="H249" s="615"/>
      <c r="I249" s="614"/>
      <c r="J249" s="304" t="s">
        <v>479</v>
      </c>
      <c r="K249" s="230"/>
      <c r="L249" s="294"/>
      <c r="M249" s="609" t="s">
        <v>40</v>
      </c>
      <c r="N249" s="609"/>
      <c r="O249" s="309">
        <v>628725000</v>
      </c>
      <c r="P249" s="231">
        <f>O249</f>
        <v>628725000</v>
      </c>
      <c r="Q249" s="231">
        <f>SUM(Q250:Q263)</f>
        <v>462073720</v>
      </c>
      <c r="R249" s="233">
        <f>Q249/Q$248*100</f>
        <v>3.8739079042849394</v>
      </c>
      <c r="S249" s="233">
        <v>100</v>
      </c>
      <c r="T249" s="231">
        <f t="shared" si="72"/>
        <v>69.688273983640542</v>
      </c>
      <c r="U249" s="231">
        <f t="shared" si="80"/>
        <v>2.6996595542119959</v>
      </c>
      <c r="V249" s="296">
        <f t="shared" si="77"/>
        <v>30.311726016359458</v>
      </c>
      <c r="W249" s="231"/>
      <c r="X249" s="231" t="e">
        <f>#REF!</f>
        <v>#REF!</v>
      </c>
      <c r="Y249" s="231" t="e">
        <f>#REF!</f>
        <v>#REF!</v>
      </c>
      <c r="Z249" s="231" t="e">
        <f>#REF!</f>
        <v>#REF!</v>
      </c>
      <c r="AA249" s="231" t="e">
        <f>#REF!</f>
        <v>#REF!</v>
      </c>
      <c r="AB249" s="231">
        <v>391775000</v>
      </c>
      <c r="AC249" s="231" t="e">
        <f>#REF!</f>
        <v>#REF!</v>
      </c>
      <c r="AD249" s="231" t="e">
        <f>#REF!</f>
        <v>#REF!</v>
      </c>
      <c r="AE249" s="231" t="e">
        <f>#REF!</f>
        <v>#REF!</v>
      </c>
      <c r="AF249" s="231" t="e">
        <f>[1]April!N54</f>
        <v>#REF!</v>
      </c>
      <c r="AG249" s="231" t="e">
        <f>[2]april!N54</f>
        <v>#REF!</v>
      </c>
      <c r="AH249" s="231">
        <f>'[3]DES SKPD'!$N54</f>
        <v>508172500</v>
      </c>
      <c r="AI249" s="231">
        <f>SUM(AI250:AI263)</f>
        <v>322011200</v>
      </c>
      <c r="AJ249" s="233">
        <f t="shared" si="73"/>
        <v>69.688273983640542</v>
      </c>
      <c r="AK249" s="231">
        <f t="shared" ref="AK249:AK312" si="87">Q249-AI249</f>
        <v>140062520</v>
      </c>
      <c r="AL249" s="233">
        <f t="shared" si="74"/>
        <v>30.311726016359469</v>
      </c>
      <c r="AM249" s="227"/>
    </row>
    <row r="250" spans="1:39" ht="28.5" customHeight="1" x14ac:dyDescent="0.25">
      <c r="A250" s="243"/>
      <c r="B250" s="477"/>
      <c r="C250" s="477"/>
      <c r="D250" s="477"/>
      <c r="E250" s="477"/>
      <c r="F250" s="477"/>
      <c r="G250" s="477"/>
      <c r="H250" s="477"/>
      <c r="I250" s="478"/>
      <c r="J250" s="477" t="s">
        <v>259</v>
      </c>
      <c r="K250" s="245"/>
      <c r="L250" s="257"/>
      <c r="M250" s="591" t="s">
        <v>260</v>
      </c>
      <c r="N250" s="592"/>
      <c r="O250" s="179"/>
      <c r="P250" s="180"/>
      <c r="Q250" s="180">
        <v>3080000</v>
      </c>
      <c r="R250" s="181">
        <f t="shared" ref="R250:R261" si="88">Q250/Q$249*100</f>
        <v>0.66656030557202006</v>
      </c>
      <c r="S250" s="181">
        <v>100</v>
      </c>
      <c r="T250" s="180">
        <f>AJ250</f>
        <v>48.701298701298704</v>
      </c>
      <c r="U250" s="180">
        <f t="shared" si="80"/>
        <v>0.32462352544091888</v>
      </c>
      <c r="V250" s="182">
        <f t="shared" si="77"/>
        <v>51.298701298701296</v>
      </c>
      <c r="W250" s="180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180"/>
      <c r="AI250" s="180">
        <f>750000+750000</f>
        <v>1500000</v>
      </c>
      <c r="AJ250" s="181">
        <f t="shared" si="73"/>
        <v>48.701298701298704</v>
      </c>
      <c r="AK250" s="180">
        <f t="shared" si="87"/>
        <v>1580000</v>
      </c>
      <c r="AL250" s="181">
        <f t="shared" si="74"/>
        <v>51.298701298701296</v>
      </c>
      <c r="AM250" s="243"/>
    </row>
    <row r="251" spans="1:39" ht="24.75" customHeight="1" x14ac:dyDescent="0.25">
      <c r="A251" s="243"/>
      <c r="B251" s="477"/>
      <c r="C251" s="477"/>
      <c r="D251" s="477"/>
      <c r="E251" s="477"/>
      <c r="F251" s="477"/>
      <c r="G251" s="477"/>
      <c r="H251" s="477"/>
      <c r="I251" s="478"/>
      <c r="J251" s="477" t="s">
        <v>326</v>
      </c>
      <c r="K251" s="245"/>
      <c r="L251" s="257"/>
      <c r="M251" s="591" t="s">
        <v>327</v>
      </c>
      <c r="N251" s="592"/>
      <c r="O251" s="179"/>
      <c r="P251" s="180"/>
      <c r="Q251" s="180">
        <v>128800000</v>
      </c>
      <c r="R251" s="181">
        <f t="shared" si="88"/>
        <v>27.874340051193563</v>
      </c>
      <c r="S251" s="181">
        <v>100</v>
      </c>
      <c r="T251" s="180">
        <f t="shared" si="72"/>
        <v>75</v>
      </c>
      <c r="U251" s="180">
        <f t="shared" si="80"/>
        <v>20.905755038395174</v>
      </c>
      <c r="V251" s="182">
        <f t="shared" si="77"/>
        <v>25</v>
      </c>
      <c r="W251" s="180"/>
      <c r="X251" s="180"/>
      <c r="Y251" s="180"/>
      <c r="Z251" s="180"/>
      <c r="AA251" s="180"/>
      <c r="AB251" s="180"/>
      <c r="AC251" s="180"/>
      <c r="AD251" s="180"/>
      <c r="AE251" s="180"/>
      <c r="AF251" s="180"/>
      <c r="AG251" s="180"/>
      <c r="AH251" s="180"/>
      <c r="AI251" s="180">
        <f>64400000+32200000</f>
        <v>96600000</v>
      </c>
      <c r="AJ251" s="181">
        <f t="shared" si="73"/>
        <v>75</v>
      </c>
      <c r="AK251" s="180">
        <f t="shared" si="87"/>
        <v>32200000</v>
      </c>
      <c r="AL251" s="181">
        <f t="shared" si="74"/>
        <v>25</v>
      </c>
      <c r="AM251" s="243"/>
    </row>
    <row r="252" spans="1:39" ht="24.75" customHeight="1" x14ac:dyDescent="0.25">
      <c r="A252" s="243"/>
      <c r="B252" s="477"/>
      <c r="C252" s="477"/>
      <c r="D252" s="477"/>
      <c r="E252" s="477"/>
      <c r="F252" s="477"/>
      <c r="G252" s="477"/>
      <c r="H252" s="477"/>
      <c r="I252" s="478"/>
      <c r="J252" s="477" t="s">
        <v>323</v>
      </c>
      <c r="K252" s="245"/>
      <c r="L252" s="257"/>
      <c r="M252" s="591" t="s">
        <v>324</v>
      </c>
      <c r="N252" s="592"/>
      <c r="O252" s="179"/>
      <c r="P252" s="180"/>
      <c r="Q252" s="180">
        <v>3000000</v>
      </c>
      <c r="R252" s="181">
        <f t="shared" si="88"/>
        <v>0.64924705088183765</v>
      </c>
      <c r="S252" s="181">
        <v>100</v>
      </c>
      <c r="T252" s="180">
        <f t="shared" si="72"/>
        <v>57.199999999999996</v>
      </c>
      <c r="U252" s="180">
        <f t="shared" si="80"/>
        <v>0.37136931310441113</v>
      </c>
      <c r="V252" s="182">
        <f t="shared" si="77"/>
        <v>42.800000000000004</v>
      </c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180"/>
      <c r="AI252" s="180">
        <v>1716000</v>
      </c>
      <c r="AJ252" s="181">
        <f t="shared" si="73"/>
        <v>57.199999999999996</v>
      </c>
      <c r="AK252" s="180">
        <f t="shared" si="87"/>
        <v>1284000</v>
      </c>
      <c r="AL252" s="181">
        <f t="shared" si="74"/>
        <v>42.8</v>
      </c>
      <c r="AM252" s="243"/>
    </row>
    <row r="253" spans="1:39" ht="24.75" customHeight="1" x14ac:dyDescent="0.25">
      <c r="A253" s="243"/>
      <c r="B253" s="477"/>
      <c r="C253" s="477"/>
      <c r="D253" s="477"/>
      <c r="E253" s="477"/>
      <c r="F253" s="477"/>
      <c r="G253" s="477"/>
      <c r="H253" s="477"/>
      <c r="I253" s="478"/>
      <c r="J253" s="477" t="s">
        <v>269</v>
      </c>
      <c r="K253" s="245"/>
      <c r="L253" s="257"/>
      <c r="M253" s="591" t="s">
        <v>270</v>
      </c>
      <c r="N253" s="592"/>
      <c r="O253" s="179"/>
      <c r="P253" s="180"/>
      <c r="Q253" s="180">
        <v>52000000</v>
      </c>
      <c r="R253" s="181">
        <f t="shared" si="88"/>
        <v>11.253615548618519</v>
      </c>
      <c r="S253" s="181">
        <v>100</v>
      </c>
      <c r="T253" s="180">
        <f t="shared" si="72"/>
        <v>100</v>
      </c>
      <c r="U253" s="180">
        <f t="shared" si="80"/>
        <v>11.253615548618519</v>
      </c>
      <c r="V253" s="182">
        <f t="shared" si="77"/>
        <v>0</v>
      </c>
      <c r="W253" s="180"/>
      <c r="X253" s="180"/>
      <c r="Y253" s="180"/>
      <c r="Z253" s="180"/>
      <c r="AA253" s="180"/>
      <c r="AB253" s="180"/>
      <c r="AC253" s="180"/>
      <c r="AD253" s="180"/>
      <c r="AE253" s="180"/>
      <c r="AF253" s="180"/>
      <c r="AG253" s="180"/>
      <c r="AH253" s="180"/>
      <c r="AI253" s="180">
        <f>5000000+47000000</f>
        <v>52000000</v>
      </c>
      <c r="AJ253" s="181">
        <f t="shared" si="73"/>
        <v>100</v>
      </c>
      <c r="AK253" s="180">
        <f t="shared" si="87"/>
        <v>0</v>
      </c>
      <c r="AL253" s="181">
        <f t="shared" si="74"/>
        <v>0</v>
      </c>
      <c r="AM253" s="243"/>
    </row>
    <row r="254" spans="1:39" ht="24.75" customHeight="1" x14ac:dyDescent="0.25">
      <c r="A254" s="243"/>
      <c r="B254" s="477"/>
      <c r="C254" s="477"/>
      <c r="D254" s="477"/>
      <c r="E254" s="477"/>
      <c r="F254" s="477"/>
      <c r="G254" s="477"/>
      <c r="H254" s="477"/>
      <c r="I254" s="478"/>
      <c r="J254" s="477" t="s">
        <v>315</v>
      </c>
      <c r="K254" s="245"/>
      <c r="L254" s="257"/>
      <c r="M254" s="591" t="s">
        <v>271</v>
      </c>
      <c r="N254" s="592"/>
      <c r="O254" s="179"/>
      <c r="P254" s="180"/>
      <c r="Q254" s="180">
        <v>4000000</v>
      </c>
      <c r="R254" s="181">
        <f t="shared" si="88"/>
        <v>0.8656627345091169</v>
      </c>
      <c r="S254" s="181">
        <v>100</v>
      </c>
      <c r="T254" s="180">
        <f t="shared" si="72"/>
        <v>100</v>
      </c>
      <c r="U254" s="180">
        <f t="shared" si="80"/>
        <v>0.8656627345091169</v>
      </c>
      <c r="V254" s="182">
        <f t="shared" si="77"/>
        <v>0</v>
      </c>
      <c r="W254" s="180"/>
      <c r="X254" s="180"/>
      <c r="Y254" s="180"/>
      <c r="Z254" s="180"/>
      <c r="AA254" s="180"/>
      <c r="AB254" s="180"/>
      <c r="AC254" s="180"/>
      <c r="AD254" s="180"/>
      <c r="AE254" s="180"/>
      <c r="AF254" s="180"/>
      <c r="AG254" s="180"/>
      <c r="AH254" s="180"/>
      <c r="AI254" s="180">
        <f>2000000+2000000</f>
        <v>4000000</v>
      </c>
      <c r="AJ254" s="181">
        <f t="shared" si="73"/>
        <v>100</v>
      </c>
      <c r="AK254" s="180">
        <f t="shared" si="87"/>
        <v>0</v>
      </c>
      <c r="AL254" s="181">
        <f t="shared" si="74"/>
        <v>0</v>
      </c>
      <c r="AM254" s="243"/>
    </row>
    <row r="255" spans="1:39" ht="24.75" customHeight="1" x14ac:dyDescent="0.25">
      <c r="A255" s="243"/>
      <c r="B255" s="477"/>
      <c r="C255" s="477"/>
      <c r="D255" s="477"/>
      <c r="E255" s="477"/>
      <c r="F255" s="477"/>
      <c r="G255" s="477"/>
      <c r="H255" s="477"/>
      <c r="I255" s="478"/>
      <c r="J255" s="477" t="s">
        <v>328</v>
      </c>
      <c r="K255" s="245"/>
      <c r="L255" s="257"/>
      <c r="M255" s="591" t="s">
        <v>329</v>
      </c>
      <c r="N255" s="592"/>
      <c r="O255" s="179"/>
      <c r="P255" s="180"/>
      <c r="Q255" s="180">
        <v>20000000</v>
      </c>
      <c r="R255" s="181">
        <f t="shared" si="88"/>
        <v>4.3283136725455842</v>
      </c>
      <c r="S255" s="181">
        <v>100</v>
      </c>
      <c r="T255" s="180">
        <f t="shared" si="72"/>
        <v>50</v>
      </c>
      <c r="U255" s="180">
        <f t="shared" si="80"/>
        <v>2.1641568362727921</v>
      </c>
      <c r="V255" s="182">
        <f t="shared" si="77"/>
        <v>50</v>
      </c>
      <c r="W255" s="180"/>
      <c r="X255" s="180"/>
      <c r="Y255" s="180"/>
      <c r="Z255" s="180"/>
      <c r="AA255" s="180"/>
      <c r="AB255" s="180"/>
      <c r="AC255" s="180"/>
      <c r="AD255" s="180"/>
      <c r="AE255" s="180"/>
      <c r="AF255" s="180"/>
      <c r="AG255" s="180"/>
      <c r="AH255" s="180"/>
      <c r="AI255" s="180">
        <v>10000000</v>
      </c>
      <c r="AJ255" s="181">
        <f t="shared" si="73"/>
        <v>50</v>
      </c>
      <c r="AK255" s="180">
        <f t="shared" si="87"/>
        <v>10000000</v>
      </c>
      <c r="AL255" s="181">
        <f t="shared" si="74"/>
        <v>50</v>
      </c>
      <c r="AM255" s="243"/>
    </row>
    <row r="256" spans="1:39" ht="31.5" customHeight="1" x14ac:dyDescent="0.25">
      <c r="A256" s="243"/>
      <c r="B256" s="477"/>
      <c r="C256" s="477"/>
      <c r="D256" s="477"/>
      <c r="E256" s="477"/>
      <c r="F256" s="477"/>
      <c r="G256" s="477"/>
      <c r="H256" s="477"/>
      <c r="I256" s="478"/>
      <c r="J256" s="477" t="s">
        <v>318</v>
      </c>
      <c r="K256" s="245"/>
      <c r="L256" s="257"/>
      <c r="M256" s="591" t="s">
        <v>319</v>
      </c>
      <c r="N256" s="592"/>
      <c r="O256" s="179"/>
      <c r="P256" s="180"/>
      <c r="Q256" s="180">
        <v>61500000</v>
      </c>
      <c r="R256" s="181">
        <f t="shared" si="88"/>
        <v>13.30956454307767</v>
      </c>
      <c r="S256" s="181">
        <v>100</v>
      </c>
      <c r="T256" s="180">
        <f t="shared" si="72"/>
        <v>99.512195121951223</v>
      </c>
      <c r="U256" s="180">
        <f t="shared" si="80"/>
        <v>13.244639837989487</v>
      </c>
      <c r="V256" s="182">
        <f t="shared" si="77"/>
        <v>0.48780487804877737</v>
      </c>
      <c r="W256" s="180"/>
      <c r="X256" s="180"/>
      <c r="Y256" s="180"/>
      <c r="Z256" s="180"/>
      <c r="AA256" s="180"/>
      <c r="AB256" s="180"/>
      <c r="AC256" s="180"/>
      <c r="AD256" s="180"/>
      <c r="AE256" s="180"/>
      <c r="AF256" s="180"/>
      <c r="AG256" s="180"/>
      <c r="AH256" s="180"/>
      <c r="AI256" s="180">
        <f>48250000+12950000</f>
        <v>61200000</v>
      </c>
      <c r="AJ256" s="181">
        <f t="shared" si="73"/>
        <v>99.512195121951223</v>
      </c>
      <c r="AK256" s="180">
        <f t="shared" si="87"/>
        <v>300000</v>
      </c>
      <c r="AL256" s="181">
        <f t="shared" si="74"/>
        <v>0.48780487804878048</v>
      </c>
      <c r="AM256" s="243"/>
    </row>
    <row r="257" spans="1:39" ht="24.75" customHeight="1" x14ac:dyDescent="0.25">
      <c r="A257" s="243"/>
      <c r="B257" s="477"/>
      <c r="C257" s="477"/>
      <c r="D257" s="477"/>
      <c r="E257" s="477"/>
      <c r="F257" s="477"/>
      <c r="G257" s="477"/>
      <c r="H257" s="477"/>
      <c r="I257" s="478"/>
      <c r="J257" s="477" t="s">
        <v>280</v>
      </c>
      <c r="K257" s="245"/>
      <c r="L257" s="257"/>
      <c r="M257" s="591" t="s">
        <v>281</v>
      </c>
      <c r="N257" s="592"/>
      <c r="O257" s="179"/>
      <c r="P257" s="180"/>
      <c r="Q257" s="180">
        <v>15000000</v>
      </c>
      <c r="R257" s="181">
        <f t="shared" si="88"/>
        <v>3.2462352544091884</v>
      </c>
      <c r="S257" s="181">
        <v>100</v>
      </c>
      <c r="T257" s="180">
        <f t="shared" si="72"/>
        <v>33.333333333333329</v>
      </c>
      <c r="U257" s="180">
        <f t="shared" si="80"/>
        <v>1.082078418136396</v>
      </c>
      <c r="V257" s="182">
        <f t="shared" si="77"/>
        <v>66.666666666666671</v>
      </c>
      <c r="W257" s="180"/>
      <c r="X257" s="180"/>
      <c r="Y257" s="180"/>
      <c r="Z257" s="180"/>
      <c r="AA257" s="180"/>
      <c r="AB257" s="180"/>
      <c r="AC257" s="180"/>
      <c r="AD257" s="180"/>
      <c r="AE257" s="180"/>
      <c r="AF257" s="180"/>
      <c r="AG257" s="180"/>
      <c r="AH257" s="180"/>
      <c r="AI257" s="180">
        <v>5000000</v>
      </c>
      <c r="AJ257" s="181">
        <f t="shared" si="73"/>
        <v>33.333333333333329</v>
      </c>
      <c r="AK257" s="180">
        <f t="shared" si="87"/>
        <v>10000000</v>
      </c>
      <c r="AL257" s="181">
        <f t="shared" si="74"/>
        <v>66.666666666666657</v>
      </c>
      <c r="AM257" s="243"/>
    </row>
    <row r="258" spans="1:39" ht="24.75" customHeight="1" x14ac:dyDescent="0.25">
      <c r="A258" s="243"/>
      <c r="B258" s="477"/>
      <c r="C258" s="477"/>
      <c r="D258" s="477"/>
      <c r="E258" s="477"/>
      <c r="F258" s="477"/>
      <c r="G258" s="477"/>
      <c r="H258" s="477"/>
      <c r="I258" s="478"/>
      <c r="J258" s="477" t="s">
        <v>284</v>
      </c>
      <c r="K258" s="245"/>
      <c r="L258" s="257"/>
      <c r="M258" s="591" t="s">
        <v>285</v>
      </c>
      <c r="N258" s="592"/>
      <c r="O258" s="179"/>
      <c r="P258" s="180"/>
      <c r="Q258" s="180">
        <v>6600000</v>
      </c>
      <c r="R258" s="181">
        <f t="shared" si="88"/>
        <v>1.4283435119400427</v>
      </c>
      <c r="S258" s="181">
        <v>100</v>
      </c>
      <c r="T258" s="180">
        <f t="shared" si="72"/>
        <v>0</v>
      </c>
      <c r="U258" s="180">
        <f t="shared" si="80"/>
        <v>0</v>
      </c>
      <c r="V258" s="182">
        <f t="shared" si="77"/>
        <v>100</v>
      </c>
      <c r="W258" s="180"/>
      <c r="X258" s="180"/>
      <c r="Y258" s="180"/>
      <c r="Z258" s="180"/>
      <c r="AA258" s="180"/>
      <c r="AB258" s="180"/>
      <c r="AC258" s="180"/>
      <c r="AD258" s="180"/>
      <c r="AE258" s="180"/>
      <c r="AF258" s="180"/>
      <c r="AG258" s="180"/>
      <c r="AH258" s="180"/>
      <c r="AI258" s="180">
        <v>0</v>
      </c>
      <c r="AJ258" s="181">
        <f t="shared" si="73"/>
        <v>0</v>
      </c>
      <c r="AK258" s="180">
        <f t="shared" si="87"/>
        <v>6600000</v>
      </c>
      <c r="AL258" s="181">
        <f t="shared" si="74"/>
        <v>100</v>
      </c>
      <c r="AM258" s="243"/>
    </row>
    <row r="259" spans="1:39" ht="24.75" customHeight="1" x14ac:dyDescent="0.25">
      <c r="A259" s="243"/>
      <c r="B259" s="477"/>
      <c r="C259" s="477"/>
      <c r="D259" s="477"/>
      <c r="E259" s="477"/>
      <c r="F259" s="477"/>
      <c r="G259" s="477"/>
      <c r="H259" s="477"/>
      <c r="I259" s="478"/>
      <c r="J259" s="477" t="s">
        <v>282</v>
      </c>
      <c r="K259" s="245"/>
      <c r="L259" s="257"/>
      <c r="M259" s="591" t="s">
        <v>283</v>
      </c>
      <c r="N259" s="592"/>
      <c r="O259" s="179"/>
      <c r="P259" s="180"/>
      <c r="Q259" s="180">
        <v>33250000</v>
      </c>
      <c r="R259" s="181">
        <f t="shared" si="88"/>
        <v>7.1958214806070337</v>
      </c>
      <c r="S259" s="181">
        <v>100</v>
      </c>
      <c r="T259" s="180">
        <f t="shared" si="72"/>
        <v>94.000601503759398</v>
      </c>
      <c r="U259" s="180">
        <f t="shared" si="80"/>
        <v>6.7641154749073369</v>
      </c>
      <c r="V259" s="182">
        <f t="shared" si="77"/>
        <v>5.9993984962406017</v>
      </c>
      <c r="W259" s="180"/>
      <c r="X259" s="180"/>
      <c r="Y259" s="180"/>
      <c r="Z259" s="180"/>
      <c r="AA259" s="180"/>
      <c r="AB259" s="180"/>
      <c r="AC259" s="180"/>
      <c r="AD259" s="180"/>
      <c r="AE259" s="180"/>
      <c r="AF259" s="180"/>
      <c r="AG259" s="180"/>
      <c r="AH259" s="180"/>
      <c r="AI259" s="180">
        <f>15343500+15911700</f>
        <v>31255200</v>
      </c>
      <c r="AJ259" s="181">
        <f t="shared" si="73"/>
        <v>94.000601503759398</v>
      </c>
      <c r="AK259" s="180">
        <f t="shared" si="87"/>
        <v>1994800</v>
      </c>
      <c r="AL259" s="181">
        <f t="shared" si="74"/>
        <v>5.9993984962406017</v>
      </c>
      <c r="AM259" s="243"/>
    </row>
    <row r="260" spans="1:39" ht="24.75" customHeight="1" x14ac:dyDescent="0.25">
      <c r="A260" s="243"/>
      <c r="B260" s="477"/>
      <c r="C260" s="477"/>
      <c r="D260" s="477"/>
      <c r="E260" s="477"/>
      <c r="F260" s="477"/>
      <c r="G260" s="477"/>
      <c r="H260" s="477"/>
      <c r="I260" s="478"/>
      <c r="J260" s="477" t="s">
        <v>306</v>
      </c>
      <c r="K260" s="245"/>
      <c r="L260" s="257"/>
      <c r="M260" s="591" t="s">
        <v>325</v>
      </c>
      <c r="N260" s="592"/>
      <c r="O260" s="179"/>
      <c r="P260" s="180"/>
      <c r="Q260" s="180">
        <v>45000000</v>
      </c>
      <c r="R260" s="181">
        <f t="shared" si="88"/>
        <v>9.7387057632275642</v>
      </c>
      <c r="S260" s="181">
        <v>100</v>
      </c>
      <c r="T260" s="180">
        <f t="shared" si="72"/>
        <v>99.533333333333331</v>
      </c>
      <c r="U260" s="180">
        <f t="shared" si="80"/>
        <v>9.6932584696658353</v>
      </c>
      <c r="V260" s="182">
        <f t="shared" si="77"/>
        <v>0.46666666666666856</v>
      </c>
      <c r="W260" s="180"/>
      <c r="X260" s="180"/>
      <c r="Y260" s="180"/>
      <c r="Z260" s="180"/>
      <c r="AA260" s="180"/>
      <c r="AB260" s="180"/>
      <c r="AC260" s="180"/>
      <c r="AD260" s="180"/>
      <c r="AE260" s="180"/>
      <c r="AF260" s="180"/>
      <c r="AG260" s="180"/>
      <c r="AH260" s="180"/>
      <c r="AI260" s="180">
        <v>44790000</v>
      </c>
      <c r="AJ260" s="181">
        <f t="shared" si="73"/>
        <v>99.533333333333331</v>
      </c>
      <c r="AK260" s="180">
        <f t="shared" si="87"/>
        <v>210000</v>
      </c>
      <c r="AL260" s="181">
        <f t="shared" si="74"/>
        <v>0.46666666666666673</v>
      </c>
      <c r="AM260" s="243"/>
    </row>
    <row r="261" spans="1:39" ht="24.75" customHeight="1" x14ac:dyDescent="0.25">
      <c r="A261" s="243"/>
      <c r="B261" s="477"/>
      <c r="C261" s="477"/>
      <c r="D261" s="477"/>
      <c r="E261" s="477"/>
      <c r="F261" s="477"/>
      <c r="G261" s="477"/>
      <c r="H261" s="477"/>
      <c r="I261" s="478"/>
      <c r="J261" s="477" t="s">
        <v>379</v>
      </c>
      <c r="K261" s="245"/>
      <c r="L261" s="257"/>
      <c r="M261" s="591" t="s">
        <v>601</v>
      </c>
      <c r="N261" s="592"/>
      <c r="O261" s="179"/>
      <c r="P261" s="180"/>
      <c r="Q261" s="180">
        <v>31843720</v>
      </c>
      <c r="R261" s="181">
        <f t="shared" si="88"/>
        <v>6.8914804330356638</v>
      </c>
      <c r="S261" s="181">
        <v>100</v>
      </c>
      <c r="T261" s="180">
        <f t="shared" si="72"/>
        <v>16.957817742399442</v>
      </c>
      <c r="U261" s="180">
        <f t="shared" si="80"/>
        <v>1.1686446915873077</v>
      </c>
      <c r="V261" s="182">
        <f t="shared" si="77"/>
        <v>83.042182257600558</v>
      </c>
      <c r="W261" s="180"/>
      <c r="X261" s="180"/>
      <c r="Y261" s="180"/>
      <c r="Z261" s="180"/>
      <c r="AA261" s="180"/>
      <c r="AB261" s="180"/>
      <c r="AC261" s="180"/>
      <c r="AD261" s="180"/>
      <c r="AE261" s="180"/>
      <c r="AF261" s="180"/>
      <c r="AG261" s="180"/>
      <c r="AH261" s="180"/>
      <c r="AI261" s="180">
        <v>5400000</v>
      </c>
      <c r="AJ261" s="181">
        <f t="shared" si="73"/>
        <v>16.957817742399442</v>
      </c>
      <c r="AK261" s="180">
        <f t="shared" si="87"/>
        <v>26443720</v>
      </c>
      <c r="AL261" s="181">
        <f t="shared" si="74"/>
        <v>83.042182257600558</v>
      </c>
      <c r="AM261" s="243"/>
    </row>
    <row r="262" spans="1:39" ht="24.75" customHeight="1" x14ac:dyDescent="0.25">
      <c r="A262" s="243"/>
      <c r="B262" s="477"/>
      <c r="C262" s="477"/>
      <c r="D262" s="477"/>
      <c r="E262" s="477"/>
      <c r="F262" s="477"/>
      <c r="G262" s="477"/>
      <c r="H262" s="477"/>
      <c r="I262" s="478"/>
      <c r="J262" s="477" t="s">
        <v>380</v>
      </c>
      <c r="K262" s="245"/>
      <c r="L262" s="257"/>
      <c r="M262" s="591" t="s">
        <v>321</v>
      </c>
      <c r="N262" s="592"/>
      <c r="O262" s="179"/>
      <c r="P262" s="180"/>
      <c r="Q262" s="180">
        <v>40000000</v>
      </c>
      <c r="R262" s="181">
        <f>Q262/Q$249*100</f>
        <v>8.6566273450911684</v>
      </c>
      <c r="S262" s="181">
        <v>100</v>
      </c>
      <c r="T262" s="180">
        <f t="shared" si="72"/>
        <v>17.5</v>
      </c>
      <c r="U262" s="180">
        <f t="shared" si="80"/>
        <v>1.5149097853909543</v>
      </c>
      <c r="V262" s="182">
        <f t="shared" si="77"/>
        <v>82.5</v>
      </c>
      <c r="W262" s="180"/>
      <c r="X262" s="180"/>
      <c r="Y262" s="180"/>
      <c r="Z262" s="180"/>
      <c r="AA262" s="180"/>
      <c r="AB262" s="180"/>
      <c r="AC262" s="180"/>
      <c r="AD262" s="180"/>
      <c r="AE262" s="180"/>
      <c r="AF262" s="180"/>
      <c r="AG262" s="180"/>
      <c r="AH262" s="180"/>
      <c r="AI262" s="180">
        <f>5400000+1600000</f>
        <v>7000000</v>
      </c>
      <c r="AJ262" s="181">
        <f t="shared" si="73"/>
        <v>17.5</v>
      </c>
      <c r="AK262" s="180">
        <f t="shared" si="87"/>
        <v>33000000</v>
      </c>
      <c r="AL262" s="181">
        <f t="shared" si="74"/>
        <v>82.5</v>
      </c>
      <c r="AM262" s="243"/>
    </row>
    <row r="263" spans="1:39" ht="24.75" customHeight="1" x14ac:dyDescent="0.25">
      <c r="A263" s="243"/>
      <c r="B263" s="477"/>
      <c r="C263" s="477"/>
      <c r="D263" s="477"/>
      <c r="E263" s="477"/>
      <c r="F263" s="477"/>
      <c r="G263" s="477"/>
      <c r="H263" s="477"/>
      <c r="I263" s="478"/>
      <c r="J263" s="477" t="s">
        <v>413</v>
      </c>
      <c r="K263" s="245"/>
      <c r="L263" s="257"/>
      <c r="M263" s="591" t="s">
        <v>414</v>
      </c>
      <c r="N263" s="592"/>
      <c r="O263" s="179"/>
      <c r="P263" s="180"/>
      <c r="Q263" s="180">
        <v>18000000</v>
      </c>
      <c r="R263" s="181">
        <f>Q263/Q$249*100</f>
        <v>3.8954823052910257</v>
      </c>
      <c r="S263" s="181">
        <v>100</v>
      </c>
      <c r="T263" s="180">
        <f t="shared" si="72"/>
        <v>8.6111111111111107</v>
      </c>
      <c r="U263" s="180">
        <f t="shared" si="80"/>
        <v>0.33544430962228278</v>
      </c>
      <c r="V263" s="182">
        <f t="shared" si="77"/>
        <v>91.388888888888886</v>
      </c>
      <c r="W263" s="180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180"/>
      <c r="AI263" s="180">
        <v>1550000</v>
      </c>
      <c r="AJ263" s="181">
        <f t="shared" si="73"/>
        <v>8.6111111111111107</v>
      </c>
      <c r="AK263" s="180">
        <f t="shared" si="87"/>
        <v>16450000</v>
      </c>
      <c r="AL263" s="181">
        <f t="shared" si="74"/>
        <v>91.388888888888886</v>
      </c>
      <c r="AM263" s="243"/>
    </row>
    <row r="264" spans="1:39" s="297" customFormat="1" ht="30.75" customHeight="1" x14ac:dyDescent="0.25">
      <c r="A264" s="227">
        <f>SUM(A249+1)</f>
        <v>37</v>
      </c>
      <c r="B264" s="482"/>
      <c r="C264" s="482"/>
      <c r="D264" s="482"/>
      <c r="E264" s="482"/>
      <c r="F264" s="482"/>
      <c r="G264" s="482"/>
      <c r="H264" s="482"/>
      <c r="I264" s="481"/>
      <c r="J264" s="304" t="s">
        <v>480</v>
      </c>
      <c r="K264" s="230"/>
      <c r="L264" s="294"/>
      <c r="M264" s="610" t="s">
        <v>338</v>
      </c>
      <c r="N264" s="612"/>
      <c r="O264" s="309"/>
      <c r="P264" s="231"/>
      <c r="Q264" s="231">
        <f>SUM(Q265:Q274)</f>
        <v>64057069</v>
      </c>
      <c r="R264" s="233">
        <f>Q264/Q$248*100</f>
        <v>0.53703808544754672</v>
      </c>
      <c r="S264" s="233">
        <v>100</v>
      </c>
      <c r="T264" s="231">
        <f t="shared" si="72"/>
        <v>0</v>
      </c>
      <c r="U264" s="231">
        <f>R264*T264/100</f>
        <v>0</v>
      </c>
      <c r="V264" s="296">
        <f t="shared" si="77"/>
        <v>100</v>
      </c>
      <c r="W264" s="231"/>
      <c r="X264" s="231" t="e">
        <f>#REF!</f>
        <v>#REF!</v>
      </c>
      <c r="Y264" s="231" t="e">
        <f>#REF!</f>
        <v>#REF!</v>
      </c>
      <c r="Z264" s="231" t="e">
        <f>#REF!</f>
        <v>#REF!</v>
      </c>
      <c r="AA264" s="231" t="e">
        <f>#REF!</f>
        <v>#REF!</v>
      </c>
      <c r="AB264" s="231">
        <v>391775001</v>
      </c>
      <c r="AC264" s="231" t="e">
        <f>#REF!</f>
        <v>#REF!</v>
      </c>
      <c r="AD264" s="231" t="e">
        <f>#REF!</f>
        <v>#REF!</v>
      </c>
      <c r="AE264" s="231" t="e">
        <f>#REF!</f>
        <v>#REF!</v>
      </c>
      <c r="AF264" s="231" t="e">
        <f>[1]April!N55</f>
        <v>#REF!</v>
      </c>
      <c r="AG264" s="231" t="e">
        <f>[2]april!N55</f>
        <v>#REF!</v>
      </c>
      <c r="AH264" s="231" t="e">
        <f>'[3]DES SKPD'!$N55</f>
        <v>#REF!</v>
      </c>
      <c r="AI264" s="231">
        <f>SUM(AI265:AI274)</f>
        <v>0</v>
      </c>
      <c r="AJ264" s="233">
        <f t="shared" si="73"/>
        <v>0</v>
      </c>
      <c r="AK264" s="231">
        <f t="shared" si="87"/>
        <v>64057069</v>
      </c>
      <c r="AL264" s="233">
        <f t="shared" si="74"/>
        <v>100</v>
      </c>
      <c r="AM264" s="227"/>
    </row>
    <row r="265" spans="1:39" ht="24.75" customHeight="1" x14ac:dyDescent="0.25">
      <c r="A265" s="243"/>
      <c r="B265" s="477"/>
      <c r="C265" s="477"/>
      <c r="D265" s="477"/>
      <c r="E265" s="477"/>
      <c r="F265" s="477"/>
      <c r="G265" s="477"/>
      <c r="H265" s="477"/>
      <c r="I265" s="478"/>
      <c r="J265" s="477" t="s">
        <v>326</v>
      </c>
      <c r="K265" s="245"/>
      <c r="L265" s="257"/>
      <c r="M265" s="591" t="s">
        <v>327</v>
      </c>
      <c r="N265" s="592"/>
      <c r="O265" s="179"/>
      <c r="P265" s="180"/>
      <c r="Q265" s="180">
        <v>15750000</v>
      </c>
      <c r="R265" s="181">
        <f>Q265/Q$264*100</f>
        <v>24.587450293737291</v>
      </c>
      <c r="S265" s="181">
        <v>100</v>
      </c>
      <c r="T265" s="180">
        <f t="shared" si="72"/>
        <v>0</v>
      </c>
      <c r="U265" s="180">
        <f t="shared" si="80"/>
        <v>0</v>
      </c>
      <c r="V265" s="182">
        <f t="shared" si="77"/>
        <v>100</v>
      </c>
      <c r="W265" s="180"/>
      <c r="X265" s="180"/>
      <c r="Y265" s="180"/>
      <c r="Z265" s="180"/>
      <c r="AA265" s="180"/>
      <c r="AB265" s="180"/>
      <c r="AC265" s="180"/>
      <c r="AD265" s="180"/>
      <c r="AE265" s="180"/>
      <c r="AF265" s="180"/>
      <c r="AG265" s="180"/>
      <c r="AH265" s="180"/>
      <c r="AI265" s="180">
        <v>0</v>
      </c>
      <c r="AJ265" s="181">
        <f t="shared" si="73"/>
        <v>0</v>
      </c>
      <c r="AK265" s="180">
        <f t="shared" si="87"/>
        <v>15750000</v>
      </c>
      <c r="AL265" s="181">
        <f t="shared" si="74"/>
        <v>100</v>
      </c>
      <c r="AM265" s="243"/>
    </row>
    <row r="266" spans="1:39" ht="24.75" customHeight="1" x14ac:dyDescent="0.25">
      <c r="A266" s="243"/>
      <c r="B266" s="477"/>
      <c r="C266" s="477"/>
      <c r="D266" s="477"/>
      <c r="E266" s="477"/>
      <c r="F266" s="477"/>
      <c r="G266" s="477"/>
      <c r="H266" s="477"/>
      <c r="I266" s="478"/>
      <c r="J266" s="477" t="s">
        <v>323</v>
      </c>
      <c r="K266" s="245"/>
      <c r="L266" s="257"/>
      <c r="M266" s="591" t="s">
        <v>324</v>
      </c>
      <c r="N266" s="592"/>
      <c r="O266" s="179"/>
      <c r="P266" s="180"/>
      <c r="Q266" s="180">
        <v>2468000</v>
      </c>
      <c r="R266" s="181">
        <f t="shared" ref="R266:R274" si="89">Q266/Q$264*100</f>
        <v>3.8528144333297552</v>
      </c>
      <c r="S266" s="181">
        <v>100</v>
      </c>
      <c r="T266" s="180">
        <f t="shared" si="72"/>
        <v>0</v>
      </c>
      <c r="U266" s="180">
        <f t="shared" si="80"/>
        <v>0</v>
      </c>
      <c r="V266" s="182">
        <f t="shared" si="77"/>
        <v>100</v>
      </c>
      <c r="W266" s="180"/>
      <c r="X266" s="180"/>
      <c r="Y266" s="180"/>
      <c r="Z266" s="180"/>
      <c r="AA266" s="180"/>
      <c r="AB266" s="180"/>
      <c r="AC266" s="180"/>
      <c r="AD266" s="180"/>
      <c r="AE266" s="180"/>
      <c r="AF266" s="180"/>
      <c r="AG266" s="180"/>
      <c r="AH266" s="180"/>
      <c r="AI266" s="180">
        <v>0</v>
      </c>
      <c r="AJ266" s="181">
        <f t="shared" si="73"/>
        <v>0</v>
      </c>
      <c r="AK266" s="180">
        <f t="shared" si="87"/>
        <v>2468000</v>
      </c>
      <c r="AL266" s="181">
        <f t="shared" si="74"/>
        <v>100</v>
      </c>
      <c r="AM266" s="243"/>
    </row>
    <row r="267" spans="1:39" ht="24.75" customHeight="1" x14ac:dyDescent="0.25">
      <c r="A267" s="243"/>
      <c r="B267" s="477"/>
      <c r="C267" s="477"/>
      <c r="D267" s="477"/>
      <c r="E267" s="477"/>
      <c r="F267" s="477"/>
      <c r="G267" s="477"/>
      <c r="H267" s="477"/>
      <c r="I267" s="478"/>
      <c r="J267" s="477" t="s">
        <v>269</v>
      </c>
      <c r="K267" s="245"/>
      <c r="L267" s="257"/>
      <c r="M267" s="591" t="s">
        <v>352</v>
      </c>
      <c r="N267" s="592"/>
      <c r="O267" s="179"/>
      <c r="P267" s="180"/>
      <c r="Q267" s="180">
        <v>3000000</v>
      </c>
      <c r="R267" s="181">
        <f t="shared" si="89"/>
        <v>4.6833238654737697</v>
      </c>
      <c r="S267" s="181">
        <v>100</v>
      </c>
      <c r="T267" s="180">
        <f t="shared" si="72"/>
        <v>0</v>
      </c>
      <c r="U267" s="180">
        <f t="shared" si="80"/>
        <v>0</v>
      </c>
      <c r="V267" s="182">
        <f t="shared" si="77"/>
        <v>100</v>
      </c>
      <c r="W267" s="180"/>
      <c r="X267" s="180"/>
      <c r="Y267" s="180"/>
      <c r="Z267" s="180"/>
      <c r="AA267" s="180"/>
      <c r="AB267" s="180"/>
      <c r="AC267" s="180"/>
      <c r="AD267" s="180"/>
      <c r="AE267" s="180"/>
      <c r="AF267" s="180"/>
      <c r="AG267" s="180"/>
      <c r="AH267" s="180"/>
      <c r="AI267" s="180">
        <v>0</v>
      </c>
      <c r="AJ267" s="181">
        <f t="shared" si="73"/>
        <v>0</v>
      </c>
      <c r="AK267" s="180">
        <f t="shared" si="87"/>
        <v>3000000</v>
      </c>
      <c r="AL267" s="181">
        <f t="shared" si="74"/>
        <v>100</v>
      </c>
      <c r="AM267" s="243"/>
    </row>
    <row r="268" spans="1:39" ht="29.25" customHeight="1" x14ac:dyDescent="0.25">
      <c r="A268" s="243"/>
      <c r="B268" s="477"/>
      <c r="C268" s="477"/>
      <c r="D268" s="477"/>
      <c r="E268" s="477"/>
      <c r="F268" s="477"/>
      <c r="G268" s="477"/>
      <c r="H268" s="477"/>
      <c r="I268" s="478"/>
      <c r="J268" s="477" t="s">
        <v>315</v>
      </c>
      <c r="K268" s="245"/>
      <c r="L268" s="257"/>
      <c r="M268" s="591" t="s">
        <v>428</v>
      </c>
      <c r="N268" s="592"/>
      <c r="O268" s="179"/>
      <c r="P268" s="180"/>
      <c r="Q268" s="180">
        <v>2820000</v>
      </c>
      <c r="R268" s="181">
        <f t="shared" si="89"/>
        <v>4.4023244335453438</v>
      </c>
      <c r="S268" s="181">
        <v>100</v>
      </c>
      <c r="T268" s="180">
        <f t="shared" si="72"/>
        <v>0</v>
      </c>
      <c r="U268" s="180">
        <f t="shared" si="80"/>
        <v>0</v>
      </c>
      <c r="V268" s="182">
        <f t="shared" si="77"/>
        <v>100</v>
      </c>
      <c r="W268" s="180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180"/>
      <c r="AI268" s="180">
        <v>0</v>
      </c>
      <c r="AJ268" s="181">
        <f t="shared" si="73"/>
        <v>0</v>
      </c>
      <c r="AK268" s="180">
        <f t="shared" si="87"/>
        <v>2820000</v>
      </c>
      <c r="AL268" s="181">
        <f t="shared" si="74"/>
        <v>100</v>
      </c>
      <c r="AM268" s="243"/>
    </row>
    <row r="269" spans="1:39" ht="29.25" customHeight="1" x14ac:dyDescent="0.25">
      <c r="A269" s="243"/>
      <c r="B269" s="477"/>
      <c r="C269" s="477"/>
      <c r="D269" s="477"/>
      <c r="E269" s="477"/>
      <c r="F269" s="477"/>
      <c r="G269" s="477"/>
      <c r="H269" s="477"/>
      <c r="I269" s="478"/>
      <c r="J269" s="477" t="s">
        <v>318</v>
      </c>
      <c r="K269" s="245"/>
      <c r="L269" s="257"/>
      <c r="M269" s="591" t="s">
        <v>602</v>
      </c>
      <c r="N269" s="592"/>
      <c r="O269" s="179"/>
      <c r="P269" s="180"/>
      <c r="Q269" s="180">
        <v>20000000</v>
      </c>
      <c r="R269" s="181">
        <f t="shared" si="89"/>
        <v>31.222159103158464</v>
      </c>
      <c r="S269" s="181">
        <v>100</v>
      </c>
      <c r="T269" s="180">
        <f t="shared" si="72"/>
        <v>0</v>
      </c>
      <c r="U269" s="180">
        <f t="shared" si="80"/>
        <v>0</v>
      </c>
      <c r="V269" s="182">
        <f t="shared" si="77"/>
        <v>100</v>
      </c>
      <c r="W269" s="180"/>
      <c r="X269" s="180"/>
      <c r="Y269" s="180"/>
      <c r="Z269" s="180"/>
      <c r="AA269" s="180"/>
      <c r="AB269" s="180"/>
      <c r="AC269" s="180"/>
      <c r="AD269" s="180"/>
      <c r="AE269" s="180"/>
      <c r="AF269" s="180"/>
      <c r="AG269" s="180"/>
      <c r="AH269" s="180"/>
      <c r="AI269" s="180">
        <v>0</v>
      </c>
      <c r="AJ269" s="181">
        <f t="shared" si="73"/>
        <v>0</v>
      </c>
      <c r="AK269" s="180">
        <f t="shared" si="87"/>
        <v>20000000</v>
      </c>
      <c r="AL269" s="181">
        <f t="shared" si="74"/>
        <v>100</v>
      </c>
      <c r="AM269" s="243"/>
    </row>
    <row r="270" spans="1:39" ht="29.25" customHeight="1" x14ac:dyDescent="0.25">
      <c r="A270" s="243"/>
      <c r="B270" s="477"/>
      <c r="C270" s="477"/>
      <c r="D270" s="477"/>
      <c r="E270" s="477"/>
      <c r="F270" s="477"/>
      <c r="G270" s="477"/>
      <c r="H270" s="477"/>
      <c r="I270" s="478"/>
      <c r="J270" s="477" t="s">
        <v>339</v>
      </c>
      <c r="K270" s="245"/>
      <c r="L270" s="257"/>
      <c r="M270" s="591" t="s">
        <v>340</v>
      </c>
      <c r="N270" s="592"/>
      <c r="O270" s="179"/>
      <c r="P270" s="180"/>
      <c r="Q270" s="180">
        <v>2000000</v>
      </c>
      <c r="R270" s="181">
        <f t="shared" si="89"/>
        <v>3.1222159103158469</v>
      </c>
      <c r="S270" s="181">
        <v>100</v>
      </c>
      <c r="T270" s="180">
        <f t="shared" si="72"/>
        <v>0</v>
      </c>
      <c r="U270" s="180">
        <f t="shared" si="80"/>
        <v>0</v>
      </c>
      <c r="V270" s="182">
        <f t="shared" si="77"/>
        <v>100</v>
      </c>
      <c r="W270" s="180"/>
      <c r="X270" s="180"/>
      <c r="Y270" s="180"/>
      <c r="Z270" s="180"/>
      <c r="AA270" s="180"/>
      <c r="AB270" s="180"/>
      <c r="AC270" s="180"/>
      <c r="AD270" s="180"/>
      <c r="AE270" s="180"/>
      <c r="AF270" s="180"/>
      <c r="AG270" s="180"/>
      <c r="AH270" s="180"/>
      <c r="AI270" s="180">
        <v>0</v>
      </c>
      <c r="AJ270" s="181">
        <f t="shared" si="73"/>
        <v>0</v>
      </c>
      <c r="AK270" s="180">
        <f t="shared" si="87"/>
        <v>2000000</v>
      </c>
      <c r="AL270" s="181">
        <f t="shared" si="74"/>
        <v>100</v>
      </c>
      <c r="AM270" s="243"/>
    </row>
    <row r="271" spans="1:39" ht="29.25" customHeight="1" x14ac:dyDescent="0.25">
      <c r="A271" s="243"/>
      <c r="B271" s="477"/>
      <c r="C271" s="477"/>
      <c r="D271" s="477"/>
      <c r="E271" s="477"/>
      <c r="F271" s="477"/>
      <c r="G271" s="477"/>
      <c r="H271" s="477"/>
      <c r="I271" s="478"/>
      <c r="J271" s="477" t="s">
        <v>284</v>
      </c>
      <c r="K271" s="245"/>
      <c r="L271" s="257"/>
      <c r="M271" s="591" t="s">
        <v>603</v>
      </c>
      <c r="N271" s="592"/>
      <c r="O271" s="179"/>
      <c r="P271" s="180"/>
      <c r="Q271" s="180">
        <v>1119069</v>
      </c>
      <c r="R271" s="181">
        <f t="shared" si="89"/>
        <v>1.746987518270622</v>
      </c>
      <c r="S271" s="181">
        <v>100</v>
      </c>
      <c r="T271" s="180">
        <f t="shared" si="72"/>
        <v>0</v>
      </c>
      <c r="U271" s="180">
        <f t="shared" si="80"/>
        <v>0</v>
      </c>
      <c r="V271" s="182">
        <f t="shared" si="77"/>
        <v>100</v>
      </c>
      <c r="W271" s="180"/>
      <c r="X271" s="180"/>
      <c r="Y271" s="180"/>
      <c r="Z271" s="180"/>
      <c r="AA271" s="180"/>
      <c r="AB271" s="180"/>
      <c r="AC271" s="180"/>
      <c r="AD271" s="180"/>
      <c r="AE271" s="180"/>
      <c r="AF271" s="180"/>
      <c r="AG271" s="180"/>
      <c r="AH271" s="180"/>
      <c r="AI271" s="180">
        <v>0</v>
      </c>
      <c r="AJ271" s="181">
        <f t="shared" si="73"/>
        <v>0</v>
      </c>
      <c r="AK271" s="180">
        <f t="shared" si="87"/>
        <v>1119069</v>
      </c>
      <c r="AL271" s="181">
        <f t="shared" si="74"/>
        <v>100</v>
      </c>
      <c r="AM271" s="243"/>
    </row>
    <row r="272" spans="1:39" ht="29.25" customHeight="1" x14ac:dyDescent="0.25">
      <c r="A272" s="243"/>
      <c r="B272" s="477"/>
      <c r="C272" s="477"/>
      <c r="D272" s="477"/>
      <c r="E272" s="477"/>
      <c r="F272" s="477"/>
      <c r="G272" s="477"/>
      <c r="H272" s="477"/>
      <c r="I272" s="478"/>
      <c r="J272" s="477" t="s">
        <v>282</v>
      </c>
      <c r="K272" s="245"/>
      <c r="L272" s="257"/>
      <c r="M272" s="591" t="s">
        <v>283</v>
      </c>
      <c r="N272" s="592"/>
      <c r="O272" s="179"/>
      <c r="P272" s="180"/>
      <c r="Q272" s="180">
        <v>6900000</v>
      </c>
      <c r="R272" s="181">
        <f t="shared" si="89"/>
        <v>10.771644890589672</v>
      </c>
      <c r="S272" s="181">
        <v>100</v>
      </c>
      <c r="T272" s="180">
        <f t="shared" si="72"/>
        <v>0</v>
      </c>
      <c r="U272" s="180">
        <f t="shared" si="80"/>
        <v>0</v>
      </c>
      <c r="V272" s="182">
        <f t="shared" si="77"/>
        <v>100</v>
      </c>
      <c r="W272" s="180"/>
      <c r="X272" s="180"/>
      <c r="Y272" s="180"/>
      <c r="Z272" s="180"/>
      <c r="AA272" s="180"/>
      <c r="AB272" s="180"/>
      <c r="AC272" s="180"/>
      <c r="AD272" s="180"/>
      <c r="AE272" s="180"/>
      <c r="AF272" s="180"/>
      <c r="AG272" s="180"/>
      <c r="AH272" s="180"/>
      <c r="AI272" s="180">
        <v>0</v>
      </c>
      <c r="AJ272" s="181">
        <f t="shared" si="73"/>
        <v>0</v>
      </c>
      <c r="AK272" s="180">
        <f t="shared" si="87"/>
        <v>6900000</v>
      </c>
      <c r="AL272" s="181">
        <f t="shared" si="74"/>
        <v>100</v>
      </c>
      <c r="AM272" s="243"/>
    </row>
    <row r="273" spans="1:39" ht="29.25" customHeight="1" x14ac:dyDescent="0.25">
      <c r="A273" s="243"/>
      <c r="B273" s="477"/>
      <c r="C273" s="477"/>
      <c r="D273" s="477"/>
      <c r="E273" s="477"/>
      <c r="F273" s="477"/>
      <c r="G273" s="477"/>
      <c r="H273" s="477"/>
      <c r="I273" s="478"/>
      <c r="J273" s="477" t="s">
        <v>320</v>
      </c>
      <c r="K273" s="245"/>
      <c r="L273" s="257"/>
      <c r="M273" s="591" t="s">
        <v>321</v>
      </c>
      <c r="N273" s="592"/>
      <c r="O273" s="179"/>
      <c r="P273" s="180"/>
      <c r="Q273" s="180">
        <v>7200000</v>
      </c>
      <c r="R273" s="181">
        <f t="shared" si="89"/>
        <v>11.239977277137047</v>
      </c>
      <c r="S273" s="181">
        <v>100</v>
      </c>
      <c r="T273" s="180">
        <f t="shared" si="72"/>
        <v>0</v>
      </c>
      <c r="U273" s="180">
        <f t="shared" si="80"/>
        <v>0</v>
      </c>
      <c r="V273" s="182">
        <f t="shared" si="77"/>
        <v>100</v>
      </c>
      <c r="W273" s="180"/>
      <c r="X273" s="180"/>
      <c r="Y273" s="180"/>
      <c r="Z273" s="180"/>
      <c r="AA273" s="180"/>
      <c r="AB273" s="180"/>
      <c r="AC273" s="180"/>
      <c r="AD273" s="180"/>
      <c r="AE273" s="180"/>
      <c r="AF273" s="180"/>
      <c r="AG273" s="180"/>
      <c r="AH273" s="180"/>
      <c r="AI273" s="180">
        <v>0</v>
      </c>
      <c r="AJ273" s="181">
        <f t="shared" si="73"/>
        <v>0</v>
      </c>
      <c r="AK273" s="180">
        <f t="shared" si="87"/>
        <v>7200000</v>
      </c>
      <c r="AL273" s="181">
        <f t="shared" si="74"/>
        <v>100</v>
      </c>
      <c r="AM273" s="243"/>
    </row>
    <row r="274" spans="1:39" ht="24.75" customHeight="1" x14ac:dyDescent="0.25">
      <c r="A274" s="243"/>
      <c r="B274" s="477"/>
      <c r="C274" s="477"/>
      <c r="D274" s="477"/>
      <c r="E274" s="477"/>
      <c r="F274" s="477"/>
      <c r="G274" s="477"/>
      <c r="H274" s="477"/>
      <c r="I274" s="478"/>
      <c r="J274" s="477" t="s">
        <v>407</v>
      </c>
      <c r="K274" s="245"/>
      <c r="L274" s="257"/>
      <c r="M274" s="591" t="s">
        <v>414</v>
      </c>
      <c r="N274" s="592"/>
      <c r="O274" s="179"/>
      <c r="P274" s="180"/>
      <c r="Q274" s="180">
        <v>2800000</v>
      </c>
      <c r="R274" s="181">
        <f t="shared" si="89"/>
        <v>4.371102274442185</v>
      </c>
      <c r="S274" s="181">
        <v>100</v>
      </c>
      <c r="T274" s="180">
        <f t="shared" si="72"/>
        <v>0</v>
      </c>
      <c r="U274" s="180">
        <f t="shared" si="80"/>
        <v>0</v>
      </c>
      <c r="V274" s="182">
        <f t="shared" si="77"/>
        <v>100</v>
      </c>
      <c r="W274" s="180"/>
      <c r="X274" s="180"/>
      <c r="Y274" s="180"/>
      <c r="Z274" s="180"/>
      <c r="AA274" s="180"/>
      <c r="AB274" s="180"/>
      <c r="AC274" s="180"/>
      <c r="AD274" s="180"/>
      <c r="AE274" s="180"/>
      <c r="AF274" s="180"/>
      <c r="AG274" s="180"/>
      <c r="AH274" s="180"/>
      <c r="AI274" s="180">
        <v>0</v>
      </c>
      <c r="AJ274" s="181">
        <f t="shared" si="73"/>
        <v>0</v>
      </c>
      <c r="AK274" s="180">
        <f t="shared" si="87"/>
        <v>2800000</v>
      </c>
      <c r="AL274" s="181">
        <f t="shared" si="74"/>
        <v>100</v>
      </c>
      <c r="AM274" s="243"/>
    </row>
    <row r="275" spans="1:39" s="311" customFormat="1" ht="34.5" customHeight="1" x14ac:dyDescent="0.25">
      <c r="A275" s="227">
        <f>(A264+1)</f>
        <v>38</v>
      </c>
      <c r="B275" s="615" t="s">
        <v>150</v>
      </c>
      <c r="C275" s="615"/>
      <c r="D275" s="615"/>
      <c r="E275" s="615"/>
      <c r="F275" s="615"/>
      <c r="G275" s="615"/>
      <c r="H275" s="615"/>
      <c r="I275" s="614"/>
      <c r="J275" s="304" t="s">
        <v>482</v>
      </c>
      <c r="K275" s="230"/>
      <c r="L275" s="294"/>
      <c r="M275" s="609" t="s">
        <v>41</v>
      </c>
      <c r="N275" s="609"/>
      <c r="O275" s="310">
        <v>461840000</v>
      </c>
      <c r="P275" s="231">
        <f>O275</f>
        <v>461840000</v>
      </c>
      <c r="Q275" s="231">
        <f>SUM(Q276:Q286)</f>
        <v>300818900</v>
      </c>
      <c r="R275" s="233">
        <f>Q275/Q$248*100</f>
        <v>2.5219887304309383</v>
      </c>
      <c r="S275" s="233">
        <v>100</v>
      </c>
      <c r="T275" s="231">
        <f t="shared" si="72"/>
        <v>17.772985673440068</v>
      </c>
      <c r="U275" s="231">
        <f t="shared" si="80"/>
        <v>0.4482326957452637</v>
      </c>
      <c r="V275" s="296">
        <f t="shared" si="77"/>
        <v>82.227014326559924</v>
      </c>
      <c r="W275" s="231"/>
      <c r="X275" s="231" t="e">
        <f>#REF!</f>
        <v>#REF!</v>
      </c>
      <c r="Y275" s="231" t="e">
        <f>#REF!</f>
        <v>#REF!</v>
      </c>
      <c r="Z275" s="231" t="e">
        <f>#REF!</f>
        <v>#REF!</v>
      </c>
      <c r="AA275" s="231" t="e">
        <f>#REF!</f>
        <v>#REF!</v>
      </c>
      <c r="AB275" s="231">
        <v>26033000</v>
      </c>
      <c r="AC275" s="231" t="e">
        <f>#REF!</f>
        <v>#REF!</v>
      </c>
      <c r="AD275" s="231" t="e">
        <f>#REF!</f>
        <v>#REF!</v>
      </c>
      <c r="AE275" s="231" t="e">
        <f>#REF!</f>
        <v>#REF!</v>
      </c>
      <c r="AF275" s="231" t="e">
        <f>[1]April!N57</f>
        <v>#REF!</v>
      </c>
      <c r="AG275" s="231" t="e">
        <f>[2]april!N57</f>
        <v>#REF!</v>
      </c>
      <c r="AH275" s="231">
        <f>'[3]DES SKPD'!$N57</f>
        <v>371775000</v>
      </c>
      <c r="AI275" s="231">
        <f>SUM(AI276:AI286)</f>
        <v>53464500</v>
      </c>
      <c r="AJ275" s="233">
        <f t="shared" si="73"/>
        <v>17.772985673440068</v>
      </c>
      <c r="AK275" s="231">
        <f t="shared" si="87"/>
        <v>247354400</v>
      </c>
      <c r="AL275" s="233">
        <f t="shared" si="74"/>
        <v>82.227014326559939</v>
      </c>
      <c r="AM275" s="227"/>
    </row>
    <row r="276" spans="1:39" ht="28.5" customHeight="1" x14ac:dyDescent="0.25">
      <c r="A276" s="243"/>
      <c r="B276" s="477"/>
      <c r="C276" s="477"/>
      <c r="D276" s="477"/>
      <c r="E276" s="477"/>
      <c r="F276" s="477"/>
      <c r="G276" s="477"/>
      <c r="H276" s="477"/>
      <c r="I276" s="478"/>
      <c r="J276" s="477" t="s">
        <v>257</v>
      </c>
      <c r="K276" s="245"/>
      <c r="L276" s="257"/>
      <c r="M276" s="591" t="s">
        <v>260</v>
      </c>
      <c r="N276" s="592"/>
      <c r="O276" s="179"/>
      <c r="P276" s="180"/>
      <c r="Q276" s="180">
        <v>1540000</v>
      </c>
      <c r="R276" s="181">
        <f>Q276/Q$275*100</f>
        <v>0.51193591891998813</v>
      </c>
      <c r="S276" s="181">
        <v>100</v>
      </c>
      <c r="T276" s="180">
        <f t="shared" si="72"/>
        <v>0</v>
      </c>
      <c r="U276" s="180">
        <f t="shared" si="80"/>
        <v>0</v>
      </c>
      <c r="V276" s="182">
        <f t="shared" si="77"/>
        <v>100</v>
      </c>
      <c r="W276" s="180"/>
      <c r="X276" s="180"/>
      <c r="Y276" s="180"/>
      <c r="Z276" s="180"/>
      <c r="AA276" s="180"/>
      <c r="AB276" s="180"/>
      <c r="AC276" s="180"/>
      <c r="AD276" s="180"/>
      <c r="AE276" s="180"/>
      <c r="AF276" s="180"/>
      <c r="AG276" s="180"/>
      <c r="AH276" s="180"/>
      <c r="AI276" s="180">
        <v>0</v>
      </c>
      <c r="AJ276" s="181">
        <f t="shared" si="73"/>
        <v>0</v>
      </c>
      <c r="AK276" s="180">
        <f t="shared" si="87"/>
        <v>1540000</v>
      </c>
      <c r="AL276" s="181">
        <f t="shared" si="74"/>
        <v>100</v>
      </c>
      <c r="AM276" s="243"/>
    </row>
    <row r="277" spans="1:39" ht="28.5" customHeight="1" x14ac:dyDescent="0.25">
      <c r="A277" s="243"/>
      <c r="B277" s="477"/>
      <c r="C277" s="477"/>
      <c r="D277" s="477"/>
      <c r="E277" s="477"/>
      <c r="F277" s="477"/>
      <c r="G277" s="477"/>
      <c r="H277" s="477"/>
      <c r="I277" s="478"/>
      <c r="J277" s="477" t="s">
        <v>326</v>
      </c>
      <c r="K277" s="245"/>
      <c r="L277" s="257"/>
      <c r="M277" s="591" t="s">
        <v>327</v>
      </c>
      <c r="N277" s="592"/>
      <c r="O277" s="179"/>
      <c r="P277" s="180"/>
      <c r="Q277" s="180">
        <v>140400000</v>
      </c>
      <c r="R277" s="181">
        <f t="shared" ref="R277:R286" si="90">Q277/Q$275*100</f>
        <v>46.672599361276838</v>
      </c>
      <c r="S277" s="181">
        <v>100</v>
      </c>
      <c r="T277" s="180">
        <f t="shared" si="72"/>
        <v>0</v>
      </c>
      <c r="U277" s="180">
        <f t="shared" si="80"/>
        <v>0</v>
      </c>
      <c r="V277" s="182">
        <f t="shared" si="77"/>
        <v>100</v>
      </c>
      <c r="W277" s="180"/>
      <c r="X277" s="180"/>
      <c r="Y277" s="180"/>
      <c r="Z277" s="180"/>
      <c r="AA277" s="180"/>
      <c r="AB277" s="180"/>
      <c r="AC277" s="180"/>
      <c r="AD277" s="180"/>
      <c r="AE277" s="180"/>
      <c r="AF277" s="180"/>
      <c r="AG277" s="180"/>
      <c r="AH277" s="180"/>
      <c r="AI277" s="180">
        <v>0</v>
      </c>
      <c r="AJ277" s="181">
        <f t="shared" si="73"/>
        <v>0</v>
      </c>
      <c r="AK277" s="180">
        <f t="shared" si="87"/>
        <v>140400000</v>
      </c>
      <c r="AL277" s="181">
        <f t="shared" si="74"/>
        <v>100</v>
      </c>
      <c r="AM277" s="243"/>
    </row>
    <row r="278" spans="1:39" ht="28.5" customHeight="1" x14ac:dyDescent="0.25">
      <c r="A278" s="243"/>
      <c r="B278" s="477"/>
      <c r="C278" s="477"/>
      <c r="D278" s="477"/>
      <c r="E278" s="477"/>
      <c r="F278" s="477"/>
      <c r="G278" s="477"/>
      <c r="H278" s="477"/>
      <c r="I278" s="478"/>
      <c r="J278" s="477" t="s">
        <v>323</v>
      </c>
      <c r="K278" s="245"/>
      <c r="L278" s="257"/>
      <c r="M278" s="591" t="s">
        <v>324</v>
      </c>
      <c r="N278" s="592"/>
      <c r="O278" s="179"/>
      <c r="P278" s="180"/>
      <c r="Q278" s="180">
        <v>10250000</v>
      </c>
      <c r="R278" s="181">
        <f t="shared" si="90"/>
        <v>3.4073656941103101</v>
      </c>
      <c r="S278" s="181">
        <v>100</v>
      </c>
      <c r="T278" s="180">
        <f t="shared" si="72"/>
        <v>0</v>
      </c>
      <c r="U278" s="180">
        <f t="shared" si="80"/>
        <v>0</v>
      </c>
      <c r="V278" s="182">
        <f t="shared" si="77"/>
        <v>100</v>
      </c>
      <c r="W278" s="180"/>
      <c r="X278" s="180"/>
      <c r="Y278" s="180"/>
      <c r="Z278" s="180"/>
      <c r="AA278" s="180"/>
      <c r="AB278" s="180"/>
      <c r="AC278" s="180"/>
      <c r="AD278" s="180"/>
      <c r="AE278" s="180"/>
      <c r="AF278" s="180"/>
      <c r="AG278" s="180"/>
      <c r="AH278" s="180"/>
      <c r="AI278" s="180">
        <v>0</v>
      </c>
      <c r="AJ278" s="181">
        <f t="shared" si="73"/>
        <v>0</v>
      </c>
      <c r="AK278" s="180">
        <f t="shared" si="87"/>
        <v>10250000</v>
      </c>
      <c r="AL278" s="181">
        <f t="shared" si="74"/>
        <v>100</v>
      </c>
      <c r="AM278" s="243"/>
    </row>
    <row r="279" spans="1:39" ht="28.5" customHeight="1" x14ac:dyDescent="0.25">
      <c r="A279" s="243"/>
      <c r="B279" s="477"/>
      <c r="C279" s="477"/>
      <c r="D279" s="477"/>
      <c r="E279" s="477"/>
      <c r="F279" s="477"/>
      <c r="G279" s="477"/>
      <c r="H279" s="477"/>
      <c r="I279" s="478"/>
      <c r="J279" s="477" t="s">
        <v>336</v>
      </c>
      <c r="K279" s="245"/>
      <c r="L279" s="257"/>
      <c r="M279" s="591" t="s">
        <v>337</v>
      </c>
      <c r="N279" s="592"/>
      <c r="O279" s="179"/>
      <c r="P279" s="180"/>
      <c r="Q279" s="180">
        <v>10000000</v>
      </c>
      <c r="R279" s="181">
        <f t="shared" si="90"/>
        <v>3.3242592137661564</v>
      </c>
      <c r="S279" s="181">
        <v>100</v>
      </c>
      <c r="T279" s="180">
        <f t="shared" si="72"/>
        <v>0</v>
      </c>
      <c r="U279" s="180">
        <f t="shared" si="80"/>
        <v>0</v>
      </c>
      <c r="V279" s="182">
        <f t="shared" si="77"/>
        <v>100</v>
      </c>
      <c r="W279" s="180"/>
      <c r="X279" s="180"/>
      <c r="Y279" s="180"/>
      <c r="Z279" s="180"/>
      <c r="AA279" s="180"/>
      <c r="AB279" s="180"/>
      <c r="AC279" s="180"/>
      <c r="AD279" s="180"/>
      <c r="AE279" s="180"/>
      <c r="AF279" s="180"/>
      <c r="AG279" s="180"/>
      <c r="AH279" s="180"/>
      <c r="AI279" s="180">
        <v>0</v>
      </c>
      <c r="AJ279" s="181">
        <f t="shared" si="73"/>
        <v>0</v>
      </c>
      <c r="AK279" s="180">
        <f t="shared" si="87"/>
        <v>10000000</v>
      </c>
      <c r="AL279" s="181">
        <f t="shared" si="74"/>
        <v>100</v>
      </c>
      <c r="AM279" s="243"/>
    </row>
    <row r="280" spans="1:39" ht="28.5" customHeight="1" x14ac:dyDescent="0.25">
      <c r="A280" s="243"/>
      <c r="B280" s="477"/>
      <c r="C280" s="477"/>
      <c r="D280" s="477"/>
      <c r="E280" s="477"/>
      <c r="F280" s="477"/>
      <c r="G280" s="477"/>
      <c r="H280" s="477"/>
      <c r="I280" s="478"/>
      <c r="J280" s="477" t="s">
        <v>269</v>
      </c>
      <c r="K280" s="245"/>
      <c r="L280" s="257"/>
      <c r="M280" s="591" t="s">
        <v>270</v>
      </c>
      <c r="N280" s="592"/>
      <c r="O280" s="179"/>
      <c r="P280" s="180"/>
      <c r="Q280" s="180">
        <v>23000000</v>
      </c>
      <c r="R280" s="181">
        <f t="shared" si="90"/>
        <v>7.6457961916621588</v>
      </c>
      <c r="S280" s="181">
        <v>100</v>
      </c>
      <c r="T280" s="180">
        <f t="shared" si="72"/>
        <v>67.391304347826093</v>
      </c>
      <c r="U280" s="180">
        <f t="shared" si="80"/>
        <v>5.1526017813375429</v>
      </c>
      <c r="V280" s="182">
        <f t="shared" si="77"/>
        <v>32.608695652173907</v>
      </c>
      <c r="W280" s="180"/>
      <c r="X280" s="180"/>
      <c r="Y280" s="180"/>
      <c r="Z280" s="180"/>
      <c r="AA280" s="180"/>
      <c r="AB280" s="180"/>
      <c r="AC280" s="180"/>
      <c r="AD280" s="180"/>
      <c r="AE280" s="180"/>
      <c r="AF280" s="180"/>
      <c r="AG280" s="180"/>
      <c r="AH280" s="180"/>
      <c r="AI280" s="180">
        <v>15500000</v>
      </c>
      <c r="AJ280" s="181">
        <f t="shared" si="73"/>
        <v>67.391304347826093</v>
      </c>
      <c r="AK280" s="180">
        <f t="shared" si="87"/>
        <v>7500000</v>
      </c>
      <c r="AL280" s="181">
        <f t="shared" si="74"/>
        <v>32.608695652173914</v>
      </c>
      <c r="AM280" s="243"/>
    </row>
    <row r="281" spans="1:39" ht="28.5" customHeight="1" x14ac:dyDescent="0.25">
      <c r="A281" s="243"/>
      <c r="B281" s="477"/>
      <c r="C281" s="477"/>
      <c r="D281" s="477"/>
      <c r="E281" s="477"/>
      <c r="F281" s="477"/>
      <c r="G281" s="477"/>
      <c r="H281" s="477"/>
      <c r="I281" s="478"/>
      <c r="J281" s="477" t="s">
        <v>315</v>
      </c>
      <c r="K281" s="245"/>
      <c r="L281" s="257"/>
      <c r="M281" s="591" t="s">
        <v>271</v>
      </c>
      <c r="N281" s="592"/>
      <c r="O281" s="179"/>
      <c r="P281" s="180"/>
      <c r="Q281" s="180">
        <v>17250000</v>
      </c>
      <c r="R281" s="181">
        <f t="shared" si="90"/>
        <v>5.7343471437466196</v>
      </c>
      <c r="S281" s="181">
        <v>100</v>
      </c>
      <c r="T281" s="180">
        <f t="shared" ref="T281:T344" si="91">AJ281</f>
        <v>0</v>
      </c>
      <c r="U281" s="180">
        <f t="shared" si="80"/>
        <v>0</v>
      </c>
      <c r="V281" s="182">
        <f t="shared" si="77"/>
        <v>100</v>
      </c>
      <c r="W281" s="180"/>
      <c r="X281" s="180"/>
      <c r="Y281" s="180"/>
      <c r="Z281" s="180"/>
      <c r="AA281" s="180"/>
      <c r="AB281" s="180"/>
      <c r="AC281" s="180"/>
      <c r="AD281" s="180"/>
      <c r="AE281" s="180"/>
      <c r="AF281" s="180"/>
      <c r="AG281" s="180"/>
      <c r="AH281" s="180"/>
      <c r="AI281" s="180">
        <v>0</v>
      </c>
      <c r="AJ281" s="181">
        <f t="shared" ref="AJ281:AJ344" si="92">AI281/Q281*100</f>
        <v>0</v>
      </c>
      <c r="AK281" s="180">
        <f t="shared" si="87"/>
        <v>17250000</v>
      </c>
      <c r="AL281" s="181">
        <f t="shared" ref="AL281:AL344" si="93">AK281/Q281*100</f>
        <v>100</v>
      </c>
      <c r="AM281" s="243"/>
    </row>
    <row r="282" spans="1:39" ht="28.5" customHeight="1" x14ac:dyDescent="0.25">
      <c r="A282" s="243"/>
      <c r="B282" s="477"/>
      <c r="C282" s="477"/>
      <c r="D282" s="477"/>
      <c r="E282" s="477"/>
      <c r="F282" s="477"/>
      <c r="G282" s="477"/>
      <c r="H282" s="477"/>
      <c r="I282" s="478"/>
      <c r="J282" s="477" t="s">
        <v>318</v>
      </c>
      <c r="K282" s="245"/>
      <c r="L282" s="257"/>
      <c r="M282" s="591" t="s">
        <v>319</v>
      </c>
      <c r="N282" s="592"/>
      <c r="O282" s="179"/>
      <c r="P282" s="180"/>
      <c r="Q282" s="180">
        <v>32500000</v>
      </c>
      <c r="R282" s="181">
        <f t="shared" si="90"/>
        <v>10.803842444740008</v>
      </c>
      <c r="S282" s="181">
        <v>100</v>
      </c>
      <c r="T282" s="180">
        <f t="shared" si="91"/>
        <v>0</v>
      </c>
      <c r="U282" s="180">
        <f t="shared" si="80"/>
        <v>0</v>
      </c>
      <c r="V282" s="182">
        <f t="shared" si="77"/>
        <v>100</v>
      </c>
      <c r="W282" s="180"/>
      <c r="X282" s="180"/>
      <c r="Y282" s="180"/>
      <c r="Z282" s="180"/>
      <c r="AA282" s="180"/>
      <c r="AB282" s="180"/>
      <c r="AC282" s="180"/>
      <c r="AD282" s="180"/>
      <c r="AE282" s="180"/>
      <c r="AF282" s="180"/>
      <c r="AG282" s="180"/>
      <c r="AH282" s="180"/>
      <c r="AI282" s="180">
        <v>0</v>
      </c>
      <c r="AJ282" s="181">
        <f t="shared" si="92"/>
        <v>0</v>
      </c>
      <c r="AK282" s="180">
        <f t="shared" si="87"/>
        <v>32500000</v>
      </c>
      <c r="AL282" s="181">
        <f t="shared" si="93"/>
        <v>100</v>
      </c>
      <c r="AM282" s="243"/>
    </row>
    <row r="283" spans="1:39" ht="28.5" customHeight="1" x14ac:dyDescent="0.25">
      <c r="A283" s="243"/>
      <c r="B283" s="477"/>
      <c r="C283" s="477"/>
      <c r="D283" s="477"/>
      <c r="E283" s="477"/>
      <c r="F283" s="477"/>
      <c r="G283" s="477"/>
      <c r="H283" s="477"/>
      <c r="I283" s="478"/>
      <c r="J283" s="477" t="s">
        <v>280</v>
      </c>
      <c r="K283" s="245"/>
      <c r="L283" s="257"/>
      <c r="M283" s="591" t="s">
        <v>281</v>
      </c>
      <c r="N283" s="592"/>
      <c r="O283" s="179"/>
      <c r="P283" s="180"/>
      <c r="Q283" s="180">
        <v>6500000</v>
      </c>
      <c r="R283" s="181">
        <f t="shared" si="90"/>
        <v>2.1607684889480017</v>
      </c>
      <c r="S283" s="181">
        <v>100</v>
      </c>
      <c r="T283" s="180">
        <f t="shared" si="91"/>
        <v>30.76923076923077</v>
      </c>
      <c r="U283" s="180">
        <f t="shared" si="80"/>
        <v>0.66485184275323139</v>
      </c>
      <c r="V283" s="182">
        <f t="shared" si="77"/>
        <v>69.230769230769226</v>
      </c>
      <c r="W283" s="180"/>
      <c r="X283" s="180"/>
      <c r="Y283" s="180"/>
      <c r="Z283" s="180"/>
      <c r="AA283" s="180"/>
      <c r="AB283" s="180"/>
      <c r="AC283" s="180"/>
      <c r="AD283" s="180"/>
      <c r="AE283" s="180"/>
      <c r="AF283" s="180"/>
      <c r="AG283" s="180"/>
      <c r="AH283" s="180"/>
      <c r="AI283" s="180">
        <v>2000000</v>
      </c>
      <c r="AJ283" s="181">
        <f t="shared" si="92"/>
        <v>30.76923076923077</v>
      </c>
      <c r="AK283" s="180">
        <f t="shared" si="87"/>
        <v>4500000</v>
      </c>
      <c r="AL283" s="181">
        <f t="shared" si="93"/>
        <v>69.230769230769226</v>
      </c>
      <c r="AM283" s="243"/>
    </row>
    <row r="284" spans="1:39" ht="28.5" customHeight="1" x14ac:dyDescent="0.25">
      <c r="A284" s="243"/>
      <c r="B284" s="477"/>
      <c r="C284" s="477"/>
      <c r="D284" s="477"/>
      <c r="E284" s="477"/>
      <c r="F284" s="477"/>
      <c r="G284" s="477"/>
      <c r="H284" s="477"/>
      <c r="I284" s="478"/>
      <c r="J284" s="477" t="s">
        <v>284</v>
      </c>
      <c r="K284" s="245"/>
      <c r="L284" s="257"/>
      <c r="M284" s="591" t="s">
        <v>285</v>
      </c>
      <c r="N284" s="592"/>
      <c r="O284" s="179"/>
      <c r="P284" s="180"/>
      <c r="Q284" s="180">
        <v>2700000</v>
      </c>
      <c r="R284" s="181">
        <f t="shared" si="90"/>
        <v>0.89754998771686223</v>
      </c>
      <c r="S284" s="181">
        <v>100</v>
      </c>
      <c r="T284" s="180">
        <f t="shared" si="91"/>
        <v>16.296296296296298</v>
      </c>
      <c r="U284" s="180">
        <f t="shared" si="80"/>
        <v>0.1462674054057109</v>
      </c>
      <c r="V284" s="182">
        <f t="shared" si="77"/>
        <v>83.703703703703695</v>
      </c>
      <c r="W284" s="180"/>
      <c r="X284" s="180"/>
      <c r="Y284" s="180"/>
      <c r="Z284" s="180"/>
      <c r="AA284" s="180"/>
      <c r="AB284" s="180"/>
      <c r="AC284" s="180"/>
      <c r="AD284" s="180"/>
      <c r="AE284" s="180"/>
      <c r="AF284" s="180"/>
      <c r="AG284" s="180"/>
      <c r="AH284" s="180"/>
      <c r="AI284" s="180">
        <v>440000</v>
      </c>
      <c r="AJ284" s="181">
        <f t="shared" si="92"/>
        <v>16.296296296296298</v>
      </c>
      <c r="AK284" s="180">
        <f t="shared" si="87"/>
        <v>2260000</v>
      </c>
      <c r="AL284" s="181">
        <f t="shared" si="93"/>
        <v>83.703703703703695</v>
      </c>
      <c r="AM284" s="243"/>
    </row>
    <row r="285" spans="1:39" ht="28.5" customHeight="1" x14ac:dyDescent="0.25">
      <c r="A285" s="243"/>
      <c r="B285" s="477"/>
      <c r="C285" s="477"/>
      <c r="D285" s="477"/>
      <c r="E285" s="477"/>
      <c r="F285" s="477"/>
      <c r="G285" s="477"/>
      <c r="H285" s="477"/>
      <c r="I285" s="478"/>
      <c r="J285" s="477" t="s">
        <v>282</v>
      </c>
      <c r="K285" s="245"/>
      <c r="L285" s="257"/>
      <c r="M285" s="591" t="s">
        <v>283</v>
      </c>
      <c r="N285" s="592"/>
      <c r="O285" s="179"/>
      <c r="P285" s="180"/>
      <c r="Q285" s="180">
        <v>55878900</v>
      </c>
      <c r="R285" s="181">
        <f t="shared" si="90"/>
        <v>18.575594818011769</v>
      </c>
      <c r="S285" s="181">
        <v>100</v>
      </c>
      <c r="T285" s="180">
        <f t="shared" si="91"/>
        <v>63.574086104057173</v>
      </c>
      <c r="U285" s="180">
        <f t="shared" si="80"/>
        <v>11.809264643943584</v>
      </c>
      <c r="V285" s="182">
        <f t="shared" si="77"/>
        <v>36.425913895942827</v>
      </c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  <c r="AG285" s="180"/>
      <c r="AH285" s="180"/>
      <c r="AI285" s="180">
        <f>12243500+23281000</f>
        <v>35524500</v>
      </c>
      <c r="AJ285" s="181">
        <f t="shared" si="92"/>
        <v>63.574086104057173</v>
      </c>
      <c r="AK285" s="180">
        <f t="shared" si="87"/>
        <v>20354400</v>
      </c>
      <c r="AL285" s="181">
        <f t="shared" si="93"/>
        <v>36.425913895942834</v>
      </c>
      <c r="AM285" s="243"/>
    </row>
    <row r="286" spans="1:39" ht="28.5" customHeight="1" x14ac:dyDescent="0.25">
      <c r="A286" s="243"/>
      <c r="B286" s="477"/>
      <c r="C286" s="477"/>
      <c r="D286" s="477"/>
      <c r="E286" s="477"/>
      <c r="F286" s="477"/>
      <c r="G286" s="477"/>
      <c r="H286" s="477"/>
      <c r="I286" s="478"/>
      <c r="J286" s="477" t="s">
        <v>320</v>
      </c>
      <c r="K286" s="245"/>
      <c r="L286" s="257"/>
      <c r="M286" s="591" t="s">
        <v>414</v>
      </c>
      <c r="N286" s="592"/>
      <c r="O286" s="179"/>
      <c r="P286" s="180"/>
      <c r="Q286" s="180">
        <v>800000</v>
      </c>
      <c r="R286" s="181">
        <f t="shared" si="90"/>
        <v>0.26594073710129251</v>
      </c>
      <c r="S286" s="181">
        <v>100</v>
      </c>
      <c r="T286" s="180">
        <f t="shared" si="91"/>
        <v>0</v>
      </c>
      <c r="U286" s="180">
        <f t="shared" si="80"/>
        <v>0</v>
      </c>
      <c r="V286" s="182">
        <f t="shared" si="77"/>
        <v>100</v>
      </c>
      <c r="W286" s="180"/>
      <c r="X286" s="180"/>
      <c r="Y286" s="180"/>
      <c r="Z286" s="180"/>
      <c r="AA286" s="180"/>
      <c r="AB286" s="180"/>
      <c r="AC286" s="180"/>
      <c r="AD286" s="180"/>
      <c r="AE286" s="180"/>
      <c r="AF286" s="180"/>
      <c r="AG286" s="180"/>
      <c r="AH286" s="180"/>
      <c r="AI286" s="180">
        <v>0</v>
      </c>
      <c r="AJ286" s="181">
        <f t="shared" si="92"/>
        <v>0</v>
      </c>
      <c r="AK286" s="180">
        <f t="shared" si="87"/>
        <v>800000</v>
      </c>
      <c r="AL286" s="181">
        <f t="shared" si="93"/>
        <v>100</v>
      </c>
      <c r="AM286" s="243"/>
    </row>
    <row r="287" spans="1:39" s="297" customFormat="1" ht="28.5" customHeight="1" x14ac:dyDescent="0.25">
      <c r="A287" s="227">
        <f>A275+1</f>
        <v>39</v>
      </c>
      <c r="B287" s="615" t="s">
        <v>151</v>
      </c>
      <c r="C287" s="615"/>
      <c r="D287" s="615"/>
      <c r="E287" s="615"/>
      <c r="F287" s="615"/>
      <c r="G287" s="615"/>
      <c r="H287" s="615"/>
      <c r="I287" s="614"/>
      <c r="J287" s="304" t="s">
        <v>483</v>
      </c>
      <c r="K287" s="230"/>
      <c r="L287" s="294"/>
      <c r="M287" s="610" t="s">
        <v>42</v>
      </c>
      <c r="N287" s="610"/>
      <c r="O287" s="309">
        <v>128761142</v>
      </c>
      <c r="P287" s="231">
        <f>O287</f>
        <v>128761142</v>
      </c>
      <c r="Q287" s="231">
        <f>SUM(Q288:Q296)</f>
        <v>412682320</v>
      </c>
      <c r="R287" s="233">
        <f>Q287/Q$248*100</f>
        <v>3.4598230373427139</v>
      </c>
      <c r="S287" s="233">
        <v>100</v>
      </c>
      <c r="T287" s="231">
        <f t="shared" si="91"/>
        <v>31.501228354052095</v>
      </c>
      <c r="U287" s="231">
        <f t="shared" si="80"/>
        <v>1.0898867556394294</v>
      </c>
      <c r="V287" s="296">
        <f t="shared" si="77"/>
        <v>68.498771645947897</v>
      </c>
      <c r="W287" s="231"/>
      <c r="X287" s="231" t="e">
        <f>#REF!</f>
        <v>#REF!</v>
      </c>
      <c r="Y287" s="231" t="e">
        <f>#REF!</f>
        <v>#REF!</v>
      </c>
      <c r="Z287" s="231" t="e">
        <f>#REF!</f>
        <v>#REF!</v>
      </c>
      <c r="AA287" s="231" t="e">
        <f>#REF!</f>
        <v>#REF!</v>
      </c>
      <c r="AB287" s="231">
        <v>11060000</v>
      </c>
      <c r="AC287" s="231" t="e">
        <f>#REF!</f>
        <v>#REF!</v>
      </c>
      <c r="AD287" s="231" t="e">
        <f>#REF!</f>
        <v>#REF!</v>
      </c>
      <c r="AE287" s="231" t="e">
        <f>#REF!</f>
        <v>#REF!</v>
      </c>
      <c r="AF287" s="231" t="e">
        <f>[1]April!N58</f>
        <v>#REF!</v>
      </c>
      <c r="AG287" s="231">
        <v>137440000</v>
      </c>
      <c r="AH287" s="231">
        <f>'[3]DES SKPD'!$N58</f>
        <v>133587000</v>
      </c>
      <c r="AI287" s="231">
        <f>SUM(AI288:AI296)</f>
        <v>130000000</v>
      </c>
      <c r="AJ287" s="233">
        <f t="shared" si="92"/>
        <v>31.501228354052095</v>
      </c>
      <c r="AK287" s="231">
        <f t="shared" si="87"/>
        <v>282682320</v>
      </c>
      <c r="AL287" s="233">
        <f t="shared" si="93"/>
        <v>68.498771645947912</v>
      </c>
      <c r="AM287" s="227"/>
    </row>
    <row r="288" spans="1:39" ht="28.5" customHeight="1" x14ac:dyDescent="0.25">
      <c r="A288" s="243"/>
      <c r="B288" s="477"/>
      <c r="C288" s="477"/>
      <c r="D288" s="477"/>
      <c r="E288" s="477"/>
      <c r="F288" s="477"/>
      <c r="G288" s="477"/>
      <c r="H288" s="477"/>
      <c r="I288" s="478"/>
      <c r="J288" s="477" t="s">
        <v>257</v>
      </c>
      <c r="K288" s="245"/>
      <c r="L288" s="257"/>
      <c r="M288" s="591" t="s">
        <v>260</v>
      </c>
      <c r="N288" s="592"/>
      <c r="O288" s="179"/>
      <c r="P288" s="180"/>
      <c r="Q288" s="180">
        <v>1540000</v>
      </c>
      <c r="R288" s="181">
        <f>Q288/Q$297*100</f>
        <v>0.51971035259647624</v>
      </c>
      <c r="S288" s="181">
        <v>100</v>
      </c>
      <c r="T288" s="180">
        <f t="shared" si="91"/>
        <v>0</v>
      </c>
      <c r="U288" s="180">
        <f t="shared" si="80"/>
        <v>0</v>
      </c>
      <c r="V288" s="182">
        <f t="shared" si="77"/>
        <v>100</v>
      </c>
      <c r="W288" s="180"/>
      <c r="X288" s="180"/>
      <c r="Y288" s="180"/>
      <c r="Z288" s="180"/>
      <c r="AA288" s="180"/>
      <c r="AB288" s="180"/>
      <c r="AC288" s="180"/>
      <c r="AD288" s="180"/>
      <c r="AE288" s="180"/>
      <c r="AF288" s="180"/>
      <c r="AG288" s="180"/>
      <c r="AH288" s="180"/>
      <c r="AI288" s="180">
        <v>0</v>
      </c>
      <c r="AJ288" s="181">
        <f t="shared" si="92"/>
        <v>0</v>
      </c>
      <c r="AK288" s="180">
        <f t="shared" si="87"/>
        <v>1540000</v>
      </c>
      <c r="AL288" s="181">
        <f t="shared" si="93"/>
        <v>100</v>
      </c>
      <c r="AM288" s="243"/>
    </row>
    <row r="289" spans="1:39" ht="28.5" customHeight="1" x14ac:dyDescent="0.25">
      <c r="A289" s="243"/>
      <c r="B289" s="477"/>
      <c r="C289" s="477"/>
      <c r="D289" s="477"/>
      <c r="E289" s="477"/>
      <c r="F289" s="477"/>
      <c r="G289" s="477"/>
      <c r="H289" s="477"/>
      <c r="I289" s="478"/>
      <c r="J289" s="477" t="s">
        <v>326</v>
      </c>
      <c r="K289" s="245"/>
      <c r="L289" s="257"/>
      <c r="M289" s="591" t="s">
        <v>327</v>
      </c>
      <c r="N289" s="592"/>
      <c r="O289" s="179"/>
      <c r="P289" s="180"/>
      <c r="Q289" s="180">
        <v>255600000</v>
      </c>
      <c r="R289" s="181">
        <f>Q289/Q$297*100</f>
        <v>86.258419560817757</v>
      </c>
      <c r="S289" s="181">
        <v>100</v>
      </c>
      <c r="T289" s="180">
        <f>AJ289</f>
        <v>0</v>
      </c>
      <c r="U289" s="180">
        <f>R289*T289/100</f>
        <v>0</v>
      </c>
      <c r="V289" s="182">
        <f>S289-T289</f>
        <v>100</v>
      </c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  <c r="AG289" s="180"/>
      <c r="AH289" s="180"/>
      <c r="AI289" s="180">
        <v>0</v>
      </c>
      <c r="AJ289" s="181">
        <f t="shared" si="92"/>
        <v>0</v>
      </c>
      <c r="AK289" s="180">
        <f t="shared" si="87"/>
        <v>255600000</v>
      </c>
      <c r="AL289" s="181">
        <f t="shared" si="93"/>
        <v>100</v>
      </c>
      <c r="AM289" s="243"/>
    </row>
    <row r="290" spans="1:39" ht="28.5" customHeight="1" x14ac:dyDescent="0.25">
      <c r="A290" s="243"/>
      <c r="B290" s="477"/>
      <c r="C290" s="477"/>
      <c r="D290" s="477"/>
      <c r="E290" s="477"/>
      <c r="F290" s="477"/>
      <c r="G290" s="477"/>
      <c r="H290" s="477"/>
      <c r="I290" s="478"/>
      <c r="J290" s="477" t="s">
        <v>604</v>
      </c>
      <c r="K290" s="245"/>
      <c r="L290" s="257"/>
      <c r="M290" s="591" t="s">
        <v>324</v>
      </c>
      <c r="N290" s="592"/>
      <c r="O290" s="179"/>
      <c r="P290" s="180"/>
      <c r="Q290" s="180">
        <v>10000000</v>
      </c>
      <c r="R290" s="181"/>
      <c r="S290" s="181">
        <v>100</v>
      </c>
      <c r="T290" s="180">
        <f>AJ290</f>
        <v>0</v>
      </c>
      <c r="U290" s="180"/>
      <c r="V290" s="182">
        <f>S290-T290</f>
        <v>100</v>
      </c>
      <c r="W290" s="180"/>
      <c r="X290" s="180"/>
      <c r="Y290" s="180"/>
      <c r="Z290" s="180"/>
      <c r="AA290" s="180"/>
      <c r="AB290" s="180"/>
      <c r="AC290" s="180"/>
      <c r="AD290" s="180"/>
      <c r="AE290" s="180"/>
      <c r="AF290" s="180"/>
      <c r="AG290" s="180"/>
      <c r="AH290" s="180"/>
      <c r="AI290" s="180">
        <v>0</v>
      </c>
      <c r="AJ290" s="181">
        <f t="shared" si="92"/>
        <v>0</v>
      </c>
      <c r="AK290" s="180">
        <f t="shared" si="87"/>
        <v>10000000</v>
      </c>
      <c r="AL290" s="181">
        <f t="shared" si="93"/>
        <v>100</v>
      </c>
      <c r="AM290" s="243"/>
    </row>
    <row r="291" spans="1:39" ht="28.5" customHeight="1" x14ac:dyDescent="0.25">
      <c r="A291" s="243"/>
      <c r="B291" s="477"/>
      <c r="C291" s="477"/>
      <c r="D291" s="477"/>
      <c r="E291" s="477"/>
      <c r="F291" s="477"/>
      <c r="G291" s="477"/>
      <c r="H291" s="477"/>
      <c r="I291" s="478"/>
      <c r="J291" s="477" t="s">
        <v>269</v>
      </c>
      <c r="K291" s="245"/>
      <c r="L291" s="257"/>
      <c r="M291" s="591" t="s">
        <v>270</v>
      </c>
      <c r="N291" s="592"/>
      <c r="O291" s="179"/>
      <c r="P291" s="180"/>
      <c r="Q291" s="180">
        <v>25000000</v>
      </c>
      <c r="R291" s="181">
        <f t="shared" ref="R291:R296" si="94">Q291/Q$297*100</f>
        <v>8.4368563733194204</v>
      </c>
      <c r="S291" s="181">
        <v>100</v>
      </c>
      <c r="T291" s="180">
        <f t="shared" si="91"/>
        <v>100</v>
      </c>
      <c r="U291" s="180">
        <f t="shared" si="80"/>
        <v>8.4368563733194204</v>
      </c>
      <c r="V291" s="182">
        <f t="shared" si="77"/>
        <v>0</v>
      </c>
      <c r="W291" s="180"/>
      <c r="X291" s="180"/>
      <c r="Y291" s="180"/>
      <c r="Z291" s="180"/>
      <c r="AA291" s="180"/>
      <c r="AB291" s="180"/>
      <c r="AC291" s="180"/>
      <c r="AD291" s="180"/>
      <c r="AE291" s="180"/>
      <c r="AF291" s="180"/>
      <c r="AG291" s="180"/>
      <c r="AH291" s="180"/>
      <c r="AI291" s="180">
        <v>25000000</v>
      </c>
      <c r="AJ291" s="181">
        <f t="shared" si="92"/>
        <v>100</v>
      </c>
      <c r="AK291" s="180">
        <f t="shared" si="87"/>
        <v>0</v>
      </c>
      <c r="AL291" s="181">
        <f t="shared" si="93"/>
        <v>0</v>
      </c>
      <c r="AM291" s="243"/>
    </row>
    <row r="292" spans="1:39" ht="28.5" customHeight="1" x14ac:dyDescent="0.25">
      <c r="A292" s="243"/>
      <c r="B292" s="477"/>
      <c r="C292" s="477"/>
      <c r="D292" s="477"/>
      <c r="E292" s="477"/>
      <c r="F292" s="477"/>
      <c r="G292" s="477"/>
      <c r="H292" s="477"/>
      <c r="I292" s="478"/>
      <c r="J292" s="477" t="s">
        <v>315</v>
      </c>
      <c r="K292" s="245"/>
      <c r="L292" s="257"/>
      <c r="M292" s="591" t="s">
        <v>271</v>
      </c>
      <c r="N292" s="592"/>
      <c r="O292" s="179"/>
      <c r="P292" s="180"/>
      <c r="Q292" s="180">
        <v>1000000</v>
      </c>
      <c r="R292" s="181">
        <f t="shared" si="94"/>
        <v>0.33747425493277683</v>
      </c>
      <c r="S292" s="181">
        <v>100</v>
      </c>
      <c r="T292" s="180">
        <f t="shared" si="91"/>
        <v>0</v>
      </c>
      <c r="U292" s="180">
        <f t="shared" si="80"/>
        <v>0</v>
      </c>
      <c r="V292" s="182">
        <f t="shared" si="77"/>
        <v>100</v>
      </c>
      <c r="W292" s="180"/>
      <c r="X292" s="180"/>
      <c r="Y292" s="180"/>
      <c r="Z292" s="180"/>
      <c r="AA292" s="180"/>
      <c r="AB292" s="180"/>
      <c r="AC292" s="180"/>
      <c r="AD292" s="180"/>
      <c r="AE292" s="180"/>
      <c r="AF292" s="180"/>
      <c r="AG292" s="180"/>
      <c r="AH292" s="180"/>
      <c r="AI292" s="180">
        <v>0</v>
      </c>
      <c r="AJ292" s="181">
        <f t="shared" si="92"/>
        <v>0</v>
      </c>
      <c r="AK292" s="180">
        <f t="shared" si="87"/>
        <v>1000000</v>
      </c>
      <c r="AL292" s="181">
        <f t="shared" si="93"/>
        <v>100</v>
      </c>
      <c r="AM292" s="243"/>
    </row>
    <row r="293" spans="1:39" ht="28.5" customHeight="1" x14ac:dyDescent="0.25">
      <c r="A293" s="243"/>
      <c r="B293" s="477"/>
      <c r="C293" s="477"/>
      <c r="D293" s="477"/>
      <c r="E293" s="477"/>
      <c r="F293" s="477"/>
      <c r="G293" s="477"/>
      <c r="H293" s="477"/>
      <c r="I293" s="478"/>
      <c r="J293" s="477" t="s">
        <v>318</v>
      </c>
      <c r="K293" s="245"/>
      <c r="L293" s="257"/>
      <c r="M293" s="591" t="s">
        <v>319</v>
      </c>
      <c r="N293" s="592"/>
      <c r="O293" s="179"/>
      <c r="P293" s="180"/>
      <c r="Q293" s="180">
        <v>105482320</v>
      </c>
      <c r="R293" s="181">
        <f t="shared" si="94"/>
        <v>35.597567350580746</v>
      </c>
      <c r="S293" s="181">
        <v>100</v>
      </c>
      <c r="T293" s="180">
        <f t="shared" si="91"/>
        <v>99.542748016918864</v>
      </c>
      <c r="U293" s="180"/>
      <c r="V293" s="182">
        <f t="shared" si="77"/>
        <v>0.4572519830811359</v>
      </c>
      <c r="W293" s="180"/>
      <c r="X293" s="180"/>
      <c r="Y293" s="180"/>
      <c r="Z293" s="180"/>
      <c r="AA293" s="180"/>
      <c r="AB293" s="180"/>
      <c r="AC293" s="180"/>
      <c r="AD293" s="180"/>
      <c r="AE293" s="180"/>
      <c r="AF293" s="180"/>
      <c r="AG293" s="180"/>
      <c r="AH293" s="180"/>
      <c r="AI293" s="180">
        <v>105000000</v>
      </c>
      <c r="AJ293" s="181">
        <f t="shared" si="92"/>
        <v>99.542748016918864</v>
      </c>
      <c r="AK293" s="180">
        <f t="shared" si="87"/>
        <v>482320</v>
      </c>
      <c r="AL293" s="181">
        <f t="shared" si="93"/>
        <v>0.45725198308114573</v>
      </c>
      <c r="AM293" s="243"/>
    </row>
    <row r="294" spans="1:39" ht="28.5" customHeight="1" x14ac:dyDescent="0.25">
      <c r="A294" s="243"/>
      <c r="B294" s="477"/>
      <c r="C294" s="477"/>
      <c r="D294" s="477"/>
      <c r="E294" s="477"/>
      <c r="F294" s="477"/>
      <c r="G294" s="477"/>
      <c r="H294" s="477"/>
      <c r="I294" s="478"/>
      <c r="J294" s="477" t="s">
        <v>280</v>
      </c>
      <c r="K294" s="245"/>
      <c r="L294" s="257"/>
      <c r="M294" s="591" t="s">
        <v>281</v>
      </c>
      <c r="N294" s="592"/>
      <c r="O294" s="179"/>
      <c r="P294" s="180"/>
      <c r="Q294" s="180">
        <v>13000000</v>
      </c>
      <c r="R294" s="181">
        <f t="shared" si="94"/>
        <v>4.3871653141260989</v>
      </c>
      <c r="S294" s="181">
        <v>100</v>
      </c>
      <c r="T294" s="180">
        <f t="shared" si="91"/>
        <v>0</v>
      </c>
      <c r="U294" s="180">
        <f t="shared" si="80"/>
        <v>0</v>
      </c>
      <c r="V294" s="182">
        <f t="shared" si="77"/>
        <v>100</v>
      </c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>
        <v>0</v>
      </c>
      <c r="AJ294" s="181">
        <f t="shared" si="92"/>
        <v>0</v>
      </c>
      <c r="AK294" s="180">
        <f t="shared" si="87"/>
        <v>13000000</v>
      </c>
      <c r="AL294" s="181">
        <f t="shared" si="93"/>
        <v>100</v>
      </c>
      <c r="AM294" s="243"/>
    </row>
    <row r="295" spans="1:39" ht="28.5" customHeight="1" x14ac:dyDescent="0.25">
      <c r="A295" s="243"/>
      <c r="B295" s="477"/>
      <c r="C295" s="477"/>
      <c r="D295" s="477"/>
      <c r="E295" s="477"/>
      <c r="F295" s="477"/>
      <c r="G295" s="477"/>
      <c r="H295" s="477"/>
      <c r="I295" s="478"/>
      <c r="J295" s="477" t="s">
        <v>284</v>
      </c>
      <c r="K295" s="245"/>
      <c r="L295" s="257"/>
      <c r="M295" s="591" t="s">
        <v>600</v>
      </c>
      <c r="N295" s="592"/>
      <c r="O295" s="179"/>
      <c r="P295" s="180"/>
      <c r="Q295" s="180">
        <v>660000</v>
      </c>
      <c r="R295" s="181">
        <f t="shared" si="94"/>
        <v>0.22273300825563269</v>
      </c>
      <c r="S295" s="181">
        <v>100</v>
      </c>
      <c r="T295" s="180">
        <f t="shared" si="91"/>
        <v>0</v>
      </c>
      <c r="U295" s="180"/>
      <c r="V295" s="182">
        <f t="shared" si="77"/>
        <v>100</v>
      </c>
      <c r="W295" s="180"/>
      <c r="X295" s="180"/>
      <c r="Y295" s="180"/>
      <c r="Z295" s="180"/>
      <c r="AA295" s="180"/>
      <c r="AB295" s="180"/>
      <c r="AC295" s="180"/>
      <c r="AD295" s="180"/>
      <c r="AE295" s="180"/>
      <c r="AF295" s="180"/>
      <c r="AG295" s="180"/>
      <c r="AH295" s="180"/>
      <c r="AI295" s="180">
        <v>0</v>
      </c>
      <c r="AJ295" s="181">
        <f t="shared" si="92"/>
        <v>0</v>
      </c>
      <c r="AK295" s="180">
        <f t="shared" si="87"/>
        <v>660000</v>
      </c>
      <c r="AL295" s="181">
        <f t="shared" si="93"/>
        <v>100</v>
      </c>
      <c r="AM295" s="243"/>
    </row>
    <row r="296" spans="1:39" ht="28.5" customHeight="1" x14ac:dyDescent="0.25">
      <c r="A296" s="243"/>
      <c r="B296" s="477"/>
      <c r="C296" s="477"/>
      <c r="D296" s="477"/>
      <c r="E296" s="477"/>
      <c r="F296" s="477"/>
      <c r="G296" s="477"/>
      <c r="H296" s="477"/>
      <c r="I296" s="478"/>
      <c r="J296" s="477" t="s">
        <v>407</v>
      </c>
      <c r="K296" s="245"/>
      <c r="L296" s="257"/>
      <c r="M296" s="591" t="s">
        <v>414</v>
      </c>
      <c r="N296" s="592"/>
      <c r="O296" s="179"/>
      <c r="P296" s="180"/>
      <c r="Q296" s="180">
        <v>400000</v>
      </c>
      <c r="R296" s="181">
        <f t="shared" si="94"/>
        <v>0.13498970197311072</v>
      </c>
      <c r="S296" s="181">
        <v>100</v>
      </c>
      <c r="T296" s="180">
        <f t="shared" si="91"/>
        <v>0</v>
      </c>
      <c r="U296" s="180">
        <f t="shared" si="80"/>
        <v>0</v>
      </c>
      <c r="V296" s="182">
        <f t="shared" si="77"/>
        <v>100</v>
      </c>
      <c r="W296" s="180"/>
      <c r="X296" s="180"/>
      <c r="Y296" s="180"/>
      <c r="Z296" s="180"/>
      <c r="AA296" s="180"/>
      <c r="AB296" s="180"/>
      <c r="AC296" s="180"/>
      <c r="AD296" s="180"/>
      <c r="AE296" s="180"/>
      <c r="AF296" s="180"/>
      <c r="AG296" s="180"/>
      <c r="AH296" s="180"/>
      <c r="AI296" s="180">
        <v>0</v>
      </c>
      <c r="AJ296" s="181">
        <f t="shared" si="92"/>
        <v>0</v>
      </c>
      <c r="AK296" s="180">
        <f t="shared" si="87"/>
        <v>400000</v>
      </c>
      <c r="AL296" s="181">
        <f t="shared" si="93"/>
        <v>100</v>
      </c>
      <c r="AM296" s="243"/>
    </row>
    <row r="297" spans="1:39" s="311" customFormat="1" ht="33" customHeight="1" x14ac:dyDescent="0.25">
      <c r="A297" s="227">
        <f>A287+1</f>
        <v>40</v>
      </c>
      <c r="B297" s="615" t="s">
        <v>147</v>
      </c>
      <c r="C297" s="615"/>
      <c r="D297" s="615"/>
      <c r="E297" s="615"/>
      <c r="F297" s="615"/>
      <c r="G297" s="615"/>
      <c r="H297" s="615"/>
      <c r="I297" s="614"/>
      <c r="J297" s="304" t="s">
        <v>484</v>
      </c>
      <c r="K297" s="230"/>
      <c r="L297" s="294"/>
      <c r="M297" s="609" t="s">
        <v>43</v>
      </c>
      <c r="N297" s="609"/>
      <c r="O297" s="310">
        <v>450820000</v>
      </c>
      <c r="P297" s="231">
        <f>O297</f>
        <v>450820000</v>
      </c>
      <c r="Q297" s="231">
        <f>SUM(Q298:Q308)</f>
        <v>296318900</v>
      </c>
      <c r="R297" s="233">
        <f>Q297/Q$248*100</f>
        <v>2.4842618811972654</v>
      </c>
      <c r="S297" s="233">
        <v>100</v>
      </c>
      <c r="T297" s="231">
        <f t="shared" si="91"/>
        <v>0</v>
      </c>
      <c r="U297" s="231">
        <f t="shared" si="80"/>
        <v>0</v>
      </c>
      <c r="V297" s="296">
        <f t="shared" si="77"/>
        <v>100</v>
      </c>
      <c r="W297" s="231"/>
      <c r="X297" s="231" t="e">
        <f>#REF!</f>
        <v>#REF!</v>
      </c>
      <c r="Y297" s="231" t="e">
        <f>#REF!</f>
        <v>#REF!</v>
      </c>
      <c r="Z297" s="231" t="e">
        <f>#REF!</f>
        <v>#REF!</v>
      </c>
      <c r="AA297" s="231" t="e">
        <f>#REF!</f>
        <v>#REF!</v>
      </c>
      <c r="AB297" s="231">
        <v>0</v>
      </c>
      <c r="AC297" s="231" t="e">
        <f>#REF!</f>
        <v>#REF!</v>
      </c>
      <c r="AD297" s="231" t="e">
        <f>#REF!</f>
        <v>#REF!</v>
      </c>
      <c r="AE297" s="231" t="e">
        <f>#REF!</f>
        <v>#REF!</v>
      </c>
      <c r="AF297" s="231" t="e">
        <f>[1]April!N59</f>
        <v>#REF!</v>
      </c>
      <c r="AG297" s="231" t="e">
        <f>[2]april!N59</f>
        <v>#REF!</v>
      </c>
      <c r="AH297" s="231">
        <f>'[3]DES SKPD'!$N59</f>
        <v>395224250</v>
      </c>
      <c r="AI297" s="231">
        <f>SUM(AI298:AI308)</f>
        <v>0</v>
      </c>
      <c r="AJ297" s="233">
        <f t="shared" si="92"/>
        <v>0</v>
      </c>
      <c r="AK297" s="231">
        <f t="shared" si="87"/>
        <v>296318900</v>
      </c>
      <c r="AL297" s="233">
        <f t="shared" si="93"/>
        <v>100</v>
      </c>
      <c r="AM297" s="227"/>
    </row>
    <row r="298" spans="1:39" ht="28.5" customHeight="1" x14ac:dyDescent="0.25">
      <c r="A298" s="243"/>
      <c r="B298" s="477"/>
      <c r="C298" s="477"/>
      <c r="D298" s="477"/>
      <c r="E298" s="477"/>
      <c r="F298" s="477"/>
      <c r="G298" s="477"/>
      <c r="H298" s="477"/>
      <c r="I298" s="478"/>
      <c r="J298" s="477" t="s">
        <v>257</v>
      </c>
      <c r="K298" s="245"/>
      <c r="L298" s="257"/>
      <c r="M298" s="591" t="s">
        <v>260</v>
      </c>
      <c r="N298" s="592"/>
      <c r="O298" s="179"/>
      <c r="P298" s="180"/>
      <c r="Q298" s="180">
        <v>1540000</v>
      </c>
      <c r="R298" s="181">
        <f>Q298/Q$297*100</f>
        <v>0.51971035259647624</v>
      </c>
      <c r="S298" s="181">
        <v>100</v>
      </c>
      <c r="T298" s="180">
        <f t="shared" si="91"/>
        <v>0</v>
      </c>
      <c r="U298" s="180">
        <f t="shared" si="80"/>
        <v>0</v>
      </c>
      <c r="V298" s="182">
        <f t="shared" ref="V298:V537" si="95">S298-T298</f>
        <v>100</v>
      </c>
      <c r="W298" s="180"/>
      <c r="X298" s="180"/>
      <c r="Y298" s="180"/>
      <c r="Z298" s="180"/>
      <c r="AA298" s="180"/>
      <c r="AB298" s="180"/>
      <c r="AC298" s="180"/>
      <c r="AD298" s="180"/>
      <c r="AE298" s="180"/>
      <c r="AF298" s="180"/>
      <c r="AG298" s="180"/>
      <c r="AH298" s="180"/>
      <c r="AI298" s="180">
        <v>0</v>
      </c>
      <c r="AJ298" s="181">
        <f t="shared" si="92"/>
        <v>0</v>
      </c>
      <c r="AK298" s="180">
        <f t="shared" si="87"/>
        <v>1540000</v>
      </c>
      <c r="AL298" s="181">
        <f t="shared" si="93"/>
        <v>100</v>
      </c>
      <c r="AM298" s="243"/>
    </row>
    <row r="299" spans="1:39" ht="28.5" customHeight="1" x14ac:dyDescent="0.25">
      <c r="A299" s="243"/>
      <c r="B299" s="477"/>
      <c r="C299" s="477"/>
      <c r="D299" s="477"/>
      <c r="E299" s="477"/>
      <c r="F299" s="477"/>
      <c r="G299" s="477"/>
      <c r="H299" s="477"/>
      <c r="I299" s="478"/>
      <c r="J299" s="477" t="s">
        <v>326</v>
      </c>
      <c r="K299" s="245"/>
      <c r="L299" s="257"/>
      <c r="M299" s="591" t="s">
        <v>327</v>
      </c>
      <c r="N299" s="592"/>
      <c r="O299" s="179"/>
      <c r="P299" s="180"/>
      <c r="Q299" s="180">
        <v>140400000</v>
      </c>
      <c r="R299" s="181">
        <f t="shared" ref="R299:R308" si="96">Q299/Q$297*100</f>
        <v>47.381385392561867</v>
      </c>
      <c r="S299" s="181">
        <v>100</v>
      </c>
      <c r="T299" s="180">
        <f t="shared" si="91"/>
        <v>0</v>
      </c>
      <c r="U299" s="180">
        <f t="shared" si="80"/>
        <v>0</v>
      </c>
      <c r="V299" s="182">
        <f t="shared" si="95"/>
        <v>100</v>
      </c>
      <c r="W299" s="180"/>
      <c r="X299" s="180"/>
      <c r="Y299" s="180"/>
      <c r="Z299" s="180"/>
      <c r="AA299" s="180"/>
      <c r="AB299" s="180"/>
      <c r="AC299" s="180"/>
      <c r="AD299" s="180"/>
      <c r="AE299" s="180"/>
      <c r="AF299" s="180"/>
      <c r="AG299" s="180"/>
      <c r="AH299" s="180"/>
      <c r="AI299" s="180">
        <v>0</v>
      </c>
      <c r="AJ299" s="181">
        <f t="shared" si="92"/>
        <v>0</v>
      </c>
      <c r="AK299" s="180">
        <f t="shared" si="87"/>
        <v>140400000</v>
      </c>
      <c r="AL299" s="181">
        <f t="shared" si="93"/>
        <v>100</v>
      </c>
      <c r="AM299" s="243"/>
    </row>
    <row r="300" spans="1:39" ht="28.5" customHeight="1" x14ac:dyDescent="0.25">
      <c r="A300" s="243"/>
      <c r="B300" s="477"/>
      <c r="C300" s="477"/>
      <c r="D300" s="477"/>
      <c r="E300" s="477"/>
      <c r="F300" s="477"/>
      <c r="G300" s="477"/>
      <c r="H300" s="477"/>
      <c r="I300" s="478"/>
      <c r="J300" s="477" t="s">
        <v>323</v>
      </c>
      <c r="K300" s="245"/>
      <c r="L300" s="257"/>
      <c r="M300" s="591" t="s">
        <v>324</v>
      </c>
      <c r="N300" s="592"/>
      <c r="O300" s="179"/>
      <c r="P300" s="180"/>
      <c r="Q300" s="180">
        <v>10000000</v>
      </c>
      <c r="R300" s="181">
        <f t="shared" si="96"/>
        <v>3.3747425493277681</v>
      </c>
      <c r="S300" s="181">
        <v>100</v>
      </c>
      <c r="T300" s="180">
        <f t="shared" si="91"/>
        <v>0</v>
      </c>
      <c r="U300" s="180">
        <f t="shared" si="80"/>
        <v>0</v>
      </c>
      <c r="V300" s="182">
        <f t="shared" si="95"/>
        <v>100</v>
      </c>
      <c r="W300" s="180"/>
      <c r="X300" s="180"/>
      <c r="Y300" s="180"/>
      <c r="Z300" s="180"/>
      <c r="AA300" s="180"/>
      <c r="AB300" s="180"/>
      <c r="AC300" s="180"/>
      <c r="AD300" s="180"/>
      <c r="AE300" s="180"/>
      <c r="AF300" s="180"/>
      <c r="AG300" s="180"/>
      <c r="AH300" s="180"/>
      <c r="AI300" s="180">
        <v>0</v>
      </c>
      <c r="AJ300" s="181">
        <f t="shared" si="92"/>
        <v>0</v>
      </c>
      <c r="AK300" s="180">
        <f t="shared" si="87"/>
        <v>10000000</v>
      </c>
      <c r="AL300" s="181">
        <f t="shared" si="93"/>
        <v>100</v>
      </c>
      <c r="AM300" s="243"/>
    </row>
    <row r="301" spans="1:39" ht="28.5" customHeight="1" x14ac:dyDescent="0.25">
      <c r="A301" s="243"/>
      <c r="B301" s="477"/>
      <c r="C301" s="477"/>
      <c r="D301" s="477"/>
      <c r="E301" s="477"/>
      <c r="F301" s="477"/>
      <c r="G301" s="477"/>
      <c r="H301" s="477"/>
      <c r="I301" s="478"/>
      <c r="J301" s="477" t="s">
        <v>341</v>
      </c>
      <c r="K301" s="245"/>
      <c r="L301" s="257"/>
      <c r="M301" s="591" t="s">
        <v>337</v>
      </c>
      <c r="N301" s="592"/>
      <c r="O301" s="179"/>
      <c r="P301" s="180"/>
      <c r="Q301" s="180">
        <v>10000000</v>
      </c>
      <c r="R301" s="181">
        <f t="shared" si="96"/>
        <v>3.3747425493277681</v>
      </c>
      <c r="S301" s="181">
        <v>100</v>
      </c>
      <c r="T301" s="180">
        <f t="shared" si="91"/>
        <v>0</v>
      </c>
      <c r="U301" s="180">
        <f t="shared" si="80"/>
        <v>0</v>
      </c>
      <c r="V301" s="182">
        <f t="shared" si="95"/>
        <v>100</v>
      </c>
      <c r="W301" s="180"/>
      <c r="X301" s="180"/>
      <c r="Y301" s="180"/>
      <c r="Z301" s="180"/>
      <c r="AA301" s="180"/>
      <c r="AB301" s="180"/>
      <c r="AC301" s="180"/>
      <c r="AD301" s="180"/>
      <c r="AE301" s="180"/>
      <c r="AF301" s="180"/>
      <c r="AG301" s="180"/>
      <c r="AH301" s="180"/>
      <c r="AI301" s="180">
        <v>0</v>
      </c>
      <c r="AJ301" s="181">
        <f t="shared" si="92"/>
        <v>0</v>
      </c>
      <c r="AK301" s="180">
        <f t="shared" si="87"/>
        <v>10000000</v>
      </c>
      <c r="AL301" s="181">
        <f t="shared" si="93"/>
        <v>100</v>
      </c>
      <c r="AM301" s="243"/>
    </row>
    <row r="302" spans="1:39" ht="28.5" customHeight="1" x14ac:dyDescent="0.25">
      <c r="A302" s="243"/>
      <c r="B302" s="477"/>
      <c r="C302" s="477"/>
      <c r="D302" s="477"/>
      <c r="E302" s="477"/>
      <c r="F302" s="477"/>
      <c r="G302" s="477"/>
      <c r="H302" s="477"/>
      <c r="I302" s="478"/>
      <c r="J302" s="477" t="s">
        <v>269</v>
      </c>
      <c r="K302" s="245"/>
      <c r="L302" s="257"/>
      <c r="M302" s="591" t="s">
        <v>270</v>
      </c>
      <c r="N302" s="592"/>
      <c r="O302" s="179"/>
      <c r="P302" s="180"/>
      <c r="Q302" s="180">
        <v>23000000</v>
      </c>
      <c r="R302" s="181">
        <f t="shared" si="96"/>
        <v>7.7619078634538665</v>
      </c>
      <c r="S302" s="181">
        <v>100</v>
      </c>
      <c r="T302" s="180">
        <f t="shared" si="91"/>
        <v>0</v>
      </c>
      <c r="U302" s="180">
        <f t="shared" ref="U302:U365" si="97">R302*T302/100</f>
        <v>0</v>
      </c>
      <c r="V302" s="182">
        <f t="shared" si="95"/>
        <v>100</v>
      </c>
      <c r="W302" s="180"/>
      <c r="X302" s="180"/>
      <c r="Y302" s="180"/>
      <c r="Z302" s="180"/>
      <c r="AA302" s="180"/>
      <c r="AB302" s="180"/>
      <c r="AC302" s="180"/>
      <c r="AD302" s="180"/>
      <c r="AE302" s="180"/>
      <c r="AF302" s="180"/>
      <c r="AG302" s="180"/>
      <c r="AH302" s="180"/>
      <c r="AI302" s="180">
        <v>0</v>
      </c>
      <c r="AJ302" s="181">
        <f t="shared" si="92"/>
        <v>0</v>
      </c>
      <c r="AK302" s="180">
        <f t="shared" si="87"/>
        <v>23000000</v>
      </c>
      <c r="AL302" s="181">
        <f t="shared" si="93"/>
        <v>100</v>
      </c>
      <c r="AM302" s="243"/>
    </row>
    <row r="303" spans="1:39" ht="28.5" customHeight="1" x14ac:dyDescent="0.25">
      <c r="A303" s="243"/>
      <c r="B303" s="477"/>
      <c r="C303" s="477"/>
      <c r="D303" s="477"/>
      <c r="E303" s="477"/>
      <c r="F303" s="477"/>
      <c r="G303" s="477"/>
      <c r="H303" s="477"/>
      <c r="I303" s="478"/>
      <c r="J303" s="477" t="s">
        <v>315</v>
      </c>
      <c r="K303" s="245"/>
      <c r="L303" s="257"/>
      <c r="M303" s="591" t="s">
        <v>271</v>
      </c>
      <c r="N303" s="592"/>
      <c r="O303" s="179"/>
      <c r="P303" s="180"/>
      <c r="Q303" s="180">
        <v>17000000</v>
      </c>
      <c r="R303" s="181">
        <f t="shared" si="96"/>
        <v>5.7370623338572058</v>
      </c>
      <c r="S303" s="181">
        <v>100</v>
      </c>
      <c r="T303" s="180">
        <f t="shared" si="91"/>
        <v>0</v>
      </c>
      <c r="U303" s="180">
        <f t="shared" si="97"/>
        <v>0</v>
      </c>
      <c r="V303" s="182">
        <f t="shared" si="95"/>
        <v>100</v>
      </c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>
        <v>0</v>
      </c>
      <c r="AJ303" s="181">
        <f t="shared" si="92"/>
        <v>0</v>
      </c>
      <c r="AK303" s="180">
        <f t="shared" si="87"/>
        <v>17000000</v>
      </c>
      <c r="AL303" s="181">
        <f t="shared" si="93"/>
        <v>100</v>
      </c>
      <c r="AM303" s="243"/>
    </row>
    <row r="304" spans="1:39" ht="28.5" customHeight="1" x14ac:dyDescent="0.25">
      <c r="A304" s="243"/>
      <c r="B304" s="477"/>
      <c r="C304" s="477"/>
      <c r="D304" s="477"/>
      <c r="E304" s="477"/>
      <c r="F304" s="477"/>
      <c r="G304" s="477"/>
      <c r="H304" s="477"/>
      <c r="I304" s="478"/>
      <c r="J304" s="477" t="s">
        <v>343</v>
      </c>
      <c r="K304" s="245"/>
      <c r="L304" s="257"/>
      <c r="M304" s="591" t="s">
        <v>319</v>
      </c>
      <c r="N304" s="592"/>
      <c r="O304" s="179"/>
      <c r="P304" s="180"/>
      <c r="Q304" s="180">
        <v>32500000</v>
      </c>
      <c r="R304" s="181">
        <f t="shared" si="96"/>
        <v>10.967913285315246</v>
      </c>
      <c r="S304" s="181">
        <v>100</v>
      </c>
      <c r="T304" s="180">
        <f t="shared" si="91"/>
        <v>0</v>
      </c>
      <c r="U304" s="180">
        <f t="shared" si="97"/>
        <v>0</v>
      </c>
      <c r="V304" s="182">
        <f t="shared" si="95"/>
        <v>100</v>
      </c>
      <c r="W304" s="180"/>
      <c r="X304" s="180"/>
      <c r="Y304" s="180"/>
      <c r="Z304" s="180"/>
      <c r="AA304" s="180"/>
      <c r="AB304" s="180"/>
      <c r="AC304" s="180"/>
      <c r="AD304" s="180"/>
      <c r="AE304" s="180"/>
      <c r="AF304" s="180"/>
      <c r="AG304" s="180"/>
      <c r="AH304" s="180"/>
      <c r="AI304" s="180">
        <v>0</v>
      </c>
      <c r="AJ304" s="181">
        <f t="shared" si="92"/>
        <v>0</v>
      </c>
      <c r="AK304" s="180">
        <f t="shared" si="87"/>
        <v>32500000</v>
      </c>
      <c r="AL304" s="181">
        <f t="shared" si="93"/>
        <v>100</v>
      </c>
      <c r="AM304" s="243"/>
    </row>
    <row r="305" spans="1:39" ht="28.5" customHeight="1" x14ac:dyDescent="0.25">
      <c r="A305" s="243"/>
      <c r="B305" s="477"/>
      <c r="C305" s="477"/>
      <c r="D305" s="477"/>
      <c r="E305" s="477"/>
      <c r="F305" s="477"/>
      <c r="G305" s="477"/>
      <c r="H305" s="477"/>
      <c r="I305" s="478"/>
      <c r="J305" s="477" t="s">
        <v>280</v>
      </c>
      <c r="K305" s="245"/>
      <c r="L305" s="257"/>
      <c r="M305" s="591" t="s">
        <v>281</v>
      </c>
      <c r="N305" s="592"/>
      <c r="O305" s="179"/>
      <c r="P305" s="180"/>
      <c r="Q305" s="180">
        <v>6500000</v>
      </c>
      <c r="R305" s="181">
        <f t="shared" si="96"/>
        <v>2.1935826570630494</v>
      </c>
      <c r="S305" s="181">
        <v>100</v>
      </c>
      <c r="T305" s="180">
        <f t="shared" si="91"/>
        <v>0</v>
      </c>
      <c r="U305" s="180">
        <f t="shared" si="97"/>
        <v>0</v>
      </c>
      <c r="V305" s="182">
        <f t="shared" si="95"/>
        <v>100</v>
      </c>
      <c r="W305" s="180"/>
      <c r="X305" s="180"/>
      <c r="Y305" s="180"/>
      <c r="Z305" s="180"/>
      <c r="AA305" s="180"/>
      <c r="AB305" s="180"/>
      <c r="AC305" s="180"/>
      <c r="AD305" s="180"/>
      <c r="AE305" s="180"/>
      <c r="AF305" s="180"/>
      <c r="AG305" s="180"/>
      <c r="AH305" s="180"/>
      <c r="AI305" s="180">
        <v>0</v>
      </c>
      <c r="AJ305" s="181">
        <f t="shared" si="92"/>
        <v>0</v>
      </c>
      <c r="AK305" s="180">
        <f t="shared" si="87"/>
        <v>6500000</v>
      </c>
      <c r="AL305" s="181">
        <f t="shared" si="93"/>
        <v>100</v>
      </c>
      <c r="AM305" s="243"/>
    </row>
    <row r="306" spans="1:39" ht="28.5" customHeight="1" x14ac:dyDescent="0.25">
      <c r="A306" s="243"/>
      <c r="B306" s="477"/>
      <c r="C306" s="477"/>
      <c r="D306" s="477"/>
      <c r="E306" s="477"/>
      <c r="F306" s="477"/>
      <c r="G306" s="477"/>
      <c r="H306" s="477"/>
      <c r="I306" s="478"/>
      <c r="J306" s="477"/>
      <c r="K306" s="245"/>
      <c r="L306" s="257"/>
      <c r="M306" s="591" t="s">
        <v>285</v>
      </c>
      <c r="N306" s="592"/>
      <c r="O306" s="179"/>
      <c r="P306" s="180"/>
      <c r="Q306" s="180">
        <v>660000</v>
      </c>
      <c r="R306" s="181">
        <f t="shared" si="96"/>
        <v>0.22273300825563269</v>
      </c>
      <c r="S306" s="181"/>
      <c r="T306" s="180">
        <f t="shared" si="91"/>
        <v>0</v>
      </c>
      <c r="U306" s="180">
        <f t="shared" si="97"/>
        <v>0</v>
      </c>
      <c r="V306" s="182">
        <f t="shared" si="95"/>
        <v>0</v>
      </c>
      <c r="W306" s="180"/>
      <c r="X306" s="180"/>
      <c r="Y306" s="180"/>
      <c r="Z306" s="180"/>
      <c r="AA306" s="180"/>
      <c r="AB306" s="180"/>
      <c r="AC306" s="180"/>
      <c r="AD306" s="180"/>
      <c r="AE306" s="180"/>
      <c r="AF306" s="180"/>
      <c r="AG306" s="180"/>
      <c r="AH306" s="180"/>
      <c r="AI306" s="180">
        <v>0</v>
      </c>
      <c r="AJ306" s="181">
        <f t="shared" si="92"/>
        <v>0</v>
      </c>
      <c r="AK306" s="180">
        <f t="shared" si="87"/>
        <v>660000</v>
      </c>
      <c r="AL306" s="181">
        <f t="shared" si="93"/>
        <v>100</v>
      </c>
      <c r="AM306" s="243"/>
    </row>
    <row r="307" spans="1:39" ht="28.5" customHeight="1" x14ac:dyDescent="0.25">
      <c r="A307" s="243"/>
      <c r="B307" s="477"/>
      <c r="C307" s="477"/>
      <c r="D307" s="477"/>
      <c r="E307" s="477"/>
      <c r="F307" s="477"/>
      <c r="G307" s="477"/>
      <c r="H307" s="477"/>
      <c r="I307" s="478"/>
      <c r="J307" s="477" t="s">
        <v>282</v>
      </c>
      <c r="K307" s="245"/>
      <c r="L307" s="257"/>
      <c r="M307" s="591" t="s">
        <v>283</v>
      </c>
      <c r="N307" s="592"/>
      <c r="O307" s="179"/>
      <c r="P307" s="180"/>
      <c r="Q307" s="180">
        <v>53918900</v>
      </c>
      <c r="R307" s="181">
        <f t="shared" si="96"/>
        <v>18.1962406042949</v>
      </c>
      <c r="S307" s="181">
        <v>100</v>
      </c>
      <c r="T307" s="180">
        <f t="shared" si="91"/>
        <v>0</v>
      </c>
      <c r="U307" s="180">
        <f t="shared" si="97"/>
        <v>0</v>
      </c>
      <c r="V307" s="182">
        <f t="shared" si="95"/>
        <v>100</v>
      </c>
      <c r="W307" s="180"/>
      <c r="X307" s="180"/>
      <c r="Y307" s="180"/>
      <c r="Z307" s="180"/>
      <c r="AA307" s="180"/>
      <c r="AB307" s="180"/>
      <c r="AC307" s="180"/>
      <c r="AD307" s="180"/>
      <c r="AE307" s="180"/>
      <c r="AF307" s="180"/>
      <c r="AG307" s="180"/>
      <c r="AH307" s="180"/>
      <c r="AI307" s="180">
        <v>0</v>
      </c>
      <c r="AJ307" s="181">
        <f t="shared" si="92"/>
        <v>0</v>
      </c>
      <c r="AK307" s="180">
        <f t="shared" si="87"/>
        <v>53918900</v>
      </c>
      <c r="AL307" s="181">
        <f t="shared" si="93"/>
        <v>100</v>
      </c>
      <c r="AM307" s="243"/>
    </row>
    <row r="308" spans="1:39" ht="28.5" customHeight="1" x14ac:dyDescent="0.25">
      <c r="A308" s="243"/>
      <c r="B308" s="477"/>
      <c r="C308" s="477"/>
      <c r="D308" s="477"/>
      <c r="E308" s="477"/>
      <c r="F308" s="477"/>
      <c r="G308" s="477"/>
      <c r="H308" s="477"/>
      <c r="I308" s="478"/>
      <c r="J308" s="477" t="s">
        <v>407</v>
      </c>
      <c r="K308" s="245"/>
      <c r="L308" s="257"/>
      <c r="M308" s="591" t="s">
        <v>414</v>
      </c>
      <c r="N308" s="592"/>
      <c r="O308" s="179"/>
      <c r="P308" s="180"/>
      <c r="Q308" s="180">
        <v>800000</v>
      </c>
      <c r="R308" s="181">
        <f t="shared" si="96"/>
        <v>0.26997940394622144</v>
      </c>
      <c r="S308" s="181">
        <v>100</v>
      </c>
      <c r="T308" s="180">
        <f t="shared" si="91"/>
        <v>0</v>
      </c>
      <c r="U308" s="180">
        <f t="shared" si="97"/>
        <v>0</v>
      </c>
      <c r="V308" s="182">
        <f t="shared" si="95"/>
        <v>100</v>
      </c>
      <c r="W308" s="180"/>
      <c r="X308" s="180"/>
      <c r="Y308" s="180"/>
      <c r="Z308" s="180"/>
      <c r="AA308" s="180"/>
      <c r="AB308" s="180"/>
      <c r="AC308" s="180"/>
      <c r="AD308" s="180"/>
      <c r="AE308" s="180"/>
      <c r="AF308" s="180"/>
      <c r="AG308" s="180"/>
      <c r="AH308" s="180"/>
      <c r="AI308" s="180">
        <v>0</v>
      </c>
      <c r="AJ308" s="181">
        <f t="shared" si="92"/>
        <v>0</v>
      </c>
      <c r="AK308" s="180">
        <f t="shared" si="87"/>
        <v>800000</v>
      </c>
      <c r="AL308" s="181">
        <f t="shared" si="93"/>
        <v>100</v>
      </c>
      <c r="AM308" s="243"/>
    </row>
    <row r="309" spans="1:39" s="311" customFormat="1" ht="39.75" customHeight="1" x14ac:dyDescent="0.25">
      <c r="A309" s="227">
        <f>A297+1</f>
        <v>41</v>
      </c>
      <c r="B309" s="615" t="s">
        <v>148</v>
      </c>
      <c r="C309" s="615"/>
      <c r="D309" s="615"/>
      <c r="E309" s="615"/>
      <c r="F309" s="615"/>
      <c r="G309" s="615"/>
      <c r="H309" s="615"/>
      <c r="I309" s="614"/>
      <c r="J309" s="304" t="s">
        <v>485</v>
      </c>
      <c r="K309" s="230"/>
      <c r="L309" s="294"/>
      <c r="M309" s="609" t="s">
        <v>44</v>
      </c>
      <c r="N309" s="609"/>
      <c r="O309" s="310">
        <v>100275000</v>
      </c>
      <c r="P309" s="231">
        <f>O309</f>
        <v>100275000</v>
      </c>
      <c r="Q309" s="231">
        <f>SUM(Q310:Q316)</f>
        <v>331985880</v>
      </c>
      <c r="R309" s="233">
        <f>Q309/Q$248*100</f>
        <v>2.783284720548469</v>
      </c>
      <c r="S309" s="233">
        <v>100</v>
      </c>
      <c r="T309" s="231">
        <f t="shared" si="91"/>
        <v>2.284133289042293</v>
      </c>
      <c r="U309" s="231">
        <f t="shared" si="97"/>
        <v>6.357393283087534E-2</v>
      </c>
      <c r="V309" s="296">
        <f t="shared" si="95"/>
        <v>97.715866710957712</v>
      </c>
      <c r="W309" s="231"/>
      <c r="X309" s="231" t="e">
        <f>#REF!</f>
        <v>#REF!</v>
      </c>
      <c r="Y309" s="231" t="e">
        <f>#REF!</f>
        <v>#REF!</v>
      </c>
      <c r="Z309" s="231" t="e">
        <f>#REF!</f>
        <v>#REF!</v>
      </c>
      <c r="AA309" s="231" t="e">
        <f>#REF!</f>
        <v>#REF!</v>
      </c>
      <c r="AB309" s="231">
        <v>0</v>
      </c>
      <c r="AC309" s="231" t="e">
        <f>#REF!</f>
        <v>#REF!</v>
      </c>
      <c r="AD309" s="231" t="e">
        <f>#REF!</f>
        <v>#REF!</v>
      </c>
      <c r="AE309" s="231" t="e">
        <f>#REF!</f>
        <v>#REF!</v>
      </c>
      <c r="AF309" s="231" t="e">
        <f>[1]April!N60</f>
        <v>#REF!</v>
      </c>
      <c r="AG309" s="231" t="e">
        <f>[2]april!N60</f>
        <v>#REF!</v>
      </c>
      <c r="AH309" s="231">
        <f>'[3]DES SKPD'!$N60</f>
        <v>90196500</v>
      </c>
      <c r="AI309" s="231">
        <f>SUM(AI310:AI316)</f>
        <v>7583000</v>
      </c>
      <c r="AJ309" s="233">
        <f t="shared" si="92"/>
        <v>2.284133289042293</v>
      </c>
      <c r="AK309" s="231">
        <f t="shared" si="87"/>
        <v>324402880</v>
      </c>
      <c r="AL309" s="233">
        <f t="shared" si="93"/>
        <v>97.715866710957712</v>
      </c>
      <c r="AM309" s="227"/>
    </row>
    <row r="310" spans="1:39" ht="28.5" customHeight="1" x14ac:dyDescent="0.25">
      <c r="A310" s="243"/>
      <c r="B310" s="477"/>
      <c r="C310" s="477"/>
      <c r="D310" s="477"/>
      <c r="E310" s="477"/>
      <c r="F310" s="477"/>
      <c r="G310" s="477"/>
      <c r="H310" s="477"/>
      <c r="I310" s="478"/>
      <c r="J310" s="477" t="s">
        <v>326</v>
      </c>
      <c r="K310" s="245"/>
      <c r="L310" s="257"/>
      <c r="M310" s="591" t="s">
        <v>327</v>
      </c>
      <c r="N310" s="592"/>
      <c r="O310" s="179"/>
      <c r="P310" s="180"/>
      <c r="Q310" s="180">
        <v>280800000</v>
      </c>
      <c r="R310" s="181">
        <f t="shared" ref="R310:R316" si="98">Q310/Q$309*100</f>
        <v>84.581910531857559</v>
      </c>
      <c r="S310" s="181">
        <v>100</v>
      </c>
      <c r="T310" s="180">
        <f t="shared" si="91"/>
        <v>0</v>
      </c>
      <c r="U310" s="180">
        <f t="shared" si="97"/>
        <v>0</v>
      </c>
      <c r="V310" s="182">
        <f t="shared" si="95"/>
        <v>100</v>
      </c>
      <c r="W310" s="180"/>
      <c r="X310" s="180"/>
      <c r="Y310" s="180"/>
      <c r="Z310" s="180"/>
      <c r="AA310" s="180"/>
      <c r="AB310" s="180"/>
      <c r="AC310" s="180"/>
      <c r="AD310" s="180"/>
      <c r="AE310" s="180"/>
      <c r="AF310" s="180"/>
      <c r="AG310" s="180"/>
      <c r="AH310" s="180"/>
      <c r="AI310" s="180">
        <v>0</v>
      </c>
      <c r="AJ310" s="181">
        <f t="shared" si="92"/>
        <v>0</v>
      </c>
      <c r="AK310" s="180">
        <f t="shared" si="87"/>
        <v>280800000</v>
      </c>
      <c r="AL310" s="181">
        <f t="shared" si="93"/>
        <v>100</v>
      </c>
      <c r="AM310" s="243"/>
    </row>
    <row r="311" spans="1:39" ht="28.5" customHeight="1" x14ac:dyDescent="0.25">
      <c r="A311" s="243"/>
      <c r="B311" s="477"/>
      <c r="C311" s="477"/>
      <c r="D311" s="477"/>
      <c r="E311" s="477"/>
      <c r="F311" s="477"/>
      <c r="G311" s="477"/>
      <c r="H311" s="477"/>
      <c r="I311" s="478"/>
      <c r="J311" s="477" t="s">
        <v>323</v>
      </c>
      <c r="K311" s="245"/>
      <c r="L311" s="257"/>
      <c r="M311" s="591" t="s">
        <v>324</v>
      </c>
      <c r="N311" s="592"/>
      <c r="O311" s="179"/>
      <c r="P311" s="180"/>
      <c r="Q311" s="180">
        <v>4000000</v>
      </c>
      <c r="R311" s="181">
        <f t="shared" si="98"/>
        <v>1.2048705203968313</v>
      </c>
      <c r="S311" s="181">
        <v>100</v>
      </c>
      <c r="T311" s="180">
        <f t="shared" si="91"/>
        <v>51.324999999999996</v>
      </c>
      <c r="U311" s="180">
        <f t="shared" si="97"/>
        <v>0.61839979459367367</v>
      </c>
      <c r="V311" s="182">
        <f t="shared" si="95"/>
        <v>48.675000000000004</v>
      </c>
      <c r="W311" s="180"/>
      <c r="X311" s="180"/>
      <c r="Y311" s="180"/>
      <c r="Z311" s="180"/>
      <c r="AA311" s="180"/>
      <c r="AB311" s="180"/>
      <c r="AC311" s="180"/>
      <c r="AD311" s="180"/>
      <c r="AE311" s="180"/>
      <c r="AF311" s="180"/>
      <c r="AG311" s="180"/>
      <c r="AH311" s="180"/>
      <c r="AI311" s="180">
        <v>2053000</v>
      </c>
      <c r="AJ311" s="181">
        <f t="shared" si="92"/>
        <v>51.324999999999996</v>
      </c>
      <c r="AK311" s="180">
        <f t="shared" si="87"/>
        <v>1947000</v>
      </c>
      <c r="AL311" s="181">
        <f t="shared" si="93"/>
        <v>48.675000000000004</v>
      </c>
      <c r="AM311" s="243"/>
    </row>
    <row r="312" spans="1:39" ht="28.5" customHeight="1" x14ac:dyDescent="0.25">
      <c r="A312" s="243"/>
      <c r="B312" s="477"/>
      <c r="C312" s="477"/>
      <c r="D312" s="477"/>
      <c r="E312" s="477"/>
      <c r="F312" s="477"/>
      <c r="G312" s="477"/>
      <c r="H312" s="477"/>
      <c r="I312" s="478"/>
      <c r="J312" s="477" t="s">
        <v>269</v>
      </c>
      <c r="K312" s="245"/>
      <c r="L312" s="257"/>
      <c r="M312" s="591" t="s">
        <v>270</v>
      </c>
      <c r="N312" s="592"/>
      <c r="O312" s="179"/>
      <c r="P312" s="180"/>
      <c r="Q312" s="180">
        <v>27680000</v>
      </c>
      <c r="R312" s="181">
        <f t="shared" si="98"/>
        <v>8.3377040011460739</v>
      </c>
      <c r="S312" s="181">
        <v>100</v>
      </c>
      <c r="T312" s="180">
        <f t="shared" si="91"/>
        <v>9.6820809248554909</v>
      </c>
      <c r="U312" s="180">
        <f t="shared" si="97"/>
        <v>0.80726324866587706</v>
      </c>
      <c r="V312" s="182">
        <f t="shared" si="95"/>
        <v>90.317919075144516</v>
      </c>
      <c r="W312" s="180"/>
      <c r="X312" s="180"/>
      <c r="Y312" s="180"/>
      <c r="Z312" s="180"/>
      <c r="AA312" s="180"/>
      <c r="AB312" s="180"/>
      <c r="AC312" s="180"/>
      <c r="AD312" s="180"/>
      <c r="AE312" s="180"/>
      <c r="AF312" s="180"/>
      <c r="AG312" s="180"/>
      <c r="AH312" s="180"/>
      <c r="AI312" s="180">
        <v>2680000</v>
      </c>
      <c r="AJ312" s="181">
        <f t="shared" si="92"/>
        <v>9.6820809248554909</v>
      </c>
      <c r="AK312" s="180">
        <f t="shared" si="87"/>
        <v>25000000</v>
      </c>
      <c r="AL312" s="181">
        <f t="shared" si="93"/>
        <v>90.317919075144502</v>
      </c>
      <c r="AM312" s="243"/>
    </row>
    <row r="313" spans="1:39" ht="28.5" customHeight="1" x14ac:dyDescent="0.25">
      <c r="A313" s="243"/>
      <c r="B313" s="477"/>
      <c r="C313" s="477"/>
      <c r="D313" s="477"/>
      <c r="E313" s="477"/>
      <c r="F313" s="477"/>
      <c r="G313" s="477"/>
      <c r="H313" s="477"/>
      <c r="I313" s="478"/>
      <c r="J313" s="477" t="s">
        <v>315</v>
      </c>
      <c r="K313" s="245"/>
      <c r="L313" s="257"/>
      <c r="M313" s="591" t="s">
        <v>271</v>
      </c>
      <c r="N313" s="592"/>
      <c r="O313" s="179"/>
      <c r="P313" s="180"/>
      <c r="Q313" s="180">
        <v>1000000</v>
      </c>
      <c r="R313" s="181">
        <f t="shared" si="98"/>
        <v>0.30121763009920782</v>
      </c>
      <c r="S313" s="181">
        <v>100</v>
      </c>
      <c r="T313" s="180">
        <f t="shared" si="91"/>
        <v>15</v>
      </c>
      <c r="U313" s="180">
        <f t="shared" si="97"/>
        <v>4.5182644514881173E-2</v>
      </c>
      <c r="V313" s="182">
        <f t="shared" si="95"/>
        <v>85</v>
      </c>
      <c r="W313" s="180"/>
      <c r="X313" s="180"/>
      <c r="Y313" s="180"/>
      <c r="Z313" s="180"/>
      <c r="AA313" s="180"/>
      <c r="AB313" s="180"/>
      <c r="AC313" s="180"/>
      <c r="AD313" s="180"/>
      <c r="AE313" s="180"/>
      <c r="AF313" s="180"/>
      <c r="AG313" s="180"/>
      <c r="AH313" s="180"/>
      <c r="AI313" s="180">
        <v>150000</v>
      </c>
      <c r="AJ313" s="181">
        <f t="shared" si="92"/>
        <v>15</v>
      </c>
      <c r="AK313" s="180">
        <f t="shared" ref="AK313:AK359" si="99">Q313-AI313</f>
        <v>850000</v>
      </c>
      <c r="AL313" s="181">
        <f t="shared" si="93"/>
        <v>85</v>
      </c>
      <c r="AM313" s="243"/>
    </row>
    <row r="314" spans="1:39" ht="28.5" customHeight="1" x14ac:dyDescent="0.25">
      <c r="A314" s="243"/>
      <c r="B314" s="477"/>
      <c r="C314" s="477"/>
      <c r="D314" s="477"/>
      <c r="E314" s="477"/>
      <c r="F314" s="477"/>
      <c r="G314" s="477"/>
      <c r="H314" s="477"/>
      <c r="I314" s="478"/>
      <c r="J314" s="477" t="s">
        <v>328</v>
      </c>
      <c r="K314" s="245"/>
      <c r="L314" s="257"/>
      <c r="M314" s="591" t="s">
        <v>329</v>
      </c>
      <c r="N314" s="592"/>
      <c r="O314" s="179"/>
      <c r="P314" s="180"/>
      <c r="Q314" s="180">
        <v>5105880</v>
      </c>
      <c r="R314" s="181">
        <f t="shared" si="98"/>
        <v>1.5379810731709433</v>
      </c>
      <c r="S314" s="181">
        <v>100</v>
      </c>
      <c r="T314" s="180">
        <f t="shared" si="91"/>
        <v>0</v>
      </c>
      <c r="U314" s="180">
        <f t="shared" si="97"/>
        <v>0</v>
      </c>
      <c r="V314" s="182">
        <f t="shared" si="95"/>
        <v>100</v>
      </c>
      <c r="W314" s="180"/>
      <c r="X314" s="180"/>
      <c r="Y314" s="180"/>
      <c r="Z314" s="180"/>
      <c r="AA314" s="180"/>
      <c r="AB314" s="180"/>
      <c r="AC314" s="180"/>
      <c r="AD314" s="180"/>
      <c r="AE314" s="180"/>
      <c r="AF314" s="180"/>
      <c r="AG314" s="180"/>
      <c r="AH314" s="180"/>
      <c r="AI314" s="180">
        <v>0</v>
      </c>
      <c r="AJ314" s="181">
        <f t="shared" si="92"/>
        <v>0</v>
      </c>
      <c r="AK314" s="180">
        <f t="shared" si="99"/>
        <v>5105880</v>
      </c>
      <c r="AL314" s="181">
        <f t="shared" si="93"/>
        <v>100</v>
      </c>
      <c r="AM314" s="243"/>
    </row>
    <row r="315" spans="1:39" ht="28.5" customHeight="1" x14ac:dyDescent="0.25">
      <c r="A315" s="243"/>
      <c r="B315" s="477"/>
      <c r="C315" s="477"/>
      <c r="D315" s="477"/>
      <c r="E315" s="477"/>
      <c r="F315" s="477"/>
      <c r="G315" s="477"/>
      <c r="H315" s="477"/>
      <c r="I315" s="478"/>
      <c r="J315" s="477" t="s">
        <v>280</v>
      </c>
      <c r="K315" s="245"/>
      <c r="L315" s="257"/>
      <c r="M315" s="591" t="s">
        <v>281</v>
      </c>
      <c r="N315" s="592"/>
      <c r="O315" s="179"/>
      <c r="P315" s="180"/>
      <c r="Q315" s="180">
        <v>13000000</v>
      </c>
      <c r="R315" s="181">
        <f t="shared" si="98"/>
        <v>3.9158291912897019</v>
      </c>
      <c r="S315" s="181">
        <v>100</v>
      </c>
      <c r="T315" s="180">
        <f t="shared" si="91"/>
        <v>19.230769230769234</v>
      </c>
      <c r="U315" s="180">
        <f t="shared" si="97"/>
        <v>0.75304407524801975</v>
      </c>
      <c r="V315" s="182">
        <f t="shared" si="95"/>
        <v>80.769230769230774</v>
      </c>
      <c r="W315" s="180"/>
      <c r="X315" s="180"/>
      <c r="Y315" s="180"/>
      <c r="Z315" s="180"/>
      <c r="AA315" s="180"/>
      <c r="AB315" s="180"/>
      <c r="AC315" s="180"/>
      <c r="AD315" s="180"/>
      <c r="AE315" s="180"/>
      <c r="AF315" s="180"/>
      <c r="AG315" s="180"/>
      <c r="AH315" s="180"/>
      <c r="AI315" s="180">
        <v>2500000</v>
      </c>
      <c r="AJ315" s="181">
        <f t="shared" si="92"/>
        <v>19.230769230769234</v>
      </c>
      <c r="AK315" s="180">
        <f t="shared" si="99"/>
        <v>10500000</v>
      </c>
      <c r="AL315" s="181">
        <f t="shared" si="93"/>
        <v>80.769230769230774</v>
      </c>
      <c r="AM315" s="243"/>
    </row>
    <row r="316" spans="1:39" ht="28.5" customHeight="1" x14ac:dyDescent="0.25">
      <c r="A316" s="243"/>
      <c r="B316" s="477"/>
      <c r="C316" s="477"/>
      <c r="D316" s="477"/>
      <c r="E316" s="477"/>
      <c r="F316" s="477"/>
      <c r="G316" s="477"/>
      <c r="H316" s="477"/>
      <c r="I316" s="478"/>
      <c r="J316" s="477" t="s">
        <v>407</v>
      </c>
      <c r="K316" s="245"/>
      <c r="L316" s="257"/>
      <c r="M316" s="591" t="s">
        <v>414</v>
      </c>
      <c r="N316" s="592"/>
      <c r="O316" s="179"/>
      <c r="P316" s="180"/>
      <c r="Q316" s="180">
        <v>400000</v>
      </c>
      <c r="R316" s="181">
        <f t="shared" si="98"/>
        <v>0.12048705203968313</v>
      </c>
      <c r="S316" s="181">
        <v>100</v>
      </c>
      <c r="T316" s="180">
        <f t="shared" si="91"/>
        <v>50</v>
      </c>
      <c r="U316" s="180">
        <f t="shared" si="97"/>
        <v>6.0243526019841565E-2</v>
      </c>
      <c r="V316" s="182">
        <f t="shared" si="95"/>
        <v>50</v>
      </c>
      <c r="W316" s="180"/>
      <c r="X316" s="180"/>
      <c r="Y316" s="180"/>
      <c r="Z316" s="180"/>
      <c r="AA316" s="180"/>
      <c r="AB316" s="180"/>
      <c r="AC316" s="180"/>
      <c r="AD316" s="180"/>
      <c r="AE316" s="180"/>
      <c r="AF316" s="180"/>
      <c r="AG316" s="180"/>
      <c r="AH316" s="180"/>
      <c r="AI316" s="180">
        <v>200000</v>
      </c>
      <c r="AJ316" s="181">
        <f t="shared" si="92"/>
        <v>50</v>
      </c>
      <c r="AK316" s="180">
        <f t="shared" si="99"/>
        <v>200000</v>
      </c>
      <c r="AL316" s="181">
        <f t="shared" si="93"/>
        <v>50</v>
      </c>
      <c r="AM316" s="243"/>
    </row>
    <row r="317" spans="1:39" s="297" customFormat="1" ht="28.5" customHeight="1" x14ac:dyDescent="0.25">
      <c r="A317" s="227">
        <f>A309+1</f>
        <v>42</v>
      </c>
      <c r="B317" s="615" t="s">
        <v>150</v>
      </c>
      <c r="C317" s="615"/>
      <c r="D317" s="615"/>
      <c r="E317" s="615"/>
      <c r="F317" s="615"/>
      <c r="G317" s="615"/>
      <c r="H317" s="615"/>
      <c r="I317" s="614"/>
      <c r="J317" s="304" t="s">
        <v>486</v>
      </c>
      <c r="K317" s="230"/>
      <c r="L317" s="294"/>
      <c r="M317" s="610" t="s">
        <v>45</v>
      </c>
      <c r="N317" s="610"/>
      <c r="O317" s="309">
        <v>803450000</v>
      </c>
      <c r="P317" s="231">
        <f>O317</f>
        <v>803450000</v>
      </c>
      <c r="Q317" s="231">
        <f>SUM(Q318:Q324)</f>
        <v>77953471</v>
      </c>
      <c r="R317" s="233">
        <f>Q317/Q$248*100</f>
        <v>0.65354196614632576</v>
      </c>
      <c r="S317" s="233">
        <v>100</v>
      </c>
      <c r="T317" s="231">
        <f t="shared" si="91"/>
        <v>19.24224772492812</v>
      </c>
      <c r="U317" s="231">
        <f t="shared" si="97"/>
        <v>0.12575616411224189</v>
      </c>
      <c r="V317" s="296">
        <f t="shared" si="95"/>
        <v>80.75775227507188</v>
      </c>
      <c r="W317" s="231"/>
      <c r="X317" s="231" t="e">
        <f>#REF!</f>
        <v>#REF!</v>
      </c>
      <c r="Y317" s="231" t="e">
        <f>#REF!</f>
        <v>#REF!</v>
      </c>
      <c r="Z317" s="231" t="e">
        <f>#REF!</f>
        <v>#REF!</v>
      </c>
      <c r="AA317" s="231" t="e">
        <f>#REF!</f>
        <v>#REF!</v>
      </c>
      <c r="AB317" s="231">
        <v>323021990</v>
      </c>
      <c r="AC317" s="231" t="e">
        <f>#REF!</f>
        <v>#REF!</v>
      </c>
      <c r="AD317" s="231" t="e">
        <f>#REF!</f>
        <v>#REF!</v>
      </c>
      <c r="AE317" s="231" t="e">
        <f>#REF!</f>
        <v>#REF!</v>
      </c>
      <c r="AF317" s="231" t="e">
        <f>[1]April!N61</f>
        <v>#REF!</v>
      </c>
      <c r="AG317" s="231" t="e">
        <f>[2]april!N61</f>
        <v>#REF!</v>
      </c>
      <c r="AH317" s="231">
        <f>'[3]DES SKPD'!$N61</f>
        <v>541082490</v>
      </c>
      <c r="AI317" s="231">
        <f>SUM(AI318:AI324)</f>
        <v>15000000</v>
      </c>
      <c r="AJ317" s="233">
        <f t="shared" si="92"/>
        <v>19.24224772492812</v>
      </c>
      <c r="AK317" s="231">
        <f t="shared" si="99"/>
        <v>62953471</v>
      </c>
      <c r="AL317" s="233">
        <f t="shared" si="93"/>
        <v>80.75775227507188</v>
      </c>
      <c r="AM317" s="227"/>
    </row>
    <row r="318" spans="1:39" ht="28.5" customHeight="1" x14ac:dyDescent="0.25">
      <c r="A318" s="243"/>
      <c r="B318" s="477"/>
      <c r="C318" s="477"/>
      <c r="D318" s="477"/>
      <c r="E318" s="477"/>
      <c r="F318" s="477"/>
      <c r="G318" s="477"/>
      <c r="H318" s="477"/>
      <c r="I318" s="478"/>
      <c r="J318" s="477" t="s">
        <v>326</v>
      </c>
      <c r="K318" s="245"/>
      <c r="L318" s="257"/>
      <c r="M318" s="591" t="s">
        <v>327</v>
      </c>
      <c r="N318" s="592"/>
      <c r="O318" s="179"/>
      <c r="P318" s="180"/>
      <c r="Q318" s="180">
        <v>33500000</v>
      </c>
      <c r="R318" s="181">
        <f t="shared" ref="R318:R324" si="100">Q318/Q$317*100</f>
        <v>42.974353252339462</v>
      </c>
      <c r="S318" s="181">
        <v>100</v>
      </c>
      <c r="T318" s="180">
        <f t="shared" si="91"/>
        <v>0</v>
      </c>
      <c r="U318" s="180">
        <f t="shared" si="97"/>
        <v>0</v>
      </c>
      <c r="V318" s="182">
        <f t="shared" si="95"/>
        <v>100</v>
      </c>
      <c r="W318" s="180"/>
      <c r="X318" s="180"/>
      <c r="Y318" s="180"/>
      <c r="Z318" s="180"/>
      <c r="AA318" s="180"/>
      <c r="AB318" s="180"/>
      <c r="AC318" s="180"/>
      <c r="AD318" s="180"/>
      <c r="AE318" s="180"/>
      <c r="AF318" s="180"/>
      <c r="AG318" s="180"/>
      <c r="AH318" s="180"/>
      <c r="AI318" s="180">
        <v>0</v>
      </c>
      <c r="AJ318" s="181">
        <f t="shared" si="92"/>
        <v>0</v>
      </c>
      <c r="AK318" s="180">
        <f t="shared" si="99"/>
        <v>33500000</v>
      </c>
      <c r="AL318" s="181">
        <f t="shared" si="93"/>
        <v>100</v>
      </c>
      <c r="AM318" s="243"/>
    </row>
    <row r="319" spans="1:39" ht="28.5" customHeight="1" x14ac:dyDescent="0.25">
      <c r="A319" s="243"/>
      <c r="B319" s="477"/>
      <c r="C319" s="477"/>
      <c r="D319" s="477"/>
      <c r="E319" s="477"/>
      <c r="F319" s="477"/>
      <c r="G319" s="477"/>
      <c r="H319" s="477"/>
      <c r="I319" s="478"/>
      <c r="J319" s="477" t="s">
        <v>323</v>
      </c>
      <c r="K319" s="245"/>
      <c r="L319" s="257"/>
      <c r="M319" s="591" t="s">
        <v>324</v>
      </c>
      <c r="N319" s="592"/>
      <c r="O319" s="179"/>
      <c r="P319" s="180"/>
      <c r="Q319" s="180">
        <v>9642000</v>
      </c>
      <c r="R319" s="181">
        <f t="shared" si="100"/>
        <v>12.368916837583795</v>
      </c>
      <c r="S319" s="181">
        <v>100</v>
      </c>
      <c r="T319" s="180">
        <f t="shared" si="91"/>
        <v>0</v>
      </c>
      <c r="U319" s="180">
        <f t="shared" si="97"/>
        <v>0</v>
      </c>
      <c r="V319" s="182">
        <f t="shared" si="95"/>
        <v>100</v>
      </c>
      <c r="W319" s="180"/>
      <c r="X319" s="180"/>
      <c r="Y319" s="180"/>
      <c r="Z319" s="180"/>
      <c r="AA319" s="180"/>
      <c r="AB319" s="180"/>
      <c r="AC319" s="180"/>
      <c r="AD319" s="180"/>
      <c r="AE319" s="180"/>
      <c r="AF319" s="180"/>
      <c r="AG319" s="180"/>
      <c r="AH319" s="180"/>
      <c r="AI319" s="180">
        <v>0</v>
      </c>
      <c r="AJ319" s="181">
        <f t="shared" si="92"/>
        <v>0</v>
      </c>
      <c r="AK319" s="180">
        <f t="shared" si="99"/>
        <v>9642000</v>
      </c>
      <c r="AL319" s="181">
        <f t="shared" si="93"/>
        <v>100</v>
      </c>
      <c r="AM319" s="243"/>
    </row>
    <row r="320" spans="1:39" ht="28.5" customHeight="1" x14ac:dyDescent="0.25">
      <c r="A320" s="243"/>
      <c r="B320" s="477"/>
      <c r="C320" s="477"/>
      <c r="D320" s="477"/>
      <c r="E320" s="477"/>
      <c r="F320" s="477"/>
      <c r="G320" s="477"/>
      <c r="H320" s="477"/>
      <c r="I320" s="478"/>
      <c r="J320" s="477" t="s">
        <v>269</v>
      </c>
      <c r="K320" s="245"/>
      <c r="L320" s="257"/>
      <c r="M320" s="591" t="s">
        <v>270</v>
      </c>
      <c r="N320" s="592"/>
      <c r="O320" s="179"/>
      <c r="P320" s="180"/>
      <c r="Q320" s="180">
        <v>1250000</v>
      </c>
      <c r="R320" s="181">
        <f t="shared" si="100"/>
        <v>1.6035206437440097</v>
      </c>
      <c r="S320" s="181">
        <v>100</v>
      </c>
      <c r="T320" s="180">
        <f t="shared" si="91"/>
        <v>0</v>
      </c>
      <c r="U320" s="180">
        <f t="shared" si="97"/>
        <v>0</v>
      </c>
      <c r="V320" s="182">
        <f t="shared" si="95"/>
        <v>100</v>
      </c>
      <c r="W320" s="180"/>
      <c r="X320" s="180"/>
      <c r="Y320" s="180"/>
      <c r="Z320" s="180"/>
      <c r="AA320" s="180"/>
      <c r="AB320" s="180"/>
      <c r="AC320" s="180"/>
      <c r="AD320" s="180"/>
      <c r="AE320" s="180"/>
      <c r="AF320" s="180"/>
      <c r="AG320" s="180"/>
      <c r="AH320" s="180"/>
      <c r="AI320" s="180">
        <v>0</v>
      </c>
      <c r="AJ320" s="181">
        <f t="shared" si="92"/>
        <v>0</v>
      </c>
      <c r="AK320" s="180">
        <f t="shared" si="99"/>
        <v>1250000</v>
      </c>
      <c r="AL320" s="181">
        <f t="shared" si="93"/>
        <v>100</v>
      </c>
      <c r="AM320" s="243"/>
    </row>
    <row r="321" spans="1:39" ht="28.5" customHeight="1" x14ac:dyDescent="0.25">
      <c r="A321" s="243"/>
      <c r="B321" s="477"/>
      <c r="C321" s="477"/>
      <c r="D321" s="477"/>
      <c r="E321" s="477"/>
      <c r="F321" s="477"/>
      <c r="G321" s="477"/>
      <c r="H321" s="477"/>
      <c r="I321" s="478"/>
      <c r="J321" s="477" t="s">
        <v>315</v>
      </c>
      <c r="K321" s="245"/>
      <c r="L321" s="257"/>
      <c r="M321" s="591" t="s">
        <v>271</v>
      </c>
      <c r="N321" s="592"/>
      <c r="O321" s="179"/>
      <c r="P321" s="180"/>
      <c r="Q321" s="180">
        <v>17421471</v>
      </c>
      <c r="R321" s="181">
        <f t="shared" si="100"/>
        <v>22.348550714310079</v>
      </c>
      <c r="S321" s="181">
        <v>100</v>
      </c>
      <c r="T321" s="180">
        <f t="shared" si="91"/>
        <v>86.100651316986955</v>
      </c>
      <c r="U321" s="180">
        <f t="shared" si="97"/>
        <v>19.242247724928117</v>
      </c>
      <c r="V321" s="182">
        <f t="shared" si="95"/>
        <v>13.899348683013045</v>
      </c>
      <c r="W321" s="180"/>
      <c r="X321" s="180"/>
      <c r="Y321" s="180"/>
      <c r="Z321" s="180"/>
      <c r="AA321" s="180"/>
      <c r="AB321" s="180"/>
      <c r="AC321" s="180"/>
      <c r="AD321" s="180"/>
      <c r="AE321" s="180"/>
      <c r="AF321" s="180"/>
      <c r="AG321" s="180"/>
      <c r="AH321" s="180"/>
      <c r="AI321" s="180">
        <v>15000000</v>
      </c>
      <c r="AJ321" s="181">
        <f t="shared" si="92"/>
        <v>86.100651316986955</v>
      </c>
      <c r="AK321" s="180">
        <f t="shared" si="99"/>
        <v>2421471</v>
      </c>
      <c r="AL321" s="181">
        <f t="shared" si="93"/>
        <v>13.899348683013047</v>
      </c>
      <c r="AM321" s="243"/>
    </row>
    <row r="322" spans="1:39" ht="28.5" customHeight="1" x14ac:dyDescent="0.25">
      <c r="A322" s="243"/>
      <c r="B322" s="477"/>
      <c r="C322" s="477"/>
      <c r="D322" s="477"/>
      <c r="E322" s="477"/>
      <c r="F322" s="477"/>
      <c r="G322" s="477"/>
      <c r="H322" s="477"/>
      <c r="I322" s="478"/>
      <c r="J322" s="477" t="s">
        <v>318</v>
      </c>
      <c r="K322" s="245"/>
      <c r="L322" s="257"/>
      <c r="M322" s="591" t="s">
        <v>281</v>
      </c>
      <c r="N322" s="592"/>
      <c r="O322" s="179"/>
      <c r="P322" s="180"/>
      <c r="Q322" s="180">
        <v>2250000</v>
      </c>
      <c r="R322" s="181">
        <f t="shared" si="100"/>
        <v>2.8863371587392175</v>
      </c>
      <c r="S322" s="181">
        <v>100</v>
      </c>
      <c r="T322" s="180">
        <f t="shared" si="91"/>
        <v>0</v>
      </c>
      <c r="U322" s="180">
        <f t="shared" si="97"/>
        <v>0</v>
      </c>
      <c r="V322" s="182">
        <f t="shared" si="95"/>
        <v>100</v>
      </c>
      <c r="W322" s="180"/>
      <c r="X322" s="180"/>
      <c r="Y322" s="180"/>
      <c r="Z322" s="180"/>
      <c r="AA322" s="180"/>
      <c r="AB322" s="180"/>
      <c r="AC322" s="180"/>
      <c r="AD322" s="180"/>
      <c r="AE322" s="180"/>
      <c r="AF322" s="180"/>
      <c r="AG322" s="180"/>
      <c r="AH322" s="180"/>
      <c r="AI322" s="180">
        <v>0</v>
      </c>
      <c r="AJ322" s="181">
        <f t="shared" si="92"/>
        <v>0</v>
      </c>
      <c r="AK322" s="180">
        <f t="shared" si="99"/>
        <v>2250000</v>
      </c>
      <c r="AL322" s="181">
        <f t="shared" si="93"/>
        <v>100</v>
      </c>
      <c r="AM322" s="243"/>
    </row>
    <row r="323" spans="1:39" ht="28.5" customHeight="1" x14ac:dyDescent="0.25">
      <c r="A323" s="243"/>
      <c r="B323" s="477"/>
      <c r="C323" s="477"/>
      <c r="D323" s="477"/>
      <c r="E323" s="477"/>
      <c r="F323" s="477"/>
      <c r="G323" s="477"/>
      <c r="H323" s="477"/>
      <c r="I323" s="478"/>
      <c r="J323" s="477" t="s">
        <v>284</v>
      </c>
      <c r="K323" s="245"/>
      <c r="L323" s="257"/>
      <c r="M323" s="591" t="s">
        <v>285</v>
      </c>
      <c r="N323" s="592"/>
      <c r="O323" s="179"/>
      <c r="P323" s="180"/>
      <c r="Q323" s="180">
        <v>2640000</v>
      </c>
      <c r="R323" s="181">
        <f t="shared" si="100"/>
        <v>3.3866355995873487</v>
      </c>
      <c r="S323" s="181">
        <v>100</v>
      </c>
      <c r="T323" s="180">
        <f t="shared" si="91"/>
        <v>0</v>
      </c>
      <c r="U323" s="180">
        <f t="shared" si="97"/>
        <v>0</v>
      </c>
      <c r="V323" s="182">
        <f t="shared" si="95"/>
        <v>100</v>
      </c>
      <c r="W323" s="180"/>
      <c r="X323" s="180"/>
      <c r="Y323" s="180"/>
      <c r="Z323" s="180"/>
      <c r="AA323" s="180"/>
      <c r="AB323" s="180"/>
      <c r="AC323" s="180"/>
      <c r="AD323" s="180"/>
      <c r="AE323" s="180"/>
      <c r="AF323" s="180"/>
      <c r="AG323" s="180"/>
      <c r="AH323" s="180"/>
      <c r="AI323" s="180">
        <v>0</v>
      </c>
      <c r="AJ323" s="181">
        <f t="shared" si="92"/>
        <v>0</v>
      </c>
      <c r="AK323" s="180">
        <f t="shared" si="99"/>
        <v>2640000</v>
      </c>
      <c r="AL323" s="181">
        <f t="shared" si="93"/>
        <v>100</v>
      </c>
      <c r="AM323" s="243"/>
    </row>
    <row r="324" spans="1:39" ht="28.5" customHeight="1" x14ac:dyDescent="0.25">
      <c r="A324" s="243"/>
      <c r="B324" s="477"/>
      <c r="C324" s="477"/>
      <c r="D324" s="477"/>
      <c r="E324" s="477"/>
      <c r="F324" s="477"/>
      <c r="G324" s="477"/>
      <c r="H324" s="477"/>
      <c r="I324" s="478"/>
      <c r="J324" s="477" t="s">
        <v>282</v>
      </c>
      <c r="K324" s="245"/>
      <c r="L324" s="257"/>
      <c r="M324" s="591" t="s">
        <v>283</v>
      </c>
      <c r="N324" s="592"/>
      <c r="O324" s="179"/>
      <c r="P324" s="180"/>
      <c r="Q324" s="180">
        <v>11250000</v>
      </c>
      <c r="R324" s="181">
        <f t="shared" si="100"/>
        <v>14.431685793696088</v>
      </c>
      <c r="S324" s="181">
        <v>100</v>
      </c>
      <c r="T324" s="180">
        <f t="shared" si="91"/>
        <v>0</v>
      </c>
      <c r="U324" s="180">
        <f t="shared" si="97"/>
        <v>0</v>
      </c>
      <c r="V324" s="182">
        <f t="shared" si="95"/>
        <v>100</v>
      </c>
      <c r="W324" s="180"/>
      <c r="X324" s="180"/>
      <c r="Y324" s="180"/>
      <c r="Z324" s="180"/>
      <c r="AA324" s="180"/>
      <c r="AB324" s="180"/>
      <c r="AC324" s="180"/>
      <c r="AD324" s="180"/>
      <c r="AE324" s="180"/>
      <c r="AF324" s="180"/>
      <c r="AG324" s="180"/>
      <c r="AH324" s="180"/>
      <c r="AI324" s="180">
        <v>0</v>
      </c>
      <c r="AJ324" s="181">
        <f t="shared" si="92"/>
        <v>0</v>
      </c>
      <c r="AK324" s="180">
        <f t="shared" si="99"/>
        <v>11250000</v>
      </c>
      <c r="AL324" s="181">
        <f t="shared" si="93"/>
        <v>100</v>
      </c>
      <c r="AM324" s="243"/>
    </row>
    <row r="325" spans="1:39" s="297" customFormat="1" ht="47.25" customHeight="1" x14ac:dyDescent="0.25">
      <c r="A325" s="227">
        <f>A317+1</f>
        <v>43</v>
      </c>
      <c r="B325" s="615" t="s">
        <v>151</v>
      </c>
      <c r="C325" s="615"/>
      <c r="D325" s="615"/>
      <c r="E325" s="615"/>
      <c r="F325" s="615"/>
      <c r="G325" s="615"/>
      <c r="H325" s="615"/>
      <c r="I325" s="614"/>
      <c r="J325" s="304" t="s">
        <v>487</v>
      </c>
      <c r="K325" s="230"/>
      <c r="L325" s="294"/>
      <c r="M325" s="610" t="s">
        <v>46</v>
      </c>
      <c r="N325" s="610"/>
      <c r="O325" s="309">
        <v>66400000</v>
      </c>
      <c r="P325" s="231">
        <f>O325</f>
        <v>66400000</v>
      </c>
      <c r="Q325" s="231">
        <f>SUM(Q326:Q331)</f>
        <v>38384665</v>
      </c>
      <c r="R325" s="233">
        <f>Q325/Q$248*100</f>
        <v>0.32180721540889506</v>
      </c>
      <c r="S325" s="233">
        <v>100</v>
      </c>
      <c r="T325" s="231">
        <f t="shared" si="91"/>
        <v>0</v>
      </c>
      <c r="U325" s="231">
        <f t="shared" si="97"/>
        <v>0</v>
      </c>
      <c r="V325" s="296">
        <f t="shared" si="95"/>
        <v>100</v>
      </c>
      <c r="W325" s="231"/>
      <c r="X325" s="231" t="e">
        <f>#REF!</f>
        <v>#REF!</v>
      </c>
      <c r="Y325" s="231" t="e">
        <f>#REF!</f>
        <v>#REF!</v>
      </c>
      <c r="Z325" s="231" t="e">
        <f>#REF!</f>
        <v>#REF!</v>
      </c>
      <c r="AA325" s="231" t="e">
        <f>#REF!</f>
        <v>#REF!</v>
      </c>
      <c r="AB325" s="231">
        <v>323021990</v>
      </c>
      <c r="AC325" s="231" t="e">
        <f>#REF!</f>
        <v>#REF!</v>
      </c>
      <c r="AD325" s="231" t="e">
        <f>#REF!</f>
        <v>#REF!</v>
      </c>
      <c r="AE325" s="231" t="e">
        <f>#REF!</f>
        <v>#REF!</v>
      </c>
      <c r="AF325" s="231" t="e">
        <f>[1]April!N62</f>
        <v>#REF!</v>
      </c>
      <c r="AG325" s="231" t="e">
        <f>[2]april!N62</f>
        <v>#REF!</v>
      </c>
      <c r="AH325" s="231">
        <f>'[3]DES SKPD'!$N62</f>
        <v>58437000</v>
      </c>
      <c r="AI325" s="231">
        <f>SUM(AI326:AI331)</f>
        <v>0</v>
      </c>
      <c r="AJ325" s="233">
        <f t="shared" si="92"/>
        <v>0</v>
      </c>
      <c r="AK325" s="231">
        <f t="shared" si="99"/>
        <v>38384665</v>
      </c>
      <c r="AL325" s="233">
        <f t="shared" si="93"/>
        <v>100</v>
      </c>
      <c r="AM325" s="227"/>
    </row>
    <row r="326" spans="1:39" ht="28.5" customHeight="1" x14ac:dyDescent="0.25">
      <c r="A326" s="243"/>
      <c r="B326" s="477"/>
      <c r="C326" s="477"/>
      <c r="D326" s="477"/>
      <c r="E326" s="477"/>
      <c r="F326" s="477"/>
      <c r="G326" s="477"/>
      <c r="H326" s="477"/>
      <c r="I326" s="478"/>
      <c r="J326" s="477" t="s">
        <v>326</v>
      </c>
      <c r="K326" s="245"/>
      <c r="L326" s="257"/>
      <c r="M326" s="591" t="s">
        <v>327</v>
      </c>
      <c r="N326" s="592"/>
      <c r="O326" s="179"/>
      <c r="P326" s="180"/>
      <c r="Q326" s="180">
        <v>16750000</v>
      </c>
      <c r="R326" s="181">
        <f t="shared" ref="R326:R331" si="101">Q326/Q$325*100</f>
        <v>43.637218144277142</v>
      </c>
      <c r="S326" s="181">
        <v>100</v>
      </c>
      <c r="T326" s="180">
        <f t="shared" si="91"/>
        <v>0</v>
      </c>
      <c r="U326" s="180">
        <f t="shared" si="97"/>
        <v>0</v>
      </c>
      <c r="V326" s="182">
        <f t="shared" si="95"/>
        <v>100</v>
      </c>
      <c r="W326" s="180"/>
      <c r="X326" s="180"/>
      <c r="Y326" s="180"/>
      <c r="Z326" s="180"/>
      <c r="AA326" s="180"/>
      <c r="AB326" s="180"/>
      <c r="AC326" s="180"/>
      <c r="AD326" s="180"/>
      <c r="AE326" s="180"/>
      <c r="AF326" s="180"/>
      <c r="AG326" s="180"/>
      <c r="AH326" s="180"/>
      <c r="AI326" s="180">
        <v>0</v>
      </c>
      <c r="AJ326" s="181">
        <f t="shared" si="92"/>
        <v>0</v>
      </c>
      <c r="AK326" s="180">
        <f t="shared" si="99"/>
        <v>16750000</v>
      </c>
      <c r="AL326" s="181">
        <f t="shared" si="93"/>
        <v>100</v>
      </c>
      <c r="AM326" s="243"/>
    </row>
    <row r="327" spans="1:39" ht="28.5" customHeight="1" x14ac:dyDescent="0.25">
      <c r="A327" s="243"/>
      <c r="B327" s="477"/>
      <c r="C327" s="477"/>
      <c r="D327" s="477"/>
      <c r="E327" s="477"/>
      <c r="F327" s="477"/>
      <c r="G327" s="477"/>
      <c r="H327" s="477"/>
      <c r="I327" s="478"/>
      <c r="J327" s="477" t="s">
        <v>323</v>
      </c>
      <c r="K327" s="245"/>
      <c r="L327" s="257"/>
      <c r="M327" s="591" t="s">
        <v>324</v>
      </c>
      <c r="N327" s="592"/>
      <c r="O327" s="179"/>
      <c r="P327" s="180"/>
      <c r="Q327" s="180">
        <v>5934000</v>
      </c>
      <c r="R327" s="181">
        <f t="shared" si="101"/>
        <v>15.459298654814363</v>
      </c>
      <c r="S327" s="181">
        <v>100</v>
      </c>
      <c r="T327" s="180">
        <f t="shared" si="91"/>
        <v>0</v>
      </c>
      <c r="U327" s="180">
        <f t="shared" si="97"/>
        <v>0</v>
      </c>
      <c r="V327" s="182">
        <f t="shared" si="95"/>
        <v>100</v>
      </c>
      <c r="W327" s="180"/>
      <c r="X327" s="180"/>
      <c r="Y327" s="180"/>
      <c r="Z327" s="180"/>
      <c r="AA327" s="180"/>
      <c r="AB327" s="180"/>
      <c r="AC327" s="180"/>
      <c r="AD327" s="180"/>
      <c r="AE327" s="180"/>
      <c r="AF327" s="180"/>
      <c r="AG327" s="180"/>
      <c r="AH327" s="180"/>
      <c r="AI327" s="180">
        <v>0</v>
      </c>
      <c r="AJ327" s="181">
        <f t="shared" si="92"/>
        <v>0</v>
      </c>
      <c r="AK327" s="180">
        <f t="shared" si="99"/>
        <v>5934000</v>
      </c>
      <c r="AL327" s="181">
        <f t="shared" si="93"/>
        <v>100</v>
      </c>
      <c r="AM327" s="243"/>
    </row>
    <row r="328" spans="1:39" ht="28.5" customHeight="1" x14ac:dyDescent="0.25">
      <c r="A328" s="243"/>
      <c r="B328" s="477"/>
      <c r="C328" s="477"/>
      <c r="D328" s="477"/>
      <c r="E328" s="477"/>
      <c r="F328" s="477"/>
      <c r="G328" s="477"/>
      <c r="H328" s="477"/>
      <c r="I328" s="478"/>
      <c r="J328" s="477" t="s">
        <v>269</v>
      </c>
      <c r="K328" s="245"/>
      <c r="L328" s="257"/>
      <c r="M328" s="591" t="s">
        <v>270</v>
      </c>
      <c r="N328" s="592"/>
      <c r="O328" s="179"/>
      <c r="P328" s="180"/>
      <c r="Q328" s="180">
        <v>4000000</v>
      </c>
      <c r="R328" s="181">
        <f t="shared" si="101"/>
        <v>10.420828213558723</v>
      </c>
      <c r="S328" s="181">
        <v>100</v>
      </c>
      <c r="T328" s="180">
        <f t="shared" si="91"/>
        <v>0</v>
      </c>
      <c r="U328" s="180">
        <f t="shared" si="97"/>
        <v>0</v>
      </c>
      <c r="V328" s="182">
        <f t="shared" si="95"/>
        <v>100</v>
      </c>
      <c r="W328" s="180"/>
      <c r="X328" s="180"/>
      <c r="Y328" s="180"/>
      <c r="Z328" s="180"/>
      <c r="AA328" s="180"/>
      <c r="AB328" s="180"/>
      <c r="AC328" s="180"/>
      <c r="AD328" s="180"/>
      <c r="AE328" s="180"/>
      <c r="AF328" s="180"/>
      <c r="AG328" s="180"/>
      <c r="AH328" s="180"/>
      <c r="AI328" s="180">
        <v>0</v>
      </c>
      <c r="AJ328" s="181">
        <f t="shared" si="92"/>
        <v>0</v>
      </c>
      <c r="AK328" s="180">
        <f t="shared" si="99"/>
        <v>4000000</v>
      </c>
      <c r="AL328" s="181">
        <f t="shared" si="93"/>
        <v>100</v>
      </c>
      <c r="AM328" s="243"/>
    </row>
    <row r="329" spans="1:39" ht="28.5" customHeight="1" x14ac:dyDescent="0.25">
      <c r="A329" s="243"/>
      <c r="B329" s="477"/>
      <c r="C329" s="477"/>
      <c r="D329" s="477"/>
      <c r="E329" s="477"/>
      <c r="F329" s="477"/>
      <c r="G329" s="477"/>
      <c r="H329" s="477"/>
      <c r="I329" s="478"/>
      <c r="J329" s="477" t="s">
        <v>315</v>
      </c>
      <c r="K329" s="245"/>
      <c r="L329" s="257"/>
      <c r="M329" s="591" t="s">
        <v>271</v>
      </c>
      <c r="N329" s="592"/>
      <c r="O329" s="179"/>
      <c r="P329" s="180"/>
      <c r="Q329" s="180">
        <v>6000000</v>
      </c>
      <c r="R329" s="181">
        <f t="shared" si="101"/>
        <v>15.631242320338082</v>
      </c>
      <c r="S329" s="181">
        <v>100</v>
      </c>
      <c r="T329" s="180">
        <f t="shared" si="91"/>
        <v>0</v>
      </c>
      <c r="U329" s="180">
        <f t="shared" si="97"/>
        <v>0</v>
      </c>
      <c r="V329" s="182">
        <f t="shared" si="95"/>
        <v>100</v>
      </c>
      <c r="W329" s="180"/>
      <c r="X329" s="180"/>
      <c r="Y329" s="180"/>
      <c r="Z329" s="180"/>
      <c r="AA329" s="180"/>
      <c r="AB329" s="180"/>
      <c r="AC329" s="180"/>
      <c r="AD329" s="180"/>
      <c r="AE329" s="180"/>
      <c r="AF329" s="180"/>
      <c r="AG329" s="180"/>
      <c r="AH329" s="180"/>
      <c r="AI329" s="180">
        <v>0</v>
      </c>
      <c r="AJ329" s="181">
        <f t="shared" si="92"/>
        <v>0</v>
      </c>
      <c r="AK329" s="180">
        <f t="shared" si="99"/>
        <v>6000000</v>
      </c>
      <c r="AL329" s="181">
        <f t="shared" si="93"/>
        <v>100</v>
      </c>
      <c r="AM329" s="243"/>
    </row>
    <row r="330" spans="1:39" ht="28.5" customHeight="1" x14ac:dyDescent="0.25">
      <c r="A330" s="243"/>
      <c r="B330" s="477"/>
      <c r="C330" s="477"/>
      <c r="D330" s="477"/>
      <c r="E330" s="477"/>
      <c r="F330" s="477"/>
      <c r="G330" s="477"/>
      <c r="H330" s="477"/>
      <c r="I330" s="478"/>
      <c r="J330" s="477" t="s">
        <v>339</v>
      </c>
      <c r="K330" s="245"/>
      <c r="L330" s="257"/>
      <c r="M330" s="591" t="s">
        <v>340</v>
      </c>
      <c r="N330" s="592"/>
      <c r="O330" s="179"/>
      <c r="P330" s="180"/>
      <c r="Q330" s="180">
        <v>1500000</v>
      </c>
      <c r="R330" s="181">
        <f t="shared" si="101"/>
        <v>3.9078105800845204</v>
      </c>
      <c r="S330" s="181">
        <v>100</v>
      </c>
      <c r="T330" s="180">
        <f t="shared" si="91"/>
        <v>0</v>
      </c>
      <c r="U330" s="180">
        <f t="shared" si="97"/>
        <v>0</v>
      </c>
      <c r="V330" s="182">
        <f t="shared" si="95"/>
        <v>100</v>
      </c>
      <c r="W330" s="180"/>
      <c r="X330" s="180"/>
      <c r="Y330" s="180"/>
      <c r="Z330" s="180"/>
      <c r="AA330" s="180"/>
      <c r="AB330" s="180"/>
      <c r="AC330" s="180"/>
      <c r="AD330" s="180"/>
      <c r="AE330" s="180"/>
      <c r="AF330" s="180"/>
      <c r="AG330" s="180"/>
      <c r="AH330" s="180"/>
      <c r="AI330" s="180">
        <v>0</v>
      </c>
      <c r="AJ330" s="181">
        <f t="shared" si="92"/>
        <v>0</v>
      </c>
      <c r="AK330" s="180">
        <f t="shared" si="99"/>
        <v>1500000</v>
      </c>
      <c r="AL330" s="181">
        <f t="shared" si="93"/>
        <v>100</v>
      </c>
      <c r="AM330" s="243"/>
    </row>
    <row r="331" spans="1:39" ht="28.5" customHeight="1" x14ac:dyDescent="0.25">
      <c r="A331" s="243"/>
      <c r="B331" s="477"/>
      <c r="C331" s="477"/>
      <c r="D331" s="477"/>
      <c r="E331" s="477"/>
      <c r="F331" s="477"/>
      <c r="G331" s="477"/>
      <c r="H331" s="477"/>
      <c r="I331" s="478"/>
      <c r="J331" s="477" t="s">
        <v>282</v>
      </c>
      <c r="K331" s="245"/>
      <c r="L331" s="257"/>
      <c r="M331" s="591" t="s">
        <v>590</v>
      </c>
      <c r="N331" s="592"/>
      <c r="O331" s="179"/>
      <c r="P331" s="180"/>
      <c r="Q331" s="180">
        <v>4200665</v>
      </c>
      <c r="R331" s="181">
        <f t="shared" si="101"/>
        <v>10.943602086927163</v>
      </c>
      <c r="S331" s="181">
        <v>100</v>
      </c>
      <c r="T331" s="180">
        <f t="shared" si="91"/>
        <v>0</v>
      </c>
      <c r="U331" s="180">
        <f t="shared" si="97"/>
        <v>0</v>
      </c>
      <c r="V331" s="182">
        <f t="shared" si="95"/>
        <v>100</v>
      </c>
      <c r="W331" s="180"/>
      <c r="X331" s="180"/>
      <c r="Y331" s="180"/>
      <c r="Z331" s="180"/>
      <c r="AA331" s="180"/>
      <c r="AB331" s="180"/>
      <c r="AC331" s="180"/>
      <c r="AD331" s="180"/>
      <c r="AE331" s="180"/>
      <c r="AF331" s="180"/>
      <c r="AG331" s="180"/>
      <c r="AH331" s="180"/>
      <c r="AI331" s="180">
        <v>0</v>
      </c>
      <c r="AJ331" s="181">
        <f t="shared" si="92"/>
        <v>0</v>
      </c>
      <c r="AK331" s="180">
        <f t="shared" si="99"/>
        <v>4200665</v>
      </c>
      <c r="AL331" s="181">
        <f t="shared" si="93"/>
        <v>100</v>
      </c>
      <c r="AM331" s="243"/>
    </row>
    <row r="332" spans="1:39" s="311" customFormat="1" ht="27.75" customHeight="1" x14ac:dyDescent="0.25">
      <c r="A332" s="227">
        <f>SUM(A325+1)</f>
        <v>44</v>
      </c>
      <c r="B332" s="482"/>
      <c r="C332" s="482"/>
      <c r="D332" s="482"/>
      <c r="E332" s="482"/>
      <c r="F332" s="482"/>
      <c r="G332" s="482"/>
      <c r="H332" s="482"/>
      <c r="I332" s="481"/>
      <c r="J332" s="304" t="s">
        <v>488</v>
      </c>
      <c r="K332" s="230"/>
      <c r="L332" s="294"/>
      <c r="M332" s="609" t="s">
        <v>198</v>
      </c>
      <c r="N332" s="614"/>
      <c r="O332" s="310"/>
      <c r="P332" s="231"/>
      <c r="Q332" s="231">
        <f>SUM(Q333:Q338)</f>
        <v>139532300</v>
      </c>
      <c r="R332" s="233">
        <f>Q332/Q$248*100</f>
        <v>1.1698031211839044</v>
      </c>
      <c r="S332" s="233">
        <v>100</v>
      </c>
      <c r="T332" s="231">
        <f t="shared" si="91"/>
        <v>0</v>
      </c>
      <c r="U332" s="231">
        <f t="shared" si="97"/>
        <v>0</v>
      </c>
      <c r="V332" s="296">
        <f t="shared" si="95"/>
        <v>100</v>
      </c>
      <c r="W332" s="231"/>
      <c r="X332" s="231" t="e">
        <f>#REF!</f>
        <v>#REF!</v>
      </c>
      <c r="Y332" s="231" t="e">
        <f>#REF!</f>
        <v>#REF!</v>
      </c>
      <c r="Z332" s="231" t="e">
        <f>#REF!</f>
        <v>#REF!</v>
      </c>
      <c r="AA332" s="231" t="e">
        <f>#REF!</f>
        <v>#REF!</v>
      </c>
      <c r="AB332" s="231">
        <v>323021990</v>
      </c>
      <c r="AC332" s="231" t="e">
        <f>#REF!</f>
        <v>#REF!</v>
      </c>
      <c r="AD332" s="231" t="e">
        <f>#REF!</f>
        <v>#REF!</v>
      </c>
      <c r="AE332" s="231" t="e">
        <f>#REF!</f>
        <v>#REF!</v>
      </c>
      <c r="AF332" s="231" t="e">
        <f>[1]April!N63</f>
        <v>#REF!</v>
      </c>
      <c r="AG332" s="231" t="e">
        <f>[2]april!N63</f>
        <v>#REF!</v>
      </c>
      <c r="AH332" s="231">
        <f>'[3]DES SKPD'!$N63</f>
        <v>174573000</v>
      </c>
      <c r="AI332" s="231">
        <f>SUM(AI333:AI338)</f>
        <v>0</v>
      </c>
      <c r="AJ332" s="233">
        <f t="shared" si="92"/>
        <v>0</v>
      </c>
      <c r="AK332" s="231">
        <f t="shared" si="99"/>
        <v>139532300</v>
      </c>
      <c r="AL332" s="233">
        <f t="shared" si="93"/>
        <v>100</v>
      </c>
      <c r="AM332" s="227"/>
    </row>
    <row r="333" spans="1:39" ht="27.75" customHeight="1" x14ac:dyDescent="0.25">
      <c r="A333" s="243"/>
      <c r="B333" s="477"/>
      <c r="C333" s="477"/>
      <c r="D333" s="477"/>
      <c r="E333" s="477"/>
      <c r="F333" s="477"/>
      <c r="G333" s="477"/>
      <c r="H333" s="477"/>
      <c r="I333" s="478"/>
      <c r="J333" s="477" t="s">
        <v>257</v>
      </c>
      <c r="K333" s="245"/>
      <c r="L333" s="257"/>
      <c r="M333" s="591" t="s">
        <v>428</v>
      </c>
      <c r="N333" s="592"/>
      <c r="O333" s="179"/>
      <c r="P333" s="180"/>
      <c r="Q333" s="180">
        <v>2000000</v>
      </c>
      <c r="R333" s="181">
        <f t="shared" ref="R333:R338" si="102">Q333/Q$332*100</f>
        <v>1.4333598743803406</v>
      </c>
      <c r="S333" s="181">
        <v>100</v>
      </c>
      <c r="T333" s="180">
        <f t="shared" si="91"/>
        <v>0</v>
      </c>
      <c r="U333" s="180">
        <f t="shared" si="97"/>
        <v>0</v>
      </c>
      <c r="V333" s="182">
        <f t="shared" si="95"/>
        <v>100</v>
      </c>
      <c r="W333" s="180"/>
      <c r="X333" s="180"/>
      <c r="Y333" s="180"/>
      <c r="Z333" s="180"/>
      <c r="AA333" s="180"/>
      <c r="AB333" s="180"/>
      <c r="AC333" s="180"/>
      <c r="AD333" s="180"/>
      <c r="AE333" s="180"/>
      <c r="AF333" s="180"/>
      <c r="AG333" s="180"/>
      <c r="AH333" s="180"/>
      <c r="AI333" s="180">
        <v>0</v>
      </c>
      <c r="AJ333" s="181">
        <f t="shared" si="92"/>
        <v>0</v>
      </c>
      <c r="AK333" s="180">
        <f t="shared" si="99"/>
        <v>2000000</v>
      </c>
      <c r="AL333" s="181">
        <f t="shared" si="93"/>
        <v>100</v>
      </c>
      <c r="AM333" s="243"/>
    </row>
    <row r="334" spans="1:39" ht="27.75" customHeight="1" x14ac:dyDescent="0.25">
      <c r="A334" s="243"/>
      <c r="B334" s="477"/>
      <c r="C334" s="477"/>
      <c r="D334" s="477"/>
      <c r="E334" s="477"/>
      <c r="F334" s="477"/>
      <c r="G334" s="477"/>
      <c r="H334" s="477"/>
      <c r="I334" s="478"/>
      <c r="J334" s="477" t="s">
        <v>259</v>
      </c>
      <c r="K334" s="245"/>
      <c r="L334" s="257"/>
      <c r="M334" s="591" t="s">
        <v>340</v>
      </c>
      <c r="N334" s="592"/>
      <c r="O334" s="179"/>
      <c r="P334" s="180"/>
      <c r="Q334" s="180">
        <v>7500000</v>
      </c>
      <c r="R334" s="181">
        <f t="shared" si="102"/>
        <v>5.3750995289262775</v>
      </c>
      <c r="S334" s="181">
        <v>100</v>
      </c>
      <c r="T334" s="180">
        <f t="shared" si="91"/>
        <v>0</v>
      </c>
      <c r="U334" s="180">
        <f t="shared" si="97"/>
        <v>0</v>
      </c>
      <c r="V334" s="182">
        <f t="shared" si="95"/>
        <v>100</v>
      </c>
      <c r="W334" s="180"/>
      <c r="X334" s="180"/>
      <c r="Y334" s="180"/>
      <c r="Z334" s="180"/>
      <c r="AA334" s="180"/>
      <c r="AB334" s="180"/>
      <c r="AC334" s="180"/>
      <c r="AD334" s="180"/>
      <c r="AE334" s="180"/>
      <c r="AF334" s="180"/>
      <c r="AG334" s="180"/>
      <c r="AH334" s="180"/>
      <c r="AI334" s="180">
        <v>0</v>
      </c>
      <c r="AJ334" s="181">
        <f t="shared" si="92"/>
        <v>0</v>
      </c>
      <c r="AK334" s="180">
        <f t="shared" si="99"/>
        <v>7500000</v>
      </c>
      <c r="AL334" s="181">
        <f t="shared" si="93"/>
        <v>100</v>
      </c>
      <c r="AM334" s="243"/>
    </row>
    <row r="335" spans="1:39" ht="27.75" customHeight="1" x14ac:dyDescent="0.25">
      <c r="A335" s="243"/>
      <c r="B335" s="477"/>
      <c r="C335" s="477"/>
      <c r="D335" s="477"/>
      <c r="E335" s="477"/>
      <c r="F335" s="477"/>
      <c r="G335" s="477"/>
      <c r="H335" s="477"/>
      <c r="I335" s="478"/>
      <c r="J335" s="477" t="s">
        <v>323</v>
      </c>
      <c r="K335" s="245"/>
      <c r="L335" s="257"/>
      <c r="M335" s="591" t="s">
        <v>605</v>
      </c>
      <c r="N335" s="592"/>
      <c r="O335" s="179"/>
      <c r="P335" s="180"/>
      <c r="Q335" s="180">
        <v>24232300</v>
      </c>
      <c r="R335" s="181">
        <f t="shared" si="102"/>
        <v>17.366803241973365</v>
      </c>
      <c r="S335" s="181">
        <v>100</v>
      </c>
      <c r="T335" s="180">
        <f t="shared" si="91"/>
        <v>0</v>
      </c>
      <c r="U335" s="180">
        <f t="shared" si="97"/>
        <v>0</v>
      </c>
      <c r="V335" s="182">
        <f t="shared" si="95"/>
        <v>100</v>
      </c>
      <c r="W335" s="180"/>
      <c r="X335" s="180"/>
      <c r="Y335" s="180"/>
      <c r="Z335" s="180"/>
      <c r="AA335" s="180"/>
      <c r="AB335" s="180"/>
      <c r="AC335" s="180"/>
      <c r="AD335" s="180"/>
      <c r="AE335" s="180"/>
      <c r="AF335" s="180"/>
      <c r="AG335" s="180"/>
      <c r="AH335" s="180"/>
      <c r="AI335" s="180">
        <v>0</v>
      </c>
      <c r="AJ335" s="181">
        <f t="shared" si="92"/>
        <v>0</v>
      </c>
      <c r="AK335" s="180">
        <f t="shared" si="99"/>
        <v>24232300</v>
      </c>
      <c r="AL335" s="181">
        <f t="shared" si="93"/>
        <v>100</v>
      </c>
      <c r="AM335" s="243"/>
    </row>
    <row r="336" spans="1:39" ht="27.75" customHeight="1" x14ac:dyDescent="0.25">
      <c r="A336" s="243"/>
      <c r="B336" s="477"/>
      <c r="C336" s="477"/>
      <c r="D336" s="477"/>
      <c r="E336" s="477"/>
      <c r="F336" s="477"/>
      <c r="G336" s="477"/>
      <c r="H336" s="477"/>
      <c r="I336" s="478"/>
      <c r="J336" s="477" t="s">
        <v>315</v>
      </c>
      <c r="K336" s="245"/>
      <c r="L336" s="257"/>
      <c r="M336" s="591" t="s">
        <v>321</v>
      </c>
      <c r="N336" s="592"/>
      <c r="O336" s="179"/>
      <c r="P336" s="180"/>
      <c r="Q336" s="180">
        <v>3800000</v>
      </c>
      <c r="R336" s="181">
        <f t="shared" si="102"/>
        <v>2.7233837613226468</v>
      </c>
      <c r="S336" s="181">
        <v>100</v>
      </c>
      <c r="T336" s="180">
        <f t="shared" si="91"/>
        <v>0</v>
      </c>
      <c r="U336" s="180">
        <f t="shared" si="97"/>
        <v>0</v>
      </c>
      <c r="V336" s="182">
        <f t="shared" si="95"/>
        <v>100</v>
      </c>
      <c r="W336" s="180"/>
      <c r="X336" s="180"/>
      <c r="Y336" s="180"/>
      <c r="Z336" s="180"/>
      <c r="AA336" s="180"/>
      <c r="AB336" s="180"/>
      <c r="AC336" s="180"/>
      <c r="AD336" s="180"/>
      <c r="AE336" s="180"/>
      <c r="AF336" s="180"/>
      <c r="AG336" s="180"/>
      <c r="AH336" s="180"/>
      <c r="AI336" s="180">
        <v>0</v>
      </c>
      <c r="AJ336" s="181">
        <f t="shared" si="92"/>
        <v>0</v>
      </c>
      <c r="AK336" s="180">
        <f t="shared" si="99"/>
        <v>3800000</v>
      </c>
      <c r="AL336" s="181">
        <f t="shared" si="93"/>
        <v>100</v>
      </c>
      <c r="AM336" s="243"/>
    </row>
    <row r="337" spans="1:39" ht="27.75" customHeight="1" x14ac:dyDescent="0.25">
      <c r="A337" s="243"/>
      <c r="B337" s="477"/>
      <c r="C337" s="477"/>
      <c r="D337" s="477"/>
      <c r="E337" s="477"/>
      <c r="F337" s="477"/>
      <c r="G337" s="477"/>
      <c r="H337" s="477"/>
      <c r="I337" s="478"/>
      <c r="J337" s="477" t="s">
        <v>282</v>
      </c>
      <c r="K337" s="245"/>
      <c r="L337" s="257"/>
      <c r="M337" s="591" t="s">
        <v>606</v>
      </c>
      <c r="N337" s="592"/>
      <c r="O337" s="179"/>
      <c r="P337" s="180"/>
      <c r="Q337" s="180">
        <v>100000000</v>
      </c>
      <c r="R337" s="181">
        <f t="shared" si="102"/>
        <v>71.667993719017034</v>
      </c>
      <c r="S337" s="181">
        <v>100</v>
      </c>
      <c r="T337" s="180">
        <f t="shared" si="91"/>
        <v>0</v>
      </c>
      <c r="U337" s="180">
        <f t="shared" si="97"/>
        <v>0</v>
      </c>
      <c r="V337" s="182">
        <f t="shared" si="95"/>
        <v>100</v>
      </c>
      <c r="W337" s="180"/>
      <c r="X337" s="180"/>
      <c r="Y337" s="180"/>
      <c r="Z337" s="180"/>
      <c r="AA337" s="180"/>
      <c r="AB337" s="180"/>
      <c r="AC337" s="180"/>
      <c r="AD337" s="180"/>
      <c r="AE337" s="180"/>
      <c r="AF337" s="180"/>
      <c r="AG337" s="180"/>
      <c r="AH337" s="180"/>
      <c r="AI337" s="180">
        <v>0</v>
      </c>
      <c r="AJ337" s="181">
        <f t="shared" si="92"/>
        <v>0</v>
      </c>
      <c r="AK337" s="180">
        <f t="shared" si="99"/>
        <v>100000000</v>
      </c>
      <c r="AL337" s="181">
        <f t="shared" si="93"/>
        <v>100</v>
      </c>
      <c r="AM337" s="243"/>
    </row>
    <row r="338" spans="1:39" ht="27.75" customHeight="1" x14ac:dyDescent="0.25">
      <c r="A338" s="243"/>
      <c r="B338" s="477"/>
      <c r="C338" s="477"/>
      <c r="D338" s="477"/>
      <c r="E338" s="477"/>
      <c r="F338" s="477"/>
      <c r="G338" s="477"/>
      <c r="H338" s="477"/>
      <c r="I338" s="478"/>
      <c r="J338" s="477" t="s">
        <v>308</v>
      </c>
      <c r="K338" s="245"/>
      <c r="L338" s="257"/>
      <c r="M338" s="591" t="s">
        <v>607</v>
      </c>
      <c r="N338" s="592"/>
      <c r="O338" s="179"/>
      <c r="P338" s="180"/>
      <c r="Q338" s="180">
        <v>2000000</v>
      </c>
      <c r="R338" s="181">
        <f t="shared" si="102"/>
        <v>1.4333598743803406</v>
      </c>
      <c r="S338" s="181">
        <v>100</v>
      </c>
      <c r="T338" s="180">
        <f t="shared" si="91"/>
        <v>0</v>
      </c>
      <c r="U338" s="180">
        <f t="shared" si="97"/>
        <v>0</v>
      </c>
      <c r="V338" s="182">
        <f t="shared" si="95"/>
        <v>100</v>
      </c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0"/>
      <c r="AG338" s="180"/>
      <c r="AH338" s="180"/>
      <c r="AI338" s="180">
        <v>0</v>
      </c>
      <c r="AJ338" s="181">
        <f t="shared" si="92"/>
        <v>0</v>
      </c>
      <c r="AK338" s="180">
        <f t="shared" si="99"/>
        <v>2000000</v>
      </c>
      <c r="AL338" s="181">
        <f t="shared" si="93"/>
        <v>100</v>
      </c>
      <c r="AM338" s="243"/>
    </row>
    <row r="339" spans="1:39" s="297" customFormat="1" ht="36" customHeight="1" x14ac:dyDescent="0.25">
      <c r="A339" s="227">
        <f>SUM(A332+1)</f>
        <v>45</v>
      </c>
      <c r="B339" s="615" t="s">
        <v>152</v>
      </c>
      <c r="C339" s="615"/>
      <c r="D339" s="615"/>
      <c r="E339" s="615"/>
      <c r="F339" s="615"/>
      <c r="G339" s="615"/>
      <c r="H339" s="615"/>
      <c r="I339" s="614"/>
      <c r="J339" s="304" t="s">
        <v>489</v>
      </c>
      <c r="K339" s="230"/>
      <c r="L339" s="294"/>
      <c r="M339" s="610" t="s">
        <v>47</v>
      </c>
      <c r="N339" s="610"/>
      <c r="O339" s="309">
        <v>136000000</v>
      </c>
      <c r="P339" s="231">
        <f>O339</f>
        <v>136000000</v>
      </c>
      <c r="Q339" s="231">
        <f>SUM(Q340:Q349)</f>
        <v>341340000</v>
      </c>
      <c r="R339" s="233">
        <f>Q339/Q$248*100</f>
        <v>2.8617072705381759</v>
      </c>
      <c r="S339" s="233">
        <v>100</v>
      </c>
      <c r="T339" s="231">
        <f t="shared" si="91"/>
        <v>40.110488076404764</v>
      </c>
      <c r="U339" s="231">
        <f t="shared" si="97"/>
        <v>1.1478447535308234</v>
      </c>
      <c r="V339" s="296">
        <f t="shared" si="95"/>
        <v>59.889511923595236</v>
      </c>
      <c r="W339" s="231"/>
      <c r="X339" s="231" t="e">
        <f>#REF!</f>
        <v>#REF!</v>
      </c>
      <c r="Y339" s="231" t="e">
        <f>#REF!</f>
        <v>#REF!</v>
      </c>
      <c r="Z339" s="231" t="e">
        <f>#REF!</f>
        <v>#REF!</v>
      </c>
      <c r="AA339" s="231" t="e">
        <f>#REF!</f>
        <v>#REF!</v>
      </c>
      <c r="AB339" s="231">
        <v>88014000</v>
      </c>
      <c r="AC339" s="231" t="e">
        <f>#REF!</f>
        <v>#REF!</v>
      </c>
      <c r="AD339" s="231" t="e">
        <f>#REF!</f>
        <v>#REF!</v>
      </c>
      <c r="AE339" s="231" t="e">
        <f>#REF!</f>
        <v>#REF!</v>
      </c>
      <c r="AF339" s="231" t="e">
        <f>[1]April!N63</f>
        <v>#REF!</v>
      </c>
      <c r="AG339" s="231" t="e">
        <f>[2]april!N63</f>
        <v>#REF!</v>
      </c>
      <c r="AH339" s="231">
        <f>'[3]DES SKPD'!$N63</f>
        <v>174573000</v>
      </c>
      <c r="AI339" s="231">
        <f>SUM(AI340:AI349)</f>
        <v>136913140</v>
      </c>
      <c r="AJ339" s="233">
        <f t="shared" si="92"/>
        <v>40.110488076404764</v>
      </c>
      <c r="AK339" s="231">
        <f t="shared" si="99"/>
        <v>204426860</v>
      </c>
      <c r="AL339" s="233">
        <f t="shared" si="93"/>
        <v>59.889511923595236</v>
      </c>
      <c r="AM339" s="227"/>
    </row>
    <row r="340" spans="1:39" ht="29.25" customHeight="1" x14ac:dyDescent="0.25">
      <c r="A340" s="243"/>
      <c r="B340" s="477"/>
      <c r="C340" s="477"/>
      <c r="D340" s="477"/>
      <c r="E340" s="477"/>
      <c r="F340" s="477"/>
      <c r="G340" s="477"/>
      <c r="H340" s="477"/>
      <c r="I340" s="478"/>
      <c r="J340" s="477" t="s">
        <v>259</v>
      </c>
      <c r="K340" s="245"/>
      <c r="L340" s="257"/>
      <c r="M340" s="591" t="s">
        <v>260</v>
      </c>
      <c r="N340" s="592"/>
      <c r="O340" s="179"/>
      <c r="P340" s="180"/>
      <c r="Q340" s="180">
        <v>1600000</v>
      </c>
      <c r="R340" s="181">
        <f t="shared" ref="R340:R349" si="103">Q340/Q$339*100</f>
        <v>0.46874084490537299</v>
      </c>
      <c r="S340" s="181">
        <v>100</v>
      </c>
      <c r="T340" s="180">
        <f t="shared" si="91"/>
        <v>50</v>
      </c>
      <c r="U340" s="180">
        <f t="shared" si="97"/>
        <v>0.23437042245268649</v>
      </c>
      <c r="V340" s="182">
        <f t="shared" si="95"/>
        <v>50</v>
      </c>
      <c r="W340" s="180"/>
      <c r="X340" s="180"/>
      <c r="Y340" s="180"/>
      <c r="Z340" s="180"/>
      <c r="AA340" s="180"/>
      <c r="AB340" s="180"/>
      <c r="AC340" s="180"/>
      <c r="AD340" s="180"/>
      <c r="AE340" s="180"/>
      <c r="AF340" s="180"/>
      <c r="AG340" s="180"/>
      <c r="AH340" s="180"/>
      <c r="AI340" s="180">
        <v>800000</v>
      </c>
      <c r="AJ340" s="181">
        <f t="shared" si="92"/>
        <v>50</v>
      </c>
      <c r="AK340" s="180">
        <f t="shared" si="99"/>
        <v>800000</v>
      </c>
      <c r="AL340" s="181">
        <f t="shared" si="93"/>
        <v>50</v>
      </c>
      <c r="AM340" s="243"/>
    </row>
    <row r="341" spans="1:39" ht="29.25" customHeight="1" x14ac:dyDescent="0.25">
      <c r="A341" s="243"/>
      <c r="B341" s="477"/>
      <c r="C341" s="477"/>
      <c r="D341" s="477"/>
      <c r="E341" s="477"/>
      <c r="F341" s="477"/>
      <c r="G341" s="477"/>
      <c r="H341" s="477"/>
      <c r="I341" s="478"/>
      <c r="J341" s="477" t="s">
        <v>323</v>
      </c>
      <c r="K341" s="245"/>
      <c r="L341" s="257"/>
      <c r="M341" s="591" t="s">
        <v>324</v>
      </c>
      <c r="N341" s="592"/>
      <c r="O341" s="179"/>
      <c r="P341" s="180"/>
      <c r="Q341" s="180">
        <v>52980000</v>
      </c>
      <c r="R341" s="181">
        <f t="shared" si="103"/>
        <v>15.521181226929162</v>
      </c>
      <c r="S341" s="181">
        <v>100</v>
      </c>
      <c r="T341" s="180">
        <f t="shared" si="91"/>
        <v>46.442053605134014</v>
      </c>
      <c r="U341" s="180">
        <f t="shared" si="97"/>
        <v>7.2083553055604384</v>
      </c>
      <c r="V341" s="182">
        <f t="shared" si="95"/>
        <v>53.557946394865986</v>
      </c>
      <c r="W341" s="180"/>
      <c r="X341" s="180"/>
      <c r="Y341" s="180"/>
      <c r="Z341" s="180"/>
      <c r="AA341" s="180"/>
      <c r="AB341" s="180"/>
      <c r="AC341" s="180"/>
      <c r="AD341" s="180"/>
      <c r="AE341" s="180"/>
      <c r="AF341" s="180"/>
      <c r="AG341" s="180"/>
      <c r="AH341" s="180"/>
      <c r="AI341" s="180">
        <f>3803000+7983000+4041000+3843000+4935000</f>
        <v>24605000</v>
      </c>
      <c r="AJ341" s="181">
        <f t="shared" si="92"/>
        <v>46.442053605134014</v>
      </c>
      <c r="AK341" s="180">
        <f t="shared" si="99"/>
        <v>28375000</v>
      </c>
      <c r="AL341" s="181">
        <f t="shared" si="93"/>
        <v>53.557946394865986</v>
      </c>
      <c r="AM341" s="243"/>
    </row>
    <row r="342" spans="1:39" ht="39.75" customHeight="1" x14ac:dyDescent="0.25">
      <c r="A342" s="243"/>
      <c r="B342" s="477"/>
      <c r="C342" s="477"/>
      <c r="D342" s="477"/>
      <c r="E342" s="477"/>
      <c r="F342" s="477"/>
      <c r="G342" s="477"/>
      <c r="H342" s="477"/>
      <c r="I342" s="478"/>
      <c r="J342" s="477" t="s">
        <v>315</v>
      </c>
      <c r="K342" s="245"/>
      <c r="L342" s="257"/>
      <c r="M342" s="591" t="s">
        <v>271</v>
      </c>
      <c r="N342" s="592"/>
      <c r="O342" s="179"/>
      <c r="P342" s="180"/>
      <c r="Q342" s="180">
        <v>1800000</v>
      </c>
      <c r="R342" s="181">
        <f t="shared" si="103"/>
        <v>0.52733345051854452</v>
      </c>
      <c r="S342" s="181">
        <v>100</v>
      </c>
      <c r="T342" s="180">
        <f t="shared" si="91"/>
        <v>44.444444444444443</v>
      </c>
      <c r="U342" s="180">
        <f t="shared" si="97"/>
        <v>0.23437042245268647</v>
      </c>
      <c r="V342" s="182">
        <f t="shared" si="95"/>
        <v>55.555555555555557</v>
      </c>
      <c r="W342" s="180"/>
      <c r="X342" s="180"/>
      <c r="Y342" s="180"/>
      <c r="Z342" s="180"/>
      <c r="AA342" s="180"/>
      <c r="AB342" s="180"/>
      <c r="AC342" s="180"/>
      <c r="AD342" s="180"/>
      <c r="AE342" s="180"/>
      <c r="AF342" s="180"/>
      <c r="AG342" s="180"/>
      <c r="AH342" s="180"/>
      <c r="AI342" s="180">
        <v>800000</v>
      </c>
      <c r="AJ342" s="181">
        <f t="shared" si="92"/>
        <v>44.444444444444443</v>
      </c>
      <c r="AK342" s="180">
        <f t="shared" si="99"/>
        <v>1000000</v>
      </c>
      <c r="AL342" s="181">
        <f t="shared" si="93"/>
        <v>55.555555555555557</v>
      </c>
      <c r="AM342" s="243"/>
    </row>
    <row r="343" spans="1:39" ht="29.25" customHeight="1" x14ac:dyDescent="0.25">
      <c r="A343" s="243"/>
      <c r="B343" s="477"/>
      <c r="C343" s="477"/>
      <c r="D343" s="477"/>
      <c r="E343" s="477"/>
      <c r="F343" s="477"/>
      <c r="G343" s="477"/>
      <c r="H343" s="477"/>
      <c r="I343" s="478"/>
      <c r="J343" s="477" t="s">
        <v>316</v>
      </c>
      <c r="K343" s="245"/>
      <c r="L343" s="257"/>
      <c r="M343" s="591" t="s">
        <v>317</v>
      </c>
      <c r="N343" s="592"/>
      <c r="O343" s="179"/>
      <c r="P343" s="180"/>
      <c r="Q343" s="180">
        <v>600000</v>
      </c>
      <c r="R343" s="181">
        <f t="shared" si="103"/>
        <v>0.17577781683951485</v>
      </c>
      <c r="S343" s="181">
        <v>100</v>
      </c>
      <c r="T343" s="180">
        <f t="shared" si="91"/>
        <v>50</v>
      </c>
      <c r="U343" s="180">
        <f t="shared" si="97"/>
        <v>8.7888908419757425E-2</v>
      </c>
      <c r="V343" s="182">
        <f t="shared" si="95"/>
        <v>50</v>
      </c>
      <c r="W343" s="180"/>
      <c r="X343" s="180"/>
      <c r="Y343" s="180"/>
      <c r="Z343" s="180"/>
      <c r="AA343" s="180"/>
      <c r="AB343" s="180"/>
      <c r="AC343" s="180"/>
      <c r="AD343" s="180"/>
      <c r="AE343" s="180"/>
      <c r="AF343" s="180"/>
      <c r="AG343" s="180"/>
      <c r="AH343" s="180"/>
      <c r="AI343" s="180">
        <v>300000</v>
      </c>
      <c r="AJ343" s="181">
        <f t="shared" si="92"/>
        <v>50</v>
      </c>
      <c r="AK343" s="180">
        <f t="shared" si="99"/>
        <v>300000</v>
      </c>
      <c r="AL343" s="181">
        <f t="shared" si="93"/>
        <v>50</v>
      </c>
      <c r="AM343" s="243"/>
    </row>
    <row r="344" spans="1:39" ht="29.25" customHeight="1" x14ac:dyDescent="0.25">
      <c r="A344" s="243"/>
      <c r="B344" s="477"/>
      <c r="C344" s="477"/>
      <c r="D344" s="477"/>
      <c r="E344" s="477"/>
      <c r="F344" s="477"/>
      <c r="G344" s="477"/>
      <c r="H344" s="477"/>
      <c r="I344" s="478"/>
      <c r="J344" s="477" t="s">
        <v>318</v>
      </c>
      <c r="K344" s="245"/>
      <c r="L344" s="257"/>
      <c r="M344" s="591" t="s">
        <v>319</v>
      </c>
      <c r="N344" s="592"/>
      <c r="O344" s="179"/>
      <c r="P344" s="180"/>
      <c r="Q344" s="180">
        <v>97400000</v>
      </c>
      <c r="R344" s="181">
        <f t="shared" si="103"/>
        <v>28.534598933614578</v>
      </c>
      <c r="S344" s="181">
        <v>100</v>
      </c>
      <c r="T344" s="180">
        <f t="shared" si="91"/>
        <v>38.809034907597535</v>
      </c>
      <c r="U344" s="180">
        <f t="shared" si="97"/>
        <v>11.074002460889435</v>
      </c>
      <c r="V344" s="182">
        <f t="shared" si="95"/>
        <v>61.190965092402465</v>
      </c>
      <c r="W344" s="180"/>
      <c r="X344" s="180"/>
      <c r="Y344" s="180"/>
      <c r="Z344" s="180"/>
      <c r="AA344" s="180"/>
      <c r="AB344" s="180"/>
      <c r="AC344" s="180"/>
      <c r="AD344" s="180"/>
      <c r="AE344" s="180"/>
      <c r="AF344" s="180"/>
      <c r="AG344" s="180"/>
      <c r="AH344" s="180"/>
      <c r="AI344" s="180">
        <v>37800000</v>
      </c>
      <c r="AJ344" s="181">
        <f t="shared" si="92"/>
        <v>38.809034907597535</v>
      </c>
      <c r="AK344" s="180">
        <f t="shared" si="99"/>
        <v>59600000</v>
      </c>
      <c r="AL344" s="181">
        <f t="shared" si="93"/>
        <v>61.190965092402458</v>
      </c>
      <c r="AM344" s="243"/>
    </row>
    <row r="345" spans="1:39" ht="29.25" customHeight="1" x14ac:dyDescent="0.25">
      <c r="A345" s="243"/>
      <c r="B345" s="477"/>
      <c r="C345" s="477"/>
      <c r="D345" s="477"/>
      <c r="E345" s="477"/>
      <c r="F345" s="477"/>
      <c r="G345" s="477"/>
      <c r="H345" s="477"/>
      <c r="I345" s="478"/>
      <c r="J345" s="477" t="s">
        <v>280</v>
      </c>
      <c r="K345" s="245"/>
      <c r="L345" s="257"/>
      <c r="M345" s="591" t="s">
        <v>281</v>
      </c>
      <c r="N345" s="592"/>
      <c r="O345" s="179"/>
      <c r="P345" s="180"/>
      <c r="Q345" s="180">
        <v>2000000</v>
      </c>
      <c r="R345" s="181">
        <f t="shared" si="103"/>
        <v>0.58592605613171622</v>
      </c>
      <c r="S345" s="181">
        <v>100</v>
      </c>
      <c r="T345" s="180">
        <f t="shared" ref="T345:T413" si="104">AJ345</f>
        <v>0</v>
      </c>
      <c r="U345" s="180">
        <f t="shared" si="97"/>
        <v>0</v>
      </c>
      <c r="V345" s="182">
        <f t="shared" si="95"/>
        <v>100</v>
      </c>
      <c r="W345" s="180"/>
      <c r="X345" s="180"/>
      <c r="Y345" s="180"/>
      <c r="Z345" s="180"/>
      <c r="AA345" s="180"/>
      <c r="AB345" s="180"/>
      <c r="AC345" s="180"/>
      <c r="AD345" s="180"/>
      <c r="AE345" s="180"/>
      <c r="AF345" s="180"/>
      <c r="AG345" s="180"/>
      <c r="AH345" s="180"/>
      <c r="AI345" s="180">
        <v>0</v>
      </c>
      <c r="AJ345" s="181">
        <f t="shared" ref="AJ345:AJ408" si="105">AI345/Q345*100</f>
        <v>0</v>
      </c>
      <c r="AK345" s="180">
        <f t="shared" si="99"/>
        <v>2000000</v>
      </c>
      <c r="AL345" s="181">
        <f t="shared" ref="AL345:AL408" si="106">AK345/Q345*100</f>
        <v>100</v>
      </c>
      <c r="AM345" s="243"/>
    </row>
    <row r="346" spans="1:39" ht="29.25" customHeight="1" x14ac:dyDescent="0.25">
      <c r="A346" s="243"/>
      <c r="B346" s="477"/>
      <c r="C346" s="477"/>
      <c r="D346" s="477"/>
      <c r="E346" s="477"/>
      <c r="F346" s="477"/>
      <c r="G346" s="477"/>
      <c r="H346" s="477"/>
      <c r="I346" s="478"/>
      <c r="J346" s="477" t="s">
        <v>284</v>
      </c>
      <c r="K346" s="245"/>
      <c r="L346" s="257"/>
      <c r="M346" s="591" t="s">
        <v>285</v>
      </c>
      <c r="N346" s="592"/>
      <c r="O346" s="179"/>
      <c r="P346" s="180"/>
      <c r="Q346" s="180">
        <v>2200000</v>
      </c>
      <c r="R346" s="181">
        <f t="shared" si="103"/>
        <v>0.64451866174488781</v>
      </c>
      <c r="S346" s="181">
        <v>100</v>
      </c>
      <c r="T346" s="180">
        <f t="shared" si="104"/>
        <v>30</v>
      </c>
      <c r="U346" s="180">
        <f t="shared" si="97"/>
        <v>0.19335559852346634</v>
      </c>
      <c r="V346" s="182">
        <f t="shared" si="95"/>
        <v>70</v>
      </c>
      <c r="W346" s="180"/>
      <c r="X346" s="180"/>
      <c r="Y346" s="180"/>
      <c r="Z346" s="180"/>
      <c r="AA346" s="180"/>
      <c r="AB346" s="180"/>
      <c r="AC346" s="180"/>
      <c r="AD346" s="180"/>
      <c r="AE346" s="180"/>
      <c r="AF346" s="180"/>
      <c r="AG346" s="180"/>
      <c r="AH346" s="180"/>
      <c r="AI346" s="180">
        <v>660000</v>
      </c>
      <c r="AJ346" s="181">
        <f t="shared" si="105"/>
        <v>30</v>
      </c>
      <c r="AK346" s="180">
        <f t="shared" si="99"/>
        <v>1540000</v>
      </c>
      <c r="AL346" s="181">
        <f t="shared" si="106"/>
        <v>70</v>
      </c>
      <c r="AM346" s="243"/>
    </row>
    <row r="347" spans="1:39" ht="29.25" customHeight="1" x14ac:dyDescent="0.25">
      <c r="A347" s="243"/>
      <c r="B347" s="477"/>
      <c r="C347" s="477"/>
      <c r="D347" s="477"/>
      <c r="E347" s="477"/>
      <c r="F347" s="477"/>
      <c r="G347" s="477"/>
      <c r="H347" s="477"/>
      <c r="I347" s="478"/>
      <c r="J347" s="477" t="s">
        <v>282</v>
      </c>
      <c r="K347" s="245"/>
      <c r="L347" s="257"/>
      <c r="M347" s="591" t="s">
        <v>283</v>
      </c>
      <c r="N347" s="592"/>
      <c r="O347" s="179"/>
      <c r="P347" s="180"/>
      <c r="Q347" s="180">
        <v>159060000</v>
      </c>
      <c r="R347" s="181">
        <f t="shared" si="103"/>
        <v>46.598699244155391</v>
      </c>
      <c r="S347" s="181">
        <v>100</v>
      </c>
      <c r="T347" s="180">
        <f t="shared" si="104"/>
        <v>37.783314472526094</v>
      </c>
      <c r="U347" s="180">
        <f t="shared" si="97"/>
        <v>17.606533075525871</v>
      </c>
      <c r="V347" s="182">
        <f t="shared" si="95"/>
        <v>62.216685527473906</v>
      </c>
      <c r="W347" s="180"/>
      <c r="X347" s="180"/>
      <c r="Y347" s="180"/>
      <c r="Z347" s="180"/>
      <c r="AA347" s="180"/>
      <c r="AB347" s="180"/>
      <c r="AC347" s="180"/>
      <c r="AD347" s="180"/>
      <c r="AE347" s="180"/>
      <c r="AF347" s="180"/>
      <c r="AG347" s="180"/>
      <c r="AH347" s="180"/>
      <c r="AI347" s="180">
        <f>7205640+22163000+12750000+5100000+12879500</f>
        <v>60098140</v>
      </c>
      <c r="AJ347" s="181">
        <f t="shared" si="105"/>
        <v>37.783314472526094</v>
      </c>
      <c r="AK347" s="180">
        <f t="shared" si="99"/>
        <v>98961860</v>
      </c>
      <c r="AL347" s="181">
        <f t="shared" si="106"/>
        <v>62.216685527473913</v>
      </c>
      <c r="AM347" s="243"/>
    </row>
    <row r="348" spans="1:39" ht="29.25" customHeight="1" x14ac:dyDescent="0.25">
      <c r="A348" s="243"/>
      <c r="B348" s="477"/>
      <c r="C348" s="477"/>
      <c r="D348" s="477"/>
      <c r="E348" s="477"/>
      <c r="F348" s="477"/>
      <c r="G348" s="477"/>
      <c r="H348" s="477"/>
      <c r="I348" s="478"/>
      <c r="J348" s="477" t="s">
        <v>320</v>
      </c>
      <c r="K348" s="245"/>
      <c r="L348" s="257"/>
      <c r="M348" s="591" t="s">
        <v>321</v>
      </c>
      <c r="N348" s="592"/>
      <c r="O348" s="179"/>
      <c r="P348" s="180"/>
      <c r="Q348" s="180">
        <v>14400000</v>
      </c>
      <c r="R348" s="181">
        <f t="shared" si="103"/>
        <v>4.2186676041483562</v>
      </c>
      <c r="S348" s="181">
        <v>100</v>
      </c>
      <c r="T348" s="180">
        <f t="shared" si="104"/>
        <v>50</v>
      </c>
      <c r="U348" s="180">
        <f t="shared" si="97"/>
        <v>2.1093338020741781</v>
      </c>
      <c r="V348" s="182">
        <f t="shared" si="95"/>
        <v>50</v>
      </c>
      <c r="W348" s="180"/>
      <c r="X348" s="180"/>
      <c r="Y348" s="180"/>
      <c r="Z348" s="180"/>
      <c r="AA348" s="180"/>
      <c r="AB348" s="180"/>
      <c r="AC348" s="180"/>
      <c r="AD348" s="180"/>
      <c r="AE348" s="180"/>
      <c r="AF348" s="180"/>
      <c r="AG348" s="180"/>
      <c r="AH348" s="180"/>
      <c r="AI348" s="180">
        <v>7200000</v>
      </c>
      <c r="AJ348" s="181">
        <f t="shared" si="105"/>
        <v>50</v>
      </c>
      <c r="AK348" s="180">
        <f t="shared" si="99"/>
        <v>7200000</v>
      </c>
      <c r="AL348" s="181">
        <f t="shared" si="106"/>
        <v>50</v>
      </c>
      <c r="AM348" s="243"/>
    </row>
    <row r="349" spans="1:39" ht="29.25" customHeight="1" x14ac:dyDescent="0.25">
      <c r="A349" s="243"/>
      <c r="B349" s="477"/>
      <c r="C349" s="477"/>
      <c r="D349" s="477"/>
      <c r="E349" s="477"/>
      <c r="F349" s="477"/>
      <c r="G349" s="477"/>
      <c r="H349" s="477"/>
      <c r="I349" s="478"/>
      <c r="J349" s="477" t="s">
        <v>407</v>
      </c>
      <c r="K349" s="245"/>
      <c r="L349" s="257"/>
      <c r="M349" s="591" t="s">
        <v>414</v>
      </c>
      <c r="N349" s="592"/>
      <c r="O349" s="179"/>
      <c r="P349" s="180"/>
      <c r="Q349" s="180">
        <v>9300000</v>
      </c>
      <c r="R349" s="181">
        <f t="shared" si="103"/>
        <v>2.7245561610124804</v>
      </c>
      <c r="S349" s="181"/>
      <c r="T349" s="180">
        <f t="shared" si="104"/>
        <v>50</v>
      </c>
      <c r="U349" s="180">
        <f t="shared" si="97"/>
        <v>1.3622780805062402</v>
      </c>
      <c r="V349" s="182"/>
      <c r="W349" s="180"/>
      <c r="X349" s="180"/>
      <c r="Y349" s="180"/>
      <c r="Z349" s="180"/>
      <c r="AA349" s="180"/>
      <c r="AB349" s="180"/>
      <c r="AC349" s="180"/>
      <c r="AD349" s="180"/>
      <c r="AE349" s="180"/>
      <c r="AF349" s="180"/>
      <c r="AG349" s="180"/>
      <c r="AH349" s="180"/>
      <c r="AI349" s="180">
        <v>4650000</v>
      </c>
      <c r="AJ349" s="181">
        <f t="shared" si="105"/>
        <v>50</v>
      </c>
      <c r="AK349" s="180">
        <f t="shared" si="99"/>
        <v>4650000</v>
      </c>
      <c r="AL349" s="181">
        <f t="shared" si="106"/>
        <v>50</v>
      </c>
      <c r="AM349" s="243"/>
    </row>
    <row r="350" spans="1:39" s="297" customFormat="1" ht="45" customHeight="1" x14ac:dyDescent="0.25">
      <c r="A350" s="227">
        <f>A339+1</f>
        <v>46</v>
      </c>
      <c r="B350" s="615" t="s">
        <v>147</v>
      </c>
      <c r="C350" s="615"/>
      <c r="D350" s="615"/>
      <c r="E350" s="615"/>
      <c r="F350" s="615"/>
      <c r="G350" s="615"/>
      <c r="H350" s="615"/>
      <c r="I350" s="614"/>
      <c r="J350" s="304" t="s">
        <v>490</v>
      </c>
      <c r="K350" s="230"/>
      <c r="L350" s="294"/>
      <c r="M350" s="610" t="s">
        <v>48</v>
      </c>
      <c r="N350" s="610"/>
      <c r="O350" s="309">
        <v>606500000</v>
      </c>
      <c r="P350" s="231">
        <f>O350</f>
        <v>606500000</v>
      </c>
      <c r="Q350" s="231">
        <f>SUM(Q351:Q355)</f>
        <v>189188876</v>
      </c>
      <c r="R350" s="233">
        <f>Q350/Q$248*100</f>
        <v>1.5861111558977716</v>
      </c>
      <c r="S350" s="233">
        <v>100</v>
      </c>
      <c r="T350" s="231">
        <f t="shared" si="104"/>
        <v>24.472897655991151</v>
      </c>
      <c r="U350" s="231">
        <f t="shared" si="97"/>
        <v>0.38816735989311996</v>
      </c>
      <c r="V350" s="296">
        <f t="shared" si="95"/>
        <v>75.527102344008853</v>
      </c>
      <c r="W350" s="231"/>
      <c r="X350" s="231" t="e">
        <f>#REF!</f>
        <v>#REF!</v>
      </c>
      <c r="Y350" s="231" t="e">
        <f>#REF!</f>
        <v>#REF!</v>
      </c>
      <c r="Z350" s="231" t="e">
        <f>#REF!</f>
        <v>#REF!</v>
      </c>
      <c r="AA350" s="231" t="e">
        <f>#REF!</f>
        <v>#REF!</v>
      </c>
      <c r="AB350" s="231">
        <v>143751020</v>
      </c>
      <c r="AC350" s="231" t="e">
        <f>#REF!</f>
        <v>#REF!</v>
      </c>
      <c r="AD350" s="231" t="e">
        <f>#REF!</f>
        <v>#REF!</v>
      </c>
      <c r="AE350" s="231" t="e">
        <f>#REF!</f>
        <v>#REF!</v>
      </c>
      <c r="AF350" s="231" t="e">
        <f>[1]April!N64</f>
        <v>#REF!</v>
      </c>
      <c r="AG350" s="231" t="e">
        <f>[2]april!N64</f>
        <v>#REF!</v>
      </c>
      <c r="AH350" s="231">
        <f>'[3]DES SKPD'!$N64</f>
        <v>571546340</v>
      </c>
      <c r="AI350" s="231">
        <f>SUM(AI351:AI355)</f>
        <v>46300000</v>
      </c>
      <c r="AJ350" s="233">
        <f t="shared" si="105"/>
        <v>24.472897655991151</v>
      </c>
      <c r="AK350" s="231">
        <f t="shared" si="99"/>
        <v>142888876</v>
      </c>
      <c r="AL350" s="233">
        <f t="shared" si="106"/>
        <v>75.527102344008853</v>
      </c>
      <c r="AM350" s="227"/>
    </row>
    <row r="351" spans="1:39" ht="28.5" customHeight="1" x14ac:dyDescent="0.25">
      <c r="A351" s="243"/>
      <c r="B351" s="477"/>
      <c r="C351" s="477"/>
      <c r="D351" s="477"/>
      <c r="E351" s="477"/>
      <c r="F351" s="477"/>
      <c r="G351" s="477"/>
      <c r="H351" s="477"/>
      <c r="I351" s="478"/>
      <c r="J351" s="477" t="s">
        <v>257</v>
      </c>
      <c r="K351" s="245"/>
      <c r="L351" s="257"/>
      <c r="M351" s="591" t="s">
        <v>428</v>
      </c>
      <c r="N351" s="592"/>
      <c r="O351" s="179"/>
      <c r="P351" s="180"/>
      <c r="Q351" s="180">
        <v>10000000</v>
      </c>
      <c r="R351" s="181">
        <f>Q351/Q$350*100</f>
        <v>5.2857230358512197</v>
      </c>
      <c r="S351" s="181">
        <v>100</v>
      </c>
      <c r="T351" s="180">
        <f t="shared" si="104"/>
        <v>40</v>
      </c>
      <c r="U351" s="180">
        <f t="shared" si="97"/>
        <v>2.1142892143404879</v>
      </c>
      <c r="V351" s="182">
        <f t="shared" si="95"/>
        <v>60</v>
      </c>
      <c r="W351" s="180"/>
      <c r="X351" s="180"/>
      <c r="Y351" s="180"/>
      <c r="Z351" s="180"/>
      <c r="AA351" s="180"/>
      <c r="AB351" s="180"/>
      <c r="AC351" s="180"/>
      <c r="AD351" s="180"/>
      <c r="AE351" s="180"/>
      <c r="AF351" s="180"/>
      <c r="AG351" s="180"/>
      <c r="AH351" s="180"/>
      <c r="AI351" s="180">
        <v>4000000</v>
      </c>
      <c r="AJ351" s="181">
        <f t="shared" si="105"/>
        <v>40</v>
      </c>
      <c r="AK351" s="180">
        <f t="shared" si="99"/>
        <v>6000000</v>
      </c>
      <c r="AL351" s="181">
        <f t="shared" si="106"/>
        <v>60</v>
      </c>
      <c r="AM351" s="243"/>
    </row>
    <row r="352" spans="1:39" ht="28.5" customHeight="1" x14ac:dyDescent="0.25">
      <c r="A352" s="243"/>
      <c r="B352" s="477"/>
      <c r="C352" s="477"/>
      <c r="D352" s="477"/>
      <c r="E352" s="477"/>
      <c r="F352" s="477"/>
      <c r="G352" s="477"/>
      <c r="H352" s="477"/>
      <c r="I352" s="478"/>
      <c r="J352" s="477" t="s">
        <v>318</v>
      </c>
      <c r="K352" s="245"/>
      <c r="L352" s="257"/>
      <c r="M352" s="611" t="s">
        <v>319</v>
      </c>
      <c r="N352" s="598"/>
      <c r="O352" s="179"/>
      <c r="P352" s="180"/>
      <c r="Q352" s="180">
        <v>100000000</v>
      </c>
      <c r="R352" s="181">
        <f>Q352/Q$350*100</f>
        <v>52.857230358512197</v>
      </c>
      <c r="S352" s="181">
        <v>100</v>
      </c>
      <c r="T352" s="180">
        <f t="shared" si="104"/>
        <v>24</v>
      </c>
      <c r="U352" s="180">
        <f t="shared" si="97"/>
        <v>12.685735286042927</v>
      </c>
      <c r="V352" s="182">
        <f t="shared" si="95"/>
        <v>76</v>
      </c>
      <c r="W352" s="180"/>
      <c r="X352" s="180"/>
      <c r="Y352" s="180"/>
      <c r="Z352" s="180"/>
      <c r="AA352" s="180"/>
      <c r="AB352" s="180"/>
      <c r="AC352" s="180"/>
      <c r="AD352" s="180"/>
      <c r="AE352" s="180"/>
      <c r="AF352" s="180"/>
      <c r="AG352" s="180"/>
      <c r="AH352" s="180"/>
      <c r="AI352" s="180">
        <v>24000000</v>
      </c>
      <c r="AJ352" s="181">
        <f t="shared" si="105"/>
        <v>24</v>
      </c>
      <c r="AK352" s="180">
        <f t="shared" si="99"/>
        <v>76000000</v>
      </c>
      <c r="AL352" s="181">
        <f t="shared" si="106"/>
        <v>76</v>
      </c>
      <c r="AM352" s="243"/>
    </row>
    <row r="353" spans="1:39" ht="28.5" customHeight="1" x14ac:dyDescent="0.25">
      <c r="A353" s="243"/>
      <c r="B353" s="477"/>
      <c r="C353" s="477"/>
      <c r="D353" s="477"/>
      <c r="E353" s="477"/>
      <c r="F353" s="477"/>
      <c r="G353" s="477"/>
      <c r="H353" s="477"/>
      <c r="I353" s="478"/>
      <c r="J353" s="477" t="s">
        <v>282</v>
      </c>
      <c r="K353" s="245"/>
      <c r="L353" s="257"/>
      <c r="M353" s="591" t="s">
        <v>603</v>
      </c>
      <c r="N353" s="592"/>
      <c r="O353" s="179"/>
      <c r="P353" s="180"/>
      <c r="Q353" s="180">
        <v>12388876</v>
      </c>
      <c r="R353" s="181">
        <f>Q353/Q$350*100</f>
        <v>6.5484167261504318</v>
      </c>
      <c r="S353" s="181">
        <v>100</v>
      </c>
      <c r="T353" s="180">
        <f t="shared" si="104"/>
        <v>15.33633882524936</v>
      </c>
      <c r="U353" s="180">
        <f t="shared" si="97"/>
        <v>1.0042873768117317</v>
      </c>
      <c r="V353" s="182">
        <f t="shared" si="95"/>
        <v>84.663661174750644</v>
      </c>
      <c r="W353" s="180"/>
      <c r="X353" s="180"/>
      <c r="Y353" s="180"/>
      <c r="Z353" s="180"/>
      <c r="AA353" s="180"/>
      <c r="AB353" s="180"/>
      <c r="AC353" s="180"/>
      <c r="AD353" s="180"/>
      <c r="AE353" s="180"/>
      <c r="AF353" s="180"/>
      <c r="AG353" s="180"/>
      <c r="AH353" s="180"/>
      <c r="AI353" s="180">
        <v>1900000</v>
      </c>
      <c r="AJ353" s="181">
        <f t="shared" si="105"/>
        <v>15.33633882524936</v>
      </c>
      <c r="AK353" s="180">
        <f t="shared" si="99"/>
        <v>10488876</v>
      </c>
      <c r="AL353" s="181">
        <f t="shared" si="106"/>
        <v>84.663661174750644</v>
      </c>
      <c r="AM353" s="243"/>
    </row>
    <row r="354" spans="1:39" ht="28.5" customHeight="1" x14ac:dyDescent="0.25">
      <c r="A354" s="243"/>
      <c r="B354" s="477"/>
      <c r="C354" s="477"/>
      <c r="D354" s="477"/>
      <c r="E354" s="477"/>
      <c r="F354" s="477"/>
      <c r="G354" s="477"/>
      <c r="H354" s="477"/>
      <c r="I354" s="478"/>
      <c r="J354" s="477" t="s">
        <v>320</v>
      </c>
      <c r="K354" s="245"/>
      <c r="L354" s="257"/>
      <c r="M354" s="591" t="s">
        <v>321</v>
      </c>
      <c r="N354" s="592"/>
      <c r="O354" s="179"/>
      <c r="P354" s="180"/>
      <c r="Q354" s="180">
        <v>57600000</v>
      </c>
      <c r="R354" s="181">
        <f>Q354/Q$350*100</f>
        <v>30.445764686503026</v>
      </c>
      <c r="S354" s="181">
        <v>100</v>
      </c>
      <c r="T354" s="180">
        <f t="shared" si="104"/>
        <v>25</v>
      </c>
      <c r="U354" s="180">
        <f t="shared" si="97"/>
        <v>7.6114411716257564</v>
      </c>
      <c r="V354" s="182">
        <f t="shared" si="95"/>
        <v>75</v>
      </c>
      <c r="W354" s="180"/>
      <c r="X354" s="180"/>
      <c r="Y354" s="180"/>
      <c r="Z354" s="180"/>
      <c r="AA354" s="180"/>
      <c r="AB354" s="180"/>
      <c r="AC354" s="180"/>
      <c r="AD354" s="180"/>
      <c r="AE354" s="180"/>
      <c r="AF354" s="180"/>
      <c r="AG354" s="180"/>
      <c r="AH354" s="180"/>
      <c r="AI354" s="180">
        <v>14400000</v>
      </c>
      <c r="AJ354" s="181">
        <f t="shared" si="105"/>
        <v>25</v>
      </c>
      <c r="AK354" s="180">
        <f t="shared" si="99"/>
        <v>43200000</v>
      </c>
      <c r="AL354" s="181">
        <f t="shared" si="106"/>
        <v>75</v>
      </c>
      <c r="AM354" s="243"/>
    </row>
    <row r="355" spans="1:39" ht="28.5" customHeight="1" x14ac:dyDescent="0.25">
      <c r="A355" s="243"/>
      <c r="B355" s="477"/>
      <c r="C355" s="477"/>
      <c r="D355" s="477"/>
      <c r="E355" s="477"/>
      <c r="F355" s="477"/>
      <c r="G355" s="477"/>
      <c r="H355" s="477"/>
      <c r="I355" s="478"/>
      <c r="J355" s="477" t="s">
        <v>309</v>
      </c>
      <c r="K355" s="245"/>
      <c r="L355" s="257"/>
      <c r="M355" s="591" t="s">
        <v>607</v>
      </c>
      <c r="N355" s="592"/>
      <c r="O355" s="179"/>
      <c r="P355" s="180"/>
      <c r="Q355" s="180">
        <v>9200000</v>
      </c>
      <c r="R355" s="181">
        <f>Q355/Q$350*100</f>
        <v>4.8628651929831221</v>
      </c>
      <c r="S355" s="181">
        <v>100</v>
      </c>
      <c r="T355" s="180">
        <f t="shared" si="104"/>
        <v>21.739130434782609</v>
      </c>
      <c r="U355" s="180">
        <f t="shared" si="97"/>
        <v>1.0571446071702439</v>
      </c>
      <c r="V355" s="182">
        <f t="shared" si="95"/>
        <v>78.260869565217391</v>
      </c>
      <c r="W355" s="180"/>
      <c r="X355" s="180"/>
      <c r="Y355" s="180"/>
      <c r="Z355" s="180"/>
      <c r="AA355" s="180"/>
      <c r="AB355" s="180"/>
      <c r="AC355" s="180"/>
      <c r="AD355" s="180"/>
      <c r="AE355" s="180"/>
      <c r="AF355" s="180"/>
      <c r="AG355" s="180"/>
      <c r="AH355" s="180"/>
      <c r="AI355" s="180">
        <v>2000000</v>
      </c>
      <c r="AJ355" s="181">
        <f t="shared" si="105"/>
        <v>21.739130434782609</v>
      </c>
      <c r="AK355" s="180">
        <f t="shared" si="99"/>
        <v>7200000</v>
      </c>
      <c r="AL355" s="181">
        <f t="shared" si="106"/>
        <v>78.260869565217391</v>
      </c>
      <c r="AM355" s="243"/>
    </row>
    <row r="356" spans="1:39" ht="28.5" customHeight="1" x14ac:dyDescent="0.25">
      <c r="A356" s="227">
        <v>47</v>
      </c>
      <c r="B356" s="477"/>
      <c r="C356" s="477"/>
      <c r="D356" s="477"/>
      <c r="E356" s="477"/>
      <c r="F356" s="477"/>
      <c r="G356" s="477"/>
      <c r="H356" s="477"/>
      <c r="I356" s="478"/>
      <c r="J356" s="304" t="s">
        <v>492</v>
      </c>
      <c r="K356" s="230"/>
      <c r="L356" s="294"/>
      <c r="M356" s="609" t="s">
        <v>493</v>
      </c>
      <c r="N356" s="609"/>
      <c r="O356" s="309">
        <v>558720000</v>
      </c>
      <c r="P356" s="231">
        <f>O356</f>
        <v>558720000</v>
      </c>
      <c r="Q356" s="231">
        <f>SUM(Q357:Q363)</f>
        <v>541894073</v>
      </c>
      <c r="R356" s="233">
        <f>Q356/Q$248*100</f>
        <v>4.5431013317092779</v>
      </c>
      <c r="S356" s="233">
        <v>100</v>
      </c>
      <c r="T356" s="231">
        <f t="shared" si="104"/>
        <v>74.643422608536255</v>
      </c>
      <c r="U356" s="231">
        <f t="shared" si="97"/>
        <v>3.3911263265617948</v>
      </c>
      <c r="V356" s="296">
        <f t="shared" si="95"/>
        <v>25.356577391463745</v>
      </c>
      <c r="W356" s="231"/>
      <c r="X356" s="231" t="e">
        <f>#REF!</f>
        <v>#REF!</v>
      </c>
      <c r="Y356" s="231" t="e">
        <f>#REF!</f>
        <v>#REF!</v>
      </c>
      <c r="Z356" s="231" t="e">
        <f>#REF!</f>
        <v>#REF!</v>
      </c>
      <c r="AA356" s="231" t="e">
        <f>#REF!</f>
        <v>#REF!</v>
      </c>
      <c r="AB356" s="231">
        <v>192786500</v>
      </c>
      <c r="AC356" s="231" t="e">
        <f>#REF!</f>
        <v>#REF!</v>
      </c>
      <c r="AD356" s="231" t="e">
        <f>#REF!</f>
        <v>#REF!</v>
      </c>
      <c r="AE356" s="231" t="e">
        <f>#REF!</f>
        <v>#REF!</v>
      </c>
      <c r="AF356" s="231" t="e">
        <f>[1]April!N54</f>
        <v>#REF!</v>
      </c>
      <c r="AG356" s="231" t="e">
        <f>[2]april!N54</f>
        <v>#REF!</v>
      </c>
      <c r="AH356" s="231">
        <f>'[3]DES SKPD'!$N54</f>
        <v>508172500</v>
      </c>
      <c r="AI356" s="231">
        <f>SUM(AI357:AI363)</f>
        <v>404488283</v>
      </c>
      <c r="AJ356" s="233">
        <f t="shared" si="105"/>
        <v>74.643422608536255</v>
      </c>
      <c r="AK356" s="231">
        <f t="shared" si="99"/>
        <v>137405790</v>
      </c>
      <c r="AL356" s="233">
        <f t="shared" si="106"/>
        <v>25.356577391463738</v>
      </c>
      <c r="AM356" s="243"/>
    </row>
    <row r="357" spans="1:39" ht="28.5" customHeight="1" x14ac:dyDescent="0.25">
      <c r="A357" s="243"/>
      <c r="B357" s="477"/>
      <c r="C357" s="477"/>
      <c r="D357" s="477"/>
      <c r="E357" s="477"/>
      <c r="F357" s="477"/>
      <c r="G357" s="477"/>
      <c r="H357" s="477"/>
      <c r="I357" s="478"/>
      <c r="J357" s="477" t="s">
        <v>315</v>
      </c>
      <c r="K357" s="245"/>
      <c r="L357" s="257"/>
      <c r="M357" s="591" t="s">
        <v>271</v>
      </c>
      <c r="N357" s="592"/>
      <c r="O357" s="179"/>
      <c r="P357" s="180"/>
      <c r="Q357" s="180">
        <v>20304000</v>
      </c>
      <c r="R357" s="181">
        <f t="shared" ref="R357:R363" si="107">Q357/Q$356*100</f>
        <v>3.74685773689944</v>
      </c>
      <c r="S357" s="181">
        <v>100</v>
      </c>
      <c r="T357" s="180">
        <f t="shared" si="104"/>
        <v>99.980299448384557</v>
      </c>
      <c r="U357" s="180">
        <f t="shared" si="97"/>
        <v>3.7461195852570253</v>
      </c>
      <c r="V357" s="182">
        <f t="shared" si="95"/>
        <v>1.9700551615443374E-2</v>
      </c>
      <c r="W357" s="180"/>
      <c r="X357" s="180"/>
      <c r="Y357" s="180"/>
      <c r="Z357" s="180"/>
      <c r="AA357" s="180"/>
      <c r="AB357" s="180"/>
      <c r="AC357" s="180"/>
      <c r="AD357" s="180"/>
      <c r="AE357" s="180"/>
      <c r="AF357" s="180"/>
      <c r="AG357" s="180"/>
      <c r="AH357" s="180"/>
      <c r="AI357" s="180">
        <f>2000000+18300000</f>
        <v>20300000</v>
      </c>
      <c r="AJ357" s="181">
        <f t="shared" si="105"/>
        <v>99.980299448384557</v>
      </c>
      <c r="AK357" s="180">
        <f t="shared" si="99"/>
        <v>4000</v>
      </c>
      <c r="AL357" s="181">
        <f t="shared" si="106"/>
        <v>1.9700551615445233E-2</v>
      </c>
      <c r="AM357" s="243"/>
    </row>
    <row r="358" spans="1:39" ht="28.5" customHeight="1" x14ac:dyDescent="0.25">
      <c r="A358" s="243"/>
      <c r="B358" s="477"/>
      <c r="C358" s="477"/>
      <c r="D358" s="477"/>
      <c r="E358" s="477"/>
      <c r="F358" s="477"/>
      <c r="G358" s="477"/>
      <c r="H358" s="477"/>
      <c r="I358" s="478"/>
      <c r="J358" s="477" t="s">
        <v>328</v>
      </c>
      <c r="K358" s="245"/>
      <c r="L358" s="257"/>
      <c r="M358" s="591" t="s">
        <v>319</v>
      </c>
      <c r="N358" s="592"/>
      <c r="O358" s="179"/>
      <c r="P358" s="180"/>
      <c r="Q358" s="180">
        <v>231000000</v>
      </c>
      <c r="R358" s="181">
        <f t="shared" si="107"/>
        <v>42.628257349476492</v>
      </c>
      <c r="S358" s="181">
        <v>100</v>
      </c>
      <c r="T358" s="180">
        <f t="shared" si="104"/>
        <v>86.166666666666671</v>
      </c>
      <c r="U358" s="180">
        <f t="shared" si="97"/>
        <v>36.731348416132249</v>
      </c>
      <c r="V358" s="182">
        <f t="shared" si="95"/>
        <v>13.833333333333329</v>
      </c>
      <c r="W358" s="180"/>
      <c r="X358" s="180"/>
      <c r="Y358" s="180"/>
      <c r="Z358" s="180"/>
      <c r="AA358" s="180"/>
      <c r="AB358" s="180"/>
      <c r="AC358" s="180"/>
      <c r="AD358" s="180"/>
      <c r="AE358" s="180"/>
      <c r="AF358" s="180"/>
      <c r="AG358" s="180"/>
      <c r="AH358" s="180"/>
      <c r="AI358" s="180">
        <f>99330000+99715000</f>
        <v>199045000</v>
      </c>
      <c r="AJ358" s="181">
        <f t="shared" si="105"/>
        <v>86.166666666666671</v>
      </c>
      <c r="AK358" s="180">
        <f t="shared" si="99"/>
        <v>31955000</v>
      </c>
      <c r="AL358" s="181">
        <f t="shared" si="106"/>
        <v>13.833333333333334</v>
      </c>
      <c r="AM358" s="243"/>
    </row>
    <row r="359" spans="1:39" ht="28.5" customHeight="1" x14ac:dyDescent="0.25">
      <c r="A359" s="243"/>
      <c r="B359" s="477"/>
      <c r="C359" s="477"/>
      <c r="D359" s="477"/>
      <c r="E359" s="477"/>
      <c r="F359" s="477"/>
      <c r="G359" s="477"/>
      <c r="H359" s="477"/>
      <c r="I359" s="478"/>
      <c r="J359" s="312" t="s">
        <v>339</v>
      </c>
      <c r="M359" s="619" t="s">
        <v>608</v>
      </c>
      <c r="N359" s="620"/>
      <c r="O359" s="179"/>
      <c r="P359" s="180"/>
      <c r="Q359" s="180">
        <v>25200000</v>
      </c>
      <c r="R359" s="181">
        <f t="shared" si="107"/>
        <v>4.6503553472156174</v>
      </c>
      <c r="S359" s="181">
        <v>100</v>
      </c>
      <c r="T359" s="180">
        <f t="shared" si="104"/>
        <v>13.194444444444445</v>
      </c>
      <c r="U359" s="180">
        <f t="shared" si="97"/>
        <v>0.61358855275761615</v>
      </c>
      <c r="V359" s="182">
        <f t="shared" si="95"/>
        <v>86.805555555555557</v>
      </c>
      <c r="W359" s="180"/>
      <c r="X359" s="180"/>
      <c r="Y359" s="180"/>
      <c r="Z359" s="180"/>
      <c r="AA359" s="180"/>
      <c r="AB359" s="180"/>
      <c r="AC359" s="180"/>
      <c r="AD359" s="180"/>
      <c r="AE359" s="180"/>
      <c r="AF359" s="180"/>
      <c r="AG359" s="180"/>
      <c r="AH359" s="180"/>
      <c r="AI359" s="180">
        <f>875000+2450000</f>
        <v>3325000</v>
      </c>
      <c r="AJ359" s="181">
        <f t="shared" si="105"/>
        <v>13.194444444444445</v>
      </c>
      <c r="AK359" s="180">
        <f t="shared" si="99"/>
        <v>21875000</v>
      </c>
      <c r="AL359" s="181">
        <f t="shared" si="106"/>
        <v>86.805555555555557</v>
      </c>
      <c r="AM359" s="243"/>
    </row>
    <row r="360" spans="1:39" ht="28.5" customHeight="1" x14ac:dyDescent="0.25">
      <c r="A360" s="243"/>
      <c r="B360" s="477"/>
      <c r="C360" s="477"/>
      <c r="D360" s="477"/>
      <c r="E360" s="477"/>
      <c r="F360" s="477"/>
      <c r="G360" s="477"/>
      <c r="H360" s="477"/>
      <c r="I360" s="478"/>
      <c r="J360" s="477" t="s">
        <v>284</v>
      </c>
      <c r="K360" s="245"/>
      <c r="L360" s="257"/>
      <c r="M360" s="591" t="s">
        <v>503</v>
      </c>
      <c r="N360" s="592"/>
      <c r="O360" s="179"/>
      <c r="P360" s="180"/>
      <c r="Q360" s="180">
        <v>152190073</v>
      </c>
      <c r="R360" s="181">
        <f t="shared" si="107"/>
        <v>28.084838086058934</v>
      </c>
      <c r="S360" s="181">
        <v>100</v>
      </c>
      <c r="T360" s="180">
        <f t="shared" si="104"/>
        <v>72.29005205878309</v>
      </c>
      <c r="U360" s="180">
        <f t="shared" si="97"/>
        <v>20.302544073036941</v>
      </c>
      <c r="V360" s="182">
        <f t="shared" si="95"/>
        <v>27.70994794121691</v>
      </c>
      <c r="W360" s="180"/>
      <c r="X360" s="180"/>
      <c r="Y360" s="180"/>
      <c r="Z360" s="180"/>
      <c r="AA360" s="180"/>
      <c r="AB360" s="180"/>
      <c r="AC360" s="180"/>
      <c r="AD360" s="180"/>
      <c r="AE360" s="180"/>
      <c r="AF360" s="180"/>
      <c r="AG360" s="180"/>
      <c r="AH360" s="180"/>
      <c r="AI360" s="180">
        <f>30080000+79938283</f>
        <v>110018283</v>
      </c>
      <c r="AJ360" s="181">
        <f>AI360/Q360*100</f>
        <v>72.29005205878309</v>
      </c>
      <c r="AK360" s="180">
        <f>Q360-AI360</f>
        <v>42171790</v>
      </c>
      <c r="AL360" s="181">
        <f>AK360/Q360*100</f>
        <v>27.7099479412169</v>
      </c>
      <c r="AM360" s="243"/>
    </row>
    <row r="361" spans="1:39" ht="28.5" customHeight="1" x14ac:dyDescent="0.25">
      <c r="A361" s="243"/>
      <c r="B361" s="477"/>
      <c r="C361" s="477"/>
      <c r="D361" s="477"/>
      <c r="E361" s="477"/>
      <c r="F361" s="477"/>
      <c r="G361" s="477"/>
      <c r="H361" s="477"/>
      <c r="I361" s="478"/>
      <c r="J361" s="477" t="s">
        <v>320</v>
      </c>
      <c r="K361" s="245"/>
      <c r="L361" s="257"/>
      <c r="M361" s="591" t="s">
        <v>321</v>
      </c>
      <c r="N361" s="592"/>
      <c r="O361" s="179"/>
      <c r="P361" s="180"/>
      <c r="Q361" s="180">
        <v>9200000</v>
      </c>
      <c r="R361" s="181">
        <f t="shared" si="107"/>
        <v>1.6977487775549078</v>
      </c>
      <c r="S361" s="181">
        <v>100</v>
      </c>
      <c r="T361" s="180">
        <f t="shared" si="104"/>
        <v>90.217391304347828</v>
      </c>
      <c r="U361" s="180">
        <f t="shared" si="97"/>
        <v>1.5316646580114928</v>
      </c>
      <c r="V361" s="182">
        <f t="shared" si="95"/>
        <v>9.7826086956521721</v>
      </c>
      <c r="W361" s="180"/>
      <c r="X361" s="180"/>
      <c r="Y361" s="180"/>
      <c r="Z361" s="180"/>
      <c r="AA361" s="180"/>
      <c r="AB361" s="180"/>
      <c r="AC361" s="180"/>
      <c r="AD361" s="180"/>
      <c r="AE361" s="180"/>
      <c r="AF361" s="180"/>
      <c r="AG361" s="180"/>
      <c r="AH361" s="180"/>
      <c r="AI361" s="180">
        <f>6000000+2300000</f>
        <v>8300000</v>
      </c>
      <c r="AJ361" s="181">
        <f t="shared" si="105"/>
        <v>90.217391304347828</v>
      </c>
      <c r="AK361" s="180">
        <f t="shared" ref="AK361:AK424" si="108">Q361-AI361</f>
        <v>900000</v>
      </c>
      <c r="AL361" s="181">
        <f t="shared" si="106"/>
        <v>9.7826086956521738</v>
      </c>
      <c r="AM361" s="243"/>
    </row>
    <row r="362" spans="1:39" ht="28.5" customHeight="1" x14ac:dyDescent="0.25">
      <c r="A362" s="243"/>
      <c r="B362" s="477"/>
      <c r="C362" s="477"/>
      <c r="D362" s="477"/>
      <c r="E362" s="477"/>
      <c r="F362" s="477"/>
      <c r="G362" s="477"/>
      <c r="H362" s="477"/>
      <c r="I362" s="478"/>
      <c r="J362" s="312" t="s">
        <v>407</v>
      </c>
      <c r="M362" s="616" t="s">
        <v>414</v>
      </c>
      <c r="N362" s="617"/>
      <c r="O362" s="179"/>
      <c r="P362" s="180"/>
      <c r="Q362" s="180">
        <v>8000000</v>
      </c>
      <c r="R362" s="181">
        <f t="shared" si="107"/>
        <v>1.4763032848303546</v>
      </c>
      <c r="S362" s="181">
        <v>100</v>
      </c>
      <c r="T362" s="180">
        <f t="shared" si="104"/>
        <v>93.75</v>
      </c>
      <c r="U362" s="180">
        <f t="shared" si="97"/>
        <v>1.3840343295284574</v>
      </c>
      <c r="V362" s="182">
        <f t="shared" si="95"/>
        <v>6.25</v>
      </c>
      <c r="W362" s="180"/>
      <c r="X362" s="180"/>
      <c r="Y362" s="180"/>
      <c r="Z362" s="180"/>
      <c r="AA362" s="180"/>
      <c r="AB362" s="180"/>
      <c r="AC362" s="180"/>
      <c r="AD362" s="180"/>
      <c r="AE362" s="180"/>
      <c r="AF362" s="180"/>
      <c r="AG362" s="180"/>
      <c r="AH362" s="180"/>
      <c r="AI362" s="180">
        <f>1500000+6000000</f>
        <v>7500000</v>
      </c>
      <c r="AJ362" s="181">
        <f t="shared" si="105"/>
        <v>93.75</v>
      </c>
      <c r="AK362" s="180">
        <f t="shared" si="108"/>
        <v>500000</v>
      </c>
      <c r="AL362" s="181">
        <f t="shared" si="106"/>
        <v>6.25</v>
      </c>
      <c r="AM362" s="243"/>
    </row>
    <row r="363" spans="1:39" ht="28.5" customHeight="1" x14ac:dyDescent="0.25">
      <c r="A363" s="243"/>
      <c r="B363" s="477"/>
      <c r="C363" s="477"/>
      <c r="D363" s="477"/>
      <c r="E363" s="477"/>
      <c r="F363" s="477"/>
      <c r="G363" s="477"/>
      <c r="H363" s="477"/>
      <c r="I363" s="478"/>
      <c r="J363" s="312" t="s">
        <v>551</v>
      </c>
      <c r="M363" s="658" t="s">
        <v>550</v>
      </c>
      <c r="N363" s="659"/>
      <c r="O363" s="179"/>
      <c r="P363" s="180"/>
      <c r="Q363" s="180">
        <v>96000000</v>
      </c>
      <c r="R363" s="181">
        <f t="shared" si="107"/>
        <v>17.715639417964255</v>
      </c>
      <c r="S363" s="181">
        <v>100</v>
      </c>
      <c r="T363" s="180">
        <f t="shared" si="104"/>
        <v>58.333333333333336</v>
      </c>
      <c r="U363" s="180">
        <f t="shared" si="97"/>
        <v>10.334122993812482</v>
      </c>
      <c r="V363" s="182">
        <f t="shared" si="95"/>
        <v>41.666666666666664</v>
      </c>
      <c r="W363" s="180"/>
      <c r="X363" s="180"/>
      <c r="Y363" s="180"/>
      <c r="Z363" s="180"/>
      <c r="AA363" s="180"/>
      <c r="AB363" s="180"/>
      <c r="AC363" s="180"/>
      <c r="AD363" s="180"/>
      <c r="AE363" s="180"/>
      <c r="AF363" s="180"/>
      <c r="AG363" s="180"/>
      <c r="AH363" s="180"/>
      <c r="AI363" s="180">
        <f>16000000+8000000+8000000+8000000+8000000+8000000</f>
        <v>56000000</v>
      </c>
      <c r="AJ363" s="181">
        <f t="shared" si="105"/>
        <v>58.333333333333336</v>
      </c>
      <c r="AK363" s="180">
        <f t="shared" si="108"/>
        <v>40000000</v>
      </c>
      <c r="AL363" s="181">
        <f t="shared" si="106"/>
        <v>41.666666666666671</v>
      </c>
      <c r="AM363" s="243"/>
    </row>
    <row r="364" spans="1:39" s="297" customFormat="1" ht="29.25" customHeight="1" x14ac:dyDescent="0.25">
      <c r="A364" s="227">
        <f>SUM(A356+1)</f>
        <v>48</v>
      </c>
      <c r="B364" s="615" t="s">
        <v>150</v>
      </c>
      <c r="C364" s="615"/>
      <c r="D364" s="615"/>
      <c r="E364" s="615"/>
      <c r="F364" s="615"/>
      <c r="G364" s="615"/>
      <c r="H364" s="615"/>
      <c r="I364" s="614"/>
      <c r="J364" s="304" t="s">
        <v>491</v>
      </c>
      <c r="K364" s="230"/>
      <c r="L364" s="294"/>
      <c r="M364" s="609" t="s">
        <v>49</v>
      </c>
      <c r="N364" s="609"/>
      <c r="O364" s="309">
        <v>558720000</v>
      </c>
      <c r="P364" s="231">
        <f>O364</f>
        <v>558720000</v>
      </c>
      <c r="Q364" s="231">
        <f>SUM(Q365:Q376)</f>
        <v>412540000</v>
      </c>
      <c r="R364" s="233">
        <f>Q364/Q$248*100</f>
        <v>3.4586298628576171</v>
      </c>
      <c r="S364" s="233">
        <v>100</v>
      </c>
      <c r="T364" s="231">
        <f t="shared" si="104"/>
        <v>73.182096766374173</v>
      </c>
      <c r="U364" s="231">
        <f t="shared" si="97"/>
        <v>2.5310978530271755</v>
      </c>
      <c r="V364" s="296">
        <f t="shared" si="95"/>
        <v>26.817903233625827</v>
      </c>
      <c r="W364" s="231"/>
      <c r="X364" s="231" t="e">
        <f>#REF!</f>
        <v>#REF!</v>
      </c>
      <c r="Y364" s="231" t="e">
        <f>#REF!</f>
        <v>#REF!</v>
      </c>
      <c r="Z364" s="231" t="e">
        <f>#REF!</f>
        <v>#REF!</v>
      </c>
      <c r="AA364" s="231" t="e">
        <f>#REF!</f>
        <v>#REF!</v>
      </c>
      <c r="AB364" s="231">
        <v>192786500</v>
      </c>
      <c r="AC364" s="231" t="e">
        <f>#REF!</f>
        <v>#REF!</v>
      </c>
      <c r="AD364" s="231" t="e">
        <f>#REF!</f>
        <v>#REF!</v>
      </c>
      <c r="AE364" s="231" t="e">
        <f>#REF!</f>
        <v>#REF!</v>
      </c>
      <c r="AF364" s="231" t="e">
        <f>[1]April!N66</f>
        <v>#REF!</v>
      </c>
      <c r="AG364" s="231" t="e">
        <f>[2]april!N66</f>
        <v>#REF!</v>
      </c>
      <c r="AH364" s="231">
        <f>'[3]DES SKPD'!$N66</f>
        <v>558385000</v>
      </c>
      <c r="AI364" s="231">
        <f>SUM(AI365:AI376)</f>
        <v>301905422</v>
      </c>
      <c r="AJ364" s="233">
        <f t="shared" si="105"/>
        <v>73.182096766374173</v>
      </c>
      <c r="AK364" s="231">
        <f t="shared" si="108"/>
        <v>110634578</v>
      </c>
      <c r="AL364" s="233">
        <f t="shared" si="106"/>
        <v>26.817903233625827</v>
      </c>
      <c r="AM364" s="227"/>
    </row>
    <row r="365" spans="1:39" ht="29.25" customHeight="1" x14ac:dyDescent="0.25">
      <c r="A365" s="243"/>
      <c r="B365" s="477"/>
      <c r="C365" s="477"/>
      <c r="D365" s="477"/>
      <c r="E365" s="477"/>
      <c r="F365" s="477"/>
      <c r="G365" s="477"/>
      <c r="H365" s="477"/>
      <c r="I365" s="478"/>
      <c r="J365" s="477" t="s">
        <v>259</v>
      </c>
      <c r="K365" s="245"/>
      <c r="L365" s="257"/>
      <c r="M365" s="656" t="s">
        <v>260</v>
      </c>
      <c r="N365" s="657"/>
      <c r="O365" s="179"/>
      <c r="P365" s="180"/>
      <c r="Q365" s="180">
        <v>3080000</v>
      </c>
      <c r="R365" s="181">
        <f t="shared" ref="R365:R376" si="109">Q365/Q$364*100</f>
        <v>0.74659426964657971</v>
      </c>
      <c r="S365" s="181">
        <v>100</v>
      </c>
      <c r="T365" s="180">
        <f t="shared" si="104"/>
        <v>75</v>
      </c>
      <c r="U365" s="180">
        <f t="shared" si="97"/>
        <v>0.55994570223493478</v>
      </c>
      <c r="V365" s="182">
        <f t="shared" si="95"/>
        <v>25</v>
      </c>
      <c r="W365" s="180"/>
      <c r="X365" s="180"/>
      <c r="Y365" s="180"/>
      <c r="Z365" s="180"/>
      <c r="AA365" s="180"/>
      <c r="AB365" s="180"/>
      <c r="AC365" s="180"/>
      <c r="AD365" s="180"/>
      <c r="AE365" s="180"/>
      <c r="AF365" s="180"/>
      <c r="AG365" s="180"/>
      <c r="AH365" s="180"/>
      <c r="AI365" s="180">
        <f>1540000+770000</f>
        <v>2310000</v>
      </c>
      <c r="AJ365" s="181">
        <f t="shared" si="105"/>
        <v>75</v>
      </c>
      <c r="AK365" s="180">
        <f t="shared" si="108"/>
        <v>770000</v>
      </c>
      <c r="AL365" s="181">
        <f t="shared" si="106"/>
        <v>25</v>
      </c>
      <c r="AM365" s="243"/>
    </row>
    <row r="366" spans="1:39" ht="29.25" customHeight="1" x14ac:dyDescent="0.25">
      <c r="A366" s="243"/>
      <c r="B366" s="477"/>
      <c r="C366" s="477"/>
      <c r="D366" s="477"/>
      <c r="E366" s="477"/>
      <c r="F366" s="477"/>
      <c r="G366" s="477"/>
      <c r="H366" s="477"/>
      <c r="I366" s="478"/>
      <c r="J366" s="477" t="s">
        <v>347</v>
      </c>
      <c r="K366" s="245"/>
      <c r="L366" s="257"/>
      <c r="M366" s="591" t="s">
        <v>348</v>
      </c>
      <c r="N366" s="592"/>
      <c r="O366" s="179"/>
      <c r="P366" s="180"/>
      <c r="Q366" s="180">
        <v>57400000</v>
      </c>
      <c r="R366" s="181">
        <f t="shared" si="109"/>
        <v>13.913802297958986</v>
      </c>
      <c r="S366" s="181">
        <v>100</v>
      </c>
      <c r="T366" s="180">
        <f t="shared" si="104"/>
        <v>48.432055749128921</v>
      </c>
      <c r="U366" s="180">
        <f t="shared" ref="U366:U429" si="110">R366*T366/100</f>
        <v>6.7387404857710775</v>
      </c>
      <c r="V366" s="182">
        <f t="shared" si="95"/>
        <v>51.567944250871079</v>
      </c>
      <c r="W366" s="180"/>
      <c r="X366" s="180"/>
      <c r="Y366" s="180"/>
      <c r="Z366" s="180"/>
      <c r="AA366" s="180"/>
      <c r="AB366" s="180"/>
      <c r="AC366" s="180"/>
      <c r="AD366" s="180"/>
      <c r="AE366" s="180"/>
      <c r="AF366" s="180"/>
      <c r="AG366" s="180"/>
      <c r="AH366" s="180"/>
      <c r="AI366" s="180">
        <v>27800000</v>
      </c>
      <c r="AJ366" s="181">
        <f t="shared" si="105"/>
        <v>48.432055749128921</v>
      </c>
      <c r="AK366" s="180">
        <f t="shared" si="108"/>
        <v>29600000</v>
      </c>
      <c r="AL366" s="181">
        <f t="shared" si="106"/>
        <v>51.567944250871079</v>
      </c>
      <c r="AM366" s="243"/>
    </row>
    <row r="367" spans="1:39" ht="29.25" customHeight="1" x14ac:dyDescent="0.25">
      <c r="A367" s="243"/>
      <c r="B367" s="477"/>
      <c r="C367" s="477"/>
      <c r="D367" s="477"/>
      <c r="E367" s="477"/>
      <c r="F367" s="477"/>
      <c r="G367" s="477"/>
      <c r="H367" s="477"/>
      <c r="I367" s="478"/>
      <c r="J367" s="477" t="s">
        <v>323</v>
      </c>
      <c r="K367" s="245"/>
      <c r="L367" s="257"/>
      <c r="M367" s="591" t="s">
        <v>324</v>
      </c>
      <c r="N367" s="592"/>
      <c r="O367" s="179"/>
      <c r="P367" s="180"/>
      <c r="Q367" s="180">
        <v>24084000</v>
      </c>
      <c r="R367" s="181">
        <f t="shared" si="109"/>
        <v>5.8379793474572166</v>
      </c>
      <c r="S367" s="181">
        <v>100</v>
      </c>
      <c r="T367" s="180">
        <f t="shared" si="104"/>
        <v>85.014947683109128</v>
      </c>
      <c r="U367" s="180">
        <f t="shared" si="110"/>
        <v>4.9631550879914679</v>
      </c>
      <c r="V367" s="182">
        <f t="shared" si="95"/>
        <v>14.985052316890872</v>
      </c>
      <c r="W367" s="180"/>
      <c r="X367" s="180"/>
      <c r="Y367" s="180"/>
      <c r="Z367" s="180"/>
      <c r="AA367" s="180"/>
      <c r="AB367" s="180"/>
      <c r="AC367" s="180"/>
      <c r="AD367" s="180"/>
      <c r="AE367" s="180"/>
      <c r="AF367" s="180"/>
      <c r="AG367" s="180"/>
      <c r="AH367" s="180"/>
      <c r="AI367" s="180">
        <f>5850000+2925000+2925000+5850000+2925000</f>
        <v>20475000</v>
      </c>
      <c r="AJ367" s="181">
        <f t="shared" si="105"/>
        <v>85.014947683109128</v>
      </c>
      <c r="AK367" s="180">
        <f t="shared" si="108"/>
        <v>3609000</v>
      </c>
      <c r="AL367" s="181">
        <f t="shared" si="106"/>
        <v>14.985052316890881</v>
      </c>
      <c r="AM367" s="243"/>
    </row>
    <row r="368" spans="1:39" ht="29.25" customHeight="1" x14ac:dyDescent="0.25">
      <c r="A368" s="243"/>
      <c r="B368" s="477"/>
      <c r="C368" s="477"/>
      <c r="D368" s="477"/>
      <c r="E368" s="477"/>
      <c r="F368" s="477"/>
      <c r="G368" s="477"/>
      <c r="H368" s="477"/>
      <c r="I368" s="478"/>
      <c r="J368" s="477" t="s">
        <v>269</v>
      </c>
      <c r="K368" s="245"/>
      <c r="L368" s="257"/>
      <c r="M368" s="591" t="s">
        <v>270</v>
      </c>
      <c r="N368" s="592"/>
      <c r="O368" s="179"/>
      <c r="P368" s="180"/>
      <c r="Q368" s="180">
        <v>1500000</v>
      </c>
      <c r="R368" s="181">
        <f t="shared" si="109"/>
        <v>0.36360110534736023</v>
      </c>
      <c r="S368" s="181">
        <v>100</v>
      </c>
      <c r="T368" s="180">
        <f t="shared" si="104"/>
        <v>50</v>
      </c>
      <c r="U368" s="180">
        <f t="shared" si="110"/>
        <v>0.18180055267368012</v>
      </c>
      <c r="V368" s="182">
        <f t="shared" si="95"/>
        <v>50</v>
      </c>
      <c r="W368" s="180"/>
      <c r="X368" s="180"/>
      <c r="Y368" s="180"/>
      <c r="Z368" s="180"/>
      <c r="AA368" s="180"/>
      <c r="AB368" s="180"/>
      <c r="AC368" s="180"/>
      <c r="AD368" s="180"/>
      <c r="AE368" s="180"/>
      <c r="AF368" s="180"/>
      <c r="AG368" s="180"/>
      <c r="AH368" s="180"/>
      <c r="AI368" s="180">
        <v>750000</v>
      </c>
      <c r="AJ368" s="181">
        <f t="shared" si="105"/>
        <v>50</v>
      </c>
      <c r="AK368" s="180">
        <f t="shared" si="108"/>
        <v>750000</v>
      </c>
      <c r="AL368" s="181">
        <f t="shared" si="106"/>
        <v>50</v>
      </c>
      <c r="AM368" s="243"/>
    </row>
    <row r="369" spans="1:39" ht="29.25" customHeight="1" x14ac:dyDescent="0.25">
      <c r="A369" s="243"/>
      <c r="B369" s="477"/>
      <c r="C369" s="477"/>
      <c r="D369" s="477"/>
      <c r="E369" s="477"/>
      <c r="F369" s="477"/>
      <c r="G369" s="477"/>
      <c r="H369" s="477"/>
      <c r="I369" s="478"/>
      <c r="J369" s="477" t="s">
        <v>315</v>
      </c>
      <c r="K369" s="245"/>
      <c r="L369" s="257"/>
      <c r="M369" s="591" t="s">
        <v>271</v>
      </c>
      <c r="N369" s="592"/>
      <c r="O369" s="179"/>
      <c r="P369" s="180"/>
      <c r="Q369" s="180">
        <v>3116000</v>
      </c>
      <c r="R369" s="181">
        <f t="shared" si="109"/>
        <v>0.75532069617491637</v>
      </c>
      <c r="S369" s="181">
        <v>100</v>
      </c>
      <c r="T369" s="180">
        <f t="shared" si="104"/>
        <v>74.069319640564828</v>
      </c>
      <c r="U369" s="180">
        <f t="shared" si="110"/>
        <v>0.5594609007611383</v>
      </c>
      <c r="V369" s="182">
        <f t="shared" si="95"/>
        <v>25.930680359435172</v>
      </c>
      <c r="W369" s="180"/>
      <c r="X369" s="180"/>
      <c r="Y369" s="180"/>
      <c r="Z369" s="180"/>
      <c r="AA369" s="180"/>
      <c r="AB369" s="180"/>
      <c r="AC369" s="180"/>
      <c r="AD369" s="180"/>
      <c r="AE369" s="180"/>
      <c r="AF369" s="180"/>
      <c r="AG369" s="180"/>
      <c r="AH369" s="180"/>
      <c r="AI369" s="180">
        <f>958000+950000+400000</f>
        <v>2308000</v>
      </c>
      <c r="AJ369" s="181">
        <f t="shared" si="105"/>
        <v>74.069319640564828</v>
      </c>
      <c r="AK369" s="180">
        <f t="shared" si="108"/>
        <v>808000</v>
      </c>
      <c r="AL369" s="181">
        <f t="shared" si="106"/>
        <v>25.930680359435172</v>
      </c>
      <c r="AM369" s="243"/>
    </row>
    <row r="370" spans="1:39" ht="29.25" customHeight="1" x14ac:dyDescent="0.25">
      <c r="A370" s="243"/>
      <c r="B370" s="477"/>
      <c r="C370" s="477"/>
      <c r="D370" s="477"/>
      <c r="E370" s="477"/>
      <c r="F370" s="477"/>
      <c r="G370" s="477"/>
      <c r="H370" s="477"/>
      <c r="I370" s="478"/>
      <c r="J370" s="477" t="s">
        <v>316</v>
      </c>
      <c r="K370" s="245"/>
      <c r="L370" s="257"/>
      <c r="M370" s="591" t="s">
        <v>317</v>
      </c>
      <c r="N370" s="592"/>
      <c r="O370" s="179"/>
      <c r="P370" s="180"/>
      <c r="Q370" s="180">
        <v>2000000</v>
      </c>
      <c r="R370" s="181">
        <f t="shared" si="109"/>
        <v>0.48480147379648031</v>
      </c>
      <c r="S370" s="181">
        <v>100</v>
      </c>
      <c r="T370" s="180">
        <f t="shared" si="104"/>
        <v>75</v>
      </c>
      <c r="U370" s="180">
        <f t="shared" si="110"/>
        <v>0.36360110534736023</v>
      </c>
      <c r="V370" s="182">
        <f t="shared" si="95"/>
        <v>25</v>
      </c>
      <c r="W370" s="180"/>
      <c r="X370" s="180"/>
      <c r="Y370" s="180"/>
      <c r="Z370" s="180"/>
      <c r="AA370" s="180"/>
      <c r="AB370" s="180"/>
      <c r="AC370" s="180"/>
      <c r="AD370" s="180"/>
      <c r="AE370" s="180"/>
      <c r="AF370" s="180"/>
      <c r="AG370" s="180"/>
      <c r="AH370" s="180"/>
      <c r="AI370" s="180">
        <f>1000000+500000</f>
        <v>1500000</v>
      </c>
      <c r="AJ370" s="181">
        <f t="shared" si="105"/>
        <v>75</v>
      </c>
      <c r="AK370" s="180">
        <f t="shared" si="108"/>
        <v>500000</v>
      </c>
      <c r="AL370" s="181">
        <f t="shared" si="106"/>
        <v>25</v>
      </c>
      <c r="AM370" s="243"/>
    </row>
    <row r="371" spans="1:39" ht="29.25" customHeight="1" x14ac:dyDescent="0.25">
      <c r="A371" s="243"/>
      <c r="B371" s="477"/>
      <c r="C371" s="477"/>
      <c r="D371" s="477"/>
      <c r="E371" s="477"/>
      <c r="F371" s="477"/>
      <c r="G371" s="477"/>
      <c r="H371" s="477"/>
      <c r="I371" s="478"/>
      <c r="J371" s="477" t="s">
        <v>318</v>
      </c>
      <c r="K371" s="245"/>
      <c r="L371" s="257"/>
      <c r="M371" s="591" t="s">
        <v>319</v>
      </c>
      <c r="N371" s="592"/>
      <c r="O371" s="179"/>
      <c r="P371" s="180"/>
      <c r="Q371" s="180">
        <v>105200000</v>
      </c>
      <c r="R371" s="181">
        <f t="shared" si="109"/>
        <v>25.500557521694866</v>
      </c>
      <c r="S371" s="181">
        <v>100</v>
      </c>
      <c r="T371" s="180">
        <f t="shared" si="104"/>
        <v>96.863117870722434</v>
      </c>
      <c r="U371" s="180">
        <f t="shared" si="110"/>
        <v>24.700635089930675</v>
      </c>
      <c r="V371" s="182">
        <f t="shared" si="95"/>
        <v>3.1368821292775664</v>
      </c>
      <c r="W371" s="180"/>
      <c r="X371" s="180"/>
      <c r="Y371" s="180"/>
      <c r="Z371" s="180"/>
      <c r="AA371" s="180"/>
      <c r="AB371" s="180"/>
      <c r="AC371" s="180"/>
      <c r="AD371" s="180"/>
      <c r="AE371" s="180"/>
      <c r="AF371" s="180"/>
      <c r="AG371" s="180"/>
      <c r="AH371" s="180"/>
      <c r="AI371" s="180">
        <f>52500000+49400000</f>
        <v>101900000</v>
      </c>
      <c r="AJ371" s="181">
        <f t="shared" si="105"/>
        <v>96.863117870722434</v>
      </c>
      <c r="AK371" s="180">
        <f t="shared" si="108"/>
        <v>3300000</v>
      </c>
      <c r="AL371" s="181">
        <f t="shared" si="106"/>
        <v>3.1368821292775664</v>
      </c>
      <c r="AM371" s="243"/>
    </row>
    <row r="372" spans="1:39" ht="29.25" customHeight="1" x14ac:dyDescent="0.25">
      <c r="A372" s="243"/>
      <c r="B372" s="477"/>
      <c r="C372" s="477"/>
      <c r="D372" s="477"/>
      <c r="E372" s="477"/>
      <c r="F372" s="477"/>
      <c r="G372" s="477"/>
      <c r="H372" s="477"/>
      <c r="I372" s="478"/>
      <c r="J372" s="477" t="s">
        <v>284</v>
      </c>
      <c r="K372" s="245"/>
      <c r="L372" s="257"/>
      <c r="M372" s="591" t="s">
        <v>285</v>
      </c>
      <c r="N372" s="592"/>
      <c r="O372" s="179"/>
      <c r="P372" s="180"/>
      <c r="Q372" s="180">
        <v>14740000</v>
      </c>
      <c r="R372" s="181">
        <f t="shared" si="109"/>
        <v>3.57298686188006</v>
      </c>
      <c r="S372" s="181">
        <v>100</v>
      </c>
      <c r="T372" s="180">
        <f t="shared" si="104"/>
        <v>47.286295793758484</v>
      </c>
      <c r="U372" s="180">
        <f t="shared" si="110"/>
        <v>1.689533136180734</v>
      </c>
      <c r="V372" s="182">
        <f t="shared" si="95"/>
        <v>52.713704206241516</v>
      </c>
      <c r="W372" s="180"/>
      <c r="X372" s="180"/>
      <c r="Y372" s="180"/>
      <c r="Z372" s="180"/>
      <c r="AA372" s="180"/>
      <c r="AB372" s="180"/>
      <c r="AC372" s="180"/>
      <c r="AD372" s="180"/>
      <c r="AE372" s="180"/>
      <c r="AF372" s="180"/>
      <c r="AG372" s="180"/>
      <c r="AH372" s="180"/>
      <c r="AI372" s="180">
        <f>2400000+660000+1170000+1650000+1090000</f>
        <v>6970000</v>
      </c>
      <c r="AJ372" s="181">
        <f t="shared" si="105"/>
        <v>47.286295793758484</v>
      </c>
      <c r="AK372" s="180">
        <f t="shared" si="108"/>
        <v>7770000</v>
      </c>
      <c r="AL372" s="181">
        <f t="shared" si="106"/>
        <v>52.713704206241516</v>
      </c>
      <c r="AM372" s="243"/>
    </row>
    <row r="373" spans="1:39" ht="29.25" customHeight="1" x14ac:dyDescent="0.25">
      <c r="A373" s="243"/>
      <c r="B373" s="477"/>
      <c r="C373" s="477"/>
      <c r="D373" s="477"/>
      <c r="E373" s="477"/>
      <c r="F373" s="477"/>
      <c r="G373" s="477"/>
      <c r="H373" s="477"/>
      <c r="I373" s="478"/>
      <c r="J373" s="477" t="s">
        <v>282</v>
      </c>
      <c r="K373" s="245"/>
      <c r="L373" s="257"/>
      <c r="M373" s="591" t="s">
        <v>283</v>
      </c>
      <c r="N373" s="592"/>
      <c r="O373" s="179"/>
      <c r="P373" s="180"/>
      <c r="Q373" s="180">
        <v>88420000</v>
      </c>
      <c r="R373" s="181">
        <f t="shared" si="109"/>
        <v>21.433073156542395</v>
      </c>
      <c r="S373" s="181">
        <v>100</v>
      </c>
      <c r="T373" s="180">
        <f t="shared" si="104"/>
        <v>67.962476815200176</v>
      </c>
      <c r="U373" s="180">
        <f t="shared" si="110"/>
        <v>14.566447374800019</v>
      </c>
      <c r="V373" s="182">
        <f t="shared" si="95"/>
        <v>32.037523184799824</v>
      </c>
      <c r="W373" s="180"/>
      <c r="X373" s="180"/>
      <c r="Y373" s="180"/>
      <c r="Z373" s="180"/>
      <c r="AA373" s="180"/>
      <c r="AB373" s="180"/>
      <c r="AC373" s="180"/>
      <c r="AD373" s="180"/>
      <c r="AE373" s="180"/>
      <c r="AF373" s="180"/>
      <c r="AG373" s="180"/>
      <c r="AH373" s="180"/>
      <c r="AI373" s="180">
        <f>14996982+18528740+12772590+13794110</f>
        <v>60092422</v>
      </c>
      <c r="AJ373" s="181">
        <f t="shared" si="105"/>
        <v>67.962476815200176</v>
      </c>
      <c r="AK373" s="180">
        <f t="shared" si="108"/>
        <v>28327578</v>
      </c>
      <c r="AL373" s="181">
        <f t="shared" si="106"/>
        <v>32.037523184799824</v>
      </c>
      <c r="AM373" s="243"/>
    </row>
    <row r="374" spans="1:39" ht="29.25" customHeight="1" x14ac:dyDescent="0.25">
      <c r="A374" s="243"/>
      <c r="B374" s="477"/>
      <c r="C374" s="477"/>
      <c r="D374" s="477"/>
      <c r="E374" s="477"/>
      <c r="F374" s="477"/>
      <c r="G374" s="477"/>
      <c r="H374" s="477"/>
      <c r="I374" s="478"/>
      <c r="J374" s="477" t="s">
        <v>320</v>
      </c>
      <c r="K374" s="245"/>
      <c r="L374" s="257"/>
      <c r="M374" s="591" t="s">
        <v>321</v>
      </c>
      <c r="N374" s="592"/>
      <c r="O374" s="179"/>
      <c r="P374" s="180"/>
      <c r="Q374" s="180">
        <v>65600000</v>
      </c>
      <c r="R374" s="181">
        <f t="shared" si="109"/>
        <v>15.901488340524555</v>
      </c>
      <c r="S374" s="181">
        <v>100</v>
      </c>
      <c r="T374" s="180">
        <f t="shared" si="104"/>
        <v>71.951219512195124</v>
      </c>
      <c r="U374" s="180">
        <f t="shared" si="110"/>
        <v>11.441314781596937</v>
      </c>
      <c r="V374" s="182">
        <f t="shared" si="95"/>
        <v>28.048780487804876</v>
      </c>
      <c r="W374" s="180"/>
      <c r="X374" s="180"/>
      <c r="Y374" s="180"/>
      <c r="Z374" s="180"/>
      <c r="AA374" s="180"/>
      <c r="AB374" s="180"/>
      <c r="AC374" s="180"/>
      <c r="AD374" s="180"/>
      <c r="AE374" s="180"/>
      <c r="AF374" s="180"/>
      <c r="AG374" s="180"/>
      <c r="AH374" s="180"/>
      <c r="AI374" s="180">
        <f>25400000+21800000</f>
        <v>47200000</v>
      </c>
      <c r="AJ374" s="181">
        <f t="shared" si="105"/>
        <v>71.951219512195124</v>
      </c>
      <c r="AK374" s="180">
        <f t="shared" si="108"/>
        <v>18400000</v>
      </c>
      <c r="AL374" s="181">
        <f t="shared" si="106"/>
        <v>28.04878048780488</v>
      </c>
      <c r="AM374" s="243"/>
    </row>
    <row r="375" spans="1:39" ht="29.25" customHeight="1" x14ac:dyDescent="0.25">
      <c r="A375" s="243"/>
      <c r="B375" s="477"/>
      <c r="C375" s="477"/>
      <c r="D375" s="477"/>
      <c r="E375" s="477"/>
      <c r="F375" s="477"/>
      <c r="G375" s="477"/>
      <c r="H375" s="477"/>
      <c r="I375" s="478"/>
      <c r="J375" s="477" t="s">
        <v>320</v>
      </c>
      <c r="K375" s="245"/>
      <c r="L375" s="257"/>
      <c r="M375" s="591" t="s">
        <v>414</v>
      </c>
      <c r="N375" s="592"/>
      <c r="O375" s="179"/>
      <c r="P375" s="180"/>
      <c r="Q375" s="180">
        <v>18600000</v>
      </c>
      <c r="R375" s="181">
        <f t="shared" si="109"/>
        <v>4.5086537063072676</v>
      </c>
      <c r="S375" s="181">
        <v>100</v>
      </c>
      <c r="T375" s="180">
        <f t="shared" si="104"/>
        <v>74.193548387096769</v>
      </c>
      <c r="U375" s="180">
        <f t="shared" si="110"/>
        <v>3.3451301691957145</v>
      </c>
      <c r="V375" s="182">
        <f t="shared" si="95"/>
        <v>25.806451612903231</v>
      </c>
      <c r="W375" s="180"/>
      <c r="X375" s="180"/>
      <c r="Y375" s="180"/>
      <c r="Z375" s="180"/>
      <c r="AA375" s="180"/>
      <c r="AB375" s="180"/>
      <c r="AC375" s="180"/>
      <c r="AD375" s="180"/>
      <c r="AE375" s="180"/>
      <c r="AF375" s="180"/>
      <c r="AG375" s="180"/>
      <c r="AH375" s="180"/>
      <c r="AI375" s="180">
        <f>8900000+4900000</f>
        <v>13800000</v>
      </c>
      <c r="AJ375" s="181">
        <f t="shared" si="105"/>
        <v>74.193548387096769</v>
      </c>
      <c r="AK375" s="180">
        <f t="shared" si="108"/>
        <v>4800000</v>
      </c>
      <c r="AL375" s="181">
        <f t="shared" si="106"/>
        <v>25.806451612903224</v>
      </c>
      <c r="AM375" s="243"/>
    </row>
    <row r="376" spans="1:39" ht="29.25" customHeight="1" x14ac:dyDescent="0.25">
      <c r="A376" s="243"/>
      <c r="B376" s="477"/>
      <c r="C376" s="477"/>
      <c r="D376" s="477"/>
      <c r="E376" s="477"/>
      <c r="F376" s="477"/>
      <c r="G376" s="477"/>
      <c r="H376" s="477"/>
      <c r="I376" s="478"/>
      <c r="J376" s="477" t="s">
        <v>350</v>
      </c>
      <c r="K376" s="245"/>
      <c r="L376" s="257"/>
      <c r="M376" s="591" t="s">
        <v>550</v>
      </c>
      <c r="N376" s="592"/>
      <c r="O376" s="179"/>
      <c r="P376" s="180"/>
      <c r="Q376" s="180">
        <v>28800000</v>
      </c>
      <c r="R376" s="181">
        <f t="shared" si="109"/>
        <v>6.9811412226693168</v>
      </c>
      <c r="S376" s="181">
        <v>100</v>
      </c>
      <c r="T376" s="180">
        <f t="shared" si="104"/>
        <v>58.333333333333336</v>
      </c>
      <c r="U376" s="180">
        <f t="shared" si="110"/>
        <v>4.072332379890435</v>
      </c>
      <c r="V376" s="182">
        <f t="shared" si="95"/>
        <v>41.666666666666664</v>
      </c>
      <c r="W376" s="180"/>
      <c r="X376" s="180"/>
      <c r="Y376" s="180"/>
      <c r="Z376" s="180"/>
      <c r="AA376" s="180"/>
      <c r="AB376" s="180"/>
      <c r="AC376" s="180"/>
      <c r="AD376" s="180"/>
      <c r="AE376" s="180"/>
      <c r="AF376" s="180"/>
      <c r="AG376" s="180"/>
      <c r="AH376" s="180"/>
      <c r="AI376" s="180">
        <f>4800000+2400000+2400000+2400000+2400000+2400000</f>
        <v>16800000</v>
      </c>
      <c r="AJ376" s="181">
        <f t="shared" si="105"/>
        <v>58.333333333333336</v>
      </c>
      <c r="AK376" s="180">
        <f t="shared" si="108"/>
        <v>12000000</v>
      </c>
      <c r="AL376" s="181">
        <f t="shared" si="106"/>
        <v>41.666666666666671</v>
      </c>
      <c r="AM376" s="243"/>
    </row>
    <row r="377" spans="1:39" s="297" customFormat="1" ht="24.75" customHeight="1" x14ac:dyDescent="0.25">
      <c r="A377" s="227">
        <f>SUM(A364+1)</f>
        <v>49</v>
      </c>
      <c r="B377" s="615" t="s">
        <v>147</v>
      </c>
      <c r="C377" s="615"/>
      <c r="D377" s="615"/>
      <c r="E377" s="615"/>
      <c r="F377" s="615"/>
      <c r="G377" s="615"/>
      <c r="H377" s="615"/>
      <c r="I377" s="614"/>
      <c r="J377" s="304" t="s">
        <v>495</v>
      </c>
      <c r="K377" s="230"/>
      <c r="L377" s="294"/>
      <c r="M377" s="610" t="s">
        <v>50</v>
      </c>
      <c r="N377" s="610"/>
      <c r="O377" s="309">
        <v>509540000</v>
      </c>
      <c r="P377" s="231">
        <f>O377</f>
        <v>509540000</v>
      </c>
      <c r="Q377" s="231">
        <f>SUM(Q378:Q386)</f>
        <v>351260000</v>
      </c>
      <c r="R377" s="233">
        <f>Q377/Q$248*100</f>
        <v>2.9448740137377385</v>
      </c>
      <c r="S377" s="233">
        <v>100</v>
      </c>
      <c r="T377" s="231">
        <f t="shared" si="104"/>
        <v>32.354950748733131</v>
      </c>
      <c r="U377" s="231">
        <f t="shared" si="110"/>
        <v>0.95281253675708588</v>
      </c>
      <c r="V377" s="296">
        <f t="shared" si="95"/>
        <v>67.645049251266869</v>
      </c>
      <c r="W377" s="231"/>
      <c r="X377" s="231" t="e">
        <f>#REF!</f>
        <v>#REF!</v>
      </c>
      <c r="Y377" s="231" t="e">
        <f>#REF!</f>
        <v>#REF!</v>
      </c>
      <c r="Z377" s="231" t="e">
        <f>#REF!</f>
        <v>#REF!</v>
      </c>
      <c r="AA377" s="231" t="e">
        <f>#REF!</f>
        <v>#REF!</v>
      </c>
      <c r="AB377" s="231">
        <v>227840500</v>
      </c>
      <c r="AC377" s="231" t="e">
        <f>#REF!</f>
        <v>#REF!</v>
      </c>
      <c r="AD377" s="231" t="e">
        <f>#REF!</f>
        <v>#REF!</v>
      </c>
      <c r="AE377" s="231" t="e">
        <f>#REF!</f>
        <v>#REF!</v>
      </c>
      <c r="AF377" s="231" t="e">
        <f>[1]April!N68</f>
        <v>#REF!</v>
      </c>
      <c r="AG377" s="231" t="e">
        <f>[2]april!N68</f>
        <v>#REF!</v>
      </c>
      <c r="AH377" s="231">
        <f>'[3]DES SKPD'!$N68</f>
        <v>375022000</v>
      </c>
      <c r="AI377" s="231">
        <f>SUM(AI378:AI386)</f>
        <v>113650000</v>
      </c>
      <c r="AJ377" s="233">
        <f t="shared" si="105"/>
        <v>32.354950748733131</v>
      </c>
      <c r="AK377" s="231">
        <f t="shared" si="108"/>
        <v>237610000</v>
      </c>
      <c r="AL377" s="233">
        <f t="shared" si="106"/>
        <v>67.645049251266869</v>
      </c>
      <c r="AM377" s="227"/>
    </row>
    <row r="378" spans="1:39" ht="24.75" customHeight="1" x14ac:dyDescent="0.25">
      <c r="A378" s="243"/>
      <c r="B378" s="477"/>
      <c r="C378" s="477"/>
      <c r="D378" s="477"/>
      <c r="E378" s="477"/>
      <c r="F378" s="477"/>
      <c r="G378" s="477"/>
      <c r="H378" s="477"/>
      <c r="I378" s="478"/>
      <c r="J378" s="477" t="s">
        <v>259</v>
      </c>
      <c r="K378" s="245"/>
      <c r="L378" s="257"/>
      <c r="M378" s="591" t="s">
        <v>260</v>
      </c>
      <c r="N378" s="592"/>
      <c r="O378" s="179"/>
      <c r="P378" s="180"/>
      <c r="Q378" s="180">
        <v>4620000</v>
      </c>
      <c r="R378" s="181">
        <f t="shared" ref="R378:R386" si="111">Q378/Q$377*100</f>
        <v>1.3152650458349939</v>
      </c>
      <c r="S378" s="181">
        <v>100</v>
      </c>
      <c r="T378" s="180">
        <f t="shared" si="104"/>
        <v>33.333333333333329</v>
      </c>
      <c r="U378" s="180">
        <f t="shared" si="110"/>
        <v>0.43842168194499792</v>
      </c>
      <c r="V378" s="182">
        <f t="shared" si="95"/>
        <v>66.666666666666671</v>
      </c>
      <c r="W378" s="180"/>
      <c r="X378" s="180"/>
      <c r="Y378" s="180"/>
      <c r="Z378" s="180"/>
      <c r="AA378" s="180"/>
      <c r="AB378" s="180"/>
      <c r="AC378" s="180"/>
      <c r="AD378" s="180"/>
      <c r="AE378" s="180"/>
      <c r="AF378" s="180"/>
      <c r="AG378" s="180"/>
      <c r="AH378" s="180"/>
      <c r="AI378" s="180">
        <v>1540000</v>
      </c>
      <c r="AJ378" s="181">
        <f t="shared" si="105"/>
        <v>33.333333333333329</v>
      </c>
      <c r="AK378" s="180">
        <f t="shared" si="108"/>
        <v>3080000</v>
      </c>
      <c r="AL378" s="181">
        <f t="shared" si="106"/>
        <v>66.666666666666657</v>
      </c>
      <c r="AM378" s="243"/>
    </row>
    <row r="379" spans="1:39" ht="24.75" customHeight="1" x14ac:dyDescent="0.25">
      <c r="A379" s="243"/>
      <c r="B379" s="477"/>
      <c r="C379" s="477"/>
      <c r="D379" s="477"/>
      <c r="E379" s="477"/>
      <c r="F379" s="477"/>
      <c r="G379" s="477"/>
      <c r="H379" s="477"/>
      <c r="I379" s="478"/>
      <c r="J379" s="477" t="s">
        <v>323</v>
      </c>
      <c r="K379" s="245"/>
      <c r="L379" s="257"/>
      <c r="M379" s="591" t="s">
        <v>609</v>
      </c>
      <c r="N379" s="592"/>
      <c r="O379" s="179"/>
      <c r="P379" s="180"/>
      <c r="Q379" s="180">
        <v>18900000</v>
      </c>
      <c r="R379" s="181">
        <f t="shared" si="111"/>
        <v>5.3806297329613395</v>
      </c>
      <c r="S379" s="181">
        <v>100</v>
      </c>
      <c r="T379" s="180">
        <f t="shared" si="104"/>
        <v>29.100529100529098</v>
      </c>
      <c r="U379" s="180">
        <f t="shared" si="110"/>
        <v>1.5657917212321357</v>
      </c>
      <c r="V379" s="182">
        <f t="shared" si="95"/>
        <v>70.899470899470899</v>
      </c>
      <c r="W379" s="180"/>
      <c r="X379" s="180"/>
      <c r="Y379" s="180"/>
      <c r="Z379" s="180"/>
      <c r="AA379" s="180"/>
      <c r="AB379" s="180"/>
      <c r="AC379" s="180"/>
      <c r="AD379" s="180"/>
      <c r="AE379" s="180"/>
      <c r="AF379" s="180"/>
      <c r="AG379" s="180"/>
      <c r="AH379" s="180"/>
      <c r="AI379" s="180">
        <v>5500000</v>
      </c>
      <c r="AJ379" s="181">
        <f t="shared" si="105"/>
        <v>29.100529100529098</v>
      </c>
      <c r="AK379" s="180">
        <f t="shared" si="108"/>
        <v>13400000</v>
      </c>
      <c r="AL379" s="181">
        <f t="shared" si="106"/>
        <v>70.899470899470899</v>
      </c>
      <c r="AM379" s="243"/>
    </row>
    <row r="380" spans="1:39" ht="24.75" customHeight="1" x14ac:dyDescent="0.25">
      <c r="A380" s="243"/>
      <c r="B380" s="477"/>
      <c r="C380" s="477"/>
      <c r="D380" s="477"/>
      <c r="E380" s="477"/>
      <c r="F380" s="477"/>
      <c r="G380" s="477"/>
      <c r="H380" s="477"/>
      <c r="I380" s="478"/>
      <c r="J380" s="477" t="s">
        <v>269</v>
      </c>
      <c r="K380" s="245"/>
      <c r="L380" s="257"/>
      <c r="M380" s="591" t="s">
        <v>352</v>
      </c>
      <c r="N380" s="592"/>
      <c r="O380" s="179"/>
      <c r="P380" s="180"/>
      <c r="Q380" s="180">
        <v>7500000</v>
      </c>
      <c r="R380" s="181">
        <f t="shared" si="111"/>
        <v>2.1351705289529126</v>
      </c>
      <c r="S380" s="181">
        <v>100</v>
      </c>
      <c r="T380" s="180">
        <f t="shared" si="104"/>
        <v>33.333333333333329</v>
      </c>
      <c r="U380" s="180">
        <f t="shared" si="110"/>
        <v>0.71172350965097086</v>
      </c>
      <c r="V380" s="182">
        <f t="shared" si="95"/>
        <v>66.666666666666671</v>
      </c>
      <c r="W380" s="180"/>
      <c r="X380" s="180"/>
      <c r="Y380" s="180"/>
      <c r="Z380" s="180"/>
      <c r="AA380" s="180"/>
      <c r="AB380" s="180"/>
      <c r="AC380" s="180"/>
      <c r="AD380" s="180"/>
      <c r="AE380" s="180"/>
      <c r="AF380" s="180"/>
      <c r="AG380" s="180"/>
      <c r="AH380" s="180"/>
      <c r="AI380" s="180">
        <v>2500000</v>
      </c>
      <c r="AJ380" s="181">
        <f t="shared" si="105"/>
        <v>33.333333333333329</v>
      </c>
      <c r="AK380" s="180">
        <f t="shared" si="108"/>
        <v>5000000</v>
      </c>
      <c r="AL380" s="181">
        <f t="shared" si="106"/>
        <v>66.666666666666657</v>
      </c>
      <c r="AM380" s="243"/>
    </row>
    <row r="381" spans="1:39" ht="24.75" customHeight="1" x14ac:dyDescent="0.25">
      <c r="A381" s="243"/>
      <c r="B381" s="477"/>
      <c r="C381" s="477"/>
      <c r="D381" s="477"/>
      <c r="E381" s="477"/>
      <c r="F381" s="477"/>
      <c r="G381" s="477"/>
      <c r="H381" s="477"/>
      <c r="I381" s="478"/>
      <c r="J381" s="477" t="s">
        <v>315</v>
      </c>
      <c r="K381" s="245"/>
      <c r="L381" s="257"/>
      <c r="M381" s="591" t="s">
        <v>271</v>
      </c>
      <c r="N381" s="592"/>
      <c r="O381" s="179"/>
      <c r="P381" s="180"/>
      <c r="Q381" s="180">
        <v>7560000</v>
      </c>
      <c r="R381" s="181">
        <f t="shared" si="111"/>
        <v>2.1522518931845354</v>
      </c>
      <c r="S381" s="181">
        <v>100</v>
      </c>
      <c r="T381" s="180">
        <f t="shared" si="104"/>
        <v>33.333333333333329</v>
      </c>
      <c r="U381" s="180">
        <f t="shared" si="110"/>
        <v>0.7174172977281783</v>
      </c>
      <c r="V381" s="182">
        <f t="shared" si="95"/>
        <v>66.666666666666671</v>
      </c>
      <c r="W381" s="180"/>
      <c r="X381" s="180"/>
      <c r="Y381" s="180"/>
      <c r="Z381" s="180"/>
      <c r="AA381" s="180"/>
      <c r="AB381" s="180"/>
      <c r="AC381" s="180"/>
      <c r="AD381" s="180"/>
      <c r="AE381" s="180"/>
      <c r="AF381" s="180"/>
      <c r="AG381" s="180"/>
      <c r="AH381" s="180"/>
      <c r="AI381" s="180">
        <v>2520000</v>
      </c>
      <c r="AJ381" s="181">
        <f t="shared" si="105"/>
        <v>33.333333333333329</v>
      </c>
      <c r="AK381" s="180">
        <f t="shared" si="108"/>
        <v>5040000</v>
      </c>
      <c r="AL381" s="181">
        <f t="shared" si="106"/>
        <v>66.666666666666657</v>
      </c>
      <c r="AM381" s="243"/>
    </row>
    <row r="382" spans="1:39" ht="24.75" customHeight="1" x14ac:dyDescent="0.25">
      <c r="A382" s="243"/>
      <c r="B382" s="477"/>
      <c r="C382" s="477"/>
      <c r="D382" s="477"/>
      <c r="E382" s="477"/>
      <c r="F382" s="477"/>
      <c r="G382" s="477"/>
      <c r="H382" s="477"/>
      <c r="I382" s="478"/>
      <c r="J382" s="477" t="s">
        <v>318</v>
      </c>
      <c r="K382" s="245"/>
      <c r="L382" s="257"/>
      <c r="M382" s="591" t="s">
        <v>319</v>
      </c>
      <c r="N382" s="592"/>
      <c r="O382" s="179"/>
      <c r="P382" s="180"/>
      <c r="Q382" s="180">
        <v>182850000</v>
      </c>
      <c r="R382" s="181">
        <f t="shared" si="111"/>
        <v>52.055457495872005</v>
      </c>
      <c r="S382" s="181">
        <v>100</v>
      </c>
      <c r="T382" s="180">
        <f t="shared" si="104"/>
        <v>32.54580257041291</v>
      </c>
      <c r="U382" s="180">
        <f t="shared" si="110"/>
        <v>16.94186642373171</v>
      </c>
      <c r="V382" s="182">
        <f t="shared" si="95"/>
        <v>67.454197429587083</v>
      </c>
      <c r="W382" s="180"/>
      <c r="X382" s="180"/>
      <c r="Y382" s="180"/>
      <c r="Z382" s="180"/>
      <c r="AA382" s="180"/>
      <c r="AB382" s="180"/>
      <c r="AC382" s="180"/>
      <c r="AD382" s="180"/>
      <c r="AE382" s="180"/>
      <c r="AF382" s="180"/>
      <c r="AG382" s="180"/>
      <c r="AH382" s="180"/>
      <c r="AI382" s="180">
        <v>59510000</v>
      </c>
      <c r="AJ382" s="181">
        <f t="shared" si="105"/>
        <v>32.54580257041291</v>
      </c>
      <c r="AK382" s="180">
        <f t="shared" si="108"/>
        <v>123340000</v>
      </c>
      <c r="AL382" s="181">
        <f t="shared" si="106"/>
        <v>67.454197429587097</v>
      </c>
      <c r="AM382" s="243"/>
    </row>
    <row r="383" spans="1:39" ht="24.75" customHeight="1" x14ac:dyDescent="0.25">
      <c r="A383" s="243"/>
      <c r="B383" s="477"/>
      <c r="C383" s="477"/>
      <c r="D383" s="477"/>
      <c r="E383" s="477"/>
      <c r="F383" s="477"/>
      <c r="G383" s="477"/>
      <c r="H383" s="477"/>
      <c r="I383" s="478"/>
      <c r="J383" s="477" t="s">
        <v>284</v>
      </c>
      <c r="K383" s="245"/>
      <c r="L383" s="257"/>
      <c r="M383" s="591" t="s">
        <v>285</v>
      </c>
      <c r="N383" s="592"/>
      <c r="O383" s="179"/>
      <c r="P383" s="180"/>
      <c r="Q383" s="180">
        <v>1320000</v>
      </c>
      <c r="R383" s="181">
        <f t="shared" si="111"/>
        <v>0.37579001309571258</v>
      </c>
      <c r="S383" s="181">
        <v>100</v>
      </c>
      <c r="T383" s="180">
        <f t="shared" si="104"/>
        <v>28.787878787878789</v>
      </c>
      <c r="U383" s="180">
        <f t="shared" si="110"/>
        <v>0.10818197346694756</v>
      </c>
      <c r="V383" s="182">
        <f t="shared" si="95"/>
        <v>71.212121212121218</v>
      </c>
      <c r="W383" s="180"/>
      <c r="X383" s="180"/>
      <c r="Y383" s="180"/>
      <c r="Z383" s="180"/>
      <c r="AA383" s="180"/>
      <c r="AB383" s="180"/>
      <c r="AC383" s="180"/>
      <c r="AD383" s="180"/>
      <c r="AE383" s="180"/>
      <c r="AF383" s="180"/>
      <c r="AG383" s="180"/>
      <c r="AH383" s="180"/>
      <c r="AI383" s="180">
        <v>380000</v>
      </c>
      <c r="AJ383" s="181">
        <f t="shared" si="105"/>
        <v>28.787878787878789</v>
      </c>
      <c r="AK383" s="180">
        <f t="shared" si="108"/>
        <v>940000</v>
      </c>
      <c r="AL383" s="181">
        <f t="shared" si="106"/>
        <v>71.212121212121218</v>
      </c>
      <c r="AM383" s="243"/>
    </row>
    <row r="384" spans="1:39" ht="24.75" customHeight="1" x14ac:dyDescent="0.25">
      <c r="A384" s="243"/>
      <c r="B384" s="477"/>
      <c r="C384" s="477"/>
      <c r="D384" s="477"/>
      <c r="E384" s="477"/>
      <c r="F384" s="477"/>
      <c r="G384" s="477"/>
      <c r="H384" s="477"/>
      <c r="I384" s="478"/>
      <c r="J384" s="477" t="s">
        <v>282</v>
      </c>
      <c r="K384" s="245"/>
      <c r="L384" s="257"/>
      <c r="M384" s="591" t="s">
        <v>283</v>
      </c>
      <c r="N384" s="592"/>
      <c r="O384" s="179"/>
      <c r="P384" s="180"/>
      <c r="Q384" s="180">
        <v>108410000</v>
      </c>
      <c r="R384" s="181">
        <f t="shared" si="111"/>
        <v>30.863178272504697</v>
      </c>
      <c r="S384" s="181">
        <v>100</v>
      </c>
      <c r="T384" s="180">
        <f t="shared" si="104"/>
        <v>32.284844571533995</v>
      </c>
      <c r="U384" s="180">
        <f t="shared" si="110"/>
        <v>9.9641291351135912</v>
      </c>
      <c r="V384" s="182">
        <f t="shared" si="95"/>
        <v>67.715155428466005</v>
      </c>
      <c r="W384" s="180"/>
      <c r="X384" s="180"/>
      <c r="Y384" s="180"/>
      <c r="Z384" s="180"/>
      <c r="AA384" s="180"/>
      <c r="AB384" s="180"/>
      <c r="AC384" s="180"/>
      <c r="AD384" s="180"/>
      <c r="AE384" s="180"/>
      <c r="AF384" s="180"/>
      <c r="AG384" s="180"/>
      <c r="AH384" s="180"/>
      <c r="AI384" s="180">
        <v>35000000</v>
      </c>
      <c r="AJ384" s="181">
        <f t="shared" si="105"/>
        <v>32.284844571533995</v>
      </c>
      <c r="AK384" s="180">
        <f t="shared" si="108"/>
        <v>73410000</v>
      </c>
      <c r="AL384" s="181">
        <f t="shared" si="106"/>
        <v>67.715155428466005</v>
      </c>
      <c r="AM384" s="243"/>
    </row>
    <row r="385" spans="1:39" ht="24.75" customHeight="1" x14ac:dyDescent="0.25">
      <c r="A385" s="243"/>
      <c r="B385" s="477"/>
      <c r="C385" s="477"/>
      <c r="D385" s="477"/>
      <c r="E385" s="477"/>
      <c r="F385" s="477"/>
      <c r="G385" s="477"/>
      <c r="H385" s="477"/>
      <c r="I385" s="478"/>
      <c r="J385" s="477" t="s">
        <v>320</v>
      </c>
      <c r="K385" s="245"/>
      <c r="L385" s="257"/>
      <c r="M385" s="591" t="s">
        <v>321</v>
      </c>
      <c r="N385" s="592"/>
      <c r="O385" s="179"/>
      <c r="P385" s="180"/>
      <c r="Q385" s="180">
        <v>16800000</v>
      </c>
      <c r="R385" s="181">
        <f t="shared" si="111"/>
        <v>4.7827819848545232</v>
      </c>
      <c r="S385" s="181">
        <v>100</v>
      </c>
      <c r="T385" s="180">
        <f t="shared" si="104"/>
        <v>33.333333333333329</v>
      </c>
      <c r="U385" s="180">
        <f t="shared" si="110"/>
        <v>1.5942606616181743</v>
      </c>
      <c r="V385" s="182">
        <f t="shared" si="95"/>
        <v>66.666666666666671</v>
      </c>
      <c r="W385" s="180"/>
      <c r="X385" s="180"/>
      <c r="Y385" s="180"/>
      <c r="Z385" s="180"/>
      <c r="AA385" s="180"/>
      <c r="AB385" s="180"/>
      <c r="AC385" s="180"/>
      <c r="AD385" s="180"/>
      <c r="AE385" s="180"/>
      <c r="AF385" s="180"/>
      <c r="AG385" s="180"/>
      <c r="AH385" s="180"/>
      <c r="AI385" s="180">
        <v>5600000</v>
      </c>
      <c r="AJ385" s="181">
        <f t="shared" si="105"/>
        <v>33.333333333333329</v>
      </c>
      <c r="AK385" s="180">
        <f t="shared" si="108"/>
        <v>11200000</v>
      </c>
      <c r="AL385" s="181">
        <f t="shared" si="106"/>
        <v>66.666666666666657</v>
      </c>
      <c r="AM385" s="243"/>
    </row>
    <row r="386" spans="1:39" ht="24.75" customHeight="1" x14ac:dyDescent="0.25">
      <c r="A386" s="243"/>
      <c r="B386" s="477"/>
      <c r="C386" s="477"/>
      <c r="D386" s="477"/>
      <c r="E386" s="477"/>
      <c r="F386" s="477"/>
      <c r="G386" s="477"/>
      <c r="H386" s="477"/>
      <c r="I386" s="478"/>
      <c r="J386" s="477" t="s">
        <v>407</v>
      </c>
      <c r="K386" s="245"/>
      <c r="L386" s="257"/>
      <c r="M386" s="591" t="s">
        <v>414</v>
      </c>
      <c r="N386" s="592"/>
      <c r="O386" s="179"/>
      <c r="P386" s="180"/>
      <c r="Q386" s="180">
        <v>3300000</v>
      </c>
      <c r="R386" s="181">
        <f t="shared" si="111"/>
        <v>0.93947503273928146</v>
      </c>
      <c r="S386" s="181">
        <v>100</v>
      </c>
      <c r="T386" s="180">
        <f t="shared" si="104"/>
        <v>33.333333333333329</v>
      </c>
      <c r="U386" s="180">
        <f t="shared" si="110"/>
        <v>0.31315834424642708</v>
      </c>
      <c r="V386" s="182">
        <f t="shared" si="95"/>
        <v>66.666666666666671</v>
      </c>
      <c r="W386" s="180"/>
      <c r="X386" s="180"/>
      <c r="Y386" s="180"/>
      <c r="Z386" s="180"/>
      <c r="AA386" s="180"/>
      <c r="AB386" s="180"/>
      <c r="AC386" s="180"/>
      <c r="AD386" s="180"/>
      <c r="AE386" s="180"/>
      <c r="AF386" s="180"/>
      <c r="AG386" s="180"/>
      <c r="AH386" s="180"/>
      <c r="AI386" s="180">
        <v>1100000</v>
      </c>
      <c r="AJ386" s="181">
        <f t="shared" si="105"/>
        <v>33.333333333333329</v>
      </c>
      <c r="AK386" s="180">
        <f t="shared" si="108"/>
        <v>2200000</v>
      </c>
      <c r="AL386" s="181">
        <f t="shared" si="106"/>
        <v>66.666666666666657</v>
      </c>
      <c r="AM386" s="243"/>
    </row>
    <row r="387" spans="1:39" s="297" customFormat="1" ht="30.75" customHeight="1" x14ac:dyDescent="0.25">
      <c r="A387" s="227">
        <f>A377+1</f>
        <v>50</v>
      </c>
      <c r="B387" s="615" t="s">
        <v>148</v>
      </c>
      <c r="C387" s="615"/>
      <c r="D387" s="615"/>
      <c r="E387" s="615"/>
      <c r="F387" s="615"/>
      <c r="G387" s="615"/>
      <c r="H387" s="615"/>
      <c r="I387" s="614"/>
      <c r="J387" s="304" t="s">
        <v>496</v>
      </c>
      <c r="K387" s="230"/>
      <c r="L387" s="294"/>
      <c r="M387" s="610" t="s">
        <v>199</v>
      </c>
      <c r="N387" s="610"/>
      <c r="O387" s="309">
        <v>569155000</v>
      </c>
      <c r="P387" s="231">
        <f>O387</f>
        <v>569155000</v>
      </c>
      <c r="Q387" s="231">
        <f>SUM(Q388:Q399)</f>
        <v>303990300</v>
      </c>
      <c r="R387" s="233">
        <f>Q387/Q$248*100</f>
        <v>2.5485769370219757</v>
      </c>
      <c r="S387" s="233">
        <v>100</v>
      </c>
      <c r="T387" s="231">
        <f t="shared" si="104"/>
        <v>53.117073143452274</v>
      </c>
      <c r="U387" s="231">
        <f t="shared" si="110"/>
        <v>1.3537294757551184</v>
      </c>
      <c r="V387" s="296">
        <f t="shared" si="95"/>
        <v>46.882926856547726</v>
      </c>
      <c r="W387" s="231"/>
      <c r="X387" s="231" t="e">
        <f>#REF!</f>
        <v>#REF!</v>
      </c>
      <c r="Y387" s="231" t="e">
        <f>#REF!</f>
        <v>#REF!</v>
      </c>
      <c r="Z387" s="231" t="e">
        <f>#REF!</f>
        <v>#REF!</v>
      </c>
      <c r="AA387" s="231" t="e">
        <f>#REF!</f>
        <v>#REF!</v>
      </c>
      <c r="AB387" s="231">
        <v>286887000</v>
      </c>
      <c r="AC387" s="231" t="e">
        <f>#REF!</f>
        <v>#REF!</v>
      </c>
      <c r="AD387" s="231" t="e">
        <f>#REF!</f>
        <v>#REF!</v>
      </c>
      <c r="AE387" s="231" t="e">
        <f>#REF!</f>
        <v>#REF!</v>
      </c>
      <c r="AF387" s="231" t="e">
        <f>[1]April!N69</f>
        <v>#REF!</v>
      </c>
      <c r="AG387" s="231" t="e">
        <f>[2]april!N69</f>
        <v>#REF!</v>
      </c>
      <c r="AH387" s="231">
        <f>'[3]DES SKPD'!$N69</f>
        <v>642713500</v>
      </c>
      <c r="AI387" s="231">
        <f>SUM(AI388:AI399)</f>
        <v>161470750</v>
      </c>
      <c r="AJ387" s="233">
        <f t="shared" si="105"/>
        <v>53.117073143452274</v>
      </c>
      <c r="AK387" s="231">
        <f t="shared" si="108"/>
        <v>142519550</v>
      </c>
      <c r="AL387" s="233">
        <f t="shared" si="106"/>
        <v>46.882926856547726</v>
      </c>
      <c r="AM387" s="227"/>
    </row>
    <row r="388" spans="1:39" ht="24.75" customHeight="1" x14ac:dyDescent="0.25">
      <c r="A388" s="243"/>
      <c r="B388" s="477"/>
      <c r="C388" s="477"/>
      <c r="D388" s="477"/>
      <c r="E388" s="477"/>
      <c r="F388" s="477"/>
      <c r="G388" s="477"/>
      <c r="H388" s="477"/>
      <c r="I388" s="478"/>
      <c r="J388" s="477" t="s">
        <v>259</v>
      </c>
      <c r="K388" s="245"/>
      <c r="L388" s="257"/>
      <c r="M388" s="591" t="s">
        <v>260</v>
      </c>
      <c r="N388" s="592"/>
      <c r="O388" s="179"/>
      <c r="P388" s="180"/>
      <c r="Q388" s="180">
        <v>1540000</v>
      </c>
      <c r="R388" s="181">
        <f t="shared" ref="R388:R399" si="112">Q388/Q$387*100</f>
        <v>0.50659511175192107</v>
      </c>
      <c r="S388" s="181">
        <v>100</v>
      </c>
      <c r="T388" s="180">
        <f t="shared" si="104"/>
        <v>50</v>
      </c>
      <c r="U388" s="180">
        <f t="shared" si="110"/>
        <v>0.25329755587596053</v>
      </c>
      <c r="V388" s="182">
        <f t="shared" si="95"/>
        <v>50</v>
      </c>
      <c r="W388" s="180"/>
      <c r="X388" s="180"/>
      <c r="Y388" s="180"/>
      <c r="Z388" s="180"/>
      <c r="AA388" s="180"/>
      <c r="AB388" s="180"/>
      <c r="AC388" s="180"/>
      <c r="AD388" s="180"/>
      <c r="AE388" s="180"/>
      <c r="AF388" s="180"/>
      <c r="AG388" s="180"/>
      <c r="AH388" s="180"/>
      <c r="AI388" s="180">
        <v>770000</v>
      </c>
      <c r="AJ388" s="181">
        <f t="shared" si="105"/>
        <v>50</v>
      </c>
      <c r="AK388" s="180">
        <f t="shared" si="108"/>
        <v>770000</v>
      </c>
      <c r="AL388" s="181">
        <f t="shared" si="106"/>
        <v>50</v>
      </c>
      <c r="AM388" s="243"/>
    </row>
    <row r="389" spans="1:39" ht="24.75" customHeight="1" x14ac:dyDescent="0.25">
      <c r="A389" s="243"/>
      <c r="B389" s="477"/>
      <c r="C389" s="477"/>
      <c r="D389" s="477"/>
      <c r="E389" s="477"/>
      <c r="F389" s="477"/>
      <c r="G389" s="477"/>
      <c r="H389" s="477"/>
      <c r="I389" s="478"/>
      <c r="J389" s="477" t="s">
        <v>326</v>
      </c>
      <c r="K389" s="245"/>
      <c r="L389" s="257"/>
      <c r="M389" s="591" t="s">
        <v>327</v>
      </c>
      <c r="N389" s="592"/>
      <c r="O389" s="179"/>
      <c r="P389" s="180"/>
      <c r="Q389" s="180">
        <v>51150000</v>
      </c>
      <c r="R389" s="181">
        <f t="shared" si="112"/>
        <v>16.826194783188804</v>
      </c>
      <c r="S389" s="181">
        <v>100</v>
      </c>
      <c r="T389" s="180">
        <f t="shared" si="104"/>
        <v>0</v>
      </c>
      <c r="U389" s="180">
        <f t="shared" si="110"/>
        <v>0</v>
      </c>
      <c r="V389" s="182">
        <f t="shared" si="95"/>
        <v>100</v>
      </c>
      <c r="W389" s="180"/>
      <c r="X389" s="180"/>
      <c r="Y389" s="180"/>
      <c r="Z389" s="180"/>
      <c r="AA389" s="180"/>
      <c r="AB389" s="180"/>
      <c r="AC389" s="180"/>
      <c r="AD389" s="180"/>
      <c r="AE389" s="180"/>
      <c r="AF389" s="180"/>
      <c r="AG389" s="180"/>
      <c r="AH389" s="180"/>
      <c r="AI389" s="180">
        <v>0</v>
      </c>
      <c r="AJ389" s="181">
        <f t="shared" si="105"/>
        <v>0</v>
      </c>
      <c r="AK389" s="180">
        <f t="shared" si="108"/>
        <v>51150000</v>
      </c>
      <c r="AL389" s="181">
        <f t="shared" si="106"/>
        <v>100</v>
      </c>
      <c r="AM389" s="243"/>
    </row>
    <row r="390" spans="1:39" ht="24.75" customHeight="1" x14ac:dyDescent="0.25">
      <c r="A390" s="243"/>
      <c r="B390" s="477"/>
      <c r="C390" s="477"/>
      <c r="D390" s="477"/>
      <c r="E390" s="477"/>
      <c r="F390" s="477"/>
      <c r="G390" s="477"/>
      <c r="H390" s="477"/>
      <c r="I390" s="478"/>
      <c r="J390" s="477" t="s">
        <v>323</v>
      </c>
      <c r="K390" s="245"/>
      <c r="L390" s="257"/>
      <c r="M390" s="591" t="s">
        <v>324</v>
      </c>
      <c r="N390" s="592"/>
      <c r="O390" s="179"/>
      <c r="P390" s="180"/>
      <c r="Q390" s="180">
        <v>5000000</v>
      </c>
      <c r="R390" s="181">
        <f t="shared" si="112"/>
        <v>1.6447893238698736</v>
      </c>
      <c r="S390" s="181">
        <v>100</v>
      </c>
      <c r="T390" s="180">
        <f t="shared" si="104"/>
        <v>0</v>
      </c>
      <c r="U390" s="180">
        <f t="shared" si="110"/>
        <v>0</v>
      </c>
      <c r="V390" s="182">
        <f t="shared" si="95"/>
        <v>100</v>
      </c>
      <c r="W390" s="180"/>
      <c r="X390" s="180"/>
      <c r="Y390" s="180"/>
      <c r="Z390" s="180"/>
      <c r="AA390" s="180"/>
      <c r="AB390" s="180"/>
      <c r="AC390" s="180"/>
      <c r="AD390" s="180"/>
      <c r="AE390" s="180"/>
      <c r="AF390" s="180"/>
      <c r="AG390" s="180"/>
      <c r="AH390" s="180"/>
      <c r="AI390" s="180">
        <v>0</v>
      </c>
      <c r="AJ390" s="181">
        <f t="shared" si="105"/>
        <v>0</v>
      </c>
      <c r="AK390" s="180">
        <f t="shared" si="108"/>
        <v>5000000</v>
      </c>
      <c r="AL390" s="181">
        <f t="shared" si="106"/>
        <v>100</v>
      </c>
      <c r="AM390" s="243"/>
    </row>
    <row r="391" spans="1:39" ht="24.75" customHeight="1" x14ac:dyDescent="0.25">
      <c r="A391" s="243"/>
      <c r="B391" s="477"/>
      <c r="C391" s="477"/>
      <c r="D391" s="477"/>
      <c r="E391" s="477"/>
      <c r="F391" s="477"/>
      <c r="G391" s="477"/>
      <c r="H391" s="477"/>
      <c r="I391" s="478"/>
      <c r="J391" s="477" t="s">
        <v>269</v>
      </c>
      <c r="K391" s="245"/>
      <c r="L391" s="257"/>
      <c r="M391" s="591" t="s">
        <v>270</v>
      </c>
      <c r="N391" s="592"/>
      <c r="O391" s="179"/>
      <c r="P391" s="180"/>
      <c r="Q391" s="180">
        <v>22000000</v>
      </c>
      <c r="R391" s="181">
        <f t="shared" si="112"/>
        <v>7.2370730250274438</v>
      </c>
      <c r="S391" s="181">
        <v>100</v>
      </c>
      <c r="T391" s="180">
        <f t="shared" si="104"/>
        <v>100</v>
      </c>
      <c r="U391" s="180">
        <f t="shared" si="110"/>
        <v>7.2370730250274438</v>
      </c>
      <c r="V391" s="182">
        <f t="shared" si="95"/>
        <v>0</v>
      </c>
      <c r="W391" s="180"/>
      <c r="X391" s="180"/>
      <c r="Y391" s="180"/>
      <c r="Z391" s="180"/>
      <c r="AA391" s="180"/>
      <c r="AB391" s="180"/>
      <c r="AC391" s="180"/>
      <c r="AD391" s="180"/>
      <c r="AE391" s="180"/>
      <c r="AF391" s="180"/>
      <c r="AG391" s="180"/>
      <c r="AH391" s="180"/>
      <c r="AI391" s="180">
        <v>22000000</v>
      </c>
      <c r="AJ391" s="181">
        <f t="shared" si="105"/>
        <v>100</v>
      </c>
      <c r="AK391" s="180">
        <f t="shared" si="108"/>
        <v>0</v>
      </c>
      <c r="AL391" s="181">
        <f t="shared" si="106"/>
        <v>0</v>
      </c>
      <c r="AM391" s="243"/>
    </row>
    <row r="392" spans="1:39" ht="24.75" customHeight="1" x14ac:dyDescent="0.25">
      <c r="A392" s="243"/>
      <c r="B392" s="477"/>
      <c r="C392" s="477"/>
      <c r="D392" s="477"/>
      <c r="E392" s="477"/>
      <c r="F392" s="477"/>
      <c r="G392" s="477"/>
      <c r="H392" s="477"/>
      <c r="I392" s="478"/>
      <c r="J392" s="477" t="s">
        <v>315</v>
      </c>
      <c r="K392" s="245"/>
      <c r="L392" s="257"/>
      <c r="M392" s="591" t="s">
        <v>271</v>
      </c>
      <c r="N392" s="592"/>
      <c r="O392" s="179"/>
      <c r="P392" s="180"/>
      <c r="Q392" s="180">
        <v>3400300</v>
      </c>
      <c r="R392" s="181">
        <f t="shared" si="112"/>
        <v>1.1185554275909462</v>
      </c>
      <c r="S392" s="181">
        <v>100</v>
      </c>
      <c r="T392" s="180">
        <f t="shared" si="104"/>
        <v>0</v>
      </c>
      <c r="U392" s="180">
        <f t="shared" si="110"/>
        <v>0</v>
      </c>
      <c r="V392" s="182">
        <f t="shared" si="95"/>
        <v>100</v>
      </c>
      <c r="W392" s="180"/>
      <c r="X392" s="180"/>
      <c r="Y392" s="180"/>
      <c r="Z392" s="180"/>
      <c r="AA392" s="180"/>
      <c r="AB392" s="180"/>
      <c r="AC392" s="180"/>
      <c r="AD392" s="180"/>
      <c r="AE392" s="180"/>
      <c r="AF392" s="180"/>
      <c r="AG392" s="180"/>
      <c r="AH392" s="180"/>
      <c r="AI392" s="180">
        <v>0</v>
      </c>
      <c r="AJ392" s="181">
        <f t="shared" si="105"/>
        <v>0</v>
      </c>
      <c r="AK392" s="180">
        <f t="shared" si="108"/>
        <v>3400300</v>
      </c>
      <c r="AL392" s="181">
        <f t="shared" si="106"/>
        <v>100</v>
      </c>
      <c r="AM392" s="243"/>
    </row>
    <row r="393" spans="1:39" ht="24.75" customHeight="1" x14ac:dyDescent="0.25">
      <c r="A393" s="243"/>
      <c r="B393" s="477"/>
      <c r="C393" s="477"/>
      <c r="D393" s="477"/>
      <c r="E393" s="477"/>
      <c r="F393" s="477"/>
      <c r="G393" s="477"/>
      <c r="H393" s="477"/>
      <c r="I393" s="478"/>
      <c r="J393" s="477" t="s">
        <v>328</v>
      </c>
      <c r="K393" s="245"/>
      <c r="L393" s="257"/>
      <c r="M393" s="591" t="s">
        <v>329</v>
      </c>
      <c r="N393" s="592"/>
      <c r="O393" s="179"/>
      <c r="P393" s="180"/>
      <c r="Q393" s="180">
        <v>15000000</v>
      </c>
      <c r="R393" s="181">
        <f t="shared" si="112"/>
        <v>4.9343679716096203</v>
      </c>
      <c r="S393" s="181">
        <v>100</v>
      </c>
      <c r="T393" s="180">
        <f t="shared" si="104"/>
        <v>0</v>
      </c>
      <c r="U393" s="180">
        <f t="shared" si="110"/>
        <v>0</v>
      </c>
      <c r="V393" s="182">
        <f t="shared" si="95"/>
        <v>100</v>
      </c>
      <c r="W393" s="180"/>
      <c r="X393" s="180"/>
      <c r="Y393" s="180"/>
      <c r="Z393" s="180"/>
      <c r="AA393" s="180"/>
      <c r="AB393" s="180"/>
      <c r="AC393" s="180"/>
      <c r="AD393" s="180"/>
      <c r="AE393" s="180"/>
      <c r="AF393" s="180"/>
      <c r="AG393" s="180"/>
      <c r="AH393" s="180"/>
      <c r="AI393" s="180">
        <v>0</v>
      </c>
      <c r="AJ393" s="181">
        <f t="shared" si="105"/>
        <v>0</v>
      </c>
      <c r="AK393" s="180">
        <f t="shared" si="108"/>
        <v>15000000</v>
      </c>
      <c r="AL393" s="181">
        <f t="shared" si="106"/>
        <v>100</v>
      </c>
      <c r="AM393" s="243"/>
    </row>
    <row r="394" spans="1:39" ht="27.75" customHeight="1" x14ac:dyDescent="0.25">
      <c r="A394" s="243"/>
      <c r="B394" s="477"/>
      <c r="C394" s="477"/>
      <c r="D394" s="477"/>
      <c r="E394" s="477"/>
      <c r="F394" s="477"/>
      <c r="G394" s="477"/>
      <c r="H394" s="477"/>
      <c r="I394" s="478"/>
      <c r="J394" s="477" t="s">
        <v>318</v>
      </c>
      <c r="K394" s="245"/>
      <c r="L394" s="257"/>
      <c r="M394" s="591" t="s">
        <v>319</v>
      </c>
      <c r="N394" s="592"/>
      <c r="O394" s="179"/>
      <c r="P394" s="180"/>
      <c r="Q394" s="180">
        <v>91000000</v>
      </c>
      <c r="R394" s="181">
        <f t="shared" si="112"/>
        <v>29.935165694431699</v>
      </c>
      <c r="S394" s="181">
        <v>100</v>
      </c>
      <c r="T394" s="180">
        <f t="shared" si="104"/>
        <v>50</v>
      </c>
      <c r="U394" s="180">
        <f t="shared" si="110"/>
        <v>14.96758284721585</v>
      </c>
      <c r="V394" s="182">
        <f t="shared" si="95"/>
        <v>50</v>
      </c>
      <c r="W394" s="180"/>
      <c r="X394" s="180"/>
      <c r="Y394" s="180"/>
      <c r="Z394" s="180"/>
      <c r="AA394" s="180"/>
      <c r="AB394" s="180"/>
      <c r="AC394" s="180"/>
      <c r="AD394" s="180"/>
      <c r="AE394" s="180"/>
      <c r="AF394" s="180"/>
      <c r="AG394" s="180"/>
      <c r="AH394" s="180"/>
      <c r="AI394" s="180">
        <v>45500000</v>
      </c>
      <c r="AJ394" s="181">
        <f t="shared" si="105"/>
        <v>50</v>
      </c>
      <c r="AK394" s="180">
        <f t="shared" si="108"/>
        <v>45500000</v>
      </c>
      <c r="AL394" s="181">
        <f t="shared" si="106"/>
        <v>50</v>
      </c>
      <c r="AM394" s="243"/>
    </row>
    <row r="395" spans="1:39" ht="24.75" customHeight="1" x14ac:dyDescent="0.25">
      <c r="A395" s="243"/>
      <c r="B395" s="477"/>
      <c r="C395" s="477"/>
      <c r="D395" s="477"/>
      <c r="E395" s="477"/>
      <c r="F395" s="477"/>
      <c r="G395" s="477"/>
      <c r="H395" s="477"/>
      <c r="I395" s="478"/>
      <c r="J395" s="477" t="s">
        <v>280</v>
      </c>
      <c r="K395" s="245"/>
      <c r="L395" s="257"/>
      <c r="M395" s="591" t="s">
        <v>281</v>
      </c>
      <c r="N395" s="592"/>
      <c r="O395" s="179"/>
      <c r="P395" s="180"/>
      <c r="Q395" s="180">
        <v>23750000</v>
      </c>
      <c r="R395" s="181">
        <f t="shared" si="112"/>
        <v>7.8127492883818999</v>
      </c>
      <c r="S395" s="181">
        <v>100</v>
      </c>
      <c r="T395" s="180">
        <f t="shared" si="104"/>
        <v>94.73684210526315</v>
      </c>
      <c r="U395" s="180">
        <f t="shared" si="110"/>
        <v>7.4015519574144308</v>
      </c>
      <c r="V395" s="182">
        <f t="shared" si="95"/>
        <v>5.2631578947368496</v>
      </c>
      <c r="W395" s="180"/>
      <c r="X395" s="180"/>
      <c r="Y395" s="180"/>
      <c r="Z395" s="180"/>
      <c r="AA395" s="180"/>
      <c r="AB395" s="180"/>
      <c r="AC395" s="180"/>
      <c r="AD395" s="180"/>
      <c r="AE395" s="180"/>
      <c r="AF395" s="180"/>
      <c r="AG395" s="180"/>
      <c r="AH395" s="180"/>
      <c r="AI395" s="180">
        <v>22500000</v>
      </c>
      <c r="AJ395" s="181">
        <f t="shared" si="105"/>
        <v>94.73684210526315</v>
      </c>
      <c r="AK395" s="180">
        <f t="shared" si="108"/>
        <v>1250000</v>
      </c>
      <c r="AL395" s="181">
        <f t="shared" si="106"/>
        <v>5.2631578947368416</v>
      </c>
      <c r="AM395" s="243"/>
    </row>
    <row r="396" spans="1:39" ht="24.75" customHeight="1" x14ac:dyDescent="0.25">
      <c r="A396" s="243"/>
      <c r="B396" s="477"/>
      <c r="C396" s="477"/>
      <c r="D396" s="477"/>
      <c r="E396" s="477"/>
      <c r="F396" s="477"/>
      <c r="G396" s="477"/>
      <c r="H396" s="477"/>
      <c r="I396" s="478"/>
      <c r="J396" s="477" t="s">
        <v>284</v>
      </c>
      <c r="K396" s="245"/>
      <c r="L396" s="257"/>
      <c r="M396" s="591" t="s">
        <v>285</v>
      </c>
      <c r="N396" s="592"/>
      <c r="O396" s="179"/>
      <c r="P396" s="180"/>
      <c r="Q396" s="180">
        <v>6600000</v>
      </c>
      <c r="R396" s="181">
        <f t="shared" si="112"/>
        <v>2.1711219075082329</v>
      </c>
      <c r="S396" s="181">
        <v>100</v>
      </c>
      <c r="T396" s="180">
        <f t="shared" si="104"/>
        <v>43.333333333333336</v>
      </c>
      <c r="U396" s="180">
        <f t="shared" si="110"/>
        <v>0.94081949325356762</v>
      </c>
      <c r="V396" s="182">
        <f t="shared" si="95"/>
        <v>56.666666666666664</v>
      </c>
      <c r="W396" s="180"/>
      <c r="X396" s="180"/>
      <c r="Y396" s="180"/>
      <c r="Z396" s="180"/>
      <c r="AA396" s="180"/>
      <c r="AB396" s="180"/>
      <c r="AC396" s="180"/>
      <c r="AD396" s="180"/>
      <c r="AE396" s="180"/>
      <c r="AF396" s="180"/>
      <c r="AG396" s="180"/>
      <c r="AH396" s="180"/>
      <c r="AI396" s="180">
        <v>2860000</v>
      </c>
      <c r="AJ396" s="181">
        <f t="shared" si="105"/>
        <v>43.333333333333336</v>
      </c>
      <c r="AK396" s="180">
        <f t="shared" si="108"/>
        <v>3740000</v>
      </c>
      <c r="AL396" s="181">
        <f t="shared" si="106"/>
        <v>56.666666666666664</v>
      </c>
      <c r="AM396" s="243"/>
    </row>
    <row r="397" spans="1:39" ht="24.75" customHeight="1" x14ac:dyDescent="0.25">
      <c r="A397" s="243"/>
      <c r="B397" s="477"/>
      <c r="C397" s="477"/>
      <c r="D397" s="477"/>
      <c r="E397" s="477"/>
      <c r="F397" s="477"/>
      <c r="G397" s="477"/>
      <c r="H397" s="477"/>
      <c r="I397" s="478"/>
      <c r="J397" s="477" t="s">
        <v>282</v>
      </c>
      <c r="K397" s="245"/>
      <c r="L397" s="257"/>
      <c r="M397" s="591" t="s">
        <v>283</v>
      </c>
      <c r="N397" s="592"/>
      <c r="O397" s="179"/>
      <c r="P397" s="180"/>
      <c r="Q397" s="180">
        <v>25650000</v>
      </c>
      <c r="R397" s="181">
        <f t="shared" si="112"/>
        <v>8.4377692314524513</v>
      </c>
      <c r="S397" s="181">
        <v>100</v>
      </c>
      <c r="T397" s="180">
        <f t="shared" si="104"/>
        <v>74.622807017543863</v>
      </c>
      <c r="U397" s="180">
        <f t="shared" si="110"/>
        <v>6.2965002501724561</v>
      </c>
      <c r="V397" s="182">
        <f t="shared" si="95"/>
        <v>25.377192982456137</v>
      </c>
      <c r="W397" s="180"/>
      <c r="X397" s="180"/>
      <c r="Y397" s="180"/>
      <c r="Z397" s="180"/>
      <c r="AA397" s="180"/>
      <c r="AB397" s="180"/>
      <c r="AC397" s="180"/>
      <c r="AD397" s="180"/>
      <c r="AE397" s="180"/>
      <c r="AF397" s="180"/>
      <c r="AG397" s="180"/>
      <c r="AH397" s="180"/>
      <c r="AI397" s="180">
        <f>10890750+8250000</f>
        <v>19140750</v>
      </c>
      <c r="AJ397" s="181">
        <f t="shared" si="105"/>
        <v>74.622807017543863</v>
      </c>
      <c r="AK397" s="180">
        <f t="shared" si="108"/>
        <v>6509250</v>
      </c>
      <c r="AL397" s="181">
        <f t="shared" si="106"/>
        <v>25.377192982456144</v>
      </c>
      <c r="AM397" s="243"/>
    </row>
    <row r="398" spans="1:39" ht="24.75" customHeight="1" x14ac:dyDescent="0.25">
      <c r="A398" s="243"/>
      <c r="B398" s="477"/>
      <c r="C398" s="477"/>
      <c r="D398" s="477"/>
      <c r="E398" s="477"/>
      <c r="F398" s="477"/>
      <c r="G398" s="477"/>
      <c r="H398" s="477"/>
      <c r="I398" s="478"/>
      <c r="J398" s="477" t="s">
        <v>320</v>
      </c>
      <c r="K398" s="245"/>
      <c r="L398" s="257"/>
      <c r="M398" s="591" t="s">
        <v>321</v>
      </c>
      <c r="N398" s="592"/>
      <c r="O398" s="179"/>
      <c r="P398" s="180"/>
      <c r="Q398" s="180">
        <v>50400000</v>
      </c>
      <c r="R398" s="181">
        <f t="shared" si="112"/>
        <v>16.579476384608324</v>
      </c>
      <c r="S398" s="181">
        <v>100</v>
      </c>
      <c r="T398" s="180">
        <f t="shared" si="104"/>
        <v>85.714285714285708</v>
      </c>
      <c r="U398" s="180">
        <f t="shared" si="110"/>
        <v>14.210979758235705</v>
      </c>
      <c r="V398" s="182">
        <f t="shared" si="95"/>
        <v>14.285714285714292</v>
      </c>
      <c r="W398" s="180"/>
      <c r="X398" s="180"/>
      <c r="Y398" s="180"/>
      <c r="Z398" s="180"/>
      <c r="AA398" s="180"/>
      <c r="AB398" s="180"/>
      <c r="AC398" s="180"/>
      <c r="AD398" s="180"/>
      <c r="AE398" s="180"/>
      <c r="AF398" s="180"/>
      <c r="AG398" s="180"/>
      <c r="AH398" s="180"/>
      <c r="AI398" s="180">
        <v>43200000</v>
      </c>
      <c r="AJ398" s="181">
        <f t="shared" si="105"/>
        <v>85.714285714285708</v>
      </c>
      <c r="AK398" s="180">
        <f t="shared" si="108"/>
        <v>7200000</v>
      </c>
      <c r="AL398" s="181">
        <f t="shared" si="106"/>
        <v>14.285714285714285</v>
      </c>
      <c r="AM398" s="243"/>
    </row>
    <row r="399" spans="1:39" ht="24.75" customHeight="1" x14ac:dyDescent="0.25">
      <c r="A399" s="243"/>
      <c r="B399" s="477"/>
      <c r="C399" s="477"/>
      <c r="D399" s="477"/>
      <c r="E399" s="477"/>
      <c r="F399" s="477"/>
      <c r="G399" s="477"/>
      <c r="H399" s="477"/>
      <c r="I399" s="478"/>
      <c r="J399" s="477" t="s">
        <v>407</v>
      </c>
      <c r="K399" s="245"/>
      <c r="L399" s="257"/>
      <c r="M399" s="619" t="s">
        <v>414</v>
      </c>
      <c r="N399" s="620"/>
      <c r="O399" s="179"/>
      <c r="P399" s="180"/>
      <c r="Q399" s="180">
        <v>8500000</v>
      </c>
      <c r="R399" s="181">
        <f t="shared" si="112"/>
        <v>2.7961418505787852</v>
      </c>
      <c r="S399" s="181"/>
      <c r="T399" s="180">
        <f t="shared" si="104"/>
        <v>64.705882352941174</v>
      </c>
      <c r="U399" s="180">
        <f t="shared" si="110"/>
        <v>1.8092682562568609</v>
      </c>
      <c r="V399" s="182"/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  <c r="AG399" s="180"/>
      <c r="AH399" s="180"/>
      <c r="AI399" s="180">
        <v>5500000</v>
      </c>
      <c r="AJ399" s="181">
        <f t="shared" si="105"/>
        <v>64.705882352941174</v>
      </c>
      <c r="AK399" s="180">
        <f t="shared" si="108"/>
        <v>3000000</v>
      </c>
      <c r="AL399" s="181">
        <f t="shared" si="106"/>
        <v>35.294117647058826</v>
      </c>
      <c r="AM399" s="243"/>
    </row>
    <row r="400" spans="1:39" s="297" customFormat="1" ht="29.25" customHeight="1" x14ac:dyDescent="0.25">
      <c r="A400" s="227">
        <f>A387+1</f>
        <v>51</v>
      </c>
      <c r="B400" s="615" t="s">
        <v>150</v>
      </c>
      <c r="C400" s="615"/>
      <c r="D400" s="615"/>
      <c r="E400" s="615"/>
      <c r="F400" s="615"/>
      <c r="G400" s="615"/>
      <c r="H400" s="615"/>
      <c r="I400" s="614"/>
      <c r="J400" s="304" t="s">
        <v>497</v>
      </c>
      <c r="K400" s="230"/>
      <c r="L400" s="294"/>
      <c r="M400" s="610" t="s">
        <v>51</v>
      </c>
      <c r="N400" s="610"/>
      <c r="O400" s="309">
        <v>316240000</v>
      </c>
      <c r="P400" s="231">
        <f>O400</f>
        <v>316240000</v>
      </c>
      <c r="Q400" s="231">
        <f>SUM(Q401:Q407)</f>
        <v>266500000</v>
      </c>
      <c r="R400" s="233">
        <f>Q400/Q$248*100</f>
        <v>2.2342678490608305</v>
      </c>
      <c r="S400" s="233">
        <v>100</v>
      </c>
      <c r="T400" s="231">
        <f t="shared" si="104"/>
        <v>0</v>
      </c>
      <c r="U400" s="231">
        <f t="shared" si="110"/>
        <v>0</v>
      </c>
      <c r="V400" s="296">
        <f t="shared" si="95"/>
        <v>100</v>
      </c>
      <c r="W400" s="231"/>
      <c r="X400" s="231" t="e">
        <f>#REF!</f>
        <v>#REF!</v>
      </c>
      <c r="Y400" s="231" t="e">
        <f>#REF!</f>
        <v>#REF!</v>
      </c>
      <c r="Z400" s="231" t="e">
        <f>#REF!</f>
        <v>#REF!</v>
      </c>
      <c r="AA400" s="231" t="e">
        <f>#REF!</f>
        <v>#REF!</v>
      </c>
      <c r="AB400" s="231">
        <v>13182000</v>
      </c>
      <c r="AC400" s="231" t="e">
        <f>#REF!</f>
        <v>#REF!</v>
      </c>
      <c r="AD400" s="231" t="e">
        <f>#REF!</f>
        <v>#REF!</v>
      </c>
      <c r="AE400" s="231" t="e">
        <f>#REF!</f>
        <v>#REF!</v>
      </c>
      <c r="AF400" s="231" t="e">
        <f>[1]April!N70</f>
        <v>#REF!</v>
      </c>
      <c r="AG400" s="231" t="e">
        <f>[2]april!N70</f>
        <v>#REF!</v>
      </c>
      <c r="AH400" s="231">
        <f>'[3]DES SKPD'!$N70</f>
        <v>293250450</v>
      </c>
      <c r="AI400" s="231">
        <f>SUM(AI401:AI407)</f>
        <v>0</v>
      </c>
      <c r="AJ400" s="233">
        <f t="shared" si="105"/>
        <v>0</v>
      </c>
      <c r="AK400" s="231">
        <f t="shared" si="108"/>
        <v>266500000</v>
      </c>
      <c r="AL400" s="233">
        <f t="shared" si="106"/>
        <v>100</v>
      </c>
      <c r="AM400" s="227"/>
    </row>
    <row r="401" spans="1:39" ht="29.25" customHeight="1" x14ac:dyDescent="0.25">
      <c r="A401" s="243"/>
      <c r="B401" s="477"/>
      <c r="C401" s="477"/>
      <c r="D401" s="477"/>
      <c r="E401" s="477"/>
      <c r="F401" s="477"/>
      <c r="G401" s="477"/>
      <c r="H401" s="477"/>
      <c r="I401" s="478"/>
      <c r="J401" s="477" t="s">
        <v>315</v>
      </c>
      <c r="K401" s="245"/>
      <c r="L401" s="257"/>
      <c r="M401" s="591" t="s">
        <v>271</v>
      </c>
      <c r="N401" s="592"/>
      <c r="O401" s="179"/>
      <c r="P401" s="180"/>
      <c r="Q401" s="180">
        <v>8000000</v>
      </c>
      <c r="R401" s="181">
        <f t="shared" ref="R401:R407" si="113">Q401/Q$400*100</f>
        <v>3.0018761726078798</v>
      </c>
      <c r="S401" s="181">
        <v>100</v>
      </c>
      <c r="T401" s="180">
        <f t="shared" si="104"/>
        <v>0</v>
      </c>
      <c r="U401" s="180">
        <f t="shared" si="110"/>
        <v>0</v>
      </c>
      <c r="V401" s="182">
        <f t="shared" si="95"/>
        <v>100</v>
      </c>
      <c r="W401" s="180"/>
      <c r="X401" s="180"/>
      <c r="Y401" s="180"/>
      <c r="Z401" s="180"/>
      <c r="AA401" s="180"/>
      <c r="AB401" s="180"/>
      <c r="AC401" s="180"/>
      <c r="AD401" s="180"/>
      <c r="AE401" s="180"/>
      <c r="AF401" s="180"/>
      <c r="AG401" s="180"/>
      <c r="AH401" s="180"/>
      <c r="AI401" s="180">
        <v>0</v>
      </c>
      <c r="AJ401" s="181">
        <f t="shared" si="105"/>
        <v>0</v>
      </c>
      <c r="AK401" s="180">
        <f t="shared" si="108"/>
        <v>8000000</v>
      </c>
      <c r="AL401" s="181">
        <f t="shared" si="106"/>
        <v>100</v>
      </c>
      <c r="AM401" s="243"/>
    </row>
    <row r="402" spans="1:39" ht="29.25" customHeight="1" x14ac:dyDescent="0.25">
      <c r="A402" s="243"/>
      <c r="B402" s="477"/>
      <c r="C402" s="477"/>
      <c r="D402" s="477"/>
      <c r="E402" s="477"/>
      <c r="F402" s="477"/>
      <c r="G402" s="477"/>
      <c r="H402" s="477"/>
      <c r="I402" s="478"/>
      <c r="J402" s="477" t="s">
        <v>284</v>
      </c>
      <c r="K402" s="245"/>
      <c r="L402" s="257"/>
      <c r="M402" s="591" t="s">
        <v>319</v>
      </c>
      <c r="N402" s="592"/>
      <c r="O402" s="179"/>
      <c r="P402" s="180"/>
      <c r="Q402" s="180">
        <v>27000000</v>
      </c>
      <c r="R402" s="181">
        <f t="shared" si="113"/>
        <v>10.131332082551594</v>
      </c>
      <c r="S402" s="181">
        <v>100</v>
      </c>
      <c r="T402" s="180">
        <f t="shared" si="104"/>
        <v>0</v>
      </c>
      <c r="U402" s="180">
        <f t="shared" si="110"/>
        <v>0</v>
      </c>
      <c r="V402" s="182"/>
      <c r="W402" s="180"/>
      <c r="X402" s="180"/>
      <c r="Y402" s="180"/>
      <c r="Z402" s="180"/>
      <c r="AA402" s="180"/>
      <c r="AB402" s="180"/>
      <c r="AC402" s="180"/>
      <c r="AD402" s="180"/>
      <c r="AE402" s="180"/>
      <c r="AF402" s="180"/>
      <c r="AG402" s="180"/>
      <c r="AH402" s="180"/>
      <c r="AI402" s="180">
        <v>0</v>
      </c>
      <c r="AJ402" s="181">
        <f t="shared" si="105"/>
        <v>0</v>
      </c>
      <c r="AK402" s="180">
        <f t="shared" si="108"/>
        <v>27000000</v>
      </c>
      <c r="AL402" s="181">
        <f t="shared" si="106"/>
        <v>100</v>
      </c>
      <c r="AM402" s="243"/>
    </row>
    <row r="403" spans="1:39" ht="29.25" customHeight="1" x14ac:dyDescent="0.25">
      <c r="A403" s="243"/>
      <c r="B403" s="477"/>
      <c r="C403" s="477"/>
      <c r="D403" s="477"/>
      <c r="E403" s="477"/>
      <c r="F403" s="477"/>
      <c r="G403" s="477"/>
      <c r="H403" s="477"/>
      <c r="I403" s="478"/>
      <c r="J403" s="477" t="s">
        <v>282</v>
      </c>
      <c r="K403" s="245"/>
      <c r="L403" s="257"/>
      <c r="M403" s="591" t="s">
        <v>340</v>
      </c>
      <c r="N403" s="592"/>
      <c r="O403" s="179"/>
      <c r="P403" s="180"/>
      <c r="Q403" s="180">
        <v>5000000</v>
      </c>
      <c r="R403" s="181">
        <f t="shared" si="113"/>
        <v>1.876172607879925</v>
      </c>
      <c r="S403" s="181">
        <v>100</v>
      </c>
      <c r="T403" s="180">
        <f t="shared" si="104"/>
        <v>0</v>
      </c>
      <c r="U403" s="180">
        <f t="shared" si="110"/>
        <v>0</v>
      </c>
      <c r="V403" s="182">
        <f t="shared" si="95"/>
        <v>100</v>
      </c>
      <c r="W403" s="180"/>
      <c r="X403" s="180"/>
      <c r="Y403" s="180"/>
      <c r="Z403" s="180"/>
      <c r="AA403" s="180"/>
      <c r="AB403" s="180"/>
      <c r="AC403" s="180"/>
      <c r="AD403" s="180"/>
      <c r="AE403" s="180"/>
      <c r="AF403" s="180"/>
      <c r="AG403" s="180"/>
      <c r="AH403" s="180"/>
      <c r="AI403" s="180">
        <v>0</v>
      </c>
      <c r="AJ403" s="181">
        <f t="shared" si="105"/>
        <v>0</v>
      </c>
      <c r="AK403" s="180">
        <f t="shared" si="108"/>
        <v>5000000</v>
      </c>
      <c r="AL403" s="181">
        <f t="shared" si="106"/>
        <v>100</v>
      </c>
      <c r="AM403" s="243"/>
    </row>
    <row r="404" spans="1:39" ht="29.25" customHeight="1" x14ac:dyDescent="0.25">
      <c r="A404" s="243"/>
      <c r="B404" s="477"/>
      <c r="C404" s="477"/>
      <c r="D404" s="477"/>
      <c r="E404" s="477"/>
      <c r="F404" s="477"/>
      <c r="G404" s="477"/>
      <c r="H404" s="477"/>
      <c r="I404" s="478"/>
      <c r="J404" s="477" t="s">
        <v>308</v>
      </c>
      <c r="K404" s="245"/>
      <c r="L404" s="257"/>
      <c r="M404" s="591" t="s">
        <v>590</v>
      </c>
      <c r="N404" s="592"/>
      <c r="O404" s="179"/>
      <c r="P404" s="180"/>
      <c r="Q404" s="180">
        <v>15000000</v>
      </c>
      <c r="R404" s="181">
        <f t="shared" si="113"/>
        <v>5.6285178236397746</v>
      </c>
      <c r="S404" s="181">
        <v>100</v>
      </c>
      <c r="T404" s="180">
        <f t="shared" si="104"/>
        <v>0</v>
      </c>
      <c r="U404" s="180">
        <f t="shared" si="110"/>
        <v>0</v>
      </c>
      <c r="V404" s="182">
        <f t="shared" si="95"/>
        <v>100</v>
      </c>
      <c r="W404" s="180"/>
      <c r="X404" s="180"/>
      <c r="Y404" s="180"/>
      <c r="Z404" s="180"/>
      <c r="AA404" s="180"/>
      <c r="AB404" s="180"/>
      <c r="AC404" s="180"/>
      <c r="AD404" s="180"/>
      <c r="AE404" s="180"/>
      <c r="AF404" s="180"/>
      <c r="AG404" s="180"/>
      <c r="AH404" s="180"/>
      <c r="AI404" s="180">
        <v>0</v>
      </c>
      <c r="AJ404" s="181">
        <f t="shared" si="105"/>
        <v>0</v>
      </c>
      <c r="AK404" s="180">
        <f t="shared" si="108"/>
        <v>15000000</v>
      </c>
      <c r="AL404" s="181">
        <f t="shared" si="106"/>
        <v>100</v>
      </c>
      <c r="AM404" s="243"/>
    </row>
    <row r="405" spans="1:39" ht="29.25" customHeight="1" x14ac:dyDescent="0.25">
      <c r="A405" s="243"/>
      <c r="B405" s="477"/>
      <c r="C405" s="477"/>
      <c r="D405" s="477"/>
      <c r="E405" s="477"/>
      <c r="F405" s="477"/>
      <c r="G405" s="477"/>
      <c r="H405" s="477"/>
      <c r="I405" s="478"/>
      <c r="J405" s="477" t="s">
        <v>309</v>
      </c>
      <c r="K405" s="245"/>
      <c r="L405" s="257"/>
      <c r="M405" s="591" t="s">
        <v>321</v>
      </c>
      <c r="N405" s="592"/>
      <c r="O405" s="179"/>
      <c r="P405" s="180"/>
      <c r="Q405" s="180">
        <v>9500000</v>
      </c>
      <c r="R405" s="181">
        <f t="shared" si="113"/>
        <v>3.5647279549718571</v>
      </c>
      <c r="S405" s="181">
        <v>100</v>
      </c>
      <c r="T405" s="180">
        <f t="shared" si="104"/>
        <v>0</v>
      </c>
      <c r="U405" s="180">
        <f t="shared" si="110"/>
        <v>0</v>
      </c>
      <c r="V405" s="182">
        <f t="shared" si="95"/>
        <v>100</v>
      </c>
      <c r="W405" s="180"/>
      <c r="X405" s="180"/>
      <c r="Y405" s="180"/>
      <c r="Z405" s="180"/>
      <c r="AA405" s="180"/>
      <c r="AB405" s="180"/>
      <c r="AC405" s="180"/>
      <c r="AD405" s="180"/>
      <c r="AE405" s="180"/>
      <c r="AF405" s="180"/>
      <c r="AG405" s="180"/>
      <c r="AH405" s="180"/>
      <c r="AI405" s="180">
        <v>0</v>
      </c>
      <c r="AJ405" s="181">
        <f t="shared" si="105"/>
        <v>0</v>
      </c>
      <c r="AK405" s="180">
        <f t="shared" si="108"/>
        <v>9500000</v>
      </c>
      <c r="AL405" s="181">
        <f t="shared" si="106"/>
        <v>100</v>
      </c>
      <c r="AM405" s="243"/>
    </row>
    <row r="406" spans="1:39" ht="29.25" customHeight="1" x14ac:dyDescent="0.25">
      <c r="A406" s="243"/>
      <c r="B406" s="477"/>
      <c r="C406" s="477"/>
      <c r="D406" s="477"/>
      <c r="E406" s="477"/>
      <c r="F406" s="477"/>
      <c r="G406" s="477"/>
      <c r="H406" s="477"/>
      <c r="I406" s="478"/>
      <c r="J406" s="477" t="s">
        <v>309</v>
      </c>
      <c r="K406" s="245"/>
      <c r="L406" s="257"/>
      <c r="M406" s="591" t="s">
        <v>310</v>
      </c>
      <c r="N406" s="592"/>
      <c r="O406" s="179"/>
      <c r="P406" s="180"/>
      <c r="Q406" s="180">
        <v>200000000</v>
      </c>
      <c r="R406" s="181">
        <f t="shared" si="113"/>
        <v>75.046904315196997</v>
      </c>
      <c r="S406" s="181">
        <v>100</v>
      </c>
      <c r="T406" s="180">
        <f t="shared" si="104"/>
        <v>0</v>
      </c>
      <c r="U406" s="180">
        <f t="shared" si="110"/>
        <v>0</v>
      </c>
      <c r="V406" s="182">
        <f t="shared" si="95"/>
        <v>100</v>
      </c>
      <c r="W406" s="180"/>
      <c r="X406" s="180"/>
      <c r="Y406" s="180"/>
      <c r="Z406" s="180"/>
      <c r="AA406" s="180"/>
      <c r="AB406" s="180"/>
      <c r="AC406" s="180"/>
      <c r="AD406" s="180"/>
      <c r="AE406" s="180"/>
      <c r="AF406" s="180"/>
      <c r="AG406" s="180"/>
      <c r="AH406" s="180"/>
      <c r="AI406" s="180">
        <v>0</v>
      </c>
      <c r="AJ406" s="181">
        <f t="shared" si="105"/>
        <v>0</v>
      </c>
      <c r="AK406" s="180">
        <f t="shared" si="108"/>
        <v>200000000</v>
      </c>
      <c r="AL406" s="181">
        <f t="shared" si="106"/>
        <v>100</v>
      </c>
      <c r="AM406" s="243"/>
    </row>
    <row r="407" spans="1:39" ht="29.25" customHeight="1" x14ac:dyDescent="0.25">
      <c r="A407" s="243"/>
      <c r="B407" s="477"/>
      <c r="C407" s="477"/>
      <c r="D407" s="477"/>
      <c r="E407" s="477"/>
      <c r="F407" s="477"/>
      <c r="G407" s="477"/>
      <c r="H407" s="477"/>
      <c r="I407" s="478"/>
      <c r="J407" s="477" t="s">
        <v>407</v>
      </c>
      <c r="K407" s="245"/>
      <c r="L407" s="257"/>
      <c r="M407" s="591" t="s">
        <v>610</v>
      </c>
      <c r="N407" s="592"/>
      <c r="O407" s="179"/>
      <c r="P407" s="180"/>
      <c r="Q407" s="180">
        <v>2000000</v>
      </c>
      <c r="R407" s="181">
        <f t="shared" si="113"/>
        <v>0.75046904315196994</v>
      </c>
      <c r="S407" s="181">
        <v>100</v>
      </c>
      <c r="T407" s="180">
        <f t="shared" si="104"/>
        <v>0</v>
      </c>
      <c r="U407" s="180">
        <f t="shared" si="110"/>
        <v>0</v>
      </c>
      <c r="V407" s="182">
        <f t="shared" si="95"/>
        <v>100</v>
      </c>
      <c r="W407" s="180"/>
      <c r="X407" s="180"/>
      <c r="Y407" s="180"/>
      <c r="Z407" s="180"/>
      <c r="AA407" s="180"/>
      <c r="AB407" s="180"/>
      <c r="AC407" s="180"/>
      <c r="AD407" s="180"/>
      <c r="AE407" s="180"/>
      <c r="AF407" s="180"/>
      <c r="AG407" s="180"/>
      <c r="AH407" s="180"/>
      <c r="AI407" s="180">
        <v>0</v>
      </c>
      <c r="AJ407" s="181">
        <f t="shared" si="105"/>
        <v>0</v>
      </c>
      <c r="AK407" s="180">
        <f t="shared" si="108"/>
        <v>2000000</v>
      </c>
      <c r="AL407" s="181">
        <f t="shared" si="106"/>
        <v>100</v>
      </c>
      <c r="AM407" s="243"/>
    </row>
    <row r="408" spans="1:39" s="297" customFormat="1" ht="36" customHeight="1" x14ac:dyDescent="0.25">
      <c r="A408" s="227">
        <f>A400+1</f>
        <v>52</v>
      </c>
      <c r="B408" s="615" t="s">
        <v>151</v>
      </c>
      <c r="C408" s="615"/>
      <c r="D408" s="615"/>
      <c r="E408" s="615"/>
      <c r="F408" s="615"/>
      <c r="G408" s="615"/>
      <c r="H408" s="615"/>
      <c r="I408" s="614"/>
      <c r="J408" s="304" t="s">
        <v>498</v>
      </c>
      <c r="K408" s="230"/>
      <c r="L408" s="294"/>
      <c r="M408" s="613" t="s">
        <v>52</v>
      </c>
      <c r="N408" s="613"/>
      <c r="O408" s="309">
        <v>252956000</v>
      </c>
      <c r="P408" s="231">
        <f>O408</f>
        <v>252956000</v>
      </c>
      <c r="Q408" s="231">
        <f>SUM(Q409:Q421)</f>
        <v>394282000</v>
      </c>
      <c r="R408" s="233">
        <f>Q408/Q$35*100</f>
        <v>1.2404167461869322</v>
      </c>
      <c r="S408" s="233">
        <v>100</v>
      </c>
      <c r="T408" s="231">
        <f t="shared" si="104"/>
        <v>65.210540171755241</v>
      </c>
      <c r="U408" s="231">
        <f t="shared" si="110"/>
        <v>0.80888246056940871</v>
      </c>
      <c r="V408" s="296">
        <f t="shared" si="95"/>
        <v>34.789459828244759</v>
      </c>
      <c r="W408" s="231"/>
      <c r="X408" s="231" t="e">
        <f>#REF!</f>
        <v>#REF!</v>
      </c>
      <c r="Y408" s="231" t="e">
        <f>#REF!</f>
        <v>#REF!</v>
      </c>
      <c r="Z408" s="231" t="e">
        <f>#REF!</f>
        <v>#REF!</v>
      </c>
      <c r="AA408" s="231" t="e">
        <f>#REF!</f>
        <v>#REF!</v>
      </c>
      <c r="AB408" s="231">
        <v>58582925</v>
      </c>
      <c r="AC408" s="231" t="e">
        <f>#REF!</f>
        <v>#REF!</v>
      </c>
      <c r="AD408" s="231" t="e">
        <f>#REF!</f>
        <v>#REF!</v>
      </c>
      <c r="AE408" s="231" t="e">
        <f>#REF!</f>
        <v>#REF!</v>
      </c>
      <c r="AF408" s="231" t="e">
        <f>[1]April!N71</f>
        <v>#REF!</v>
      </c>
      <c r="AG408" s="231" t="e">
        <f>[2]april!N71</f>
        <v>#REF!</v>
      </c>
      <c r="AH408" s="231">
        <f>'[3]DES SKPD'!$N71</f>
        <v>205056925</v>
      </c>
      <c r="AI408" s="231">
        <f>SUM(AI409:AI421)</f>
        <v>257113422</v>
      </c>
      <c r="AJ408" s="233">
        <f t="shared" si="105"/>
        <v>65.210540171755241</v>
      </c>
      <c r="AK408" s="231">
        <f t="shared" si="108"/>
        <v>137168578</v>
      </c>
      <c r="AL408" s="233">
        <f t="shared" si="106"/>
        <v>34.789459828244759</v>
      </c>
      <c r="AM408" s="227"/>
    </row>
    <row r="409" spans="1:39" ht="29.25" customHeight="1" x14ac:dyDescent="0.25">
      <c r="A409" s="243"/>
      <c r="B409" s="477"/>
      <c r="C409" s="477"/>
      <c r="D409" s="477"/>
      <c r="E409" s="477"/>
      <c r="F409" s="477"/>
      <c r="G409" s="477"/>
      <c r="H409" s="477"/>
      <c r="I409" s="478"/>
      <c r="J409" s="477" t="s">
        <v>415</v>
      </c>
      <c r="K409" s="245"/>
      <c r="L409" s="257"/>
      <c r="M409" s="604" t="s">
        <v>260</v>
      </c>
      <c r="N409" s="592"/>
      <c r="O409" s="179"/>
      <c r="P409" s="180"/>
      <c r="Q409" s="180">
        <v>2400000</v>
      </c>
      <c r="R409" s="181">
        <f>Q409/Q$408*100</f>
        <v>0.60870138631740733</v>
      </c>
      <c r="S409" s="181">
        <v>100</v>
      </c>
      <c r="T409" s="180">
        <f t="shared" si="104"/>
        <v>66.666666666666657</v>
      </c>
      <c r="U409" s="180">
        <f t="shared" si="110"/>
        <v>0.40580092421160485</v>
      </c>
      <c r="V409" s="182">
        <f t="shared" si="95"/>
        <v>33.333333333333343</v>
      </c>
      <c r="W409" s="180"/>
      <c r="X409" s="180"/>
      <c r="Y409" s="180"/>
      <c r="Z409" s="180"/>
      <c r="AA409" s="180"/>
      <c r="AB409" s="180"/>
      <c r="AC409" s="180"/>
      <c r="AD409" s="180"/>
      <c r="AE409" s="180"/>
      <c r="AF409" s="180"/>
      <c r="AG409" s="180"/>
      <c r="AH409" s="180"/>
      <c r="AI409" s="180">
        <f>800000+800000</f>
        <v>1600000</v>
      </c>
      <c r="AJ409" s="181">
        <f t="shared" ref="AJ409:AJ473" si="114">AI409/Q409*100</f>
        <v>66.666666666666657</v>
      </c>
      <c r="AK409" s="180">
        <f t="shared" si="108"/>
        <v>800000</v>
      </c>
      <c r="AL409" s="181">
        <f t="shared" ref="AL409:AL473" si="115">AK409/Q409*100</f>
        <v>33.333333333333329</v>
      </c>
      <c r="AM409" s="243"/>
    </row>
    <row r="410" spans="1:39" ht="29.25" customHeight="1" x14ac:dyDescent="0.25">
      <c r="A410" s="243"/>
      <c r="B410" s="477"/>
      <c r="C410" s="477"/>
      <c r="D410" s="477"/>
      <c r="E410" s="477"/>
      <c r="F410" s="477"/>
      <c r="G410" s="477"/>
      <c r="H410" s="477"/>
      <c r="I410" s="478"/>
      <c r="J410" s="477" t="s">
        <v>326</v>
      </c>
      <c r="K410" s="245"/>
      <c r="L410" s="257"/>
      <c r="M410" s="604" t="s">
        <v>327</v>
      </c>
      <c r="N410" s="592"/>
      <c r="O410" s="179"/>
      <c r="P410" s="180"/>
      <c r="Q410" s="180">
        <v>32800000</v>
      </c>
      <c r="R410" s="181">
        <f t="shared" ref="R410:R421" si="116">Q410/Q$408*100</f>
        <v>8.3189189463379005</v>
      </c>
      <c r="S410" s="181">
        <v>100</v>
      </c>
      <c r="T410" s="180">
        <f t="shared" si="104"/>
        <v>46.341463414634148</v>
      </c>
      <c r="U410" s="180">
        <f t="shared" si="110"/>
        <v>3.8551087800102466</v>
      </c>
      <c r="V410" s="182">
        <f t="shared" si="95"/>
        <v>53.658536585365852</v>
      </c>
      <c r="W410" s="180"/>
      <c r="X410" s="180"/>
      <c r="Y410" s="180"/>
      <c r="Z410" s="180"/>
      <c r="AA410" s="180"/>
      <c r="AB410" s="180"/>
      <c r="AC410" s="180"/>
      <c r="AD410" s="180"/>
      <c r="AE410" s="180"/>
      <c r="AF410" s="180"/>
      <c r="AG410" s="180"/>
      <c r="AH410" s="180"/>
      <c r="AI410" s="180">
        <v>15200000</v>
      </c>
      <c r="AJ410" s="181">
        <f t="shared" si="114"/>
        <v>46.341463414634148</v>
      </c>
      <c r="AK410" s="180">
        <f t="shared" si="108"/>
        <v>17600000</v>
      </c>
      <c r="AL410" s="181">
        <f t="shared" si="115"/>
        <v>53.658536585365859</v>
      </c>
      <c r="AM410" s="243"/>
    </row>
    <row r="411" spans="1:39" ht="29.25" customHeight="1" x14ac:dyDescent="0.25">
      <c r="A411" s="243"/>
      <c r="B411" s="477"/>
      <c r="C411" s="477"/>
      <c r="D411" s="477"/>
      <c r="E411" s="477"/>
      <c r="F411" s="477"/>
      <c r="G411" s="477"/>
      <c r="H411" s="477"/>
      <c r="I411" s="478"/>
      <c r="J411" s="477" t="s">
        <v>347</v>
      </c>
      <c r="K411" s="245"/>
      <c r="L411" s="257"/>
      <c r="M411" s="604" t="s">
        <v>348</v>
      </c>
      <c r="N411" s="592"/>
      <c r="O411" s="179"/>
      <c r="P411" s="180"/>
      <c r="Q411" s="180">
        <v>27800000</v>
      </c>
      <c r="R411" s="181">
        <f t="shared" si="116"/>
        <v>7.0507910581766353</v>
      </c>
      <c r="S411" s="181">
        <v>100</v>
      </c>
      <c r="T411" s="180">
        <f t="shared" si="104"/>
        <v>41.906474820143885</v>
      </c>
      <c r="U411" s="180">
        <f t="shared" si="110"/>
        <v>2.9547379794157482</v>
      </c>
      <c r="V411" s="182">
        <f t="shared" si="95"/>
        <v>58.093525179856115</v>
      </c>
      <c r="W411" s="180"/>
      <c r="X411" s="180"/>
      <c r="Y411" s="180"/>
      <c r="Z411" s="180"/>
      <c r="AA411" s="180"/>
      <c r="AB411" s="180"/>
      <c r="AC411" s="180"/>
      <c r="AD411" s="180"/>
      <c r="AE411" s="180"/>
      <c r="AF411" s="180"/>
      <c r="AG411" s="180"/>
      <c r="AH411" s="180"/>
      <c r="AI411" s="180">
        <v>11650000</v>
      </c>
      <c r="AJ411" s="181">
        <f t="shared" si="114"/>
        <v>41.906474820143885</v>
      </c>
      <c r="AK411" s="180">
        <f t="shared" si="108"/>
        <v>16150000</v>
      </c>
      <c r="AL411" s="181">
        <f t="shared" si="115"/>
        <v>58.093525179856123</v>
      </c>
      <c r="AM411" s="243"/>
    </row>
    <row r="412" spans="1:39" ht="29.25" customHeight="1" x14ac:dyDescent="0.25">
      <c r="A412" s="243"/>
      <c r="B412" s="477"/>
      <c r="C412" s="477"/>
      <c r="D412" s="477"/>
      <c r="E412" s="477"/>
      <c r="F412" s="477"/>
      <c r="G412" s="477"/>
      <c r="H412" s="477"/>
      <c r="I412" s="478"/>
      <c r="J412" s="477" t="s">
        <v>323</v>
      </c>
      <c r="K412" s="245"/>
      <c r="L412" s="257"/>
      <c r="M412" s="604" t="s">
        <v>324</v>
      </c>
      <c r="N412" s="592"/>
      <c r="O412" s="179"/>
      <c r="P412" s="180"/>
      <c r="Q412" s="180">
        <v>35352000</v>
      </c>
      <c r="R412" s="181">
        <f t="shared" si="116"/>
        <v>8.9661714204554102</v>
      </c>
      <c r="S412" s="181">
        <v>100</v>
      </c>
      <c r="T412" s="180">
        <f t="shared" si="104"/>
        <v>45.530663045937999</v>
      </c>
      <c r="U412" s="180">
        <f t="shared" si="110"/>
        <v>4.0823572975687457</v>
      </c>
      <c r="V412" s="182">
        <f t="shared" si="95"/>
        <v>54.469336954062001</v>
      </c>
      <c r="W412" s="180"/>
      <c r="X412" s="180"/>
      <c r="Y412" s="180"/>
      <c r="Z412" s="180"/>
      <c r="AA412" s="180"/>
      <c r="AB412" s="180"/>
      <c r="AC412" s="180"/>
      <c r="AD412" s="180"/>
      <c r="AE412" s="180"/>
      <c r="AF412" s="180"/>
      <c r="AG412" s="180"/>
      <c r="AH412" s="180"/>
      <c r="AI412" s="180">
        <f>3492000+1746000+5386000+5472000</f>
        <v>16096000</v>
      </c>
      <c r="AJ412" s="181">
        <f t="shared" si="114"/>
        <v>45.530663045937999</v>
      </c>
      <c r="AK412" s="180">
        <f t="shared" si="108"/>
        <v>19256000</v>
      </c>
      <c r="AL412" s="181">
        <f t="shared" si="115"/>
        <v>54.469336954062008</v>
      </c>
      <c r="AM412" s="243"/>
    </row>
    <row r="413" spans="1:39" ht="29.25" customHeight="1" x14ac:dyDescent="0.25">
      <c r="A413" s="243"/>
      <c r="B413" s="477"/>
      <c r="C413" s="477"/>
      <c r="D413" s="477"/>
      <c r="E413" s="477"/>
      <c r="F413" s="477"/>
      <c r="G413" s="477"/>
      <c r="H413" s="477"/>
      <c r="I413" s="478"/>
      <c r="J413" s="477" t="s">
        <v>269</v>
      </c>
      <c r="K413" s="245"/>
      <c r="L413" s="257"/>
      <c r="M413" s="604" t="s">
        <v>270</v>
      </c>
      <c r="N413" s="592"/>
      <c r="O413" s="179"/>
      <c r="P413" s="180"/>
      <c r="Q413" s="180">
        <v>16330000</v>
      </c>
      <c r="R413" s="181">
        <f t="shared" si="116"/>
        <v>4.1417056827346919</v>
      </c>
      <c r="S413" s="181">
        <v>100</v>
      </c>
      <c r="T413" s="180">
        <f t="shared" si="104"/>
        <v>57.287201469687687</v>
      </c>
      <c r="U413" s="180">
        <f t="shared" si="110"/>
        <v>2.3726672787497267</v>
      </c>
      <c r="V413" s="182">
        <f t="shared" si="95"/>
        <v>42.712798530312313</v>
      </c>
      <c r="W413" s="180"/>
      <c r="X413" s="180"/>
      <c r="Y413" s="180"/>
      <c r="Z413" s="180"/>
      <c r="AA413" s="180"/>
      <c r="AB413" s="180"/>
      <c r="AC413" s="180"/>
      <c r="AD413" s="180"/>
      <c r="AE413" s="180"/>
      <c r="AF413" s="180"/>
      <c r="AG413" s="180"/>
      <c r="AH413" s="180"/>
      <c r="AI413" s="180">
        <f>2380000+1190000+2830000+2955000</f>
        <v>9355000</v>
      </c>
      <c r="AJ413" s="181">
        <f t="shared" si="114"/>
        <v>57.287201469687687</v>
      </c>
      <c r="AK413" s="180">
        <f t="shared" si="108"/>
        <v>6975000</v>
      </c>
      <c r="AL413" s="181">
        <f t="shared" si="115"/>
        <v>42.712798530312305</v>
      </c>
      <c r="AM413" s="243"/>
    </row>
    <row r="414" spans="1:39" ht="29.25" customHeight="1" x14ac:dyDescent="0.25">
      <c r="A414" s="243"/>
      <c r="B414" s="477"/>
      <c r="C414" s="477"/>
      <c r="D414" s="477"/>
      <c r="E414" s="477"/>
      <c r="F414" s="477"/>
      <c r="G414" s="477"/>
      <c r="H414" s="477"/>
      <c r="I414" s="478"/>
      <c r="J414" s="477" t="s">
        <v>315</v>
      </c>
      <c r="K414" s="245"/>
      <c r="L414" s="257"/>
      <c r="M414" s="604" t="s">
        <v>271</v>
      </c>
      <c r="N414" s="592"/>
      <c r="O414" s="179"/>
      <c r="P414" s="180"/>
      <c r="Q414" s="180">
        <v>21000000</v>
      </c>
      <c r="R414" s="181">
        <f t="shared" si="116"/>
        <v>5.3261371302773144</v>
      </c>
      <c r="S414" s="181">
        <v>100</v>
      </c>
      <c r="T414" s="180">
        <f t="shared" ref="T414:T625" si="117">AJ414</f>
        <v>58.333333333333336</v>
      </c>
      <c r="U414" s="180">
        <f t="shared" si="110"/>
        <v>3.1069133259951003</v>
      </c>
      <c r="V414" s="182">
        <f t="shared" si="95"/>
        <v>41.666666666666664</v>
      </c>
      <c r="W414" s="180"/>
      <c r="X414" s="180"/>
      <c r="Y414" s="180"/>
      <c r="Z414" s="180"/>
      <c r="AA414" s="180"/>
      <c r="AB414" s="180"/>
      <c r="AC414" s="180"/>
      <c r="AD414" s="180"/>
      <c r="AE414" s="180"/>
      <c r="AF414" s="180"/>
      <c r="AG414" s="180"/>
      <c r="AH414" s="180"/>
      <c r="AI414" s="180">
        <f>3500000+1750000+3500000+3500000</f>
        <v>12250000</v>
      </c>
      <c r="AJ414" s="181">
        <f t="shared" si="114"/>
        <v>58.333333333333336</v>
      </c>
      <c r="AK414" s="180">
        <f t="shared" si="108"/>
        <v>8750000</v>
      </c>
      <c r="AL414" s="181">
        <f t="shared" si="115"/>
        <v>41.666666666666671</v>
      </c>
      <c r="AM414" s="243"/>
    </row>
    <row r="415" spans="1:39" ht="29.25" customHeight="1" x14ac:dyDescent="0.25">
      <c r="A415" s="243"/>
      <c r="B415" s="477"/>
      <c r="C415" s="477"/>
      <c r="D415" s="477"/>
      <c r="E415" s="477"/>
      <c r="F415" s="477"/>
      <c r="G415" s="477"/>
      <c r="H415" s="477"/>
      <c r="I415" s="478"/>
      <c r="J415" s="477" t="s">
        <v>316</v>
      </c>
      <c r="K415" s="245"/>
      <c r="L415" s="257"/>
      <c r="M415" s="604" t="s">
        <v>317</v>
      </c>
      <c r="N415" s="592"/>
      <c r="O415" s="179"/>
      <c r="P415" s="180"/>
      <c r="Q415" s="180">
        <v>900000</v>
      </c>
      <c r="R415" s="181">
        <f t="shared" si="116"/>
        <v>0.22826301986902778</v>
      </c>
      <c r="S415" s="181">
        <v>100</v>
      </c>
      <c r="T415" s="180">
        <f t="shared" si="117"/>
        <v>66.666666666666657</v>
      </c>
      <c r="U415" s="180">
        <f t="shared" si="110"/>
        <v>0.15217534657935183</v>
      </c>
      <c r="V415" s="182">
        <f t="shared" si="95"/>
        <v>33.333333333333343</v>
      </c>
      <c r="W415" s="180"/>
      <c r="X415" s="180"/>
      <c r="Y415" s="180"/>
      <c r="Z415" s="180"/>
      <c r="AA415" s="180"/>
      <c r="AB415" s="180"/>
      <c r="AC415" s="180"/>
      <c r="AD415" s="180"/>
      <c r="AE415" s="180"/>
      <c r="AF415" s="180"/>
      <c r="AG415" s="180"/>
      <c r="AH415" s="180"/>
      <c r="AI415" s="180">
        <f>300000+300000</f>
        <v>600000</v>
      </c>
      <c r="AJ415" s="181">
        <f t="shared" si="114"/>
        <v>66.666666666666657</v>
      </c>
      <c r="AK415" s="180">
        <f t="shared" si="108"/>
        <v>300000</v>
      </c>
      <c r="AL415" s="181">
        <f t="shared" si="115"/>
        <v>33.333333333333329</v>
      </c>
      <c r="AM415" s="243"/>
    </row>
    <row r="416" spans="1:39" ht="29.25" customHeight="1" x14ac:dyDescent="0.25">
      <c r="A416" s="243"/>
      <c r="B416" s="477"/>
      <c r="C416" s="477"/>
      <c r="D416" s="477"/>
      <c r="E416" s="477"/>
      <c r="F416" s="477"/>
      <c r="G416" s="477"/>
      <c r="H416" s="477"/>
      <c r="I416" s="478"/>
      <c r="J416" s="477" t="s">
        <v>318</v>
      </c>
      <c r="K416" s="245"/>
      <c r="L416" s="257"/>
      <c r="M416" s="604" t="s">
        <v>319</v>
      </c>
      <c r="N416" s="592"/>
      <c r="O416" s="179"/>
      <c r="P416" s="180"/>
      <c r="Q416" s="180">
        <v>109500000</v>
      </c>
      <c r="R416" s="181">
        <f t="shared" si="116"/>
        <v>27.772000750731713</v>
      </c>
      <c r="S416" s="181">
        <v>100</v>
      </c>
      <c r="T416" s="180">
        <f t="shared" si="117"/>
        <v>85.61643835616438</v>
      </c>
      <c r="U416" s="180">
        <f t="shared" si="110"/>
        <v>23.777397903023726</v>
      </c>
      <c r="V416" s="182">
        <f t="shared" si="95"/>
        <v>14.38356164383562</v>
      </c>
      <c r="W416" s="180"/>
      <c r="X416" s="180"/>
      <c r="Y416" s="180"/>
      <c r="Z416" s="180"/>
      <c r="AA416" s="180"/>
      <c r="AB416" s="180"/>
      <c r="AC416" s="180"/>
      <c r="AD416" s="180"/>
      <c r="AE416" s="180"/>
      <c r="AF416" s="180"/>
      <c r="AG416" s="180"/>
      <c r="AH416" s="180"/>
      <c r="AI416" s="180">
        <f>78000000+15750000</f>
        <v>93750000</v>
      </c>
      <c r="AJ416" s="181">
        <f t="shared" si="114"/>
        <v>85.61643835616438</v>
      </c>
      <c r="AK416" s="180">
        <f t="shared" si="108"/>
        <v>15750000</v>
      </c>
      <c r="AL416" s="181">
        <f t="shared" si="115"/>
        <v>14.383561643835616</v>
      </c>
      <c r="AM416" s="243"/>
    </row>
    <row r="417" spans="1:39" ht="29.25" customHeight="1" x14ac:dyDescent="0.25">
      <c r="A417" s="243"/>
      <c r="B417" s="477"/>
      <c r="C417" s="477"/>
      <c r="D417" s="477"/>
      <c r="E417" s="477"/>
      <c r="F417" s="477"/>
      <c r="G417" s="477"/>
      <c r="H417" s="477"/>
      <c r="I417" s="478"/>
      <c r="J417" s="477" t="s">
        <v>284</v>
      </c>
      <c r="K417" s="245"/>
      <c r="L417" s="257"/>
      <c r="M417" s="604" t="s">
        <v>285</v>
      </c>
      <c r="N417" s="592"/>
      <c r="O417" s="179"/>
      <c r="P417" s="180"/>
      <c r="Q417" s="180">
        <v>25000000</v>
      </c>
      <c r="R417" s="181">
        <f t="shared" si="116"/>
        <v>6.3406394408063269</v>
      </c>
      <c r="S417" s="181">
        <v>100</v>
      </c>
      <c r="T417" s="180">
        <f t="shared" si="117"/>
        <v>56.76</v>
      </c>
      <c r="U417" s="180">
        <f t="shared" si="110"/>
        <v>3.598946946601671</v>
      </c>
      <c r="V417" s="182">
        <f t="shared" si="95"/>
        <v>43.24</v>
      </c>
      <c r="W417" s="180"/>
      <c r="X417" s="180"/>
      <c r="Y417" s="180"/>
      <c r="Z417" s="180"/>
      <c r="AA417" s="180"/>
      <c r="AB417" s="180"/>
      <c r="AC417" s="180"/>
      <c r="AD417" s="180"/>
      <c r="AE417" s="180"/>
      <c r="AF417" s="180"/>
      <c r="AG417" s="180"/>
      <c r="AH417" s="180"/>
      <c r="AI417" s="180">
        <f>4180000+1960000+4100000+3950000</f>
        <v>14190000</v>
      </c>
      <c r="AJ417" s="181">
        <f t="shared" si="114"/>
        <v>56.76</v>
      </c>
      <c r="AK417" s="180">
        <f t="shared" si="108"/>
        <v>10810000</v>
      </c>
      <c r="AL417" s="181">
        <f t="shared" si="115"/>
        <v>43.24</v>
      </c>
      <c r="AM417" s="243"/>
    </row>
    <row r="418" spans="1:39" ht="29.25" customHeight="1" x14ac:dyDescent="0.25">
      <c r="A418" s="243"/>
      <c r="B418" s="477"/>
      <c r="C418" s="477"/>
      <c r="D418" s="477"/>
      <c r="E418" s="477"/>
      <c r="F418" s="477"/>
      <c r="G418" s="477"/>
      <c r="H418" s="477"/>
      <c r="I418" s="478"/>
      <c r="J418" s="477" t="s">
        <v>282</v>
      </c>
      <c r="K418" s="245"/>
      <c r="L418" s="257"/>
      <c r="M418" s="604" t="s">
        <v>283</v>
      </c>
      <c r="N418" s="592"/>
      <c r="O418" s="179"/>
      <c r="P418" s="180"/>
      <c r="Q418" s="180">
        <v>74100000</v>
      </c>
      <c r="R418" s="181">
        <f t="shared" si="116"/>
        <v>18.793655302549954</v>
      </c>
      <c r="S418" s="181">
        <v>100</v>
      </c>
      <c r="T418" s="180">
        <f t="shared" si="117"/>
        <v>75.873713900134959</v>
      </c>
      <c r="U418" s="180">
        <f t="shared" si="110"/>
        <v>14.259444255634296</v>
      </c>
      <c r="V418" s="182">
        <f t="shared" si="95"/>
        <v>24.126286099865041</v>
      </c>
      <c r="W418" s="180"/>
      <c r="X418" s="180"/>
      <c r="Y418" s="180"/>
      <c r="Z418" s="180"/>
      <c r="AA418" s="180"/>
      <c r="AB418" s="180"/>
      <c r="AC418" s="180"/>
      <c r="AD418" s="180"/>
      <c r="AE418" s="180"/>
      <c r="AF418" s="180"/>
      <c r="AG418" s="180"/>
      <c r="AH418" s="180"/>
      <c r="AI418" s="180">
        <f>14996000+33792152+4493975+2940295</f>
        <v>56222422</v>
      </c>
      <c r="AJ418" s="181">
        <f t="shared" si="114"/>
        <v>75.873713900134959</v>
      </c>
      <c r="AK418" s="180">
        <f t="shared" si="108"/>
        <v>17877578</v>
      </c>
      <c r="AL418" s="181">
        <f t="shared" si="115"/>
        <v>24.126286099865048</v>
      </c>
      <c r="AM418" s="243"/>
    </row>
    <row r="419" spans="1:39" ht="29.25" customHeight="1" x14ac:dyDescent="0.25">
      <c r="A419" s="243"/>
      <c r="B419" s="477"/>
      <c r="C419" s="477"/>
      <c r="D419" s="477"/>
      <c r="E419" s="477"/>
      <c r="F419" s="477"/>
      <c r="G419" s="477"/>
      <c r="H419" s="477"/>
      <c r="I419" s="478"/>
      <c r="J419" s="477" t="s">
        <v>320</v>
      </c>
      <c r="K419" s="245"/>
      <c r="L419" s="257"/>
      <c r="M419" s="604" t="s">
        <v>321</v>
      </c>
      <c r="N419" s="592"/>
      <c r="O419" s="179"/>
      <c r="P419" s="180"/>
      <c r="Q419" s="180">
        <v>26600000</v>
      </c>
      <c r="R419" s="181">
        <f t="shared" si="116"/>
        <v>6.7464403650179321</v>
      </c>
      <c r="S419" s="181">
        <v>100</v>
      </c>
      <c r="T419" s="180">
        <f t="shared" si="117"/>
        <v>59.774436090225571</v>
      </c>
      <c r="U419" s="180">
        <f t="shared" si="110"/>
        <v>4.0326466843528239</v>
      </c>
      <c r="V419" s="182">
        <f t="shared" si="95"/>
        <v>40.225563909774429</v>
      </c>
      <c r="W419" s="180"/>
      <c r="X419" s="180"/>
      <c r="Y419" s="180"/>
      <c r="Z419" s="180"/>
      <c r="AA419" s="180"/>
      <c r="AB419" s="180"/>
      <c r="AC419" s="180"/>
      <c r="AD419" s="180"/>
      <c r="AE419" s="180"/>
      <c r="AF419" s="180"/>
      <c r="AG419" s="180"/>
      <c r="AH419" s="180"/>
      <c r="AI419" s="180">
        <f>7100000+8800000</f>
        <v>15900000</v>
      </c>
      <c r="AJ419" s="181">
        <f t="shared" si="114"/>
        <v>59.774436090225571</v>
      </c>
      <c r="AK419" s="180">
        <f t="shared" si="108"/>
        <v>10700000</v>
      </c>
      <c r="AL419" s="181">
        <f t="shared" si="115"/>
        <v>40.225563909774436</v>
      </c>
      <c r="AM419" s="243"/>
    </row>
    <row r="420" spans="1:39" ht="29.25" customHeight="1" x14ac:dyDescent="0.25">
      <c r="A420" s="243"/>
      <c r="B420" s="477"/>
      <c r="C420" s="477"/>
      <c r="D420" s="477"/>
      <c r="E420" s="477"/>
      <c r="F420" s="477"/>
      <c r="G420" s="477"/>
      <c r="H420" s="477"/>
      <c r="I420" s="478"/>
      <c r="J420" s="477" t="s">
        <v>309</v>
      </c>
      <c r="K420" s="245"/>
      <c r="L420" s="257"/>
      <c r="M420" s="604" t="s">
        <v>611</v>
      </c>
      <c r="N420" s="592"/>
      <c r="O420" s="179"/>
      <c r="P420" s="180"/>
      <c r="Q420" s="180">
        <v>12900000</v>
      </c>
      <c r="R420" s="181">
        <f t="shared" si="116"/>
        <v>3.2717699514560645</v>
      </c>
      <c r="S420" s="181">
        <v>100</v>
      </c>
      <c r="T420" s="180">
        <f t="shared" si="117"/>
        <v>36.434108527131784</v>
      </c>
      <c r="U420" s="180">
        <f t="shared" si="110"/>
        <v>1.1920402148715894</v>
      </c>
      <c r="V420" s="182">
        <f t="shared" si="95"/>
        <v>63.565891472868216</v>
      </c>
      <c r="W420" s="180"/>
      <c r="X420" s="180"/>
      <c r="Y420" s="180"/>
      <c r="Z420" s="180"/>
      <c r="AA420" s="180"/>
      <c r="AB420" s="180"/>
      <c r="AC420" s="180"/>
      <c r="AD420" s="180"/>
      <c r="AE420" s="180"/>
      <c r="AF420" s="180"/>
      <c r="AG420" s="180"/>
      <c r="AH420" s="180"/>
      <c r="AI420" s="180">
        <f>4450000+250000</f>
        <v>4700000</v>
      </c>
      <c r="AJ420" s="181">
        <f t="shared" si="114"/>
        <v>36.434108527131784</v>
      </c>
      <c r="AK420" s="180">
        <f t="shared" si="108"/>
        <v>8200000</v>
      </c>
      <c r="AL420" s="181">
        <f t="shared" si="115"/>
        <v>63.565891472868216</v>
      </c>
      <c r="AM420" s="243"/>
    </row>
    <row r="421" spans="1:39" ht="29.25" customHeight="1" x14ac:dyDescent="0.25">
      <c r="A421" s="243"/>
      <c r="B421" s="477"/>
      <c r="C421" s="477"/>
      <c r="D421" s="477"/>
      <c r="E421" s="477"/>
      <c r="F421" s="477"/>
      <c r="G421" s="477"/>
      <c r="H421" s="477"/>
      <c r="I421" s="478"/>
      <c r="J421" s="477" t="s">
        <v>551</v>
      </c>
      <c r="K421" s="245"/>
      <c r="L421" s="257"/>
      <c r="M421" s="604" t="s">
        <v>550</v>
      </c>
      <c r="N421" s="592"/>
      <c r="O421" s="179"/>
      <c r="P421" s="180"/>
      <c r="Q421" s="180">
        <v>9600000</v>
      </c>
      <c r="R421" s="181">
        <f t="shared" si="116"/>
        <v>2.4348055452696293</v>
      </c>
      <c r="S421" s="181"/>
      <c r="T421" s="180">
        <f t="shared" si="117"/>
        <v>58.333333333333336</v>
      </c>
      <c r="U421" s="180">
        <f t="shared" si="110"/>
        <v>1.420303234740617</v>
      </c>
      <c r="V421" s="182"/>
      <c r="W421" s="180"/>
      <c r="X421" s="180"/>
      <c r="Y421" s="180"/>
      <c r="Z421" s="180"/>
      <c r="AA421" s="180"/>
      <c r="AB421" s="180"/>
      <c r="AC421" s="180"/>
      <c r="AD421" s="180"/>
      <c r="AE421" s="180"/>
      <c r="AF421" s="180"/>
      <c r="AG421" s="180"/>
      <c r="AH421" s="180"/>
      <c r="AI421" s="180">
        <f>1600000+800000+800000+800000+800000+800000</f>
        <v>5600000</v>
      </c>
      <c r="AJ421" s="181">
        <f t="shared" si="114"/>
        <v>58.333333333333336</v>
      </c>
      <c r="AK421" s="180">
        <f t="shared" si="108"/>
        <v>4000000</v>
      </c>
      <c r="AL421" s="181">
        <f t="shared" si="115"/>
        <v>41.666666666666671</v>
      </c>
      <c r="AM421" s="243"/>
    </row>
    <row r="422" spans="1:39" ht="29.25" customHeight="1" x14ac:dyDescent="0.25">
      <c r="A422" s="227">
        <v>53</v>
      </c>
      <c r="B422" s="477"/>
      <c r="C422" s="477"/>
      <c r="D422" s="477"/>
      <c r="E422" s="477"/>
      <c r="F422" s="477"/>
      <c r="G422" s="477"/>
      <c r="H422" s="477"/>
      <c r="I422" s="478"/>
      <c r="J422" s="304" t="s">
        <v>499</v>
      </c>
      <c r="K422" s="230"/>
      <c r="L422" s="294"/>
      <c r="M422" s="613" t="s">
        <v>500</v>
      </c>
      <c r="N422" s="613"/>
      <c r="O422" s="309">
        <v>252956000</v>
      </c>
      <c r="P422" s="231">
        <f>O422</f>
        <v>252956000</v>
      </c>
      <c r="Q422" s="231">
        <f>SUM(Q423:Q424)</f>
        <v>418500000</v>
      </c>
      <c r="R422" s="233">
        <f>Q422/Q$248*100</f>
        <v>3.5085969787315476</v>
      </c>
      <c r="S422" s="233">
        <v>100</v>
      </c>
      <c r="T422" s="231">
        <f t="shared" si="117"/>
        <v>35.121350059737154</v>
      </c>
      <c r="U422" s="231">
        <f t="shared" si="110"/>
        <v>1.2322666270856684</v>
      </c>
      <c r="V422" s="296">
        <f t="shared" ref="V422:V424" si="118">S422-T422</f>
        <v>64.878649940262846</v>
      </c>
      <c r="W422" s="231"/>
      <c r="X422" s="231" t="e">
        <f>#REF!</f>
        <v>#REF!</v>
      </c>
      <c r="Y422" s="231" t="e">
        <f>#REF!</f>
        <v>#REF!</v>
      </c>
      <c r="Z422" s="231" t="e">
        <f>#REF!</f>
        <v>#REF!</v>
      </c>
      <c r="AA422" s="231" t="e">
        <f>#REF!</f>
        <v>#REF!</v>
      </c>
      <c r="AB422" s="231">
        <v>58582925</v>
      </c>
      <c r="AC422" s="231" t="e">
        <f>#REF!</f>
        <v>#REF!</v>
      </c>
      <c r="AD422" s="231" t="e">
        <f>#REF!</f>
        <v>#REF!</v>
      </c>
      <c r="AE422" s="231" t="e">
        <f>#REF!</f>
        <v>#REF!</v>
      </c>
      <c r="AF422" s="231" t="e">
        <f>[1]April!N86</f>
        <v>#REF!</v>
      </c>
      <c r="AG422" s="231" t="e">
        <f>[2]april!N86</f>
        <v>#REF!</v>
      </c>
      <c r="AH422" s="231">
        <f>'[3]DES SKPD'!$N86</f>
        <v>126710000</v>
      </c>
      <c r="AI422" s="231">
        <f>SUM(AI423:AI424)</f>
        <v>146982850</v>
      </c>
      <c r="AJ422" s="233">
        <f t="shared" si="114"/>
        <v>35.121350059737154</v>
      </c>
      <c r="AK422" s="231">
        <f t="shared" si="108"/>
        <v>271517150</v>
      </c>
      <c r="AL422" s="233">
        <f t="shared" si="115"/>
        <v>64.878649940262846</v>
      </c>
      <c r="AM422" s="243"/>
    </row>
    <row r="423" spans="1:39" ht="29.25" customHeight="1" x14ac:dyDescent="0.25">
      <c r="A423" s="243"/>
      <c r="B423" s="477"/>
      <c r="C423" s="477"/>
      <c r="D423" s="477"/>
      <c r="E423" s="477"/>
      <c r="F423" s="477"/>
      <c r="G423" s="477"/>
      <c r="H423" s="477"/>
      <c r="I423" s="478"/>
      <c r="J423" s="477" t="s">
        <v>537</v>
      </c>
      <c r="K423" s="245"/>
      <c r="L423" s="257"/>
      <c r="M423" s="604" t="s">
        <v>605</v>
      </c>
      <c r="N423" s="592"/>
      <c r="O423" s="179"/>
      <c r="P423" s="180"/>
      <c r="Q423" s="180">
        <v>38500000</v>
      </c>
      <c r="R423" s="181">
        <f t="shared" ref="R423:R424" si="119">Q423/Q$422*100</f>
        <v>9.1995221027479097</v>
      </c>
      <c r="S423" s="181">
        <v>100</v>
      </c>
      <c r="T423" s="180">
        <f t="shared" si="117"/>
        <v>22.493506493506494</v>
      </c>
      <c r="U423" s="180">
        <f t="shared" si="110"/>
        <v>2.0692951015531662</v>
      </c>
      <c r="V423" s="182">
        <f t="shared" si="118"/>
        <v>77.506493506493513</v>
      </c>
      <c r="W423" s="180"/>
      <c r="X423" s="180"/>
      <c r="Y423" s="180"/>
      <c r="Z423" s="180"/>
      <c r="AA423" s="180"/>
      <c r="AB423" s="180"/>
      <c r="AC423" s="180"/>
      <c r="AD423" s="180"/>
      <c r="AE423" s="180"/>
      <c r="AF423" s="180"/>
      <c r="AG423" s="180"/>
      <c r="AH423" s="180"/>
      <c r="AI423" s="180">
        <f>8000000+660000</f>
        <v>8660000</v>
      </c>
      <c r="AJ423" s="181">
        <f t="shared" si="114"/>
        <v>22.493506493506494</v>
      </c>
      <c r="AK423" s="180">
        <f t="shared" si="108"/>
        <v>29840000</v>
      </c>
      <c r="AL423" s="181">
        <f t="shared" si="115"/>
        <v>77.506493506493499</v>
      </c>
      <c r="AM423" s="243"/>
    </row>
    <row r="424" spans="1:39" ht="29.25" customHeight="1" x14ac:dyDescent="0.25">
      <c r="A424" s="243"/>
      <c r="B424" s="477"/>
      <c r="C424" s="477"/>
      <c r="D424" s="477"/>
      <c r="E424" s="477"/>
      <c r="F424" s="477"/>
      <c r="G424" s="477"/>
      <c r="H424" s="477"/>
      <c r="I424" s="478"/>
      <c r="J424" s="477" t="s">
        <v>415</v>
      </c>
      <c r="K424" s="245"/>
      <c r="L424" s="257"/>
      <c r="M424" s="604" t="s">
        <v>303</v>
      </c>
      <c r="N424" s="592"/>
      <c r="O424" s="179"/>
      <c r="P424" s="180"/>
      <c r="Q424" s="180">
        <v>380000000</v>
      </c>
      <c r="R424" s="181">
        <f t="shared" si="119"/>
        <v>90.80047789725208</v>
      </c>
      <c r="S424" s="181">
        <v>100</v>
      </c>
      <c r="T424" s="180">
        <f t="shared" si="117"/>
        <v>36.400749999999995</v>
      </c>
      <c r="U424" s="180">
        <f t="shared" si="110"/>
        <v>33.05205495818398</v>
      </c>
      <c r="V424" s="182">
        <f t="shared" si="118"/>
        <v>63.599250000000005</v>
      </c>
      <c r="W424" s="180"/>
      <c r="X424" s="180"/>
      <c r="Y424" s="180"/>
      <c r="Z424" s="180"/>
      <c r="AA424" s="180"/>
      <c r="AB424" s="180"/>
      <c r="AC424" s="180"/>
      <c r="AD424" s="180"/>
      <c r="AE424" s="180"/>
      <c r="AF424" s="180"/>
      <c r="AG424" s="180"/>
      <c r="AH424" s="180"/>
      <c r="AI424" s="180">
        <v>138322850</v>
      </c>
      <c r="AJ424" s="181">
        <f t="shared" si="114"/>
        <v>36.400749999999995</v>
      </c>
      <c r="AK424" s="180">
        <f t="shared" si="108"/>
        <v>241677150</v>
      </c>
      <c r="AL424" s="181">
        <f t="shared" si="115"/>
        <v>63.599249999999998</v>
      </c>
      <c r="AM424" s="243"/>
    </row>
    <row r="425" spans="1:39" s="297" customFormat="1" ht="29.25" customHeight="1" x14ac:dyDescent="0.25">
      <c r="A425" s="227">
        <f>SUM(A422+1)</f>
        <v>54</v>
      </c>
      <c r="B425" s="615" t="s">
        <v>153</v>
      </c>
      <c r="C425" s="615"/>
      <c r="D425" s="615"/>
      <c r="E425" s="615"/>
      <c r="F425" s="615"/>
      <c r="G425" s="615"/>
      <c r="H425" s="615"/>
      <c r="I425" s="614"/>
      <c r="J425" s="304" t="s">
        <v>504</v>
      </c>
      <c r="K425" s="230"/>
      <c r="L425" s="294"/>
      <c r="M425" s="610" t="s">
        <v>53</v>
      </c>
      <c r="N425" s="610"/>
      <c r="O425" s="309">
        <v>420443450</v>
      </c>
      <c r="P425" s="231">
        <f>O425</f>
        <v>420443450</v>
      </c>
      <c r="Q425" s="231">
        <f>SUM(Q426:Q435)</f>
        <v>179508000</v>
      </c>
      <c r="R425" s="233">
        <f>Q425/Q$248*100</f>
        <v>1.5049491671640207</v>
      </c>
      <c r="S425" s="233">
        <v>100</v>
      </c>
      <c r="T425" s="231">
        <f t="shared" si="117"/>
        <v>0</v>
      </c>
      <c r="U425" s="231">
        <f t="shared" si="110"/>
        <v>0</v>
      </c>
      <c r="V425" s="296">
        <f t="shared" si="95"/>
        <v>100</v>
      </c>
      <c r="W425" s="231"/>
      <c r="X425" s="231" t="e">
        <f>#REF!</f>
        <v>#REF!</v>
      </c>
      <c r="Y425" s="231" t="e">
        <f>#REF!</f>
        <v>#REF!</v>
      </c>
      <c r="Z425" s="231" t="e">
        <f>#REF!</f>
        <v>#REF!</v>
      </c>
      <c r="AA425" s="231" t="e">
        <f>#REF!</f>
        <v>#REF!</v>
      </c>
      <c r="AB425" s="231">
        <v>55843500</v>
      </c>
      <c r="AC425" s="231" t="e">
        <f>#REF!</f>
        <v>#REF!</v>
      </c>
      <c r="AD425" s="231" t="e">
        <f>#REF!</f>
        <v>#REF!</v>
      </c>
      <c r="AE425" s="231" t="e">
        <f>#REF!</f>
        <v>#REF!</v>
      </c>
      <c r="AF425" s="231" t="e">
        <f>[1]April!N73</f>
        <v>#REF!</v>
      </c>
      <c r="AG425" s="231" t="e">
        <f>[2]april!N73</f>
        <v>#REF!</v>
      </c>
      <c r="AH425" s="231">
        <f>'[3]DES SKPD'!$N73</f>
        <v>192051900</v>
      </c>
      <c r="AI425" s="231">
        <f>SUM(AI426:AI435)</f>
        <v>0</v>
      </c>
      <c r="AJ425" s="233">
        <f t="shared" si="114"/>
        <v>0</v>
      </c>
      <c r="AK425" s="231">
        <f t="shared" ref="AK425:AK489" si="120">Q425-AI425</f>
        <v>179508000</v>
      </c>
      <c r="AL425" s="233">
        <f t="shared" si="115"/>
        <v>100</v>
      </c>
      <c r="AM425" s="227"/>
    </row>
    <row r="426" spans="1:39" ht="24.75" customHeight="1" x14ac:dyDescent="0.25">
      <c r="A426" s="243"/>
      <c r="B426" s="477"/>
      <c r="C426" s="477"/>
      <c r="D426" s="477"/>
      <c r="E426" s="477"/>
      <c r="F426" s="477"/>
      <c r="G426" s="477"/>
      <c r="H426" s="477"/>
      <c r="I426" s="478"/>
      <c r="J426" s="477" t="s">
        <v>273</v>
      </c>
      <c r="K426" s="245"/>
      <c r="L426" s="257"/>
      <c r="M426" s="591" t="s">
        <v>322</v>
      </c>
      <c r="N426" s="592"/>
      <c r="O426" s="179"/>
      <c r="P426" s="180"/>
      <c r="Q426" s="180">
        <v>20400000</v>
      </c>
      <c r="R426" s="181">
        <f t="shared" ref="R426:R435" si="121">Q426/Q$425*100</f>
        <v>11.364396015776455</v>
      </c>
      <c r="S426" s="181">
        <v>100</v>
      </c>
      <c r="T426" s="180">
        <f t="shared" si="117"/>
        <v>0</v>
      </c>
      <c r="U426" s="180">
        <f t="shared" si="110"/>
        <v>0</v>
      </c>
      <c r="V426" s="182">
        <f t="shared" si="95"/>
        <v>100</v>
      </c>
      <c r="W426" s="180"/>
      <c r="X426" s="180"/>
      <c r="Y426" s="180"/>
      <c r="Z426" s="180"/>
      <c r="AA426" s="180"/>
      <c r="AB426" s="180"/>
      <c r="AC426" s="180"/>
      <c r="AD426" s="180"/>
      <c r="AE426" s="180"/>
      <c r="AF426" s="180"/>
      <c r="AG426" s="180"/>
      <c r="AH426" s="180"/>
      <c r="AI426" s="180">
        <v>0</v>
      </c>
      <c r="AJ426" s="181">
        <f t="shared" si="114"/>
        <v>0</v>
      </c>
      <c r="AK426" s="180">
        <f t="shared" si="120"/>
        <v>20400000</v>
      </c>
      <c r="AL426" s="181">
        <f t="shared" si="115"/>
        <v>100</v>
      </c>
      <c r="AM426" s="243"/>
    </row>
    <row r="427" spans="1:39" ht="24.75" customHeight="1" x14ac:dyDescent="0.25">
      <c r="A427" s="243"/>
      <c r="B427" s="477"/>
      <c r="C427" s="477"/>
      <c r="D427" s="477"/>
      <c r="E427" s="477"/>
      <c r="F427" s="477"/>
      <c r="G427" s="477"/>
      <c r="H427" s="477"/>
      <c r="I427" s="478"/>
      <c r="J427" s="477" t="s">
        <v>323</v>
      </c>
      <c r="K427" s="245"/>
      <c r="L427" s="257"/>
      <c r="M427" s="591" t="s">
        <v>324</v>
      </c>
      <c r="N427" s="592"/>
      <c r="O427" s="179"/>
      <c r="P427" s="180"/>
      <c r="Q427" s="180">
        <v>8408000</v>
      </c>
      <c r="R427" s="181">
        <f t="shared" si="121"/>
        <v>4.6839138088553156</v>
      </c>
      <c r="S427" s="181">
        <v>100</v>
      </c>
      <c r="T427" s="180">
        <f t="shared" si="117"/>
        <v>0</v>
      </c>
      <c r="U427" s="180">
        <f t="shared" si="110"/>
        <v>0</v>
      </c>
      <c r="V427" s="182">
        <f t="shared" si="95"/>
        <v>100</v>
      </c>
      <c r="W427" s="180"/>
      <c r="X427" s="180"/>
      <c r="Y427" s="180"/>
      <c r="Z427" s="180"/>
      <c r="AA427" s="180"/>
      <c r="AB427" s="180"/>
      <c r="AC427" s="180"/>
      <c r="AD427" s="180"/>
      <c r="AE427" s="180"/>
      <c r="AF427" s="180"/>
      <c r="AG427" s="180"/>
      <c r="AH427" s="180"/>
      <c r="AI427" s="180">
        <v>0</v>
      </c>
      <c r="AJ427" s="181">
        <f t="shared" si="114"/>
        <v>0</v>
      </c>
      <c r="AK427" s="180">
        <f t="shared" si="120"/>
        <v>8408000</v>
      </c>
      <c r="AL427" s="181">
        <f t="shared" si="115"/>
        <v>100</v>
      </c>
      <c r="AM427" s="243"/>
    </row>
    <row r="428" spans="1:39" ht="24.75" customHeight="1" x14ac:dyDescent="0.25">
      <c r="A428" s="243"/>
      <c r="B428" s="477"/>
      <c r="C428" s="477"/>
      <c r="D428" s="477"/>
      <c r="E428" s="477"/>
      <c r="F428" s="477"/>
      <c r="G428" s="477"/>
      <c r="H428" s="477"/>
      <c r="I428" s="478"/>
      <c r="J428" s="477" t="s">
        <v>417</v>
      </c>
      <c r="K428" s="245"/>
      <c r="L428" s="257"/>
      <c r="M428" s="591" t="s">
        <v>408</v>
      </c>
      <c r="N428" s="592"/>
      <c r="O428" s="179"/>
      <c r="P428" s="180"/>
      <c r="Q428" s="180">
        <v>3000000</v>
      </c>
      <c r="R428" s="181">
        <f t="shared" si="121"/>
        <v>1.6712347082024199</v>
      </c>
      <c r="S428" s="181">
        <v>101</v>
      </c>
      <c r="T428" s="180">
        <f t="shared" si="117"/>
        <v>0</v>
      </c>
      <c r="U428" s="180">
        <f t="shared" si="110"/>
        <v>0</v>
      </c>
      <c r="V428" s="182">
        <f t="shared" si="95"/>
        <v>101</v>
      </c>
      <c r="W428" s="180"/>
      <c r="X428" s="180"/>
      <c r="Y428" s="180"/>
      <c r="Z428" s="180"/>
      <c r="AA428" s="180"/>
      <c r="AB428" s="180"/>
      <c r="AC428" s="180"/>
      <c r="AD428" s="180"/>
      <c r="AE428" s="180"/>
      <c r="AF428" s="180"/>
      <c r="AG428" s="180"/>
      <c r="AH428" s="180"/>
      <c r="AI428" s="180">
        <v>0</v>
      </c>
      <c r="AJ428" s="181">
        <f t="shared" si="114"/>
        <v>0</v>
      </c>
      <c r="AK428" s="180">
        <f t="shared" si="120"/>
        <v>3000000</v>
      </c>
      <c r="AL428" s="181">
        <f t="shared" si="115"/>
        <v>100</v>
      </c>
      <c r="AM428" s="243"/>
    </row>
    <row r="429" spans="1:39" ht="24.75" customHeight="1" x14ac:dyDescent="0.25">
      <c r="A429" s="243"/>
      <c r="B429" s="477"/>
      <c r="C429" s="477"/>
      <c r="D429" s="477"/>
      <c r="E429" s="477"/>
      <c r="F429" s="477"/>
      <c r="G429" s="477"/>
      <c r="H429" s="477"/>
      <c r="I429" s="478"/>
      <c r="J429" s="477" t="s">
        <v>315</v>
      </c>
      <c r="K429" s="245"/>
      <c r="L429" s="257"/>
      <c r="M429" s="591" t="s">
        <v>271</v>
      </c>
      <c r="N429" s="592"/>
      <c r="O429" s="179"/>
      <c r="P429" s="180"/>
      <c r="Q429" s="180">
        <v>4000000</v>
      </c>
      <c r="R429" s="181">
        <f t="shared" si="121"/>
        <v>2.2283129442698932</v>
      </c>
      <c r="S429" s="181">
        <v>100</v>
      </c>
      <c r="T429" s="180">
        <f t="shared" si="117"/>
        <v>0</v>
      </c>
      <c r="U429" s="180">
        <f t="shared" si="110"/>
        <v>0</v>
      </c>
      <c r="V429" s="182">
        <f t="shared" si="95"/>
        <v>100</v>
      </c>
      <c r="W429" s="180"/>
      <c r="X429" s="180"/>
      <c r="Y429" s="180"/>
      <c r="Z429" s="180"/>
      <c r="AA429" s="180"/>
      <c r="AB429" s="180"/>
      <c r="AC429" s="180"/>
      <c r="AD429" s="180"/>
      <c r="AE429" s="180"/>
      <c r="AF429" s="180"/>
      <c r="AG429" s="180"/>
      <c r="AH429" s="180"/>
      <c r="AI429" s="180">
        <v>0</v>
      </c>
      <c r="AJ429" s="181">
        <f t="shared" si="114"/>
        <v>0</v>
      </c>
      <c r="AK429" s="180">
        <f t="shared" si="120"/>
        <v>4000000</v>
      </c>
      <c r="AL429" s="181">
        <f t="shared" si="115"/>
        <v>100</v>
      </c>
      <c r="AM429" s="243"/>
    </row>
    <row r="430" spans="1:39" ht="29.25" customHeight="1" x14ac:dyDescent="0.25">
      <c r="A430" s="243"/>
      <c r="B430" s="477"/>
      <c r="C430" s="477"/>
      <c r="D430" s="477"/>
      <c r="E430" s="477"/>
      <c r="F430" s="477"/>
      <c r="G430" s="477"/>
      <c r="H430" s="477"/>
      <c r="I430" s="478"/>
      <c r="J430" s="477" t="s">
        <v>328</v>
      </c>
      <c r="K430" s="245"/>
      <c r="L430" s="257"/>
      <c r="M430" s="591" t="s">
        <v>329</v>
      </c>
      <c r="N430" s="592"/>
      <c r="O430" s="179"/>
      <c r="P430" s="180"/>
      <c r="Q430" s="180">
        <v>26000000</v>
      </c>
      <c r="R430" s="181">
        <f t="shared" si="121"/>
        <v>14.484034137754307</v>
      </c>
      <c r="S430" s="181">
        <v>100</v>
      </c>
      <c r="T430" s="180">
        <f t="shared" si="117"/>
        <v>0</v>
      </c>
      <c r="U430" s="180">
        <f t="shared" ref="U430:U672" si="122">R430*T430/100</f>
        <v>0</v>
      </c>
      <c r="V430" s="182">
        <f t="shared" si="95"/>
        <v>100</v>
      </c>
      <c r="W430" s="180"/>
      <c r="X430" s="180"/>
      <c r="Y430" s="180"/>
      <c r="Z430" s="180"/>
      <c r="AA430" s="180"/>
      <c r="AB430" s="180"/>
      <c r="AC430" s="180"/>
      <c r="AD430" s="180"/>
      <c r="AE430" s="180"/>
      <c r="AF430" s="180"/>
      <c r="AG430" s="180"/>
      <c r="AH430" s="180"/>
      <c r="AI430" s="180">
        <v>0</v>
      </c>
      <c r="AJ430" s="181">
        <f t="shared" si="114"/>
        <v>0</v>
      </c>
      <c r="AK430" s="180">
        <f t="shared" si="120"/>
        <v>26000000</v>
      </c>
      <c r="AL430" s="181">
        <f t="shared" si="115"/>
        <v>100</v>
      </c>
      <c r="AM430" s="243"/>
    </row>
    <row r="431" spans="1:39" ht="24.75" customHeight="1" x14ac:dyDescent="0.25">
      <c r="A431" s="243"/>
      <c r="B431" s="477"/>
      <c r="C431" s="477"/>
      <c r="D431" s="477"/>
      <c r="E431" s="477"/>
      <c r="F431" s="477"/>
      <c r="G431" s="477"/>
      <c r="H431" s="477"/>
      <c r="I431" s="478"/>
      <c r="J431" s="477" t="s">
        <v>280</v>
      </c>
      <c r="K431" s="245"/>
      <c r="L431" s="257"/>
      <c r="M431" s="591" t="s">
        <v>281</v>
      </c>
      <c r="N431" s="592"/>
      <c r="O431" s="179"/>
      <c r="P431" s="180"/>
      <c r="Q431" s="180">
        <v>48500000</v>
      </c>
      <c r="R431" s="181">
        <f t="shared" si="121"/>
        <v>27.018294449272457</v>
      </c>
      <c r="S431" s="181">
        <v>100</v>
      </c>
      <c r="T431" s="180">
        <f t="shared" si="117"/>
        <v>0</v>
      </c>
      <c r="U431" s="180">
        <f t="shared" si="122"/>
        <v>0</v>
      </c>
      <c r="V431" s="182">
        <f t="shared" si="95"/>
        <v>100</v>
      </c>
      <c r="W431" s="180"/>
      <c r="X431" s="180"/>
      <c r="Y431" s="180"/>
      <c r="Z431" s="180"/>
      <c r="AA431" s="180"/>
      <c r="AB431" s="180"/>
      <c r="AC431" s="180"/>
      <c r="AD431" s="180"/>
      <c r="AE431" s="180"/>
      <c r="AF431" s="180"/>
      <c r="AG431" s="180"/>
      <c r="AH431" s="180"/>
      <c r="AI431" s="180">
        <v>0</v>
      </c>
      <c r="AJ431" s="181">
        <f t="shared" si="114"/>
        <v>0</v>
      </c>
      <c r="AK431" s="180">
        <f t="shared" si="120"/>
        <v>48500000</v>
      </c>
      <c r="AL431" s="181">
        <f t="shared" si="115"/>
        <v>100</v>
      </c>
      <c r="AM431" s="243"/>
    </row>
    <row r="432" spans="1:39" ht="24.75" customHeight="1" x14ac:dyDescent="0.25">
      <c r="A432" s="243"/>
      <c r="B432" s="477"/>
      <c r="C432" s="477"/>
      <c r="D432" s="477"/>
      <c r="E432" s="477"/>
      <c r="F432" s="477"/>
      <c r="G432" s="477"/>
      <c r="H432" s="477"/>
      <c r="I432" s="478"/>
      <c r="J432" s="477" t="s">
        <v>284</v>
      </c>
      <c r="K432" s="245"/>
      <c r="L432" s="257"/>
      <c r="M432" s="591" t="s">
        <v>285</v>
      </c>
      <c r="N432" s="592"/>
      <c r="O432" s="179"/>
      <c r="P432" s="180"/>
      <c r="Q432" s="180">
        <v>10000000</v>
      </c>
      <c r="R432" s="181">
        <f t="shared" si="121"/>
        <v>5.5707823606747331</v>
      </c>
      <c r="S432" s="181">
        <v>100</v>
      </c>
      <c r="T432" s="180">
        <f t="shared" si="117"/>
        <v>0</v>
      </c>
      <c r="U432" s="180">
        <f t="shared" si="122"/>
        <v>0</v>
      </c>
      <c r="V432" s="182">
        <f t="shared" si="95"/>
        <v>100</v>
      </c>
      <c r="W432" s="180"/>
      <c r="X432" s="180"/>
      <c r="Y432" s="180"/>
      <c r="Z432" s="180"/>
      <c r="AA432" s="180"/>
      <c r="AB432" s="180"/>
      <c r="AC432" s="180"/>
      <c r="AD432" s="180"/>
      <c r="AE432" s="180"/>
      <c r="AF432" s="180"/>
      <c r="AG432" s="180"/>
      <c r="AH432" s="180"/>
      <c r="AI432" s="180">
        <v>0</v>
      </c>
      <c r="AJ432" s="181">
        <f t="shared" si="114"/>
        <v>0</v>
      </c>
      <c r="AK432" s="180">
        <f t="shared" si="120"/>
        <v>10000000</v>
      </c>
      <c r="AL432" s="181">
        <f t="shared" si="115"/>
        <v>100</v>
      </c>
      <c r="AM432" s="243"/>
    </row>
    <row r="433" spans="1:39" ht="24.75" customHeight="1" x14ac:dyDescent="0.25">
      <c r="A433" s="243"/>
      <c r="B433" s="477"/>
      <c r="C433" s="477"/>
      <c r="D433" s="477"/>
      <c r="E433" s="477"/>
      <c r="F433" s="477"/>
      <c r="G433" s="477"/>
      <c r="H433" s="477"/>
      <c r="I433" s="478"/>
      <c r="J433" s="477" t="s">
        <v>282</v>
      </c>
      <c r="K433" s="245"/>
      <c r="L433" s="257"/>
      <c r="M433" s="591" t="s">
        <v>283</v>
      </c>
      <c r="N433" s="592"/>
      <c r="O433" s="179"/>
      <c r="P433" s="180"/>
      <c r="Q433" s="180">
        <v>10000000</v>
      </c>
      <c r="R433" s="181">
        <f t="shared" si="121"/>
        <v>5.5707823606747331</v>
      </c>
      <c r="S433" s="181">
        <v>100</v>
      </c>
      <c r="T433" s="180">
        <f t="shared" si="117"/>
        <v>0</v>
      </c>
      <c r="U433" s="180">
        <f t="shared" si="122"/>
        <v>0</v>
      </c>
      <c r="V433" s="182">
        <f t="shared" si="95"/>
        <v>100</v>
      </c>
      <c r="W433" s="180"/>
      <c r="X433" s="180"/>
      <c r="Y433" s="180"/>
      <c r="Z433" s="180"/>
      <c r="AA433" s="180"/>
      <c r="AB433" s="180"/>
      <c r="AC433" s="180"/>
      <c r="AD433" s="180"/>
      <c r="AE433" s="180"/>
      <c r="AF433" s="180"/>
      <c r="AG433" s="180"/>
      <c r="AH433" s="180"/>
      <c r="AI433" s="180">
        <v>0</v>
      </c>
      <c r="AJ433" s="181">
        <f t="shared" si="114"/>
        <v>0</v>
      </c>
      <c r="AK433" s="180">
        <f t="shared" si="120"/>
        <v>10000000</v>
      </c>
      <c r="AL433" s="181">
        <f t="shared" si="115"/>
        <v>100</v>
      </c>
      <c r="AM433" s="243"/>
    </row>
    <row r="434" spans="1:39" ht="24.75" customHeight="1" x14ac:dyDescent="0.25">
      <c r="A434" s="243"/>
      <c r="B434" s="477"/>
      <c r="C434" s="477"/>
      <c r="D434" s="477"/>
      <c r="E434" s="477"/>
      <c r="F434" s="477"/>
      <c r="G434" s="477"/>
      <c r="H434" s="477"/>
      <c r="I434" s="478"/>
      <c r="J434" s="477" t="s">
        <v>309</v>
      </c>
      <c r="K434" s="245"/>
      <c r="L434" s="257"/>
      <c r="M434" s="591" t="s">
        <v>321</v>
      </c>
      <c r="N434" s="592"/>
      <c r="O434" s="179"/>
      <c r="P434" s="180"/>
      <c r="Q434" s="180">
        <v>39600000</v>
      </c>
      <c r="R434" s="181">
        <f t="shared" si="121"/>
        <v>22.060298148271944</v>
      </c>
      <c r="S434" s="181">
        <v>100</v>
      </c>
      <c r="T434" s="180">
        <f t="shared" si="117"/>
        <v>0</v>
      </c>
      <c r="U434" s="180">
        <f t="shared" si="122"/>
        <v>0</v>
      </c>
      <c r="V434" s="182">
        <f t="shared" si="95"/>
        <v>100</v>
      </c>
      <c r="W434" s="180"/>
      <c r="X434" s="180"/>
      <c r="Y434" s="180"/>
      <c r="Z434" s="180"/>
      <c r="AA434" s="180"/>
      <c r="AB434" s="180"/>
      <c r="AC434" s="180"/>
      <c r="AD434" s="180"/>
      <c r="AE434" s="180"/>
      <c r="AF434" s="180"/>
      <c r="AG434" s="180"/>
      <c r="AH434" s="180"/>
      <c r="AI434" s="180">
        <v>0</v>
      </c>
      <c r="AJ434" s="181">
        <f t="shared" si="114"/>
        <v>0</v>
      </c>
      <c r="AK434" s="180">
        <f t="shared" si="120"/>
        <v>39600000</v>
      </c>
      <c r="AL434" s="181">
        <f t="shared" si="115"/>
        <v>100</v>
      </c>
      <c r="AM434" s="243"/>
    </row>
    <row r="435" spans="1:39" ht="24.75" customHeight="1" x14ac:dyDescent="0.25">
      <c r="A435" s="243"/>
      <c r="B435" s="477"/>
      <c r="C435" s="477"/>
      <c r="D435" s="477"/>
      <c r="E435" s="477"/>
      <c r="F435" s="477"/>
      <c r="G435" s="477"/>
      <c r="H435" s="477"/>
      <c r="I435" s="478"/>
      <c r="J435" s="477" t="s">
        <v>407</v>
      </c>
      <c r="K435" s="245"/>
      <c r="L435" s="257"/>
      <c r="M435" s="591" t="s">
        <v>414</v>
      </c>
      <c r="N435" s="592"/>
      <c r="O435" s="179"/>
      <c r="P435" s="180"/>
      <c r="Q435" s="180">
        <v>9600000</v>
      </c>
      <c r="R435" s="181">
        <f t="shared" si="121"/>
        <v>5.3479510662477434</v>
      </c>
      <c r="S435" s="181"/>
      <c r="T435" s="180">
        <f t="shared" si="117"/>
        <v>0</v>
      </c>
      <c r="U435" s="180">
        <f t="shared" si="122"/>
        <v>0</v>
      </c>
      <c r="V435" s="182"/>
      <c r="W435" s="180"/>
      <c r="X435" s="180"/>
      <c r="Y435" s="180"/>
      <c r="Z435" s="180"/>
      <c r="AA435" s="180"/>
      <c r="AB435" s="180"/>
      <c r="AC435" s="180"/>
      <c r="AD435" s="180"/>
      <c r="AE435" s="180"/>
      <c r="AF435" s="180"/>
      <c r="AG435" s="180"/>
      <c r="AH435" s="180"/>
      <c r="AI435" s="180">
        <v>0</v>
      </c>
      <c r="AJ435" s="181">
        <f t="shared" si="114"/>
        <v>0</v>
      </c>
      <c r="AK435" s="180">
        <f t="shared" si="120"/>
        <v>9600000</v>
      </c>
      <c r="AL435" s="181">
        <f t="shared" si="115"/>
        <v>100</v>
      </c>
      <c r="AM435" s="243"/>
    </row>
    <row r="436" spans="1:39" s="297" customFormat="1" ht="24.75" customHeight="1" x14ac:dyDescent="0.25">
      <c r="A436" s="227">
        <f>A425+1</f>
        <v>55</v>
      </c>
      <c r="B436" s="615" t="s">
        <v>154</v>
      </c>
      <c r="C436" s="615"/>
      <c r="D436" s="615"/>
      <c r="E436" s="615"/>
      <c r="F436" s="615"/>
      <c r="G436" s="615"/>
      <c r="H436" s="615"/>
      <c r="I436" s="614"/>
      <c r="J436" s="304" t="s">
        <v>505</v>
      </c>
      <c r="K436" s="230"/>
      <c r="L436" s="294"/>
      <c r="M436" s="610" t="s">
        <v>54</v>
      </c>
      <c r="N436" s="610"/>
      <c r="O436" s="309">
        <v>255497500</v>
      </c>
      <c r="P436" s="231">
        <f>O436</f>
        <v>255497500</v>
      </c>
      <c r="Q436" s="231">
        <f>SUM(Q437:Q446)</f>
        <v>106437000</v>
      </c>
      <c r="R436" s="233">
        <f>Q436/Q$35*100</f>
        <v>0.33485230675987876</v>
      </c>
      <c r="S436" s="233">
        <v>100</v>
      </c>
      <c r="T436" s="231">
        <f t="shared" si="117"/>
        <v>68.335729116754507</v>
      </c>
      <c r="U436" s="231">
        <f t="shared" si="122"/>
        <v>0.2288237652886346</v>
      </c>
      <c r="V436" s="296">
        <f t="shared" si="95"/>
        <v>31.664270883245493</v>
      </c>
      <c r="W436" s="231"/>
      <c r="X436" s="231" t="e">
        <f>#REF!</f>
        <v>#REF!</v>
      </c>
      <c r="Y436" s="231" t="e">
        <f>#REF!</f>
        <v>#REF!</v>
      </c>
      <c r="Z436" s="231" t="e">
        <f>#REF!</f>
        <v>#REF!</v>
      </c>
      <c r="AA436" s="231" t="e">
        <f>#REF!</f>
        <v>#REF!</v>
      </c>
      <c r="AB436" s="231">
        <v>62640000</v>
      </c>
      <c r="AC436" s="231" t="e">
        <f>#REF!</f>
        <v>#REF!</v>
      </c>
      <c r="AD436" s="231" t="e">
        <f>#REF!</f>
        <v>#REF!</v>
      </c>
      <c r="AE436" s="231" t="e">
        <f>#REF!</f>
        <v>#REF!</v>
      </c>
      <c r="AF436" s="231" t="e">
        <f>[1]April!N74</f>
        <v>#REF!</v>
      </c>
      <c r="AG436" s="231" t="e">
        <f>[2]april!N74</f>
        <v>#REF!</v>
      </c>
      <c r="AH436" s="231">
        <f>'[3]DES SKPD'!$N74</f>
        <v>327019800</v>
      </c>
      <c r="AI436" s="231">
        <f>SUM(AI437:AI446)</f>
        <v>72734500</v>
      </c>
      <c r="AJ436" s="233">
        <f t="shared" si="114"/>
        <v>68.335729116754507</v>
      </c>
      <c r="AK436" s="231">
        <f t="shared" si="120"/>
        <v>33702500</v>
      </c>
      <c r="AL436" s="233">
        <f t="shared" si="115"/>
        <v>31.664270883245489</v>
      </c>
      <c r="AM436" s="227"/>
    </row>
    <row r="437" spans="1:39" ht="24.75" customHeight="1" x14ac:dyDescent="0.25">
      <c r="A437" s="243"/>
      <c r="B437" s="477"/>
      <c r="C437" s="477"/>
      <c r="D437" s="477"/>
      <c r="E437" s="477"/>
      <c r="F437" s="477"/>
      <c r="G437" s="477"/>
      <c r="H437" s="477"/>
      <c r="I437" s="478"/>
      <c r="J437" s="477" t="s">
        <v>257</v>
      </c>
      <c r="K437" s="245"/>
      <c r="L437" s="257"/>
      <c r="M437" s="591" t="s">
        <v>324</v>
      </c>
      <c r="N437" s="592"/>
      <c r="O437" s="179"/>
      <c r="P437" s="180"/>
      <c r="Q437" s="180">
        <v>27357000</v>
      </c>
      <c r="R437" s="181">
        <f>Q437/Q$436*100</f>
        <v>25.702528256151524</v>
      </c>
      <c r="S437" s="181">
        <v>100</v>
      </c>
      <c r="T437" s="180">
        <f t="shared" si="117"/>
        <v>40.89629710860109</v>
      </c>
      <c r="U437" s="180">
        <f t="shared" si="122"/>
        <v>10.511382320057873</v>
      </c>
      <c r="V437" s="182">
        <f t="shared" si="95"/>
        <v>59.10370289139891</v>
      </c>
      <c r="W437" s="180"/>
      <c r="X437" s="180"/>
      <c r="Y437" s="180"/>
      <c r="Z437" s="180"/>
      <c r="AA437" s="180"/>
      <c r="AB437" s="180"/>
      <c r="AC437" s="180"/>
      <c r="AD437" s="180"/>
      <c r="AE437" s="180"/>
      <c r="AF437" s="180"/>
      <c r="AG437" s="180"/>
      <c r="AH437" s="180"/>
      <c r="AI437" s="180">
        <f>5258000+5930000</f>
        <v>11188000</v>
      </c>
      <c r="AJ437" s="181">
        <f t="shared" si="114"/>
        <v>40.89629710860109</v>
      </c>
      <c r="AK437" s="180">
        <f t="shared" si="120"/>
        <v>16169000</v>
      </c>
      <c r="AL437" s="181">
        <f t="shared" si="115"/>
        <v>59.10370289139891</v>
      </c>
      <c r="AM437" s="243"/>
    </row>
    <row r="438" spans="1:39" ht="24.75" customHeight="1" x14ac:dyDescent="0.25">
      <c r="A438" s="243"/>
      <c r="B438" s="477"/>
      <c r="C438" s="477"/>
      <c r="D438" s="477"/>
      <c r="E438" s="477"/>
      <c r="F438" s="477"/>
      <c r="G438" s="477"/>
      <c r="H438" s="477"/>
      <c r="I438" s="478"/>
      <c r="J438" s="477" t="s">
        <v>269</v>
      </c>
      <c r="K438" s="245"/>
      <c r="L438" s="257"/>
      <c r="M438" s="591" t="s">
        <v>270</v>
      </c>
      <c r="N438" s="592"/>
      <c r="O438" s="179"/>
      <c r="P438" s="180"/>
      <c r="Q438" s="180">
        <v>4500000</v>
      </c>
      <c r="R438" s="181">
        <f t="shared" ref="R438:R446" si="123">Q438/Q$436*100</f>
        <v>4.2278530961977507</v>
      </c>
      <c r="S438" s="181">
        <v>100</v>
      </c>
      <c r="T438" s="180">
        <f t="shared" si="117"/>
        <v>0</v>
      </c>
      <c r="U438" s="180">
        <f t="shared" si="122"/>
        <v>0</v>
      </c>
      <c r="V438" s="182">
        <f t="shared" si="95"/>
        <v>100</v>
      </c>
      <c r="W438" s="180"/>
      <c r="X438" s="180"/>
      <c r="Y438" s="180"/>
      <c r="Z438" s="180"/>
      <c r="AA438" s="180"/>
      <c r="AB438" s="180"/>
      <c r="AC438" s="180"/>
      <c r="AD438" s="180"/>
      <c r="AE438" s="180"/>
      <c r="AF438" s="180"/>
      <c r="AG438" s="180"/>
      <c r="AH438" s="180"/>
      <c r="AI438" s="180">
        <v>0</v>
      </c>
      <c r="AJ438" s="181">
        <f t="shared" si="114"/>
        <v>0</v>
      </c>
      <c r="AK438" s="180">
        <f t="shared" si="120"/>
        <v>4500000</v>
      </c>
      <c r="AL438" s="181">
        <f t="shared" si="115"/>
        <v>100</v>
      </c>
      <c r="AM438" s="243"/>
    </row>
    <row r="439" spans="1:39" ht="24.75" customHeight="1" x14ac:dyDescent="0.25">
      <c r="A439" s="243"/>
      <c r="B439" s="477"/>
      <c r="C439" s="477"/>
      <c r="D439" s="477"/>
      <c r="E439" s="477"/>
      <c r="F439" s="477"/>
      <c r="G439" s="477"/>
      <c r="H439" s="477"/>
      <c r="I439" s="478"/>
      <c r="J439" s="477" t="s">
        <v>315</v>
      </c>
      <c r="K439" s="245"/>
      <c r="L439" s="257"/>
      <c r="M439" s="591" t="s">
        <v>271</v>
      </c>
      <c r="N439" s="592"/>
      <c r="O439" s="179"/>
      <c r="P439" s="180"/>
      <c r="Q439" s="180">
        <v>1580000</v>
      </c>
      <c r="R439" s="181">
        <f t="shared" si="123"/>
        <v>1.4844461982205437</v>
      </c>
      <c r="S439" s="181">
        <v>100</v>
      </c>
      <c r="T439" s="180">
        <f t="shared" si="117"/>
        <v>100</v>
      </c>
      <c r="U439" s="180">
        <f t="shared" si="122"/>
        <v>1.4844461982205437</v>
      </c>
      <c r="V439" s="182">
        <f t="shared" si="95"/>
        <v>0</v>
      </c>
      <c r="W439" s="180"/>
      <c r="X439" s="180"/>
      <c r="Y439" s="180"/>
      <c r="Z439" s="180"/>
      <c r="AA439" s="180"/>
      <c r="AB439" s="180"/>
      <c r="AC439" s="180"/>
      <c r="AD439" s="180"/>
      <c r="AE439" s="180"/>
      <c r="AF439" s="180"/>
      <c r="AG439" s="180"/>
      <c r="AH439" s="180"/>
      <c r="AI439" s="180">
        <v>1580000</v>
      </c>
      <c r="AJ439" s="181">
        <f t="shared" si="114"/>
        <v>100</v>
      </c>
      <c r="AK439" s="180">
        <f t="shared" si="120"/>
        <v>0</v>
      </c>
      <c r="AL439" s="181">
        <f t="shared" si="115"/>
        <v>0</v>
      </c>
      <c r="AM439" s="243"/>
    </row>
    <row r="440" spans="1:39" ht="24.75" customHeight="1" x14ac:dyDescent="0.25">
      <c r="A440" s="243"/>
      <c r="B440" s="477"/>
      <c r="C440" s="477"/>
      <c r="D440" s="477"/>
      <c r="E440" s="477"/>
      <c r="F440" s="477"/>
      <c r="G440" s="477"/>
      <c r="H440" s="477"/>
      <c r="I440" s="478"/>
      <c r="J440" s="477" t="s">
        <v>328</v>
      </c>
      <c r="K440" s="245"/>
      <c r="L440" s="257"/>
      <c r="M440" s="591" t="s">
        <v>612</v>
      </c>
      <c r="N440" s="592"/>
      <c r="O440" s="179"/>
      <c r="P440" s="180"/>
      <c r="Q440" s="180">
        <v>500000</v>
      </c>
      <c r="R440" s="181">
        <f t="shared" si="123"/>
        <v>0.46976145513308343</v>
      </c>
      <c r="S440" s="181">
        <v>100</v>
      </c>
      <c r="T440" s="180">
        <f t="shared" si="117"/>
        <v>100</v>
      </c>
      <c r="U440" s="180">
        <f t="shared" si="122"/>
        <v>0.46976145513308348</v>
      </c>
      <c r="V440" s="182">
        <f t="shared" si="95"/>
        <v>0</v>
      </c>
      <c r="W440" s="180"/>
      <c r="X440" s="180"/>
      <c r="Y440" s="180"/>
      <c r="Z440" s="180"/>
      <c r="AA440" s="180"/>
      <c r="AB440" s="180"/>
      <c r="AC440" s="180"/>
      <c r="AD440" s="180"/>
      <c r="AE440" s="180"/>
      <c r="AF440" s="180"/>
      <c r="AG440" s="180"/>
      <c r="AH440" s="180"/>
      <c r="AI440" s="180">
        <v>500000</v>
      </c>
      <c r="AJ440" s="181">
        <f t="shared" si="114"/>
        <v>100</v>
      </c>
      <c r="AK440" s="180">
        <f t="shared" si="120"/>
        <v>0</v>
      </c>
      <c r="AL440" s="181">
        <f t="shared" si="115"/>
        <v>0</v>
      </c>
      <c r="AM440" s="243"/>
    </row>
    <row r="441" spans="1:39" ht="29.25" customHeight="1" x14ac:dyDescent="0.25">
      <c r="A441" s="243"/>
      <c r="B441" s="477"/>
      <c r="C441" s="477"/>
      <c r="D441" s="477"/>
      <c r="E441" s="477"/>
      <c r="F441" s="477"/>
      <c r="G441" s="477"/>
      <c r="H441" s="477"/>
      <c r="I441" s="478"/>
      <c r="J441" s="477" t="s">
        <v>339</v>
      </c>
      <c r="K441" s="245"/>
      <c r="L441" s="257"/>
      <c r="M441" s="591" t="s">
        <v>613</v>
      </c>
      <c r="N441" s="592"/>
      <c r="O441" s="179"/>
      <c r="P441" s="180"/>
      <c r="Q441" s="180">
        <v>9400000</v>
      </c>
      <c r="R441" s="181">
        <f t="shared" si="123"/>
        <v>8.8315153565019671</v>
      </c>
      <c r="S441" s="181">
        <v>100</v>
      </c>
      <c r="T441" s="180">
        <f t="shared" si="117"/>
        <v>0</v>
      </c>
      <c r="U441" s="180">
        <f t="shared" si="122"/>
        <v>0</v>
      </c>
      <c r="V441" s="182">
        <f t="shared" si="95"/>
        <v>100</v>
      </c>
      <c r="W441" s="180"/>
      <c r="X441" s="180"/>
      <c r="Y441" s="180"/>
      <c r="Z441" s="180"/>
      <c r="AA441" s="180"/>
      <c r="AB441" s="180"/>
      <c r="AC441" s="180"/>
      <c r="AD441" s="180"/>
      <c r="AE441" s="180"/>
      <c r="AF441" s="180"/>
      <c r="AG441" s="180"/>
      <c r="AH441" s="180"/>
      <c r="AI441" s="180">
        <v>0</v>
      </c>
      <c r="AJ441" s="181">
        <f t="shared" si="114"/>
        <v>0</v>
      </c>
      <c r="AK441" s="180">
        <f t="shared" si="120"/>
        <v>9400000</v>
      </c>
      <c r="AL441" s="181">
        <f t="shared" si="115"/>
        <v>100</v>
      </c>
      <c r="AM441" s="243"/>
    </row>
    <row r="442" spans="1:39" ht="24.75" customHeight="1" x14ac:dyDescent="0.25">
      <c r="A442" s="243"/>
      <c r="B442" s="477"/>
      <c r="C442" s="477"/>
      <c r="D442" s="477"/>
      <c r="E442" s="477"/>
      <c r="F442" s="477"/>
      <c r="G442" s="477"/>
      <c r="H442" s="477"/>
      <c r="I442" s="478"/>
      <c r="J442" s="477" t="s">
        <v>284</v>
      </c>
      <c r="K442" s="245"/>
      <c r="L442" s="257"/>
      <c r="M442" s="591" t="s">
        <v>319</v>
      </c>
      <c r="N442" s="592"/>
      <c r="O442" s="179"/>
      <c r="P442" s="180"/>
      <c r="Q442" s="180">
        <v>24500000</v>
      </c>
      <c r="R442" s="181">
        <f t="shared" si="123"/>
        <v>23.018311301521088</v>
      </c>
      <c r="S442" s="181">
        <v>100</v>
      </c>
      <c r="T442" s="180">
        <f t="shared" si="117"/>
        <v>98.571428571428584</v>
      </c>
      <c r="U442" s="180">
        <f t="shared" si="122"/>
        <v>22.689478282927929</v>
      </c>
      <c r="V442" s="182">
        <f t="shared" si="95"/>
        <v>1.4285714285714164</v>
      </c>
      <c r="W442" s="180"/>
      <c r="X442" s="180"/>
      <c r="Y442" s="180"/>
      <c r="Z442" s="180"/>
      <c r="AA442" s="180"/>
      <c r="AB442" s="180"/>
      <c r="AC442" s="180"/>
      <c r="AD442" s="180"/>
      <c r="AE442" s="180"/>
      <c r="AF442" s="180"/>
      <c r="AG442" s="180"/>
      <c r="AH442" s="180"/>
      <c r="AI442" s="180">
        <v>24150000</v>
      </c>
      <c r="AJ442" s="181">
        <f t="shared" si="114"/>
        <v>98.571428571428584</v>
      </c>
      <c r="AK442" s="180">
        <f t="shared" si="120"/>
        <v>350000</v>
      </c>
      <c r="AL442" s="181">
        <f t="shared" si="115"/>
        <v>1.4285714285714286</v>
      </c>
      <c r="AM442" s="243"/>
    </row>
    <row r="443" spans="1:39" ht="24.75" customHeight="1" x14ac:dyDescent="0.25">
      <c r="A443" s="243"/>
      <c r="B443" s="477"/>
      <c r="C443" s="477"/>
      <c r="D443" s="477"/>
      <c r="E443" s="477"/>
      <c r="F443" s="477"/>
      <c r="G443" s="477"/>
      <c r="H443" s="477"/>
      <c r="I443" s="478"/>
      <c r="J443" s="477" t="s">
        <v>282</v>
      </c>
      <c r="K443" s="245"/>
      <c r="L443" s="257"/>
      <c r="M443" s="591" t="s">
        <v>585</v>
      </c>
      <c r="N443" s="592"/>
      <c r="O443" s="179"/>
      <c r="P443" s="180"/>
      <c r="Q443" s="180">
        <v>2500000</v>
      </c>
      <c r="R443" s="181">
        <f t="shared" si="123"/>
        <v>2.348807275665417</v>
      </c>
      <c r="S443" s="181">
        <v>100</v>
      </c>
      <c r="T443" s="180">
        <f t="shared" si="117"/>
        <v>92.4</v>
      </c>
      <c r="U443" s="180">
        <f t="shared" si="122"/>
        <v>2.1702979227148456</v>
      </c>
      <c r="V443" s="182">
        <f t="shared" si="95"/>
        <v>7.5999999999999943</v>
      </c>
      <c r="W443" s="180"/>
      <c r="X443" s="180"/>
      <c r="Y443" s="180"/>
      <c r="Z443" s="180"/>
      <c r="AA443" s="180"/>
      <c r="AB443" s="180"/>
      <c r="AC443" s="180"/>
      <c r="AD443" s="180"/>
      <c r="AE443" s="180"/>
      <c r="AF443" s="180"/>
      <c r="AG443" s="180"/>
      <c r="AH443" s="180"/>
      <c r="AI443" s="180">
        <v>2310000</v>
      </c>
      <c r="AJ443" s="181">
        <f t="shared" si="114"/>
        <v>92.4</v>
      </c>
      <c r="AK443" s="180">
        <f t="shared" si="120"/>
        <v>190000</v>
      </c>
      <c r="AL443" s="181">
        <f t="shared" si="115"/>
        <v>7.6</v>
      </c>
      <c r="AM443" s="243"/>
    </row>
    <row r="444" spans="1:39" ht="24.75" customHeight="1" x14ac:dyDescent="0.25">
      <c r="A444" s="243"/>
      <c r="B444" s="477"/>
      <c r="C444" s="477"/>
      <c r="D444" s="477"/>
      <c r="E444" s="477"/>
      <c r="F444" s="477"/>
      <c r="G444" s="477"/>
      <c r="H444" s="477"/>
      <c r="I444" s="478"/>
      <c r="J444" s="477" t="s">
        <v>282</v>
      </c>
      <c r="K444" s="245"/>
      <c r="L444" s="257"/>
      <c r="M444" s="591" t="s">
        <v>503</v>
      </c>
      <c r="N444" s="592"/>
      <c r="O444" s="179"/>
      <c r="P444" s="180"/>
      <c r="Q444" s="180">
        <v>23900000</v>
      </c>
      <c r="R444" s="181">
        <f t="shared" si="123"/>
        <v>22.454597555361389</v>
      </c>
      <c r="S444" s="181">
        <v>100</v>
      </c>
      <c r="T444" s="180">
        <f t="shared" si="117"/>
        <v>87.056485355648533</v>
      </c>
      <c r="U444" s="180">
        <f t="shared" si="122"/>
        <v>19.548183432453001</v>
      </c>
      <c r="V444" s="182">
        <f t="shared" si="95"/>
        <v>12.943514644351467</v>
      </c>
      <c r="W444" s="180"/>
      <c r="X444" s="180"/>
      <c r="Y444" s="180"/>
      <c r="Z444" s="180"/>
      <c r="AA444" s="180"/>
      <c r="AB444" s="180"/>
      <c r="AC444" s="180"/>
      <c r="AD444" s="180"/>
      <c r="AE444" s="180"/>
      <c r="AF444" s="180"/>
      <c r="AG444" s="180"/>
      <c r="AH444" s="180"/>
      <c r="AI444" s="180">
        <f>10546500+10260000</f>
        <v>20806500</v>
      </c>
      <c r="AJ444" s="181">
        <f t="shared" si="114"/>
        <v>87.056485355648533</v>
      </c>
      <c r="AK444" s="180">
        <f t="shared" si="120"/>
        <v>3093500</v>
      </c>
      <c r="AL444" s="181">
        <f t="shared" si="115"/>
        <v>12.943514644351465</v>
      </c>
      <c r="AM444" s="243"/>
    </row>
    <row r="445" spans="1:39" ht="24.75" customHeight="1" x14ac:dyDescent="0.25">
      <c r="A445" s="243"/>
      <c r="B445" s="477"/>
      <c r="C445" s="477"/>
      <c r="D445" s="477"/>
      <c r="E445" s="477"/>
      <c r="F445" s="477"/>
      <c r="G445" s="477"/>
      <c r="H445" s="477"/>
      <c r="I445" s="478"/>
      <c r="J445" s="477" t="s">
        <v>320</v>
      </c>
      <c r="K445" s="245"/>
      <c r="L445" s="257"/>
      <c r="M445" s="591" t="s">
        <v>321</v>
      </c>
      <c r="N445" s="592"/>
      <c r="O445" s="179"/>
      <c r="P445" s="180"/>
      <c r="Q445" s="180">
        <v>7400000</v>
      </c>
      <c r="R445" s="181">
        <f t="shared" si="123"/>
        <v>6.9524695359696338</v>
      </c>
      <c r="S445" s="181">
        <v>100</v>
      </c>
      <c r="T445" s="180">
        <f t="shared" si="117"/>
        <v>100</v>
      </c>
      <c r="U445" s="180">
        <f t="shared" si="122"/>
        <v>6.9524695359696338</v>
      </c>
      <c r="V445" s="182">
        <f t="shared" si="95"/>
        <v>0</v>
      </c>
      <c r="W445" s="180"/>
      <c r="X445" s="180"/>
      <c r="Y445" s="180"/>
      <c r="Z445" s="180"/>
      <c r="AA445" s="180"/>
      <c r="AB445" s="180"/>
      <c r="AC445" s="180"/>
      <c r="AD445" s="180"/>
      <c r="AE445" s="180"/>
      <c r="AF445" s="180"/>
      <c r="AG445" s="180"/>
      <c r="AH445" s="180"/>
      <c r="AI445" s="180">
        <v>7400000</v>
      </c>
      <c r="AJ445" s="181">
        <f t="shared" si="114"/>
        <v>100</v>
      </c>
      <c r="AK445" s="180">
        <f t="shared" si="120"/>
        <v>0</v>
      </c>
      <c r="AL445" s="181">
        <f t="shared" si="115"/>
        <v>0</v>
      </c>
      <c r="AM445" s="243"/>
    </row>
    <row r="446" spans="1:39" ht="24.75" customHeight="1" x14ac:dyDescent="0.25">
      <c r="A446" s="243"/>
      <c r="B446" s="477"/>
      <c r="C446" s="477"/>
      <c r="D446" s="477"/>
      <c r="E446" s="477"/>
      <c r="F446" s="477"/>
      <c r="G446" s="477"/>
      <c r="H446" s="477"/>
      <c r="I446" s="478"/>
      <c r="J446" s="477" t="s">
        <v>407</v>
      </c>
      <c r="K446" s="245"/>
      <c r="L446" s="257"/>
      <c r="M446" s="591" t="s">
        <v>614</v>
      </c>
      <c r="N446" s="592"/>
      <c r="O446" s="179"/>
      <c r="P446" s="180"/>
      <c r="Q446" s="180">
        <v>4800000</v>
      </c>
      <c r="R446" s="181">
        <f t="shared" si="123"/>
        <v>4.5097099692776013</v>
      </c>
      <c r="S446" s="181">
        <v>100</v>
      </c>
      <c r="T446" s="180">
        <f t="shared" si="117"/>
        <v>100</v>
      </c>
      <c r="U446" s="180">
        <f t="shared" si="122"/>
        <v>4.5097099692776013</v>
      </c>
      <c r="V446" s="182">
        <f t="shared" si="95"/>
        <v>0</v>
      </c>
      <c r="W446" s="180"/>
      <c r="X446" s="180"/>
      <c r="Y446" s="180"/>
      <c r="Z446" s="180"/>
      <c r="AA446" s="180"/>
      <c r="AB446" s="180"/>
      <c r="AC446" s="180"/>
      <c r="AD446" s="180"/>
      <c r="AE446" s="180"/>
      <c r="AF446" s="180"/>
      <c r="AG446" s="180"/>
      <c r="AH446" s="180"/>
      <c r="AI446" s="180">
        <v>4800000</v>
      </c>
      <c r="AJ446" s="181">
        <f t="shared" si="114"/>
        <v>100</v>
      </c>
      <c r="AK446" s="180">
        <f t="shared" si="120"/>
        <v>0</v>
      </c>
      <c r="AL446" s="181">
        <f t="shared" si="115"/>
        <v>0</v>
      </c>
      <c r="AM446" s="243"/>
    </row>
    <row r="447" spans="1:39" s="297" customFormat="1" ht="28.5" customHeight="1" x14ac:dyDescent="0.25">
      <c r="A447" s="227">
        <f>A436+1</f>
        <v>56</v>
      </c>
      <c r="B447" s="618" t="s">
        <v>155</v>
      </c>
      <c r="C447" s="615"/>
      <c r="D447" s="615"/>
      <c r="E447" s="615"/>
      <c r="F447" s="615"/>
      <c r="G447" s="615"/>
      <c r="H447" s="615"/>
      <c r="I447" s="614"/>
      <c r="J447" s="304" t="s">
        <v>506</v>
      </c>
      <c r="K447" s="230"/>
      <c r="L447" s="294"/>
      <c r="M447" s="610" t="s">
        <v>55</v>
      </c>
      <c r="N447" s="612"/>
      <c r="O447" s="309">
        <v>589234000</v>
      </c>
      <c r="P447" s="231">
        <f>O447</f>
        <v>589234000</v>
      </c>
      <c r="Q447" s="231">
        <f>SUM(Q448:Q456)</f>
        <v>131960000</v>
      </c>
      <c r="R447" s="233">
        <f>Q447/Q$248*100</f>
        <v>1.1063188944167623</v>
      </c>
      <c r="S447" s="233">
        <v>100</v>
      </c>
      <c r="T447" s="231">
        <f t="shared" si="117"/>
        <v>96.007881176113969</v>
      </c>
      <c r="U447" s="231">
        <f t="shared" si="122"/>
        <v>1.062153329580543</v>
      </c>
      <c r="V447" s="296">
        <f t="shared" si="95"/>
        <v>3.992118823886031</v>
      </c>
      <c r="W447" s="231"/>
      <c r="X447" s="231" t="e">
        <f>#REF!</f>
        <v>#REF!</v>
      </c>
      <c r="Y447" s="231" t="e">
        <f>#REF!</f>
        <v>#REF!</v>
      </c>
      <c r="Z447" s="231" t="e">
        <f>#REF!</f>
        <v>#REF!</v>
      </c>
      <c r="AA447" s="231" t="e">
        <f>#REF!</f>
        <v>#REF!</v>
      </c>
      <c r="AB447" s="231">
        <v>371113894</v>
      </c>
      <c r="AC447" s="231" t="e">
        <f>#REF!</f>
        <v>#REF!</v>
      </c>
      <c r="AD447" s="231" t="e">
        <f>#REF!</f>
        <v>#REF!</v>
      </c>
      <c r="AE447" s="231" t="e">
        <f>#REF!</f>
        <v>#REF!</v>
      </c>
      <c r="AF447" s="231" t="e">
        <f>[1]April!N75</f>
        <v>#REF!</v>
      </c>
      <c r="AG447" s="231" t="e">
        <f>[2]april!N75</f>
        <v>#REF!</v>
      </c>
      <c r="AH447" s="231">
        <f>'[3]DES SKPD'!$N75</f>
        <v>574563894</v>
      </c>
      <c r="AI447" s="231">
        <f>SUM(AI448:AI456)</f>
        <v>126692000</v>
      </c>
      <c r="AJ447" s="233">
        <f t="shared" si="114"/>
        <v>96.007881176113969</v>
      </c>
      <c r="AK447" s="231">
        <f t="shared" si="120"/>
        <v>5268000</v>
      </c>
      <c r="AL447" s="233">
        <f t="shared" si="115"/>
        <v>3.9921188238860261</v>
      </c>
      <c r="AM447" s="227"/>
    </row>
    <row r="448" spans="1:39" ht="24.75" customHeight="1" x14ac:dyDescent="0.25">
      <c r="A448" s="243"/>
      <c r="B448" s="477"/>
      <c r="C448" s="477"/>
      <c r="D448" s="477"/>
      <c r="E448" s="477"/>
      <c r="F448" s="477"/>
      <c r="G448" s="477"/>
      <c r="H448" s="477"/>
      <c r="I448" s="478"/>
      <c r="J448" s="477" t="s">
        <v>259</v>
      </c>
      <c r="K448" s="245"/>
      <c r="L448" s="257"/>
      <c r="M448" s="591" t="s">
        <v>260</v>
      </c>
      <c r="N448" s="592"/>
      <c r="O448" s="179"/>
      <c r="P448" s="180"/>
      <c r="Q448" s="180">
        <v>1540000</v>
      </c>
      <c r="R448" s="181">
        <f t="shared" ref="R448:R456" si="124">Q448/Q$447*100</f>
        <v>1.1670203091846014</v>
      </c>
      <c r="S448" s="181">
        <v>100</v>
      </c>
      <c r="T448" s="180">
        <f t="shared" si="117"/>
        <v>50</v>
      </c>
      <c r="U448" s="180">
        <f t="shared" si="122"/>
        <v>0.58351015459230071</v>
      </c>
      <c r="V448" s="182">
        <f t="shared" si="95"/>
        <v>50</v>
      </c>
      <c r="W448" s="180"/>
      <c r="X448" s="180"/>
      <c r="Y448" s="180"/>
      <c r="Z448" s="180"/>
      <c r="AA448" s="180"/>
      <c r="AB448" s="180"/>
      <c r="AC448" s="180"/>
      <c r="AD448" s="180"/>
      <c r="AE448" s="180"/>
      <c r="AF448" s="180"/>
      <c r="AG448" s="180"/>
      <c r="AH448" s="180"/>
      <c r="AI448" s="180">
        <v>770000</v>
      </c>
      <c r="AJ448" s="181">
        <f t="shared" si="114"/>
        <v>50</v>
      </c>
      <c r="AK448" s="180">
        <f t="shared" si="120"/>
        <v>770000</v>
      </c>
      <c r="AL448" s="181">
        <f t="shared" si="115"/>
        <v>50</v>
      </c>
      <c r="AM448" s="243"/>
    </row>
    <row r="449" spans="1:39" ht="39" customHeight="1" x14ac:dyDescent="0.25">
      <c r="A449" s="243"/>
      <c r="B449" s="477"/>
      <c r="C449" s="477"/>
      <c r="D449" s="477"/>
      <c r="E449" s="477"/>
      <c r="F449" s="477"/>
      <c r="G449" s="477"/>
      <c r="H449" s="477"/>
      <c r="I449" s="478"/>
      <c r="J449" s="477" t="s">
        <v>345</v>
      </c>
      <c r="K449" s="245"/>
      <c r="L449" s="257"/>
      <c r="M449" s="591" t="s">
        <v>346</v>
      </c>
      <c r="N449" s="592"/>
      <c r="O449" s="179"/>
      <c r="P449" s="180"/>
      <c r="Q449" s="180">
        <v>1400000</v>
      </c>
      <c r="R449" s="181">
        <f t="shared" si="124"/>
        <v>1.0609275538041831</v>
      </c>
      <c r="S449" s="181">
        <v>100</v>
      </c>
      <c r="T449" s="180">
        <f t="shared" si="117"/>
        <v>100</v>
      </c>
      <c r="U449" s="180">
        <f t="shared" si="122"/>
        <v>1.0609275538041831</v>
      </c>
      <c r="V449" s="182">
        <f t="shared" si="95"/>
        <v>0</v>
      </c>
      <c r="W449" s="180"/>
      <c r="X449" s="180"/>
      <c r="Y449" s="180"/>
      <c r="Z449" s="180"/>
      <c r="AA449" s="180"/>
      <c r="AB449" s="180"/>
      <c r="AC449" s="180"/>
      <c r="AD449" s="180"/>
      <c r="AE449" s="180"/>
      <c r="AF449" s="180"/>
      <c r="AG449" s="180"/>
      <c r="AH449" s="180"/>
      <c r="AI449" s="180">
        <v>1400000</v>
      </c>
      <c r="AJ449" s="181">
        <f t="shared" si="114"/>
        <v>100</v>
      </c>
      <c r="AK449" s="180">
        <f t="shared" si="120"/>
        <v>0</v>
      </c>
      <c r="AL449" s="181">
        <f t="shared" si="115"/>
        <v>0</v>
      </c>
      <c r="AM449" s="243"/>
    </row>
    <row r="450" spans="1:39" ht="24.75" customHeight="1" x14ac:dyDescent="0.25">
      <c r="A450" s="243"/>
      <c r="B450" s="477"/>
      <c r="C450" s="477"/>
      <c r="D450" s="477"/>
      <c r="E450" s="477"/>
      <c r="F450" s="477"/>
      <c r="G450" s="477"/>
      <c r="H450" s="477"/>
      <c r="I450" s="478"/>
      <c r="J450" s="477" t="s">
        <v>315</v>
      </c>
      <c r="K450" s="245"/>
      <c r="L450" s="257"/>
      <c r="M450" s="591" t="s">
        <v>271</v>
      </c>
      <c r="N450" s="592"/>
      <c r="O450" s="179"/>
      <c r="P450" s="180"/>
      <c r="Q450" s="180">
        <v>3400000</v>
      </c>
      <c r="R450" s="181">
        <f t="shared" si="124"/>
        <v>2.5765383449530157</v>
      </c>
      <c r="S450" s="181">
        <v>100</v>
      </c>
      <c r="T450" s="180">
        <f t="shared" si="117"/>
        <v>100</v>
      </c>
      <c r="U450" s="180">
        <f t="shared" si="122"/>
        <v>2.5765383449530157</v>
      </c>
      <c r="V450" s="182">
        <f t="shared" si="95"/>
        <v>0</v>
      </c>
      <c r="W450" s="180"/>
      <c r="X450" s="180"/>
      <c r="Y450" s="180"/>
      <c r="Z450" s="180"/>
      <c r="AA450" s="180"/>
      <c r="AB450" s="180"/>
      <c r="AC450" s="180"/>
      <c r="AD450" s="180"/>
      <c r="AE450" s="180"/>
      <c r="AF450" s="180"/>
      <c r="AG450" s="180"/>
      <c r="AH450" s="180"/>
      <c r="AI450" s="180">
        <v>3400000</v>
      </c>
      <c r="AJ450" s="181">
        <f t="shared" si="114"/>
        <v>100</v>
      </c>
      <c r="AK450" s="180">
        <f t="shared" si="120"/>
        <v>0</v>
      </c>
      <c r="AL450" s="181">
        <f t="shared" si="115"/>
        <v>0</v>
      </c>
      <c r="AM450" s="243"/>
    </row>
    <row r="451" spans="1:39" ht="27.75" customHeight="1" x14ac:dyDescent="0.25">
      <c r="A451" s="243"/>
      <c r="B451" s="477"/>
      <c r="C451" s="477"/>
      <c r="D451" s="477"/>
      <c r="E451" s="477"/>
      <c r="F451" s="477"/>
      <c r="G451" s="477"/>
      <c r="H451" s="477"/>
      <c r="I451" s="478"/>
      <c r="J451" s="477" t="s">
        <v>318</v>
      </c>
      <c r="K451" s="245"/>
      <c r="L451" s="257"/>
      <c r="M451" s="591" t="s">
        <v>319</v>
      </c>
      <c r="N451" s="592"/>
      <c r="O451" s="179"/>
      <c r="P451" s="180"/>
      <c r="Q451" s="180">
        <v>64800000</v>
      </c>
      <c r="R451" s="181">
        <f t="shared" si="124"/>
        <v>49.105789633222194</v>
      </c>
      <c r="S451" s="181">
        <v>100</v>
      </c>
      <c r="T451" s="180">
        <f t="shared" si="117"/>
        <v>100</v>
      </c>
      <c r="U451" s="180">
        <f t="shared" si="122"/>
        <v>49.105789633222194</v>
      </c>
      <c r="V451" s="182">
        <f t="shared" si="95"/>
        <v>0</v>
      </c>
      <c r="W451" s="180"/>
      <c r="X451" s="180"/>
      <c r="Y451" s="180"/>
      <c r="Z451" s="180"/>
      <c r="AA451" s="180"/>
      <c r="AB451" s="180"/>
      <c r="AC451" s="180"/>
      <c r="AD451" s="180"/>
      <c r="AE451" s="180"/>
      <c r="AF451" s="180"/>
      <c r="AG451" s="180"/>
      <c r="AH451" s="180"/>
      <c r="AI451" s="180">
        <v>64800000</v>
      </c>
      <c r="AJ451" s="181">
        <f t="shared" si="114"/>
        <v>100</v>
      </c>
      <c r="AK451" s="180">
        <f t="shared" si="120"/>
        <v>0</v>
      </c>
      <c r="AL451" s="181">
        <f t="shared" si="115"/>
        <v>0</v>
      </c>
      <c r="AM451" s="243"/>
    </row>
    <row r="452" spans="1:39" ht="24.75" customHeight="1" x14ac:dyDescent="0.25">
      <c r="A452" s="243"/>
      <c r="B452" s="477"/>
      <c r="C452" s="477"/>
      <c r="D452" s="477"/>
      <c r="E452" s="477"/>
      <c r="F452" s="477"/>
      <c r="G452" s="477"/>
      <c r="H452" s="477"/>
      <c r="I452" s="478"/>
      <c r="J452" s="477" t="s">
        <v>330</v>
      </c>
      <c r="K452" s="245"/>
      <c r="L452" s="257"/>
      <c r="M452" s="591" t="s">
        <v>331</v>
      </c>
      <c r="N452" s="592"/>
      <c r="O452" s="179"/>
      <c r="P452" s="180"/>
      <c r="Q452" s="180">
        <v>12000000</v>
      </c>
      <c r="R452" s="181">
        <f t="shared" si="124"/>
        <v>9.0936647468929976</v>
      </c>
      <c r="S452" s="181">
        <v>100</v>
      </c>
      <c r="T452" s="180">
        <f t="shared" si="117"/>
        <v>100</v>
      </c>
      <c r="U452" s="180">
        <f t="shared" si="122"/>
        <v>9.0936647468929976</v>
      </c>
      <c r="V452" s="182">
        <f t="shared" si="95"/>
        <v>0</v>
      </c>
      <c r="W452" s="180"/>
      <c r="X452" s="180"/>
      <c r="Y452" s="180"/>
      <c r="Z452" s="180"/>
      <c r="AA452" s="180"/>
      <c r="AB452" s="180"/>
      <c r="AC452" s="180"/>
      <c r="AD452" s="180"/>
      <c r="AE452" s="180"/>
      <c r="AF452" s="180"/>
      <c r="AG452" s="180"/>
      <c r="AH452" s="180"/>
      <c r="AI452" s="180">
        <v>12000000</v>
      </c>
      <c r="AJ452" s="181">
        <f t="shared" si="114"/>
        <v>100</v>
      </c>
      <c r="AK452" s="180">
        <f t="shared" si="120"/>
        <v>0</v>
      </c>
      <c r="AL452" s="181">
        <f t="shared" si="115"/>
        <v>0</v>
      </c>
      <c r="AM452" s="243"/>
    </row>
    <row r="453" spans="1:39" ht="24.75" customHeight="1" x14ac:dyDescent="0.25">
      <c r="A453" s="243"/>
      <c r="B453" s="477"/>
      <c r="C453" s="477"/>
      <c r="D453" s="477"/>
      <c r="E453" s="477"/>
      <c r="F453" s="477"/>
      <c r="G453" s="477"/>
      <c r="H453" s="477"/>
      <c r="I453" s="478"/>
      <c r="J453" s="477" t="s">
        <v>284</v>
      </c>
      <c r="K453" s="245"/>
      <c r="L453" s="257"/>
      <c r="M453" s="591" t="s">
        <v>585</v>
      </c>
      <c r="N453" s="592"/>
      <c r="O453" s="179"/>
      <c r="P453" s="180"/>
      <c r="Q453" s="180">
        <v>300000</v>
      </c>
      <c r="R453" s="181">
        <f t="shared" si="124"/>
        <v>0.22734161867232497</v>
      </c>
      <c r="S453" s="181">
        <v>100</v>
      </c>
      <c r="T453" s="180">
        <f t="shared" si="117"/>
        <v>0</v>
      </c>
      <c r="U453" s="180">
        <f t="shared" si="122"/>
        <v>0</v>
      </c>
      <c r="V453" s="182">
        <f t="shared" si="95"/>
        <v>100</v>
      </c>
      <c r="W453" s="180"/>
      <c r="X453" s="180"/>
      <c r="Y453" s="180"/>
      <c r="Z453" s="180"/>
      <c r="AA453" s="180"/>
      <c r="AB453" s="180"/>
      <c r="AC453" s="180"/>
      <c r="AD453" s="180"/>
      <c r="AE453" s="180"/>
      <c r="AF453" s="180"/>
      <c r="AG453" s="180"/>
      <c r="AH453" s="180"/>
      <c r="AI453" s="180">
        <v>0</v>
      </c>
      <c r="AJ453" s="181">
        <f t="shared" si="114"/>
        <v>0</v>
      </c>
      <c r="AK453" s="180">
        <f t="shared" si="120"/>
        <v>300000</v>
      </c>
      <c r="AL453" s="181">
        <f t="shared" si="115"/>
        <v>100</v>
      </c>
      <c r="AM453" s="243"/>
    </row>
    <row r="454" spans="1:39" ht="24.75" customHeight="1" x14ac:dyDescent="0.25">
      <c r="A454" s="243"/>
      <c r="B454" s="477"/>
      <c r="C454" s="477"/>
      <c r="D454" s="477"/>
      <c r="E454" s="477"/>
      <c r="F454" s="477"/>
      <c r="G454" s="477"/>
      <c r="H454" s="477"/>
      <c r="I454" s="478"/>
      <c r="J454" s="477" t="s">
        <v>282</v>
      </c>
      <c r="K454" s="245"/>
      <c r="L454" s="257"/>
      <c r="M454" s="591" t="s">
        <v>503</v>
      </c>
      <c r="N454" s="592"/>
      <c r="O454" s="179"/>
      <c r="P454" s="180"/>
      <c r="Q454" s="180">
        <v>26720000</v>
      </c>
      <c r="R454" s="181">
        <f t="shared" si="124"/>
        <v>20.248560169748409</v>
      </c>
      <c r="S454" s="181">
        <v>100</v>
      </c>
      <c r="T454" s="180">
        <f t="shared" si="117"/>
        <v>94.019461077844312</v>
      </c>
      <c r="U454" s="180">
        <f t="shared" si="122"/>
        <v>19.037587147620492</v>
      </c>
      <c r="V454" s="182">
        <f t="shared" si="95"/>
        <v>5.9805389221556879</v>
      </c>
      <c r="W454" s="180"/>
      <c r="X454" s="180"/>
      <c r="Y454" s="180"/>
      <c r="Z454" s="180"/>
      <c r="AA454" s="180"/>
      <c r="AB454" s="180"/>
      <c r="AC454" s="180"/>
      <c r="AD454" s="180"/>
      <c r="AE454" s="180"/>
      <c r="AF454" s="180"/>
      <c r="AG454" s="180"/>
      <c r="AH454" s="180"/>
      <c r="AI454" s="180">
        <v>25122000</v>
      </c>
      <c r="AJ454" s="181">
        <f t="shared" si="114"/>
        <v>94.019461077844312</v>
      </c>
      <c r="AK454" s="180">
        <f t="shared" si="120"/>
        <v>1598000</v>
      </c>
      <c r="AL454" s="181">
        <f t="shared" si="115"/>
        <v>5.9805389221556888</v>
      </c>
      <c r="AM454" s="243"/>
    </row>
    <row r="455" spans="1:39" ht="24.75" customHeight="1" x14ac:dyDescent="0.25">
      <c r="A455" s="243"/>
      <c r="B455" s="477"/>
      <c r="C455" s="477"/>
      <c r="D455" s="477"/>
      <c r="E455" s="477"/>
      <c r="F455" s="477"/>
      <c r="G455" s="477"/>
      <c r="H455" s="477"/>
      <c r="I455" s="478"/>
      <c r="J455" s="477" t="s">
        <v>320</v>
      </c>
      <c r="K455" s="245"/>
      <c r="L455" s="257"/>
      <c r="M455" s="591" t="s">
        <v>321</v>
      </c>
      <c r="N455" s="592"/>
      <c r="O455" s="179"/>
      <c r="P455" s="180"/>
      <c r="Q455" s="180">
        <v>13800000</v>
      </c>
      <c r="R455" s="181">
        <f t="shared" si="124"/>
        <v>10.457714458926947</v>
      </c>
      <c r="S455" s="181">
        <v>100</v>
      </c>
      <c r="T455" s="180">
        <f t="shared" si="117"/>
        <v>95.652173913043484</v>
      </c>
      <c r="U455" s="180">
        <f t="shared" si="122"/>
        <v>10.003031221582297</v>
      </c>
      <c r="V455" s="182">
        <f t="shared" si="95"/>
        <v>4.3478260869565162</v>
      </c>
      <c r="W455" s="180"/>
      <c r="X455" s="180"/>
      <c r="Y455" s="180"/>
      <c r="Z455" s="180"/>
      <c r="AA455" s="180"/>
      <c r="AB455" s="180"/>
      <c r="AC455" s="180"/>
      <c r="AD455" s="180"/>
      <c r="AE455" s="180"/>
      <c r="AF455" s="180"/>
      <c r="AG455" s="180"/>
      <c r="AH455" s="180"/>
      <c r="AI455" s="180">
        <v>13200000</v>
      </c>
      <c r="AJ455" s="181">
        <f t="shared" si="114"/>
        <v>95.652173913043484</v>
      </c>
      <c r="AK455" s="180">
        <f t="shared" si="120"/>
        <v>600000</v>
      </c>
      <c r="AL455" s="181">
        <f t="shared" si="115"/>
        <v>4.3478260869565215</v>
      </c>
      <c r="AM455" s="243"/>
    </row>
    <row r="456" spans="1:39" ht="24.75" customHeight="1" x14ac:dyDescent="0.25">
      <c r="A456" s="243"/>
      <c r="B456" s="477"/>
      <c r="C456" s="477"/>
      <c r="D456" s="477"/>
      <c r="E456" s="477"/>
      <c r="F456" s="477"/>
      <c r="G456" s="477"/>
      <c r="H456" s="477"/>
      <c r="I456" s="478"/>
      <c r="J456" s="477" t="s">
        <v>407</v>
      </c>
      <c r="K456" s="245"/>
      <c r="L456" s="257"/>
      <c r="M456" s="591" t="s">
        <v>414</v>
      </c>
      <c r="N456" s="592"/>
      <c r="O456" s="179"/>
      <c r="P456" s="180"/>
      <c r="Q456" s="180">
        <v>8000000</v>
      </c>
      <c r="R456" s="181">
        <f t="shared" si="124"/>
        <v>6.0624431645953321</v>
      </c>
      <c r="S456" s="181"/>
      <c r="T456" s="180">
        <f t="shared" si="117"/>
        <v>75</v>
      </c>
      <c r="U456" s="180">
        <f t="shared" si="122"/>
        <v>4.5468323734464988</v>
      </c>
      <c r="V456" s="182"/>
      <c r="W456" s="180"/>
      <c r="X456" s="180"/>
      <c r="Y456" s="180"/>
      <c r="Z456" s="180"/>
      <c r="AA456" s="180"/>
      <c r="AB456" s="180"/>
      <c r="AC456" s="180"/>
      <c r="AD456" s="180"/>
      <c r="AE456" s="180"/>
      <c r="AF456" s="180"/>
      <c r="AG456" s="180"/>
      <c r="AH456" s="180"/>
      <c r="AI456" s="180">
        <v>6000000</v>
      </c>
      <c r="AJ456" s="181">
        <f t="shared" si="114"/>
        <v>75</v>
      </c>
      <c r="AK456" s="180">
        <f t="shared" si="120"/>
        <v>2000000</v>
      </c>
      <c r="AL456" s="181">
        <f t="shared" si="115"/>
        <v>25</v>
      </c>
      <c r="AM456" s="243"/>
    </row>
    <row r="457" spans="1:39" s="297" customFormat="1" ht="30" customHeight="1" x14ac:dyDescent="0.25">
      <c r="A457" s="227">
        <f>A447+1</f>
        <v>57</v>
      </c>
      <c r="B457" s="615" t="s">
        <v>156</v>
      </c>
      <c r="C457" s="615"/>
      <c r="D457" s="615"/>
      <c r="E457" s="615"/>
      <c r="F457" s="615"/>
      <c r="G457" s="615"/>
      <c r="H457" s="615"/>
      <c r="I457" s="614"/>
      <c r="J457" s="304" t="s">
        <v>507</v>
      </c>
      <c r="K457" s="230"/>
      <c r="L457" s="294"/>
      <c r="M457" s="610" t="s">
        <v>157</v>
      </c>
      <c r="N457" s="610"/>
      <c r="O457" s="309">
        <v>1493981000</v>
      </c>
      <c r="P457" s="231">
        <f>O457</f>
        <v>1493981000</v>
      </c>
      <c r="Q457" s="231">
        <f>SUM(Q458:Q465)</f>
        <v>759011476</v>
      </c>
      <c r="R457" s="233">
        <f>Q457/Q$248*100</f>
        <v>6.3633581159287287</v>
      </c>
      <c r="S457" s="233">
        <v>100</v>
      </c>
      <c r="T457" s="231">
        <f t="shared" si="117"/>
        <v>71.678099370397391</v>
      </c>
      <c r="U457" s="231">
        <f t="shared" si="122"/>
        <v>4.5611341536296415</v>
      </c>
      <c r="V457" s="296">
        <f t="shared" si="95"/>
        <v>28.321900629602609</v>
      </c>
      <c r="W457" s="231"/>
      <c r="X457" s="231" t="e">
        <f>#REF!</f>
        <v>#REF!</v>
      </c>
      <c r="Y457" s="231" t="e">
        <f>#REF!</f>
        <v>#REF!</v>
      </c>
      <c r="Z457" s="231" t="e">
        <f>#REF!</f>
        <v>#REF!</v>
      </c>
      <c r="AA457" s="231" t="e">
        <f>#REF!</f>
        <v>#REF!</v>
      </c>
      <c r="AB457" s="231">
        <v>366754000</v>
      </c>
      <c r="AC457" s="231" t="e">
        <f>#REF!</f>
        <v>#REF!</v>
      </c>
      <c r="AD457" s="231" t="e">
        <f>#REF!</f>
        <v>#REF!</v>
      </c>
      <c r="AE457" s="231" t="e">
        <f>#REF!</f>
        <v>#REF!</v>
      </c>
      <c r="AF457" s="231" t="e">
        <f>[1]April!N76</f>
        <v>#REF!</v>
      </c>
      <c r="AG457" s="231" t="e">
        <f>[2]april!N76</f>
        <v>#REF!</v>
      </c>
      <c r="AH457" s="231">
        <f>'[3]DES SKPD'!$N76</f>
        <v>1083037500</v>
      </c>
      <c r="AI457" s="231">
        <f>SUM(AI458:AI465)</f>
        <v>544045000</v>
      </c>
      <c r="AJ457" s="233">
        <f t="shared" si="114"/>
        <v>71.678099370397391</v>
      </c>
      <c r="AK457" s="231">
        <f>Q457-AI457</f>
        <v>214966476</v>
      </c>
      <c r="AL457" s="233">
        <f t="shared" si="115"/>
        <v>28.321900629602602</v>
      </c>
      <c r="AM457" s="227"/>
    </row>
    <row r="458" spans="1:39" ht="30" customHeight="1" x14ac:dyDescent="0.25">
      <c r="A458" s="243"/>
      <c r="B458" s="477"/>
      <c r="C458" s="477"/>
      <c r="D458" s="477"/>
      <c r="E458" s="477"/>
      <c r="F458" s="477"/>
      <c r="G458" s="477"/>
      <c r="H458" s="477"/>
      <c r="I458" s="478"/>
      <c r="J458" s="477" t="s">
        <v>259</v>
      </c>
      <c r="K458" s="245"/>
      <c r="L458" s="257"/>
      <c r="M458" s="591" t="s">
        <v>615</v>
      </c>
      <c r="N458" s="592"/>
      <c r="O458" s="179"/>
      <c r="P458" s="180"/>
      <c r="Q458" s="180">
        <v>3850000</v>
      </c>
      <c r="R458" s="181">
        <f t="shared" ref="R458:R465" si="125">Q458/Q$457*100</f>
        <v>0.5072387074158019</v>
      </c>
      <c r="S458" s="181">
        <v>100</v>
      </c>
      <c r="T458" s="180">
        <f t="shared" si="117"/>
        <v>80</v>
      </c>
      <c r="U458" s="180">
        <f t="shared" si="122"/>
        <v>0.40579096593264152</v>
      </c>
      <c r="V458" s="182">
        <f t="shared" si="95"/>
        <v>20</v>
      </c>
      <c r="W458" s="180"/>
      <c r="X458" s="180"/>
      <c r="Y458" s="180"/>
      <c r="Z458" s="180"/>
      <c r="AA458" s="180"/>
      <c r="AB458" s="180"/>
      <c r="AC458" s="180"/>
      <c r="AD458" s="180"/>
      <c r="AE458" s="180"/>
      <c r="AF458" s="180"/>
      <c r="AG458" s="180"/>
      <c r="AH458" s="180"/>
      <c r="AI458" s="180">
        <f>770000+1540000+770000</f>
        <v>3080000</v>
      </c>
      <c r="AJ458" s="181">
        <f t="shared" si="114"/>
        <v>80</v>
      </c>
      <c r="AK458" s="180">
        <f t="shared" si="120"/>
        <v>770000</v>
      </c>
      <c r="AL458" s="181">
        <f t="shared" si="115"/>
        <v>20</v>
      </c>
      <c r="AM458" s="243"/>
    </row>
    <row r="459" spans="1:39" ht="30" customHeight="1" x14ac:dyDescent="0.25">
      <c r="A459" s="243"/>
      <c r="B459" s="477"/>
      <c r="C459" s="477"/>
      <c r="D459" s="477"/>
      <c r="E459" s="477"/>
      <c r="F459" s="477"/>
      <c r="G459" s="477"/>
      <c r="H459" s="477"/>
      <c r="I459" s="478"/>
      <c r="J459" s="477" t="s">
        <v>269</v>
      </c>
      <c r="K459" s="245"/>
      <c r="L459" s="257"/>
      <c r="M459" s="591" t="s">
        <v>354</v>
      </c>
      <c r="N459" s="592"/>
      <c r="O459" s="179"/>
      <c r="P459" s="180"/>
      <c r="Q459" s="180">
        <v>155506476</v>
      </c>
      <c r="R459" s="181">
        <f t="shared" si="125"/>
        <v>20.488026982084786</v>
      </c>
      <c r="S459" s="181">
        <v>100</v>
      </c>
      <c r="T459" s="180">
        <f t="shared" si="117"/>
        <v>99.854362335366659</v>
      </c>
      <c r="U459" s="180">
        <f t="shared" si="122"/>
        <v>20.458188698058631</v>
      </c>
      <c r="V459" s="182">
        <f t="shared" si="95"/>
        <v>0.14563766463334105</v>
      </c>
      <c r="W459" s="180"/>
      <c r="X459" s="180"/>
      <c r="Y459" s="180"/>
      <c r="Z459" s="180"/>
      <c r="AA459" s="180"/>
      <c r="AB459" s="180"/>
      <c r="AC459" s="180"/>
      <c r="AD459" s="180"/>
      <c r="AE459" s="180"/>
      <c r="AF459" s="180"/>
      <c r="AG459" s="180"/>
      <c r="AH459" s="180"/>
      <c r="AI459" s="180">
        <f>48600000+59280000+47400000</f>
        <v>155280000</v>
      </c>
      <c r="AJ459" s="181">
        <f t="shared" si="114"/>
        <v>99.854362335366659</v>
      </c>
      <c r="AK459" s="180">
        <f t="shared" si="120"/>
        <v>226476</v>
      </c>
      <c r="AL459" s="181">
        <f t="shared" si="115"/>
        <v>0.14563766463333655</v>
      </c>
      <c r="AM459" s="243"/>
    </row>
    <row r="460" spans="1:39" ht="30" customHeight="1" x14ac:dyDescent="0.25">
      <c r="A460" s="243"/>
      <c r="B460" s="477"/>
      <c r="C460" s="477"/>
      <c r="D460" s="477"/>
      <c r="E460" s="477"/>
      <c r="F460" s="477"/>
      <c r="G460" s="477"/>
      <c r="H460" s="477"/>
      <c r="I460" s="478"/>
      <c r="J460" s="477" t="s">
        <v>306</v>
      </c>
      <c r="K460" s="245"/>
      <c r="L460" s="257"/>
      <c r="M460" s="591" t="s">
        <v>352</v>
      </c>
      <c r="N460" s="592"/>
      <c r="O460" s="179"/>
      <c r="P460" s="180"/>
      <c r="Q460" s="180">
        <v>47955000</v>
      </c>
      <c r="R460" s="181">
        <f t="shared" si="125"/>
        <v>6.3180862893830607</v>
      </c>
      <c r="S460" s="181">
        <v>100</v>
      </c>
      <c r="T460" s="180">
        <f t="shared" si="117"/>
        <v>100</v>
      </c>
      <c r="U460" s="180">
        <f t="shared" si="122"/>
        <v>6.3180862893830616</v>
      </c>
      <c r="V460" s="182">
        <f t="shared" si="95"/>
        <v>0</v>
      </c>
      <c r="W460" s="180"/>
      <c r="X460" s="180"/>
      <c r="Y460" s="180"/>
      <c r="Z460" s="180"/>
      <c r="AA460" s="180"/>
      <c r="AB460" s="180"/>
      <c r="AC460" s="180"/>
      <c r="AD460" s="180"/>
      <c r="AE460" s="180"/>
      <c r="AF460" s="180"/>
      <c r="AG460" s="180"/>
      <c r="AH460" s="180"/>
      <c r="AI460" s="180">
        <v>47955000</v>
      </c>
      <c r="AJ460" s="181">
        <f t="shared" si="114"/>
        <v>100</v>
      </c>
      <c r="AK460" s="180">
        <f t="shared" si="120"/>
        <v>0</v>
      </c>
      <c r="AL460" s="181">
        <f t="shared" si="115"/>
        <v>0</v>
      </c>
      <c r="AM460" s="243"/>
    </row>
    <row r="461" spans="1:39" ht="30" customHeight="1" x14ac:dyDescent="0.25">
      <c r="A461" s="243"/>
      <c r="B461" s="477"/>
      <c r="C461" s="477"/>
      <c r="D461" s="477"/>
      <c r="E461" s="477"/>
      <c r="F461" s="477"/>
      <c r="G461" s="477"/>
      <c r="H461" s="477"/>
      <c r="I461" s="478"/>
      <c r="J461" s="477" t="s">
        <v>308</v>
      </c>
      <c r="K461" s="245"/>
      <c r="L461" s="257"/>
      <c r="M461" s="591" t="s">
        <v>612</v>
      </c>
      <c r="N461" s="592"/>
      <c r="O461" s="179"/>
      <c r="P461" s="180"/>
      <c r="Q461" s="180">
        <v>5000000</v>
      </c>
      <c r="R461" s="181">
        <f t="shared" si="125"/>
        <v>0.65875156807247004</v>
      </c>
      <c r="S461" s="181">
        <v>100</v>
      </c>
      <c r="T461" s="180">
        <f t="shared" si="117"/>
        <v>100</v>
      </c>
      <c r="U461" s="180">
        <f t="shared" si="122"/>
        <v>0.65875156807247004</v>
      </c>
      <c r="V461" s="182">
        <f t="shared" si="95"/>
        <v>0</v>
      </c>
      <c r="W461" s="180"/>
      <c r="X461" s="180"/>
      <c r="Y461" s="180"/>
      <c r="Z461" s="180"/>
      <c r="AA461" s="180"/>
      <c r="AB461" s="180"/>
      <c r="AC461" s="180"/>
      <c r="AD461" s="180"/>
      <c r="AE461" s="180"/>
      <c r="AF461" s="180"/>
      <c r="AG461" s="180"/>
      <c r="AH461" s="180"/>
      <c r="AI461" s="180">
        <v>5000000</v>
      </c>
      <c r="AJ461" s="181">
        <f t="shared" si="114"/>
        <v>100</v>
      </c>
      <c r="AK461" s="180">
        <f t="shared" si="120"/>
        <v>0</v>
      </c>
      <c r="AL461" s="181">
        <f t="shared" si="115"/>
        <v>0</v>
      </c>
      <c r="AM461" s="243"/>
    </row>
    <row r="462" spans="1:39" ht="30" customHeight="1" x14ac:dyDescent="0.25">
      <c r="A462" s="243"/>
      <c r="B462" s="477"/>
      <c r="C462" s="477"/>
      <c r="D462" s="477"/>
      <c r="E462" s="477"/>
      <c r="F462" s="477"/>
      <c r="G462" s="477"/>
      <c r="H462" s="477"/>
      <c r="I462" s="478"/>
      <c r="J462" s="477" t="s">
        <v>282</v>
      </c>
      <c r="K462" s="245"/>
      <c r="L462" s="257"/>
      <c r="M462" s="591" t="s">
        <v>616</v>
      </c>
      <c r="N462" s="592"/>
      <c r="O462" s="179"/>
      <c r="P462" s="180"/>
      <c r="Q462" s="180">
        <v>63700000</v>
      </c>
      <c r="R462" s="181">
        <f t="shared" si="125"/>
        <v>8.3924949772432687</v>
      </c>
      <c r="S462" s="181">
        <v>100</v>
      </c>
      <c r="T462" s="180">
        <f t="shared" si="117"/>
        <v>43.061224489795919</v>
      </c>
      <c r="U462" s="180">
        <f t="shared" si="122"/>
        <v>3.6139111024455706</v>
      </c>
      <c r="V462" s="182">
        <f t="shared" si="95"/>
        <v>56.938775510204081</v>
      </c>
      <c r="W462" s="180"/>
      <c r="X462" s="180"/>
      <c r="Y462" s="180"/>
      <c r="Z462" s="180"/>
      <c r="AA462" s="180"/>
      <c r="AB462" s="180"/>
      <c r="AC462" s="180"/>
      <c r="AD462" s="180"/>
      <c r="AE462" s="180"/>
      <c r="AF462" s="180"/>
      <c r="AG462" s="180"/>
      <c r="AH462" s="180"/>
      <c r="AI462" s="180">
        <v>27430000</v>
      </c>
      <c r="AJ462" s="181">
        <f t="shared" si="114"/>
        <v>43.061224489795919</v>
      </c>
      <c r="AK462" s="180">
        <f t="shared" si="120"/>
        <v>36270000</v>
      </c>
      <c r="AL462" s="181">
        <f t="shared" si="115"/>
        <v>56.938775510204088</v>
      </c>
      <c r="AM462" s="243"/>
    </row>
    <row r="463" spans="1:39" ht="30" customHeight="1" x14ac:dyDescent="0.25">
      <c r="A463" s="243"/>
      <c r="B463" s="477"/>
      <c r="C463" s="477"/>
      <c r="D463" s="477"/>
      <c r="E463" s="477"/>
      <c r="F463" s="477"/>
      <c r="G463" s="477"/>
      <c r="H463" s="477"/>
      <c r="I463" s="478"/>
      <c r="J463" s="477" t="s">
        <v>308</v>
      </c>
      <c r="K463" s="245"/>
      <c r="L463" s="257"/>
      <c r="M463" s="591" t="s">
        <v>601</v>
      </c>
      <c r="N463" s="592"/>
      <c r="O463" s="179"/>
      <c r="P463" s="180"/>
      <c r="Q463" s="180">
        <v>225000000</v>
      </c>
      <c r="R463" s="181">
        <f t="shared" si="125"/>
        <v>29.643820563261151</v>
      </c>
      <c r="S463" s="181">
        <v>100</v>
      </c>
      <c r="T463" s="180">
        <f t="shared" si="117"/>
        <v>47.911111111111111</v>
      </c>
      <c r="U463" s="180">
        <f t="shared" si="122"/>
        <v>14.202683807642455</v>
      </c>
      <c r="V463" s="182">
        <f t="shared" si="95"/>
        <v>52.088888888888889</v>
      </c>
      <c r="W463" s="180"/>
      <c r="X463" s="180"/>
      <c r="Y463" s="180"/>
      <c r="Z463" s="180"/>
      <c r="AA463" s="180"/>
      <c r="AB463" s="180"/>
      <c r="AC463" s="180"/>
      <c r="AD463" s="180"/>
      <c r="AE463" s="180"/>
      <c r="AF463" s="180"/>
      <c r="AG463" s="180"/>
      <c r="AH463" s="180"/>
      <c r="AI463" s="180">
        <f>49500000+19650000+38650000</f>
        <v>107800000</v>
      </c>
      <c r="AJ463" s="181">
        <f t="shared" si="114"/>
        <v>47.911111111111111</v>
      </c>
      <c r="AK463" s="180">
        <f t="shared" si="120"/>
        <v>117200000</v>
      </c>
      <c r="AL463" s="181">
        <f t="shared" si="115"/>
        <v>52.088888888888881</v>
      </c>
      <c r="AM463" s="243"/>
    </row>
    <row r="464" spans="1:39" ht="30" customHeight="1" x14ac:dyDescent="0.25">
      <c r="A464" s="243"/>
      <c r="B464" s="477"/>
      <c r="C464" s="477"/>
      <c r="D464" s="477"/>
      <c r="E464" s="477"/>
      <c r="F464" s="477"/>
      <c r="G464" s="477"/>
      <c r="H464" s="477"/>
      <c r="I464" s="478"/>
      <c r="J464" s="477" t="s">
        <v>309</v>
      </c>
      <c r="K464" s="245"/>
      <c r="L464" s="257"/>
      <c r="M464" s="591" t="s">
        <v>310</v>
      </c>
      <c r="N464" s="592"/>
      <c r="O464" s="179"/>
      <c r="P464" s="180"/>
      <c r="Q464" s="180">
        <v>28500000</v>
      </c>
      <c r="R464" s="181">
        <f t="shared" si="125"/>
        <v>3.7548839380130796</v>
      </c>
      <c r="S464" s="181">
        <v>100</v>
      </c>
      <c r="T464" s="180">
        <f t="shared" si="117"/>
        <v>66.666666666666657</v>
      </c>
      <c r="U464" s="180">
        <f t="shared" si="122"/>
        <v>2.503255958675386</v>
      </c>
      <c r="V464" s="182">
        <f t="shared" si="95"/>
        <v>33.333333333333343</v>
      </c>
      <c r="W464" s="180"/>
      <c r="X464" s="180"/>
      <c r="Y464" s="180"/>
      <c r="Z464" s="180"/>
      <c r="AA464" s="180"/>
      <c r="AB464" s="180"/>
      <c r="AC464" s="180"/>
      <c r="AD464" s="180"/>
      <c r="AE464" s="180"/>
      <c r="AF464" s="180"/>
      <c r="AG464" s="180"/>
      <c r="AH464" s="180"/>
      <c r="AI464" s="180">
        <v>19000000</v>
      </c>
      <c r="AJ464" s="181">
        <f t="shared" si="114"/>
        <v>66.666666666666657</v>
      </c>
      <c r="AK464" s="180">
        <f t="shared" si="120"/>
        <v>9500000</v>
      </c>
      <c r="AL464" s="181">
        <f t="shared" si="115"/>
        <v>33.333333333333329</v>
      </c>
      <c r="AM464" s="243"/>
    </row>
    <row r="465" spans="1:39" ht="30" customHeight="1" x14ac:dyDescent="0.25">
      <c r="A465" s="243"/>
      <c r="B465" s="477"/>
      <c r="C465" s="477"/>
      <c r="D465" s="477"/>
      <c r="E465" s="477"/>
      <c r="F465" s="477"/>
      <c r="G465" s="477"/>
      <c r="H465" s="477"/>
      <c r="I465" s="478"/>
      <c r="J465" s="477" t="s">
        <v>551</v>
      </c>
      <c r="K465" s="245"/>
      <c r="L465" s="257"/>
      <c r="M465" s="591" t="s">
        <v>550</v>
      </c>
      <c r="N465" s="592"/>
      <c r="O465" s="179"/>
      <c r="P465" s="180"/>
      <c r="Q465" s="180">
        <v>229500000</v>
      </c>
      <c r="R465" s="181">
        <f t="shared" si="125"/>
        <v>30.236696974526378</v>
      </c>
      <c r="S465" s="181">
        <v>100</v>
      </c>
      <c r="T465" s="180">
        <f t="shared" si="117"/>
        <v>77.777777777777786</v>
      </c>
      <c r="U465" s="180">
        <f t="shared" si="122"/>
        <v>23.517430980187186</v>
      </c>
      <c r="V465" s="182">
        <f t="shared" si="95"/>
        <v>22.222222222222214</v>
      </c>
      <c r="W465" s="180"/>
      <c r="X465" s="180"/>
      <c r="Y465" s="180"/>
      <c r="Z465" s="180"/>
      <c r="AA465" s="180"/>
      <c r="AB465" s="180"/>
      <c r="AC465" s="180"/>
      <c r="AD465" s="180"/>
      <c r="AE465" s="180"/>
      <c r="AF465" s="180"/>
      <c r="AG465" s="180"/>
      <c r="AH465" s="180"/>
      <c r="AI465" s="180">
        <f>51000000+25500000+25500000+25500000+25500000+25500000</f>
        <v>178500000</v>
      </c>
      <c r="AJ465" s="181">
        <f t="shared" si="114"/>
        <v>77.777777777777786</v>
      </c>
      <c r="AK465" s="180">
        <f t="shared" si="120"/>
        <v>51000000</v>
      </c>
      <c r="AL465" s="181">
        <f t="shared" si="115"/>
        <v>22.222222222222221</v>
      </c>
      <c r="AM465" s="243"/>
    </row>
    <row r="466" spans="1:39" s="297" customFormat="1" ht="31.5" customHeight="1" x14ac:dyDescent="0.25">
      <c r="A466" s="227">
        <f>A457+1</f>
        <v>58</v>
      </c>
      <c r="B466" s="615" t="s">
        <v>158</v>
      </c>
      <c r="C466" s="615"/>
      <c r="D466" s="615"/>
      <c r="E466" s="615"/>
      <c r="F466" s="615"/>
      <c r="G466" s="615"/>
      <c r="H466" s="615"/>
      <c r="I466" s="614"/>
      <c r="J466" s="304" t="s">
        <v>508</v>
      </c>
      <c r="K466" s="230"/>
      <c r="L466" s="294"/>
      <c r="M466" s="609" t="s">
        <v>159</v>
      </c>
      <c r="N466" s="609"/>
      <c r="O466" s="309">
        <v>355300000</v>
      </c>
      <c r="P466" s="231">
        <f>O466</f>
        <v>355300000</v>
      </c>
      <c r="Q466" s="231">
        <f>SUM(Q467:Q475)</f>
        <v>83400000</v>
      </c>
      <c r="R466" s="233">
        <f>Q466/Q$35*100</f>
        <v>0.26237757907282139</v>
      </c>
      <c r="S466" s="233">
        <v>100</v>
      </c>
      <c r="T466" s="231">
        <f t="shared" si="117"/>
        <v>3.1175059952038371</v>
      </c>
      <c r="U466" s="231">
        <f t="shared" si="122"/>
        <v>8.1796367576658941E-3</v>
      </c>
      <c r="V466" s="296">
        <f t="shared" si="95"/>
        <v>96.882494004796158</v>
      </c>
      <c r="W466" s="231"/>
      <c r="X466" s="231" t="e">
        <f>#REF!</f>
        <v>#REF!</v>
      </c>
      <c r="Y466" s="231" t="e">
        <f>#REF!</f>
        <v>#REF!</v>
      </c>
      <c r="Z466" s="231" t="e">
        <f>#REF!</f>
        <v>#REF!</v>
      </c>
      <c r="AA466" s="231" t="e">
        <f>#REF!</f>
        <v>#REF!</v>
      </c>
      <c r="AB466" s="231">
        <v>131395500</v>
      </c>
      <c r="AC466" s="231" t="e">
        <f>#REF!</f>
        <v>#REF!</v>
      </c>
      <c r="AD466" s="231" t="e">
        <f>#REF!</f>
        <v>#REF!</v>
      </c>
      <c r="AE466" s="231" t="e">
        <f>#REF!</f>
        <v>#REF!</v>
      </c>
      <c r="AF466" s="231" t="e">
        <f>[1]April!N67</f>
        <v>#REF!</v>
      </c>
      <c r="AG466" s="231" t="e">
        <f>[2]april!N77</f>
        <v>#REF!</v>
      </c>
      <c r="AH466" s="231">
        <f>'[3]DES SKPD'!$N77</f>
        <v>318242454</v>
      </c>
      <c r="AI466" s="231">
        <f>SUM(AI467:AI475)</f>
        <v>2600000</v>
      </c>
      <c r="AJ466" s="233">
        <f t="shared" si="114"/>
        <v>3.1175059952038371</v>
      </c>
      <c r="AK466" s="231">
        <f t="shared" si="120"/>
        <v>80800000</v>
      </c>
      <c r="AL466" s="233">
        <f t="shared" si="115"/>
        <v>96.882494004796158</v>
      </c>
      <c r="AM466" s="227"/>
    </row>
    <row r="467" spans="1:39" ht="24.75" customHeight="1" x14ac:dyDescent="0.25">
      <c r="A467" s="243"/>
      <c r="B467" s="477"/>
      <c r="C467" s="477"/>
      <c r="D467" s="477"/>
      <c r="E467" s="477"/>
      <c r="F467" s="477"/>
      <c r="G467" s="477"/>
      <c r="H467" s="477"/>
      <c r="I467" s="478"/>
      <c r="J467" s="477" t="s">
        <v>257</v>
      </c>
      <c r="K467" s="245"/>
      <c r="L467" s="257"/>
      <c r="M467" s="591" t="s">
        <v>258</v>
      </c>
      <c r="N467" s="592"/>
      <c r="O467" s="179"/>
      <c r="P467" s="180"/>
      <c r="Q467" s="180">
        <v>2600000</v>
      </c>
      <c r="R467" s="181">
        <f>Q467/Q$466*100</f>
        <v>3.1175059952038371</v>
      </c>
      <c r="S467" s="181">
        <v>100</v>
      </c>
      <c r="T467" s="180">
        <f t="shared" si="117"/>
        <v>0</v>
      </c>
      <c r="U467" s="180">
        <f t="shared" si="122"/>
        <v>0</v>
      </c>
      <c r="V467" s="182">
        <f t="shared" si="95"/>
        <v>100</v>
      </c>
      <c r="W467" s="180"/>
      <c r="X467" s="180"/>
      <c r="Y467" s="180"/>
      <c r="Z467" s="180"/>
      <c r="AA467" s="180"/>
      <c r="AB467" s="180"/>
      <c r="AC467" s="180"/>
      <c r="AD467" s="180"/>
      <c r="AE467" s="180"/>
      <c r="AF467" s="180"/>
      <c r="AG467" s="180"/>
      <c r="AH467" s="180"/>
      <c r="AI467" s="180">
        <v>0</v>
      </c>
      <c r="AJ467" s="181">
        <f t="shared" si="114"/>
        <v>0</v>
      </c>
      <c r="AK467" s="180">
        <f t="shared" si="120"/>
        <v>2600000</v>
      </c>
      <c r="AL467" s="181">
        <f t="shared" si="115"/>
        <v>100</v>
      </c>
      <c r="AM467" s="243"/>
    </row>
    <row r="468" spans="1:39" ht="24.75" customHeight="1" x14ac:dyDescent="0.25">
      <c r="A468" s="243"/>
      <c r="B468" s="477"/>
      <c r="C468" s="477"/>
      <c r="D468" s="477"/>
      <c r="E468" s="477"/>
      <c r="F468" s="477"/>
      <c r="G468" s="477"/>
      <c r="H468" s="477"/>
      <c r="I468" s="478"/>
      <c r="J468" s="477" t="s">
        <v>269</v>
      </c>
      <c r="K468" s="245"/>
      <c r="L468" s="257"/>
      <c r="M468" s="591" t="s">
        <v>352</v>
      </c>
      <c r="N468" s="592"/>
      <c r="O468" s="179"/>
      <c r="P468" s="180"/>
      <c r="Q468" s="180">
        <v>3000000</v>
      </c>
      <c r="R468" s="181">
        <f t="shared" ref="R468:R475" si="126">Q468/Q$466*100</f>
        <v>3.5971223021582732</v>
      </c>
      <c r="S468" s="181">
        <v>100</v>
      </c>
      <c r="T468" s="180">
        <f t="shared" si="117"/>
        <v>0</v>
      </c>
      <c r="U468" s="180">
        <f t="shared" si="122"/>
        <v>0</v>
      </c>
      <c r="V468" s="182">
        <f t="shared" si="95"/>
        <v>100</v>
      </c>
      <c r="W468" s="180"/>
      <c r="X468" s="180"/>
      <c r="Y468" s="180"/>
      <c r="Z468" s="180"/>
      <c r="AA468" s="180"/>
      <c r="AB468" s="180"/>
      <c r="AC468" s="180"/>
      <c r="AD468" s="180"/>
      <c r="AE468" s="180"/>
      <c r="AF468" s="180"/>
      <c r="AG468" s="180"/>
      <c r="AH468" s="180"/>
      <c r="AI468" s="180">
        <v>0</v>
      </c>
      <c r="AJ468" s="181">
        <f t="shared" si="114"/>
        <v>0</v>
      </c>
      <c r="AK468" s="180">
        <f t="shared" si="120"/>
        <v>3000000</v>
      </c>
      <c r="AL468" s="181">
        <f t="shared" si="115"/>
        <v>100</v>
      </c>
      <c r="AM468" s="243"/>
    </row>
    <row r="469" spans="1:39" ht="24.75" customHeight="1" x14ac:dyDescent="0.25">
      <c r="A469" s="243"/>
      <c r="B469" s="477"/>
      <c r="C469" s="477"/>
      <c r="D469" s="477"/>
      <c r="E469" s="477"/>
      <c r="F469" s="477"/>
      <c r="G469" s="477"/>
      <c r="H469" s="477"/>
      <c r="I469" s="478"/>
      <c r="J469" s="477" t="s">
        <v>315</v>
      </c>
      <c r="K469" s="245"/>
      <c r="L469" s="257"/>
      <c r="M469" s="591" t="s">
        <v>271</v>
      </c>
      <c r="N469" s="592"/>
      <c r="O469" s="179"/>
      <c r="P469" s="180"/>
      <c r="Q469" s="180">
        <v>1400000</v>
      </c>
      <c r="R469" s="181">
        <f t="shared" si="126"/>
        <v>1.6786570743405276</v>
      </c>
      <c r="S469" s="181">
        <v>100</v>
      </c>
      <c r="T469" s="180">
        <f t="shared" si="117"/>
        <v>21.428571428571427</v>
      </c>
      <c r="U469" s="180">
        <f t="shared" si="122"/>
        <v>0.35971223021582732</v>
      </c>
      <c r="V469" s="182">
        <f t="shared" si="95"/>
        <v>78.571428571428569</v>
      </c>
      <c r="W469" s="180"/>
      <c r="X469" s="180"/>
      <c r="Y469" s="180"/>
      <c r="Z469" s="180"/>
      <c r="AA469" s="180"/>
      <c r="AB469" s="180"/>
      <c r="AC469" s="180"/>
      <c r="AD469" s="180"/>
      <c r="AE469" s="180"/>
      <c r="AF469" s="180"/>
      <c r="AG469" s="180"/>
      <c r="AH469" s="180"/>
      <c r="AI469" s="180">
        <v>300000</v>
      </c>
      <c r="AJ469" s="181">
        <f t="shared" si="114"/>
        <v>21.428571428571427</v>
      </c>
      <c r="AK469" s="180">
        <f t="shared" si="120"/>
        <v>1100000</v>
      </c>
      <c r="AL469" s="181">
        <f t="shared" si="115"/>
        <v>78.571428571428569</v>
      </c>
      <c r="AM469" s="243"/>
    </row>
    <row r="470" spans="1:39" ht="24.75" customHeight="1" x14ac:dyDescent="0.25">
      <c r="A470" s="243"/>
      <c r="B470" s="477"/>
      <c r="C470" s="477"/>
      <c r="D470" s="477"/>
      <c r="E470" s="477"/>
      <c r="F470" s="477"/>
      <c r="G470" s="477"/>
      <c r="H470" s="477"/>
      <c r="I470" s="478"/>
      <c r="J470" s="477"/>
      <c r="K470" s="245"/>
      <c r="L470" s="257"/>
      <c r="M470" s="591" t="s">
        <v>612</v>
      </c>
      <c r="N470" s="592"/>
      <c r="O470" s="179"/>
      <c r="P470" s="180"/>
      <c r="Q470" s="180">
        <v>1200000</v>
      </c>
      <c r="R470" s="181">
        <f t="shared" si="126"/>
        <v>1.4388489208633095</v>
      </c>
      <c r="S470" s="181">
        <v>100</v>
      </c>
      <c r="T470" s="180">
        <f t="shared" si="117"/>
        <v>0</v>
      </c>
      <c r="U470" s="180">
        <f t="shared" si="122"/>
        <v>0</v>
      </c>
      <c r="V470" s="182">
        <f t="shared" si="95"/>
        <v>100</v>
      </c>
      <c r="W470" s="180"/>
      <c r="X470" s="180"/>
      <c r="Y470" s="180"/>
      <c r="Z470" s="180"/>
      <c r="AA470" s="180"/>
      <c r="AB470" s="180"/>
      <c r="AC470" s="180"/>
      <c r="AD470" s="180"/>
      <c r="AE470" s="180"/>
      <c r="AF470" s="180"/>
      <c r="AG470" s="180"/>
      <c r="AH470" s="180"/>
      <c r="AI470" s="180">
        <v>0</v>
      </c>
      <c r="AJ470" s="181">
        <f t="shared" si="114"/>
        <v>0</v>
      </c>
      <c r="AK470" s="180">
        <f t="shared" si="120"/>
        <v>1200000</v>
      </c>
      <c r="AL470" s="181">
        <f t="shared" si="115"/>
        <v>100</v>
      </c>
      <c r="AM470" s="243"/>
    </row>
    <row r="471" spans="1:39" ht="33" customHeight="1" x14ac:dyDescent="0.25">
      <c r="A471" s="243"/>
      <c r="B471" s="477"/>
      <c r="C471" s="477"/>
      <c r="D471" s="477"/>
      <c r="E471" s="477"/>
      <c r="F471" s="477"/>
      <c r="G471" s="477"/>
      <c r="H471" s="477"/>
      <c r="I471" s="478"/>
      <c r="J471" s="477" t="s">
        <v>318</v>
      </c>
      <c r="K471" s="245"/>
      <c r="L471" s="257"/>
      <c r="M471" s="591" t="s">
        <v>319</v>
      </c>
      <c r="N471" s="592"/>
      <c r="O471" s="179"/>
      <c r="P471" s="180"/>
      <c r="Q471" s="180">
        <v>36000000</v>
      </c>
      <c r="R471" s="181">
        <f t="shared" si="126"/>
        <v>43.165467625899282</v>
      </c>
      <c r="S471" s="181">
        <v>100</v>
      </c>
      <c r="T471" s="180">
        <f t="shared" si="117"/>
        <v>0</v>
      </c>
      <c r="U471" s="180">
        <f t="shared" si="122"/>
        <v>0</v>
      </c>
      <c r="V471" s="182">
        <f t="shared" si="95"/>
        <v>100</v>
      </c>
      <c r="W471" s="180"/>
      <c r="X471" s="180"/>
      <c r="Y471" s="180"/>
      <c r="Z471" s="180"/>
      <c r="AA471" s="180"/>
      <c r="AB471" s="180"/>
      <c r="AC471" s="180"/>
      <c r="AD471" s="180"/>
      <c r="AE471" s="180"/>
      <c r="AF471" s="180"/>
      <c r="AG471" s="180"/>
      <c r="AH471" s="180"/>
      <c r="AI471" s="180">
        <v>0</v>
      </c>
      <c r="AJ471" s="181">
        <f t="shared" si="114"/>
        <v>0</v>
      </c>
      <c r="AK471" s="180">
        <f t="shared" si="120"/>
        <v>36000000</v>
      </c>
      <c r="AL471" s="181">
        <f t="shared" si="115"/>
        <v>100</v>
      </c>
      <c r="AM471" s="243"/>
    </row>
    <row r="472" spans="1:39" ht="24.75" customHeight="1" x14ac:dyDescent="0.25">
      <c r="A472" s="243"/>
      <c r="B472" s="477"/>
      <c r="C472" s="477"/>
      <c r="D472" s="477"/>
      <c r="E472" s="477"/>
      <c r="F472" s="477"/>
      <c r="G472" s="477"/>
      <c r="H472" s="477"/>
      <c r="I472" s="478"/>
      <c r="J472" s="477" t="s">
        <v>284</v>
      </c>
      <c r="K472" s="245"/>
      <c r="L472" s="257"/>
      <c r="M472" s="591" t="s">
        <v>285</v>
      </c>
      <c r="N472" s="592"/>
      <c r="O472" s="179"/>
      <c r="P472" s="180"/>
      <c r="Q472" s="180">
        <v>10000000</v>
      </c>
      <c r="R472" s="181">
        <f t="shared" si="126"/>
        <v>11.990407673860911</v>
      </c>
      <c r="S472" s="181">
        <v>100</v>
      </c>
      <c r="T472" s="180">
        <f t="shared" si="117"/>
        <v>11</v>
      </c>
      <c r="U472" s="180">
        <f t="shared" si="122"/>
        <v>1.3189448441247003</v>
      </c>
      <c r="V472" s="182">
        <f t="shared" si="95"/>
        <v>89</v>
      </c>
      <c r="W472" s="180"/>
      <c r="X472" s="180"/>
      <c r="Y472" s="180"/>
      <c r="Z472" s="180"/>
      <c r="AA472" s="180"/>
      <c r="AB472" s="180"/>
      <c r="AC472" s="180"/>
      <c r="AD472" s="180"/>
      <c r="AE472" s="180"/>
      <c r="AF472" s="180"/>
      <c r="AG472" s="180"/>
      <c r="AH472" s="180"/>
      <c r="AI472" s="180">
        <v>1100000</v>
      </c>
      <c r="AJ472" s="181">
        <f t="shared" si="114"/>
        <v>11</v>
      </c>
      <c r="AK472" s="180">
        <f t="shared" si="120"/>
        <v>8900000</v>
      </c>
      <c r="AL472" s="181">
        <f t="shared" si="115"/>
        <v>89</v>
      </c>
      <c r="AM472" s="243"/>
    </row>
    <row r="473" spans="1:39" ht="24.75" customHeight="1" x14ac:dyDescent="0.25">
      <c r="A473" s="243"/>
      <c r="B473" s="477"/>
      <c r="C473" s="477"/>
      <c r="D473" s="477"/>
      <c r="E473" s="477"/>
      <c r="F473" s="477"/>
      <c r="G473" s="477"/>
      <c r="H473" s="477"/>
      <c r="I473" s="478"/>
      <c r="J473" s="477"/>
      <c r="K473" s="245"/>
      <c r="L473" s="257"/>
      <c r="M473" s="591" t="s">
        <v>503</v>
      </c>
      <c r="N473" s="592"/>
      <c r="O473" s="179"/>
      <c r="P473" s="180"/>
      <c r="Q473" s="180">
        <v>12000000</v>
      </c>
      <c r="R473" s="181">
        <f t="shared" si="126"/>
        <v>14.388489208633093</v>
      </c>
      <c r="S473" s="181">
        <v>100</v>
      </c>
      <c r="T473" s="180">
        <f t="shared" si="117"/>
        <v>10</v>
      </c>
      <c r="U473" s="180">
        <f t="shared" si="122"/>
        <v>1.4388489208633093</v>
      </c>
      <c r="V473" s="182">
        <f t="shared" si="95"/>
        <v>90</v>
      </c>
      <c r="W473" s="180"/>
      <c r="X473" s="180"/>
      <c r="Y473" s="180"/>
      <c r="Z473" s="180"/>
      <c r="AA473" s="180"/>
      <c r="AB473" s="180"/>
      <c r="AC473" s="180"/>
      <c r="AD473" s="180"/>
      <c r="AE473" s="180"/>
      <c r="AF473" s="180"/>
      <c r="AG473" s="180"/>
      <c r="AH473" s="180"/>
      <c r="AI473" s="180">
        <v>1200000</v>
      </c>
      <c r="AJ473" s="181">
        <f t="shared" si="114"/>
        <v>10</v>
      </c>
      <c r="AK473" s="180">
        <f t="shared" si="120"/>
        <v>10800000</v>
      </c>
      <c r="AL473" s="181">
        <f t="shared" si="115"/>
        <v>90</v>
      </c>
      <c r="AM473" s="243"/>
    </row>
    <row r="474" spans="1:39" ht="24.75" customHeight="1" x14ac:dyDescent="0.25">
      <c r="A474" s="243"/>
      <c r="B474" s="477"/>
      <c r="C474" s="477"/>
      <c r="D474" s="477"/>
      <c r="E474" s="477"/>
      <c r="F474" s="477"/>
      <c r="G474" s="477"/>
      <c r="H474" s="477"/>
      <c r="I474" s="478"/>
      <c r="J474" s="477" t="s">
        <v>320</v>
      </c>
      <c r="K474" s="245"/>
      <c r="L474" s="257"/>
      <c r="M474" s="611" t="s">
        <v>321</v>
      </c>
      <c r="N474" s="598"/>
      <c r="O474" s="179"/>
      <c r="P474" s="180"/>
      <c r="Q474" s="180">
        <v>11600000</v>
      </c>
      <c r="R474" s="181">
        <f t="shared" si="126"/>
        <v>13.908872901678656</v>
      </c>
      <c r="S474" s="181">
        <v>100</v>
      </c>
      <c r="T474" s="180">
        <f t="shared" si="117"/>
        <v>0</v>
      </c>
      <c r="U474" s="180">
        <f t="shared" si="122"/>
        <v>0</v>
      </c>
      <c r="V474" s="182">
        <f t="shared" si="95"/>
        <v>100</v>
      </c>
      <c r="W474" s="180"/>
      <c r="X474" s="180"/>
      <c r="Y474" s="180"/>
      <c r="Z474" s="180"/>
      <c r="AA474" s="180"/>
      <c r="AB474" s="180"/>
      <c r="AC474" s="180"/>
      <c r="AD474" s="180"/>
      <c r="AE474" s="180"/>
      <c r="AF474" s="180"/>
      <c r="AG474" s="180"/>
      <c r="AH474" s="180"/>
      <c r="AI474" s="180">
        <v>0</v>
      </c>
      <c r="AJ474" s="181">
        <f t="shared" ref="AJ474:AJ537" si="127">AI474/Q474*100</f>
        <v>0</v>
      </c>
      <c r="AK474" s="180">
        <f t="shared" si="120"/>
        <v>11600000</v>
      </c>
      <c r="AL474" s="181">
        <f t="shared" ref="AL474:AL511" si="128">AK474/Q474*100</f>
        <v>100</v>
      </c>
      <c r="AM474" s="243"/>
    </row>
    <row r="475" spans="1:39" ht="24.75" customHeight="1" x14ac:dyDescent="0.25">
      <c r="A475" s="243"/>
      <c r="B475" s="477"/>
      <c r="C475" s="477"/>
      <c r="D475" s="477"/>
      <c r="E475" s="477"/>
      <c r="F475" s="477"/>
      <c r="G475" s="477"/>
      <c r="H475" s="477"/>
      <c r="I475" s="478"/>
      <c r="J475" s="477" t="s">
        <v>407</v>
      </c>
      <c r="K475" s="245"/>
      <c r="L475" s="257"/>
      <c r="M475" s="591" t="s">
        <v>414</v>
      </c>
      <c r="N475" s="592"/>
      <c r="O475" s="179"/>
      <c r="P475" s="180"/>
      <c r="Q475" s="180">
        <v>5600000</v>
      </c>
      <c r="R475" s="181">
        <f t="shared" si="126"/>
        <v>6.7146282973621103</v>
      </c>
      <c r="S475" s="181">
        <v>100</v>
      </c>
      <c r="T475" s="180">
        <f t="shared" si="117"/>
        <v>0</v>
      </c>
      <c r="U475" s="180">
        <f t="shared" si="122"/>
        <v>0</v>
      </c>
      <c r="V475" s="182">
        <f t="shared" si="95"/>
        <v>100</v>
      </c>
      <c r="W475" s="180"/>
      <c r="X475" s="180"/>
      <c r="Y475" s="180"/>
      <c r="Z475" s="180"/>
      <c r="AA475" s="180"/>
      <c r="AB475" s="180"/>
      <c r="AC475" s="180"/>
      <c r="AD475" s="180"/>
      <c r="AE475" s="180"/>
      <c r="AF475" s="180"/>
      <c r="AG475" s="180"/>
      <c r="AH475" s="180"/>
      <c r="AI475" s="180">
        <v>0</v>
      </c>
      <c r="AJ475" s="181">
        <f t="shared" si="127"/>
        <v>0</v>
      </c>
      <c r="AK475" s="180">
        <f t="shared" si="120"/>
        <v>5600000</v>
      </c>
      <c r="AL475" s="181">
        <f t="shared" si="128"/>
        <v>100</v>
      </c>
      <c r="AM475" s="243"/>
    </row>
    <row r="476" spans="1:39" ht="33.75" customHeight="1" x14ac:dyDescent="0.25">
      <c r="A476" s="227">
        <v>59</v>
      </c>
      <c r="B476" s="477"/>
      <c r="C476" s="477"/>
      <c r="D476" s="477"/>
      <c r="E476" s="477"/>
      <c r="F476" s="477"/>
      <c r="G476" s="477"/>
      <c r="H476" s="477"/>
      <c r="I476" s="478"/>
      <c r="J476" s="304" t="s">
        <v>511</v>
      </c>
      <c r="K476" s="230"/>
      <c r="L476" s="294"/>
      <c r="M476" s="609" t="s">
        <v>512</v>
      </c>
      <c r="N476" s="609"/>
      <c r="O476" s="309">
        <v>355300000</v>
      </c>
      <c r="P476" s="231">
        <f>O476</f>
        <v>355300000</v>
      </c>
      <c r="Q476" s="231">
        <f>SUM(Q477:Q482)</f>
        <v>14850000</v>
      </c>
      <c r="R476" s="233">
        <f>Q476/Q$248*100</f>
        <v>0.12449860247111945</v>
      </c>
      <c r="S476" s="233">
        <v>100</v>
      </c>
      <c r="T476" s="231">
        <f t="shared" si="117"/>
        <v>0</v>
      </c>
      <c r="U476" s="231">
        <f t="shared" si="122"/>
        <v>0</v>
      </c>
      <c r="V476" s="296">
        <f t="shared" si="95"/>
        <v>100</v>
      </c>
      <c r="W476" s="231"/>
      <c r="X476" s="231" t="e">
        <f>#REF!</f>
        <v>#REF!</v>
      </c>
      <c r="Y476" s="231" t="e">
        <f>#REF!</f>
        <v>#REF!</v>
      </c>
      <c r="Z476" s="231" t="e">
        <f>#REF!</f>
        <v>#REF!</v>
      </c>
      <c r="AA476" s="231" t="e">
        <f>#REF!</f>
        <v>#REF!</v>
      </c>
      <c r="AB476" s="231">
        <v>131395500</v>
      </c>
      <c r="AC476" s="231" t="e">
        <f>#REF!</f>
        <v>#REF!</v>
      </c>
      <c r="AD476" s="231" t="e">
        <f>#REF!</f>
        <v>#REF!</v>
      </c>
      <c r="AE476" s="231" t="e">
        <f>#REF!</f>
        <v>#REF!</v>
      </c>
      <c r="AF476" s="231" t="e">
        <f>[1]April!N80</f>
        <v>#REF!</v>
      </c>
      <c r="AG476" s="231" t="e">
        <f>[2]april!N90</f>
        <v>#REF!</v>
      </c>
      <c r="AH476" s="231" t="e">
        <f>'[3]DES SKPD'!$N90</f>
        <v>#REF!</v>
      </c>
      <c r="AI476" s="231">
        <f>SUM(AI477:AI482)</f>
        <v>0</v>
      </c>
      <c r="AJ476" s="233">
        <f t="shared" si="127"/>
        <v>0</v>
      </c>
      <c r="AK476" s="231">
        <f t="shared" si="120"/>
        <v>14850000</v>
      </c>
      <c r="AL476" s="233">
        <f t="shared" si="128"/>
        <v>100</v>
      </c>
      <c r="AM476" s="227"/>
    </row>
    <row r="477" spans="1:39" ht="24.75" customHeight="1" x14ac:dyDescent="0.25">
      <c r="A477" s="243"/>
      <c r="B477" s="477"/>
      <c r="C477" s="477"/>
      <c r="D477" s="477"/>
      <c r="E477" s="477"/>
      <c r="F477" s="477"/>
      <c r="G477" s="477"/>
      <c r="H477" s="477"/>
      <c r="I477" s="478"/>
      <c r="J477" s="477" t="s">
        <v>257</v>
      </c>
      <c r="K477" s="245"/>
      <c r="L477" s="257"/>
      <c r="M477" s="591" t="s">
        <v>260</v>
      </c>
      <c r="N477" s="592"/>
      <c r="O477" s="179"/>
      <c r="P477" s="180"/>
      <c r="Q477" s="180">
        <v>650000</v>
      </c>
      <c r="R477" s="181">
        <f t="shared" ref="R477:R482" si="129">Q477/Q$476*100</f>
        <v>4.3771043771043772</v>
      </c>
      <c r="S477" s="181">
        <v>100</v>
      </c>
      <c r="T477" s="180">
        <f t="shared" si="117"/>
        <v>0</v>
      </c>
      <c r="U477" s="180">
        <f t="shared" si="122"/>
        <v>0</v>
      </c>
      <c r="V477" s="182">
        <f t="shared" si="95"/>
        <v>100</v>
      </c>
      <c r="W477" s="180"/>
      <c r="X477" s="180"/>
      <c r="Y477" s="180"/>
      <c r="Z477" s="180"/>
      <c r="AA477" s="180"/>
      <c r="AB477" s="180"/>
      <c r="AC477" s="180"/>
      <c r="AD477" s="180"/>
      <c r="AE477" s="180"/>
      <c r="AF477" s="180"/>
      <c r="AG477" s="180"/>
      <c r="AH477" s="180"/>
      <c r="AI477" s="180">
        <v>0</v>
      </c>
      <c r="AJ477" s="181">
        <f t="shared" si="127"/>
        <v>0</v>
      </c>
      <c r="AK477" s="180">
        <f t="shared" si="120"/>
        <v>650000</v>
      </c>
      <c r="AL477" s="181">
        <f t="shared" si="128"/>
        <v>100</v>
      </c>
      <c r="AM477" s="243"/>
    </row>
    <row r="478" spans="1:39" ht="24.75" customHeight="1" x14ac:dyDescent="0.25">
      <c r="A478" s="243"/>
      <c r="B478" s="477"/>
      <c r="C478" s="477"/>
      <c r="D478" s="477"/>
      <c r="E478" s="477"/>
      <c r="F478" s="477"/>
      <c r="G478" s="477"/>
      <c r="H478" s="477"/>
      <c r="I478" s="478"/>
      <c r="J478" s="477" t="s">
        <v>326</v>
      </c>
      <c r="K478" s="245"/>
      <c r="L478" s="257"/>
      <c r="M478" s="591" t="s">
        <v>351</v>
      </c>
      <c r="N478" s="592"/>
      <c r="O478" s="179"/>
      <c r="P478" s="180"/>
      <c r="Q478" s="180">
        <v>250000</v>
      </c>
      <c r="R478" s="181">
        <f t="shared" si="129"/>
        <v>1.6835016835016834</v>
      </c>
      <c r="S478" s="181">
        <v>100</v>
      </c>
      <c r="T478" s="180">
        <f t="shared" si="117"/>
        <v>0</v>
      </c>
      <c r="U478" s="180">
        <f t="shared" si="122"/>
        <v>0</v>
      </c>
      <c r="V478" s="182">
        <f t="shared" si="95"/>
        <v>100</v>
      </c>
      <c r="W478" s="180"/>
      <c r="X478" s="180"/>
      <c r="Y478" s="180"/>
      <c r="Z478" s="180"/>
      <c r="AA478" s="180"/>
      <c r="AB478" s="180"/>
      <c r="AC478" s="180"/>
      <c r="AD478" s="180"/>
      <c r="AE478" s="180"/>
      <c r="AF478" s="180"/>
      <c r="AG478" s="180"/>
      <c r="AH478" s="180"/>
      <c r="AI478" s="180">
        <v>0</v>
      </c>
      <c r="AJ478" s="181">
        <f t="shared" si="127"/>
        <v>0</v>
      </c>
      <c r="AK478" s="180">
        <f t="shared" si="120"/>
        <v>250000</v>
      </c>
      <c r="AL478" s="181">
        <f t="shared" si="128"/>
        <v>100</v>
      </c>
      <c r="AM478" s="243"/>
    </row>
    <row r="479" spans="1:39" ht="24.75" customHeight="1" x14ac:dyDescent="0.25">
      <c r="A479" s="243"/>
      <c r="B479" s="477"/>
      <c r="C479" s="477"/>
      <c r="D479" s="477"/>
      <c r="E479" s="477"/>
      <c r="F479" s="477"/>
      <c r="G479" s="477"/>
      <c r="H479" s="477"/>
      <c r="I479" s="478"/>
      <c r="J479" s="477" t="s">
        <v>315</v>
      </c>
      <c r="K479" s="245"/>
      <c r="L479" s="257"/>
      <c r="M479" s="591" t="s">
        <v>271</v>
      </c>
      <c r="N479" s="592"/>
      <c r="O479" s="179"/>
      <c r="P479" s="180"/>
      <c r="Q479" s="180">
        <v>250000</v>
      </c>
      <c r="R479" s="181">
        <f t="shared" si="129"/>
        <v>1.6835016835016834</v>
      </c>
      <c r="S479" s="181">
        <v>100</v>
      </c>
      <c r="T479" s="180">
        <f t="shared" si="117"/>
        <v>0</v>
      </c>
      <c r="U479" s="180">
        <f t="shared" si="122"/>
        <v>0</v>
      </c>
      <c r="V479" s="182">
        <f t="shared" si="95"/>
        <v>100</v>
      </c>
      <c r="W479" s="180"/>
      <c r="X479" s="180"/>
      <c r="Y479" s="180"/>
      <c r="Z479" s="180"/>
      <c r="AA479" s="180"/>
      <c r="AB479" s="180"/>
      <c r="AC479" s="180"/>
      <c r="AD479" s="180"/>
      <c r="AE479" s="180"/>
      <c r="AF479" s="180"/>
      <c r="AG479" s="180"/>
      <c r="AH479" s="180"/>
      <c r="AI479" s="180">
        <v>0</v>
      </c>
      <c r="AJ479" s="181">
        <f t="shared" si="127"/>
        <v>0</v>
      </c>
      <c r="AK479" s="180">
        <f t="shared" si="120"/>
        <v>250000</v>
      </c>
      <c r="AL479" s="181">
        <f t="shared" si="128"/>
        <v>100</v>
      </c>
      <c r="AM479" s="243"/>
    </row>
    <row r="480" spans="1:39" ht="29.25" customHeight="1" x14ac:dyDescent="0.25">
      <c r="A480" s="243"/>
      <c r="B480" s="477"/>
      <c r="C480" s="477"/>
      <c r="D480" s="477"/>
      <c r="E480" s="477"/>
      <c r="F480" s="477"/>
      <c r="G480" s="477"/>
      <c r="H480" s="477"/>
      <c r="I480" s="478"/>
      <c r="J480" s="477" t="s">
        <v>318</v>
      </c>
      <c r="K480" s="245"/>
      <c r="L480" s="257"/>
      <c r="M480" s="591" t="s">
        <v>329</v>
      </c>
      <c r="N480" s="592"/>
      <c r="O480" s="179"/>
      <c r="P480" s="180"/>
      <c r="Q480" s="180">
        <v>5000000</v>
      </c>
      <c r="R480" s="181">
        <f t="shared" si="129"/>
        <v>33.670033670033675</v>
      </c>
      <c r="S480" s="181">
        <v>100</v>
      </c>
      <c r="T480" s="180">
        <f t="shared" si="117"/>
        <v>0</v>
      </c>
      <c r="U480" s="180">
        <f t="shared" si="122"/>
        <v>0</v>
      </c>
      <c r="V480" s="182">
        <f t="shared" si="95"/>
        <v>100</v>
      </c>
      <c r="W480" s="180"/>
      <c r="X480" s="180"/>
      <c r="Y480" s="180"/>
      <c r="Z480" s="180"/>
      <c r="AA480" s="180"/>
      <c r="AB480" s="180"/>
      <c r="AC480" s="180"/>
      <c r="AD480" s="180"/>
      <c r="AE480" s="180"/>
      <c r="AF480" s="180"/>
      <c r="AG480" s="180"/>
      <c r="AH480" s="180"/>
      <c r="AI480" s="180">
        <v>0</v>
      </c>
      <c r="AJ480" s="181">
        <f t="shared" si="127"/>
        <v>0</v>
      </c>
      <c r="AK480" s="180">
        <f t="shared" si="120"/>
        <v>5000000</v>
      </c>
      <c r="AL480" s="181">
        <f t="shared" si="128"/>
        <v>100</v>
      </c>
      <c r="AM480" s="243"/>
    </row>
    <row r="481" spans="1:39" ht="29.25" customHeight="1" x14ac:dyDescent="0.25">
      <c r="A481" s="243"/>
      <c r="B481" s="477"/>
      <c r="C481" s="477"/>
      <c r="D481" s="477"/>
      <c r="E481" s="477"/>
      <c r="F481" s="477"/>
      <c r="G481" s="477"/>
      <c r="H481" s="477"/>
      <c r="I481" s="478"/>
      <c r="J481" s="477" t="s">
        <v>284</v>
      </c>
      <c r="K481" s="245"/>
      <c r="L481" s="257"/>
      <c r="M481" s="591" t="s">
        <v>285</v>
      </c>
      <c r="N481" s="592"/>
      <c r="O481" s="179"/>
      <c r="P481" s="180"/>
      <c r="Q481" s="180">
        <v>2200000</v>
      </c>
      <c r="R481" s="181">
        <f t="shared" si="129"/>
        <v>14.814814814814813</v>
      </c>
      <c r="S481" s="181">
        <v>100</v>
      </c>
      <c r="T481" s="180">
        <f t="shared" si="117"/>
        <v>0</v>
      </c>
      <c r="U481" s="180">
        <f t="shared" si="122"/>
        <v>0</v>
      </c>
      <c r="V481" s="182">
        <f t="shared" si="95"/>
        <v>100</v>
      </c>
      <c r="W481" s="180"/>
      <c r="X481" s="180"/>
      <c r="Y481" s="180"/>
      <c r="Z481" s="180"/>
      <c r="AA481" s="180"/>
      <c r="AB481" s="180"/>
      <c r="AC481" s="180"/>
      <c r="AD481" s="180"/>
      <c r="AE481" s="180"/>
      <c r="AF481" s="180"/>
      <c r="AG481" s="180"/>
      <c r="AH481" s="180"/>
      <c r="AI481" s="180">
        <v>0</v>
      </c>
      <c r="AJ481" s="181">
        <f t="shared" si="127"/>
        <v>0</v>
      </c>
      <c r="AK481" s="180">
        <f t="shared" si="120"/>
        <v>2200000</v>
      </c>
      <c r="AL481" s="181">
        <f t="shared" si="128"/>
        <v>100</v>
      </c>
      <c r="AM481" s="243"/>
    </row>
    <row r="482" spans="1:39" ht="24.75" customHeight="1" x14ac:dyDescent="0.25">
      <c r="A482" s="243"/>
      <c r="B482" s="477"/>
      <c r="C482" s="477"/>
      <c r="D482" s="477"/>
      <c r="E482" s="477"/>
      <c r="F482" s="477"/>
      <c r="G482" s="477"/>
      <c r="H482" s="477"/>
      <c r="I482" s="478"/>
      <c r="J482" s="477" t="s">
        <v>282</v>
      </c>
      <c r="K482" s="245"/>
      <c r="L482" s="257"/>
      <c r="M482" s="616" t="s">
        <v>418</v>
      </c>
      <c r="N482" s="617"/>
      <c r="O482" s="179"/>
      <c r="P482" s="180"/>
      <c r="Q482" s="180">
        <v>6500000</v>
      </c>
      <c r="R482" s="181">
        <f t="shared" si="129"/>
        <v>43.771043771043772</v>
      </c>
      <c r="S482" s="181">
        <v>100</v>
      </c>
      <c r="T482" s="180">
        <f t="shared" si="117"/>
        <v>0</v>
      </c>
      <c r="U482" s="180">
        <f t="shared" si="122"/>
        <v>0</v>
      </c>
      <c r="V482" s="182">
        <f t="shared" si="95"/>
        <v>100</v>
      </c>
      <c r="W482" s="180"/>
      <c r="X482" s="180"/>
      <c r="Y482" s="180"/>
      <c r="Z482" s="180"/>
      <c r="AA482" s="180"/>
      <c r="AB482" s="180"/>
      <c r="AC482" s="180"/>
      <c r="AD482" s="180"/>
      <c r="AE482" s="180"/>
      <c r="AF482" s="180"/>
      <c r="AG482" s="180"/>
      <c r="AH482" s="180"/>
      <c r="AI482" s="180">
        <v>0</v>
      </c>
      <c r="AJ482" s="181">
        <f t="shared" si="127"/>
        <v>0</v>
      </c>
      <c r="AK482" s="180">
        <f t="shared" si="120"/>
        <v>6500000</v>
      </c>
      <c r="AL482" s="181">
        <f t="shared" si="128"/>
        <v>100</v>
      </c>
      <c r="AM482" s="243"/>
    </row>
    <row r="483" spans="1:39" ht="30.75" customHeight="1" x14ac:dyDescent="0.25">
      <c r="A483" s="227">
        <v>60</v>
      </c>
      <c r="B483" s="477"/>
      <c r="C483" s="477"/>
      <c r="D483" s="477"/>
      <c r="E483" s="477"/>
      <c r="F483" s="477"/>
      <c r="G483" s="477"/>
      <c r="H483" s="477"/>
      <c r="I483" s="478"/>
      <c r="J483" s="304" t="s">
        <v>513</v>
      </c>
      <c r="M483" s="609" t="s">
        <v>160</v>
      </c>
      <c r="N483" s="609"/>
      <c r="O483" s="309">
        <v>355300000</v>
      </c>
      <c r="P483" s="231">
        <f>O483</f>
        <v>355300000</v>
      </c>
      <c r="Q483" s="231">
        <f>SUM(Q484:Q489)</f>
        <v>241740393</v>
      </c>
      <c r="R483" s="233">
        <f>Q483/Q$248*100</f>
        <v>2.0266896356443893</v>
      </c>
      <c r="S483" s="233">
        <v>100</v>
      </c>
      <c r="T483" s="231">
        <f t="shared" si="117"/>
        <v>28.811486212815083</v>
      </c>
      <c r="U483" s="231">
        <f t="shared" si="122"/>
        <v>0.58391940495023542</v>
      </c>
      <c r="V483" s="296">
        <f t="shared" si="95"/>
        <v>71.188513787184917</v>
      </c>
      <c r="W483" s="231"/>
      <c r="X483" s="231" t="e">
        <f>#REF!</f>
        <v>#REF!</v>
      </c>
      <c r="Y483" s="231" t="e">
        <f>#REF!</f>
        <v>#REF!</v>
      </c>
      <c r="Z483" s="231" t="e">
        <f>#REF!</f>
        <v>#REF!</v>
      </c>
      <c r="AA483" s="231" t="e">
        <f>#REF!</f>
        <v>#REF!</v>
      </c>
      <c r="AB483" s="231">
        <v>131395500</v>
      </c>
      <c r="AC483" s="231" t="e">
        <f>#REF!</f>
        <v>#REF!</v>
      </c>
      <c r="AD483" s="231" t="e">
        <f>#REF!</f>
        <v>#REF!</v>
      </c>
      <c r="AE483" s="231" t="e">
        <f>#REF!</f>
        <v>#REF!</v>
      </c>
      <c r="AF483" s="231" t="e">
        <f>[1]April!N89</f>
        <v>#REF!</v>
      </c>
      <c r="AG483" s="231" t="e">
        <f>[2]april!N99</f>
        <v>#REF!</v>
      </c>
      <c r="AH483" s="231" t="e">
        <f>'[3]DES SKPD'!$N99</f>
        <v>#REF!</v>
      </c>
      <c r="AI483" s="231">
        <f>SUM(AI484:AI489)</f>
        <v>69649000</v>
      </c>
      <c r="AJ483" s="233">
        <f t="shared" si="127"/>
        <v>28.811486212815083</v>
      </c>
      <c r="AK483" s="231">
        <f>Q483-AI483</f>
        <v>172091393</v>
      </c>
      <c r="AL483" s="233">
        <f>AK483/Q483*100</f>
        <v>71.188513787184917</v>
      </c>
      <c r="AM483" s="243"/>
    </row>
    <row r="484" spans="1:39" ht="24.75" customHeight="1" x14ac:dyDescent="0.25">
      <c r="A484" s="243"/>
      <c r="B484" s="477"/>
      <c r="C484" s="477"/>
      <c r="D484" s="477"/>
      <c r="E484" s="477"/>
      <c r="F484" s="477"/>
      <c r="G484" s="477"/>
      <c r="H484" s="477"/>
      <c r="I484" s="478"/>
      <c r="J484" s="477" t="s">
        <v>257</v>
      </c>
      <c r="K484" s="245"/>
      <c r="L484" s="257"/>
      <c r="M484" s="591" t="s">
        <v>324</v>
      </c>
      <c r="N484" s="592"/>
      <c r="O484" s="179"/>
      <c r="P484" s="180"/>
      <c r="Q484" s="180">
        <v>15000000</v>
      </c>
      <c r="R484" s="181">
        <f>Q484/Q483*100</f>
        <v>6.2050035634714966</v>
      </c>
      <c r="S484" s="181">
        <v>100</v>
      </c>
      <c r="T484" s="180">
        <f t="shared" si="117"/>
        <v>33.333333333333329</v>
      </c>
      <c r="U484" s="180">
        <f t="shared" si="122"/>
        <v>2.0683345211571651</v>
      </c>
      <c r="V484" s="182">
        <f t="shared" si="95"/>
        <v>66.666666666666671</v>
      </c>
      <c r="W484" s="180"/>
      <c r="X484" s="180"/>
      <c r="Y484" s="180"/>
      <c r="Z484" s="180"/>
      <c r="AA484" s="180"/>
      <c r="AB484" s="180"/>
      <c r="AC484" s="180"/>
      <c r="AD484" s="180"/>
      <c r="AE484" s="180"/>
      <c r="AF484" s="180"/>
      <c r="AG484" s="180"/>
      <c r="AH484" s="180"/>
      <c r="AI484" s="180">
        <v>5000000</v>
      </c>
      <c r="AJ484" s="181">
        <f t="shared" si="127"/>
        <v>33.333333333333329</v>
      </c>
      <c r="AK484" s="180">
        <f t="shared" si="120"/>
        <v>10000000</v>
      </c>
      <c r="AL484" s="181">
        <f t="shared" si="128"/>
        <v>66.666666666666657</v>
      </c>
      <c r="AM484" s="243"/>
    </row>
    <row r="485" spans="1:39" ht="24.75" customHeight="1" x14ac:dyDescent="0.25">
      <c r="A485" s="243"/>
      <c r="B485" s="477"/>
      <c r="C485" s="477"/>
      <c r="D485" s="477"/>
      <c r="E485" s="477"/>
      <c r="F485" s="477"/>
      <c r="G485" s="477"/>
      <c r="H485" s="477"/>
      <c r="I485" s="478"/>
      <c r="J485" s="477" t="s">
        <v>326</v>
      </c>
      <c r="K485" s="245"/>
      <c r="L485" s="257"/>
      <c r="M485" s="591" t="s">
        <v>428</v>
      </c>
      <c r="N485" s="592"/>
      <c r="O485" s="179"/>
      <c r="P485" s="180"/>
      <c r="Q485" s="180">
        <v>8000000</v>
      </c>
      <c r="R485" s="181">
        <f>Q485/Q483*100</f>
        <v>3.3093352338514648</v>
      </c>
      <c r="S485" s="181">
        <v>100</v>
      </c>
      <c r="T485" s="180">
        <f t="shared" si="117"/>
        <v>39.0625</v>
      </c>
      <c r="U485" s="180">
        <f t="shared" si="122"/>
        <v>1.2927090757232285</v>
      </c>
      <c r="V485" s="182">
        <f t="shared" si="95"/>
        <v>60.9375</v>
      </c>
      <c r="W485" s="180"/>
      <c r="X485" s="180"/>
      <c r="Y485" s="180"/>
      <c r="Z485" s="180"/>
      <c r="AA485" s="180"/>
      <c r="AB485" s="180"/>
      <c r="AC485" s="180"/>
      <c r="AD485" s="180"/>
      <c r="AE485" s="180"/>
      <c r="AF485" s="180"/>
      <c r="AG485" s="180"/>
      <c r="AH485" s="180"/>
      <c r="AI485" s="180">
        <f>975000+200000+975000+975000</f>
        <v>3125000</v>
      </c>
      <c r="AJ485" s="181">
        <f t="shared" si="127"/>
        <v>39.0625</v>
      </c>
      <c r="AK485" s="180">
        <f t="shared" si="120"/>
        <v>4875000</v>
      </c>
      <c r="AL485" s="181">
        <f t="shared" si="128"/>
        <v>60.9375</v>
      </c>
      <c r="AM485" s="243"/>
    </row>
    <row r="486" spans="1:39" ht="24.75" customHeight="1" x14ac:dyDescent="0.25">
      <c r="A486" s="227"/>
      <c r="B486" s="477"/>
      <c r="C486" s="477"/>
      <c r="D486" s="477"/>
      <c r="E486" s="477"/>
      <c r="F486" s="477"/>
      <c r="G486" s="477"/>
      <c r="H486" s="477"/>
      <c r="I486" s="478"/>
      <c r="J486" s="477" t="s">
        <v>315</v>
      </c>
      <c r="K486" s="245"/>
      <c r="L486" s="257"/>
      <c r="M486" s="591" t="s">
        <v>329</v>
      </c>
      <c r="N486" s="592"/>
      <c r="O486" s="179"/>
      <c r="P486" s="180"/>
      <c r="Q486" s="180">
        <v>24000000</v>
      </c>
      <c r="R486" s="181">
        <f>Q486/Q483*100</f>
        <v>9.9280057015543939</v>
      </c>
      <c r="S486" s="181">
        <v>100</v>
      </c>
      <c r="T486" s="180">
        <f t="shared" si="117"/>
        <v>66.666666666666657</v>
      </c>
      <c r="U486" s="180">
        <f t="shared" si="122"/>
        <v>6.6186704677029287</v>
      </c>
      <c r="V486" s="182">
        <f t="shared" si="95"/>
        <v>33.333333333333343</v>
      </c>
      <c r="W486" s="180"/>
      <c r="X486" s="180"/>
      <c r="Y486" s="180"/>
      <c r="Z486" s="180"/>
      <c r="AA486" s="180"/>
      <c r="AB486" s="180"/>
      <c r="AC486" s="180"/>
      <c r="AD486" s="180"/>
      <c r="AE486" s="180"/>
      <c r="AF486" s="180"/>
      <c r="AG486" s="180"/>
      <c r="AH486" s="180"/>
      <c r="AI486" s="180">
        <f>8000000+8000000</f>
        <v>16000000</v>
      </c>
      <c r="AJ486" s="181">
        <f t="shared" si="127"/>
        <v>66.666666666666657</v>
      </c>
      <c r="AK486" s="180">
        <f t="shared" si="120"/>
        <v>8000000</v>
      </c>
      <c r="AL486" s="181">
        <f t="shared" si="128"/>
        <v>33.333333333333329</v>
      </c>
      <c r="AM486" s="243"/>
    </row>
    <row r="487" spans="1:39" ht="24.75" customHeight="1" x14ac:dyDescent="0.25">
      <c r="A487" s="243"/>
      <c r="B487" s="477"/>
      <c r="C487" s="477"/>
      <c r="D487" s="477"/>
      <c r="E487" s="477"/>
      <c r="F487" s="477"/>
      <c r="G487" s="477"/>
      <c r="H487" s="477"/>
      <c r="I487" s="478"/>
      <c r="J487" s="477" t="s">
        <v>280</v>
      </c>
      <c r="K487" s="245"/>
      <c r="L487" s="257"/>
      <c r="M487" s="591" t="s">
        <v>585</v>
      </c>
      <c r="N487" s="592"/>
      <c r="O487" s="179"/>
      <c r="P487" s="180"/>
      <c r="Q487" s="180">
        <v>15000000</v>
      </c>
      <c r="R487" s="181">
        <f>Q487/Q483*100</f>
        <v>6.2050035634714966</v>
      </c>
      <c r="S487" s="181">
        <v>100</v>
      </c>
      <c r="T487" s="180">
        <f t="shared" si="117"/>
        <v>86.533333333333331</v>
      </c>
      <c r="U487" s="180">
        <f t="shared" si="122"/>
        <v>5.369396416924002</v>
      </c>
      <c r="V487" s="182">
        <f t="shared" si="95"/>
        <v>13.466666666666669</v>
      </c>
      <c r="W487" s="180"/>
      <c r="X487" s="180"/>
      <c r="Y487" s="180"/>
      <c r="Z487" s="180"/>
      <c r="AA487" s="180"/>
      <c r="AB487" s="180"/>
      <c r="AC487" s="180"/>
      <c r="AD487" s="180"/>
      <c r="AE487" s="180"/>
      <c r="AF487" s="180"/>
      <c r="AG487" s="180"/>
      <c r="AH487" s="180"/>
      <c r="AI487" s="180">
        <f>3080000+880000+4510000+4510000</f>
        <v>12980000</v>
      </c>
      <c r="AJ487" s="181">
        <f t="shared" si="127"/>
        <v>86.533333333333331</v>
      </c>
      <c r="AK487" s="180">
        <f t="shared" si="120"/>
        <v>2020000</v>
      </c>
      <c r="AL487" s="181">
        <f t="shared" si="128"/>
        <v>13.466666666666665</v>
      </c>
      <c r="AM487" s="243"/>
    </row>
    <row r="488" spans="1:39" ht="24.75" customHeight="1" x14ac:dyDescent="0.25">
      <c r="A488" s="243"/>
      <c r="B488" s="477"/>
      <c r="C488" s="477"/>
      <c r="D488" s="477"/>
      <c r="E488" s="477"/>
      <c r="F488" s="477"/>
      <c r="G488" s="477"/>
      <c r="H488" s="477"/>
      <c r="I488" s="478"/>
      <c r="J488" s="477" t="s">
        <v>284</v>
      </c>
      <c r="K488" s="245"/>
      <c r="L488" s="257"/>
      <c r="M488" s="591" t="s">
        <v>503</v>
      </c>
      <c r="N488" s="592"/>
      <c r="O488" s="179"/>
      <c r="P488" s="180"/>
      <c r="Q488" s="180">
        <v>29740393</v>
      </c>
      <c r="R488" s="181">
        <f>Q488/Q483*100</f>
        <v>12.302616302936183</v>
      </c>
      <c r="S488" s="181">
        <v>100</v>
      </c>
      <c r="T488" s="180">
        <f t="shared" si="117"/>
        <v>8.5540228066253192</v>
      </c>
      <c r="U488" s="180">
        <f t="shared" si="122"/>
        <v>1.0523686043647658</v>
      </c>
      <c r="V488" s="182">
        <f t="shared" si="95"/>
        <v>91.445977193374688</v>
      </c>
      <c r="W488" s="180"/>
      <c r="X488" s="180"/>
      <c r="Y488" s="180"/>
      <c r="Z488" s="180"/>
      <c r="AA488" s="180"/>
      <c r="AB488" s="180"/>
      <c r="AC488" s="180"/>
      <c r="AD488" s="180"/>
      <c r="AE488" s="180"/>
      <c r="AF488" s="180"/>
      <c r="AG488" s="180"/>
      <c r="AH488" s="180"/>
      <c r="AI488" s="180">
        <v>2544000</v>
      </c>
      <c r="AJ488" s="181">
        <f t="shared" si="127"/>
        <v>8.5540228066253192</v>
      </c>
      <c r="AK488" s="180">
        <f t="shared" si="120"/>
        <v>27196393</v>
      </c>
      <c r="AL488" s="181">
        <f t="shared" si="128"/>
        <v>91.445977193374688</v>
      </c>
      <c r="AM488" s="243"/>
    </row>
    <row r="489" spans="1:39" ht="24.75" customHeight="1" x14ac:dyDescent="0.25">
      <c r="A489" s="243"/>
      <c r="B489" s="477"/>
      <c r="C489" s="477"/>
      <c r="D489" s="477"/>
      <c r="E489" s="477"/>
      <c r="F489" s="477"/>
      <c r="G489" s="477"/>
      <c r="H489" s="477"/>
      <c r="I489" s="478"/>
      <c r="J489" s="477" t="s">
        <v>282</v>
      </c>
      <c r="K489" s="245"/>
      <c r="L489" s="257"/>
      <c r="M489" s="591" t="s">
        <v>591</v>
      </c>
      <c r="N489" s="592"/>
      <c r="O489" s="179"/>
      <c r="P489" s="180"/>
      <c r="Q489" s="180">
        <v>150000000</v>
      </c>
      <c r="R489" s="181">
        <f>Q489/Q483*100</f>
        <v>62.050035634714959</v>
      </c>
      <c r="S489" s="181">
        <v>100</v>
      </c>
      <c r="T489" s="180">
        <f t="shared" si="117"/>
        <v>20</v>
      </c>
      <c r="U489" s="180">
        <f t="shared" si="122"/>
        <v>12.410007126942991</v>
      </c>
      <c r="V489" s="182">
        <f t="shared" si="95"/>
        <v>80</v>
      </c>
      <c r="W489" s="180"/>
      <c r="X489" s="180"/>
      <c r="Y489" s="180"/>
      <c r="Z489" s="180"/>
      <c r="AA489" s="180"/>
      <c r="AB489" s="180"/>
      <c r="AC489" s="180"/>
      <c r="AD489" s="180"/>
      <c r="AE489" s="180"/>
      <c r="AF489" s="180"/>
      <c r="AG489" s="180"/>
      <c r="AH489" s="180"/>
      <c r="AI489" s="180">
        <f>15000000+15000000</f>
        <v>30000000</v>
      </c>
      <c r="AJ489" s="181">
        <f t="shared" si="127"/>
        <v>20</v>
      </c>
      <c r="AK489" s="180">
        <f t="shared" si="120"/>
        <v>120000000</v>
      </c>
      <c r="AL489" s="181">
        <f t="shared" si="128"/>
        <v>80</v>
      </c>
      <c r="AM489" s="243"/>
    </row>
    <row r="490" spans="1:39" s="297" customFormat="1" ht="27.75" customHeight="1" x14ac:dyDescent="0.25">
      <c r="A490" s="227">
        <v>61</v>
      </c>
      <c r="B490" s="482"/>
      <c r="C490" s="482"/>
      <c r="D490" s="482"/>
      <c r="E490" s="482"/>
      <c r="F490" s="482"/>
      <c r="G490" s="482"/>
      <c r="H490" s="482"/>
      <c r="I490" s="481"/>
      <c r="J490" s="304" t="s">
        <v>514</v>
      </c>
      <c r="K490" s="230"/>
      <c r="L490" s="294"/>
      <c r="M490" s="610" t="s">
        <v>200</v>
      </c>
      <c r="N490" s="612"/>
      <c r="O490" s="309"/>
      <c r="P490" s="231"/>
      <c r="Q490" s="231">
        <f>SUM(Q491:Q494)</f>
        <v>395380000</v>
      </c>
      <c r="R490" s="233">
        <f>Q490/Q$248*100</f>
        <v>3.3147648111132124</v>
      </c>
      <c r="S490" s="233">
        <v>100</v>
      </c>
      <c r="T490" s="231">
        <f t="shared" si="117"/>
        <v>34.798320602964239</v>
      </c>
      <c r="U490" s="231">
        <f t="shared" si="122"/>
        <v>1.1534824862054176</v>
      </c>
      <c r="V490" s="296">
        <f t="shared" si="95"/>
        <v>65.201679397035761</v>
      </c>
      <c r="W490" s="231"/>
      <c r="X490" s="231"/>
      <c r="Y490" s="231"/>
      <c r="Z490" s="231"/>
      <c r="AA490" s="231"/>
      <c r="AB490" s="231"/>
      <c r="AC490" s="231"/>
      <c r="AD490" s="231"/>
      <c r="AE490" s="231"/>
      <c r="AF490" s="231"/>
      <c r="AG490" s="231"/>
      <c r="AH490" s="231"/>
      <c r="AI490" s="231">
        <f>SUM(AI491:AI494)</f>
        <v>137585600</v>
      </c>
      <c r="AJ490" s="233">
        <f t="shared" si="127"/>
        <v>34.798320602964239</v>
      </c>
      <c r="AK490" s="231">
        <f t="shared" ref="AK490:AK495" si="130">Q490-AI490</f>
        <v>257794400</v>
      </c>
      <c r="AL490" s="233">
        <f t="shared" si="128"/>
        <v>65.201679397035761</v>
      </c>
      <c r="AM490" s="227"/>
    </row>
    <row r="491" spans="1:39" ht="29.25" customHeight="1" x14ac:dyDescent="0.25">
      <c r="A491" s="243"/>
      <c r="B491" s="477"/>
      <c r="C491" s="477"/>
      <c r="D491" s="477"/>
      <c r="E491" s="477"/>
      <c r="F491" s="477"/>
      <c r="G491" s="477"/>
      <c r="H491" s="477"/>
      <c r="I491" s="478"/>
      <c r="J491" s="477" t="s">
        <v>315</v>
      </c>
      <c r="K491" s="245"/>
      <c r="L491" s="257"/>
      <c r="M491" s="591" t="s">
        <v>271</v>
      </c>
      <c r="N491" s="592"/>
      <c r="O491" s="179"/>
      <c r="P491" s="180"/>
      <c r="Q491" s="180">
        <v>20295000</v>
      </c>
      <c r="R491" s="181">
        <f>Q491/Q$490*100</f>
        <v>5.1330365724113509</v>
      </c>
      <c r="S491" s="181">
        <v>100</v>
      </c>
      <c r="T491" s="180">
        <f t="shared" si="117"/>
        <v>99.744271988174432</v>
      </c>
      <c r="U491" s="180">
        <f t="shared" si="122"/>
        <v>5.1199099600384441</v>
      </c>
      <c r="V491" s="182">
        <f t="shared" si="95"/>
        <v>0.25572801182556759</v>
      </c>
      <c r="W491" s="180"/>
      <c r="X491" s="180"/>
      <c r="Y491" s="180"/>
      <c r="Z491" s="180"/>
      <c r="AA491" s="180"/>
      <c r="AB491" s="180"/>
      <c r="AC491" s="180"/>
      <c r="AD491" s="180"/>
      <c r="AE491" s="180"/>
      <c r="AF491" s="180"/>
      <c r="AG491" s="180"/>
      <c r="AH491" s="180"/>
      <c r="AI491" s="180">
        <v>20243100</v>
      </c>
      <c r="AJ491" s="181">
        <f t="shared" si="127"/>
        <v>99.744271988174432</v>
      </c>
      <c r="AK491" s="180">
        <f t="shared" si="130"/>
        <v>51900</v>
      </c>
      <c r="AL491" s="181">
        <f t="shared" si="128"/>
        <v>0.25572801182557281</v>
      </c>
      <c r="AM491" s="243"/>
    </row>
    <row r="492" spans="1:39" ht="24.75" customHeight="1" x14ac:dyDescent="0.25">
      <c r="A492" s="243"/>
      <c r="B492" s="477"/>
      <c r="C492" s="477"/>
      <c r="D492" s="477"/>
      <c r="E492" s="477"/>
      <c r="F492" s="477"/>
      <c r="G492" s="477"/>
      <c r="H492" s="477"/>
      <c r="I492" s="478"/>
      <c r="J492" s="477" t="s">
        <v>284</v>
      </c>
      <c r="K492" s="245"/>
      <c r="L492" s="257"/>
      <c r="M492" s="591" t="s">
        <v>285</v>
      </c>
      <c r="N492" s="592"/>
      <c r="O492" s="179"/>
      <c r="P492" s="180"/>
      <c r="Q492" s="180">
        <v>5000000</v>
      </c>
      <c r="R492" s="181">
        <f>Q492/Q$490*100</f>
        <v>1.2646062016288129</v>
      </c>
      <c r="S492" s="181">
        <v>100</v>
      </c>
      <c r="T492" s="180">
        <f t="shared" si="117"/>
        <v>0</v>
      </c>
      <c r="U492" s="180">
        <f t="shared" si="122"/>
        <v>0</v>
      </c>
      <c r="V492" s="182">
        <f t="shared" si="95"/>
        <v>100</v>
      </c>
      <c r="W492" s="180"/>
      <c r="X492" s="180"/>
      <c r="Y492" s="180"/>
      <c r="Z492" s="180"/>
      <c r="AA492" s="180"/>
      <c r="AB492" s="180"/>
      <c r="AC492" s="180"/>
      <c r="AD492" s="180"/>
      <c r="AE492" s="180"/>
      <c r="AF492" s="180"/>
      <c r="AG492" s="180"/>
      <c r="AH492" s="180"/>
      <c r="AI492" s="180">
        <v>0</v>
      </c>
      <c r="AJ492" s="181">
        <f t="shared" si="127"/>
        <v>0</v>
      </c>
      <c r="AK492" s="180">
        <f t="shared" si="130"/>
        <v>5000000</v>
      </c>
      <c r="AL492" s="181">
        <f t="shared" si="128"/>
        <v>100</v>
      </c>
      <c r="AM492" s="243"/>
    </row>
    <row r="493" spans="1:39" ht="24.75" customHeight="1" x14ac:dyDescent="0.25">
      <c r="A493" s="243"/>
      <c r="B493" s="477"/>
      <c r="C493" s="477"/>
      <c r="D493" s="477"/>
      <c r="E493" s="477"/>
      <c r="F493" s="477"/>
      <c r="G493" s="477"/>
      <c r="H493" s="477"/>
      <c r="I493" s="478"/>
      <c r="J493" s="477" t="s">
        <v>309</v>
      </c>
      <c r="K493" s="245"/>
      <c r="L493" s="257"/>
      <c r="M493" s="591" t="s">
        <v>310</v>
      </c>
      <c r="N493" s="592"/>
      <c r="O493" s="179"/>
      <c r="P493" s="180"/>
      <c r="Q493" s="180">
        <v>219362000</v>
      </c>
      <c r="R493" s="181">
        <f>Q493/Q$490*100</f>
        <v>55.48130912033993</v>
      </c>
      <c r="S493" s="181">
        <v>100</v>
      </c>
      <c r="T493" s="180">
        <f t="shared" si="117"/>
        <v>53.492628623006723</v>
      </c>
      <c r="U493" s="180">
        <f t="shared" si="122"/>
        <v>29.678410642925797</v>
      </c>
      <c r="V493" s="182">
        <f t="shared" si="95"/>
        <v>46.507371376993277</v>
      </c>
      <c r="W493" s="180"/>
      <c r="X493" s="180"/>
      <c r="Y493" s="180"/>
      <c r="Z493" s="180"/>
      <c r="AA493" s="180"/>
      <c r="AB493" s="180"/>
      <c r="AC493" s="180"/>
      <c r="AD493" s="180"/>
      <c r="AE493" s="180"/>
      <c r="AF493" s="180"/>
      <c r="AG493" s="180"/>
      <c r="AH493" s="180"/>
      <c r="AI493" s="180">
        <v>117342500</v>
      </c>
      <c r="AJ493" s="181">
        <f t="shared" si="127"/>
        <v>53.492628623006723</v>
      </c>
      <c r="AK493" s="180">
        <f t="shared" si="130"/>
        <v>102019500</v>
      </c>
      <c r="AL493" s="181">
        <f t="shared" si="128"/>
        <v>46.507371376993277</v>
      </c>
      <c r="AM493" s="243"/>
    </row>
    <row r="494" spans="1:39" ht="24.75" customHeight="1" x14ac:dyDescent="0.25">
      <c r="A494" s="243"/>
      <c r="B494" s="477"/>
      <c r="C494" s="477"/>
      <c r="D494" s="477"/>
      <c r="E494" s="477"/>
      <c r="F494" s="477"/>
      <c r="G494" s="477"/>
      <c r="H494" s="477"/>
      <c r="I494" s="478"/>
      <c r="J494" s="477" t="s">
        <v>342</v>
      </c>
      <c r="K494" s="245"/>
      <c r="L494" s="257"/>
      <c r="M494" s="591" t="s">
        <v>617</v>
      </c>
      <c r="N494" s="592"/>
      <c r="O494" s="179"/>
      <c r="P494" s="180"/>
      <c r="Q494" s="180">
        <v>150723000</v>
      </c>
      <c r="R494" s="181">
        <f>Q494/Q$490*100</f>
        <v>38.121048105619906</v>
      </c>
      <c r="S494" s="181">
        <v>100</v>
      </c>
      <c r="T494" s="180">
        <f t="shared" si="117"/>
        <v>0</v>
      </c>
      <c r="U494" s="180">
        <f t="shared" si="122"/>
        <v>0</v>
      </c>
      <c r="V494" s="182">
        <f t="shared" si="95"/>
        <v>100</v>
      </c>
      <c r="W494" s="180"/>
      <c r="X494" s="180"/>
      <c r="Y494" s="180"/>
      <c r="Z494" s="180"/>
      <c r="AA494" s="180"/>
      <c r="AB494" s="180"/>
      <c r="AC494" s="180"/>
      <c r="AD494" s="180"/>
      <c r="AE494" s="180"/>
      <c r="AF494" s="180"/>
      <c r="AG494" s="180"/>
      <c r="AH494" s="180"/>
      <c r="AI494" s="180">
        <v>0</v>
      </c>
      <c r="AJ494" s="181">
        <f t="shared" si="127"/>
        <v>0</v>
      </c>
      <c r="AK494" s="180">
        <f t="shared" si="130"/>
        <v>150723000</v>
      </c>
      <c r="AL494" s="181">
        <f t="shared" si="128"/>
        <v>100</v>
      </c>
      <c r="AM494" s="243"/>
    </row>
    <row r="495" spans="1:39" s="297" customFormat="1" ht="29.25" customHeight="1" x14ac:dyDescent="0.25">
      <c r="A495" s="227">
        <f>SUM(A490+1)</f>
        <v>62</v>
      </c>
      <c r="B495" s="615" t="s">
        <v>158</v>
      </c>
      <c r="C495" s="615"/>
      <c r="D495" s="615"/>
      <c r="E495" s="615"/>
      <c r="F495" s="615"/>
      <c r="G495" s="615"/>
      <c r="H495" s="615"/>
      <c r="I495" s="614"/>
      <c r="J495" s="304" t="s">
        <v>515</v>
      </c>
      <c r="K495" s="230"/>
      <c r="L495" s="294"/>
      <c r="M495" s="610" t="s">
        <v>161</v>
      </c>
      <c r="N495" s="610"/>
      <c r="O495" s="309">
        <v>355300000</v>
      </c>
      <c r="P495" s="231">
        <v>0</v>
      </c>
      <c r="Q495" s="231">
        <f>SUM(Q496:Q503)</f>
        <v>20233874</v>
      </c>
      <c r="R495" s="233">
        <f>Q495/Q$248*100</f>
        <v>0.16963562529136159</v>
      </c>
      <c r="S495" s="233">
        <v>100</v>
      </c>
      <c r="T495" s="231">
        <f t="shared" si="117"/>
        <v>0</v>
      </c>
      <c r="U495" s="231">
        <f t="shared" si="122"/>
        <v>0</v>
      </c>
      <c r="V495" s="296">
        <f t="shared" si="95"/>
        <v>100</v>
      </c>
      <c r="W495" s="231"/>
      <c r="X495" s="231"/>
      <c r="Y495" s="231"/>
      <c r="Z495" s="231"/>
      <c r="AA495" s="231"/>
      <c r="AB495" s="231"/>
      <c r="AC495" s="231"/>
      <c r="AD495" s="231"/>
      <c r="AE495" s="231"/>
      <c r="AF495" s="231"/>
      <c r="AG495" s="231" t="e">
        <f>[2]april!N82</f>
        <v>#REF!</v>
      </c>
      <c r="AH495" s="231">
        <f>'[3]DES SKPD'!$N82</f>
        <v>34370000</v>
      </c>
      <c r="AI495" s="231">
        <f>SUM(AI496:AI503)</f>
        <v>0</v>
      </c>
      <c r="AJ495" s="233">
        <f t="shared" si="127"/>
        <v>0</v>
      </c>
      <c r="AK495" s="231">
        <f t="shared" si="130"/>
        <v>20233874</v>
      </c>
      <c r="AL495" s="233">
        <f t="shared" si="128"/>
        <v>100</v>
      </c>
      <c r="AM495" s="227"/>
    </row>
    <row r="496" spans="1:39" ht="29.25" customHeight="1" x14ac:dyDescent="0.25">
      <c r="A496" s="243"/>
      <c r="B496" s="477"/>
      <c r="C496" s="477"/>
      <c r="D496" s="477"/>
      <c r="E496" s="477"/>
      <c r="F496" s="477"/>
      <c r="G496" s="477"/>
      <c r="H496" s="477"/>
      <c r="I496" s="478"/>
      <c r="J496" s="477" t="s">
        <v>257</v>
      </c>
      <c r="K496" s="245"/>
      <c r="L496" s="257"/>
      <c r="M496" s="591" t="s">
        <v>260</v>
      </c>
      <c r="N496" s="592"/>
      <c r="O496" s="179"/>
      <c r="P496" s="180"/>
      <c r="Q496" s="180">
        <v>650000</v>
      </c>
      <c r="R496" s="181">
        <f>Q496/Q$495*100</f>
        <v>3.2124347517435363</v>
      </c>
      <c r="S496" s="181">
        <v>100</v>
      </c>
      <c r="T496" s="180">
        <f t="shared" si="117"/>
        <v>0</v>
      </c>
      <c r="U496" s="180">
        <f t="shared" si="122"/>
        <v>0</v>
      </c>
      <c r="V496" s="182">
        <f t="shared" si="95"/>
        <v>100</v>
      </c>
      <c r="W496" s="180"/>
      <c r="X496" s="180"/>
      <c r="Y496" s="180"/>
      <c r="Z496" s="180"/>
      <c r="AA496" s="180"/>
      <c r="AB496" s="180"/>
      <c r="AC496" s="180"/>
      <c r="AD496" s="180"/>
      <c r="AE496" s="180"/>
      <c r="AF496" s="180"/>
      <c r="AG496" s="180"/>
      <c r="AH496" s="180"/>
      <c r="AI496" s="180">
        <v>0</v>
      </c>
      <c r="AJ496" s="181">
        <f t="shared" si="127"/>
        <v>0</v>
      </c>
      <c r="AK496" s="180">
        <f>SUM(Q496-AI496)</f>
        <v>650000</v>
      </c>
      <c r="AL496" s="181">
        <f t="shared" si="128"/>
        <v>100</v>
      </c>
      <c r="AM496" s="243"/>
    </row>
    <row r="497" spans="1:39" ht="42" customHeight="1" x14ac:dyDescent="0.25">
      <c r="A497" s="243"/>
      <c r="B497" s="477"/>
      <c r="C497" s="477"/>
      <c r="D497" s="477"/>
      <c r="E497" s="477"/>
      <c r="F497" s="477"/>
      <c r="G497" s="477"/>
      <c r="H497" s="477"/>
      <c r="I497" s="478"/>
      <c r="J497" s="477" t="s">
        <v>345</v>
      </c>
      <c r="K497" s="245"/>
      <c r="L497" s="257"/>
      <c r="M497" s="591" t="s">
        <v>351</v>
      </c>
      <c r="N497" s="592"/>
      <c r="O497" s="179"/>
      <c r="P497" s="180"/>
      <c r="Q497" s="180">
        <v>250000</v>
      </c>
      <c r="R497" s="181">
        <f t="shared" ref="R497:R503" si="131">Q497/Q$495*100</f>
        <v>1.2355518275936679</v>
      </c>
      <c r="S497" s="181">
        <v>100</v>
      </c>
      <c r="T497" s="180">
        <f t="shared" si="117"/>
        <v>0</v>
      </c>
      <c r="U497" s="180">
        <f t="shared" si="122"/>
        <v>0</v>
      </c>
      <c r="V497" s="182">
        <f t="shared" si="95"/>
        <v>100</v>
      </c>
      <c r="W497" s="180"/>
      <c r="X497" s="180"/>
      <c r="Y497" s="180"/>
      <c r="Z497" s="180"/>
      <c r="AA497" s="180"/>
      <c r="AB497" s="180"/>
      <c r="AC497" s="180"/>
      <c r="AD497" s="180"/>
      <c r="AE497" s="180"/>
      <c r="AF497" s="180"/>
      <c r="AG497" s="180"/>
      <c r="AH497" s="180"/>
      <c r="AI497" s="180">
        <v>0</v>
      </c>
      <c r="AJ497" s="181">
        <f t="shared" si="127"/>
        <v>0</v>
      </c>
      <c r="AK497" s="180">
        <f t="shared" ref="AK497:AK503" si="132">SUM(Q497-AI497)</f>
        <v>250000</v>
      </c>
      <c r="AL497" s="181">
        <f t="shared" si="128"/>
        <v>100</v>
      </c>
      <c r="AM497" s="243"/>
    </row>
    <row r="498" spans="1:39" ht="29.25" customHeight="1" x14ac:dyDescent="0.25">
      <c r="A498" s="243"/>
      <c r="B498" s="477"/>
      <c r="C498" s="477"/>
      <c r="D498" s="477"/>
      <c r="E498" s="477"/>
      <c r="F498" s="477"/>
      <c r="G498" s="477"/>
      <c r="H498" s="477"/>
      <c r="I498" s="478"/>
      <c r="J498" s="477" t="s">
        <v>315</v>
      </c>
      <c r="K498" s="245"/>
      <c r="L498" s="257"/>
      <c r="M498" s="591" t="s">
        <v>271</v>
      </c>
      <c r="N498" s="592"/>
      <c r="O498" s="179"/>
      <c r="P498" s="180"/>
      <c r="Q498" s="180">
        <v>250000</v>
      </c>
      <c r="R498" s="181">
        <f t="shared" si="131"/>
        <v>1.2355518275936679</v>
      </c>
      <c r="S498" s="181">
        <v>100</v>
      </c>
      <c r="T498" s="180">
        <f t="shared" si="117"/>
        <v>0</v>
      </c>
      <c r="U498" s="180">
        <f t="shared" si="122"/>
        <v>0</v>
      </c>
      <c r="V498" s="182">
        <f t="shared" si="95"/>
        <v>100</v>
      </c>
      <c r="W498" s="180"/>
      <c r="X498" s="180"/>
      <c r="Y498" s="180"/>
      <c r="Z498" s="180"/>
      <c r="AA498" s="180"/>
      <c r="AB498" s="180"/>
      <c r="AC498" s="180"/>
      <c r="AD498" s="180"/>
      <c r="AE498" s="180"/>
      <c r="AF498" s="180"/>
      <c r="AG498" s="180"/>
      <c r="AH498" s="180"/>
      <c r="AI498" s="180">
        <v>0</v>
      </c>
      <c r="AJ498" s="181">
        <f t="shared" si="127"/>
        <v>0</v>
      </c>
      <c r="AK498" s="180">
        <f t="shared" si="132"/>
        <v>250000</v>
      </c>
      <c r="AL498" s="181">
        <f t="shared" si="128"/>
        <v>100</v>
      </c>
      <c r="AM498" s="243"/>
    </row>
    <row r="499" spans="1:39" ht="29.25" customHeight="1" x14ac:dyDescent="0.25">
      <c r="A499" s="243"/>
      <c r="B499" s="477"/>
      <c r="C499" s="477"/>
      <c r="D499" s="477"/>
      <c r="E499" s="477"/>
      <c r="F499" s="477"/>
      <c r="G499" s="477"/>
      <c r="H499" s="477"/>
      <c r="I499" s="478"/>
      <c r="J499" s="477" t="s">
        <v>342</v>
      </c>
      <c r="K499" s="245"/>
      <c r="L499" s="257"/>
      <c r="M499" s="591" t="s">
        <v>612</v>
      </c>
      <c r="N499" s="592"/>
      <c r="O499" s="179"/>
      <c r="P499" s="180"/>
      <c r="Q499" s="180">
        <v>250000</v>
      </c>
      <c r="R499" s="181">
        <f t="shared" si="131"/>
        <v>1.2355518275936679</v>
      </c>
      <c r="S499" s="181">
        <v>100</v>
      </c>
      <c r="T499" s="180">
        <f t="shared" si="117"/>
        <v>0</v>
      </c>
      <c r="U499" s="180">
        <f t="shared" si="122"/>
        <v>0</v>
      </c>
      <c r="V499" s="182">
        <f t="shared" si="95"/>
        <v>100</v>
      </c>
      <c r="W499" s="180"/>
      <c r="X499" s="180"/>
      <c r="Y499" s="180"/>
      <c r="Z499" s="180"/>
      <c r="AA499" s="180"/>
      <c r="AB499" s="180"/>
      <c r="AC499" s="180"/>
      <c r="AD499" s="180"/>
      <c r="AE499" s="180"/>
      <c r="AF499" s="180"/>
      <c r="AG499" s="180"/>
      <c r="AH499" s="180"/>
      <c r="AI499" s="180">
        <v>0</v>
      </c>
      <c r="AJ499" s="181">
        <f t="shared" si="127"/>
        <v>0</v>
      </c>
      <c r="AK499" s="180">
        <f t="shared" si="132"/>
        <v>250000</v>
      </c>
      <c r="AL499" s="181">
        <f t="shared" si="128"/>
        <v>100</v>
      </c>
      <c r="AM499" s="243"/>
    </row>
    <row r="500" spans="1:39" ht="29.25" customHeight="1" x14ac:dyDescent="0.25">
      <c r="A500" s="243"/>
      <c r="B500" s="477"/>
      <c r="C500" s="477"/>
      <c r="D500" s="477"/>
      <c r="E500" s="477"/>
      <c r="F500" s="477"/>
      <c r="G500" s="477"/>
      <c r="H500" s="477"/>
      <c r="I500" s="478"/>
      <c r="J500" s="477" t="s">
        <v>318</v>
      </c>
      <c r="K500" s="245"/>
      <c r="L500" s="257"/>
      <c r="M500" s="591" t="s">
        <v>319</v>
      </c>
      <c r="N500" s="592"/>
      <c r="O500" s="179"/>
      <c r="P500" s="180"/>
      <c r="Q500" s="180">
        <v>10500000</v>
      </c>
      <c r="R500" s="181">
        <f t="shared" si="131"/>
        <v>51.893176758934054</v>
      </c>
      <c r="S500" s="181">
        <v>100</v>
      </c>
      <c r="T500" s="180">
        <f t="shared" si="117"/>
        <v>0</v>
      </c>
      <c r="U500" s="180">
        <f t="shared" si="122"/>
        <v>0</v>
      </c>
      <c r="V500" s="182">
        <f t="shared" si="95"/>
        <v>100</v>
      </c>
      <c r="W500" s="180"/>
      <c r="X500" s="180"/>
      <c r="Y500" s="180"/>
      <c r="Z500" s="180"/>
      <c r="AA500" s="180"/>
      <c r="AB500" s="180"/>
      <c r="AC500" s="180"/>
      <c r="AD500" s="180"/>
      <c r="AE500" s="180"/>
      <c r="AF500" s="180"/>
      <c r="AG500" s="180"/>
      <c r="AH500" s="180"/>
      <c r="AI500" s="180">
        <v>0</v>
      </c>
      <c r="AJ500" s="181">
        <f t="shared" si="127"/>
        <v>0</v>
      </c>
      <c r="AK500" s="180">
        <f t="shared" si="132"/>
        <v>10500000</v>
      </c>
      <c r="AL500" s="181">
        <f t="shared" si="128"/>
        <v>100</v>
      </c>
      <c r="AM500" s="243"/>
    </row>
    <row r="501" spans="1:39" ht="29.25" customHeight="1" x14ac:dyDescent="0.25">
      <c r="A501" s="243"/>
      <c r="B501" s="477"/>
      <c r="C501" s="477"/>
      <c r="D501" s="477"/>
      <c r="E501" s="477"/>
      <c r="F501" s="477"/>
      <c r="G501" s="477"/>
      <c r="H501" s="477"/>
      <c r="I501" s="478"/>
      <c r="J501" s="477" t="s">
        <v>284</v>
      </c>
      <c r="K501" s="245"/>
      <c r="L501" s="257"/>
      <c r="M501" s="591" t="s">
        <v>285</v>
      </c>
      <c r="N501" s="592"/>
      <c r="O501" s="179"/>
      <c r="P501" s="180"/>
      <c r="Q501" s="180">
        <v>2890000</v>
      </c>
      <c r="R501" s="181">
        <f t="shared" si="131"/>
        <v>14.2829791269828</v>
      </c>
      <c r="S501" s="181">
        <v>100</v>
      </c>
      <c r="T501" s="180">
        <f t="shared" si="117"/>
        <v>0</v>
      </c>
      <c r="U501" s="180">
        <f t="shared" si="122"/>
        <v>0</v>
      </c>
      <c r="V501" s="182">
        <f t="shared" si="95"/>
        <v>100</v>
      </c>
      <c r="W501" s="180"/>
      <c r="X501" s="180"/>
      <c r="Y501" s="180"/>
      <c r="Z501" s="180"/>
      <c r="AA501" s="180"/>
      <c r="AB501" s="180"/>
      <c r="AC501" s="180"/>
      <c r="AD501" s="180"/>
      <c r="AE501" s="180"/>
      <c r="AF501" s="180"/>
      <c r="AG501" s="180"/>
      <c r="AH501" s="180"/>
      <c r="AI501" s="180">
        <v>0</v>
      </c>
      <c r="AJ501" s="181">
        <f t="shared" si="127"/>
        <v>0</v>
      </c>
      <c r="AK501" s="180">
        <f t="shared" si="132"/>
        <v>2890000</v>
      </c>
      <c r="AL501" s="181">
        <f t="shared" si="128"/>
        <v>100</v>
      </c>
      <c r="AM501" s="243"/>
    </row>
    <row r="502" spans="1:39" ht="29.25" customHeight="1" x14ac:dyDescent="0.25">
      <c r="A502" s="243"/>
      <c r="B502" s="477"/>
      <c r="C502" s="477"/>
      <c r="D502" s="477"/>
      <c r="E502" s="477"/>
      <c r="F502" s="477"/>
      <c r="G502" s="477"/>
      <c r="H502" s="477"/>
      <c r="I502" s="478"/>
      <c r="J502" s="477" t="s">
        <v>282</v>
      </c>
      <c r="K502" s="245"/>
      <c r="L502" s="257"/>
      <c r="M502" s="591" t="s">
        <v>283</v>
      </c>
      <c r="N502" s="592"/>
      <c r="O502" s="179"/>
      <c r="P502" s="180"/>
      <c r="Q502" s="180">
        <v>2943874</v>
      </c>
      <c r="R502" s="181">
        <f t="shared" si="131"/>
        <v>14.549235603621927</v>
      </c>
      <c r="S502" s="181">
        <v>100</v>
      </c>
      <c r="T502" s="180">
        <f t="shared" si="117"/>
        <v>0</v>
      </c>
      <c r="U502" s="180">
        <f t="shared" si="122"/>
        <v>0</v>
      </c>
      <c r="V502" s="182">
        <f t="shared" si="95"/>
        <v>100</v>
      </c>
      <c r="W502" s="180"/>
      <c r="X502" s="180"/>
      <c r="Y502" s="180"/>
      <c r="Z502" s="180"/>
      <c r="AA502" s="180"/>
      <c r="AB502" s="180"/>
      <c r="AC502" s="180"/>
      <c r="AD502" s="180"/>
      <c r="AE502" s="180"/>
      <c r="AF502" s="180"/>
      <c r="AG502" s="180"/>
      <c r="AH502" s="180"/>
      <c r="AI502" s="180">
        <v>0</v>
      </c>
      <c r="AJ502" s="181">
        <f t="shared" si="127"/>
        <v>0</v>
      </c>
      <c r="AK502" s="180">
        <f t="shared" si="132"/>
        <v>2943874</v>
      </c>
      <c r="AL502" s="181">
        <f t="shared" si="128"/>
        <v>100</v>
      </c>
      <c r="AM502" s="243"/>
    </row>
    <row r="503" spans="1:39" ht="29.25" customHeight="1" x14ac:dyDescent="0.25">
      <c r="A503" s="243"/>
      <c r="B503" s="477"/>
      <c r="C503" s="477"/>
      <c r="D503" s="477"/>
      <c r="E503" s="477"/>
      <c r="F503" s="477"/>
      <c r="G503" s="477"/>
      <c r="H503" s="477"/>
      <c r="I503" s="478"/>
      <c r="J503" s="477" t="s">
        <v>320</v>
      </c>
      <c r="K503" s="245"/>
      <c r="L503" s="257"/>
      <c r="M503" s="591" t="s">
        <v>321</v>
      </c>
      <c r="N503" s="592"/>
      <c r="O503" s="179"/>
      <c r="P503" s="180"/>
      <c r="Q503" s="180">
        <v>2500000</v>
      </c>
      <c r="R503" s="181">
        <f t="shared" si="131"/>
        <v>12.35551827593668</v>
      </c>
      <c r="S503" s="181">
        <v>100</v>
      </c>
      <c r="T503" s="180">
        <f t="shared" si="117"/>
        <v>0</v>
      </c>
      <c r="U503" s="180">
        <f t="shared" si="122"/>
        <v>0</v>
      </c>
      <c r="V503" s="182">
        <f t="shared" si="95"/>
        <v>100</v>
      </c>
      <c r="W503" s="180"/>
      <c r="X503" s="180"/>
      <c r="Y503" s="180"/>
      <c r="Z503" s="180"/>
      <c r="AA503" s="180"/>
      <c r="AB503" s="180"/>
      <c r="AC503" s="180"/>
      <c r="AD503" s="180"/>
      <c r="AE503" s="180"/>
      <c r="AF503" s="180"/>
      <c r="AG503" s="180"/>
      <c r="AH503" s="180"/>
      <c r="AI503" s="180">
        <v>0</v>
      </c>
      <c r="AJ503" s="181">
        <f t="shared" si="127"/>
        <v>0</v>
      </c>
      <c r="AK503" s="180">
        <f t="shared" si="132"/>
        <v>2500000</v>
      </c>
      <c r="AL503" s="181">
        <f t="shared" si="128"/>
        <v>100</v>
      </c>
      <c r="AM503" s="243"/>
    </row>
    <row r="504" spans="1:39" s="297" customFormat="1" ht="29.25" customHeight="1" x14ac:dyDescent="0.25">
      <c r="A504" s="227">
        <f>A495+1</f>
        <v>63</v>
      </c>
      <c r="B504" s="615" t="s">
        <v>158</v>
      </c>
      <c r="C504" s="615"/>
      <c r="D504" s="615"/>
      <c r="E504" s="615"/>
      <c r="F504" s="615"/>
      <c r="G504" s="615"/>
      <c r="H504" s="615"/>
      <c r="I504" s="614"/>
      <c r="J504" s="304" t="s">
        <v>516</v>
      </c>
      <c r="K504" s="230"/>
      <c r="L504" s="294"/>
      <c r="M504" s="610" t="s">
        <v>162</v>
      </c>
      <c r="N504" s="610"/>
      <c r="O504" s="309">
        <v>355300000</v>
      </c>
      <c r="P504" s="231">
        <v>0</v>
      </c>
      <c r="Q504" s="231">
        <f>SUM(Q505:Q510)</f>
        <v>381500000</v>
      </c>
      <c r="R504" s="233">
        <f>Q504/Q$248*100</f>
        <v>3.1983984405880177</v>
      </c>
      <c r="S504" s="233">
        <v>100</v>
      </c>
      <c r="T504" s="231">
        <f t="shared" si="117"/>
        <v>63.387155963302753</v>
      </c>
      <c r="U504" s="231">
        <f t="shared" si="122"/>
        <v>2.0273738078633698</v>
      </c>
      <c r="V504" s="296">
        <f t="shared" si="95"/>
        <v>36.612844036697247</v>
      </c>
      <c r="W504" s="231"/>
      <c r="X504" s="231"/>
      <c r="Y504" s="231"/>
      <c r="Z504" s="231"/>
      <c r="AA504" s="231"/>
      <c r="AB504" s="231"/>
      <c r="AC504" s="231"/>
      <c r="AD504" s="231"/>
      <c r="AE504" s="231"/>
      <c r="AF504" s="231"/>
      <c r="AG504" s="231" t="e">
        <f>[2]april!N83</f>
        <v>#REF!</v>
      </c>
      <c r="AH504" s="231">
        <f>'[3]DES SKPD'!$N83</f>
        <v>33663000</v>
      </c>
      <c r="AI504" s="231">
        <f>SUM(AI505:AI510)</f>
        <v>241822000</v>
      </c>
      <c r="AJ504" s="233">
        <f t="shared" si="127"/>
        <v>63.387155963302753</v>
      </c>
      <c r="AK504" s="231">
        <f>Q504-AI504</f>
        <v>139678000</v>
      </c>
      <c r="AL504" s="233">
        <f t="shared" si="128"/>
        <v>36.612844036697247</v>
      </c>
      <c r="AM504" s="227"/>
    </row>
    <row r="505" spans="1:39" ht="29.25" customHeight="1" x14ac:dyDescent="0.25">
      <c r="A505" s="243"/>
      <c r="B505" s="477"/>
      <c r="C505" s="477"/>
      <c r="D505" s="477"/>
      <c r="E505" s="477"/>
      <c r="F505" s="477"/>
      <c r="G505" s="477"/>
      <c r="H505" s="477"/>
      <c r="I505" s="478"/>
      <c r="J505" s="477" t="s">
        <v>332</v>
      </c>
      <c r="K505" s="245"/>
      <c r="L505" s="257"/>
      <c r="M505" s="591" t="s">
        <v>351</v>
      </c>
      <c r="N505" s="592"/>
      <c r="O505" s="179"/>
      <c r="P505" s="180"/>
      <c r="Q505" s="180">
        <v>500000</v>
      </c>
      <c r="R505" s="181">
        <f t="shared" ref="R505:R510" si="133">Q505/Q$504*100</f>
        <v>0.13106159895150721</v>
      </c>
      <c r="S505" s="181">
        <v>100</v>
      </c>
      <c r="T505" s="180">
        <f t="shared" si="117"/>
        <v>0</v>
      </c>
      <c r="U505" s="180">
        <f t="shared" si="122"/>
        <v>0</v>
      </c>
      <c r="V505" s="182">
        <f t="shared" si="95"/>
        <v>100</v>
      </c>
      <c r="W505" s="180"/>
      <c r="X505" s="180"/>
      <c r="Y505" s="180"/>
      <c r="Z505" s="180"/>
      <c r="AA505" s="180"/>
      <c r="AB505" s="180"/>
      <c r="AC505" s="180"/>
      <c r="AD505" s="180"/>
      <c r="AE505" s="180"/>
      <c r="AF505" s="180"/>
      <c r="AG505" s="180"/>
      <c r="AH505" s="180"/>
      <c r="AI505" s="180">
        <v>0</v>
      </c>
      <c r="AJ505" s="181">
        <f t="shared" si="127"/>
        <v>0</v>
      </c>
      <c r="AK505" s="180">
        <f t="shared" ref="AK505:AK510" si="134">SUM(Q505-AI505)</f>
        <v>500000</v>
      </c>
      <c r="AL505" s="181">
        <f t="shared" si="128"/>
        <v>100</v>
      </c>
      <c r="AM505" s="243"/>
    </row>
    <row r="506" spans="1:39" ht="29.25" customHeight="1" x14ac:dyDescent="0.25">
      <c r="A506" s="243"/>
      <c r="B506" s="477"/>
      <c r="C506" s="477"/>
      <c r="D506" s="477"/>
      <c r="E506" s="477"/>
      <c r="F506" s="477"/>
      <c r="G506" s="477"/>
      <c r="H506" s="477"/>
      <c r="I506" s="478"/>
      <c r="J506" s="477" t="s">
        <v>269</v>
      </c>
      <c r="K506" s="245"/>
      <c r="L506" s="257"/>
      <c r="M506" s="591" t="s">
        <v>270</v>
      </c>
      <c r="N506" s="592"/>
      <c r="O506" s="179"/>
      <c r="P506" s="180"/>
      <c r="Q506" s="180">
        <v>30000000</v>
      </c>
      <c r="R506" s="181">
        <f t="shared" si="133"/>
        <v>7.8636959370904327</v>
      </c>
      <c r="S506" s="181">
        <v>100</v>
      </c>
      <c r="T506" s="180">
        <f t="shared" si="117"/>
        <v>99.583333333333329</v>
      </c>
      <c r="U506" s="180">
        <f t="shared" si="122"/>
        <v>7.8309305373525557</v>
      </c>
      <c r="V506" s="182">
        <f t="shared" si="95"/>
        <v>0.4166666666666714</v>
      </c>
      <c r="W506" s="180"/>
      <c r="X506" s="180"/>
      <c r="Y506" s="180"/>
      <c r="Z506" s="180"/>
      <c r="AA506" s="180"/>
      <c r="AB506" s="180"/>
      <c r="AC506" s="180"/>
      <c r="AD506" s="180"/>
      <c r="AE506" s="180"/>
      <c r="AF506" s="180"/>
      <c r="AG506" s="180"/>
      <c r="AH506" s="180"/>
      <c r="AI506" s="180">
        <f>19875000+10000000</f>
        <v>29875000</v>
      </c>
      <c r="AJ506" s="181">
        <f t="shared" si="127"/>
        <v>99.583333333333329</v>
      </c>
      <c r="AK506" s="180">
        <f t="shared" si="134"/>
        <v>125000</v>
      </c>
      <c r="AL506" s="181">
        <f t="shared" si="128"/>
        <v>0.41666666666666669</v>
      </c>
      <c r="AM506" s="243"/>
    </row>
    <row r="507" spans="1:39" ht="29.25" customHeight="1" x14ac:dyDescent="0.25">
      <c r="A507" s="243"/>
      <c r="B507" s="477"/>
      <c r="C507" s="477"/>
      <c r="D507" s="477"/>
      <c r="E507" s="477"/>
      <c r="F507" s="477"/>
      <c r="G507" s="477"/>
      <c r="H507" s="477"/>
      <c r="I507" s="478"/>
      <c r="J507" s="477" t="s">
        <v>315</v>
      </c>
      <c r="K507" s="245"/>
      <c r="L507" s="257"/>
      <c r="M507" s="591" t="s">
        <v>271</v>
      </c>
      <c r="N507" s="592"/>
      <c r="O507" s="179"/>
      <c r="P507" s="180"/>
      <c r="Q507" s="180">
        <v>2500000</v>
      </c>
      <c r="R507" s="181">
        <f t="shared" si="133"/>
        <v>0.65530799475753598</v>
      </c>
      <c r="S507" s="181">
        <v>100</v>
      </c>
      <c r="T507" s="180">
        <f t="shared" si="117"/>
        <v>80</v>
      </c>
      <c r="U507" s="180">
        <f t="shared" si="122"/>
        <v>0.52424639580602883</v>
      </c>
      <c r="V507" s="182">
        <f t="shared" si="95"/>
        <v>20</v>
      </c>
      <c r="W507" s="180"/>
      <c r="X507" s="180"/>
      <c r="Y507" s="180"/>
      <c r="Z507" s="180"/>
      <c r="AA507" s="180"/>
      <c r="AB507" s="180"/>
      <c r="AC507" s="180"/>
      <c r="AD507" s="180"/>
      <c r="AE507" s="180"/>
      <c r="AF507" s="180"/>
      <c r="AG507" s="180"/>
      <c r="AH507" s="180"/>
      <c r="AI507" s="180">
        <f>500000+500000+500000+500000</f>
        <v>2000000</v>
      </c>
      <c r="AJ507" s="181">
        <f t="shared" si="127"/>
        <v>80</v>
      </c>
      <c r="AK507" s="180">
        <f t="shared" si="134"/>
        <v>500000</v>
      </c>
      <c r="AL507" s="181">
        <f t="shared" si="128"/>
        <v>20</v>
      </c>
      <c r="AM507" s="243"/>
    </row>
    <row r="508" spans="1:39" ht="29.25" customHeight="1" x14ac:dyDescent="0.25">
      <c r="A508" s="243"/>
      <c r="B508" s="477"/>
      <c r="C508" s="477"/>
      <c r="D508" s="477"/>
      <c r="E508" s="477"/>
      <c r="F508" s="477"/>
      <c r="G508" s="477"/>
      <c r="H508" s="477"/>
      <c r="I508" s="478"/>
      <c r="J508" s="477" t="s">
        <v>284</v>
      </c>
      <c r="K508" s="245"/>
      <c r="L508" s="257"/>
      <c r="M508" s="591" t="s">
        <v>285</v>
      </c>
      <c r="N508" s="592"/>
      <c r="O508" s="179"/>
      <c r="P508" s="180"/>
      <c r="Q508" s="180">
        <v>15400000</v>
      </c>
      <c r="R508" s="181">
        <f t="shared" si="133"/>
        <v>4.0366972477064227</v>
      </c>
      <c r="S508" s="181">
        <v>100</v>
      </c>
      <c r="T508" s="180">
        <f t="shared" si="117"/>
        <v>55.714285714285715</v>
      </c>
      <c r="U508" s="180">
        <f t="shared" si="122"/>
        <v>2.2490170380078642</v>
      </c>
      <c r="V508" s="182">
        <f t="shared" si="95"/>
        <v>44.285714285714285</v>
      </c>
      <c r="W508" s="180"/>
      <c r="X508" s="180"/>
      <c r="Y508" s="180"/>
      <c r="Z508" s="180"/>
      <c r="AA508" s="180"/>
      <c r="AB508" s="180"/>
      <c r="AC508" s="180"/>
      <c r="AD508" s="180"/>
      <c r="AE508" s="180"/>
      <c r="AF508" s="180"/>
      <c r="AG508" s="180"/>
      <c r="AH508" s="180"/>
      <c r="AI508" s="180">
        <f>2310000+2310000+1650000+2310000</f>
        <v>8580000</v>
      </c>
      <c r="AJ508" s="181">
        <f t="shared" si="127"/>
        <v>55.714285714285715</v>
      </c>
      <c r="AK508" s="180">
        <f t="shared" si="134"/>
        <v>6820000</v>
      </c>
      <c r="AL508" s="181">
        <f t="shared" si="128"/>
        <v>44.285714285714285</v>
      </c>
      <c r="AM508" s="243"/>
    </row>
    <row r="509" spans="1:39" ht="29.25" customHeight="1" x14ac:dyDescent="0.25">
      <c r="A509" s="243"/>
      <c r="B509" s="477"/>
      <c r="C509" s="477"/>
      <c r="D509" s="477"/>
      <c r="E509" s="477"/>
      <c r="F509" s="477"/>
      <c r="G509" s="477"/>
      <c r="H509" s="477"/>
      <c r="I509" s="478"/>
      <c r="J509" s="477" t="s">
        <v>282</v>
      </c>
      <c r="K509" s="245"/>
      <c r="L509" s="257"/>
      <c r="M509" s="591" t="s">
        <v>283</v>
      </c>
      <c r="N509" s="592"/>
      <c r="O509" s="179"/>
      <c r="P509" s="180"/>
      <c r="Q509" s="180">
        <v>18700000</v>
      </c>
      <c r="R509" s="181">
        <f t="shared" si="133"/>
        <v>4.9017038007863691</v>
      </c>
      <c r="S509" s="181">
        <v>100</v>
      </c>
      <c r="T509" s="180">
        <f t="shared" si="117"/>
        <v>96.080213903743314</v>
      </c>
      <c r="U509" s="180">
        <f t="shared" si="122"/>
        <v>4.7095674967234595</v>
      </c>
      <c r="V509" s="182">
        <f t="shared" si="95"/>
        <v>3.9197860962566864</v>
      </c>
      <c r="W509" s="180"/>
      <c r="X509" s="180"/>
      <c r="Y509" s="180"/>
      <c r="Z509" s="180"/>
      <c r="AA509" s="180"/>
      <c r="AB509" s="180"/>
      <c r="AC509" s="180"/>
      <c r="AD509" s="180"/>
      <c r="AE509" s="180"/>
      <c r="AF509" s="180"/>
      <c r="AG509" s="180"/>
      <c r="AH509" s="180"/>
      <c r="AI509" s="180">
        <f>2163000+6226000+6378000+3200000</f>
        <v>17967000</v>
      </c>
      <c r="AJ509" s="181">
        <f t="shared" si="127"/>
        <v>96.080213903743314</v>
      </c>
      <c r="AK509" s="180">
        <f t="shared" si="134"/>
        <v>733000</v>
      </c>
      <c r="AL509" s="181">
        <f t="shared" si="128"/>
        <v>3.9197860962566846</v>
      </c>
      <c r="AM509" s="243"/>
    </row>
    <row r="510" spans="1:39" ht="29.25" customHeight="1" x14ac:dyDescent="0.25">
      <c r="A510" s="243"/>
      <c r="B510" s="477"/>
      <c r="C510" s="477"/>
      <c r="D510" s="477"/>
      <c r="E510" s="477"/>
      <c r="F510" s="477"/>
      <c r="G510" s="477"/>
      <c r="H510" s="477"/>
      <c r="I510" s="478"/>
      <c r="J510" s="477" t="s">
        <v>551</v>
      </c>
      <c r="K510" s="245"/>
      <c r="L510" s="257"/>
      <c r="M510" s="591" t="s">
        <v>550</v>
      </c>
      <c r="N510" s="592"/>
      <c r="O510" s="179"/>
      <c r="P510" s="180"/>
      <c r="Q510" s="180">
        <v>314400000</v>
      </c>
      <c r="R510" s="181">
        <f t="shared" si="133"/>
        <v>82.411533420707727</v>
      </c>
      <c r="S510" s="181">
        <v>100</v>
      </c>
      <c r="T510" s="180">
        <f t="shared" si="117"/>
        <v>58.333333333333336</v>
      </c>
      <c r="U510" s="180">
        <f t="shared" si="122"/>
        <v>48.073394495412842</v>
      </c>
      <c r="V510" s="182">
        <f t="shared" si="95"/>
        <v>41.666666666666664</v>
      </c>
      <c r="W510" s="180"/>
      <c r="X510" s="180"/>
      <c r="Y510" s="180"/>
      <c r="Z510" s="180"/>
      <c r="AA510" s="180"/>
      <c r="AB510" s="180"/>
      <c r="AC510" s="180"/>
      <c r="AD510" s="180"/>
      <c r="AE510" s="180"/>
      <c r="AF510" s="180"/>
      <c r="AG510" s="180"/>
      <c r="AH510" s="180"/>
      <c r="AI510" s="180">
        <f>52400000+26200000+26200000+26200000+26200000+26200000</f>
        <v>183400000</v>
      </c>
      <c r="AJ510" s="181">
        <f t="shared" si="127"/>
        <v>58.333333333333336</v>
      </c>
      <c r="AK510" s="180">
        <f t="shared" si="134"/>
        <v>131000000</v>
      </c>
      <c r="AL510" s="181">
        <f t="shared" si="128"/>
        <v>41.666666666666671</v>
      </c>
      <c r="AM510" s="243"/>
    </row>
    <row r="511" spans="1:39" s="297" customFormat="1" ht="29.25" customHeight="1" x14ac:dyDescent="0.25">
      <c r="A511" s="227">
        <f>SUM(A504+1)</f>
        <v>64</v>
      </c>
      <c r="B511" s="482"/>
      <c r="C511" s="482"/>
      <c r="D511" s="482"/>
      <c r="E511" s="482"/>
      <c r="F511" s="482"/>
      <c r="G511" s="482"/>
      <c r="H511" s="482"/>
      <c r="I511" s="481"/>
      <c r="J511" s="304" t="s">
        <v>517</v>
      </c>
      <c r="K511" s="230"/>
      <c r="L511" s="294"/>
      <c r="M511" s="610" t="s">
        <v>369</v>
      </c>
      <c r="N511" s="612"/>
      <c r="O511" s="309"/>
      <c r="P511" s="231"/>
      <c r="Q511" s="231">
        <f>SUM(Q512:Q522)</f>
        <v>1010210970</v>
      </c>
      <c r="R511" s="233">
        <f>Q511/Q$248*100</f>
        <v>8.4693504354204698</v>
      </c>
      <c r="S511" s="233">
        <v>100</v>
      </c>
      <c r="T511" s="231">
        <f t="shared" si="117"/>
        <v>30.977261116061726</v>
      </c>
      <c r="U511" s="231">
        <f t="shared" si="122"/>
        <v>2.6235727992145099</v>
      </c>
      <c r="V511" s="296">
        <f t="shared" si="95"/>
        <v>69.022738883938274</v>
      </c>
      <c r="W511" s="231"/>
      <c r="X511" s="231"/>
      <c r="Y511" s="231"/>
      <c r="Z511" s="231"/>
      <c r="AA511" s="231"/>
      <c r="AB511" s="231"/>
      <c r="AC511" s="231"/>
      <c r="AD511" s="231"/>
      <c r="AE511" s="231"/>
      <c r="AF511" s="231"/>
      <c r="AG511" s="231" t="e">
        <f>[2]april!N91</f>
        <v>#REF!</v>
      </c>
      <c r="AH511" s="231" t="e">
        <f>'[3]DES SKPD'!$N91</f>
        <v>#REF!</v>
      </c>
      <c r="AI511" s="231">
        <f>SUM(AI512:AI522)</f>
        <v>312935690</v>
      </c>
      <c r="AJ511" s="233">
        <f t="shared" si="127"/>
        <v>30.977261116061726</v>
      </c>
      <c r="AK511" s="231">
        <f>Q511-AI511</f>
        <v>697275280</v>
      </c>
      <c r="AL511" s="233">
        <f t="shared" si="128"/>
        <v>69.022738883938274</v>
      </c>
      <c r="AM511" s="227"/>
    </row>
    <row r="512" spans="1:39" s="297" customFormat="1" ht="29.25" customHeight="1" x14ac:dyDescent="0.25">
      <c r="A512" s="227"/>
      <c r="B512" s="482"/>
      <c r="C512" s="482"/>
      <c r="D512" s="482"/>
      <c r="E512" s="482"/>
      <c r="F512" s="482"/>
      <c r="G512" s="482"/>
      <c r="H512" s="482"/>
      <c r="I512" s="481"/>
      <c r="J512" s="482" t="s">
        <v>421</v>
      </c>
      <c r="K512" s="230"/>
      <c r="L512" s="294"/>
      <c r="M512" s="591" t="s">
        <v>324</v>
      </c>
      <c r="N512" s="592"/>
      <c r="O512" s="309"/>
      <c r="P512" s="231"/>
      <c r="Q512" s="180">
        <v>10814970</v>
      </c>
      <c r="R512" s="181">
        <f>Q512/Q$511*100</f>
        <v>1.0705654879198154</v>
      </c>
      <c r="S512" s="181">
        <v>100</v>
      </c>
      <c r="T512" s="180">
        <f t="shared" si="117"/>
        <v>0</v>
      </c>
      <c r="U512" s="180">
        <f t="shared" si="122"/>
        <v>0</v>
      </c>
      <c r="V512" s="182">
        <f t="shared" si="95"/>
        <v>100</v>
      </c>
      <c r="W512" s="180"/>
      <c r="X512" s="180"/>
      <c r="Y512" s="180"/>
      <c r="Z512" s="180"/>
      <c r="AA512" s="180"/>
      <c r="AB512" s="180"/>
      <c r="AC512" s="180"/>
      <c r="AD512" s="180"/>
      <c r="AE512" s="180"/>
      <c r="AF512" s="180"/>
      <c r="AG512" s="180"/>
      <c r="AH512" s="180"/>
      <c r="AI512" s="180">
        <v>0</v>
      </c>
      <c r="AJ512" s="181">
        <f t="shared" si="127"/>
        <v>0</v>
      </c>
      <c r="AK512" s="180">
        <f>SUM(Q512-AI512)</f>
        <v>10814970</v>
      </c>
      <c r="AL512" s="233"/>
      <c r="AM512" s="227"/>
    </row>
    <row r="513" spans="1:39" ht="29.25" customHeight="1" x14ac:dyDescent="0.25">
      <c r="A513" s="243"/>
      <c r="B513" s="477"/>
      <c r="C513" s="477"/>
      <c r="D513" s="477"/>
      <c r="E513" s="477"/>
      <c r="F513" s="477"/>
      <c r="G513" s="477"/>
      <c r="H513" s="477"/>
      <c r="I513" s="478"/>
      <c r="J513" s="477" t="s">
        <v>315</v>
      </c>
      <c r="K513" s="245"/>
      <c r="L513" s="257"/>
      <c r="M513" s="591" t="s">
        <v>271</v>
      </c>
      <c r="N513" s="592"/>
      <c r="O513" s="179"/>
      <c r="P513" s="180"/>
      <c r="Q513" s="180">
        <v>12500000</v>
      </c>
      <c r="R513" s="181">
        <f>Q513/Q$511*100</f>
        <v>1.2373653000422278</v>
      </c>
      <c r="S513" s="181">
        <v>100</v>
      </c>
      <c r="T513" s="180">
        <f t="shared" si="117"/>
        <v>44</v>
      </c>
      <c r="U513" s="180">
        <f t="shared" si="122"/>
        <v>0.54444073201858023</v>
      </c>
      <c r="V513" s="182">
        <f t="shared" si="95"/>
        <v>56</v>
      </c>
      <c r="W513" s="180"/>
      <c r="X513" s="180"/>
      <c r="Y513" s="180"/>
      <c r="Z513" s="180"/>
      <c r="AA513" s="180"/>
      <c r="AB513" s="180"/>
      <c r="AC513" s="180"/>
      <c r="AD513" s="180"/>
      <c r="AE513" s="180"/>
      <c r="AF513" s="180"/>
      <c r="AG513" s="180"/>
      <c r="AH513" s="180"/>
      <c r="AI513" s="180">
        <f>2500000+3000000</f>
        <v>5500000</v>
      </c>
      <c r="AJ513" s="181">
        <f t="shared" si="127"/>
        <v>44</v>
      </c>
      <c r="AK513" s="180">
        <f t="shared" ref="AK513:AK522" si="135">SUM(Q513-AI513)</f>
        <v>7000000</v>
      </c>
      <c r="AL513" s="181">
        <f t="shared" ref="AL513:AL550" si="136">AK513/Q513*100</f>
        <v>56.000000000000007</v>
      </c>
      <c r="AM513" s="243"/>
    </row>
    <row r="514" spans="1:39" ht="29.25" customHeight="1" x14ac:dyDescent="0.25">
      <c r="A514" s="243"/>
      <c r="B514" s="477"/>
      <c r="C514" s="477"/>
      <c r="D514" s="477"/>
      <c r="E514" s="477"/>
      <c r="F514" s="477"/>
      <c r="G514" s="477"/>
      <c r="H514" s="477"/>
      <c r="I514" s="478"/>
      <c r="J514" s="477" t="s">
        <v>328</v>
      </c>
      <c r="K514" s="245"/>
      <c r="L514" s="257"/>
      <c r="M514" s="591" t="s">
        <v>329</v>
      </c>
      <c r="N514" s="592"/>
      <c r="O514" s="179"/>
      <c r="P514" s="180"/>
      <c r="Q514" s="180">
        <v>5000000</v>
      </c>
      <c r="R514" s="181">
        <f>Q514/Q$511*100</f>
        <v>0.49494612001689114</v>
      </c>
      <c r="S514" s="181">
        <v>100</v>
      </c>
      <c r="T514" s="180">
        <f t="shared" si="117"/>
        <v>90</v>
      </c>
      <c r="U514" s="180">
        <f t="shared" si="122"/>
        <v>0.445451508015202</v>
      </c>
      <c r="V514" s="182">
        <f t="shared" si="95"/>
        <v>10</v>
      </c>
      <c r="W514" s="180"/>
      <c r="X514" s="180"/>
      <c r="Y514" s="180"/>
      <c r="Z514" s="180"/>
      <c r="AA514" s="180"/>
      <c r="AB514" s="180"/>
      <c r="AC514" s="180"/>
      <c r="AD514" s="180"/>
      <c r="AE514" s="180"/>
      <c r="AF514" s="180"/>
      <c r="AG514" s="180"/>
      <c r="AH514" s="180"/>
      <c r="AI514" s="180">
        <v>4500000</v>
      </c>
      <c r="AJ514" s="181">
        <f t="shared" si="127"/>
        <v>90</v>
      </c>
      <c r="AK514" s="180">
        <f t="shared" si="135"/>
        <v>500000</v>
      </c>
      <c r="AL514" s="181">
        <f t="shared" si="136"/>
        <v>10</v>
      </c>
      <c r="AM514" s="243"/>
    </row>
    <row r="515" spans="1:39" ht="29.25" customHeight="1" x14ac:dyDescent="0.25">
      <c r="A515" s="243"/>
      <c r="B515" s="477"/>
      <c r="C515" s="477"/>
      <c r="D515" s="477"/>
      <c r="E515" s="477"/>
      <c r="F515" s="477"/>
      <c r="G515" s="477"/>
      <c r="H515" s="477"/>
      <c r="I515" s="478"/>
      <c r="J515" s="477" t="s">
        <v>370</v>
      </c>
      <c r="K515" s="245"/>
      <c r="L515" s="257"/>
      <c r="M515" s="591" t="s">
        <v>371</v>
      </c>
      <c r="N515" s="592"/>
      <c r="O515" s="179"/>
      <c r="P515" s="180"/>
      <c r="Q515" s="180">
        <v>47450000</v>
      </c>
      <c r="R515" s="181">
        <f t="shared" ref="R515:R522" si="137">Q515/Q$511*100</f>
        <v>4.6970386789602969</v>
      </c>
      <c r="S515" s="181">
        <v>100</v>
      </c>
      <c r="T515" s="180">
        <f t="shared" si="117"/>
        <v>80.08429926238145</v>
      </c>
      <c r="U515" s="180">
        <f t="shared" si="122"/>
        <v>3.7615905121283726</v>
      </c>
      <c r="V515" s="182">
        <f t="shared" si="95"/>
        <v>19.91570073761855</v>
      </c>
      <c r="W515" s="180"/>
      <c r="X515" s="180"/>
      <c r="Y515" s="180"/>
      <c r="Z515" s="180"/>
      <c r="AA515" s="180"/>
      <c r="AB515" s="180"/>
      <c r="AC515" s="180"/>
      <c r="AD515" s="180"/>
      <c r="AE515" s="180"/>
      <c r="AF515" s="180"/>
      <c r="AG515" s="180"/>
      <c r="AH515" s="180"/>
      <c r="AI515" s="180">
        <v>38000000</v>
      </c>
      <c r="AJ515" s="181">
        <f t="shared" si="127"/>
        <v>80.08429926238145</v>
      </c>
      <c r="AK515" s="180">
        <f t="shared" si="135"/>
        <v>9450000</v>
      </c>
      <c r="AL515" s="181">
        <f t="shared" si="136"/>
        <v>19.915700737618547</v>
      </c>
      <c r="AM515" s="243"/>
    </row>
    <row r="516" spans="1:39" ht="29.25" customHeight="1" x14ac:dyDescent="0.25">
      <c r="A516" s="243"/>
      <c r="B516" s="477"/>
      <c r="C516" s="477"/>
      <c r="D516" s="477"/>
      <c r="E516" s="477"/>
      <c r="F516" s="477"/>
      <c r="G516" s="477"/>
      <c r="H516" s="477"/>
      <c r="I516" s="478"/>
      <c r="J516" s="477" t="s">
        <v>280</v>
      </c>
      <c r="K516" s="245"/>
      <c r="L516" s="257"/>
      <c r="M516" s="591" t="s">
        <v>422</v>
      </c>
      <c r="N516" s="592"/>
      <c r="O516" s="179"/>
      <c r="P516" s="180"/>
      <c r="Q516" s="180">
        <v>2000000</v>
      </c>
      <c r="R516" s="181">
        <f t="shared" si="137"/>
        <v>0.19797844800675643</v>
      </c>
      <c r="S516" s="181">
        <v>100</v>
      </c>
      <c r="T516" s="180">
        <f t="shared" si="117"/>
        <v>100</v>
      </c>
      <c r="U516" s="180">
        <f t="shared" si="122"/>
        <v>0.19797844800675646</v>
      </c>
      <c r="V516" s="182">
        <f t="shared" si="95"/>
        <v>0</v>
      </c>
      <c r="W516" s="180"/>
      <c r="X516" s="180"/>
      <c r="Y516" s="180"/>
      <c r="Z516" s="180"/>
      <c r="AA516" s="180"/>
      <c r="AB516" s="180"/>
      <c r="AC516" s="180"/>
      <c r="AD516" s="180"/>
      <c r="AE516" s="180"/>
      <c r="AF516" s="180"/>
      <c r="AG516" s="180"/>
      <c r="AH516" s="180"/>
      <c r="AI516" s="180">
        <f>1000000+1000000</f>
        <v>2000000</v>
      </c>
      <c r="AJ516" s="181">
        <f t="shared" si="127"/>
        <v>100</v>
      </c>
      <c r="AK516" s="180">
        <f t="shared" si="135"/>
        <v>0</v>
      </c>
      <c r="AL516" s="181">
        <f t="shared" si="136"/>
        <v>0</v>
      </c>
      <c r="AM516" s="243"/>
    </row>
    <row r="517" spans="1:39" ht="29.25" customHeight="1" x14ac:dyDescent="0.25">
      <c r="A517" s="243"/>
      <c r="B517" s="477"/>
      <c r="C517" s="477"/>
      <c r="D517" s="477"/>
      <c r="E517" s="477"/>
      <c r="F517" s="477"/>
      <c r="G517" s="477"/>
      <c r="H517" s="477"/>
      <c r="I517" s="478"/>
      <c r="J517" s="477" t="s">
        <v>339</v>
      </c>
      <c r="K517" s="245"/>
      <c r="L517" s="257"/>
      <c r="M517" s="591" t="s">
        <v>340</v>
      </c>
      <c r="N517" s="592"/>
      <c r="O517" s="179"/>
      <c r="P517" s="180"/>
      <c r="Q517" s="180">
        <v>71500000</v>
      </c>
      <c r="R517" s="181">
        <f t="shared" si="137"/>
        <v>7.0777295162415435</v>
      </c>
      <c r="S517" s="181">
        <v>100</v>
      </c>
      <c r="T517" s="180">
        <f t="shared" si="117"/>
        <v>100</v>
      </c>
      <c r="U517" s="180">
        <f t="shared" si="122"/>
        <v>7.0777295162415435</v>
      </c>
      <c r="V517" s="182">
        <f t="shared" si="95"/>
        <v>0</v>
      </c>
      <c r="W517" s="180"/>
      <c r="X517" s="180"/>
      <c r="Y517" s="180"/>
      <c r="Z517" s="180"/>
      <c r="AA517" s="180"/>
      <c r="AB517" s="180"/>
      <c r="AC517" s="180"/>
      <c r="AD517" s="180"/>
      <c r="AE517" s="180"/>
      <c r="AF517" s="180"/>
      <c r="AG517" s="180"/>
      <c r="AH517" s="180"/>
      <c r="AI517" s="180">
        <f>65000000+6500000</f>
        <v>71500000</v>
      </c>
      <c r="AJ517" s="181">
        <f t="shared" si="127"/>
        <v>100</v>
      </c>
      <c r="AK517" s="180">
        <f t="shared" si="135"/>
        <v>0</v>
      </c>
      <c r="AL517" s="181">
        <f t="shared" si="136"/>
        <v>0</v>
      </c>
      <c r="AM517" s="243"/>
    </row>
    <row r="518" spans="1:39" ht="29.25" customHeight="1" x14ac:dyDescent="0.25">
      <c r="A518" s="243"/>
      <c r="B518" s="477"/>
      <c r="C518" s="477"/>
      <c r="D518" s="477"/>
      <c r="E518" s="477"/>
      <c r="F518" s="477"/>
      <c r="G518" s="477"/>
      <c r="H518" s="477"/>
      <c r="I518" s="478"/>
      <c r="J518" s="477" t="s">
        <v>284</v>
      </c>
      <c r="K518" s="245"/>
      <c r="L518" s="257"/>
      <c r="M518" s="591" t="s">
        <v>285</v>
      </c>
      <c r="N518" s="592"/>
      <c r="O518" s="179"/>
      <c r="P518" s="180"/>
      <c r="Q518" s="180">
        <v>8900000</v>
      </c>
      <c r="R518" s="181">
        <f t="shared" si="137"/>
        <v>0.88100409363006615</v>
      </c>
      <c r="S518" s="181">
        <v>100</v>
      </c>
      <c r="T518" s="180">
        <f t="shared" si="117"/>
        <v>95.168539325842687</v>
      </c>
      <c r="U518" s="180">
        <f t="shared" si="122"/>
        <v>0.83843872730861346</v>
      </c>
      <c r="V518" s="182">
        <f t="shared" si="95"/>
        <v>4.831460674157313</v>
      </c>
      <c r="W518" s="180"/>
      <c r="X518" s="180"/>
      <c r="Y518" s="180"/>
      <c r="Z518" s="180"/>
      <c r="AA518" s="180"/>
      <c r="AB518" s="180"/>
      <c r="AC518" s="180"/>
      <c r="AD518" s="180"/>
      <c r="AE518" s="180"/>
      <c r="AF518" s="180"/>
      <c r="AG518" s="180"/>
      <c r="AH518" s="180"/>
      <c r="AI518" s="180">
        <v>8470000</v>
      </c>
      <c r="AJ518" s="181">
        <f t="shared" si="127"/>
        <v>95.168539325842687</v>
      </c>
      <c r="AK518" s="180">
        <f t="shared" si="135"/>
        <v>430000</v>
      </c>
      <c r="AL518" s="181">
        <f t="shared" si="136"/>
        <v>4.8314606741573032</v>
      </c>
      <c r="AM518" s="243"/>
    </row>
    <row r="519" spans="1:39" ht="29.25" customHeight="1" x14ac:dyDescent="0.25">
      <c r="A519" s="243"/>
      <c r="B519" s="477"/>
      <c r="C519" s="477"/>
      <c r="D519" s="477"/>
      <c r="E519" s="477"/>
      <c r="F519" s="477"/>
      <c r="G519" s="477"/>
      <c r="H519" s="477"/>
      <c r="I519" s="478"/>
      <c r="J519" s="477"/>
      <c r="K519" s="245"/>
      <c r="L519" s="257"/>
      <c r="M519" s="591" t="s">
        <v>503</v>
      </c>
      <c r="N519" s="592"/>
      <c r="O519" s="179"/>
      <c r="P519" s="180"/>
      <c r="Q519" s="180">
        <v>48070000</v>
      </c>
      <c r="R519" s="181">
        <f t="shared" si="137"/>
        <v>4.7584119978423915</v>
      </c>
      <c r="S519" s="181">
        <v>100</v>
      </c>
      <c r="T519" s="180">
        <f t="shared" si="117"/>
        <v>92.709985437903057</v>
      </c>
      <c r="U519" s="180">
        <f t="shared" si="122"/>
        <v>4.4115230702751127</v>
      </c>
      <c r="V519" s="182">
        <f t="shared" si="95"/>
        <v>7.2900145620969425</v>
      </c>
      <c r="W519" s="180"/>
      <c r="X519" s="180"/>
      <c r="Y519" s="180"/>
      <c r="Z519" s="180"/>
      <c r="AA519" s="180"/>
      <c r="AB519" s="180"/>
      <c r="AC519" s="180"/>
      <c r="AD519" s="180"/>
      <c r="AE519" s="180"/>
      <c r="AF519" s="180"/>
      <c r="AG519" s="180"/>
      <c r="AH519" s="180"/>
      <c r="AI519" s="180">
        <v>44565690</v>
      </c>
      <c r="AJ519" s="181">
        <f t="shared" si="127"/>
        <v>92.709985437903057</v>
      </c>
      <c r="AK519" s="180">
        <f t="shared" si="135"/>
        <v>3504310</v>
      </c>
      <c r="AL519" s="181">
        <f t="shared" si="136"/>
        <v>7.2900145620969417</v>
      </c>
      <c r="AM519" s="243"/>
    </row>
    <row r="520" spans="1:39" ht="29.25" customHeight="1" x14ac:dyDescent="0.25">
      <c r="A520" s="243"/>
      <c r="B520" s="477"/>
      <c r="C520" s="477"/>
      <c r="D520" s="477"/>
      <c r="E520" s="477"/>
      <c r="F520" s="477"/>
      <c r="G520" s="477"/>
      <c r="H520" s="477"/>
      <c r="I520" s="478"/>
      <c r="J520" s="477" t="s">
        <v>309</v>
      </c>
      <c r="K520" s="245"/>
      <c r="L520" s="257"/>
      <c r="M520" s="591" t="s">
        <v>310</v>
      </c>
      <c r="N520" s="592"/>
      <c r="O520" s="179"/>
      <c r="P520" s="180"/>
      <c r="Q520" s="180">
        <v>485712000</v>
      </c>
      <c r="R520" s="181">
        <f t="shared" si="137"/>
        <v>48.080253969128847</v>
      </c>
      <c r="S520" s="181">
        <v>100</v>
      </c>
      <c r="T520" s="180">
        <f t="shared" si="117"/>
        <v>0</v>
      </c>
      <c r="U520" s="180">
        <f t="shared" si="122"/>
        <v>0</v>
      </c>
      <c r="V520" s="182">
        <f t="shared" si="95"/>
        <v>100</v>
      </c>
      <c r="W520" s="180"/>
      <c r="X520" s="180"/>
      <c r="Y520" s="180"/>
      <c r="Z520" s="180"/>
      <c r="AA520" s="180"/>
      <c r="AB520" s="180"/>
      <c r="AC520" s="180"/>
      <c r="AD520" s="180"/>
      <c r="AE520" s="180"/>
      <c r="AF520" s="180"/>
      <c r="AG520" s="180"/>
      <c r="AH520" s="180"/>
      <c r="AI520" s="180">
        <v>0</v>
      </c>
      <c r="AJ520" s="181">
        <f t="shared" si="127"/>
        <v>0</v>
      </c>
      <c r="AK520" s="180">
        <f t="shared" si="135"/>
        <v>485712000</v>
      </c>
      <c r="AL520" s="181">
        <f t="shared" si="136"/>
        <v>100</v>
      </c>
      <c r="AM520" s="243"/>
    </row>
    <row r="521" spans="1:39" ht="29.25" customHeight="1" x14ac:dyDescent="0.25">
      <c r="A521" s="243"/>
      <c r="B521" s="477"/>
      <c r="C521" s="477"/>
      <c r="D521" s="477"/>
      <c r="E521" s="477"/>
      <c r="F521" s="477"/>
      <c r="G521" s="477"/>
      <c r="H521" s="477"/>
      <c r="I521" s="478"/>
      <c r="J521" s="477" t="s">
        <v>372</v>
      </c>
      <c r="K521" s="245"/>
      <c r="L521" s="257"/>
      <c r="M521" s="591" t="s">
        <v>373</v>
      </c>
      <c r="N521" s="592"/>
      <c r="O521" s="179"/>
      <c r="P521" s="180"/>
      <c r="Q521" s="180">
        <v>143000000</v>
      </c>
      <c r="R521" s="181">
        <f t="shared" si="137"/>
        <v>14.155459032483087</v>
      </c>
      <c r="S521" s="181">
        <v>100</v>
      </c>
      <c r="T521" s="180">
        <f t="shared" si="117"/>
        <v>96.783216783216787</v>
      </c>
      <c r="U521" s="180">
        <f t="shared" si="122"/>
        <v>13.700108602067548</v>
      </c>
      <c r="V521" s="182">
        <f t="shared" si="95"/>
        <v>3.2167832167832131</v>
      </c>
      <c r="W521" s="180"/>
      <c r="X521" s="180"/>
      <c r="Y521" s="180"/>
      <c r="Z521" s="180"/>
      <c r="AA521" s="180"/>
      <c r="AB521" s="180"/>
      <c r="AC521" s="180"/>
      <c r="AD521" s="180"/>
      <c r="AE521" s="180"/>
      <c r="AF521" s="180"/>
      <c r="AG521" s="180"/>
      <c r="AH521" s="180"/>
      <c r="AI521" s="180">
        <f>125400000+13000000</f>
        <v>138400000</v>
      </c>
      <c r="AJ521" s="181">
        <f t="shared" si="127"/>
        <v>96.783216783216787</v>
      </c>
      <c r="AK521" s="180">
        <f t="shared" si="135"/>
        <v>4600000</v>
      </c>
      <c r="AL521" s="181">
        <f t="shared" si="136"/>
        <v>3.2167832167832167</v>
      </c>
      <c r="AM521" s="243"/>
    </row>
    <row r="522" spans="1:39" ht="29.25" customHeight="1" x14ac:dyDescent="0.25">
      <c r="A522" s="243"/>
      <c r="B522" s="477"/>
      <c r="C522" s="477"/>
      <c r="D522" s="477"/>
      <c r="E522" s="477"/>
      <c r="F522" s="477"/>
      <c r="G522" s="477"/>
      <c r="H522" s="477"/>
      <c r="I522" s="478"/>
      <c r="J522" s="477" t="s">
        <v>551</v>
      </c>
      <c r="K522" s="245"/>
      <c r="L522" s="257"/>
      <c r="M522" s="591" t="s">
        <v>550</v>
      </c>
      <c r="N522" s="592"/>
      <c r="O522" s="179"/>
      <c r="P522" s="180"/>
      <c r="Q522" s="180">
        <v>175264000</v>
      </c>
      <c r="R522" s="181">
        <f t="shared" si="137"/>
        <v>17.349247355728082</v>
      </c>
      <c r="S522" s="181">
        <v>100</v>
      </c>
      <c r="T522" s="180">
        <f t="shared" si="117"/>
        <v>0</v>
      </c>
      <c r="U522" s="180">
        <f t="shared" si="122"/>
        <v>0</v>
      </c>
      <c r="V522" s="182">
        <f t="shared" si="95"/>
        <v>100</v>
      </c>
      <c r="W522" s="180"/>
      <c r="X522" s="180"/>
      <c r="Y522" s="180"/>
      <c r="Z522" s="180"/>
      <c r="AA522" s="180"/>
      <c r="AB522" s="180"/>
      <c r="AC522" s="180"/>
      <c r="AD522" s="180"/>
      <c r="AE522" s="180"/>
      <c r="AF522" s="180"/>
      <c r="AG522" s="180"/>
      <c r="AH522" s="180"/>
      <c r="AI522" s="180">
        <v>0</v>
      </c>
      <c r="AJ522" s="181">
        <f t="shared" si="127"/>
        <v>0</v>
      </c>
      <c r="AK522" s="180">
        <f t="shared" si="135"/>
        <v>175264000</v>
      </c>
      <c r="AL522" s="181">
        <f t="shared" si="136"/>
        <v>100</v>
      </c>
      <c r="AM522" s="243"/>
    </row>
    <row r="523" spans="1:39" s="297" customFormat="1" ht="28.5" customHeight="1" x14ac:dyDescent="0.25">
      <c r="A523" s="227">
        <f>A511+1</f>
        <v>65</v>
      </c>
      <c r="B523" s="615" t="s">
        <v>158</v>
      </c>
      <c r="C523" s="615"/>
      <c r="D523" s="615"/>
      <c r="E523" s="615"/>
      <c r="F523" s="615"/>
      <c r="G523" s="615"/>
      <c r="H523" s="615"/>
      <c r="I523" s="614"/>
      <c r="J523" s="304" t="s">
        <v>518</v>
      </c>
      <c r="K523" s="230"/>
      <c r="L523" s="294"/>
      <c r="M523" s="610" t="s">
        <v>163</v>
      </c>
      <c r="N523" s="610"/>
      <c r="O523" s="309">
        <v>355300000</v>
      </c>
      <c r="P523" s="231">
        <v>0</v>
      </c>
      <c r="Q523" s="231">
        <f>SUM(Q524:Q529)</f>
        <v>130200000</v>
      </c>
      <c r="R523" s="233">
        <f>Q523/Q$248*100</f>
        <v>1.0915635044942593</v>
      </c>
      <c r="S523" s="233">
        <v>100</v>
      </c>
      <c r="T523" s="231">
        <f t="shared" si="117"/>
        <v>0</v>
      </c>
      <c r="U523" s="231">
        <f t="shared" si="122"/>
        <v>0</v>
      </c>
      <c r="V523" s="296">
        <f t="shared" si="95"/>
        <v>100</v>
      </c>
      <c r="W523" s="231"/>
      <c r="X523" s="231"/>
      <c r="Y523" s="231"/>
      <c r="Z523" s="231"/>
      <c r="AA523" s="231"/>
      <c r="AB523" s="231"/>
      <c r="AC523" s="231"/>
      <c r="AD523" s="231"/>
      <c r="AE523" s="231"/>
      <c r="AF523" s="231"/>
      <c r="AG523" s="231" t="e">
        <f>[2]april!N84</f>
        <v>#REF!</v>
      </c>
      <c r="AH523" s="231">
        <f>'[3]DES SKPD'!$N84</f>
        <v>52275000</v>
      </c>
      <c r="AI523" s="231">
        <f>SUM(AI525:AI529)</f>
        <v>0</v>
      </c>
      <c r="AJ523" s="233">
        <f t="shared" si="127"/>
        <v>0</v>
      </c>
      <c r="AK523" s="231">
        <f t="shared" ref="AK523:AK530" si="138">Q523-AI523</f>
        <v>130200000</v>
      </c>
      <c r="AL523" s="233">
        <f t="shared" si="136"/>
        <v>100</v>
      </c>
      <c r="AM523" s="227"/>
    </row>
    <row r="524" spans="1:39" s="297" customFormat="1" ht="28.5" customHeight="1" x14ac:dyDescent="0.25">
      <c r="A524" s="227"/>
      <c r="B524" s="482"/>
      <c r="C524" s="482"/>
      <c r="D524" s="482"/>
      <c r="E524" s="482"/>
      <c r="F524" s="482"/>
      <c r="G524" s="482"/>
      <c r="H524" s="482"/>
      <c r="I524" s="481"/>
      <c r="J524" s="477" t="s">
        <v>323</v>
      </c>
      <c r="K524" s="230"/>
      <c r="L524" s="294"/>
      <c r="M524" s="591" t="s">
        <v>324</v>
      </c>
      <c r="N524" s="592"/>
      <c r="O524" s="309"/>
      <c r="P524" s="231"/>
      <c r="Q524" s="180">
        <v>6000000</v>
      </c>
      <c r="R524" s="181">
        <f t="shared" ref="R524:R529" si="139">Q524/Q$523*100</f>
        <v>4.6082949308755765</v>
      </c>
      <c r="S524" s="181">
        <v>100</v>
      </c>
      <c r="T524" s="180">
        <f t="shared" si="117"/>
        <v>0</v>
      </c>
      <c r="U524" s="180">
        <f t="shared" si="122"/>
        <v>0</v>
      </c>
      <c r="V524" s="182">
        <f t="shared" si="95"/>
        <v>100</v>
      </c>
      <c r="W524" s="180"/>
      <c r="X524" s="180"/>
      <c r="Y524" s="180"/>
      <c r="Z524" s="180"/>
      <c r="AA524" s="180"/>
      <c r="AB524" s="180"/>
      <c r="AC524" s="180"/>
      <c r="AD524" s="180"/>
      <c r="AE524" s="180"/>
      <c r="AF524" s="180"/>
      <c r="AG524" s="180"/>
      <c r="AH524" s="180"/>
      <c r="AI524" s="180">
        <v>0</v>
      </c>
      <c r="AJ524" s="181">
        <f t="shared" si="127"/>
        <v>0</v>
      </c>
      <c r="AK524" s="180">
        <f t="shared" si="138"/>
        <v>6000000</v>
      </c>
      <c r="AL524" s="181">
        <f t="shared" si="136"/>
        <v>100</v>
      </c>
      <c r="AM524" s="227"/>
    </row>
    <row r="525" spans="1:39" s="313" customFormat="1" ht="24.75" customHeight="1" x14ac:dyDescent="0.25">
      <c r="A525" s="243"/>
      <c r="B525" s="477"/>
      <c r="C525" s="477"/>
      <c r="D525" s="477"/>
      <c r="E525" s="477"/>
      <c r="F525" s="477"/>
      <c r="G525" s="477"/>
      <c r="H525" s="477"/>
      <c r="I525" s="478"/>
      <c r="J525" s="477" t="s">
        <v>315</v>
      </c>
      <c r="K525" s="245"/>
      <c r="L525" s="257"/>
      <c r="M525" s="591" t="s">
        <v>271</v>
      </c>
      <c r="N525" s="592"/>
      <c r="O525" s="179"/>
      <c r="P525" s="180"/>
      <c r="Q525" s="180">
        <v>4000000</v>
      </c>
      <c r="R525" s="181">
        <f t="shared" si="139"/>
        <v>3.0721966205837172</v>
      </c>
      <c r="S525" s="181">
        <v>100</v>
      </c>
      <c r="T525" s="180">
        <f t="shared" si="117"/>
        <v>0</v>
      </c>
      <c r="U525" s="180">
        <f t="shared" si="122"/>
        <v>0</v>
      </c>
      <c r="V525" s="182">
        <f t="shared" si="95"/>
        <v>100</v>
      </c>
      <c r="W525" s="180"/>
      <c r="X525" s="180"/>
      <c r="Y525" s="180"/>
      <c r="Z525" s="180"/>
      <c r="AA525" s="180"/>
      <c r="AB525" s="180"/>
      <c r="AC525" s="180"/>
      <c r="AD525" s="180"/>
      <c r="AE525" s="180"/>
      <c r="AF525" s="180"/>
      <c r="AG525" s="180"/>
      <c r="AH525" s="180"/>
      <c r="AI525" s="180">
        <v>0</v>
      </c>
      <c r="AJ525" s="181">
        <f t="shared" si="127"/>
        <v>0</v>
      </c>
      <c r="AK525" s="180">
        <f t="shared" si="138"/>
        <v>4000000</v>
      </c>
      <c r="AL525" s="181">
        <f t="shared" si="136"/>
        <v>100</v>
      </c>
      <c r="AM525" s="243"/>
    </row>
    <row r="526" spans="1:39" s="313" customFormat="1" ht="24.75" customHeight="1" x14ac:dyDescent="0.25">
      <c r="A526" s="243"/>
      <c r="B526" s="477"/>
      <c r="C526" s="477"/>
      <c r="D526" s="477"/>
      <c r="E526" s="477"/>
      <c r="F526" s="477"/>
      <c r="G526" s="477"/>
      <c r="H526" s="477"/>
      <c r="I526" s="478"/>
      <c r="J526" s="477" t="s">
        <v>280</v>
      </c>
      <c r="K526" s="245"/>
      <c r="L526" s="257"/>
      <c r="M526" s="591" t="s">
        <v>423</v>
      </c>
      <c r="N526" s="592"/>
      <c r="O526" s="179"/>
      <c r="P526" s="180"/>
      <c r="Q526" s="180">
        <v>1000000</v>
      </c>
      <c r="R526" s="181">
        <f t="shared" si="139"/>
        <v>0.76804915514592931</v>
      </c>
      <c r="S526" s="181">
        <v>100</v>
      </c>
      <c r="T526" s="180">
        <f t="shared" si="117"/>
        <v>0</v>
      </c>
      <c r="U526" s="180">
        <f t="shared" si="122"/>
        <v>0</v>
      </c>
      <c r="V526" s="182">
        <f t="shared" si="95"/>
        <v>100</v>
      </c>
      <c r="W526" s="180"/>
      <c r="X526" s="180"/>
      <c r="Y526" s="180"/>
      <c r="Z526" s="180"/>
      <c r="AA526" s="180"/>
      <c r="AB526" s="180"/>
      <c r="AC526" s="180"/>
      <c r="AD526" s="180"/>
      <c r="AE526" s="180"/>
      <c r="AF526" s="180"/>
      <c r="AG526" s="180"/>
      <c r="AH526" s="180"/>
      <c r="AI526" s="180">
        <v>0</v>
      </c>
      <c r="AJ526" s="181">
        <f t="shared" si="127"/>
        <v>0</v>
      </c>
      <c r="AK526" s="180">
        <f t="shared" si="138"/>
        <v>1000000</v>
      </c>
      <c r="AL526" s="181">
        <f t="shared" si="136"/>
        <v>100</v>
      </c>
      <c r="AM526" s="243"/>
    </row>
    <row r="527" spans="1:39" s="313" customFormat="1" ht="24.75" customHeight="1" x14ac:dyDescent="0.25">
      <c r="A527" s="243"/>
      <c r="B527" s="477"/>
      <c r="C527" s="477"/>
      <c r="D527" s="477"/>
      <c r="E527" s="477"/>
      <c r="F527" s="477"/>
      <c r="G527" s="477"/>
      <c r="H527" s="477"/>
      <c r="I527" s="478"/>
      <c r="J527" s="477" t="s">
        <v>284</v>
      </c>
      <c r="K527" s="245"/>
      <c r="L527" s="257"/>
      <c r="M527" s="591" t="s">
        <v>285</v>
      </c>
      <c r="N527" s="592"/>
      <c r="O527" s="179"/>
      <c r="P527" s="180"/>
      <c r="Q527" s="180">
        <v>5000000</v>
      </c>
      <c r="R527" s="181">
        <f t="shared" si="139"/>
        <v>3.8402457757296471</v>
      </c>
      <c r="S527" s="181">
        <v>100</v>
      </c>
      <c r="T527" s="180">
        <f t="shared" si="117"/>
        <v>0</v>
      </c>
      <c r="U527" s="180">
        <f t="shared" si="122"/>
        <v>0</v>
      </c>
      <c r="V527" s="182">
        <f t="shared" si="95"/>
        <v>100</v>
      </c>
      <c r="W527" s="180"/>
      <c r="X527" s="180"/>
      <c r="Y527" s="180"/>
      <c r="Z527" s="180"/>
      <c r="AA527" s="180"/>
      <c r="AB527" s="180"/>
      <c r="AC527" s="180"/>
      <c r="AD527" s="180"/>
      <c r="AE527" s="180"/>
      <c r="AF527" s="180"/>
      <c r="AG527" s="180"/>
      <c r="AH527" s="180"/>
      <c r="AI527" s="180">
        <v>0</v>
      </c>
      <c r="AJ527" s="181">
        <f t="shared" si="127"/>
        <v>0</v>
      </c>
      <c r="AK527" s="180">
        <f t="shared" si="138"/>
        <v>5000000</v>
      </c>
      <c r="AL527" s="181">
        <f t="shared" si="136"/>
        <v>100</v>
      </c>
      <c r="AM527" s="243"/>
    </row>
    <row r="528" spans="1:39" s="313" customFormat="1" ht="24.75" customHeight="1" x14ac:dyDescent="0.25">
      <c r="A528" s="243"/>
      <c r="B528" s="477"/>
      <c r="C528" s="477"/>
      <c r="D528" s="477"/>
      <c r="E528" s="477"/>
      <c r="F528" s="477"/>
      <c r="G528" s="477"/>
      <c r="H528" s="477"/>
      <c r="I528" s="478"/>
      <c r="J528" s="477"/>
      <c r="K528" s="245"/>
      <c r="L528" s="257"/>
      <c r="M528" s="591" t="s">
        <v>503</v>
      </c>
      <c r="N528" s="592"/>
      <c r="O528" s="179"/>
      <c r="P528" s="180"/>
      <c r="Q528" s="180">
        <v>10000000</v>
      </c>
      <c r="R528" s="181">
        <f t="shared" si="139"/>
        <v>7.6804915514592942</v>
      </c>
      <c r="S528" s="181">
        <v>100</v>
      </c>
      <c r="T528" s="180">
        <f t="shared" si="117"/>
        <v>0</v>
      </c>
      <c r="U528" s="180">
        <f t="shared" si="122"/>
        <v>0</v>
      </c>
      <c r="V528" s="182">
        <f t="shared" si="95"/>
        <v>100</v>
      </c>
      <c r="W528" s="180"/>
      <c r="X528" s="180"/>
      <c r="Y528" s="180"/>
      <c r="Z528" s="180"/>
      <c r="AA528" s="180"/>
      <c r="AB528" s="180"/>
      <c r="AC528" s="180"/>
      <c r="AD528" s="180"/>
      <c r="AE528" s="180"/>
      <c r="AF528" s="180"/>
      <c r="AG528" s="180"/>
      <c r="AH528" s="180"/>
      <c r="AI528" s="180">
        <v>0</v>
      </c>
      <c r="AJ528" s="181">
        <f t="shared" si="127"/>
        <v>0</v>
      </c>
      <c r="AK528" s="180">
        <f t="shared" si="138"/>
        <v>10000000</v>
      </c>
      <c r="AL528" s="181">
        <f t="shared" si="136"/>
        <v>100</v>
      </c>
      <c r="AM528" s="243"/>
    </row>
    <row r="529" spans="1:39" ht="24.75" customHeight="1" x14ac:dyDescent="0.25">
      <c r="A529" s="243"/>
      <c r="B529" s="477"/>
      <c r="C529" s="477"/>
      <c r="D529" s="477"/>
      <c r="E529" s="477"/>
      <c r="F529" s="477"/>
      <c r="G529" s="477"/>
      <c r="H529" s="477"/>
      <c r="I529" s="478"/>
      <c r="J529" s="477" t="s">
        <v>309</v>
      </c>
      <c r="K529" s="245"/>
      <c r="L529" s="257"/>
      <c r="M529" s="591" t="s">
        <v>310</v>
      </c>
      <c r="N529" s="592"/>
      <c r="O529" s="179"/>
      <c r="P529" s="180"/>
      <c r="Q529" s="180">
        <v>104200000</v>
      </c>
      <c r="R529" s="181">
        <f t="shared" si="139"/>
        <v>80.030721966205846</v>
      </c>
      <c r="S529" s="181">
        <v>100</v>
      </c>
      <c r="T529" s="180">
        <f t="shared" si="117"/>
        <v>0</v>
      </c>
      <c r="U529" s="180">
        <f t="shared" si="122"/>
        <v>0</v>
      </c>
      <c r="V529" s="182">
        <f t="shared" si="95"/>
        <v>100</v>
      </c>
      <c r="W529" s="180"/>
      <c r="X529" s="180"/>
      <c r="Y529" s="180"/>
      <c r="Z529" s="180"/>
      <c r="AA529" s="180"/>
      <c r="AB529" s="180"/>
      <c r="AC529" s="180"/>
      <c r="AD529" s="180"/>
      <c r="AE529" s="180"/>
      <c r="AF529" s="180"/>
      <c r="AG529" s="180"/>
      <c r="AH529" s="180"/>
      <c r="AI529" s="180">
        <v>0</v>
      </c>
      <c r="AJ529" s="181">
        <f t="shared" si="127"/>
        <v>0</v>
      </c>
      <c r="AK529" s="180">
        <f t="shared" si="138"/>
        <v>104200000</v>
      </c>
      <c r="AL529" s="181">
        <f t="shared" si="136"/>
        <v>100</v>
      </c>
      <c r="AM529" s="243"/>
    </row>
    <row r="530" spans="1:39" s="297" customFormat="1" ht="29.25" customHeight="1" x14ac:dyDescent="0.25">
      <c r="A530" s="227">
        <f>A523+1</f>
        <v>66</v>
      </c>
      <c r="B530" s="615" t="s">
        <v>158</v>
      </c>
      <c r="C530" s="615"/>
      <c r="D530" s="615"/>
      <c r="E530" s="615"/>
      <c r="F530" s="615"/>
      <c r="G530" s="615"/>
      <c r="H530" s="615"/>
      <c r="I530" s="614"/>
      <c r="J530" s="304" t="s">
        <v>519</v>
      </c>
      <c r="K530" s="230"/>
      <c r="L530" s="294"/>
      <c r="M530" s="610" t="s">
        <v>164</v>
      </c>
      <c r="N530" s="610"/>
      <c r="O530" s="309">
        <v>355300000</v>
      </c>
      <c r="P530" s="231">
        <v>0</v>
      </c>
      <c r="Q530" s="231">
        <f>SUM(Q531:Q541)</f>
        <v>154081000</v>
      </c>
      <c r="R530" s="233">
        <f>Q530/Q$248*100</f>
        <v>1.2917757015052225</v>
      </c>
      <c r="S530" s="233">
        <v>100</v>
      </c>
      <c r="T530" s="231">
        <f t="shared" si="117"/>
        <v>98.755200186914678</v>
      </c>
      <c r="U530" s="231">
        <f t="shared" si="122"/>
        <v>1.2756956799874037</v>
      </c>
      <c r="V530" s="296">
        <f t="shared" si="95"/>
        <v>1.2447998130853222</v>
      </c>
      <c r="W530" s="231"/>
      <c r="X530" s="231"/>
      <c r="Y530" s="231"/>
      <c r="Z530" s="231"/>
      <c r="AA530" s="231"/>
      <c r="AB530" s="231"/>
      <c r="AC530" s="231"/>
      <c r="AD530" s="231"/>
      <c r="AE530" s="231"/>
      <c r="AF530" s="231"/>
      <c r="AG530" s="231" t="e">
        <f>[2]april!N85</f>
        <v>#REF!</v>
      </c>
      <c r="AH530" s="231">
        <f>'[3]DES SKPD'!$N85</f>
        <v>78380000</v>
      </c>
      <c r="AI530" s="231">
        <f>SUM(AI531:AI541)</f>
        <v>152163000</v>
      </c>
      <c r="AJ530" s="233">
        <f t="shared" si="127"/>
        <v>98.755200186914678</v>
      </c>
      <c r="AK530" s="231">
        <f t="shared" si="138"/>
        <v>1918000</v>
      </c>
      <c r="AL530" s="233">
        <f t="shared" si="136"/>
        <v>1.2447998130853253</v>
      </c>
      <c r="AM530" s="227"/>
    </row>
    <row r="531" spans="1:39" ht="29.25" customHeight="1" x14ac:dyDescent="0.25">
      <c r="A531" s="243"/>
      <c r="B531" s="477"/>
      <c r="C531" s="477"/>
      <c r="D531" s="477"/>
      <c r="E531" s="477"/>
      <c r="F531" s="477"/>
      <c r="G531" s="477"/>
      <c r="H531" s="477"/>
      <c r="I531" s="478"/>
      <c r="J531" s="477" t="s">
        <v>259</v>
      </c>
      <c r="K531" s="245"/>
      <c r="L531" s="257"/>
      <c r="M531" s="591" t="s">
        <v>619</v>
      </c>
      <c r="N531" s="592"/>
      <c r="O531" s="179"/>
      <c r="P531" s="180"/>
      <c r="Q531" s="180">
        <v>1300000</v>
      </c>
      <c r="R531" s="181">
        <f>Q531/Q$530*100</f>
        <v>0.84371207351977218</v>
      </c>
      <c r="S531" s="181">
        <v>100</v>
      </c>
      <c r="T531" s="180">
        <f t="shared" si="117"/>
        <v>100</v>
      </c>
      <c r="U531" s="180">
        <f t="shared" si="122"/>
        <v>0.84371207351977218</v>
      </c>
      <c r="V531" s="182">
        <f t="shared" si="95"/>
        <v>0</v>
      </c>
      <c r="W531" s="180"/>
      <c r="X531" s="180"/>
      <c r="Y531" s="180"/>
      <c r="Z531" s="180"/>
      <c r="AA531" s="180"/>
      <c r="AB531" s="180"/>
      <c r="AC531" s="180"/>
      <c r="AD531" s="180"/>
      <c r="AE531" s="180"/>
      <c r="AF531" s="180"/>
      <c r="AG531" s="180"/>
      <c r="AH531" s="180"/>
      <c r="AI531" s="180">
        <v>1300000</v>
      </c>
      <c r="AJ531" s="181">
        <f t="shared" si="127"/>
        <v>100</v>
      </c>
      <c r="AK531" s="180">
        <f>SUM(Q531-AI531)</f>
        <v>0</v>
      </c>
      <c r="AL531" s="181">
        <f t="shared" si="136"/>
        <v>0</v>
      </c>
      <c r="AM531" s="243"/>
    </row>
    <row r="532" spans="1:39" ht="29.25" customHeight="1" x14ac:dyDescent="0.25">
      <c r="A532" s="243"/>
      <c r="B532" s="477"/>
      <c r="C532" s="477"/>
      <c r="D532" s="477"/>
      <c r="E532" s="477"/>
      <c r="F532" s="477"/>
      <c r="G532" s="477"/>
      <c r="H532" s="477"/>
      <c r="I532" s="478"/>
      <c r="J532" s="477" t="s">
        <v>618</v>
      </c>
      <c r="K532" s="245"/>
      <c r="L532" s="257"/>
      <c r="M532" s="591" t="s">
        <v>351</v>
      </c>
      <c r="N532" s="592"/>
      <c r="O532" s="179"/>
      <c r="P532" s="180"/>
      <c r="Q532" s="180">
        <v>986000</v>
      </c>
      <c r="R532" s="181">
        <f t="shared" ref="R532:R541" si="140">Q532/Q$530*100</f>
        <v>0.63992315730038096</v>
      </c>
      <c r="S532" s="181">
        <v>100</v>
      </c>
      <c r="T532" s="180">
        <f t="shared" si="117"/>
        <v>50.709939148073026</v>
      </c>
      <c r="U532" s="180">
        <f t="shared" si="122"/>
        <v>0.32450464366145082</v>
      </c>
      <c r="V532" s="182">
        <f t="shared" si="95"/>
        <v>49.290060851926974</v>
      </c>
      <c r="W532" s="180"/>
      <c r="X532" s="180"/>
      <c r="Y532" s="180"/>
      <c r="Z532" s="180"/>
      <c r="AA532" s="180"/>
      <c r="AB532" s="180"/>
      <c r="AC532" s="180"/>
      <c r="AD532" s="180"/>
      <c r="AE532" s="180"/>
      <c r="AF532" s="180"/>
      <c r="AG532" s="180"/>
      <c r="AH532" s="180"/>
      <c r="AI532" s="180">
        <v>500000</v>
      </c>
      <c r="AJ532" s="181">
        <f t="shared" si="127"/>
        <v>50.709939148073026</v>
      </c>
      <c r="AK532" s="180">
        <f t="shared" ref="AK532:AK541" si="141">SUM(Q532-AI532)</f>
        <v>486000</v>
      </c>
      <c r="AL532" s="181">
        <f t="shared" si="136"/>
        <v>49.290060851926974</v>
      </c>
      <c r="AM532" s="243"/>
    </row>
    <row r="533" spans="1:39" ht="29.25" customHeight="1" x14ac:dyDescent="0.25">
      <c r="A533" s="243"/>
      <c r="B533" s="477"/>
      <c r="C533" s="477"/>
      <c r="D533" s="477"/>
      <c r="E533" s="477"/>
      <c r="F533" s="477"/>
      <c r="G533" s="477"/>
      <c r="H533" s="477"/>
      <c r="I533" s="478"/>
      <c r="J533" s="477" t="s">
        <v>332</v>
      </c>
      <c r="K533" s="245"/>
      <c r="L533" s="257"/>
      <c r="M533" s="591" t="s">
        <v>354</v>
      </c>
      <c r="N533" s="592"/>
      <c r="O533" s="179"/>
      <c r="P533" s="180"/>
      <c r="Q533" s="180">
        <v>75000000</v>
      </c>
      <c r="R533" s="181">
        <f t="shared" si="140"/>
        <v>48.675696549217619</v>
      </c>
      <c r="S533" s="181">
        <v>100</v>
      </c>
      <c r="T533" s="180">
        <f t="shared" si="117"/>
        <v>100</v>
      </c>
      <c r="U533" s="180">
        <f t="shared" si="122"/>
        <v>48.675696549217619</v>
      </c>
      <c r="V533" s="182">
        <f t="shared" si="95"/>
        <v>0</v>
      </c>
      <c r="W533" s="180"/>
      <c r="X533" s="180"/>
      <c r="Y533" s="180"/>
      <c r="Z533" s="180"/>
      <c r="AA533" s="180"/>
      <c r="AB533" s="180"/>
      <c r="AC533" s="180"/>
      <c r="AD533" s="180"/>
      <c r="AE533" s="180"/>
      <c r="AF533" s="180"/>
      <c r="AG533" s="180"/>
      <c r="AH533" s="180"/>
      <c r="AI533" s="180">
        <v>75000000</v>
      </c>
      <c r="AJ533" s="181">
        <f t="shared" si="127"/>
        <v>100</v>
      </c>
      <c r="AK533" s="180">
        <f t="shared" si="141"/>
        <v>0</v>
      </c>
      <c r="AL533" s="181">
        <f t="shared" si="136"/>
        <v>0</v>
      </c>
      <c r="AM533" s="243"/>
    </row>
    <row r="534" spans="1:39" ht="29.25" customHeight="1" x14ac:dyDescent="0.25">
      <c r="A534" s="243"/>
      <c r="B534" s="477"/>
      <c r="C534" s="477"/>
      <c r="D534" s="477"/>
      <c r="E534" s="477"/>
      <c r="F534" s="477"/>
      <c r="G534" s="477"/>
      <c r="H534" s="477"/>
      <c r="I534" s="478"/>
      <c r="J534" s="477" t="s">
        <v>374</v>
      </c>
      <c r="K534" s="245"/>
      <c r="L534" s="257"/>
      <c r="M534" s="591" t="s">
        <v>428</v>
      </c>
      <c r="N534" s="592"/>
      <c r="O534" s="179"/>
      <c r="P534" s="180"/>
      <c r="Q534" s="180">
        <v>500000</v>
      </c>
      <c r="R534" s="181">
        <f t="shared" si="140"/>
        <v>0.32450464366145082</v>
      </c>
      <c r="S534" s="181">
        <v>100</v>
      </c>
      <c r="T534" s="180">
        <f t="shared" si="117"/>
        <v>100</v>
      </c>
      <c r="U534" s="180">
        <f t="shared" si="122"/>
        <v>0.32450464366145082</v>
      </c>
      <c r="V534" s="182">
        <f t="shared" si="95"/>
        <v>0</v>
      </c>
      <c r="W534" s="180"/>
      <c r="X534" s="180"/>
      <c r="Y534" s="180"/>
      <c r="Z534" s="180"/>
      <c r="AA534" s="180"/>
      <c r="AB534" s="180"/>
      <c r="AC534" s="180"/>
      <c r="AD534" s="180"/>
      <c r="AE534" s="180"/>
      <c r="AF534" s="180"/>
      <c r="AG534" s="180"/>
      <c r="AH534" s="180"/>
      <c r="AI534" s="180">
        <v>500000</v>
      </c>
      <c r="AJ534" s="181">
        <f t="shared" si="127"/>
        <v>100</v>
      </c>
      <c r="AK534" s="180">
        <f t="shared" si="141"/>
        <v>0</v>
      </c>
      <c r="AL534" s="181">
        <f t="shared" si="136"/>
        <v>0</v>
      </c>
      <c r="AM534" s="243"/>
    </row>
    <row r="535" spans="1:39" ht="29.25" customHeight="1" x14ac:dyDescent="0.25">
      <c r="A535" s="243"/>
      <c r="B535" s="477"/>
      <c r="C535" s="477"/>
      <c r="D535" s="477"/>
      <c r="E535" s="477"/>
      <c r="F535" s="477"/>
      <c r="G535" s="477"/>
      <c r="H535" s="477"/>
      <c r="I535" s="478"/>
      <c r="J535" s="477" t="s">
        <v>316</v>
      </c>
      <c r="K535" s="245"/>
      <c r="L535" s="257"/>
      <c r="M535" s="591" t="s">
        <v>317</v>
      </c>
      <c r="N535" s="592"/>
      <c r="O535" s="179"/>
      <c r="P535" s="180"/>
      <c r="Q535" s="180">
        <v>17300000</v>
      </c>
      <c r="R535" s="181">
        <f t="shared" si="140"/>
        <v>11.227860670686198</v>
      </c>
      <c r="S535" s="181">
        <v>100</v>
      </c>
      <c r="T535" s="180">
        <f t="shared" si="117"/>
        <v>97.109826589595372</v>
      </c>
      <c r="U535" s="180">
        <f t="shared" si="122"/>
        <v>10.903356027024747</v>
      </c>
      <c r="V535" s="182">
        <f t="shared" si="95"/>
        <v>2.8901734104046284</v>
      </c>
      <c r="W535" s="180"/>
      <c r="X535" s="180"/>
      <c r="Y535" s="180"/>
      <c r="Z535" s="180"/>
      <c r="AA535" s="180"/>
      <c r="AB535" s="180"/>
      <c r="AC535" s="180"/>
      <c r="AD535" s="180"/>
      <c r="AE535" s="180"/>
      <c r="AF535" s="180"/>
      <c r="AG535" s="180"/>
      <c r="AH535" s="180"/>
      <c r="AI535" s="180">
        <v>16800000</v>
      </c>
      <c r="AJ535" s="181">
        <f t="shared" si="127"/>
        <v>97.109826589595372</v>
      </c>
      <c r="AK535" s="180">
        <f t="shared" si="141"/>
        <v>500000</v>
      </c>
      <c r="AL535" s="181">
        <f t="shared" si="136"/>
        <v>2.8901734104046244</v>
      </c>
      <c r="AM535" s="243"/>
    </row>
    <row r="536" spans="1:39" ht="29.25" customHeight="1" x14ac:dyDescent="0.25">
      <c r="A536" s="243"/>
      <c r="B536" s="477"/>
      <c r="C536" s="477"/>
      <c r="D536" s="477"/>
      <c r="E536" s="477"/>
      <c r="F536" s="477"/>
      <c r="G536" s="477"/>
      <c r="H536" s="477"/>
      <c r="I536" s="478"/>
      <c r="J536" s="477" t="s">
        <v>318</v>
      </c>
      <c r="K536" s="245"/>
      <c r="L536" s="257"/>
      <c r="M536" s="591" t="s">
        <v>319</v>
      </c>
      <c r="N536" s="592"/>
      <c r="O536" s="179"/>
      <c r="P536" s="180"/>
      <c r="Q536" s="180">
        <v>26250000</v>
      </c>
      <c r="R536" s="181">
        <f t="shared" si="140"/>
        <v>17.036493792226167</v>
      </c>
      <c r="S536" s="181">
        <v>100</v>
      </c>
      <c r="T536" s="180">
        <f t="shared" si="117"/>
        <v>100</v>
      </c>
      <c r="U536" s="180">
        <f t="shared" si="122"/>
        <v>17.036493792226167</v>
      </c>
      <c r="V536" s="182">
        <f t="shared" si="95"/>
        <v>0</v>
      </c>
      <c r="W536" s="180"/>
      <c r="X536" s="180"/>
      <c r="Y536" s="180"/>
      <c r="Z536" s="180"/>
      <c r="AA536" s="180"/>
      <c r="AB536" s="180"/>
      <c r="AC536" s="180"/>
      <c r="AD536" s="180"/>
      <c r="AE536" s="180"/>
      <c r="AF536" s="180"/>
      <c r="AG536" s="180"/>
      <c r="AH536" s="180"/>
      <c r="AI536" s="180">
        <v>26250000</v>
      </c>
      <c r="AJ536" s="181">
        <f t="shared" si="127"/>
        <v>100</v>
      </c>
      <c r="AK536" s="180">
        <f t="shared" si="141"/>
        <v>0</v>
      </c>
      <c r="AL536" s="181">
        <f t="shared" si="136"/>
        <v>0</v>
      </c>
      <c r="AM536" s="243"/>
    </row>
    <row r="537" spans="1:39" ht="29.25" customHeight="1" x14ac:dyDescent="0.25">
      <c r="A537" s="243"/>
      <c r="B537" s="477"/>
      <c r="C537" s="477"/>
      <c r="D537" s="477"/>
      <c r="E537" s="477"/>
      <c r="F537" s="477"/>
      <c r="G537" s="477"/>
      <c r="H537" s="477"/>
      <c r="I537" s="478"/>
      <c r="J537" s="477" t="s">
        <v>284</v>
      </c>
      <c r="K537" s="245"/>
      <c r="L537" s="257"/>
      <c r="M537" s="591" t="s">
        <v>285</v>
      </c>
      <c r="N537" s="592"/>
      <c r="O537" s="179"/>
      <c r="P537" s="180"/>
      <c r="Q537" s="180">
        <v>3000000</v>
      </c>
      <c r="R537" s="181">
        <f t="shared" si="140"/>
        <v>1.9470278619687049</v>
      </c>
      <c r="S537" s="181">
        <v>100</v>
      </c>
      <c r="T537" s="180">
        <f t="shared" si="117"/>
        <v>99</v>
      </c>
      <c r="U537" s="180">
        <f t="shared" si="122"/>
        <v>1.9275575833490179</v>
      </c>
      <c r="V537" s="182">
        <f t="shared" si="95"/>
        <v>1</v>
      </c>
      <c r="W537" s="180"/>
      <c r="X537" s="180"/>
      <c r="Y537" s="180"/>
      <c r="Z537" s="180"/>
      <c r="AA537" s="180"/>
      <c r="AB537" s="180"/>
      <c r="AC537" s="180"/>
      <c r="AD537" s="180"/>
      <c r="AE537" s="180"/>
      <c r="AF537" s="180"/>
      <c r="AG537" s="180"/>
      <c r="AH537" s="180"/>
      <c r="AI537" s="180">
        <f>440000+2530000</f>
        <v>2970000</v>
      </c>
      <c r="AJ537" s="181">
        <f t="shared" si="127"/>
        <v>99</v>
      </c>
      <c r="AK537" s="180">
        <f t="shared" si="141"/>
        <v>30000</v>
      </c>
      <c r="AL537" s="181">
        <f t="shared" si="136"/>
        <v>1</v>
      </c>
      <c r="AM537" s="243"/>
    </row>
    <row r="538" spans="1:39" ht="29.25" customHeight="1" x14ac:dyDescent="0.25">
      <c r="A538" s="243"/>
      <c r="B538" s="477"/>
      <c r="C538" s="477"/>
      <c r="D538" s="477"/>
      <c r="E538" s="477"/>
      <c r="F538" s="477"/>
      <c r="G538" s="477"/>
      <c r="H538" s="477"/>
      <c r="I538" s="478"/>
      <c r="J538" s="477" t="s">
        <v>282</v>
      </c>
      <c r="K538" s="245"/>
      <c r="L538" s="257"/>
      <c r="M538" s="591" t="s">
        <v>283</v>
      </c>
      <c r="N538" s="592"/>
      <c r="O538" s="179"/>
      <c r="P538" s="180"/>
      <c r="Q538" s="180">
        <v>10245000</v>
      </c>
      <c r="R538" s="181">
        <f t="shared" si="140"/>
        <v>6.6491001486231269</v>
      </c>
      <c r="S538" s="181">
        <v>100</v>
      </c>
      <c r="T538" s="180">
        <f t="shared" si="117"/>
        <v>99.980478282088825</v>
      </c>
      <c r="U538" s="180">
        <f t="shared" si="122"/>
        <v>6.6478021300484809</v>
      </c>
      <c r="V538" s="182">
        <f t="shared" ref="V538:V679" si="142">S538-T538</f>
        <v>1.9521717911175074E-2</v>
      </c>
      <c r="W538" s="180"/>
      <c r="X538" s="180"/>
      <c r="Y538" s="180"/>
      <c r="Z538" s="180"/>
      <c r="AA538" s="180"/>
      <c r="AB538" s="180"/>
      <c r="AC538" s="180"/>
      <c r="AD538" s="180"/>
      <c r="AE538" s="180"/>
      <c r="AF538" s="180"/>
      <c r="AG538" s="180"/>
      <c r="AH538" s="180"/>
      <c r="AI538" s="180">
        <f>2163000+8080000</f>
        <v>10243000</v>
      </c>
      <c r="AJ538" s="181">
        <f t="shared" ref="AJ538:AJ605" si="143">AI538/Q538*100</f>
        <v>99.980478282088825</v>
      </c>
      <c r="AK538" s="180">
        <f t="shared" si="141"/>
        <v>2000</v>
      </c>
      <c r="AL538" s="181">
        <f t="shared" si="136"/>
        <v>1.9521717911176184E-2</v>
      </c>
      <c r="AM538" s="243"/>
    </row>
    <row r="539" spans="1:39" ht="29.25" customHeight="1" x14ac:dyDescent="0.25">
      <c r="A539" s="243"/>
      <c r="B539" s="477"/>
      <c r="C539" s="477"/>
      <c r="D539" s="477"/>
      <c r="E539" s="477"/>
      <c r="F539" s="477"/>
      <c r="G539" s="477"/>
      <c r="H539" s="477"/>
      <c r="I539" s="478"/>
      <c r="J539" s="477" t="s">
        <v>320</v>
      </c>
      <c r="K539" s="245"/>
      <c r="L539" s="257"/>
      <c r="M539" s="591" t="s">
        <v>321</v>
      </c>
      <c r="N539" s="592"/>
      <c r="O539" s="179"/>
      <c r="P539" s="180"/>
      <c r="Q539" s="180">
        <v>5800000</v>
      </c>
      <c r="R539" s="181">
        <f t="shared" si="140"/>
        <v>3.7642538664728291</v>
      </c>
      <c r="S539" s="181">
        <v>100</v>
      </c>
      <c r="T539" s="180">
        <f t="shared" si="117"/>
        <v>100</v>
      </c>
      <c r="U539" s="180">
        <f t="shared" si="122"/>
        <v>3.7642538664728291</v>
      </c>
      <c r="V539" s="182">
        <f t="shared" si="142"/>
        <v>0</v>
      </c>
      <c r="W539" s="180"/>
      <c r="X539" s="180"/>
      <c r="Y539" s="180"/>
      <c r="Z539" s="180"/>
      <c r="AA539" s="180"/>
      <c r="AB539" s="180"/>
      <c r="AC539" s="180"/>
      <c r="AD539" s="180"/>
      <c r="AE539" s="180"/>
      <c r="AF539" s="180"/>
      <c r="AG539" s="180"/>
      <c r="AH539" s="180"/>
      <c r="AI539" s="180">
        <v>5800000</v>
      </c>
      <c r="AJ539" s="181">
        <f t="shared" si="143"/>
        <v>100</v>
      </c>
      <c r="AK539" s="180">
        <f t="shared" si="141"/>
        <v>0</v>
      </c>
      <c r="AL539" s="181">
        <f t="shared" si="136"/>
        <v>0</v>
      </c>
      <c r="AM539" s="243"/>
    </row>
    <row r="540" spans="1:39" ht="29.25" customHeight="1" x14ac:dyDescent="0.25">
      <c r="A540" s="243"/>
      <c r="B540" s="477"/>
      <c r="C540" s="477"/>
      <c r="D540" s="477"/>
      <c r="E540" s="477"/>
      <c r="F540" s="477"/>
      <c r="G540" s="477"/>
      <c r="H540" s="477"/>
      <c r="I540" s="478"/>
      <c r="J540" s="477" t="s">
        <v>309</v>
      </c>
      <c r="K540" s="245"/>
      <c r="L540" s="257"/>
      <c r="M540" s="591" t="s">
        <v>607</v>
      </c>
      <c r="N540" s="592"/>
      <c r="O540" s="179"/>
      <c r="P540" s="180"/>
      <c r="Q540" s="180">
        <v>2450000</v>
      </c>
      <c r="R540" s="181">
        <f t="shared" si="140"/>
        <v>1.5900727539411088</v>
      </c>
      <c r="S540" s="181">
        <v>100</v>
      </c>
      <c r="T540" s="180">
        <f t="shared" si="117"/>
        <v>100</v>
      </c>
      <c r="U540" s="180">
        <f t="shared" si="122"/>
        <v>1.5900727539411088</v>
      </c>
      <c r="V540" s="182">
        <f t="shared" si="142"/>
        <v>0</v>
      </c>
      <c r="W540" s="180"/>
      <c r="X540" s="180"/>
      <c r="Y540" s="180"/>
      <c r="Z540" s="180"/>
      <c r="AA540" s="180"/>
      <c r="AB540" s="180"/>
      <c r="AC540" s="180"/>
      <c r="AD540" s="180"/>
      <c r="AE540" s="180"/>
      <c r="AF540" s="180"/>
      <c r="AG540" s="180"/>
      <c r="AH540" s="180"/>
      <c r="AI540" s="180">
        <v>2450000</v>
      </c>
      <c r="AJ540" s="181">
        <f t="shared" si="143"/>
        <v>100</v>
      </c>
      <c r="AK540" s="180">
        <f t="shared" si="141"/>
        <v>0</v>
      </c>
      <c r="AL540" s="181">
        <f t="shared" si="136"/>
        <v>0</v>
      </c>
      <c r="AM540" s="243"/>
    </row>
    <row r="541" spans="1:39" ht="29.25" customHeight="1" x14ac:dyDescent="0.25">
      <c r="A541" s="243"/>
      <c r="B541" s="477"/>
      <c r="C541" s="477"/>
      <c r="D541" s="477"/>
      <c r="E541" s="477"/>
      <c r="F541" s="477"/>
      <c r="G541" s="477"/>
      <c r="H541" s="477"/>
      <c r="I541" s="478"/>
      <c r="J541" s="477" t="s">
        <v>372</v>
      </c>
      <c r="K541" s="245"/>
      <c r="L541" s="257"/>
      <c r="M541" s="591" t="s">
        <v>373</v>
      </c>
      <c r="N541" s="592"/>
      <c r="O541" s="179"/>
      <c r="P541" s="180"/>
      <c r="Q541" s="180">
        <v>11250000</v>
      </c>
      <c r="R541" s="181">
        <f t="shared" si="140"/>
        <v>7.3013544823826422</v>
      </c>
      <c r="S541" s="181"/>
      <c r="T541" s="180">
        <f t="shared" si="117"/>
        <v>92</v>
      </c>
      <c r="U541" s="180">
        <f t="shared" si="122"/>
        <v>6.7172461237920311</v>
      </c>
      <c r="V541" s="182">
        <f t="shared" si="142"/>
        <v>-92</v>
      </c>
      <c r="W541" s="180"/>
      <c r="X541" s="180"/>
      <c r="Y541" s="180"/>
      <c r="Z541" s="180"/>
      <c r="AA541" s="180"/>
      <c r="AB541" s="180"/>
      <c r="AC541" s="180"/>
      <c r="AD541" s="180"/>
      <c r="AE541" s="180"/>
      <c r="AF541" s="180"/>
      <c r="AG541" s="180"/>
      <c r="AH541" s="180"/>
      <c r="AI541" s="180">
        <v>10350000</v>
      </c>
      <c r="AJ541" s="181">
        <f t="shared" si="143"/>
        <v>92</v>
      </c>
      <c r="AK541" s="180">
        <f t="shared" si="141"/>
        <v>900000</v>
      </c>
      <c r="AL541" s="181">
        <f t="shared" si="136"/>
        <v>8</v>
      </c>
      <c r="AM541" s="243"/>
    </row>
    <row r="542" spans="1:39" s="297" customFormat="1" ht="31.5" customHeight="1" x14ac:dyDescent="0.25">
      <c r="A542" s="227">
        <f>A530+1</f>
        <v>67</v>
      </c>
      <c r="B542" s="615" t="s">
        <v>158</v>
      </c>
      <c r="C542" s="615"/>
      <c r="D542" s="615"/>
      <c r="E542" s="615"/>
      <c r="F542" s="615"/>
      <c r="G542" s="615"/>
      <c r="H542" s="615"/>
      <c r="I542" s="614"/>
      <c r="J542" s="304" t="s">
        <v>520</v>
      </c>
      <c r="K542" s="230"/>
      <c r="L542" s="294"/>
      <c r="M542" s="610" t="s">
        <v>165</v>
      </c>
      <c r="N542" s="610"/>
      <c r="O542" s="309">
        <v>355300000</v>
      </c>
      <c r="P542" s="231">
        <v>0</v>
      </c>
      <c r="Q542" s="231">
        <f>SUM(Q543:Q552)</f>
        <v>237999131</v>
      </c>
      <c r="R542" s="233">
        <f>Q542/Q$248*100</f>
        <v>1.9953238517737966</v>
      </c>
      <c r="S542" s="233">
        <v>100</v>
      </c>
      <c r="T542" s="231">
        <f t="shared" si="117"/>
        <v>85.94989365738482</v>
      </c>
      <c r="U542" s="231">
        <f t="shared" si="122"/>
        <v>1.7149787287200129</v>
      </c>
      <c r="V542" s="296">
        <f t="shared" si="142"/>
        <v>14.05010634261518</v>
      </c>
      <c r="W542" s="231"/>
      <c r="X542" s="231"/>
      <c r="Y542" s="231"/>
      <c r="Z542" s="231"/>
      <c r="AA542" s="231"/>
      <c r="AB542" s="231"/>
      <c r="AC542" s="231"/>
      <c r="AD542" s="231"/>
      <c r="AE542" s="231"/>
      <c r="AF542" s="231"/>
      <c r="AG542" s="231" t="e">
        <f>[2]april!N86</f>
        <v>#REF!</v>
      </c>
      <c r="AH542" s="231">
        <f>'[3]DES SKPD'!$N86</f>
        <v>126710000</v>
      </c>
      <c r="AI542" s="231">
        <f>SUM(AI543:AI552)</f>
        <v>204560000</v>
      </c>
      <c r="AJ542" s="233">
        <f t="shared" si="143"/>
        <v>85.94989365738482</v>
      </c>
      <c r="AK542" s="231">
        <f>Q542-AI542</f>
        <v>33439131</v>
      </c>
      <c r="AL542" s="233">
        <f t="shared" si="136"/>
        <v>14.050106342615177</v>
      </c>
      <c r="AM542" s="227"/>
    </row>
    <row r="543" spans="1:39" ht="42.75" customHeight="1" x14ac:dyDescent="0.25">
      <c r="A543" s="243"/>
      <c r="B543" s="477"/>
      <c r="C543" s="477"/>
      <c r="D543" s="477"/>
      <c r="E543" s="477"/>
      <c r="F543" s="477"/>
      <c r="G543" s="477"/>
      <c r="H543" s="477"/>
      <c r="I543" s="478"/>
      <c r="J543" s="477" t="s">
        <v>251</v>
      </c>
      <c r="K543" s="245"/>
      <c r="L543" s="257"/>
      <c r="M543" s="591" t="s">
        <v>324</v>
      </c>
      <c r="N543" s="592"/>
      <c r="O543" s="179"/>
      <c r="P543" s="180"/>
      <c r="Q543" s="180">
        <v>3199131</v>
      </c>
      <c r="R543" s="181">
        <f>Q543/Q$542*100</f>
        <v>1.3441775970182008</v>
      </c>
      <c r="S543" s="181">
        <v>100</v>
      </c>
      <c r="T543" s="180">
        <f t="shared" si="117"/>
        <v>95.650975217957622</v>
      </c>
      <c r="U543" s="180">
        <f t="shared" si="122"/>
        <v>1.2857189802092177</v>
      </c>
      <c r="V543" s="182">
        <f t="shared" si="142"/>
        <v>4.3490247820423775</v>
      </c>
      <c r="W543" s="180"/>
      <c r="X543" s="180"/>
      <c r="Y543" s="180"/>
      <c r="Z543" s="180"/>
      <c r="AA543" s="180"/>
      <c r="AB543" s="180"/>
      <c r="AC543" s="180"/>
      <c r="AD543" s="180"/>
      <c r="AE543" s="180"/>
      <c r="AF543" s="180"/>
      <c r="AG543" s="180"/>
      <c r="AH543" s="180"/>
      <c r="AI543" s="180">
        <v>3060000</v>
      </c>
      <c r="AJ543" s="181">
        <f t="shared" si="143"/>
        <v>95.650975217957622</v>
      </c>
      <c r="AK543" s="180">
        <f>SUM(Q543-AI543)</f>
        <v>139131</v>
      </c>
      <c r="AL543" s="181">
        <f t="shared" si="136"/>
        <v>4.3490247820423731</v>
      </c>
      <c r="AM543" s="243"/>
    </row>
    <row r="544" spans="1:39" ht="42.75" customHeight="1" x14ac:dyDescent="0.25">
      <c r="A544" s="243"/>
      <c r="B544" s="477"/>
      <c r="C544" s="477"/>
      <c r="D544" s="477"/>
      <c r="E544" s="477"/>
      <c r="F544" s="477"/>
      <c r="G544" s="477"/>
      <c r="H544" s="477"/>
      <c r="I544" s="478"/>
      <c r="J544" s="477"/>
      <c r="K544" s="245"/>
      <c r="L544" s="257"/>
      <c r="M544" s="591" t="s">
        <v>346</v>
      </c>
      <c r="N544" s="592"/>
      <c r="O544" s="179"/>
      <c r="P544" s="180"/>
      <c r="Q544" s="180">
        <v>16500000</v>
      </c>
      <c r="R544" s="181">
        <f>Q544/Q$542*100</f>
        <v>6.9327984226967621</v>
      </c>
      <c r="S544" s="181">
        <v>100</v>
      </c>
      <c r="T544" s="180">
        <f t="shared" si="117"/>
        <v>100</v>
      </c>
      <c r="U544" s="180">
        <f t="shared" si="122"/>
        <v>6.9327984226967621</v>
      </c>
      <c r="V544" s="182">
        <f t="shared" si="142"/>
        <v>0</v>
      </c>
      <c r="W544" s="180"/>
      <c r="X544" s="180"/>
      <c r="Y544" s="180"/>
      <c r="Z544" s="180"/>
      <c r="AA544" s="180"/>
      <c r="AB544" s="180"/>
      <c r="AC544" s="180"/>
      <c r="AD544" s="180"/>
      <c r="AE544" s="180"/>
      <c r="AF544" s="180"/>
      <c r="AG544" s="180"/>
      <c r="AH544" s="180"/>
      <c r="AI544" s="180">
        <v>16500000</v>
      </c>
      <c r="AJ544" s="181">
        <f t="shared" si="143"/>
        <v>100</v>
      </c>
      <c r="AK544" s="180">
        <f>SUM(Q544-AI544)</f>
        <v>0</v>
      </c>
      <c r="AL544" s="181">
        <f t="shared" si="136"/>
        <v>0</v>
      </c>
      <c r="AM544" s="243"/>
    </row>
    <row r="545" spans="1:39" ht="24.75" customHeight="1" x14ac:dyDescent="0.25">
      <c r="A545" s="243"/>
      <c r="B545" s="477"/>
      <c r="C545" s="477"/>
      <c r="D545" s="477"/>
      <c r="E545" s="477"/>
      <c r="F545" s="477"/>
      <c r="G545" s="477"/>
      <c r="H545" s="477"/>
      <c r="I545" s="478"/>
      <c r="J545" s="477" t="s">
        <v>315</v>
      </c>
      <c r="K545" s="245"/>
      <c r="L545" s="257"/>
      <c r="M545" s="591" t="s">
        <v>271</v>
      </c>
      <c r="N545" s="592"/>
      <c r="O545" s="179"/>
      <c r="P545" s="180"/>
      <c r="Q545" s="180">
        <v>4000000</v>
      </c>
      <c r="R545" s="181">
        <f t="shared" ref="R545:R552" si="144">Q545/Q$542*100</f>
        <v>1.6806784055022455</v>
      </c>
      <c r="S545" s="181">
        <v>100</v>
      </c>
      <c r="T545" s="180">
        <f t="shared" si="117"/>
        <v>100</v>
      </c>
      <c r="U545" s="180">
        <f t="shared" si="122"/>
        <v>1.6806784055022457</v>
      </c>
      <c r="V545" s="182">
        <f t="shared" si="142"/>
        <v>0</v>
      </c>
      <c r="W545" s="180"/>
      <c r="X545" s="180"/>
      <c r="Y545" s="180"/>
      <c r="Z545" s="180"/>
      <c r="AA545" s="180"/>
      <c r="AB545" s="180"/>
      <c r="AC545" s="180"/>
      <c r="AD545" s="180"/>
      <c r="AE545" s="180"/>
      <c r="AF545" s="180"/>
      <c r="AG545" s="180"/>
      <c r="AH545" s="180"/>
      <c r="AI545" s="180">
        <v>4000000</v>
      </c>
      <c r="AJ545" s="181">
        <f t="shared" si="143"/>
        <v>100</v>
      </c>
      <c r="AK545" s="180">
        <f t="shared" ref="AK545:AK552" si="145">SUM(Q545-AI545)</f>
        <v>0</v>
      </c>
      <c r="AL545" s="181">
        <f t="shared" si="136"/>
        <v>0</v>
      </c>
      <c r="AM545" s="243"/>
    </row>
    <row r="546" spans="1:39" ht="24.75" customHeight="1" x14ac:dyDescent="0.25">
      <c r="A546" s="243"/>
      <c r="B546" s="477"/>
      <c r="C546" s="477"/>
      <c r="D546" s="477"/>
      <c r="E546" s="477"/>
      <c r="F546" s="477"/>
      <c r="G546" s="477"/>
      <c r="H546" s="477"/>
      <c r="I546" s="478"/>
      <c r="J546" s="477" t="s">
        <v>316</v>
      </c>
      <c r="K546" s="245"/>
      <c r="L546" s="257"/>
      <c r="M546" s="591" t="s">
        <v>317</v>
      </c>
      <c r="N546" s="592"/>
      <c r="O546" s="179"/>
      <c r="P546" s="180"/>
      <c r="Q546" s="180">
        <v>3600000</v>
      </c>
      <c r="R546" s="181">
        <f t="shared" si="144"/>
        <v>1.5126105649520207</v>
      </c>
      <c r="S546" s="181">
        <v>100</v>
      </c>
      <c r="T546" s="180">
        <f t="shared" si="117"/>
        <v>100</v>
      </c>
      <c r="U546" s="180">
        <f t="shared" si="122"/>
        <v>1.5126105649520207</v>
      </c>
      <c r="V546" s="182">
        <f t="shared" si="142"/>
        <v>0</v>
      </c>
      <c r="W546" s="180"/>
      <c r="X546" s="180"/>
      <c r="Y546" s="180"/>
      <c r="Z546" s="180"/>
      <c r="AA546" s="180"/>
      <c r="AB546" s="180"/>
      <c r="AC546" s="180"/>
      <c r="AD546" s="180"/>
      <c r="AE546" s="180"/>
      <c r="AF546" s="180"/>
      <c r="AG546" s="180"/>
      <c r="AH546" s="180"/>
      <c r="AI546" s="180">
        <v>3600000</v>
      </c>
      <c r="AJ546" s="181">
        <f t="shared" si="143"/>
        <v>100</v>
      </c>
      <c r="AK546" s="180">
        <f t="shared" si="145"/>
        <v>0</v>
      </c>
      <c r="AL546" s="181">
        <f t="shared" si="136"/>
        <v>0</v>
      </c>
      <c r="AM546" s="243"/>
    </row>
    <row r="547" spans="1:39" ht="24.75" customHeight="1" x14ac:dyDescent="0.25">
      <c r="A547" s="243"/>
      <c r="B547" s="477"/>
      <c r="C547" s="477"/>
      <c r="D547" s="477"/>
      <c r="E547" s="477"/>
      <c r="F547" s="477"/>
      <c r="G547" s="477"/>
      <c r="H547" s="477"/>
      <c r="I547" s="478"/>
      <c r="J547" s="477" t="s">
        <v>370</v>
      </c>
      <c r="K547" s="245"/>
      <c r="L547" s="257"/>
      <c r="M547" s="591" t="s">
        <v>371</v>
      </c>
      <c r="N547" s="592"/>
      <c r="O547" s="179"/>
      <c r="P547" s="180"/>
      <c r="Q547" s="180">
        <v>27000000</v>
      </c>
      <c r="R547" s="181">
        <f t="shared" si="144"/>
        <v>11.344579237140156</v>
      </c>
      <c r="S547" s="181">
        <v>100</v>
      </c>
      <c r="T547" s="180">
        <f t="shared" si="117"/>
        <v>95.18518518518519</v>
      </c>
      <c r="U547" s="180">
        <f t="shared" si="122"/>
        <v>10.798358755351925</v>
      </c>
      <c r="V547" s="182">
        <f t="shared" si="142"/>
        <v>4.8148148148148096</v>
      </c>
      <c r="W547" s="180"/>
      <c r="X547" s="180"/>
      <c r="Y547" s="180"/>
      <c r="Z547" s="180"/>
      <c r="AA547" s="180"/>
      <c r="AB547" s="180"/>
      <c r="AC547" s="180"/>
      <c r="AD547" s="180"/>
      <c r="AE547" s="180"/>
      <c r="AF547" s="180"/>
      <c r="AG547" s="180"/>
      <c r="AH547" s="180"/>
      <c r="AI547" s="180">
        <v>25700000</v>
      </c>
      <c r="AJ547" s="181">
        <f t="shared" si="143"/>
        <v>95.18518518518519</v>
      </c>
      <c r="AK547" s="180">
        <f t="shared" si="145"/>
        <v>1300000</v>
      </c>
      <c r="AL547" s="181">
        <f t="shared" si="136"/>
        <v>4.8148148148148149</v>
      </c>
      <c r="AM547" s="243"/>
    </row>
    <row r="548" spans="1:39" ht="30" customHeight="1" x14ac:dyDescent="0.25">
      <c r="A548" s="243"/>
      <c r="B548" s="477"/>
      <c r="C548" s="477"/>
      <c r="D548" s="477"/>
      <c r="E548" s="477"/>
      <c r="F548" s="477"/>
      <c r="G548" s="477"/>
      <c r="H548" s="477"/>
      <c r="I548" s="478"/>
      <c r="J548" s="477" t="s">
        <v>339</v>
      </c>
      <c r="K548" s="245"/>
      <c r="L548" s="257"/>
      <c r="M548" s="591" t="s">
        <v>340</v>
      </c>
      <c r="N548" s="592"/>
      <c r="O548" s="179"/>
      <c r="P548" s="180"/>
      <c r="Q548" s="180">
        <v>41000000</v>
      </c>
      <c r="R548" s="181">
        <f t="shared" si="144"/>
        <v>17.226953656398013</v>
      </c>
      <c r="S548" s="181">
        <v>100</v>
      </c>
      <c r="T548" s="180">
        <f t="shared" si="117"/>
        <v>100</v>
      </c>
      <c r="U548" s="180">
        <f t="shared" si="122"/>
        <v>17.226953656398013</v>
      </c>
      <c r="V548" s="182">
        <f t="shared" si="142"/>
        <v>0</v>
      </c>
      <c r="W548" s="180"/>
      <c r="X548" s="180"/>
      <c r="Y548" s="180"/>
      <c r="Z548" s="180"/>
      <c r="AA548" s="180"/>
      <c r="AB548" s="180"/>
      <c r="AC548" s="180"/>
      <c r="AD548" s="180"/>
      <c r="AE548" s="180"/>
      <c r="AF548" s="180"/>
      <c r="AG548" s="180"/>
      <c r="AH548" s="180"/>
      <c r="AI548" s="180">
        <v>41000000</v>
      </c>
      <c r="AJ548" s="181">
        <f t="shared" si="143"/>
        <v>100</v>
      </c>
      <c r="AK548" s="180">
        <f t="shared" si="145"/>
        <v>0</v>
      </c>
      <c r="AL548" s="181">
        <f t="shared" si="136"/>
        <v>0</v>
      </c>
      <c r="AM548" s="243"/>
    </row>
    <row r="549" spans="1:39" ht="24.75" customHeight="1" x14ac:dyDescent="0.25">
      <c r="A549" s="243"/>
      <c r="B549" s="477"/>
      <c r="C549" s="477"/>
      <c r="D549" s="477"/>
      <c r="E549" s="477"/>
      <c r="F549" s="477"/>
      <c r="G549" s="477"/>
      <c r="H549" s="477"/>
      <c r="I549" s="478"/>
      <c r="J549" s="477" t="s">
        <v>284</v>
      </c>
      <c r="K549" s="245"/>
      <c r="L549" s="257"/>
      <c r="M549" s="591" t="s">
        <v>285</v>
      </c>
      <c r="N549" s="592"/>
      <c r="O549" s="179"/>
      <c r="P549" s="180"/>
      <c r="Q549" s="180">
        <v>4400000</v>
      </c>
      <c r="R549" s="181">
        <f t="shared" si="144"/>
        <v>1.8487462460524697</v>
      </c>
      <c r="S549" s="181">
        <v>100</v>
      </c>
      <c r="T549" s="180">
        <f t="shared" si="117"/>
        <v>100</v>
      </c>
      <c r="U549" s="180">
        <f t="shared" si="122"/>
        <v>1.8487462460524697</v>
      </c>
      <c r="V549" s="182">
        <f t="shared" si="142"/>
        <v>0</v>
      </c>
      <c r="W549" s="180"/>
      <c r="X549" s="180"/>
      <c r="Y549" s="180"/>
      <c r="Z549" s="180"/>
      <c r="AA549" s="180"/>
      <c r="AB549" s="180"/>
      <c r="AC549" s="180"/>
      <c r="AD549" s="180"/>
      <c r="AE549" s="180"/>
      <c r="AF549" s="180"/>
      <c r="AG549" s="180"/>
      <c r="AH549" s="180"/>
      <c r="AI549" s="180">
        <v>4400000</v>
      </c>
      <c r="AJ549" s="181">
        <f t="shared" si="143"/>
        <v>100</v>
      </c>
      <c r="AK549" s="180">
        <f t="shared" si="145"/>
        <v>0</v>
      </c>
      <c r="AL549" s="181">
        <f t="shared" si="136"/>
        <v>0</v>
      </c>
      <c r="AM549" s="243"/>
    </row>
    <row r="550" spans="1:39" ht="24.75" customHeight="1" x14ac:dyDescent="0.25">
      <c r="A550" s="243"/>
      <c r="B550" s="477"/>
      <c r="C550" s="477"/>
      <c r="D550" s="477"/>
      <c r="E550" s="477"/>
      <c r="F550" s="477"/>
      <c r="G550" s="477"/>
      <c r="H550" s="477"/>
      <c r="I550" s="478"/>
      <c r="J550" s="477" t="s">
        <v>320</v>
      </c>
      <c r="K550" s="245"/>
      <c r="L550" s="257"/>
      <c r="M550" s="591" t="s">
        <v>321</v>
      </c>
      <c r="N550" s="592"/>
      <c r="O550" s="179"/>
      <c r="P550" s="180"/>
      <c r="Q550" s="180">
        <v>33600000</v>
      </c>
      <c r="R550" s="181">
        <f t="shared" si="144"/>
        <v>14.117698606218859</v>
      </c>
      <c r="S550" s="181">
        <v>100</v>
      </c>
      <c r="T550" s="180">
        <f t="shared" si="117"/>
        <v>64.285714285714292</v>
      </c>
      <c r="U550" s="180">
        <f t="shared" si="122"/>
        <v>9.0756633897121244</v>
      </c>
      <c r="V550" s="182">
        <f t="shared" si="142"/>
        <v>35.714285714285708</v>
      </c>
      <c r="W550" s="180"/>
      <c r="X550" s="180"/>
      <c r="Y550" s="180"/>
      <c r="Z550" s="180"/>
      <c r="AA550" s="180"/>
      <c r="AB550" s="180"/>
      <c r="AC550" s="180"/>
      <c r="AD550" s="180"/>
      <c r="AE550" s="180"/>
      <c r="AF550" s="180"/>
      <c r="AG550" s="180"/>
      <c r="AH550" s="180"/>
      <c r="AI550" s="180">
        <v>21600000</v>
      </c>
      <c r="AJ550" s="181">
        <f t="shared" si="143"/>
        <v>64.285714285714292</v>
      </c>
      <c r="AK550" s="180">
        <f t="shared" si="145"/>
        <v>12000000</v>
      </c>
      <c r="AL550" s="181">
        <f t="shared" si="136"/>
        <v>35.714285714285715</v>
      </c>
      <c r="AM550" s="243"/>
    </row>
    <row r="551" spans="1:39" ht="24.75" customHeight="1" x14ac:dyDescent="0.25">
      <c r="A551" s="243"/>
      <c r="B551" s="477"/>
      <c r="C551" s="477"/>
      <c r="D551" s="477"/>
      <c r="E551" s="477"/>
      <c r="F551" s="477"/>
      <c r="G551" s="477"/>
      <c r="H551" s="477"/>
      <c r="I551" s="478"/>
      <c r="J551" s="477" t="s">
        <v>407</v>
      </c>
      <c r="K551" s="245"/>
      <c r="L551" s="257"/>
      <c r="M551" s="591" t="s">
        <v>414</v>
      </c>
      <c r="N551" s="592"/>
      <c r="O551" s="179"/>
      <c r="P551" s="180"/>
      <c r="Q551" s="180">
        <v>2700000</v>
      </c>
      <c r="R551" s="181">
        <f t="shared" si="144"/>
        <v>1.1344579237140155</v>
      </c>
      <c r="S551" s="181"/>
      <c r="T551" s="180">
        <f t="shared" si="117"/>
        <v>100</v>
      </c>
      <c r="U551" s="180">
        <f t="shared" si="122"/>
        <v>1.1344579237140155</v>
      </c>
      <c r="V551" s="182"/>
      <c r="W551" s="180"/>
      <c r="X551" s="180"/>
      <c r="Y551" s="180"/>
      <c r="Z551" s="180"/>
      <c r="AA551" s="180"/>
      <c r="AB551" s="180"/>
      <c r="AC551" s="180"/>
      <c r="AD551" s="180"/>
      <c r="AE551" s="180"/>
      <c r="AF551" s="180"/>
      <c r="AG551" s="180"/>
      <c r="AH551" s="180"/>
      <c r="AI551" s="180">
        <v>2700000</v>
      </c>
      <c r="AJ551" s="181">
        <f t="shared" si="143"/>
        <v>100</v>
      </c>
      <c r="AK551" s="180">
        <f t="shared" si="145"/>
        <v>0</v>
      </c>
      <c r="AL551" s="181"/>
      <c r="AM551" s="243"/>
    </row>
    <row r="552" spans="1:39" ht="24.75" customHeight="1" x14ac:dyDescent="0.25">
      <c r="A552" s="243"/>
      <c r="B552" s="477"/>
      <c r="C552" s="477"/>
      <c r="D552" s="477"/>
      <c r="E552" s="477"/>
      <c r="F552" s="477"/>
      <c r="G552" s="477"/>
      <c r="H552" s="477"/>
      <c r="I552" s="478"/>
      <c r="J552" s="477" t="s">
        <v>372</v>
      </c>
      <c r="K552" s="245"/>
      <c r="L552" s="257"/>
      <c r="M552" s="591" t="s">
        <v>373</v>
      </c>
      <c r="N552" s="592"/>
      <c r="O552" s="179"/>
      <c r="P552" s="180"/>
      <c r="Q552" s="180">
        <v>102000000</v>
      </c>
      <c r="R552" s="181">
        <f t="shared" si="144"/>
        <v>42.85729934030725</v>
      </c>
      <c r="S552" s="181">
        <v>100</v>
      </c>
      <c r="T552" s="180">
        <f t="shared" si="117"/>
        <v>80.392156862745097</v>
      </c>
      <c r="U552" s="180">
        <f t="shared" si="122"/>
        <v>34.453907312796019</v>
      </c>
      <c r="V552" s="182">
        <f t="shared" si="142"/>
        <v>19.607843137254903</v>
      </c>
      <c r="W552" s="180"/>
      <c r="X552" s="180"/>
      <c r="Y552" s="180"/>
      <c r="Z552" s="180"/>
      <c r="AA552" s="180"/>
      <c r="AB552" s="180"/>
      <c r="AC552" s="180"/>
      <c r="AD552" s="180"/>
      <c r="AE552" s="180"/>
      <c r="AF552" s="180"/>
      <c r="AG552" s="180"/>
      <c r="AH552" s="180"/>
      <c r="AI552" s="180">
        <v>82000000</v>
      </c>
      <c r="AJ552" s="181">
        <f t="shared" si="143"/>
        <v>80.392156862745097</v>
      </c>
      <c r="AK552" s="180">
        <f t="shared" si="145"/>
        <v>20000000</v>
      </c>
      <c r="AL552" s="181">
        <f t="shared" ref="AL552:AL616" si="146">AK552/Q552*100</f>
        <v>19.607843137254903</v>
      </c>
      <c r="AM552" s="243"/>
    </row>
    <row r="553" spans="1:39" s="297" customFormat="1" ht="29.25" customHeight="1" x14ac:dyDescent="0.25">
      <c r="A553" s="227">
        <f>SUM(A542+1)</f>
        <v>68</v>
      </c>
      <c r="B553" s="482"/>
      <c r="C553" s="482"/>
      <c r="D553" s="482"/>
      <c r="E553" s="482"/>
      <c r="F553" s="482"/>
      <c r="G553" s="482"/>
      <c r="H553" s="482"/>
      <c r="I553" s="481"/>
      <c r="J553" s="304" t="s">
        <v>521</v>
      </c>
      <c r="K553" s="230"/>
      <c r="L553" s="294"/>
      <c r="M553" s="609" t="s">
        <v>201</v>
      </c>
      <c r="N553" s="614"/>
      <c r="O553" s="309"/>
      <c r="P553" s="231"/>
      <c r="Q553" s="231">
        <f>SUM(Q554:Q561)</f>
        <v>179012754</v>
      </c>
      <c r="R553" s="233">
        <f>Q553/Q$248*100</f>
        <v>1.5007971513472254</v>
      </c>
      <c r="S553" s="233">
        <v>100</v>
      </c>
      <c r="T553" s="231">
        <f t="shared" si="117"/>
        <v>53.007396333336111</v>
      </c>
      <c r="U553" s="231">
        <f t="shared" si="122"/>
        <v>0.79553349417404196</v>
      </c>
      <c r="V553" s="296">
        <f t="shared" si="142"/>
        <v>46.992603666663889</v>
      </c>
      <c r="W553" s="231"/>
      <c r="X553" s="231"/>
      <c r="Y553" s="231"/>
      <c r="Z553" s="231"/>
      <c r="AA553" s="231"/>
      <c r="AB553" s="231"/>
      <c r="AC553" s="231"/>
      <c r="AD553" s="231"/>
      <c r="AE553" s="231"/>
      <c r="AF553" s="231"/>
      <c r="AG553" s="231"/>
      <c r="AH553" s="231"/>
      <c r="AI553" s="231">
        <f>SUM(AI554:AI561)</f>
        <v>94890000</v>
      </c>
      <c r="AJ553" s="233">
        <f t="shared" si="143"/>
        <v>53.007396333336111</v>
      </c>
      <c r="AK553" s="231">
        <f>Q553-AI553</f>
        <v>84122754</v>
      </c>
      <c r="AL553" s="233">
        <f t="shared" si="146"/>
        <v>46.992603666663882</v>
      </c>
      <c r="AM553" s="227"/>
    </row>
    <row r="554" spans="1:39" ht="27" customHeight="1" x14ac:dyDescent="0.25">
      <c r="A554" s="243"/>
      <c r="B554" s="477"/>
      <c r="C554" s="477"/>
      <c r="D554" s="477"/>
      <c r="E554" s="477"/>
      <c r="F554" s="477"/>
      <c r="G554" s="477"/>
      <c r="H554" s="477"/>
      <c r="I554" s="478"/>
      <c r="J554" s="477" t="s">
        <v>257</v>
      </c>
      <c r="K554" s="245"/>
      <c r="L554" s="257"/>
      <c r="M554" s="591" t="s">
        <v>324</v>
      </c>
      <c r="N554" s="592"/>
      <c r="O554" s="179"/>
      <c r="P554" s="180"/>
      <c r="Q554" s="180">
        <v>3000000</v>
      </c>
      <c r="R554" s="181">
        <f>Q554/Q$553*100</f>
        <v>1.6758582463906455</v>
      </c>
      <c r="S554" s="181">
        <v>100</v>
      </c>
      <c r="T554" s="180">
        <f t="shared" si="117"/>
        <v>66.666666666666657</v>
      </c>
      <c r="U554" s="180">
        <f t="shared" si="122"/>
        <v>1.1172388309270969</v>
      </c>
      <c r="V554" s="182">
        <f t="shared" si="142"/>
        <v>33.333333333333343</v>
      </c>
      <c r="W554" s="180"/>
      <c r="X554" s="180"/>
      <c r="Y554" s="180"/>
      <c r="Z554" s="180"/>
      <c r="AA554" s="180"/>
      <c r="AB554" s="180"/>
      <c r="AC554" s="180"/>
      <c r="AD554" s="180"/>
      <c r="AE554" s="180"/>
      <c r="AF554" s="180"/>
      <c r="AG554" s="180"/>
      <c r="AH554" s="180"/>
      <c r="AI554" s="180">
        <f>1000000+1000000</f>
        <v>2000000</v>
      </c>
      <c r="AJ554" s="181">
        <f t="shared" si="143"/>
        <v>66.666666666666657</v>
      </c>
      <c r="AK554" s="180">
        <f>SUM(Q554-AI554)</f>
        <v>1000000</v>
      </c>
      <c r="AL554" s="181">
        <f t="shared" si="146"/>
        <v>33.333333333333329</v>
      </c>
      <c r="AM554" s="243"/>
    </row>
    <row r="555" spans="1:39" ht="24.75" customHeight="1" x14ac:dyDescent="0.25">
      <c r="A555" s="243"/>
      <c r="B555" s="477"/>
      <c r="C555" s="477"/>
      <c r="D555" s="477"/>
      <c r="E555" s="477"/>
      <c r="F555" s="477"/>
      <c r="G555" s="477"/>
      <c r="H555" s="477"/>
      <c r="I555" s="478"/>
      <c r="J555" s="477" t="s">
        <v>315</v>
      </c>
      <c r="K555" s="245"/>
      <c r="L555" s="257"/>
      <c r="M555" s="591" t="s">
        <v>271</v>
      </c>
      <c r="N555" s="592"/>
      <c r="O555" s="179"/>
      <c r="P555" s="180"/>
      <c r="Q555" s="180">
        <v>8120000</v>
      </c>
      <c r="R555" s="181">
        <f t="shared" ref="R555:R561" si="147">Q555/Q$553*100</f>
        <v>4.5359896535640134</v>
      </c>
      <c r="S555" s="181">
        <v>100</v>
      </c>
      <c r="T555" s="180">
        <f t="shared" si="117"/>
        <v>49.261083743842363</v>
      </c>
      <c r="U555" s="180">
        <f t="shared" si="122"/>
        <v>2.2344776618541937</v>
      </c>
      <c r="V555" s="182">
        <f t="shared" si="142"/>
        <v>50.738916256157637</v>
      </c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>
        <f>2000000+2000000</f>
        <v>4000000</v>
      </c>
      <c r="AJ555" s="181">
        <f t="shared" si="143"/>
        <v>49.261083743842363</v>
      </c>
      <c r="AK555" s="180">
        <f t="shared" ref="AK555:AK561" si="148">SUM(Q555-AI555)</f>
        <v>4120000</v>
      </c>
      <c r="AL555" s="181">
        <f t="shared" si="146"/>
        <v>50.738916256157637</v>
      </c>
      <c r="AM555" s="243"/>
    </row>
    <row r="556" spans="1:39" ht="24.75" customHeight="1" x14ac:dyDescent="0.25">
      <c r="A556" s="243"/>
      <c r="B556" s="477"/>
      <c r="C556" s="477"/>
      <c r="D556" s="477"/>
      <c r="E556" s="477"/>
      <c r="F556" s="477"/>
      <c r="G556" s="477"/>
      <c r="H556" s="477"/>
      <c r="I556" s="478"/>
      <c r="J556" s="477" t="s">
        <v>316</v>
      </c>
      <c r="K556" s="245"/>
      <c r="L556" s="257"/>
      <c r="M556" s="591" t="s">
        <v>317</v>
      </c>
      <c r="N556" s="592"/>
      <c r="O556" s="179"/>
      <c r="P556" s="180"/>
      <c r="Q556" s="180">
        <v>5700000</v>
      </c>
      <c r="R556" s="181">
        <f t="shared" si="147"/>
        <v>3.1841306681422266</v>
      </c>
      <c r="S556" s="181">
        <v>100</v>
      </c>
      <c r="T556" s="180">
        <f t="shared" si="117"/>
        <v>36.84210526315789</v>
      </c>
      <c r="U556" s="180">
        <f t="shared" si="122"/>
        <v>1.1731007724734517</v>
      </c>
      <c r="V556" s="182">
        <f t="shared" si="142"/>
        <v>63.15789473684211</v>
      </c>
      <c r="W556" s="180"/>
      <c r="X556" s="180"/>
      <c r="Y556" s="180"/>
      <c r="Z556" s="180"/>
      <c r="AA556" s="180"/>
      <c r="AB556" s="180"/>
      <c r="AC556" s="180"/>
      <c r="AD556" s="180"/>
      <c r="AE556" s="180"/>
      <c r="AF556" s="180"/>
      <c r="AG556" s="180"/>
      <c r="AH556" s="180"/>
      <c r="AI556" s="180">
        <f>1800000+300000</f>
        <v>2100000</v>
      </c>
      <c r="AJ556" s="181">
        <f t="shared" si="143"/>
        <v>36.84210526315789</v>
      </c>
      <c r="AK556" s="180">
        <f t="shared" si="148"/>
        <v>3600000</v>
      </c>
      <c r="AL556" s="181">
        <f t="shared" si="146"/>
        <v>63.157894736842103</v>
      </c>
      <c r="AM556" s="243"/>
    </row>
    <row r="557" spans="1:39" ht="24.75" customHeight="1" x14ac:dyDescent="0.25">
      <c r="A557" s="243"/>
      <c r="B557" s="477"/>
      <c r="C557" s="477"/>
      <c r="D557" s="477"/>
      <c r="E557" s="477"/>
      <c r="F557" s="477"/>
      <c r="G557" s="477"/>
      <c r="H557" s="477"/>
      <c r="I557" s="478"/>
      <c r="J557" s="477" t="s">
        <v>339</v>
      </c>
      <c r="K557" s="245"/>
      <c r="L557" s="257"/>
      <c r="M557" s="591" t="s">
        <v>329</v>
      </c>
      <c r="N557" s="592"/>
      <c r="O557" s="179"/>
      <c r="P557" s="180"/>
      <c r="Q557" s="180">
        <v>35000000</v>
      </c>
      <c r="R557" s="181">
        <f t="shared" si="147"/>
        <v>19.551679541224196</v>
      </c>
      <c r="S557" s="181">
        <v>100</v>
      </c>
      <c r="T557" s="180">
        <f t="shared" si="117"/>
        <v>100</v>
      </c>
      <c r="U557" s="180">
        <f t="shared" si="122"/>
        <v>19.551679541224196</v>
      </c>
      <c r="V557" s="182">
        <f t="shared" si="142"/>
        <v>0</v>
      </c>
      <c r="W557" s="180"/>
      <c r="X557" s="180"/>
      <c r="Y557" s="180"/>
      <c r="Z557" s="180"/>
      <c r="AA557" s="180"/>
      <c r="AB557" s="180"/>
      <c r="AC557" s="180"/>
      <c r="AD557" s="180"/>
      <c r="AE557" s="180"/>
      <c r="AF557" s="180"/>
      <c r="AG557" s="180"/>
      <c r="AH557" s="180"/>
      <c r="AI557" s="180">
        <v>35000000</v>
      </c>
      <c r="AJ557" s="181">
        <f t="shared" si="143"/>
        <v>100</v>
      </c>
      <c r="AK557" s="180">
        <f t="shared" si="148"/>
        <v>0</v>
      </c>
      <c r="AL557" s="181">
        <f t="shared" si="146"/>
        <v>0</v>
      </c>
      <c r="AM557" s="243"/>
    </row>
    <row r="558" spans="1:39" ht="24.75" customHeight="1" x14ac:dyDescent="0.25">
      <c r="A558" s="243"/>
      <c r="B558" s="477"/>
      <c r="C558" s="477"/>
      <c r="D558" s="477"/>
      <c r="E558" s="477"/>
      <c r="F558" s="477"/>
      <c r="G558" s="477"/>
      <c r="H558" s="477"/>
      <c r="I558" s="478"/>
      <c r="J558" s="477" t="s">
        <v>284</v>
      </c>
      <c r="K558" s="245"/>
      <c r="L558" s="257"/>
      <c r="M558" s="591" t="s">
        <v>620</v>
      </c>
      <c r="N558" s="592"/>
      <c r="O558" s="179"/>
      <c r="P558" s="180"/>
      <c r="Q558" s="180">
        <v>36000000</v>
      </c>
      <c r="R558" s="181">
        <f t="shared" si="147"/>
        <v>20.110298956687743</v>
      </c>
      <c r="S558" s="181"/>
      <c r="T558" s="180">
        <f t="shared" si="117"/>
        <v>33.333333333333329</v>
      </c>
      <c r="U558" s="180">
        <f t="shared" si="122"/>
        <v>6.7034329855625803</v>
      </c>
      <c r="V558" s="182"/>
      <c r="W558" s="180"/>
      <c r="X558" s="180"/>
      <c r="Y558" s="180"/>
      <c r="Z558" s="180"/>
      <c r="AA558" s="180"/>
      <c r="AB558" s="180"/>
      <c r="AC558" s="180"/>
      <c r="AD558" s="180"/>
      <c r="AE558" s="180"/>
      <c r="AF558" s="180"/>
      <c r="AG558" s="180"/>
      <c r="AH558" s="180"/>
      <c r="AI558" s="180">
        <v>12000000</v>
      </c>
      <c r="AJ558" s="181">
        <f t="shared" si="143"/>
        <v>33.333333333333329</v>
      </c>
      <c r="AK558" s="180">
        <f t="shared" si="148"/>
        <v>24000000</v>
      </c>
      <c r="AL558" s="181">
        <f t="shared" si="146"/>
        <v>66.666666666666657</v>
      </c>
      <c r="AM558" s="243"/>
    </row>
    <row r="559" spans="1:39" ht="24.75" customHeight="1" x14ac:dyDescent="0.25">
      <c r="A559" s="243"/>
      <c r="B559" s="477"/>
      <c r="C559" s="477"/>
      <c r="D559" s="477"/>
      <c r="E559" s="477"/>
      <c r="F559" s="477"/>
      <c r="G559" s="477"/>
      <c r="H559" s="477"/>
      <c r="I559" s="478"/>
      <c r="J559" s="477" t="s">
        <v>320</v>
      </c>
      <c r="K559" s="245"/>
      <c r="L559" s="257"/>
      <c r="M559" s="591" t="s">
        <v>621</v>
      </c>
      <c r="N559" s="592"/>
      <c r="O559" s="179"/>
      <c r="P559" s="180"/>
      <c r="Q559" s="180">
        <v>10592754</v>
      </c>
      <c r="R559" s="181">
        <f t="shared" si="147"/>
        <v>5.9173180476291654</v>
      </c>
      <c r="S559" s="181">
        <v>100</v>
      </c>
      <c r="T559" s="180">
        <f t="shared" si="117"/>
        <v>50.883840028759288</v>
      </c>
      <c r="U559" s="180">
        <f t="shared" si="122"/>
        <v>3.0109586493485265</v>
      </c>
      <c r="V559" s="182">
        <f t="shared" si="142"/>
        <v>49.116159971240712</v>
      </c>
      <c r="W559" s="180"/>
      <c r="X559" s="180"/>
      <c r="Y559" s="180"/>
      <c r="Z559" s="180"/>
      <c r="AA559" s="180"/>
      <c r="AB559" s="180"/>
      <c r="AC559" s="180"/>
      <c r="AD559" s="180"/>
      <c r="AE559" s="180"/>
      <c r="AF559" s="180"/>
      <c r="AG559" s="180"/>
      <c r="AH559" s="180"/>
      <c r="AI559" s="180">
        <f>3300000+2090000</f>
        <v>5390000</v>
      </c>
      <c r="AJ559" s="181">
        <f t="shared" si="143"/>
        <v>50.883840028759288</v>
      </c>
      <c r="AK559" s="180">
        <f t="shared" si="148"/>
        <v>5202754</v>
      </c>
      <c r="AL559" s="181">
        <f t="shared" si="146"/>
        <v>49.11615997124072</v>
      </c>
      <c r="AM559" s="243"/>
    </row>
    <row r="560" spans="1:39" ht="24.75" customHeight="1" x14ac:dyDescent="0.25">
      <c r="A560" s="243"/>
      <c r="B560" s="477"/>
      <c r="C560" s="477"/>
      <c r="D560" s="477"/>
      <c r="E560" s="477"/>
      <c r="F560" s="477"/>
      <c r="G560" s="477"/>
      <c r="H560" s="477"/>
      <c r="I560" s="478"/>
      <c r="J560" s="477" t="s">
        <v>407</v>
      </c>
      <c r="K560" s="245"/>
      <c r="L560" s="257"/>
      <c r="M560" s="591" t="s">
        <v>321</v>
      </c>
      <c r="N560" s="592"/>
      <c r="O560" s="179"/>
      <c r="P560" s="180"/>
      <c r="Q560" s="180">
        <v>70400000</v>
      </c>
      <c r="R560" s="181">
        <f t="shared" si="147"/>
        <v>39.326806848633808</v>
      </c>
      <c r="S560" s="181">
        <v>100</v>
      </c>
      <c r="T560" s="180">
        <f t="shared" si="117"/>
        <v>38.636363636363633</v>
      </c>
      <c r="U560" s="180">
        <f t="shared" si="122"/>
        <v>15.194448100608515</v>
      </c>
      <c r="V560" s="182">
        <f t="shared" si="142"/>
        <v>61.363636363636367</v>
      </c>
      <c r="W560" s="180"/>
      <c r="X560" s="180"/>
      <c r="Y560" s="180"/>
      <c r="Z560" s="180"/>
      <c r="AA560" s="180"/>
      <c r="AB560" s="180"/>
      <c r="AC560" s="180"/>
      <c r="AD560" s="180"/>
      <c r="AE560" s="180"/>
      <c r="AF560" s="180"/>
      <c r="AG560" s="180"/>
      <c r="AH560" s="180"/>
      <c r="AI560" s="180">
        <f>21600000+5600000</f>
        <v>27200000</v>
      </c>
      <c r="AJ560" s="181">
        <f t="shared" si="143"/>
        <v>38.636363636363633</v>
      </c>
      <c r="AK560" s="180">
        <f t="shared" si="148"/>
        <v>43200000</v>
      </c>
      <c r="AL560" s="181">
        <f t="shared" si="146"/>
        <v>61.363636363636367</v>
      </c>
      <c r="AM560" s="243"/>
    </row>
    <row r="561" spans="1:39" ht="24.75" customHeight="1" x14ac:dyDescent="0.25">
      <c r="A561" s="243"/>
      <c r="B561" s="477"/>
      <c r="C561" s="477"/>
      <c r="D561" s="477"/>
      <c r="E561" s="477"/>
      <c r="F561" s="477"/>
      <c r="G561" s="477"/>
      <c r="H561" s="477"/>
      <c r="I561" s="478"/>
      <c r="J561" s="477" t="s">
        <v>343</v>
      </c>
      <c r="K561" s="245"/>
      <c r="L561" s="257"/>
      <c r="M561" s="591" t="s">
        <v>414</v>
      </c>
      <c r="N561" s="592"/>
      <c r="O561" s="179"/>
      <c r="P561" s="180"/>
      <c r="Q561" s="180">
        <v>10200000</v>
      </c>
      <c r="R561" s="181">
        <f t="shared" si="147"/>
        <v>5.6979180377281944</v>
      </c>
      <c r="S561" s="181">
        <v>100</v>
      </c>
      <c r="T561" s="180">
        <f t="shared" si="117"/>
        <v>70.588235294117652</v>
      </c>
      <c r="U561" s="180">
        <f t="shared" si="122"/>
        <v>4.0220597913375489</v>
      </c>
      <c r="V561" s="182">
        <f t="shared" si="142"/>
        <v>29.411764705882348</v>
      </c>
      <c r="W561" s="180"/>
      <c r="X561" s="180"/>
      <c r="Y561" s="180"/>
      <c r="Z561" s="180"/>
      <c r="AA561" s="180"/>
      <c r="AB561" s="180"/>
      <c r="AC561" s="180"/>
      <c r="AD561" s="180"/>
      <c r="AE561" s="180"/>
      <c r="AF561" s="180"/>
      <c r="AG561" s="180"/>
      <c r="AH561" s="180"/>
      <c r="AI561" s="180">
        <f>1500000+5700000</f>
        <v>7200000</v>
      </c>
      <c r="AJ561" s="181">
        <f t="shared" si="143"/>
        <v>70.588235294117652</v>
      </c>
      <c r="AK561" s="180">
        <f t="shared" si="148"/>
        <v>3000000</v>
      </c>
      <c r="AL561" s="181">
        <f t="shared" si="146"/>
        <v>29.411764705882355</v>
      </c>
      <c r="AM561" s="243"/>
    </row>
    <row r="562" spans="1:39" s="297" customFormat="1" ht="24.75" customHeight="1" x14ac:dyDescent="0.25">
      <c r="A562" s="227">
        <f>SUM(A553+1)</f>
        <v>69</v>
      </c>
      <c r="B562" s="482"/>
      <c r="C562" s="482"/>
      <c r="D562" s="482"/>
      <c r="E562" s="482"/>
      <c r="F562" s="482"/>
      <c r="G562" s="482"/>
      <c r="H562" s="482"/>
      <c r="I562" s="481"/>
      <c r="J562" s="304" t="s">
        <v>522</v>
      </c>
      <c r="K562" s="230"/>
      <c r="L562" s="294"/>
      <c r="M562" s="610" t="s">
        <v>202</v>
      </c>
      <c r="N562" s="612"/>
      <c r="O562" s="309"/>
      <c r="P562" s="231"/>
      <c r="Q562" s="231">
        <f>SUM(Q563:Q571)</f>
        <v>311010000</v>
      </c>
      <c r="R562" s="233">
        <f>Q562/Q$248*100</f>
        <v>2.6074283067032229</v>
      </c>
      <c r="S562" s="233">
        <v>100</v>
      </c>
      <c r="T562" s="231">
        <f t="shared" si="117"/>
        <v>98.632841387736718</v>
      </c>
      <c r="U562" s="231">
        <f t="shared" si="122"/>
        <v>2.5717806260495393</v>
      </c>
      <c r="V562" s="296">
        <f t="shared" si="142"/>
        <v>1.3671586122632817</v>
      </c>
      <c r="W562" s="231"/>
      <c r="X562" s="231"/>
      <c r="Y562" s="231"/>
      <c r="Z562" s="231"/>
      <c r="AA562" s="231"/>
      <c r="AB562" s="231"/>
      <c r="AC562" s="231"/>
      <c r="AD562" s="231"/>
      <c r="AE562" s="231"/>
      <c r="AF562" s="231"/>
      <c r="AG562" s="231"/>
      <c r="AH562" s="231"/>
      <c r="AI562" s="231">
        <f>SUM(AI563:AI571)</f>
        <v>306758000</v>
      </c>
      <c r="AJ562" s="233">
        <f t="shared" si="143"/>
        <v>98.632841387736718</v>
      </c>
      <c r="AK562" s="231">
        <f>Q562-AI562</f>
        <v>4252000</v>
      </c>
      <c r="AL562" s="233">
        <f t="shared" si="146"/>
        <v>1.3671586122632713</v>
      </c>
      <c r="AM562" s="227"/>
    </row>
    <row r="563" spans="1:39" ht="24.75" customHeight="1" x14ac:dyDescent="0.25">
      <c r="A563" s="243"/>
      <c r="B563" s="477"/>
      <c r="C563" s="477"/>
      <c r="D563" s="477"/>
      <c r="E563" s="477"/>
      <c r="F563" s="477"/>
      <c r="G563" s="477"/>
      <c r="H563" s="477"/>
      <c r="I563" s="478"/>
      <c r="J563" s="477" t="s">
        <v>259</v>
      </c>
      <c r="K563" s="245"/>
      <c r="L563" s="257"/>
      <c r="M563" s="591" t="s">
        <v>260</v>
      </c>
      <c r="N563" s="592"/>
      <c r="O563" s="179"/>
      <c r="P563" s="180"/>
      <c r="Q563" s="180">
        <v>2220000</v>
      </c>
      <c r="R563" s="181">
        <f t="shared" ref="R563:R570" si="149">Q563/Q$562*100</f>
        <v>0.71380341468120001</v>
      </c>
      <c r="S563" s="181">
        <v>100</v>
      </c>
      <c r="T563" s="180">
        <f t="shared" si="117"/>
        <v>100</v>
      </c>
      <c r="U563" s="180">
        <f t="shared" si="122"/>
        <v>0.71380341468120012</v>
      </c>
      <c r="V563" s="182">
        <f t="shared" si="142"/>
        <v>0</v>
      </c>
      <c r="W563" s="180"/>
      <c r="X563" s="180"/>
      <c r="Y563" s="180"/>
      <c r="Z563" s="180"/>
      <c r="AA563" s="180"/>
      <c r="AB563" s="180"/>
      <c r="AC563" s="180"/>
      <c r="AD563" s="180"/>
      <c r="AE563" s="180"/>
      <c r="AF563" s="180"/>
      <c r="AG563" s="180"/>
      <c r="AH563" s="180"/>
      <c r="AI563" s="180">
        <f>740000+740000+740000</f>
        <v>2220000</v>
      </c>
      <c r="AJ563" s="181">
        <f t="shared" si="143"/>
        <v>100</v>
      </c>
      <c r="AK563" s="180">
        <f t="shared" ref="AK563:AK570" si="150">SUM(Q563-AI563)</f>
        <v>0</v>
      </c>
      <c r="AL563" s="181">
        <f t="shared" si="146"/>
        <v>0</v>
      </c>
      <c r="AM563" s="243"/>
    </row>
    <row r="564" spans="1:39" ht="24.75" customHeight="1" x14ac:dyDescent="0.25">
      <c r="A564" s="243"/>
      <c r="B564" s="477"/>
      <c r="C564" s="477"/>
      <c r="D564" s="477"/>
      <c r="E564" s="477"/>
      <c r="F564" s="477"/>
      <c r="G564" s="477"/>
      <c r="H564" s="477"/>
      <c r="I564" s="478"/>
      <c r="J564" s="477" t="s">
        <v>347</v>
      </c>
      <c r="K564" s="245"/>
      <c r="L564" s="257"/>
      <c r="M564" s="591" t="s">
        <v>622</v>
      </c>
      <c r="N564" s="592"/>
      <c r="O564" s="179"/>
      <c r="P564" s="180"/>
      <c r="Q564" s="180">
        <v>44250000</v>
      </c>
      <c r="R564" s="181">
        <f t="shared" si="149"/>
        <v>14.227838333172565</v>
      </c>
      <c r="S564" s="181">
        <v>100</v>
      </c>
      <c r="T564" s="180">
        <f t="shared" si="117"/>
        <v>100</v>
      </c>
      <c r="U564" s="180"/>
      <c r="V564" s="182">
        <f t="shared" si="142"/>
        <v>0</v>
      </c>
      <c r="W564" s="180"/>
      <c r="X564" s="180"/>
      <c r="Y564" s="180"/>
      <c r="Z564" s="180"/>
      <c r="AA564" s="180"/>
      <c r="AB564" s="180"/>
      <c r="AC564" s="180"/>
      <c r="AD564" s="180"/>
      <c r="AE564" s="180"/>
      <c r="AF564" s="180"/>
      <c r="AG564" s="180"/>
      <c r="AH564" s="180"/>
      <c r="AI564" s="180">
        <f>14750000+14750000+14750000</f>
        <v>44250000</v>
      </c>
      <c r="AJ564" s="181">
        <f t="shared" si="143"/>
        <v>100</v>
      </c>
      <c r="AK564" s="180">
        <f t="shared" si="150"/>
        <v>0</v>
      </c>
      <c r="AL564" s="181">
        <f t="shared" si="146"/>
        <v>0</v>
      </c>
      <c r="AM564" s="243"/>
    </row>
    <row r="565" spans="1:39" ht="24.75" customHeight="1" x14ac:dyDescent="0.25">
      <c r="A565" s="243"/>
      <c r="B565" s="477"/>
      <c r="C565" s="477"/>
      <c r="D565" s="477"/>
      <c r="E565" s="477"/>
      <c r="F565" s="477"/>
      <c r="G565" s="477"/>
      <c r="H565" s="477"/>
      <c r="I565" s="478"/>
      <c r="J565" s="477" t="s">
        <v>269</v>
      </c>
      <c r="K565" s="245"/>
      <c r="L565" s="257"/>
      <c r="M565" s="591" t="s">
        <v>270</v>
      </c>
      <c r="N565" s="592"/>
      <c r="O565" s="179"/>
      <c r="P565" s="180"/>
      <c r="Q565" s="180">
        <v>15000000</v>
      </c>
      <c r="R565" s="181">
        <f t="shared" si="149"/>
        <v>4.8229960451432428</v>
      </c>
      <c r="S565" s="181">
        <v>100</v>
      </c>
      <c r="T565" s="180">
        <f t="shared" si="117"/>
        <v>100</v>
      </c>
      <c r="U565" s="180">
        <f t="shared" si="122"/>
        <v>4.8229960451432428</v>
      </c>
      <c r="V565" s="182">
        <f t="shared" si="142"/>
        <v>0</v>
      </c>
      <c r="W565" s="180"/>
      <c r="X565" s="180"/>
      <c r="Y565" s="180"/>
      <c r="Z565" s="180"/>
      <c r="AA565" s="180"/>
      <c r="AB565" s="180"/>
      <c r="AC565" s="180"/>
      <c r="AD565" s="180"/>
      <c r="AE565" s="180"/>
      <c r="AF565" s="180"/>
      <c r="AG565" s="180"/>
      <c r="AH565" s="180"/>
      <c r="AI565" s="180">
        <f>5000000+5000000+5000000</f>
        <v>15000000</v>
      </c>
      <c r="AJ565" s="181">
        <f t="shared" si="143"/>
        <v>100</v>
      </c>
      <c r="AK565" s="180">
        <f t="shared" si="150"/>
        <v>0</v>
      </c>
      <c r="AL565" s="181">
        <f t="shared" si="146"/>
        <v>0</v>
      </c>
      <c r="AM565" s="243"/>
    </row>
    <row r="566" spans="1:39" ht="24.75" customHeight="1" x14ac:dyDescent="0.25">
      <c r="A566" s="243"/>
      <c r="B566" s="477"/>
      <c r="C566" s="477"/>
      <c r="D566" s="477"/>
      <c r="E566" s="477"/>
      <c r="F566" s="477"/>
      <c r="G566" s="477"/>
      <c r="H566" s="477"/>
      <c r="I566" s="478"/>
      <c r="J566" s="477" t="s">
        <v>315</v>
      </c>
      <c r="K566" s="245"/>
      <c r="L566" s="257"/>
      <c r="M566" s="591" t="s">
        <v>271</v>
      </c>
      <c r="N566" s="592"/>
      <c r="O566" s="179"/>
      <c r="P566" s="180"/>
      <c r="Q566" s="180">
        <v>10710000</v>
      </c>
      <c r="R566" s="181">
        <f t="shared" si="149"/>
        <v>3.443619176232275</v>
      </c>
      <c r="S566" s="181">
        <v>100</v>
      </c>
      <c r="T566" s="180">
        <f t="shared" si="117"/>
        <v>100</v>
      </c>
      <c r="U566" s="180">
        <f t="shared" si="122"/>
        <v>3.443619176232275</v>
      </c>
      <c r="V566" s="182">
        <f t="shared" si="142"/>
        <v>0</v>
      </c>
      <c r="W566" s="180"/>
      <c r="X566" s="180"/>
      <c r="Y566" s="180"/>
      <c r="Z566" s="180"/>
      <c r="AA566" s="180"/>
      <c r="AB566" s="180"/>
      <c r="AC566" s="180"/>
      <c r="AD566" s="180"/>
      <c r="AE566" s="180"/>
      <c r="AF566" s="180"/>
      <c r="AG566" s="180"/>
      <c r="AH566" s="180"/>
      <c r="AI566" s="180">
        <f>3570000+3570000+3570000</f>
        <v>10710000</v>
      </c>
      <c r="AJ566" s="181">
        <f t="shared" si="143"/>
        <v>100</v>
      </c>
      <c r="AK566" s="180">
        <f t="shared" si="150"/>
        <v>0</v>
      </c>
      <c r="AL566" s="181">
        <f t="shared" si="146"/>
        <v>0</v>
      </c>
      <c r="AM566" s="243"/>
    </row>
    <row r="567" spans="1:39" ht="24.75" customHeight="1" x14ac:dyDescent="0.25">
      <c r="A567" s="243"/>
      <c r="B567" s="477"/>
      <c r="C567" s="477"/>
      <c r="D567" s="477"/>
      <c r="E567" s="477"/>
      <c r="F567" s="477"/>
      <c r="G567" s="477"/>
      <c r="H567" s="477"/>
      <c r="I567" s="478"/>
      <c r="J567" s="477" t="s">
        <v>318</v>
      </c>
      <c r="K567" s="245"/>
      <c r="L567" s="257"/>
      <c r="M567" s="591" t="s">
        <v>319</v>
      </c>
      <c r="N567" s="592"/>
      <c r="O567" s="179"/>
      <c r="P567" s="180"/>
      <c r="Q567" s="180">
        <v>179970000</v>
      </c>
      <c r="R567" s="181">
        <f t="shared" si="149"/>
        <v>57.866306549628632</v>
      </c>
      <c r="S567" s="181">
        <v>100</v>
      </c>
      <c r="T567" s="180">
        <f t="shared" si="117"/>
        <v>100</v>
      </c>
      <c r="U567" s="180">
        <f t="shared" si="122"/>
        <v>57.866306549628632</v>
      </c>
      <c r="V567" s="182">
        <f t="shared" si="142"/>
        <v>0</v>
      </c>
      <c r="W567" s="180"/>
      <c r="X567" s="180"/>
      <c r="Y567" s="180"/>
      <c r="Z567" s="180"/>
      <c r="AA567" s="180"/>
      <c r="AB567" s="180"/>
      <c r="AC567" s="180"/>
      <c r="AD567" s="180"/>
      <c r="AE567" s="180"/>
      <c r="AF567" s="180"/>
      <c r="AG567" s="180"/>
      <c r="AH567" s="180"/>
      <c r="AI567" s="180">
        <f>59990000+59990000+59990000</f>
        <v>179970000</v>
      </c>
      <c r="AJ567" s="181">
        <f t="shared" si="143"/>
        <v>100</v>
      </c>
      <c r="AK567" s="180">
        <f t="shared" si="150"/>
        <v>0</v>
      </c>
      <c r="AL567" s="181">
        <f t="shared" si="146"/>
        <v>0</v>
      </c>
      <c r="AM567" s="243"/>
    </row>
    <row r="568" spans="1:39" ht="24.75" customHeight="1" x14ac:dyDescent="0.25">
      <c r="A568" s="243"/>
      <c r="B568" s="477"/>
      <c r="C568" s="477"/>
      <c r="D568" s="477"/>
      <c r="E568" s="477"/>
      <c r="F568" s="477"/>
      <c r="G568" s="477"/>
      <c r="H568" s="477"/>
      <c r="I568" s="478"/>
      <c r="J568" s="477" t="s">
        <v>284</v>
      </c>
      <c r="K568" s="245"/>
      <c r="L568" s="257"/>
      <c r="M568" s="591" t="s">
        <v>285</v>
      </c>
      <c r="N568" s="592"/>
      <c r="O568" s="179"/>
      <c r="P568" s="180"/>
      <c r="Q568" s="180">
        <v>1320000</v>
      </c>
      <c r="R568" s="181">
        <f t="shared" si="149"/>
        <v>0.4244236519726054</v>
      </c>
      <c r="S568" s="181">
        <v>100</v>
      </c>
      <c r="T568" s="180">
        <f t="shared" si="117"/>
        <v>96.969696969696969</v>
      </c>
      <c r="U568" s="180">
        <f t="shared" si="122"/>
        <v>0.41156232918555674</v>
      </c>
      <c r="V568" s="182">
        <f t="shared" si="142"/>
        <v>3.0303030303030312</v>
      </c>
      <c r="W568" s="180"/>
      <c r="X568" s="180"/>
      <c r="Y568" s="180"/>
      <c r="Z568" s="180"/>
      <c r="AA568" s="180"/>
      <c r="AB568" s="180"/>
      <c r="AC568" s="180"/>
      <c r="AD568" s="180"/>
      <c r="AE568" s="180"/>
      <c r="AF568" s="180"/>
      <c r="AG568" s="180"/>
      <c r="AH568" s="180"/>
      <c r="AI568" s="429">
        <f>440000+400000+440000</f>
        <v>1280000</v>
      </c>
      <c r="AJ568" s="181">
        <f t="shared" si="143"/>
        <v>96.969696969696969</v>
      </c>
      <c r="AK568" s="180">
        <f t="shared" si="150"/>
        <v>40000</v>
      </c>
      <c r="AL568" s="181">
        <f t="shared" si="146"/>
        <v>3.0303030303030303</v>
      </c>
      <c r="AM568" s="243"/>
    </row>
    <row r="569" spans="1:39" ht="24.75" customHeight="1" x14ac:dyDescent="0.25">
      <c r="A569" s="243"/>
      <c r="B569" s="477"/>
      <c r="C569" s="477"/>
      <c r="D569" s="477"/>
      <c r="E569" s="477"/>
      <c r="F569" s="477"/>
      <c r="G569" s="477"/>
      <c r="H569" s="477"/>
      <c r="I569" s="478"/>
      <c r="J569" s="477" t="s">
        <v>282</v>
      </c>
      <c r="K569" s="245"/>
      <c r="L569" s="257"/>
      <c r="M569" s="591" t="s">
        <v>283</v>
      </c>
      <c r="N569" s="592"/>
      <c r="O569" s="179"/>
      <c r="P569" s="180"/>
      <c r="Q569" s="180">
        <v>39540000</v>
      </c>
      <c r="R569" s="181">
        <f t="shared" si="149"/>
        <v>12.713417574997587</v>
      </c>
      <c r="S569" s="181">
        <v>100</v>
      </c>
      <c r="T569" s="180">
        <f t="shared" si="117"/>
        <v>98.45220030349013</v>
      </c>
      <c r="U569" s="180">
        <f t="shared" si="122"/>
        <v>12.516639336355743</v>
      </c>
      <c r="V569" s="182">
        <f t="shared" si="142"/>
        <v>1.5477996965098697</v>
      </c>
      <c r="W569" s="180"/>
      <c r="X569" s="180"/>
      <c r="Y569" s="180"/>
      <c r="Z569" s="180"/>
      <c r="AA569" s="180"/>
      <c r="AB569" s="180"/>
      <c r="AC569" s="180"/>
      <c r="AD569" s="180"/>
      <c r="AE569" s="180"/>
      <c r="AF569" s="180"/>
      <c r="AG569" s="180"/>
      <c r="AH569" s="180"/>
      <c r="AI569" s="180">
        <f>13390000+12039000+13499000</f>
        <v>38928000</v>
      </c>
      <c r="AJ569" s="181">
        <f t="shared" si="143"/>
        <v>98.45220030349013</v>
      </c>
      <c r="AK569" s="180">
        <f t="shared" si="150"/>
        <v>612000</v>
      </c>
      <c r="AL569" s="181">
        <f t="shared" si="146"/>
        <v>1.5477996965098635</v>
      </c>
      <c r="AM569" s="243"/>
    </row>
    <row r="570" spans="1:39" ht="24.75" customHeight="1" x14ac:dyDescent="0.25">
      <c r="A570" s="243"/>
      <c r="B570" s="477"/>
      <c r="C570" s="477"/>
      <c r="D570" s="477"/>
      <c r="E570" s="477"/>
      <c r="F570" s="477"/>
      <c r="G570" s="477"/>
      <c r="H570" s="477"/>
      <c r="I570" s="478"/>
      <c r="J570" s="477" t="s">
        <v>320</v>
      </c>
      <c r="K570" s="245"/>
      <c r="L570" s="257"/>
      <c r="M570" s="591" t="s">
        <v>321</v>
      </c>
      <c r="N570" s="592"/>
      <c r="O570" s="179"/>
      <c r="P570" s="180"/>
      <c r="Q570" s="180">
        <v>16200000</v>
      </c>
      <c r="R570" s="181">
        <f t="shared" si="149"/>
        <v>5.2088357287547025</v>
      </c>
      <c r="S570" s="181">
        <v>100</v>
      </c>
      <c r="T570" s="180">
        <f t="shared" si="117"/>
        <v>77.777777777777786</v>
      </c>
      <c r="U570" s="180">
        <f t="shared" si="122"/>
        <v>4.0513166779203242</v>
      </c>
      <c r="V570" s="182">
        <f t="shared" si="142"/>
        <v>22.222222222222214</v>
      </c>
      <c r="W570" s="180"/>
      <c r="X570" s="180"/>
      <c r="Y570" s="180"/>
      <c r="Z570" s="180"/>
      <c r="AA570" s="180"/>
      <c r="AB570" s="180"/>
      <c r="AC570" s="180"/>
      <c r="AD570" s="180"/>
      <c r="AE570" s="180"/>
      <c r="AF570" s="180"/>
      <c r="AG570" s="180"/>
      <c r="AH570" s="180"/>
      <c r="AI570" s="180">
        <f>4500000+3000000+5100000</f>
        <v>12600000</v>
      </c>
      <c r="AJ570" s="181">
        <f t="shared" si="143"/>
        <v>77.777777777777786</v>
      </c>
      <c r="AK570" s="180">
        <f t="shared" si="150"/>
        <v>3600000</v>
      </c>
      <c r="AL570" s="181">
        <f t="shared" si="146"/>
        <v>22.222222222222221</v>
      </c>
      <c r="AM570" s="243"/>
    </row>
    <row r="571" spans="1:39" ht="24.75" customHeight="1" x14ac:dyDescent="0.25">
      <c r="A571" s="243"/>
      <c r="B571" s="477"/>
      <c r="C571" s="477"/>
      <c r="D571" s="477"/>
      <c r="E571" s="477"/>
      <c r="F571" s="477"/>
      <c r="G571" s="477"/>
      <c r="H571" s="477"/>
      <c r="I571" s="478"/>
      <c r="J571" s="477" t="s">
        <v>407</v>
      </c>
      <c r="K571" s="245"/>
      <c r="L571" s="257"/>
      <c r="M571" s="591" t="s">
        <v>414</v>
      </c>
      <c r="N571" s="592"/>
      <c r="O571" s="179"/>
      <c r="P571" s="180"/>
      <c r="Q571" s="180">
        <v>1800000</v>
      </c>
      <c r="R571" s="181">
        <f>Q571/Q$562*100</f>
        <v>0.57875952541718911</v>
      </c>
      <c r="S571" s="181">
        <v>100</v>
      </c>
      <c r="T571" s="180">
        <f t="shared" si="117"/>
        <v>100</v>
      </c>
      <c r="U571" s="180">
        <f t="shared" si="122"/>
        <v>0.57875952541718911</v>
      </c>
      <c r="V571" s="182">
        <f t="shared" si="142"/>
        <v>0</v>
      </c>
      <c r="W571" s="180"/>
      <c r="X571" s="180"/>
      <c r="Y571" s="180"/>
      <c r="Z571" s="180"/>
      <c r="AA571" s="180"/>
      <c r="AB571" s="180"/>
      <c r="AC571" s="180"/>
      <c r="AD571" s="180"/>
      <c r="AE571" s="180"/>
      <c r="AF571" s="180"/>
      <c r="AG571" s="180"/>
      <c r="AH571" s="180"/>
      <c r="AI571" s="180">
        <f>600000+600000+600000</f>
        <v>1800000</v>
      </c>
      <c r="AJ571" s="181">
        <f t="shared" si="143"/>
        <v>100</v>
      </c>
      <c r="AK571" s="180">
        <f t="shared" ref="AK571:AK635" si="151">Q571-AI571</f>
        <v>0</v>
      </c>
      <c r="AL571" s="181">
        <f t="shared" si="146"/>
        <v>0</v>
      </c>
      <c r="AM571" s="243"/>
    </row>
    <row r="572" spans="1:39" s="311" customFormat="1" ht="24.75" customHeight="1" x14ac:dyDescent="0.25">
      <c r="A572" s="227">
        <f>SUM(A562+1)</f>
        <v>70</v>
      </c>
      <c r="B572" s="482"/>
      <c r="C572" s="482"/>
      <c r="D572" s="482"/>
      <c r="E572" s="482"/>
      <c r="F572" s="482"/>
      <c r="G572" s="482"/>
      <c r="H572" s="482"/>
      <c r="I572" s="481"/>
      <c r="J572" s="304" t="s">
        <v>523</v>
      </c>
      <c r="K572" s="230"/>
      <c r="L572" s="294"/>
      <c r="M572" s="609" t="s">
        <v>203</v>
      </c>
      <c r="N572" s="614"/>
      <c r="O572" s="310"/>
      <c r="P572" s="231"/>
      <c r="Q572" s="231">
        <f>SUM(Q573:Q584)</f>
        <v>363103120</v>
      </c>
      <c r="R572" s="233">
        <f>Q572/Q$248*100</f>
        <v>3.0441637032258035</v>
      </c>
      <c r="S572" s="233">
        <v>100</v>
      </c>
      <c r="T572" s="231">
        <f t="shared" si="117"/>
        <v>1.8487860969082281</v>
      </c>
      <c r="U572" s="231">
        <f t="shared" si="122"/>
        <v>5.6280075312365313E-2</v>
      </c>
      <c r="V572" s="296">
        <f t="shared" si="142"/>
        <v>98.151213903091772</v>
      </c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>
        <f>SUM(AI573:AI584)</f>
        <v>6713000</v>
      </c>
      <c r="AJ572" s="233">
        <f t="shared" si="143"/>
        <v>1.8487860969082281</v>
      </c>
      <c r="AK572" s="231">
        <f t="shared" si="151"/>
        <v>356390120</v>
      </c>
      <c r="AL572" s="233">
        <f t="shared" si="146"/>
        <v>98.151213903091772</v>
      </c>
      <c r="AM572" s="227"/>
    </row>
    <row r="573" spans="1:39" ht="24.75" customHeight="1" x14ac:dyDescent="0.25">
      <c r="A573" s="243"/>
      <c r="B573" s="477"/>
      <c r="C573" s="477"/>
      <c r="D573" s="477"/>
      <c r="E573" s="477"/>
      <c r="F573" s="477"/>
      <c r="G573" s="477"/>
      <c r="H573" s="477"/>
      <c r="I573" s="478"/>
      <c r="J573" s="477" t="s">
        <v>259</v>
      </c>
      <c r="K573" s="245"/>
      <c r="L573" s="257"/>
      <c r="M573" s="591" t="s">
        <v>260</v>
      </c>
      <c r="N573" s="592"/>
      <c r="O573" s="179"/>
      <c r="P573" s="180"/>
      <c r="Q573" s="180">
        <v>2310000</v>
      </c>
      <c r="R573" s="181">
        <f t="shared" ref="R573:R584" si="152">Q573/Q$572*100</f>
        <v>0.63618291134485438</v>
      </c>
      <c r="S573" s="181">
        <v>100</v>
      </c>
      <c r="T573" s="180">
        <f t="shared" si="117"/>
        <v>0</v>
      </c>
      <c r="U573" s="180">
        <f t="shared" si="122"/>
        <v>0</v>
      </c>
      <c r="V573" s="182">
        <f t="shared" si="142"/>
        <v>100</v>
      </c>
      <c r="W573" s="180"/>
      <c r="X573" s="180"/>
      <c r="Y573" s="180"/>
      <c r="Z573" s="180"/>
      <c r="AA573" s="180"/>
      <c r="AB573" s="180"/>
      <c r="AC573" s="180"/>
      <c r="AD573" s="180"/>
      <c r="AE573" s="180"/>
      <c r="AF573" s="180"/>
      <c r="AG573" s="180"/>
      <c r="AH573" s="180"/>
      <c r="AI573" s="180">
        <v>0</v>
      </c>
      <c r="AJ573" s="181">
        <f t="shared" si="143"/>
        <v>0</v>
      </c>
      <c r="AK573" s="180">
        <f t="shared" si="151"/>
        <v>2310000</v>
      </c>
      <c r="AL573" s="181">
        <f t="shared" si="146"/>
        <v>100</v>
      </c>
      <c r="AM573" s="243"/>
    </row>
    <row r="574" spans="1:39" ht="24.75" customHeight="1" x14ac:dyDescent="0.25">
      <c r="A574" s="243"/>
      <c r="B574" s="477"/>
      <c r="C574" s="477"/>
      <c r="D574" s="477"/>
      <c r="E574" s="477"/>
      <c r="F574" s="477"/>
      <c r="G574" s="477"/>
      <c r="H574" s="477"/>
      <c r="I574" s="478"/>
      <c r="J574" s="477" t="s">
        <v>326</v>
      </c>
      <c r="K574" s="245"/>
      <c r="L574" s="257"/>
      <c r="M574" s="591" t="s">
        <v>327</v>
      </c>
      <c r="N574" s="592"/>
      <c r="O574" s="179"/>
      <c r="P574" s="180"/>
      <c r="Q574" s="180">
        <v>140400000</v>
      </c>
      <c r="R574" s="181">
        <f t="shared" si="152"/>
        <v>38.666701624596342</v>
      </c>
      <c r="S574" s="181">
        <v>100</v>
      </c>
      <c r="T574" s="180">
        <f t="shared" si="117"/>
        <v>0</v>
      </c>
      <c r="U574" s="180">
        <f t="shared" si="122"/>
        <v>0</v>
      </c>
      <c r="V574" s="182">
        <f t="shared" si="142"/>
        <v>100</v>
      </c>
      <c r="W574" s="180"/>
      <c r="X574" s="180"/>
      <c r="Y574" s="180"/>
      <c r="Z574" s="180"/>
      <c r="AA574" s="180"/>
      <c r="AB574" s="180"/>
      <c r="AC574" s="180"/>
      <c r="AD574" s="180"/>
      <c r="AE574" s="180"/>
      <c r="AF574" s="180"/>
      <c r="AG574" s="180"/>
      <c r="AH574" s="180"/>
      <c r="AI574" s="180">
        <v>0</v>
      </c>
      <c r="AJ574" s="181">
        <f t="shared" si="143"/>
        <v>0</v>
      </c>
      <c r="AK574" s="180">
        <f t="shared" si="151"/>
        <v>140400000</v>
      </c>
      <c r="AL574" s="181">
        <f t="shared" si="146"/>
        <v>100</v>
      </c>
      <c r="AM574" s="243"/>
    </row>
    <row r="575" spans="1:39" ht="24.75" customHeight="1" x14ac:dyDescent="0.25">
      <c r="A575" s="243"/>
      <c r="B575" s="477"/>
      <c r="C575" s="477"/>
      <c r="D575" s="477"/>
      <c r="E575" s="477"/>
      <c r="F575" s="477"/>
      <c r="G575" s="477"/>
      <c r="H575" s="477"/>
      <c r="I575" s="478"/>
      <c r="J575" s="477" t="s">
        <v>269</v>
      </c>
      <c r="K575" s="245"/>
      <c r="L575" s="257"/>
      <c r="M575" s="591" t="s">
        <v>270</v>
      </c>
      <c r="N575" s="592"/>
      <c r="O575" s="179"/>
      <c r="P575" s="180"/>
      <c r="Q575" s="180">
        <v>22000000</v>
      </c>
      <c r="R575" s="181">
        <f t="shared" si="152"/>
        <v>6.0588848699509938</v>
      </c>
      <c r="S575" s="181">
        <v>100</v>
      </c>
      <c r="T575" s="180">
        <f t="shared" si="117"/>
        <v>22.5</v>
      </c>
      <c r="U575" s="180">
        <f t="shared" si="122"/>
        <v>1.3632490957389738</v>
      </c>
      <c r="V575" s="182">
        <f t="shared" si="142"/>
        <v>77.5</v>
      </c>
      <c r="W575" s="180"/>
      <c r="X575" s="180"/>
      <c r="Y575" s="180"/>
      <c r="Z575" s="180"/>
      <c r="AA575" s="180"/>
      <c r="AB575" s="180"/>
      <c r="AC575" s="180"/>
      <c r="AD575" s="180"/>
      <c r="AE575" s="180"/>
      <c r="AF575" s="180"/>
      <c r="AG575" s="180"/>
      <c r="AH575" s="180"/>
      <c r="AI575" s="180">
        <v>4950000</v>
      </c>
      <c r="AJ575" s="181">
        <f t="shared" si="143"/>
        <v>22.5</v>
      </c>
      <c r="AK575" s="180">
        <f t="shared" si="151"/>
        <v>17050000</v>
      </c>
      <c r="AL575" s="181">
        <f t="shared" si="146"/>
        <v>77.5</v>
      </c>
      <c r="AM575" s="243"/>
    </row>
    <row r="576" spans="1:39" ht="24.75" customHeight="1" x14ac:dyDescent="0.25">
      <c r="A576" s="243"/>
      <c r="B576" s="477"/>
      <c r="C576" s="477"/>
      <c r="D576" s="477"/>
      <c r="E576" s="477"/>
      <c r="F576" s="477"/>
      <c r="G576" s="477"/>
      <c r="H576" s="477"/>
      <c r="I576" s="478"/>
      <c r="J576" s="477" t="s">
        <v>315</v>
      </c>
      <c r="K576" s="245"/>
      <c r="L576" s="257"/>
      <c r="M576" s="591" t="s">
        <v>271</v>
      </c>
      <c r="N576" s="592"/>
      <c r="O576" s="179"/>
      <c r="P576" s="180"/>
      <c r="Q576" s="180">
        <v>4500000</v>
      </c>
      <c r="R576" s="181">
        <f t="shared" si="152"/>
        <v>1.2393173597627032</v>
      </c>
      <c r="S576" s="181">
        <v>100</v>
      </c>
      <c r="T576" s="180">
        <f t="shared" si="117"/>
        <v>0</v>
      </c>
      <c r="U576" s="180">
        <f t="shared" si="122"/>
        <v>0</v>
      </c>
      <c r="V576" s="182">
        <f t="shared" si="142"/>
        <v>100</v>
      </c>
      <c r="W576" s="180"/>
      <c r="X576" s="180"/>
      <c r="Y576" s="180"/>
      <c r="Z576" s="180"/>
      <c r="AA576" s="180"/>
      <c r="AB576" s="180"/>
      <c r="AC576" s="180"/>
      <c r="AD576" s="180"/>
      <c r="AE576" s="180"/>
      <c r="AF576" s="180"/>
      <c r="AG576" s="180"/>
      <c r="AH576" s="180"/>
      <c r="AI576" s="180">
        <v>0</v>
      </c>
      <c r="AJ576" s="181">
        <f t="shared" si="143"/>
        <v>0</v>
      </c>
      <c r="AK576" s="180">
        <f t="shared" si="151"/>
        <v>4500000</v>
      </c>
      <c r="AL576" s="181">
        <f t="shared" si="146"/>
        <v>100</v>
      </c>
      <c r="AM576" s="243"/>
    </row>
    <row r="577" spans="1:39" ht="24.75" customHeight="1" x14ac:dyDescent="0.25">
      <c r="A577" s="243"/>
      <c r="B577" s="477"/>
      <c r="C577" s="477"/>
      <c r="D577" s="477"/>
      <c r="E577" s="477"/>
      <c r="F577" s="477"/>
      <c r="G577" s="477"/>
      <c r="H577" s="477"/>
      <c r="I577" s="478"/>
      <c r="J577" s="477" t="s">
        <v>316</v>
      </c>
      <c r="K577" s="245"/>
      <c r="L577" s="257"/>
      <c r="M577" s="591" t="s">
        <v>317</v>
      </c>
      <c r="N577" s="592"/>
      <c r="O577" s="179"/>
      <c r="P577" s="180"/>
      <c r="Q577" s="180">
        <v>600000</v>
      </c>
      <c r="R577" s="181">
        <f t="shared" si="152"/>
        <v>0.16524231463502709</v>
      </c>
      <c r="S577" s="181">
        <v>100</v>
      </c>
      <c r="T577" s="180">
        <f t="shared" si="117"/>
        <v>0</v>
      </c>
      <c r="U577" s="180">
        <f t="shared" si="122"/>
        <v>0</v>
      </c>
      <c r="V577" s="182">
        <f t="shared" si="142"/>
        <v>100</v>
      </c>
      <c r="W577" s="180"/>
      <c r="X577" s="180"/>
      <c r="Y577" s="180"/>
      <c r="Z577" s="180"/>
      <c r="AA577" s="180"/>
      <c r="AB577" s="180"/>
      <c r="AC577" s="180"/>
      <c r="AD577" s="180"/>
      <c r="AE577" s="180"/>
      <c r="AF577" s="180"/>
      <c r="AG577" s="180"/>
      <c r="AH577" s="180"/>
      <c r="AI577" s="180">
        <v>0</v>
      </c>
      <c r="AJ577" s="181">
        <f t="shared" si="143"/>
        <v>0</v>
      </c>
      <c r="AK577" s="180">
        <f t="shared" si="151"/>
        <v>600000</v>
      </c>
      <c r="AL577" s="181">
        <f t="shared" si="146"/>
        <v>100</v>
      </c>
      <c r="AM577" s="243"/>
    </row>
    <row r="578" spans="1:39" ht="24.75" customHeight="1" x14ac:dyDescent="0.25">
      <c r="A578" s="243"/>
      <c r="B578" s="477"/>
      <c r="C578" s="477"/>
      <c r="D578" s="477"/>
      <c r="E578" s="477"/>
      <c r="F578" s="477"/>
      <c r="G578" s="477"/>
      <c r="H578" s="477"/>
      <c r="I578" s="478"/>
      <c r="J578" s="477" t="s">
        <v>328</v>
      </c>
      <c r="K578" s="245"/>
      <c r="L578" s="257"/>
      <c r="M578" s="591" t="s">
        <v>329</v>
      </c>
      <c r="N578" s="592"/>
      <c r="O578" s="179"/>
      <c r="P578" s="180"/>
      <c r="Q578" s="180">
        <v>8250000</v>
      </c>
      <c r="R578" s="181">
        <f t="shared" si="152"/>
        <v>2.2720818262316222</v>
      </c>
      <c r="S578" s="181">
        <v>100</v>
      </c>
      <c r="T578" s="180">
        <f t="shared" si="117"/>
        <v>0</v>
      </c>
      <c r="U578" s="180">
        <f t="shared" si="122"/>
        <v>0</v>
      </c>
      <c r="V578" s="182">
        <f t="shared" si="142"/>
        <v>100</v>
      </c>
      <c r="W578" s="180"/>
      <c r="X578" s="180"/>
      <c r="Y578" s="180"/>
      <c r="Z578" s="180"/>
      <c r="AA578" s="180"/>
      <c r="AB578" s="180"/>
      <c r="AC578" s="180"/>
      <c r="AD578" s="180"/>
      <c r="AE578" s="180"/>
      <c r="AF578" s="180"/>
      <c r="AG578" s="180"/>
      <c r="AH578" s="180"/>
      <c r="AI578" s="180">
        <v>0</v>
      </c>
      <c r="AJ578" s="181">
        <f t="shared" si="143"/>
        <v>0</v>
      </c>
      <c r="AK578" s="180">
        <f t="shared" si="151"/>
        <v>8250000</v>
      </c>
      <c r="AL578" s="181">
        <f t="shared" si="146"/>
        <v>100</v>
      </c>
      <c r="AM578" s="243"/>
    </row>
    <row r="579" spans="1:39" ht="24.75" customHeight="1" x14ac:dyDescent="0.25">
      <c r="A579" s="243"/>
      <c r="B579" s="477"/>
      <c r="C579" s="477"/>
      <c r="D579" s="477"/>
      <c r="E579" s="477"/>
      <c r="F579" s="477"/>
      <c r="G579" s="477"/>
      <c r="H579" s="477"/>
      <c r="I579" s="478"/>
      <c r="J579" s="477" t="s">
        <v>318</v>
      </c>
      <c r="K579" s="245"/>
      <c r="L579" s="257"/>
      <c r="M579" s="591" t="s">
        <v>319</v>
      </c>
      <c r="N579" s="592"/>
      <c r="O579" s="179"/>
      <c r="P579" s="180"/>
      <c r="Q579" s="180">
        <v>100000000</v>
      </c>
      <c r="R579" s="181">
        <f t="shared" si="152"/>
        <v>27.540385772504518</v>
      </c>
      <c r="S579" s="181">
        <v>100</v>
      </c>
      <c r="T579" s="180">
        <f t="shared" si="117"/>
        <v>0</v>
      </c>
      <c r="U579" s="180">
        <f t="shared" si="122"/>
        <v>0</v>
      </c>
      <c r="V579" s="182">
        <v>100</v>
      </c>
      <c r="W579" s="180"/>
      <c r="X579" s="180"/>
      <c r="Y579" s="180"/>
      <c r="Z579" s="180"/>
      <c r="AA579" s="180"/>
      <c r="AB579" s="180"/>
      <c r="AC579" s="180"/>
      <c r="AD579" s="180"/>
      <c r="AE579" s="180"/>
      <c r="AF579" s="180"/>
      <c r="AG579" s="180"/>
      <c r="AH579" s="180"/>
      <c r="AI579" s="180">
        <v>0</v>
      </c>
      <c r="AJ579" s="181">
        <f t="shared" si="143"/>
        <v>0</v>
      </c>
      <c r="AK579" s="180">
        <f t="shared" si="151"/>
        <v>100000000</v>
      </c>
      <c r="AL579" s="181">
        <f t="shared" si="146"/>
        <v>100</v>
      </c>
      <c r="AM579" s="243"/>
    </row>
    <row r="580" spans="1:39" ht="24.75" customHeight="1" x14ac:dyDescent="0.25">
      <c r="A580" s="243"/>
      <c r="B580" s="477"/>
      <c r="C580" s="477"/>
      <c r="D580" s="477"/>
      <c r="E580" s="477"/>
      <c r="F580" s="477"/>
      <c r="G580" s="477"/>
      <c r="H580" s="477"/>
      <c r="I580" s="478"/>
      <c r="J580" s="477" t="s">
        <v>280</v>
      </c>
      <c r="K580" s="245"/>
      <c r="L580" s="257"/>
      <c r="M580" s="591" t="s">
        <v>281</v>
      </c>
      <c r="N580" s="592"/>
      <c r="O580" s="179"/>
      <c r="P580" s="180"/>
      <c r="Q580" s="180">
        <v>9500000</v>
      </c>
      <c r="R580" s="181">
        <f t="shared" si="152"/>
        <v>2.6163366483879291</v>
      </c>
      <c r="S580" s="181">
        <v>100</v>
      </c>
      <c r="T580" s="180">
        <f t="shared" si="117"/>
        <v>0</v>
      </c>
      <c r="U580" s="180">
        <f t="shared" si="122"/>
        <v>0</v>
      </c>
      <c r="V580" s="182">
        <f t="shared" si="142"/>
        <v>100</v>
      </c>
      <c r="W580" s="180"/>
      <c r="X580" s="180"/>
      <c r="Y580" s="180"/>
      <c r="Z580" s="180"/>
      <c r="AA580" s="180"/>
      <c r="AB580" s="180"/>
      <c r="AC580" s="180"/>
      <c r="AD580" s="180"/>
      <c r="AE580" s="180"/>
      <c r="AF580" s="180"/>
      <c r="AG580" s="180"/>
      <c r="AH580" s="180"/>
      <c r="AI580" s="180">
        <v>0</v>
      </c>
      <c r="AJ580" s="181">
        <f t="shared" si="143"/>
        <v>0</v>
      </c>
      <c r="AK580" s="180">
        <f t="shared" si="151"/>
        <v>9500000</v>
      </c>
      <c r="AL580" s="181">
        <f t="shared" si="146"/>
        <v>100</v>
      </c>
      <c r="AM580" s="243"/>
    </row>
    <row r="581" spans="1:39" ht="24.75" customHeight="1" x14ac:dyDescent="0.25">
      <c r="A581" s="243"/>
      <c r="B581" s="477"/>
      <c r="C581" s="477"/>
      <c r="D581" s="477"/>
      <c r="E581" s="477"/>
      <c r="F581" s="477"/>
      <c r="G581" s="477"/>
      <c r="H581" s="477"/>
      <c r="I581" s="478"/>
      <c r="J581" s="477" t="s">
        <v>284</v>
      </c>
      <c r="K581" s="245"/>
      <c r="L581" s="257"/>
      <c r="M581" s="591" t="s">
        <v>285</v>
      </c>
      <c r="N581" s="592"/>
      <c r="O581" s="179"/>
      <c r="P581" s="180"/>
      <c r="Q581" s="180">
        <v>3000000</v>
      </c>
      <c r="R581" s="181">
        <f t="shared" si="152"/>
        <v>0.82621157317513538</v>
      </c>
      <c r="S581" s="181">
        <v>100</v>
      </c>
      <c r="T581" s="180">
        <f t="shared" si="117"/>
        <v>0</v>
      </c>
      <c r="U581" s="180">
        <f t="shared" si="122"/>
        <v>0</v>
      </c>
      <c r="V581" s="182">
        <f t="shared" si="142"/>
        <v>100</v>
      </c>
      <c r="W581" s="180"/>
      <c r="X581" s="180"/>
      <c r="Y581" s="180"/>
      <c r="Z581" s="180"/>
      <c r="AA581" s="180"/>
      <c r="AB581" s="180"/>
      <c r="AC581" s="180"/>
      <c r="AD581" s="180"/>
      <c r="AE581" s="180"/>
      <c r="AF581" s="180"/>
      <c r="AG581" s="180"/>
      <c r="AH581" s="180"/>
      <c r="AI581" s="180">
        <v>0</v>
      </c>
      <c r="AJ581" s="181">
        <f t="shared" si="143"/>
        <v>0</v>
      </c>
      <c r="AK581" s="180">
        <f t="shared" si="151"/>
        <v>3000000</v>
      </c>
      <c r="AL581" s="181">
        <f t="shared" si="146"/>
        <v>100</v>
      </c>
      <c r="AM581" s="243"/>
    </row>
    <row r="582" spans="1:39" ht="24.75" customHeight="1" x14ac:dyDescent="0.25">
      <c r="A582" s="243"/>
      <c r="B582" s="477"/>
      <c r="C582" s="477"/>
      <c r="D582" s="477"/>
      <c r="E582" s="477"/>
      <c r="F582" s="477"/>
      <c r="G582" s="477"/>
      <c r="H582" s="477"/>
      <c r="I582" s="478"/>
      <c r="J582" s="477" t="s">
        <v>282</v>
      </c>
      <c r="K582" s="245"/>
      <c r="L582" s="257"/>
      <c r="M582" s="591" t="s">
        <v>283</v>
      </c>
      <c r="N582" s="592"/>
      <c r="O582" s="179"/>
      <c r="P582" s="180"/>
      <c r="Q582" s="180">
        <v>32443120</v>
      </c>
      <c r="R582" s="181">
        <f t="shared" si="152"/>
        <v>8.934960404636568</v>
      </c>
      <c r="S582" s="181">
        <v>100</v>
      </c>
      <c r="T582" s="180">
        <f t="shared" si="117"/>
        <v>5.4341259410315654</v>
      </c>
      <c r="U582" s="180">
        <f t="shared" si="122"/>
        <v>0.48553700116925469</v>
      </c>
      <c r="V582" s="182">
        <f t="shared" si="142"/>
        <v>94.565874058968433</v>
      </c>
      <c r="W582" s="180"/>
      <c r="X582" s="180"/>
      <c r="Y582" s="180"/>
      <c r="Z582" s="180"/>
      <c r="AA582" s="180"/>
      <c r="AB582" s="180"/>
      <c r="AC582" s="180"/>
      <c r="AD582" s="180"/>
      <c r="AE582" s="180"/>
      <c r="AF582" s="180"/>
      <c r="AG582" s="180"/>
      <c r="AH582" s="180"/>
      <c r="AI582" s="180">
        <v>1763000</v>
      </c>
      <c r="AJ582" s="181">
        <f t="shared" si="143"/>
        <v>5.4341259410315654</v>
      </c>
      <c r="AK582" s="180">
        <f t="shared" si="151"/>
        <v>30680120</v>
      </c>
      <c r="AL582" s="181">
        <f t="shared" si="146"/>
        <v>94.565874058968433</v>
      </c>
      <c r="AM582" s="243"/>
    </row>
    <row r="583" spans="1:39" ht="24.75" customHeight="1" x14ac:dyDescent="0.25">
      <c r="A583" s="243"/>
      <c r="B583" s="477"/>
      <c r="C583" s="477"/>
      <c r="D583" s="477"/>
      <c r="E583" s="477"/>
      <c r="F583" s="477"/>
      <c r="G583" s="477"/>
      <c r="H583" s="477"/>
      <c r="I583" s="478"/>
      <c r="J583" s="477" t="s">
        <v>320</v>
      </c>
      <c r="K583" s="245"/>
      <c r="L583" s="257"/>
      <c r="M583" s="591" t="s">
        <v>321</v>
      </c>
      <c r="N583" s="592"/>
      <c r="O583" s="179"/>
      <c r="P583" s="180"/>
      <c r="Q583" s="180">
        <v>20000000</v>
      </c>
      <c r="R583" s="181">
        <f t="shared" si="152"/>
        <v>5.5080771545009029</v>
      </c>
      <c r="S583" s="181">
        <v>100</v>
      </c>
      <c r="T583" s="180">
        <f t="shared" si="117"/>
        <v>0</v>
      </c>
      <c r="U583" s="180">
        <f t="shared" si="122"/>
        <v>0</v>
      </c>
      <c r="V583" s="182">
        <f t="shared" si="142"/>
        <v>100</v>
      </c>
      <c r="W583" s="180"/>
      <c r="X583" s="180"/>
      <c r="Y583" s="180"/>
      <c r="Z583" s="180"/>
      <c r="AA583" s="180"/>
      <c r="AB583" s="180"/>
      <c r="AC583" s="180"/>
      <c r="AD583" s="180"/>
      <c r="AE583" s="180"/>
      <c r="AF583" s="180"/>
      <c r="AG583" s="180"/>
      <c r="AH583" s="180"/>
      <c r="AI583" s="180">
        <v>0</v>
      </c>
      <c r="AJ583" s="181">
        <f t="shared" si="143"/>
        <v>0</v>
      </c>
      <c r="AK583" s="180">
        <f t="shared" si="151"/>
        <v>20000000</v>
      </c>
      <c r="AL583" s="181">
        <f t="shared" si="146"/>
        <v>100</v>
      </c>
      <c r="AM583" s="243"/>
    </row>
    <row r="584" spans="1:39" ht="24.75" customHeight="1" x14ac:dyDescent="0.25">
      <c r="A584" s="243"/>
      <c r="B584" s="477"/>
      <c r="C584" s="477"/>
      <c r="D584" s="477"/>
      <c r="E584" s="477"/>
      <c r="F584" s="477"/>
      <c r="G584" s="477"/>
      <c r="H584" s="477"/>
      <c r="I584" s="478"/>
      <c r="J584" s="477" t="s">
        <v>407</v>
      </c>
      <c r="K584" s="245"/>
      <c r="L584" s="257"/>
      <c r="M584" s="591" t="s">
        <v>414</v>
      </c>
      <c r="N584" s="592"/>
      <c r="O584" s="179"/>
      <c r="P584" s="180"/>
      <c r="Q584" s="180">
        <v>20100000</v>
      </c>
      <c r="R584" s="181">
        <f t="shared" si="152"/>
        <v>5.5356175402734076</v>
      </c>
      <c r="S584" s="181">
        <v>100</v>
      </c>
      <c r="T584" s="180">
        <f t="shared" si="117"/>
        <v>0</v>
      </c>
      <c r="U584" s="180">
        <f t="shared" si="122"/>
        <v>0</v>
      </c>
      <c r="V584" s="182">
        <v>100</v>
      </c>
      <c r="W584" s="180"/>
      <c r="X584" s="180"/>
      <c r="Y584" s="180"/>
      <c r="Z584" s="180"/>
      <c r="AA584" s="180"/>
      <c r="AB584" s="180"/>
      <c r="AC584" s="180"/>
      <c r="AD584" s="180"/>
      <c r="AE584" s="180"/>
      <c r="AF584" s="180"/>
      <c r="AG584" s="180"/>
      <c r="AH584" s="180"/>
      <c r="AI584" s="180">
        <v>0</v>
      </c>
      <c r="AJ584" s="181">
        <f t="shared" si="143"/>
        <v>0</v>
      </c>
      <c r="AK584" s="180">
        <f t="shared" si="151"/>
        <v>20100000</v>
      </c>
      <c r="AL584" s="181">
        <f t="shared" si="146"/>
        <v>100</v>
      </c>
      <c r="AM584" s="243"/>
    </row>
    <row r="585" spans="1:39" s="311" customFormat="1" ht="24.75" customHeight="1" x14ac:dyDescent="0.25">
      <c r="A585" s="227">
        <f>SUM(A572+1)</f>
        <v>71</v>
      </c>
      <c r="B585" s="482"/>
      <c r="C585" s="482"/>
      <c r="D585" s="482"/>
      <c r="E585" s="482"/>
      <c r="F585" s="482"/>
      <c r="G585" s="482"/>
      <c r="H585" s="482"/>
      <c r="I585" s="481"/>
      <c r="J585" s="304" t="s">
        <v>524</v>
      </c>
      <c r="K585" s="230"/>
      <c r="L585" s="294"/>
      <c r="M585" s="609" t="s">
        <v>204</v>
      </c>
      <c r="N585" s="614"/>
      <c r="O585" s="310"/>
      <c r="P585" s="231"/>
      <c r="Q585" s="231">
        <f>SUM(Q586:Q593)</f>
        <v>161972105</v>
      </c>
      <c r="R585" s="233">
        <f>Q585/Q$248*100</f>
        <v>1.3579327078656847</v>
      </c>
      <c r="S585" s="233">
        <v>100</v>
      </c>
      <c r="T585" s="231">
        <f t="shared" si="117"/>
        <v>55.846097696884286</v>
      </c>
      <c r="U585" s="231">
        <f t="shared" si="122"/>
        <v>0.75835242669261649</v>
      </c>
      <c r="V585" s="296">
        <f t="shared" si="142"/>
        <v>44.153902303115714</v>
      </c>
      <c r="W585" s="231"/>
      <c r="X585" s="231"/>
      <c r="Y585" s="231"/>
      <c r="Z585" s="231"/>
      <c r="AA585" s="231"/>
      <c r="AB585" s="231"/>
      <c r="AC585" s="231"/>
      <c r="AD585" s="231"/>
      <c r="AE585" s="231"/>
      <c r="AF585" s="231"/>
      <c r="AG585" s="231"/>
      <c r="AH585" s="231"/>
      <c r="AI585" s="231">
        <f>SUM(AI586:AI593)</f>
        <v>90455100</v>
      </c>
      <c r="AJ585" s="233">
        <f t="shared" si="143"/>
        <v>55.846097696884286</v>
      </c>
      <c r="AK585" s="231">
        <f t="shared" si="151"/>
        <v>71517005</v>
      </c>
      <c r="AL585" s="233">
        <f t="shared" si="146"/>
        <v>44.153902303115714</v>
      </c>
      <c r="AM585" s="227"/>
    </row>
    <row r="586" spans="1:39" ht="24.75" customHeight="1" x14ac:dyDescent="0.25">
      <c r="A586" s="243"/>
      <c r="B586" s="477"/>
      <c r="C586" s="477"/>
      <c r="D586" s="477"/>
      <c r="E586" s="477"/>
      <c r="F586" s="477"/>
      <c r="G586" s="477"/>
      <c r="H586" s="477"/>
      <c r="I586" s="478"/>
      <c r="J586" s="477" t="s">
        <v>257</v>
      </c>
      <c r="K586" s="245"/>
      <c r="L586" s="257"/>
      <c r="M586" s="591" t="s">
        <v>260</v>
      </c>
      <c r="N586" s="592"/>
      <c r="O586" s="179"/>
      <c r="P586" s="180"/>
      <c r="Q586" s="180">
        <v>1540000</v>
      </c>
      <c r="R586" s="181">
        <f>Q586/Q$585*100</f>
        <v>0.95078100022222956</v>
      </c>
      <c r="S586" s="181">
        <v>100</v>
      </c>
      <c r="T586" s="180">
        <f t="shared" si="117"/>
        <v>50</v>
      </c>
      <c r="U586" s="180">
        <f t="shared" si="122"/>
        <v>0.47539050011111478</v>
      </c>
      <c r="V586" s="182">
        <f t="shared" si="142"/>
        <v>50</v>
      </c>
      <c r="W586" s="180"/>
      <c r="X586" s="180"/>
      <c r="Y586" s="180"/>
      <c r="Z586" s="180"/>
      <c r="AA586" s="180"/>
      <c r="AB586" s="180"/>
      <c r="AC586" s="180"/>
      <c r="AD586" s="180"/>
      <c r="AE586" s="180"/>
      <c r="AF586" s="180"/>
      <c r="AG586" s="180"/>
      <c r="AH586" s="180"/>
      <c r="AI586" s="180">
        <v>770000</v>
      </c>
      <c r="AJ586" s="181">
        <f t="shared" si="143"/>
        <v>50</v>
      </c>
      <c r="AK586" s="180">
        <f t="shared" si="151"/>
        <v>770000</v>
      </c>
      <c r="AL586" s="181">
        <f t="shared" si="146"/>
        <v>50</v>
      </c>
      <c r="AM586" s="243"/>
    </row>
    <row r="587" spans="1:39" ht="24.75" customHeight="1" x14ac:dyDescent="0.25">
      <c r="A587" s="243"/>
      <c r="B587" s="477"/>
      <c r="C587" s="477"/>
      <c r="D587" s="477"/>
      <c r="E587" s="477"/>
      <c r="F587" s="477"/>
      <c r="G587" s="477"/>
      <c r="H587" s="477"/>
      <c r="I587" s="478"/>
      <c r="J587" s="477" t="s">
        <v>315</v>
      </c>
      <c r="K587" s="245"/>
      <c r="L587" s="257"/>
      <c r="M587" s="591" t="s">
        <v>271</v>
      </c>
      <c r="N587" s="592"/>
      <c r="O587" s="179"/>
      <c r="P587" s="180"/>
      <c r="Q587" s="180">
        <v>2000000</v>
      </c>
      <c r="R587" s="181">
        <f t="shared" ref="R587:R593" si="153">Q587/Q$585*100</f>
        <v>1.2347805197691293</v>
      </c>
      <c r="S587" s="181">
        <v>100</v>
      </c>
      <c r="T587" s="180">
        <f t="shared" si="117"/>
        <v>15</v>
      </c>
      <c r="U587" s="180">
        <f t="shared" si="122"/>
        <v>0.1852170779653694</v>
      </c>
      <c r="V587" s="182">
        <f t="shared" si="142"/>
        <v>85</v>
      </c>
      <c r="W587" s="180"/>
      <c r="X587" s="180"/>
      <c r="Y587" s="180"/>
      <c r="Z587" s="180"/>
      <c r="AA587" s="180"/>
      <c r="AB587" s="180"/>
      <c r="AC587" s="180"/>
      <c r="AD587" s="180"/>
      <c r="AE587" s="180"/>
      <c r="AF587" s="180"/>
      <c r="AG587" s="180"/>
      <c r="AH587" s="180"/>
      <c r="AI587" s="180">
        <v>300000</v>
      </c>
      <c r="AJ587" s="181">
        <f t="shared" si="143"/>
        <v>15</v>
      </c>
      <c r="AK587" s="180">
        <f t="shared" si="151"/>
        <v>1700000</v>
      </c>
      <c r="AL587" s="181">
        <f t="shared" si="146"/>
        <v>85</v>
      </c>
      <c r="AM587" s="243"/>
    </row>
    <row r="588" spans="1:39" ht="30" customHeight="1" x14ac:dyDescent="0.25">
      <c r="A588" s="243"/>
      <c r="B588" s="477"/>
      <c r="C588" s="477"/>
      <c r="D588" s="477"/>
      <c r="E588" s="477"/>
      <c r="F588" s="477"/>
      <c r="G588" s="477"/>
      <c r="H588" s="477"/>
      <c r="I588" s="478"/>
      <c r="J588" s="477" t="s">
        <v>318</v>
      </c>
      <c r="K588" s="245"/>
      <c r="L588" s="257"/>
      <c r="M588" s="591" t="s">
        <v>319</v>
      </c>
      <c r="N588" s="592"/>
      <c r="O588" s="179"/>
      <c r="P588" s="180"/>
      <c r="Q588" s="180">
        <v>58500000</v>
      </c>
      <c r="R588" s="181">
        <f t="shared" si="153"/>
        <v>36.117330203247036</v>
      </c>
      <c r="S588" s="181">
        <v>100</v>
      </c>
      <c r="T588" s="180">
        <f t="shared" si="117"/>
        <v>23.931623931623932</v>
      </c>
      <c r="U588" s="180">
        <f t="shared" si="122"/>
        <v>8.6434636383839063</v>
      </c>
      <c r="V588" s="182">
        <f t="shared" si="142"/>
        <v>76.068376068376068</v>
      </c>
      <c r="W588" s="180"/>
      <c r="X588" s="180"/>
      <c r="Y588" s="180"/>
      <c r="Z588" s="180"/>
      <c r="AA588" s="180"/>
      <c r="AB588" s="180"/>
      <c r="AC588" s="180"/>
      <c r="AD588" s="180"/>
      <c r="AE588" s="180"/>
      <c r="AF588" s="180"/>
      <c r="AG588" s="180"/>
      <c r="AH588" s="180"/>
      <c r="AI588" s="180">
        <v>14000000</v>
      </c>
      <c r="AJ588" s="181">
        <f t="shared" si="143"/>
        <v>23.931623931623932</v>
      </c>
      <c r="AK588" s="180">
        <f t="shared" si="151"/>
        <v>44500000</v>
      </c>
      <c r="AL588" s="181">
        <f t="shared" si="146"/>
        <v>76.068376068376068</v>
      </c>
      <c r="AM588" s="243"/>
    </row>
    <row r="589" spans="1:39" ht="24.75" customHeight="1" x14ac:dyDescent="0.25">
      <c r="A589" s="243"/>
      <c r="B589" s="477"/>
      <c r="C589" s="477"/>
      <c r="D589" s="477"/>
      <c r="E589" s="477"/>
      <c r="F589" s="477"/>
      <c r="G589" s="477"/>
      <c r="H589" s="477"/>
      <c r="I589" s="478"/>
      <c r="J589" s="477" t="s">
        <v>280</v>
      </c>
      <c r="K589" s="245"/>
      <c r="L589" s="257"/>
      <c r="M589" s="591" t="s">
        <v>281</v>
      </c>
      <c r="N589" s="592"/>
      <c r="O589" s="179"/>
      <c r="P589" s="180"/>
      <c r="Q589" s="180">
        <v>2925000</v>
      </c>
      <c r="R589" s="181">
        <f t="shared" si="153"/>
        <v>1.8058665101623517</v>
      </c>
      <c r="S589" s="181">
        <v>100</v>
      </c>
      <c r="T589" s="180">
        <f t="shared" si="117"/>
        <v>59.82905982905983</v>
      </c>
      <c r="U589" s="180">
        <f t="shared" si="122"/>
        <v>1.0804329547979881</v>
      </c>
      <c r="V589" s="182">
        <f t="shared" si="142"/>
        <v>40.17094017094017</v>
      </c>
      <c r="W589" s="180"/>
      <c r="X589" s="180"/>
      <c r="Y589" s="180"/>
      <c r="Z589" s="180"/>
      <c r="AA589" s="180"/>
      <c r="AB589" s="180"/>
      <c r="AC589" s="180"/>
      <c r="AD589" s="180"/>
      <c r="AE589" s="180"/>
      <c r="AF589" s="180"/>
      <c r="AG589" s="180"/>
      <c r="AH589" s="180"/>
      <c r="AI589" s="180">
        <v>1750000</v>
      </c>
      <c r="AJ589" s="181">
        <f t="shared" si="143"/>
        <v>59.82905982905983</v>
      </c>
      <c r="AK589" s="180">
        <f t="shared" si="151"/>
        <v>1175000</v>
      </c>
      <c r="AL589" s="181">
        <f t="shared" si="146"/>
        <v>40.17094017094017</v>
      </c>
      <c r="AM589" s="243"/>
    </row>
    <row r="590" spans="1:39" ht="24.75" customHeight="1" x14ac:dyDescent="0.25">
      <c r="A590" s="243"/>
      <c r="B590" s="477"/>
      <c r="C590" s="477"/>
      <c r="D590" s="477"/>
      <c r="E590" s="477"/>
      <c r="F590" s="477"/>
      <c r="G590" s="477"/>
      <c r="H590" s="477"/>
      <c r="I590" s="478"/>
      <c r="J590" s="477" t="s">
        <v>284</v>
      </c>
      <c r="K590" s="245"/>
      <c r="L590" s="257"/>
      <c r="M590" s="591" t="s">
        <v>285</v>
      </c>
      <c r="N590" s="592"/>
      <c r="O590" s="179"/>
      <c r="P590" s="180"/>
      <c r="Q590" s="180">
        <v>2000000</v>
      </c>
      <c r="R590" s="181">
        <f t="shared" si="153"/>
        <v>1.2347805197691293</v>
      </c>
      <c r="S590" s="181">
        <v>100</v>
      </c>
      <c r="T590" s="180">
        <f t="shared" si="117"/>
        <v>24.5</v>
      </c>
      <c r="U590" s="180">
        <f t="shared" si="122"/>
        <v>0.30252122734343667</v>
      </c>
      <c r="V590" s="182">
        <f t="shared" si="142"/>
        <v>75.5</v>
      </c>
      <c r="W590" s="180"/>
      <c r="X590" s="180"/>
      <c r="Y590" s="180"/>
      <c r="Z590" s="180"/>
      <c r="AA590" s="180"/>
      <c r="AB590" s="180"/>
      <c r="AC590" s="180"/>
      <c r="AD590" s="180"/>
      <c r="AE590" s="180"/>
      <c r="AF590" s="180"/>
      <c r="AG590" s="180"/>
      <c r="AH590" s="180"/>
      <c r="AI590" s="180">
        <v>490000</v>
      </c>
      <c r="AJ590" s="181">
        <f t="shared" si="143"/>
        <v>24.5</v>
      </c>
      <c r="AK590" s="180">
        <f t="shared" si="151"/>
        <v>1510000</v>
      </c>
      <c r="AL590" s="181">
        <f t="shared" si="146"/>
        <v>75.5</v>
      </c>
      <c r="AM590" s="243"/>
    </row>
    <row r="591" spans="1:39" ht="24.75" customHeight="1" x14ac:dyDescent="0.25">
      <c r="A591" s="243"/>
      <c r="B591" s="477"/>
      <c r="C591" s="477"/>
      <c r="D591" s="477"/>
      <c r="E591" s="477"/>
      <c r="F591" s="477"/>
      <c r="G591" s="477"/>
      <c r="H591" s="477"/>
      <c r="I591" s="478"/>
      <c r="J591" s="477" t="s">
        <v>282</v>
      </c>
      <c r="K591" s="245"/>
      <c r="L591" s="257"/>
      <c r="M591" s="591" t="s">
        <v>283</v>
      </c>
      <c r="N591" s="592"/>
      <c r="O591" s="179"/>
      <c r="P591" s="180"/>
      <c r="Q591" s="180">
        <v>73857105</v>
      </c>
      <c r="R591" s="181">
        <f t="shared" si="153"/>
        <v>45.598657250271586</v>
      </c>
      <c r="S591" s="181">
        <v>100</v>
      </c>
      <c r="T591" s="180">
        <f t="shared" si="117"/>
        <v>88.339639090917515</v>
      </c>
      <c r="U591" s="180">
        <f t="shared" si="122"/>
        <v>40.281689245194414</v>
      </c>
      <c r="V591" s="182">
        <f t="shared" si="142"/>
        <v>11.660360909082485</v>
      </c>
      <c r="W591" s="180"/>
      <c r="X591" s="180"/>
      <c r="Y591" s="180"/>
      <c r="Z591" s="180"/>
      <c r="AA591" s="180"/>
      <c r="AB591" s="180"/>
      <c r="AC591" s="180"/>
      <c r="AD591" s="180"/>
      <c r="AE591" s="180"/>
      <c r="AF591" s="180"/>
      <c r="AG591" s="180"/>
      <c r="AH591" s="180"/>
      <c r="AI591" s="180">
        <f>52196300+3626000+9422800</f>
        <v>65245100</v>
      </c>
      <c r="AJ591" s="181">
        <f t="shared" si="143"/>
        <v>88.339639090917515</v>
      </c>
      <c r="AK591" s="180">
        <f t="shared" si="151"/>
        <v>8612005</v>
      </c>
      <c r="AL591" s="181">
        <f t="shared" si="146"/>
        <v>11.660360909082478</v>
      </c>
      <c r="AM591" s="243"/>
    </row>
    <row r="592" spans="1:39" ht="24.75" customHeight="1" x14ac:dyDescent="0.25">
      <c r="A592" s="243"/>
      <c r="B592" s="477"/>
      <c r="C592" s="477"/>
      <c r="D592" s="477"/>
      <c r="E592" s="477"/>
      <c r="F592" s="477"/>
      <c r="G592" s="477"/>
      <c r="H592" s="477"/>
      <c r="I592" s="478"/>
      <c r="J592" s="477" t="s">
        <v>320</v>
      </c>
      <c r="K592" s="245"/>
      <c r="L592" s="257"/>
      <c r="M592" s="591" t="s">
        <v>321</v>
      </c>
      <c r="N592" s="592"/>
      <c r="O592" s="179"/>
      <c r="P592" s="180"/>
      <c r="Q592" s="180">
        <v>15750000</v>
      </c>
      <c r="R592" s="181">
        <f t="shared" si="153"/>
        <v>9.7238965931818946</v>
      </c>
      <c r="S592" s="181">
        <v>100</v>
      </c>
      <c r="T592" s="180">
        <f t="shared" si="117"/>
        <v>47.619047619047613</v>
      </c>
      <c r="U592" s="180">
        <f t="shared" si="122"/>
        <v>4.6304269491342351</v>
      </c>
      <c r="V592" s="182">
        <v>100</v>
      </c>
      <c r="W592" s="180"/>
      <c r="X592" s="180"/>
      <c r="Y592" s="180"/>
      <c r="Z592" s="180"/>
      <c r="AA592" s="180"/>
      <c r="AB592" s="180"/>
      <c r="AC592" s="180"/>
      <c r="AD592" s="180"/>
      <c r="AE592" s="180"/>
      <c r="AF592" s="180"/>
      <c r="AG592" s="180"/>
      <c r="AH592" s="180"/>
      <c r="AI592" s="180">
        <v>7500000</v>
      </c>
      <c r="AJ592" s="181">
        <f t="shared" si="143"/>
        <v>47.619047619047613</v>
      </c>
      <c r="AK592" s="180">
        <f t="shared" si="151"/>
        <v>8250000</v>
      </c>
      <c r="AL592" s="181">
        <f t="shared" si="146"/>
        <v>52.380952380952387</v>
      </c>
      <c r="AM592" s="243"/>
    </row>
    <row r="593" spans="1:39" ht="24.75" customHeight="1" x14ac:dyDescent="0.25">
      <c r="A593" s="243"/>
      <c r="B593" s="477"/>
      <c r="C593" s="477"/>
      <c r="D593" s="477"/>
      <c r="E593" s="477"/>
      <c r="F593" s="477"/>
      <c r="G593" s="477"/>
      <c r="H593" s="477"/>
      <c r="I593" s="478"/>
      <c r="J593" s="477" t="s">
        <v>407</v>
      </c>
      <c r="K593" s="245"/>
      <c r="L593" s="257"/>
      <c r="M593" s="591" t="s">
        <v>414</v>
      </c>
      <c r="N593" s="592"/>
      <c r="O593" s="179"/>
      <c r="P593" s="180"/>
      <c r="Q593" s="180">
        <v>5400000</v>
      </c>
      <c r="R593" s="181">
        <f t="shared" si="153"/>
        <v>3.3339074033766494</v>
      </c>
      <c r="S593" s="181">
        <v>100</v>
      </c>
      <c r="T593" s="180">
        <f t="shared" si="117"/>
        <v>7.4074074074074066</v>
      </c>
      <c r="U593" s="180">
        <f t="shared" si="122"/>
        <v>0.24695610395382583</v>
      </c>
      <c r="V593" s="182">
        <v>100</v>
      </c>
      <c r="W593" s="180"/>
      <c r="X593" s="180"/>
      <c r="Y593" s="180"/>
      <c r="Z593" s="180"/>
      <c r="AA593" s="180"/>
      <c r="AB593" s="180"/>
      <c r="AC593" s="180"/>
      <c r="AD593" s="180"/>
      <c r="AE593" s="180"/>
      <c r="AF593" s="180"/>
      <c r="AG593" s="180"/>
      <c r="AH593" s="180"/>
      <c r="AI593" s="180">
        <f>200000+200000</f>
        <v>400000</v>
      </c>
      <c r="AJ593" s="181">
        <f t="shared" si="143"/>
        <v>7.4074074074074066</v>
      </c>
      <c r="AK593" s="180">
        <f t="shared" si="151"/>
        <v>5000000</v>
      </c>
      <c r="AL593" s="181">
        <f t="shared" si="146"/>
        <v>92.592592592592595</v>
      </c>
      <c r="AM593" s="243"/>
    </row>
    <row r="594" spans="1:39" s="297" customFormat="1" ht="24.75" customHeight="1" x14ac:dyDescent="0.25">
      <c r="A594" s="227">
        <f>SUM(A585+1)</f>
        <v>72</v>
      </c>
      <c r="B594" s="482"/>
      <c r="C594" s="482"/>
      <c r="D594" s="482"/>
      <c r="E594" s="482"/>
      <c r="F594" s="482"/>
      <c r="G594" s="482"/>
      <c r="H594" s="482"/>
      <c r="I594" s="481"/>
      <c r="J594" s="304" t="s">
        <v>525</v>
      </c>
      <c r="K594" s="230"/>
      <c r="L594" s="294"/>
      <c r="M594" s="610" t="s">
        <v>205</v>
      </c>
      <c r="N594" s="612"/>
      <c r="O594" s="309"/>
      <c r="P594" s="231"/>
      <c r="Q594" s="231">
        <f>SUM(Q595:Q607)</f>
        <v>420363277</v>
      </c>
      <c r="R594" s="233">
        <f>Q594/Q$248*100</f>
        <v>3.5242182166114522</v>
      </c>
      <c r="S594" s="233">
        <v>100</v>
      </c>
      <c r="T594" s="231">
        <f t="shared" si="117"/>
        <v>34.370747376203369</v>
      </c>
      <c r="U594" s="231">
        <f t="shared" si="122"/>
        <v>1.211300140217662</v>
      </c>
      <c r="V594" s="296">
        <f t="shared" si="142"/>
        <v>65.629252623796631</v>
      </c>
      <c r="W594" s="231"/>
      <c r="X594" s="231"/>
      <c r="Y594" s="231"/>
      <c r="Z594" s="231"/>
      <c r="AA594" s="231"/>
      <c r="AB594" s="231"/>
      <c r="AC594" s="231"/>
      <c r="AD594" s="231"/>
      <c r="AE594" s="231"/>
      <c r="AF594" s="231"/>
      <c r="AG594" s="231"/>
      <c r="AH594" s="231"/>
      <c r="AI594" s="231">
        <f>SUM(AI595:AI607)</f>
        <v>144482000</v>
      </c>
      <c r="AJ594" s="233">
        <f t="shared" si="143"/>
        <v>34.370747376203369</v>
      </c>
      <c r="AK594" s="231">
        <f t="shared" si="151"/>
        <v>275881277</v>
      </c>
      <c r="AL594" s="233">
        <f t="shared" si="146"/>
        <v>65.629252623796631</v>
      </c>
      <c r="AM594" s="227"/>
    </row>
    <row r="595" spans="1:39" ht="24.75" customHeight="1" x14ac:dyDescent="0.25">
      <c r="A595" s="243"/>
      <c r="B595" s="477"/>
      <c r="C595" s="477"/>
      <c r="D595" s="477"/>
      <c r="E595" s="477"/>
      <c r="F595" s="477"/>
      <c r="G595" s="477"/>
      <c r="H595" s="477"/>
      <c r="I595" s="478"/>
      <c r="J595" s="477" t="s">
        <v>259</v>
      </c>
      <c r="K595" s="245"/>
      <c r="L595" s="257"/>
      <c r="M595" s="591" t="s">
        <v>260</v>
      </c>
      <c r="N595" s="592"/>
      <c r="O595" s="179"/>
      <c r="P595" s="180"/>
      <c r="Q595" s="180">
        <v>2400000</v>
      </c>
      <c r="R595" s="181">
        <f t="shared" ref="R595:R607" si="154">Q595/Q$594*100</f>
        <v>0.57093474414036416</v>
      </c>
      <c r="S595" s="181">
        <v>100</v>
      </c>
      <c r="T595" s="180">
        <f t="shared" si="117"/>
        <v>66.666666666666657</v>
      </c>
      <c r="U595" s="180">
        <f t="shared" si="122"/>
        <v>0.38062316276024272</v>
      </c>
      <c r="V595" s="182">
        <f t="shared" si="142"/>
        <v>33.333333333333343</v>
      </c>
      <c r="W595" s="180"/>
      <c r="X595" s="180"/>
      <c r="Y595" s="180"/>
      <c r="Z595" s="180"/>
      <c r="AA595" s="180"/>
      <c r="AB595" s="180"/>
      <c r="AC595" s="180"/>
      <c r="AD595" s="180"/>
      <c r="AE595" s="180"/>
      <c r="AF595" s="180"/>
      <c r="AG595" s="180"/>
      <c r="AH595" s="180"/>
      <c r="AI595" s="180">
        <v>1600000</v>
      </c>
      <c r="AJ595" s="181">
        <f t="shared" si="143"/>
        <v>66.666666666666657</v>
      </c>
      <c r="AK595" s="180">
        <f t="shared" si="151"/>
        <v>800000</v>
      </c>
      <c r="AL595" s="181">
        <f t="shared" si="146"/>
        <v>33.333333333333329</v>
      </c>
      <c r="AM595" s="243"/>
    </row>
    <row r="596" spans="1:39" ht="24.75" customHeight="1" x14ac:dyDescent="0.25">
      <c r="A596" s="243"/>
      <c r="B596" s="477"/>
      <c r="C596" s="477"/>
      <c r="D596" s="477"/>
      <c r="E596" s="477"/>
      <c r="F596" s="477"/>
      <c r="G596" s="477"/>
      <c r="H596" s="477"/>
      <c r="I596" s="478"/>
      <c r="J596" s="477" t="s">
        <v>273</v>
      </c>
      <c r="K596" s="245"/>
      <c r="L596" s="257"/>
      <c r="M596" s="591" t="s">
        <v>322</v>
      </c>
      <c r="N596" s="592"/>
      <c r="O596" s="179"/>
      <c r="P596" s="180"/>
      <c r="Q596" s="180">
        <v>22500000</v>
      </c>
      <c r="R596" s="181">
        <f t="shared" si="154"/>
        <v>5.3525132263159136</v>
      </c>
      <c r="S596" s="181">
        <v>100</v>
      </c>
      <c r="T596" s="180">
        <f t="shared" si="117"/>
        <v>42.666666666666671</v>
      </c>
      <c r="U596" s="180">
        <f t="shared" si="122"/>
        <v>2.2837389765614571</v>
      </c>
      <c r="V596" s="182">
        <f t="shared" si="142"/>
        <v>57.333333333333329</v>
      </c>
      <c r="W596" s="180"/>
      <c r="X596" s="180"/>
      <c r="Y596" s="180"/>
      <c r="Z596" s="180"/>
      <c r="AA596" s="180"/>
      <c r="AB596" s="180"/>
      <c r="AC596" s="180"/>
      <c r="AD596" s="180"/>
      <c r="AE596" s="180"/>
      <c r="AF596" s="180"/>
      <c r="AG596" s="180"/>
      <c r="AH596" s="180"/>
      <c r="AI596" s="180">
        <v>9600000</v>
      </c>
      <c r="AJ596" s="181">
        <f t="shared" si="143"/>
        <v>42.666666666666671</v>
      </c>
      <c r="AK596" s="180">
        <f t="shared" si="151"/>
        <v>12900000</v>
      </c>
      <c r="AL596" s="181">
        <f t="shared" si="146"/>
        <v>57.333333333333336</v>
      </c>
      <c r="AM596" s="243"/>
    </row>
    <row r="597" spans="1:39" ht="24.75" customHeight="1" x14ac:dyDescent="0.25">
      <c r="A597" s="243"/>
      <c r="B597" s="477"/>
      <c r="C597" s="477"/>
      <c r="D597" s="477"/>
      <c r="E597" s="477"/>
      <c r="F597" s="477"/>
      <c r="G597" s="477"/>
      <c r="H597" s="477"/>
      <c r="I597" s="478"/>
      <c r="J597" s="477" t="s">
        <v>326</v>
      </c>
      <c r="K597" s="245"/>
      <c r="L597" s="257"/>
      <c r="M597" s="591" t="s">
        <v>327</v>
      </c>
      <c r="N597" s="592"/>
      <c r="O597" s="179"/>
      <c r="P597" s="180"/>
      <c r="Q597" s="180">
        <v>50250000</v>
      </c>
      <c r="R597" s="181">
        <f t="shared" si="154"/>
        <v>11.953946205438873</v>
      </c>
      <c r="S597" s="181">
        <v>100</v>
      </c>
      <c r="T597" s="180">
        <f t="shared" si="117"/>
        <v>0</v>
      </c>
      <c r="U597" s="180">
        <f t="shared" si="122"/>
        <v>0</v>
      </c>
      <c r="V597" s="182">
        <f t="shared" si="142"/>
        <v>100</v>
      </c>
      <c r="W597" s="180"/>
      <c r="X597" s="180"/>
      <c r="Y597" s="180"/>
      <c r="Z597" s="180"/>
      <c r="AA597" s="180"/>
      <c r="AB597" s="180"/>
      <c r="AC597" s="180"/>
      <c r="AD597" s="180"/>
      <c r="AE597" s="180"/>
      <c r="AF597" s="180"/>
      <c r="AG597" s="180"/>
      <c r="AH597" s="180"/>
      <c r="AI597" s="180">
        <v>0</v>
      </c>
      <c r="AJ597" s="181">
        <f t="shared" si="143"/>
        <v>0</v>
      </c>
      <c r="AK597" s="180">
        <f t="shared" si="151"/>
        <v>50250000</v>
      </c>
      <c r="AL597" s="181">
        <f t="shared" si="146"/>
        <v>100</v>
      </c>
      <c r="AM597" s="243"/>
    </row>
    <row r="598" spans="1:39" ht="24.75" customHeight="1" x14ac:dyDescent="0.25">
      <c r="A598" s="243"/>
      <c r="B598" s="477"/>
      <c r="C598" s="477"/>
      <c r="D598" s="477"/>
      <c r="E598" s="477"/>
      <c r="F598" s="477"/>
      <c r="G598" s="477"/>
      <c r="H598" s="477"/>
      <c r="I598" s="478"/>
      <c r="J598" s="477" t="s">
        <v>323</v>
      </c>
      <c r="K598" s="245"/>
      <c r="L598" s="257"/>
      <c r="M598" s="591" t="s">
        <v>324</v>
      </c>
      <c r="N598" s="592"/>
      <c r="O598" s="179"/>
      <c r="P598" s="180"/>
      <c r="Q598" s="180">
        <v>18165000</v>
      </c>
      <c r="R598" s="181">
        <f t="shared" si="154"/>
        <v>4.3212623447123812</v>
      </c>
      <c r="S598" s="181">
        <v>100</v>
      </c>
      <c r="T598" s="180">
        <f t="shared" si="117"/>
        <v>36.729975227085056</v>
      </c>
      <c r="U598" s="180">
        <f t="shared" si="122"/>
        <v>1.5871985887102125</v>
      </c>
      <c r="V598" s="182">
        <f t="shared" si="142"/>
        <v>63.270024772914944</v>
      </c>
      <c r="W598" s="180"/>
      <c r="X598" s="180"/>
      <c r="Y598" s="180"/>
      <c r="Z598" s="180"/>
      <c r="AA598" s="180"/>
      <c r="AB598" s="180"/>
      <c r="AC598" s="180"/>
      <c r="AD598" s="180"/>
      <c r="AE598" s="180"/>
      <c r="AF598" s="180"/>
      <c r="AG598" s="180"/>
      <c r="AH598" s="180"/>
      <c r="AI598" s="180">
        <v>6672000</v>
      </c>
      <c r="AJ598" s="181">
        <f t="shared" si="143"/>
        <v>36.729975227085056</v>
      </c>
      <c r="AK598" s="180">
        <f t="shared" si="151"/>
        <v>11493000</v>
      </c>
      <c r="AL598" s="181">
        <f t="shared" si="146"/>
        <v>63.270024772914944</v>
      </c>
      <c r="AM598" s="243"/>
    </row>
    <row r="599" spans="1:39" ht="24.75" customHeight="1" x14ac:dyDescent="0.25">
      <c r="A599" s="243"/>
      <c r="B599" s="477"/>
      <c r="C599" s="477"/>
      <c r="D599" s="477"/>
      <c r="E599" s="477"/>
      <c r="F599" s="477"/>
      <c r="G599" s="477"/>
      <c r="H599" s="477"/>
      <c r="I599" s="478"/>
      <c r="J599" s="477" t="s">
        <v>269</v>
      </c>
      <c r="K599" s="245"/>
      <c r="L599" s="257"/>
      <c r="M599" s="591" t="s">
        <v>270</v>
      </c>
      <c r="N599" s="592"/>
      <c r="O599" s="179"/>
      <c r="P599" s="180"/>
      <c r="Q599" s="180">
        <v>7500000</v>
      </c>
      <c r="R599" s="181">
        <f t="shared" si="154"/>
        <v>1.7841710754386377</v>
      </c>
      <c r="S599" s="181">
        <v>100</v>
      </c>
      <c r="T599" s="180">
        <f t="shared" si="117"/>
        <v>0</v>
      </c>
      <c r="U599" s="180">
        <f t="shared" si="122"/>
        <v>0</v>
      </c>
      <c r="V599" s="182">
        <f t="shared" si="142"/>
        <v>100</v>
      </c>
      <c r="W599" s="180"/>
      <c r="X599" s="180"/>
      <c r="Y599" s="180"/>
      <c r="Z599" s="180"/>
      <c r="AA599" s="180"/>
      <c r="AB599" s="180"/>
      <c r="AC599" s="180"/>
      <c r="AD599" s="180"/>
      <c r="AE599" s="180"/>
      <c r="AF599" s="180"/>
      <c r="AG599" s="180"/>
      <c r="AH599" s="180"/>
      <c r="AI599" s="180">
        <v>0</v>
      </c>
      <c r="AJ599" s="181">
        <f t="shared" si="143"/>
        <v>0</v>
      </c>
      <c r="AK599" s="180">
        <f t="shared" si="151"/>
        <v>7500000</v>
      </c>
      <c r="AL599" s="181">
        <f t="shared" si="146"/>
        <v>100</v>
      </c>
      <c r="AM599" s="243"/>
    </row>
    <row r="600" spans="1:39" ht="24.75" customHeight="1" x14ac:dyDescent="0.25">
      <c r="A600" s="243"/>
      <c r="B600" s="477"/>
      <c r="C600" s="477"/>
      <c r="D600" s="477"/>
      <c r="E600" s="477"/>
      <c r="F600" s="477"/>
      <c r="G600" s="477"/>
      <c r="H600" s="477"/>
      <c r="I600" s="478"/>
      <c r="J600" s="477" t="s">
        <v>315</v>
      </c>
      <c r="K600" s="245"/>
      <c r="L600" s="257"/>
      <c r="M600" s="591" t="s">
        <v>271</v>
      </c>
      <c r="N600" s="592"/>
      <c r="O600" s="179"/>
      <c r="P600" s="180"/>
      <c r="Q600" s="180">
        <v>9928277</v>
      </c>
      <c r="R600" s="181">
        <f t="shared" si="154"/>
        <v>2.361832620312359</v>
      </c>
      <c r="S600" s="181">
        <v>100</v>
      </c>
      <c r="T600" s="180">
        <f t="shared" si="117"/>
        <v>20.144482270186458</v>
      </c>
      <c r="U600" s="180">
        <f t="shared" si="122"/>
        <v>0.47577895345030341</v>
      </c>
      <c r="V600" s="182">
        <f t="shared" si="142"/>
        <v>79.855517729813542</v>
      </c>
      <c r="W600" s="180"/>
      <c r="X600" s="180"/>
      <c r="Y600" s="180"/>
      <c r="Z600" s="180"/>
      <c r="AA600" s="180"/>
      <c r="AB600" s="180"/>
      <c r="AC600" s="180"/>
      <c r="AD600" s="180"/>
      <c r="AE600" s="180"/>
      <c r="AF600" s="180"/>
      <c r="AG600" s="180"/>
      <c r="AH600" s="180"/>
      <c r="AI600" s="180">
        <v>2000000</v>
      </c>
      <c r="AJ600" s="181">
        <f t="shared" si="143"/>
        <v>20.144482270186458</v>
      </c>
      <c r="AK600" s="180">
        <f t="shared" si="151"/>
        <v>7928277</v>
      </c>
      <c r="AL600" s="181">
        <f t="shared" si="146"/>
        <v>79.855517729813542</v>
      </c>
      <c r="AM600" s="243"/>
    </row>
    <row r="601" spans="1:39" ht="24.75" customHeight="1" x14ac:dyDescent="0.25">
      <c r="A601" s="243"/>
      <c r="B601" s="477"/>
      <c r="C601" s="477"/>
      <c r="D601" s="477"/>
      <c r="E601" s="477"/>
      <c r="F601" s="477"/>
      <c r="G601" s="477"/>
      <c r="H601" s="477"/>
      <c r="I601" s="478"/>
      <c r="J601" s="477" t="s">
        <v>328</v>
      </c>
      <c r="K601" s="245"/>
      <c r="L601" s="257"/>
      <c r="M601" s="591" t="s">
        <v>329</v>
      </c>
      <c r="N601" s="592"/>
      <c r="O601" s="179"/>
      <c r="P601" s="180"/>
      <c r="Q601" s="180">
        <v>149600000</v>
      </c>
      <c r="R601" s="181">
        <f t="shared" si="154"/>
        <v>35.588265718082695</v>
      </c>
      <c r="S601" s="181">
        <v>100</v>
      </c>
      <c r="T601" s="180">
        <f t="shared" si="117"/>
        <v>28.877005347593581</v>
      </c>
      <c r="U601" s="180">
        <f t="shared" si="122"/>
        <v>10.276825394526554</v>
      </c>
      <c r="V601" s="182">
        <f t="shared" si="142"/>
        <v>71.122994652406419</v>
      </c>
      <c r="W601" s="180"/>
      <c r="X601" s="180"/>
      <c r="Y601" s="180"/>
      <c r="Z601" s="180"/>
      <c r="AA601" s="180"/>
      <c r="AB601" s="180"/>
      <c r="AC601" s="180"/>
      <c r="AD601" s="180"/>
      <c r="AE601" s="180"/>
      <c r="AF601" s="180"/>
      <c r="AG601" s="180"/>
      <c r="AH601" s="180"/>
      <c r="AI601" s="180">
        <v>43200000</v>
      </c>
      <c r="AJ601" s="181">
        <f t="shared" si="143"/>
        <v>28.877005347593581</v>
      </c>
      <c r="AK601" s="180">
        <f t="shared" si="151"/>
        <v>106400000</v>
      </c>
      <c r="AL601" s="181">
        <f t="shared" si="146"/>
        <v>71.122994652406419</v>
      </c>
      <c r="AM601" s="243"/>
    </row>
    <row r="602" spans="1:39" ht="24.75" customHeight="1" x14ac:dyDescent="0.25">
      <c r="A602" s="243"/>
      <c r="B602" s="477"/>
      <c r="C602" s="477"/>
      <c r="D602" s="477"/>
      <c r="E602" s="477"/>
      <c r="F602" s="477"/>
      <c r="G602" s="477"/>
      <c r="H602" s="477"/>
      <c r="I602" s="478"/>
      <c r="J602" s="477" t="s">
        <v>280</v>
      </c>
      <c r="K602" s="245"/>
      <c r="L602" s="257"/>
      <c r="M602" s="591" t="s">
        <v>281</v>
      </c>
      <c r="N602" s="592"/>
      <c r="O602" s="179"/>
      <c r="P602" s="180"/>
      <c r="Q602" s="180">
        <v>22500000</v>
      </c>
      <c r="R602" s="181">
        <f t="shared" si="154"/>
        <v>5.3525132263159136</v>
      </c>
      <c r="S602" s="181">
        <v>100</v>
      </c>
      <c r="T602" s="180">
        <f t="shared" si="117"/>
        <v>49.555555555555557</v>
      </c>
      <c r="U602" s="180">
        <f t="shared" si="122"/>
        <v>2.652467665485442</v>
      </c>
      <c r="V602" s="182">
        <f t="shared" si="142"/>
        <v>50.444444444444443</v>
      </c>
      <c r="W602" s="180"/>
      <c r="X602" s="180"/>
      <c r="Y602" s="180"/>
      <c r="Z602" s="180"/>
      <c r="AA602" s="180"/>
      <c r="AB602" s="180"/>
      <c r="AC602" s="180"/>
      <c r="AD602" s="180"/>
      <c r="AE602" s="180"/>
      <c r="AF602" s="180"/>
      <c r="AG602" s="180"/>
      <c r="AH602" s="180"/>
      <c r="AI602" s="180">
        <v>11150000</v>
      </c>
      <c r="AJ602" s="181">
        <f t="shared" si="143"/>
        <v>49.555555555555557</v>
      </c>
      <c r="AK602" s="180">
        <f t="shared" si="151"/>
        <v>11350000</v>
      </c>
      <c r="AL602" s="181">
        <f t="shared" si="146"/>
        <v>50.44444444444445</v>
      </c>
      <c r="AM602" s="243"/>
    </row>
    <row r="603" spans="1:39" ht="24.75" customHeight="1" x14ac:dyDescent="0.25">
      <c r="A603" s="243"/>
      <c r="B603" s="477"/>
      <c r="C603" s="477"/>
      <c r="D603" s="477"/>
      <c r="E603" s="477"/>
      <c r="F603" s="477"/>
      <c r="G603" s="477"/>
      <c r="H603" s="477"/>
      <c r="I603" s="478"/>
      <c r="J603" s="477" t="s">
        <v>284</v>
      </c>
      <c r="K603" s="245"/>
      <c r="L603" s="257"/>
      <c r="M603" s="591" t="s">
        <v>285</v>
      </c>
      <c r="N603" s="592"/>
      <c r="O603" s="179"/>
      <c r="P603" s="180"/>
      <c r="Q603" s="180">
        <v>22520000</v>
      </c>
      <c r="R603" s="181">
        <f t="shared" si="154"/>
        <v>5.357271015850416</v>
      </c>
      <c r="S603" s="181">
        <v>100</v>
      </c>
      <c r="T603" s="180">
        <f t="shared" si="117"/>
        <v>23.357015985790408</v>
      </c>
      <c r="U603" s="180">
        <f t="shared" si="122"/>
        <v>1.2512986475742978</v>
      </c>
      <c r="V603" s="182">
        <f t="shared" si="142"/>
        <v>76.642984014209588</v>
      </c>
      <c r="W603" s="180"/>
      <c r="X603" s="180"/>
      <c r="Y603" s="180"/>
      <c r="Z603" s="180"/>
      <c r="AA603" s="180"/>
      <c r="AB603" s="180"/>
      <c r="AC603" s="180"/>
      <c r="AD603" s="180"/>
      <c r="AE603" s="180"/>
      <c r="AF603" s="180"/>
      <c r="AG603" s="180"/>
      <c r="AH603" s="180"/>
      <c r="AI603" s="180">
        <v>5260000</v>
      </c>
      <c r="AJ603" s="181">
        <f t="shared" si="143"/>
        <v>23.357015985790408</v>
      </c>
      <c r="AK603" s="180">
        <f t="shared" si="151"/>
        <v>17260000</v>
      </c>
      <c r="AL603" s="181">
        <f t="shared" si="146"/>
        <v>76.642984014209588</v>
      </c>
      <c r="AM603" s="243"/>
    </row>
    <row r="604" spans="1:39" ht="24.75" customHeight="1" x14ac:dyDescent="0.25">
      <c r="A604" s="243"/>
      <c r="B604" s="477"/>
      <c r="C604" s="477"/>
      <c r="D604" s="477"/>
      <c r="E604" s="477"/>
      <c r="F604" s="477"/>
      <c r="G604" s="477"/>
      <c r="H604" s="477"/>
      <c r="I604" s="478"/>
      <c r="J604" s="477" t="s">
        <v>282</v>
      </c>
      <c r="K604" s="245"/>
      <c r="L604" s="257"/>
      <c r="M604" s="591" t="s">
        <v>283</v>
      </c>
      <c r="N604" s="592"/>
      <c r="O604" s="179"/>
      <c r="P604" s="180"/>
      <c r="Q604" s="180">
        <v>19800000</v>
      </c>
      <c r="R604" s="181">
        <f t="shared" si="154"/>
        <v>4.710211639158004</v>
      </c>
      <c r="S604" s="181">
        <v>100</v>
      </c>
      <c r="T604" s="180">
        <f t="shared" si="117"/>
        <v>0</v>
      </c>
      <c r="U604" s="180">
        <f t="shared" si="122"/>
        <v>0</v>
      </c>
      <c r="V604" s="182">
        <f t="shared" si="142"/>
        <v>100</v>
      </c>
      <c r="W604" s="180"/>
      <c r="X604" s="180"/>
      <c r="Y604" s="180"/>
      <c r="Z604" s="180"/>
      <c r="AA604" s="180"/>
      <c r="AB604" s="180"/>
      <c r="AC604" s="180"/>
      <c r="AD604" s="180"/>
      <c r="AE604" s="180"/>
      <c r="AF604" s="180"/>
      <c r="AG604" s="180"/>
      <c r="AH604" s="180"/>
      <c r="AI604" s="180">
        <v>0</v>
      </c>
      <c r="AJ604" s="181">
        <f t="shared" si="143"/>
        <v>0</v>
      </c>
      <c r="AK604" s="180">
        <f t="shared" si="151"/>
        <v>19800000</v>
      </c>
      <c r="AL604" s="181">
        <f t="shared" si="146"/>
        <v>100</v>
      </c>
      <c r="AM604" s="243"/>
    </row>
    <row r="605" spans="1:39" ht="24.75" customHeight="1" x14ac:dyDescent="0.25">
      <c r="A605" s="243"/>
      <c r="B605" s="477"/>
      <c r="C605" s="477"/>
      <c r="D605" s="477"/>
      <c r="E605" s="477"/>
      <c r="F605" s="477"/>
      <c r="G605" s="477"/>
      <c r="H605" s="477"/>
      <c r="I605" s="478"/>
      <c r="J605" s="477" t="s">
        <v>320</v>
      </c>
      <c r="K605" s="245"/>
      <c r="L605" s="257"/>
      <c r="M605" s="591" t="s">
        <v>321</v>
      </c>
      <c r="N605" s="592"/>
      <c r="O605" s="179"/>
      <c r="P605" s="180"/>
      <c r="Q605" s="180">
        <v>10800000</v>
      </c>
      <c r="R605" s="181">
        <f t="shared" si="154"/>
        <v>2.5692063486316385</v>
      </c>
      <c r="S605" s="181">
        <v>100</v>
      </c>
      <c r="T605" s="180">
        <f t="shared" si="117"/>
        <v>100</v>
      </c>
      <c r="U605" s="180">
        <f t="shared" si="122"/>
        <v>2.5692063486316385</v>
      </c>
      <c r="V605" s="182">
        <f t="shared" si="142"/>
        <v>0</v>
      </c>
      <c r="W605" s="180"/>
      <c r="X605" s="180"/>
      <c r="Y605" s="180"/>
      <c r="Z605" s="180"/>
      <c r="AA605" s="180"/>
      <c r="AB605" s="180"/>
      <c r="AC605" s="180"/>
      <c r="AD605" s="180"/>
      <c r="AE605" s="180"/>
      <c r="AF605" s="180"/>
      <c r="AG605" s="180"/>
      <c r="AH605" s="180"/>
      <c r="AI605" s="180">
        <v>10800000</v>
      </c>
      <c r="AJ605" s="181">
        <f t="shared" si="143"/>
        <v>100</v>
      </c>
      <c r="AK605" s="180">
        <f t="shared" si="151"/>
        <v>0</v>
      </c>
      <c r="AL605" s="181">
        <f t="shared" si="146"/>
        <v>0</v>
      </c>
      <c r="AM605" s="243"/>
    </row>
    <row r="606" spans="1:39" ht="24.75" customHeight="1" x14ac:dyDescent="0.25">
      <c r="A606" s="243"/>
      <c r="B606" s="477"/>
      <c r="C606" s="477"/>
      <c r="D606" s="477"/>
      <c r="E606" s="477"/>
      <c r="F606" s="477"/>
      <c r="G606" s="477"/>
      <c r="H606" s="477"/>
      <c r="I606" s="478"/>
      <c r="J606" s="477" t="s">
        <v>309</v>
      </c>
      <c r="K606" s="245"/>
      <c r="L606" s="257"/>
      <c r="M606" s="591" t="s">
        <v>310</v>
      </c>
      <c r="N606" s="592"/>
      <c r="O606" s="179"/>
      <c r="P606" s="180"/>
      <c r="Q606" s="180">
        <v>75000000</v>
      </c>
      <c r="R606" s="181">
        <f t="shared" si="154"/>
        <v>17.841710754386376</v>
      </c>
      <c r="S606" s="181">
        <v>100</v>
      </c>
      <c r="T606" s="180">
        <f t="shared" si="117"/>
        <v>66.666666666666657</v>
      </c>
      <c r="U606" s="180">
        <f t="shared" si="122"/>
        <v>11.894473836257582</v>
      </c>
      <c r="V606" s="182">
        <f t="shared" si="142"/>
        <v>33.333333333333343</v>
      </c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  <c r="AG606" s="180"/>
      <c r="AH606" s="180"/>
      <c r="AI606" s="180">
        <v>50000000</v>
      </c>
      <c r="AJ606" s="181">
        <f t="shared" ref="AJ606:AJ684" si="155">AI606/Q606*100</f>
        <v>66.666666666666657</v>
      </c>
      <c r="AK606" s="180">
        <f t="shared" si="151"/>
        <v>25000000</v>
      </c>
      <c r="AL606" s="181">
        <f t="shared" si="146"/>
        <v>33.333333333333329</v>
      </c>
      <c r="AM606" s="243"/>
    </row>
    <row r="607" spans="1:39" ht="24.75" customHeight="1" x14ac:dyDescent="0.25">
      <c r="A607" s="243"/>
      <c r="B607" s="477"/>
      <c r="C607" s="477"/>
      <c r="D607" s="477"/>
      <c r="E607" s="477"/>
      <c r="F607" s="477"/>
      <c r="G607" s="477"/>
      <c r="H607" s="477"/>
      <c r="I607" s="478"/>
      <c r="J607" s="477" t="s">
        <v>407</v>
      </c>
      <c r="K607" s="245"/>
      <c r="L607" s="257"/>
      <c r="M607" s="591" t="s">
        <v>607</v>
      </c>
      <c r="N607" s="592"/>
      <c r="O607" s="179"/>
      <c r="P607" s="180"/>
      <c r="Q607" s="180">
        <v>9400000</v>
      </c>
      <c r="R607" s="181">
        <f t="shared" si="154"/>
        <v>2.2361610812164261</v>
      </c>
      <c r="S607" s="181">
        <v>100</v>
      </c>
      <c r="T607" s="180">
        <f t="shared" si="117"/>
        <v>44.680851063829785</v>
      </c>
      <c r="U607" s="180">
        <f t="shared" si="122"/>
        <v>0.99913580224563714</v>
      </c>
      <c r="V607" s="182">
        <f t="shared" si="142"/>
        <v>55.319148936170215</v>
      </c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  <c r="AG607" s="180"/>
      <c r="AH607" s="180"/>
      <c r="AI607" s="180">
        <v>4200000</v>
      </c>
      <c r="AJ607" s="181">
        <f t="shared" si="155"/>
        <v>44.680851063829785</v>
      </c>
      <c r="AK607" s="180">
        <f t="shared" si="151"/>
        <v>5200000</v>
      </c>
      <c r="AL607" s="181">
        <f t="shared" si="146"/>
        <v>55.319148936170215</v>
      </c>
      <c r="AM607" s="243"/>
    </row>
    <row r="608" spans="1:39" s="297" customFormat="1" ht="31.5" customHeight="1" x14ac:dyDescent="0.25">
      <c r="A608" s="227">
        <f>SUM(A594+1)</f>
        <v>73</v>
      </c>
      <c r="B608" s="482"/>
      <c r="C608" s="482"/>
      <c r="D608" s="482"/>
      <c r="E608" s="482"/>
      <c r="F608" s="482"/>
      <c r="G608" s="482"/>
      <c r="H608" s="482"/>
      <c r="I608" s="481"/>
      <c r="J608" s="304" t="s">
        <v>526</v>
      </c>
      <c r="K608" s="230"/>
      <c r="L608" s="294"/>
      <c r="M608" s="610" t="s">
        <v>206</v>
      </c>
      <c r="N608" s="612"/>
      <c r="O608" s="309"/>
      <c r="P608" s="231"/>
      <c r="Q608" s="231">
        <f>SUM(Q609:Q617)</f>
        <v>252438140</v>
      </c>
      <c r="R608" s="233">
        <f>Q608/Q$248*100</f>
        <v>2.1163768108019392</v>
      </c>
      <c r="S608" s="233">
        <v>100</v>
      </c>
      <c r="T608" s="231">
        <f t="shared" si="117"/>
        <v>35.119495017670467</v>
      </c>
      <c r="U608" s="231">
        <f t="shared" si="122"/>
        <v>0.74326084862472019</v>
      </c>
      <c r="V608" s="296">
        <f t="shared" si="142"/>
        <v>64.880504982329541</v>
      </c>
      <c r="W608" s="231"/>
      <c r="X608" s="231"/>
      <c r="Y608" s="231"/>
      <c r="Z608" s="231"/>
      <c r="AA608" s="231"/>
      <c r="AB608" s="231"/>
      <c r="AC608" s="231"/>
      <c r="AD608" s="231"/>
      <c r="AE608" s="231"/>
      <c r="AF608" s="231"/>
      <c r="AG608" s="231"/>
      <c r="AH608" s="231"/>
      <c r="AI608" s="231">
        <f>SUM(AI609:AI617)</f>
        <v>88655000</v>
      </c>
      <c r="AJ608" s="233">
        <f t="shared" si="155"/>
        <v>35.119495017670467</v>
      </c>
      <c r="AK608" s="231">
        <f t="shared" si="151"/>
        <v>163783140</v>
      </c>
      <c r="AL608" s="233">
        <f t="shared" si="146"/>
        <v>64.880504982329541</v>
      </c>
      <c r="AM608" s="227"/>
    </row>
    <row r="609" spans="1:39" ht="31.5" customHeight="1" x14ac:dyDescent="0.25">
      <c r="A609" s="243"/>
      <c r="B609" s="477"/>
      <c r="C609" s="477"/>
      <c r="D609" s="477"/>
      <c r="E609" s="477"/>
      <c r="F609" s="477"/>
      <c r="G609" s="477"/>
      <c r="H609" s="477"/>
      <c r="I609" s="478"/>
      <c r="J609" s="477" t="s">
        <v>257</v>
      </c>
      <c r="K609" s="245"/>
      <c r="L609" s="257"/>
      <c r="M609" s="591" t="s">
        <v>260</v>
      </c>
      <c r="N609" s="592"/>
      <c r="O609" s="179"/>
      <c r="P609" s="180"/>
      <c r="Q609" s="180">
        <v>2300000</v>
      </c>
      <c r="R609" s="181">
        <f>Q609/Q$608*100</f>
        <v>0.91111430309223485</v>
      </c>
      <c r="S609" s="181">
        <v>100</v>
      </c>
      <c r="T609" s="180">
        <f t="shared" si="117"/>
        <v>34.782608695652172</v>
      </c>
      <c r="U609" s="180">
        <f t="shared" si="122"/>
        <v>0.31690932281469036</v>
      </c>
      <c r="V609" s="182">
        <f t="shared" si="142"/>
        <v>65.217391304347828</v>
      </c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  <c r="AG609" s="180"/>
      <c r="AH609" s="180"/>
      <c r="AI609" s="180">
        <v>800000</v>
      </c>
      <c r="AJ609" s="181">
        <f t="shared" si="155"/>
        <v>34.782608695652172</v>
      </c>
      <c r="AK609" s="180">
        <f t="shared" si="151"/>
        <v>1500000</v>
      </c>
      <c r="AL609" s="181">
        <f t="shared" si="146"/>
        <v>65.217391304347828</v>
      </c>
      <c r="AM609" s="243"/>
    </row>
    <row r="610" spans="1:39" ht="31.5" customHeight="1" x14ac:dyDescent="0.25">
      <c r="A610" s="243"/>
      <c r="B610" s="477"/>
      <c r="C610" s="477"/>
      <c r="D610" s="477"/>
      <c r="E610" s="477"/>
      <c r="F610" s="477"/>
      <c r="G610" s="477"/>
      <c r="H610" s="477"/>
      <c r="I610" s="478"/>
      <c r="J610" s="477" t="s">
        <v>273</v>
      </c>
      <c r="K610" s="245"/>
      <c r="L610" s="257"/>
      <c r="M610" s="591" t="s">
        <v>322</v>
      </c>
      <c r="N610" s="592"/>
      <c r="O610" s="179"/>
      <c r="P610" s="180"/>
      <c r="Q610" s="180">
        <v>20400000</v>
      </c>
      <c r="R610" s="181">
        <f t="shared" ref="R610:R616" si="156">Q610/Q$608*100</f>
        <v>8.0811877317746035</v>
      </c>
      <c r="S610" s="181">
        <v>100</v>
      </c>
      <c r="T610" s="180">
        <f t="shared" si="117"/>
        <v>21.078431372549019</v>
      </c>
      <c r="U610" s="180">
        <f t="shared" si="122"/>
        <v>1.7033876101289604</v>
      </c>
      <c r="V610" s="182">
        <f t="shared" si="142"/>
        <v>78.921568627450981</v>
      </c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  <c r="AG610" s="180"/>
      <c r="AH610" s="180"/>
      <c r="AI610" s="180">
        <v>4300000</v>
      </c>
      <c r="AJ610" s="181">
        <f t="shared" si="155"/>
        <v>21.078431372549019</v>
      </c>
      <c r="AK610" s="180">
        <f t="shared" si="151"/>
        <v>16100000</v>
      </c>
      <c r="AL610" s="181">
        <f t="shared" si="146"/>
        <v>78.921568627450981</v>
      </c>
      <c r="AM610" s="243"/>
    </row>
    <row r="611" spans="1:39" ht="31.5" customHeight="1" x14ac:dyDescent="0.25">
      <c r="A611" s="243"/>
      <c r="B611" s="477"/>
      <c r="C611" s="477"/>
      <c r="D611" s="477"/>
      <c r="E611" s="477"/>
      <c r="F611" s="477"/>
      <c r="G611" s="477"/>
      <c r="H611" s="477"/>
      <c r="I611" s="478"/>
      <c r="J611" s="477" t="s">
        <v>323</v>
      </c>
      <c r="K611" s="245"/>
      <c r="L611" s="257"/>
      <c r="M611" s="591" t="s">
        <v>324</v>
      </c>
      <c r="N611" s="592"/>
      <c r="O611" s="179"/>
      <c r="P611" s="180"/>
      <c r="Q611" s="180">
        <v>33513000</v>
      </c>
      <c r="R611" s="181">
        <f t="shared" si="156"/>
        <v>13.275727669360899</v>
      </c>
      <c r="S611" s="181">
        <v>100</v>
      </c>
      <c r="T611" s="180">
        <f t="shared" si="117"/>
        <v>35.792080685107273</v>
      </c>
      <c r="U611" s="180">
        <f t="shared" si="122"/>
        <v>4.7516591589527648</v>
      </c>
      <c r="V611" s="182">
        <f t="shared" si="142"/>
        <v>64.207919314892735</v>
      </c>
      <c r="W611" s="180"/>
      <c r="X611" s="180"/>
      <c r="Y611" s="180"/>
      <c r="Z611" s="180"/>
      <c r="AA611" s="180"/>
      <c r="AB611" s="180"/>
      <c r="AC611" s="180"/>
      <c r="AD611" s="180"/>
      <c r="AE611" s="180"/>
      <c r="AF611" s="180"/>
      <c r="AG611" s="180"/>
      <c r="AH611" s="180"/>
      <c r="AI611" s="180">
        <f>4204000+7791000</f>
        <v>11995000</v>
      </c>
      <c r="AJ611" s="181">
        <f t="shared" si="155"/>
        <v>35.792080685107273</v>
      </c>
      <c r="AK611" s="180">
        <f t="shared" si="151"/>
        <v>21518000</v>
      </c>
      <c r="AL611" s="181">
        <f t="shared" si="146"/>
        <v>64.20791931489272</v>
      </c>
      <c r="AM611" s="243"/>
    </row>
    <row r="612" spans="1:39" ht="31.5" customHeight="1" x14ac:dyDescent="0.25">
      <c r="A612" s="243"/>
      <c r="B612" s="477"/>
      <c r="C612" s="477"/>
      <c r="D612" s="477"/>
      <c r="E612" s="477"/>
      <c r="F612" s="477"/>
      <c r="G612" s="477"/>
      <c r="H612" s="477"/>
      <c r="I612" s="478"/>
      <c r="J612" s="477" t="s">
        <v>269</v>
      </c>
      <c r="K612" s="245"/>
      <c r="L612" s="257"/>
      <c r="M612" s="591" t="s">
        <v>270</v>
      </c>
      <c r="N612" s="592"/>
      <c r="O612" s="179"/>
      <c r="P612" s="180"/>
      <c r="Q612" s="180">
        <v>24000000</v>
      </c>
      <c r="R612" s="181">
        <f t="shared" si="156"/>
        <v>9.5072796844407108</v>
      </c>
      <c r="S612" s="181">
        <v>100</v>
      </c>
      <c r="T612" s="180">
        <f t="shared" si="117"/>
        <v>29.166666666666668</v>
      </c>
      <c r="U612" s="180">
        <f t="shared" si="122"/>
        <v>2.7729565746285409</v>
      </c>
      <c r="V612" s="182">
        <f t="shared" si="142"/>
        <v>70.833333333333329</v>
      </c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  <c r="AG612" s="180"/>
      <c r="AH612" s="180"/>
      <c r="AI612" s="180">
        <v>7000000</v>
      </c>
      <c r="AJ612" s="181">
        <f t="shared" si="155"/>
        <v>29.166666666666668</v>
      </c>
      <c r="AK612" s="180">
        <f t="shared" si="151"/>
        <v>17000000</v>
      </c>
      <c r="AL612" s="181">
        <f t="shared" si="146"/>
        <v>70.833333333333343</v>
      </c>
      <c r="AM612" s="243"/>
    </row>
    <row r="613" spans="1:39" ht="31.5" customHeight="1" x14ac:dyDescent="0.25">
      <c r="A613" s="243"/>
      <c r="B613" s="477"/>
      <c r="C613" s="477"/>
      <c r="D613" s="477"/>
      <c r="E613" s="477"/>
      <c r="F613" s="477"/>
      <c r="G613" s="477"/>
      <c r="H613" s="477"/>
      <c r="I613" s="478"/>
      <c r="J613" s="477" t="s">
        <v>315</v>
      </c>
      <c r="K613" s="245"/>
      <c r="L613" s="257"/>
      <c r="M613" s="591" t="s">
        <v>271</v>
      </c>
      <c r="N613" s="592"/>
      <c r="O613" s="179"/>
      <c r="P613" s="180"/>
      <c r="Q613" s="180">
        <v>1965000</v>
      </c>
      <c r="R613" s="181">
        <f t="shared" si="156"/>
        <v>0.77840852416358319</v>
      </c>
      <c r="S613" s="181">
        <v>100</v>
      </c>
      <c r="T613" s="180">
        <f t="shared" si="117"/>
        <v>38.167938931297712</v>
      </c>
      <c r="U613" s="180">
        <f t="shared" si="122"/>
        <v>0.29710249013877221</v>
      </c>
      <c r="V613" s="182">
        <f t="shared" si="142"/>
        <v>61.832061068702288</v>
      </c>
      <c r="W613" s="180"/>
      <c r="X613" s="180"/>
      <c r="Y613" s="180"/>
      <c r="Z613" s="180"/>
      <c r="AA613" s="180"/>
      <c r="AB613" s="180"/>
      <c r="AC613" s="180"/>
      <c r="AD613" s="180"/>
      <c r="AE613" s="180"/>
      <c r="AF613" s="180"/>
      <c r="AG613" s="180"/>
      <c r="AH613" s="180"/>
      <c r="AI613" s="180">
        <v>750000</v>
      </c>
      <c r="AJ613" s="181">
        <f t="shared" si="155"/>
        <v>38.167938931297712</v>
      </c>
      <c r="AK613" s="180">
        <f t="shared" si="151"/>
        <v>1215000</v>
      </c>
      <c r="AL613" s="181">
        <f t="shared" si="146"/>
        <v>61.832061068702295</v>
      </c>
      <c r="AM613" s="243"/>
    </row>
    <row r="614" spans="1:39" ht="31.5" customHeight="1" x14ac:dyDescent="0.25">
      <c r="A614" s="243"/>
      <c r="B614" s="477"/>
      <c r="C614" s="477"/>
      <c r="D614" s="477"/>
      <c r="E614" s="477"/>
      <c r="F614" s="477"/>
      <c r="G614" s="477"/>
      <c r="H614" s="477"/>
      <c r="I614" s="478"/>
      <c r="J614" s="477" t="s">
        <v>328</v>
      </c>
      <c r="K614" s="245"/>
      <c r="L614" s="257"/>
      <c r="M614" s="591" t="s">
        <v>329</v>
      </c>
      <c r="N614" s="592"/>
      <c r="O614" s="179"/>
      <c r="P614" s="180"/>
      <c r="Q614" s="180">
        <v>107000000</v>
      </c>
      <c r="R614" s="181">
        <f t="shared" si="156"/>
        <v>42.386621926464834</v>
      </c>
      <c r="S614" s="181">
        <v>100</v>
      </c>
      <c r="T614" s="180">
        <f t="shared" si="117"/>
        <v>40</v>
      </c>
      <c r="U614" s="180">
        <f t="shared" si="122"/>
        <v>16.954648770585933</v>
      </c>
      <c r="V614" s="182">
        <f t="shared" si="142"/>
        <v>60</v>
      </c>
      <c r="W614" s="180"/>
      <c r="X614" s="180"/>
      <c r="Y614" s="180"/>
      <c r="Z614" s="180"/>
      <c r="AA614" s="180"/>
      <c r="AB614" s="180"/>
      <c r="AC614" s="180"/>
      <c r="AD614" s="180"/>
      <c r="AE614" s="180"/>
      <c r="AF614" s="180"/>
      <c r="AG614" s="180"/>
      <c r="AH614" s="180"/>
      <c r="AI614" s="180">
        <v>42800000</v>
      </c>
      <c r="AJ614" s="181">
        <f t="shared" si="155"/>
        <v>40</v>
      </c>
      <c r="AK614" s="180">
        <f t="shared" si="151"/>
        <v>64200000</v>
      </c>
      <c r="AL614" s="181">
        <f t="shared" si="146"/>
        <v>60</v>
      </c>
      <c r="AM614" s="243"/>
    </row>
    <row r="615" spans="1:39" ht="31.5" customHeight="1" x14ac:dyDescent="0.25">
      <c r="A615" s="243"/>
      <c r="B615" s="477"/>
      <c r="C615" s="477"/>
      <c r="D615" s="477"/>
      <c r="E615" s="477"/>
      <c r="F615" s="477"/>
      <c r="G615" s="477"/>
      <c r="H615" s="477"/>
      <c r="I615" s="478"/>
      <c r="J615" s="477" t="s">
        <v>339</v>
      </c>
      <c r="K615" s="245"/>
      <c r="L615" s="257"/>
      <c r="M615" s="591" t="s">
        <v>340</v>
      </c>
      <c r="N615" s="592"/>
      <c r="O615" s="179"/>
      <c r="P615" s="180"/>
      <c r="Q615" s="180">
        <v>37200000</v>
      </c>
      <c r="R615" s="181">
        <f t="shared" si="156"/>
        <v>14.736283510883103</v>
      </c>
      <c r="S615" s="181">
        <v>100</v>
      </c>
      <c r="T615" s="180">
        <f t="shared" si="117"/>
        <v>36.693548387096776</v>
      </c>
      <c r="U615" s="180">
        <f t="shared" si="122"/>
        <v>5.4072653205256556</v>
      </c>
      <c r="V615" s="182">
        <f t="shared" si="142"/>
        <v>63.306451612903224</v>
      </c>
      <c r="W615" s="180"/>
      <c r="X615" s="180"/>
      <c r="Y615" s="180"/>
      <c r="Z615" s="180"/>
      <c r="AA615" s="180"/>
      <c r="AB615" s="180"/>
      <c r="AC615" s="180"/>
      <c r="AD615" s="180"/>
      <c r="AE615" s="180"/>
      <c r="AF615" s="180"/>
      <c r="AG615" s="180"/>
      <c r="AH615" s="180"/>
      <c r="AI615" s="180">
        <f>4350000+9300000</f>
        <v>13650000</v>
      </c>
      <c r="AJ615" s="181">
        <f t="shared" si="155"/>
        <v>36.693548387096776</v>
      </c>
      <c r="AK615" s="180">
        <f t="shared" si="151"/>
        <v>23550000</v>
      </c>
      <c r="AL615" s="181">
        <f t="shared" si="146"/>
        <v>63.306451612903224</v>
      </c>
      <c r="AM615" s="243"/>
    </row>
    <row r="616" spans="1:39" ht="31.5" customHeight="1" x14ac:dyDescent="0.25">
      <c r="A616" s="243"/>
      <c r="B616" s="477"/>
      <c r="C616" s="477"/>
      <c r="D616" s="477"/>
      <c r="E616" s="477"/>
      <c r="F616" s="477"/>
      <c r="G616" s="477"/>
      <c r="H616" s="477"/>
      <c r="I616" s="478"/>
      <c r="J616" s="477" t="s">
        <v>284</v>
      </c>
      <c r="K616" s="245"/>
      <c r="L616" s="257"/>
      <c r="M616" s="591" t="s">
        <v>285</v>
      </c>
      <c r="N616" s="592"/>
      <c r="O616" s="179"/>
      <c r="P616" s="180"/>
      <c r="Q616" s="180">
        <v>7560000</v>
      </c>
      <c r="R616" s="181">
        <f t="shared" si="156"/>
        <v>2.994793100598824</v>
      </c>
      <c r="S616" s="181">
        <v>100</v>
      </c>
      <c r="T616" s="180">
        <f t="shared" si="117"/>
        <v>25.132275132275133</v>
      </c>
      <c r="U616" s="180">
        <f t="shared" si="122"/>
        <v>0.75265964168488964</v>
      </c>
      <c r="V616" s="182">
        <f t="shared" si="142"/>
        <v>74.86772486772486</v>
      </c>
      <c r="W616" s="180"/>
      <c r="X616" s="180"/>
      <c r="Y616" s="180"/>
      <c r="Z616" s="180"/>
      <c r="AA616" s="180"/>
      <c r="AB616" s="180"/>
      <c r="AC616" s="180"/>
      <c r="AD616" s="180"/>
      <c r="AE616" s="180"/>
      <c r="AF616" s="180"/>
      <c r="AG616" s="180"/>
      <c r="AH616" s="180"/>
      <c r="AI616" s="180">
        <v>1900000</v>
      </c>
      <c r="AJ616" s="181">
        <f t="shared" si="155"/>
        <v>25.132275132275133</v>
      </c>
      <c r="AK616" s="180">
        <f t="shared" si="151"/>
        <v>5660000</v>
      </c>
      <c r="AL616" s="181">
        <f t="shared" si="146"/>
        <v>74.867724867724874</v>
      </c>
      <c r="AM616" s="243"/>
    </row>
    <row r="617" spans="1:39" ht="31.5" customHeight="1" x14ac:dyDescent="0.25">
      <c r="A617" s="243"/>
      <c r="B617" s="477"/>
      <c r="C617" s="477"/>
      <c r="D617" s="477"/>
      <c r="E617" s="477"/>
      <c r="F617" s="477"/>
      <c r="G617" s="477"/>
      <c r="H617" s="477"/>
      <c r="I617" s="478"/>
      <c r="J617" s="477" t="s">
        <v>282</v>
      </c>
      <c r="K617" s="245"/>
      <c r="L617" s="257"/>
      <c r="M617" s="591" t="s">
        <v>283</v>
      </c>
      <c r="N617" s="592"/>
      <c r="O617" s="179"/>
      <c r="P617" s="180"/>
      <c r="Q617" s="180">
        <v>18500140</v>
      </c>
      <c r="R617" s="181">
        <f>Q617/Q$608*100</f>
        <v>7.3285835492212072</v>
      </c>
      <c r="S617" s="181">
        <v>100</v>
      </c>
      <c r="T617" s="180">
        <f t="shared" si="117"/>
        <v>29.51329016969601</v>
      </c>
      <c r="U617" s="180">
        <f t="shared" si="122"/>
        <v>2.1629061282102615</v>
      </c>
      <c r="V617" s="182">
        <f t="shared" si="142"/>
        <v>70.486709830303994</v>
      </c>
      <c r="W617" s="180"/>
      <c r="X617" s="180"/>
      <c r="Y617" s="180"/>
      <c r="Z617" s="180"/>
      <c r="AA617" s="180"/>
      <c r="AB617" s="180"/>
      <c r="AC617" s="180"/>
      <c r="AD617" s="180"/>
      <c r="AE617" s="180"/>
      <c r="AF617" s="180"/>
      <c r="AG617" s="180"/>
      <c r="AH617" s="180"/>
      <c r="AI617" s="180">
        <v>5460000</v>
      </c>
      <c r="AJ617" s="181">
        <f t="shared" si="155"/>
        <v>29.51329016969601</v>
      </c>
      <c r="AK617" s="180">
        <f t="shared" si="151"/>
        <v>13040140</v>
      </c>
      <c r="AL617" s="181">
        <f t="shared" ref="AL617:AL687" si="157">AK617/Q617*100</f>
        <v>70.48670983030398</v>
      </c>
      <c r="AM617" s="243"/>
    </row>
    <row r="618" spans="1:39" s="297" customFormat="1" ht="28.5" customHeight="1" x14ac:dyDescent="0.25">
      <c r="A618" s="227">
        <f>SUM(A608+1)</f>
        <v>74</v>
      </c>
      <c r="B618" s="482"/>
      <c r="C618" s="482"/>
      <c r="D618" s="482"/>
      <c r="E618" s="482"/>
      <c r="F618" s="482"/>
      <c r="G618" s="482"/>
      <c r="H618" s="482"/>
      <c r="I618" s="481"/>
      <c r="J618" s="304" t="s">
        <v>527</v>
      </c>
      <c r="K618" s="230"/>
      <c r="L618" s="294"/>
      <c r="M618" s="609" t="s">
        <v>207</v>
      </c>
      <c r="N618" s="614"/>
      <c r="O618" s="309"/>
      <c r="P618" s="231"/>
      <c r="Q618" s="231">
        <f>SUM(Q619:Q626)</f>
        <v>195716927</v>
      </c>
      <c r="R618" s="233">
        <f>Q618/Q$608*100</f>
        <v>77.530648498677735</v>
      </c>
      <c r="S618" s="233">
        <v>100</v>
      </c>
      <c r="T618" s="231">
        <f t="shared" si="117"/>
        <v>17.5983756376882</v>
      </c>
      <c r="U618" s="231">
        <f t="shared" si="122"/>
        <v>13.644134757132974</v>
      </c>
      <c r="V618" s="296">
        <f t="shared" si="142"/>
        <v>82.401624362311793</v>
      </c>
      <c r="W618" s="231"/>
      <c r="X618" s="231"/>
      <c r="Y618" s="231"/>
      <c r="Z618" s="231"/>
      <c r="AA618" s="231"/>
      <c r="AB618" s="231"/>
      <c r="AC618" s="231"/>
      <c r="AD618" s="231"/>
      <c r="AE618" s="231"/>
      <c r="AF618" s="231"/>
      <c r="AG618" s="231"/>
      <c r="AH618" s="231"/>
      <c r="AI618" s="231">
        <f>SUM(AI619:AI626)</f>
        <v>34443000</v>
      </c>
      <c r="AJ618" s="233">
        <f t="shared" si="155"/>
        <v>17.5983756376882</v>
      </c>
      <c r="AK618" s="231">
        <f t="shared" si="151"/>
        <v>161273927</v>
      </c>
      <c r="AL618" s="233">
        <f t="shared" si="157"/>
        <v>82.401624362311793</v>
      </c>
      <c r="AM618" s="227"/>
    </row>
    <row r="619" spans="1:39" ht="28.5" customHeight="1" x14ac:dyDescent="0.25">
      <c r="A619" s="243"/>
      <c r="B619" s="477"/>
      <c r="C619" s="477"/>
      <c r="D619" s="477"/>
      <c r="E619" s="477"/>
      <c r="F619" s="477"/>
      <c r="G619" s="477"/>
      <c r="H619" s="477"/>
      <c r="I619" s="478"/>
      <c r="J619" s="477" t="s">
        <v>273</v>
      </c>
      <c r="K619" s="245"/>
      <c r="L619" s="257"/>
      <c r="M619" s="591" t="s">
        <v>322</v>
      </c>
      <c r="N619" s="592"/>
      <c r="O619" s="179"/>
      <c r="P619" s="180"/>
      <c r="Q619" s="180">
        <v>25200000</v>
      </c>
      <c r="R619" s="181">
        <f t="shared" ref="R619:R626" si="158">Q619/Q$618*100</f>
        <v>12.875738642677545</v>
      </c>
      <c r="S619" s="181">
        <v>100</v>
      </c>
      <c r="T619" s="180">
        <f t="shared" si="117"/>
        <v>0</v>
      </c>
      <c r="U619" s="180">
        <f t="shared" si="122"/>
        <v>0</v>
      </c>
      <c r="V619" s="182">
        <f t="shared" si="142"/>
        <v>100</v>
      </c>
      <c r="W619" s="180"/>
      <c r="X619" s="180"/>
      <c r="Y619" s="180"/>
      <c r="Z619" s="180"/>
      <c r="AA619" s="180"/>
      <c r="AB619" s="180"/>
      <c r="AC619" s="180"/>
      <c r="AD619" s="180"/>
      <c r="AE619" s="180"/>
      <c r="AF619" s="180"/>
      <c r="AG619" s="180"/>
      <c r="AH619" s="180"/>
      <c r="AI619" s="180">
        <v>0</v>
      </c>
      <c r="AJ619" s="181">
        <f t="shared" si="155"/>
        <v>0</v>
      </c>
      <c r="AK619" s="180">
        <f t="shared" si="151"/>
        <v>25200000</v>
      </c>
      <c r="AL619" s="181">
        <f t="shared" si="157"/>
        <v>100</v>
      </c>
      <c r="AM619" s="243"/>
    </row>
    <row r="620" spans="1:39" ht="28.5" customHeight="1" x14ac:dyDescent="0.25">
      <c r="A620" s="243"/>
      <c r="B620" s="477"/>
      <c r="C620" s="477"/>
      <c r="D620" s="477"/>
      <c r="E620" s="477"/>
      <c r="F620" s="477"/>
      <c r="G620" s="477"/>
      <c r="H620" s="477"/>
      <c r="I620" s="478"/>
      <c r="J620" s="477" t="s">
        <v>323</v>
      </c>
      <c r="K620" s="245"/>
      <c r="L620" s="257"/>
      <c r="M620" s="591" t="s">
        <v>324</v>
      </c>
      <c r="N620" s="592"/>
      <c r="O620" s="179"/>
      <c r="P620" s="180"/>
      <c r="Q620" s="180">
        <v>33468000</v>
      </c>
      <c r="R620" s="181">
        <f t="shared" si="158"/>
        <v>17.100207178298891</v>
      </c>
      <c r="S620" s="181">
        <v>100</v>
      </c>
      <c r="T620" s="180">
        <f t="shared" si="117"/>
        <v>49.130512728576555</v>
      </c>
      <c r="U620" s="180">
        <f t="shared" si="122"/>
        <v>8.4014194643470983</v>
      </c>
      <c r="V620" s="182">
        <f t="shared" si="142"/>
        <v>50.869487271423445</v>
      </c>
      <c r="W620" s="180"/>
      <c r="X620" s="180"/>
      <c r="Y620" s="180"/>
      <c r="Z620" s="180"/>
      <c r="AA620" s="180"/>
      <c r="AB620" s="180"/>
      <c r="AC620" s="180"/>
      <c r="AD620" s="180"/>
      <c r="AE620" s="180"/>
      <c r="AF620" s="180"/>
      <c r="AG620" s="180"/>
      <c r="AH620" s="180"/>
      <c r="AI620" s="180">
        <f>3744000+7887000+4812000</f>
        <v>16443000</v>
      </c>
      <c r="AJ620" s="181">
        <f t="shared" si="155"/>
        <v>49.130512728576555</v>
      </c>
      <c r="AK620" s="180">
        <f t="shared" si="151"/>
        <v>17025000</v>
      </c>
      <c r="AL620" s="181">
        <f t="shared" si="157"/>
        <v>50.869487271423452</v>
      </c>
      <c r="AM620" s="243"/>
    </row>
    <row r="621" spans="1:39" ht="28.5" customHeight="1" x14ac:dyDescent="0.25">
      <c r="A621" s="243"/>
      <c r="B621" s="477"/>
      <c r="C621" s="477"/>
      <c r="D621" s="477"/>
      <c r="E621" s="477"/>
      <c r="F621" s="477"/>
      <c r="G621" s="477"/>
      <c r="H621" s="477"/>
      <c r="I621" s="478"/>
      <c r="J621" s="477" t="s">
        <v>269</v>
      </c>
      <c r="K621" s="245"/>
      <c r="L621" s="257"/>
      <c r="M621" s="591" t="s">
        <v>270</v>
      </c>
      <c r="N621" s="592"/>
      <c r="O621" s="179"/>
      <c r="P621" s="180"/>
      <c r="Q621" s="180">
        <v>5400000</v>
      </c>
      <c r="R621" s="181">
        <f t="shared" si="158"/>
        <v>2.7590868520023308</v>
      </c>
      <c r="S621" s="181">
        <v>100</v>
      </c>
      <c r="T621" s="180">
        <f t="shared" si="117"/>
        <v>0</v>
      </c>
      <c r="U621" s="180">
        <f t="shared" si="122"/>
        <v>0</v>
      </c>
      <c r="V621" s="182">
        <f t="shared" si="142"/>
        <v>100</v>
      </c>
      <c r="W621" s="180"/>
      <c r="X621" s="180"/>
      <c r="Y621" s="180"/>
      <c r="Z621" s="180"/>
      <c r="AA621" s="180"/>
      <c r="AB621" s="180"/>
      <c r="AC621" s="180"/>
      <c r="AD621" s="180"/>
      <c r="AE621" s="180"/>
      <c r="AF621" s="180"/>
      <c r="AG621" s="180"/>
      <c r="AH621" s="180"/>
      <c r="AI621" s="180">
        <v>0</v>
      </c>
      <c r="AJ621" s="181">
        <f t="shared" si="155"/>
        <v>0</v>
      </c>
      <c r="AK621" s="180">
        <f t="shared" si="151"/>
        <v>5400000</v>
      </c>
      <c r="AL621" s="181">
        <f t="shared" si="157"/>
        <v>100</v>
      </c>
      <c r="AM621" s="243"/>
    </row>
    <row r="622" spans="1:39" ht="28.5" customHeight="1" x14ac:dyDescent="0.25">
      <c r="A622" s="243"/>
      <c r="B622" s="477"/>
      <c r="C622" s="477"/>
      <c r="D622" s="477"/>
      <c r="E622" s="477"/>
      <c r="F622" s="477"/>
      <c r="G622" s="477"/>
      <c r="H622" s="477"/>
      <c r="I622" s="478"/>
      <c r="J622" s="477" t="s">
        <v>315</v>
      </c>
      <c r="K622" s="245"/>
      <c r="L622" s="257"/>
      <c r="M622" s="591" t="s">
        <v>271</v>
      </c>
      <c r="N622" s="592"/>
      <c r="O622" s="179"/>
      <c r="P622" s="180"/>
      <c r="Q622" s="180">
        <v>9600000</v>
      </c>
      <c r="R622" s="181">
        <f t="shared" si="158"/>
        <v>4.9050432924485881</v>
      </c>
      <c r="S622" s="181">
        <v>100</v>
      </c>
      <c r="T622" s="180">
        <f t="shared" si="117"/>
        <v>43.75</v>
      </c>
      <c r="U622" s="180">
        <f t="shared" si="122"/>
        <v>2.1459564404462572</v>
      </c>
      <c r="V622" s="182">
        <f t="shared" si="142"/>
        <v>56.25</v>
      </c>
      <c r="W622" s="180"/>
      <c r="X622" s="180"/>
      <c r="Y622" s="180"/>
      <c r="Z622" s="180"/>
      <c r="AA622" s="180"/>
      <c r="AB622" s="180"/>
      <c r="AC622" s="180"/>
      <c r="AD622" s="180"/>
      <c r="AE622" s="180"/>
      <c r="AF622" s="180"/>
      <c r="AG622" s="180"/>
      <c r="AH622" s="180"/>
      <c r="AI622" s="180">
        <f>900000+1700000+1600000</f>
        <v>4200000</v>
      </c>
      <c r="AJ622" s="181">
        <f t="shared" si="155"/>
        <v>43.75</v>
      </c>
      <c r="AK622" s="180">
        <f t="shared" si="151"/>
        <v>5400000</v>
      </c>
      <c r="AL622" s="181">
        <f t="shared" si="157"/>
        <v>56.25</v>
      </c>
      <c r="AM622" s="243"/>
    </row>
    <row r="623" spans="1:39" ht="28.5" customHeight="1" x14ac:dyDescent="0.25">
      <c r="A623" s="243"/>
      <c r="B623" s="477"/>
      <c r="C623" s="477"/>
      <c r="D623" s="477"/>
      <c r="E623" s="477"/>
      <c r="F623" s="477"/>
      <c r="G623" s="477"/>
      <c r="H623" s="477"/>
      <c r="I623" s="478"/>
      <c r="J623" s="477" t="s">
        <v>280</v>
      </c>
      <c r="K623" s="245"/>
      <c r="L623" s="257"/>
      <c r="M623" s="591" t="s">
        <v>281</v>
      </c>
      <c r="N623" s="592"/>
      <c r="O623" s="179"/>
      <c r="P623" s="180"/>
      <c r="Q623" s="180">
        <v>48000000</v>
      </c>
      <c r="R623" s="181">
        <f t="shared" si="158"/>
        <v>24.525216462242941</v>
      </c>
      <c r="S623" s="181">
        <v>100</v>
      </c>
      <c r="T623" s="180">
        <f t="shared" si="117"/>
        <v>27.083333333333332</v>
      </c>
      <c r="U623" s="180">
        <f t="shared" si="122"/>
        <v>6.6422461251907965</v>
      </c>
      <c r="V623" s="182">
        <f t="shared" si="142"/>
        <v>72.916666666666671</v>
      </c>
      <c r="W623" s="180"/>
      <c r="X623" s="180"/>
      <c r="Y623" s="180"/>
      <c r="Z623" s="180"/>
      <c r="AA623" s="180"/>
      <c r="AB623" s="180"/>
      <c r="AC623" s="180"/>
      <c r="AD623" s="180"/>
      <c r="AE623" s="180"/>
      <c r="AF623" s="180"/>
      <c r="AG623" s="180"/>
      <c r="AH623" s="180"/>
      <c r="AI623" s="180">
        <f>2600000+7800000+2600000</f>
        <v>13000000</v>
      </c>
      <c r="AJ623" s="181">
        <f t="shared" si="155"/>
        <v>27.083333333333332</v>
      </c>
      <c r="AK623" s="180">
        <f t="shared" si="151"/>
        <v>35000000</v>
      </c>
      <c r="AL623" s="181">
        <f t="shared" si="157"/>
        <v>72.916666666666657</v>
      </c>
      <c r="AM623" s="243"/>
    </row>
    <row r="624" spans="1:39" ht="28.5" customHeight="1" x14ac:dyDescent="0.25">
      <c r="A624" s="243"/>
      <c r="B624" s="477"/>
      <c r="C624" s="477"/>
      <c r="D624" s="477"/>
      <c r="E624" s="477"/>
      <c r="F624" s="477"/>
      <c r="G624" s="477"/>
      <c r="H624" s="477"/>
      <c r="I624" s="478"/>
      <c r="J624" s="477" t="s">
        <v>284</v>
      </c>
      <c r="K624" s="245"/>
      <c r="L624" s="257"/>
      <c r="M624" s="591" t="s">
        <v>285</v>
      </c>
      <c r="N624" s="592"/>
      <c r="O624" s="179"/>
      <c r="P624" s="180"/>
      <c r="Q624" s="180">
        <v>4658927</v>
      </c>
      <c r="R624" s="181">
        <f t="shared" si="158"/>
        <v>2.3804415240997527</v>
      </c>
      <c r="S624" s="181">
        <v>100</v>
      </c>
      <c r="T624" s="180">
        <f t="shared" si="117"/>
        <v>17.171335803286894</v>
      </c>
      <c r="U624" s="180">
        <f t="shared" si="122"/>
        <v>0.408753607704049</v>
      </c>
      <c r="V624" s="182">
        <f t="shared" si="142"/>
        <v>82.828664196713106</v>
      </c>
      <c r="W624" s="180"/>
      <c r="X624" s="180"/>
      <c r="Y624" s="180"/>
      <c r="Z624" s="180"/>
      <c r="AA624" s="180"/>
      <c r="AB624" s="180"/>
      <c r="AC624" s="180"/>
      <c r="AD624" s="180"/>
      <c r="AE624" s="180"/>
      <c r="AF624" s="180"/>
      <c r="AG624" s="180"/>
      <c r="AH624" s="180"/>
      <c r="AI624" s="180">
        <v>800000</v>
      </c>
      <c r="AJ624" s="181">
        <f t="shared" si="155"/>
        <v>17.171335803286894</v>
      </c>
      <c r="AK624" s="180">
        <f t="shared" si="151"/>
        <v>3858927</v>
      </c>
      <c r="AL624" s="181">
        <f t="shared" si="157"/>
        <v>82.828664196713106</v>
      </c>
      <c r="AM624" s="243"/>
    </row>
    <row r="625" spans="1:39" ht="28.5" customHeight="1" x14ac:dyDescent="0.25">
      <c r="A625" s="243"/>
      <c r="B625" s="477"/>
      <c r="C625" s="477"/>
      <c r="D625" s="477"/>
      <c r="E625" s="477"/>
      <c r="F625" s="477"/>
      <c r="G625" s="477"/>
      <c r="H625" s="477"/>
      <c r="I625" s="478"/>
      <c r="J625" s="477" t="s">
        <v>282</v>
      </c>
      <c r="K625" s="245"/>
      <c r="L625" s="257"/>
      <c r="M625" s="591" t="s">
        <v>283</v>
      </c>
      <c r="N625" s="592"/>
      <c r="O625" s="179"/>
      <c r="P625" s="180"/>
      <c r="Q625" s="180">
        <v>59790000</v>
      </c>
      <c r="R625" s="181">
        <f t="shared" si="158"/>
        <v>30.549222755781365</v>
      </c>
      <c r="S625" s="181">
        <v>100</v>
      </c>
      <c r="T625" s="180">
        <f t="shared" si="117"/>
        <v>0</v>
      </c>
      <c r="U625" s="180">
        <f t="shared" si="122"/>
        <v>0</v>
      </c>
      <c r="V625" s="182">
        <f t="shared" si="142"/>
        <v>100</v>
      </c>
      <c r="W625" s="180"/>
      <c r="X625" s="180"/>
      <c r="Y625" s="180"/>
      <c r="Z625" s="180"/>
      <c r="AA625" s="180"/>
      <c r="AB625" s="180"/>
      <c r="AC625" s="180"/>
      <c r="AD625" s="180"/>
      <c r="AE625" s="180"/>
      <c r="AF625" s="180"/>
      <c r="AG625" s="180"/>
      <c r="AH625" s="180"/>
      <c r="AI625" s="180">
        <v>0</v>
      </c>
      <c r="AJ625" s="181">
        <f t="shared" si="155"/>
        <v>0</v>
      </c>
      <c r="AK625" s="180">
        <f t="shared" si="151"/>
        <v>59790000</v>
      </c>
      <c r="AL625" s="181">
        <f t="shared" si="157"/>
        <v>100</v>
      </c>
      <c r="AM625" s="243"/>
    </row>
    <row r="626" spans="1:39" ht="28.5" customHeight="1" x14ac:dyDescent="0.25">
      <c r="A626" s="243"/>
      <c r="B626" s="477"/>
      <c r="C626" s="477"/>
      <c r="D626" s="477"/>
      <c r="E626" s="477"/>
      <c r="F626" s="477"/>
      <c r="G626" s="477"/>
      <c r="H626" s="477"/>
      <c r="I626" s="478"/>
      <c r="J626" s="477" t="s">
        <v>551</v>
      </c>
      <c r="K626" s="245"/>
      <c r="L626" s="257"/>
      <c r="M626" s="591" t="s">
        <v>550</v>
      </c>
      <c r="N626" s="592"/>
      <c r="O626" s="179"/>
      <c r="P626" s="180"/>
      <c r="Q626" s="180">
        <v>9600000</v>
      </c>
      <c r="R626" s="181">
        <f t="shared" si="158"/>
        <v>4.9050432924485881</v>
      </c>
      <c r="S626" s="181">
        <v>100</v>
      </c>
      <c r="T626" s="180">
        <f t="shared" ref="T626:T679" si="159">AJ626</f>
        <v>0</v>
      </c>
      <c r="U626" s="180">
        <f t="shared" si="122"/>
        <v>0</v>
      </c>
      <c r="V626" s="182">
        <f t="shared" si="142"/>
        <v>100</v>
      </c>
      <c r="W626" s="180"/>
      <c r="X626" s="180"/>
      <c r="Y626" s="180"/>
      <c r="Z626" s="180"/>
      <c r="AA626" s="180"/>
      <c r="AB626" s="180"/>
      <c r="AC626" s="180"/>
      <c r="AD626" s="180"/>
      <c r="AE626" s="180"/>
      <c r="AF626" s="180"/>
      <c r="AG626" s="180"/>
      <c r="AH626" s="180"/>
      <c r="AI626" s="180">
        <v>0</v>
      </c>
      <c r="AJ626" s="181">
        <f t="shared" si="155"/>
        <v>0</v>
      </c>
      <c r="AK626" s="180">
        <f t="shared" si="151"/>
        <v>9600000</v>
      </c>
      <c r="AL626" s="181">
        <f t="shared" si="157"/>
        <v>100</v>
      </c>
      <c r="AM626" s="243"/>
    </row>
    <row r="627" spans="1:39" s="297" customFormat="1" ht="24.75" customHeight="1" x14ac:dyDescent="0.25">
      <c r="A627" s="227">
        <f>SUM(A618+1)</f>
        <v>75</v>
      </c>
      <c r="B627" s="482"/>
      <c r="C627" s="482"/>
      <c r="D627" s="482"/>
      <c r="E627" s="482"/>
      <c r="F627" s="482"/>
      <c r="G627" s="482"/>
      <c r="H627" s="482"/>
      <c r="I627" s="481"/>
      <c r="J627" s="304" t="s">
        <v>528</v>
      </c>
      <c r="K627" s="230"/>
      <c r="L627" s="294"/>
      <c r="M627" s="613" t="s">
        <v>208</v>
      </c>
      <c r="N627" s="612"/>
      <c r="O627" s="309"/>
      <c r="P627" s="231"/>
      <c r="Q627" s="231">
        <f>SUM(Q628:Q636)</f>
        <v>148625471</v>
      </c>
      <c r="R627" s="233">
        <f>Q627/Q$248*100</f>
        <v>1.2460379414890164</v>
      </c>
      <c r="S627" s="233">
        <v>100</v>
      </c>
      <c r="T627" s="231">
        <f t="shared" si="159"/>
        <v>87.481640344137247</v>
      </c>
      <c r="U627" s="231">
        <f t="shared" si="122"/>
        <v>1.0900544305249127</v>
      </c>
      <c r="V627" s="296">
        <f t="shared" si="142"/>
        <v>12.518359655862753</v>
      </c>
      <c r="W627" s="231"/>
      <c r="X627" s="231"/>
      <c r="Y627" s="231"/>
      <c r="Z627" s="231"/>
      <c r="AA627" s="231"/>
      <c r="AB627" s="231"/>
      <c r="AC627" s="231"/>
      <c r="AD627" s="231"/>
      <c r="AE627" s="231"/>
      <c r="AF627" s="231"/>
      <c r="AG627" s="231"/>
      <c r="AH627" s="231"/>
      <c r="AI627" s="231">
        <f>SUM(AI628:AI636)</f>
        <v>130020000</v>
      </c>
      <c r="AJ627" s="233">
        <f t="shared" si="155"/>
        <v>87.481640344137247</v>
      </c>
      <c r="AK627" s="231">
        <f t="shared" si="151"/>
        <v>18605471</v>
      </c>
      <c r="AL627" s="233">
        <f t="shared" si="157"/>
        <v>12.518359655862756</v>
      </c>
      <c r="AM627" s="227"/>
    </row>
    <row r="628" spans="1:39" ht="24.75" customHeight="1" x14ac:dyDescent="0.25">
      <c r="A628" s="243"/>
      <c r="B628" s="477"/>
      <c r="C628" s="477"/>
      <c r="D628" s="477"/>
      <c r="E628" s="477"/>
      <c r="F628" s="477"/>
      <c r="G628" s="477"/>
      <c r="H628" s="477"/>
      <c r="I628" s="478"/>
      <c r="J628" s="477" t="s">
        <v>257</v>
      </c>
      <c r="K628" s="245"/>
      <c r="L628" s="257"/>
      <c r="M628" s="604" t="s">
        <v>260</v>
      </c>
      <c r="N628" s="592"/>
      <c r="O628" s="179"/>
      <c r="P628" s="180"/>
      <c r="Q628" s="180">
        <v>800000</v>
      </c>
      <c r="R628" s="181">
        <f>Q628/Q$627*100</f>
        <v>0.53826574584917553</v>
      </c>
      <c r="S628" s="181">
        <v>100</v>
      </c>
      <c r="T628" s="180">
        <f t="shared" si="159"/>
        <v>100</v>
      </c>
      <c r="U628" s="180">
        <f t="shared" si="122"/>
        <v>0.53826574584917553</v>
      </c>
      <c r="V628" s="182">
        <f t="shared" si="142"/>
        <v>0</v>
      </c>
      <c r="W628" s="180"/>
      <c r="X628" s="180"/>
      <c r="Y628" s="180"/>
      <c r="Z628" s="180"/>
      <c r="AA628" s="180"/>
      <c r="AB628" s="180"/>
      <c r="AC628" s="180"/>
      <c r="AD628" s="180"/>
      <c r="AE628" s="180"/>
      <c r="AF628" s="180"/>
      <c r="AG628" s="180"/>
      <c r="AH628" s="180"/>
      <c r="AI628" s="180">
        <v>800000</v>
      </c>
      <c r="AJ628" s="181">
        <f t="shared" si="155"/>
        <v>100</v>
      </c>
      <c r="AK628" s="180">
        <f t="shared" si="151"/>
        <v>0</v>
      </c>
      <c r="AL628" s="181">
        <f t="shared" si="157"/>
        <v>0</v>
      </c>
      <c r="AM628" s="243"/>
    </row>
    <row r="629" spans="1:39" ht="24.75" customHeight="1" x14ac:dyDescent="0.25">
      <c r="A629" s="243"/>
      <c r="B629" s="477"/>
      <c r="C629" s="477"/>
      <c r="D629" s="477"/>
      <c r="E629" s="477"/>
      <c r="F629" s="477"/>
      <c r="G629" s="477"/>
      <c r="H629" s="477"/>
      <c r="I629" s="478"/>
      <c r="J629" s="477" t="s">
        <v>315</v>
      </c>
      <c r="K629" s="245"/>
      <c r="L629" s="257"/>
      <c r="M629" s="604" t="s">
        <v>271</v>
      </c>
      <c r="N629" s="592"/>
      <c r="O629" s="179"/>
      <c r="P629" s="180"/>
      <c r="Q629" s="180">
        <v>10500000</v>
      </c>
      <c r="R629" s="181">
        <f>Q629/Q$627*100</f>
        <v>7.0647379142704274</v>
      </c>
      <c r="S629" s="181">
        <v>100</v>
      </c>
      <c r="T629" s="180">
        <f t="shared" si="159"/>
        <v>28.571428571428569</v>
      </c>
      <c r="U629" s="180">
        <f t="shared" si="122"/>
        <v>2.0184965469344074</v>
      </c>
      <c r="V629" s="182">
        <f t="shared" si="142"/>
        <v>71.428571428571431</v>
      </c>
      <c r="W629" s="180"/>
      <c r="X629" s="180"/>
      <c r="Y629" s="180"/>
      <c r="Z629" s="180"/>
      <c r="AA629" s="180"/>
      <c r="AB629" s="180"/>
      <c r="AC629" s="180"/>
      <c r="AD629" s="180"/>
      <c r="AE629" s="180"/>
      <c r="AF629" s="180"/>
      <c r="AG629" s="180"/>
      <c r="AH629" s="180"/>
      <c r="AI629" s="180">
        <v>3000000</v>
      </c>
      <c r="AJ629" s="181">
        <f t="shared" si="155"/>
        <v>28.571428571428569</v>
      </c>
      <c r="AK629" s="180">
        <f t="shared" si="151"/>
        <v>7500000</v>
      </c>
      <c r="AL629" s="181">
        <f t="shared" si="157"/>
        <v>71.428571428571431</v>
      </c>
      <c r="AM629" s="243"/>
    </row>
    <row r="630" spans="1:39" ht="24.75" customHeight="1" x14ac:dyDescent="0.25">
      <c r="A630" s="243"/>
      <c r="B630" s="477"/>
      <c r="C630" s="477"/>
      <c r="D630" s="477"/>
      <c r="E630" s="477"/>
      <c r="F630" s="477"/>
      <c r="G630" s="477"/>
      <c r="H630" s="477"/>
      <c r="I630" s="478"/>
      <c r="J630" s="477" t="s">
        <v>316</v>
      </c>
      <c r="K630" s="245"/>
      <c r="L630" s="257"/>
      <c r="M630" s="604" t="s">
        <v>317</v>
      </c>
      <c r="N630" s="592"/>
      <c r="O630" s="179"/>
      <c r="P630" s="180"/>
      <c r="Q630" s="180">
        <v>500000</v>
      </c>
      <c r="R630" s="181">
        <f t="shared" ref="R630:R636" si="160">Q630/Q$627*100</f>
        <v>0.33641609115573468</v>
      </c>
      <c r="S630" s="181">
        <v>100</v>
      </c>
      <c r="T630" s="180">
        <f t="shared" si="159"/>
        <v>100</v>
      </c>
      <c r="U630" s="180">
        <f t="shared" si="122"/>
        <v>0.33641609115573468</v>
      </c>
      <c r="V630" s="182">
        <f t="shared" si="142"/>
        <v>0</v>
      </c>
      <c r="W630" s="180"/>
      <c r="X630" s="180"/>
      <c r="Y630" s="180"/>
      <c r="Z630" s="180"/>
      <c r="AA630" s="180"/>
      <c r="AB630" s="180"/>
      <c r="AC630" s="180"/>
      <c r="AD630" s="180"/>
      <c r="AE630" s="180"/>
      <c r="AF630" s="180"/>
      <c r="AG630" s="180"/>
      <c r="AH630" s="180"/>
      <c r="AI630" s="180">
        <v>500000</v>
      </c>
      <c r="AJ630" s="181">
        <f t="shared" si="155"/>
        <v>100</v>
      </c>
      <c r="AK630" s="180">
        <f t="shared" si="151"/>
        <v>0</v>
      </c>
      <c r="AL630" s="181">
        <f t="shared" si="157"/>
        <v>0</v>
      </c>
      <c r="AM630" s="243"/>
    </row>
    <row r="631" spans="1:39" ht="24.75" customHeight="1" x14ac:dyDescent="0.25">
      <c r="A631" s="243"/>
      <c r="B631" s="477"/>
      <c r="C631" s="477"/>
      <c r="D631" s="477"/>
      <c r="E631" s="477"/>
      <c r="F631" s="477"/>
      <c r="G631" s="477"/>
      <c r="H631" s="477"/>
      <c r="I631" s="478"/>
      <c r="J631" s="477" t="s">
        <v>328</v>
      </c>
      <c r="K631" s="245"/>
      <c r="L631" s="257"/>
      <c r="M631" s="604" t="s">
        <v>319</v>
      </c>
      <c r="N631" s="592"/>
      <c r="O631" s="179"/>
      <c r="P631" s="180"/>
      <c r="Q631" s="180">
        <v>65000000</v>
      </c>
      <c r="R631" s="181">
        <f t="shared" si="160"/>
        <v>43.734091850245512</v>
      </c>
      <c r="S631" s="181">
        <v>100</v>
      </c>
      <c r="T631" s="180">
        <f t="shared" si="159"/>
        <v>100</v>
      </c>
      <c r="U631" s="180">
        <f t="shared" si="122"/>
        <v>43.734091850245512</v>
      </c>
      <c r="V631" s="182">
        <f t="shared" si="142"/>
        <v>0</v>
      </c>
      <c r="W631" s="180"/>
      <c r="X631" s="180"/>
      <c r="Y631" s="180"/>
      <c r="Z631" s="180"/>
      <c r="AA631" s="180"/>
      <c r="AB631" s="180"/>
      <c r="AC631" s="180"/>
      <c r="AD631" s="180"/>
      <c r="AE631" s="180"/>
      <c r="AF631" s="180"/>
      <c r="AG631" s="180"/>
      <c r="AH631" s="180"/>
      <c r="AI631" s="180">
        <v>65000000</v>
      </c>
      <c r="AJ631" s="181">
        <f t="shared" si="155"/>
        <v>100</v>
      </c>
      <c r="AK631" s="180">
        <f t="shared" si="151"/>
        <v>0</v>
      </c>
      <c r="AL631" s="181">
        <f t="shared" si="157"/>
        <v>0</v>
      </c>
      <c r="AM631" s="243"/>
    </row>
    <row r="632" spans="1:39" ht="24.75" customHeight="1" x14ac:dyDescent="0.25">
      <c r="A632" s="243"/>
      <c r="B632" s="477"/>
      <c r="C632" s="477"/>
      <c r="D632" s="477"/>
      <c r="E632" s="477"/>
      <c r="F632" s="477"/>
      <c r="G632" s="477"/>
      <c r="H632" s="477"/>
      <c r="I632" s="478"/>
      <c r="J632" s="477" t="s">
        <v>284</v>
      </c>
      <c r="K632" s="245"/>
      <c r="L632" s="257"/>
      <c r="M632" s="604" t="s">
        <v>285</v>
      </c>
      <c r="N632" s="592"/>
      <c r="O632" s="179"/>
      <c r="P632" s="180"/>
      <c r="Q632" s="180">
        <v>10000000</v>
      </c>
      <c r="R632" s="181">
        <f t="shared" si="160"/>
        <v>6.728321823114694</v>
      </c>
      <c r="S632" s="181">
        <v>100</v>
      </c>
      <c r="T632" s="180">
        <f t="shared" si="159"/>
        <v>29.7</v>
      </c>
      <c r="U632" s="180">
        <f t="shared" si="122"/>
        <v>1.998311581465064</v>
      </c>
      <c r="V632" s="182">
        <f t="shared" si="142"/>
        <v>70.3</v>
      </c>
      <c r="W632" s="180"/>
      <c r="X632" s="180"/>
      <c r="Y632" s="180"/>
      <c r="Z632" s="180"/>
      <c r="AA632" s="180"/>
      <c r="AB632" s="180"/>
      <c r="AC632" s="180"/>
      <c r="AD632" s="180"/>
      <c r="AE632" s="180"/>
      <c r="AF632" s="180"/>
      <c r="AG632" s="180"/>
      <c r="AH632" s="180"/>
      <c r="AI632" s="180">
        <v>2970000</v>
      </c>
      <c r="AJ632" s="181">
        <f t="shared" si="155"/>
        <v>29.7</v>
      </c>
      <c r="AK632" s="180">
        <f t="shared" si="151"/>
        <v>7030000</v>
      </c>
      <c r="AL632" s="181">
        <f t="shared" si="157"/>
        <v>70.3</v>
      </c>
      <c r="AM632" s="243"/>
    </row>
    <row r="633" spans="1:39" ht="24.75" customHeight="1" x14ac:dyDescent="0.25">
      <c r="A633" s="243"/>
      <c r="B633" s="477"/>
      <c r="C633" s="477"/>
      <c r="D633" s="477"/>
      <c r="E633" s="477"/>
      <c r="F633" s="477"/>
      <c r="G633" s="477"/>
      <c r="H633" s="477"/>
      <c r="I633" s="478"/>
      <c r="J633" s="477" t="s">
        <v>282</v>
      </c>
      <c r="K633" s="245"/>
      <c r="L633" s="257"/>
      <c r="M633" s="604" t="s">
        <v>283</v>
      </c>
      <c r="N633" s="592"/>
      <c r="O633" s="179"/>
      <c r="P633" s="180"/>
      <c r="Q633" s="180">
        <v>34125471</v>
      </c>
      <c r="R633" s="181">
        <f t="shared" si="160"/>
        <v>22.960715125336762</v>
      </c>
      <c r="S633" s="181">
        <v>100</v>
      </c>
      <c r="T633" s="180">
        <f t="shared" si="159"/>
        <v>99.485806364401526</v>
      </c>
      <c r="U633" s="180">
        <f t="shared" si="122"/>
        <v>22.842652589474383</v>
      </c>
      <c r="V633" s="182">
        <f t="shared" si="142"/>
        <v>0.51419363559847397</v>
      </c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  <c r="AG633" s="180"/>
      <c r="AH633" s="180"/>
      <c r="AI633" s="180">
        <v>33950000</v>
      </c>
      <c r="AJ633" s="181">
        <f t="shared" si="155"/>
        <v>99.485806364401526</v>
      </c>
      <c r="AK633" s="180">
        <f t="shared" si="151"/>
        <v>175471</v>
      </c>
      <c r="AL633" s="181">
        <f t="shared" si="157"/>
        <v>0.51419363559846543</v>
      </c>
      <c r="AM633" s="243"/>
    </row>
    <row r="634" spans="1:39" ht="24.75" customHeight="1" x14ac:dyDescent="0.25">
      <c r="A634" s="243"/>
      <c r="B634" s="477"/>
      <c r="C634" s="477"/>
      <c r="D634" s="477"/>
      <c r="E634" s="477"/>
      <c r="F634" s="477"/>
      <c r="G634" s="477"/>
      <c r="H634" s="477"/>
      <c r="I634" s="478"/>
      <c r="J634" s="477" t="s">
        <v>320</v>
      </c>
      <c r="K634" s="245"/>
      <c r="L634" s="257"/>
      <c r="M634" s="604" t="s">
        <v>321</v>
      </c>
      <c r="N634" s="592"/>
      <c r="O634" s="179"/>
      <c r="P634" s="180"/>
      <c r="Q634" s="180">
        <v>9800000</v>
      </c>
      <c r="R634" s="181">
        <f t="shared" si="160"/>
        <v>6.5937553866524006</v>
      </c>
      <c r="S634" s="181">
        <v>100</v>
      </c>
      <c r="T634" s="180">
        <f t="shared" si="159"/>
        <v>84.693877551020407</v>
      </c>
      <c r="U634" s="180">
        <f t="shared" si="122"/>
        <v>5.5845071131851967</v>
      </c>
      <c r="V634" s="182">
        <f t="shared" si="142"/>
        <v>15.306122448979593</v>
      </c>
      <c r="W634" s="180"/>
      <c r="X634" s="180"/>
      <c r="Y634" s="180"/>
      <c r="Z634" s="180"/>
      <c r="AA634" s="180"/>
      <c r="AB634" s="180"/>
      <c r="AC634" s="180"/>
      <c r="AD634" s="180"/>
      <c r="AE634" s="180"/>
      <c r="AF634" s="180"/>
      <c r="AG634" s="180"/>
      <c r="AH634" s="180"/>
      <c r="AI634" s="180">
        <v>8300000</v>
      </c>
      <c r="AJ634" s="181">
        <f t="shared" si="155"/>
        <v>84.693877551020407</v>
      </c>
      <c r="AK634" s="180">
        <f t="shared" si="151"/>
        <v>1500000</v>
      </c>
      <c r="AL634" s="181">
        <f t="shared" si="157"/>
        <v>15.306122448979592</v>
      </c>
      <c r="AM634" s="243"/>
    </row>
    <row r="635" spans="1:39" ht="24.75" customHeight="1" x14ac:dyDescent="0.25">
      <c r="A635" s="243"/>
      <c r="B635" s="477"/>
      <c r="C635" s="477"/>
      <c r="D635" s="477"/>
      <c r="E635" s="477"/>
      <c r="F635" s="477"/>
      <c r="G635" s="477"/>
      <c r="H635" s="477"/>
      <c r="I635" s="478"/>
      <c r="J635" s="477" t="s">
        <v>407</v>
      </c>
      <c r="K635" s="245"/>
      <c r="L635" s="257"/>
      <c r="M635" s="604" t="s">
        <v>623</v>
      </c>
      <c r="N635" s="592"/>
      <c r="O635" s="179"/>
      <c r="P635" s="180"/>
      <c r="Q635" s="180">
        <v>2900000</v>
      </c>
      <c r="R635" s="181">
        <f t="shared" si="160"/>
        <v>1.9512133287032611</v>
      </c>
      <c r="S635" s="181">
        <v>100</v>
      </c>
      <c r="T635" s="180">
        <f t="shared" si="159"/>
        <v>84.482758620689651</v>
      </c>
      <c r="U635" s="180">
        <f t="shared" si="122"/>
        <v>1.6484388466630997</v>
      </c>
      <c r="V635" s="182">
        <f t="shared" si="142"/>
        <v>15.517241379310349</v>
      </c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  <c r="AG635" s="180"/>
      <c r="AH635" s="180"/>
      <c r="AI635" s="180">
        <v>2450000</v>
      </c>
      <c r="AJ635" s="181">
        <f t="shared" si="155"/>
        <v>84.482758620689651</v>
      </c>
      <c r="AK635" s="180">
        <f t="shared" si="151"/>
        <v>450000</v>
      </c>
      <c r="AL635" s="181">
        <f t="shared" si="157"/>
        <v>15.517241379310345</v>
      </c>
      <c r="AM635" s="243"/>
    </row>
    <row r="636" spans="1:39" ht="24.75" customHeight="1" x14ac:dyDescent="0.25">
      <c r="A636" s="243"/>
      <c r="B636" s="477"/>
      <c r="C636" s="477"/>
      <c r="D636" s="477"/>
      <c r="E636" s="477"/>
      <c r="F636" s="477"/>
      <c r="G636" s="477"/>
      <c r="H636" s="477"/>
      <c r="I636" s="478"/>
      <c r="J636" s="477" t="s">
        <v>372</v>
      </c>
      <c r="K636" s="245"/>
      <c r="L636" s="257"/>
      <c r="M636" s="604" t="s">
        <v>373</v>
      </c>
      <c r="N636" s="592"/>
      <c r="O636" s="179"/>
      <c r="P636" s="180"/>
      <c r="Q636" s="180">
        <v>15000000</v>
      </c>
      <c r="R636" s="181">
        <f t="shared" si="160"/>
        <v>10.092482734672039</v>
      </c>
      <c r="S636" s="181">
        <v>100</v>
      </c>
      <c r="T636" s="180">
        <f t="shared" si="159"/>
        <v>87</v>
      </c>
      <c r="U636" s="180">
        <f t="shared" si="122"/>
        <v>8.7804599791646734</v>
      </c>
      <c r="V636" s="182">
        <v>100</v>
      </c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  <c r="AG636" s="180"/>
      <c r="AH636" s="180"/>
      <c r="AI636" s="180">
        <v>13050000</v>
      </c>
      <c r="AJ636" s="181">
        <f t="shared" si="155"/>
        <v>87</v>
      </c>
      <c r="AK636" s="180">
        <f t="shared" ref="AK636:AK687" si="161">Q636-AI636</f>
        <v>1950000</v>
      </c>
      <c r="AL636" s="181">
        <f t="shared" si="157"/>
        <v>13</v>
      </c>
      <c r="AM636" s="243"/>
    </row>
    <row r="637" spans="1:39" s="297" customFormat="1" ht="31.5" customHeight="1" x14ac:dyDescent="0.25">
      <c r="A637" s="227">
        <f>SUM(A627+1)</f>
        <v>76</v>
      </c>
      <c r="B637" s="482"/>
      <c r="C637" s="482"/>
      <c r="D637" s="482"/>
      <c r="E637" s="482"/>
      <c r="F637" s="482"/>
      <c r="G637" s="482"/>
      <c r="H637" s="482"/>
      <c r="I637" s="481"/>
      <c r="J637" s="304" t="s">
        <v>529</v>
      </c>
      <c r="K637" s="230"/>
      <c r="L637" s="294"/>
      <c r="M637" s="610" t="s">
        <v>209</v>
      </c>
      <c r="N637" s="612"/>
      <c r="O637" s="309"/>
      <c r="P637" s="231"/>
      <c r="Q637" s="231">
        <f>SUM(Q638:Q643)</f>
        <v>60110918</v>
      </c>
      <c r="R637" s="233">
        <f>Q637/Q$248*100</f>
        <v>0.50395456459636756</v>
      </c>
      <c r="S637" s="233">
        <v>100</v>
      </c>
      <c r="T637" s="231">
        <f t="shared" si="159"/>
        <v>24.953869445148051</v>
      </c>
      <c r="U637" s="231">
        <f t="shared" si="122"/>
        <v>0.12575616411224186</v>
      </c>
      <c r="V637" s="296">
        <f t="shared" si="142"/>
        <v>75.046130554851942</v>
      </c>
      <c r="W637" s="231"/>
      <c r="X637" s="231"/>
      <c r="Y637" s="231"/>
      <c r="Z637" s="231"/>
      <c r="AA637" s="231"/>
      <c r="AB637" s="231"/>
      <c r="AC637" s="231"/>
      <c r="AD637" s="231"/>
      <c r="AE637" s="231"/>
      <c r="AF637" s="231"/>
      <c r="AG637" s="231"/>
      <c r="AH637" s="231"/>
      <c r="AI637" s="231">
        <f>SUM(AI638:AI643)</f>
        <v>15000000</v>
      </c>
      <c r="AJ637" s="233">
        <f t="shared" si="155"/>
        <v>24.953869445148051</v>
      </c>
      <c r="AK637" s="231">
        <f t="shared" si="161"/>
        <v>45110918</v>
      </c>
      <c r="AL637" s="233">
        <f t="shared" si="157"/>
        <v>75.046130554851956</v>
      </c>
      <c r="AM637" s="227"/>
    </row>
    <row r="638" spans="1:39" ht="24.75" customHeight="1" x14ac:dyDescent="0.25">
      <c r="A638" s="243"/>
      <c r="B638" s="477"/>
      <c r="C638" s="477"/>
      <c r="D638" s="477"/>
      <c r="E638" s="477"/>
      <c r="F638" s="477"/>
      <c r="G638" s="477"/>
      <c r="H638" s="477"/>
      <c r="I638" s="478"/>
      <c r="J638" s="477" t="s">
        <v>347</v>
      </c>
      <c r="K638" s="245"/>
      <c r="L638" s="257"/>
      <c r="M638" s="591" t="s">
        <v>348</v>
      </c>
      <c r="N638" s="592"/>
      <c r="O638" s="179"/>
      <c r="P638" s="180"/>
      <c r="Q638" s="180">
        <v>13900000</v>
      </c>
      <c r="R638" s="181">
        <f t="shared" ref="R638:R643" si="162">Q638/Q$637*100</f>
        <v>23.123919019170529</v>
      </c>
      <c r="S638" s="181">
        <v>100</v>
      </c>
      <c r="T638" s="180">
        <f t="shared" si="159"/>
        <v>0</v>
      </c>
      <c r="U638" s="180">
        <f t="shared" si="122"/>
        <v>0</v>
      </c>
      <c r="V638" s="182">
        <f t="shared" si="142"/>
        <v>100</v>
      </c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  <c r="AG638" s="180"/>
      <c r="AH638" s="180"/>
      <c r="AI638" s="180">
        <v>0</v>
      </c>
      <c r="AJ638" s="181">
        <f t="shared" si="155"/>
        <v>0</v>
      </c>
      <c r="AK638" s="180">
        <f t="shared" si="161"/>
        <v>13900000</v>
      </c>
      <c r="AL638" s="181">
        <f t="shared" si="157"/>
        <v>100</v>
      </c>
      <c r="AM638" s="243"/>
    </row>
    <row r="639" spans="1:39" ht="24.75" customHeight="1" x14ac:dyDescent="0.25">
      <c r="A639" s="243"/>
      <c r="B639" s="477"/>
      <c r="C639" s="477"/>
      <c r="D639" s="477"/>
      <c r="E639" s="477"/>
      <c r="F639" s="477"/>
      <c r="G639" s="477"/>
      <c r="H639" s="477"/>
      <c r="I639" s="478"/>
      <c r="J639" s="477" t="s">
        <v>251</v>
      </c>
      <c r="K639" s="245"/>
      <c r="L639" s="257"/>
      <c r="M639" s="591" t="s">
        <v>324</v>
      </c>
      <c r="N639" s="592"/>
      <c r="O639" s="179"/>
      <c r="P639" s="180"/>
      <c r="Q639" s="180">
        <v>5710918</v>
      </c>
      <c r="R639" s="181">
        <f t="shared" si="162"/>
        <v>9.5006334789297355</v>
      </c>
      <c r="S639" s="181">
        <v>100</v>
      </c>
      <c r="T639" s="180">
        <f t="shared" si="159"/>
        <v>43.775799267298183</v>
      </c>
      <c r="U639" s="180">
        <f t="shared" si="122"/>
        <v>4.1589782408580085</v>
      </c>
      <c r="V639" s="182">
        <f t="shared" si="142"/>
        <v>56.224200732701817</v>
      </c>
      <c r="W639" s="180"/>
      <c r="X639" s="180"/>
      <c r="Y639" s="180"/>
      <c r="Z639" s="180"/>
      <c r="AA639" s="180"/>
      <c r="AB639" s="180"/>
      <c r="AC639" s="180"/>
      <c r="AD639" s="180"/>
      <c r="AE639" s="180"/>
      <c r="AF639" s="180"/>
      <c r="AG639" s="180"/>
      <c r="AH639" s="180"/>
      <c r="AI639" s="180">
        <f>500000+500000+500000+500000+500000</f>
        <v>2500000</v>
      </c>
      <c r="AJ639" s="181">
        <f t="shared" si="155"/>
        <v>43.775799267298183</v>
      </c>
      <c r="AK639" s="180">
        <f t="shared" si="161"/>
        <v>3210918</v>
      </c>
      <c r="AL639" s="181">
        <f t="shared" si="157"/>
        <v>56.22420073270181</v>
      </c>
      <c r="AM639" s="243"/>
    </row>
    <row r="640" spans="1:39" ht="33" customHeight="1" x14ac:dyDescent="0.25">
      <c r="A640" s="243"/>
      <c r="B640" s="477"/>
      <c r="C640" s="477"/>
      <c r="D640" s="477"/>
      <c r="E640" s="477"/>
      <c r="F640" s="477"/>
      <c r="G640" s="477"/>
      <c r="H640" s="477"/>
      <c r="I640" s="478"/>
      <c r="J640" s="477" t="s">
        <v>318</v>
      </c>
      <c r="K640" s="245"/>
      <c r="L640" s="257"/>
      <c r="M640" s="591" t="s">
        <v>352</v>
      </c>
      <c r="N640" s="592"/>
      <c r="O640" s="179"/>
      <c r="P640" s="180"/>
      <c r="Q640" s="180">
        <v>12000000</v>
      </c>
      <c r="R640" s="181">
        <f t="shared" si="162"/>
        <v>19.963095556118439</v>
      </c>
      <c r="S640" s="181">
        <v>100</v>
      </c>
      <c r="T640" s="180">
        <f t="shared" si="159"/>
        <v>41.666666666666671</v>
      </c>
      <c r="U640" s="180">
        <f t="shared" si="122"/>
        <v>8.317956481716017</v>
      </c>
      <c r="V640" s="182">
        <f t="shared" si="142"/>
        <v>58.333333333333329</v>
      </c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  <c r="AG640" s="180"/>
      <c r="AH640" s="180"/>
      <c r="AI640" s="180">
        <f>1000000+1000000+1000000+1000000+1000000</f>
        <v>5000000</v>
      </c>
      <c r="AJ640" s="181">
        <f t="shared" si="155"/>
        <v>41.666666666666671</v>
      </c>
      <c r="AK640" s="180">
        <f t="shared" si="161"/>
        <v>7000000</v>
      </c>
      <c r="AL640" s="181">
        <f t="shared" si="157"/>
        <v>58.333333333333336</v>
      </c>
      <c r="AM640" s="243"/>
    </row>
    <row r="641" spans="1:39" ht="24.75" customHeight="1" x14ac:dyDescent="0.25">
      <c r="A641" s="243"/>
      <c r="B641" s="477"/>
      <c r="C641" s="477"/>
      <c r="D641" s="477"/>
      <c r="E641" s="477"/>
      <c r="F641" s="477"/>
      <c r="G641" s="477"/>
      <c r="H641" s="477"/>
      <c r="I641" s="478"/>
      <c r="J641" s="477" t="s">
        <v>315</v>
      </c>
      <c r="K641" s="245"/>
      <c r="L641" s="257"/>
      <c r="M641" s="591" t="s">
        <v>428</v>
      </c>
      <c r="N641" s="592"/>
      <c r="O641" s="179"/>
      <c r="P641" s="180"/>
      <c r="Q641" s="180">
        <v>6000000</v>
      </c>
      <c r="R641" s="181">
        <f t="shared" si="162"/>
        <v>9.9815477780592197</v>
      </c>
      <c r="S641" s="181">
        <v>100</v>
      </c>
      <c r="T641" s="180">
        <f t="shared" si="159"/>
        <v>41.666666666666671</v>
      </c>
      <c r="U641" s="180">
        <f t="shared" si="122"/>
        <v>4.1589782408580085</v>
      </c>
      <c r="V641" s="182">
        <f t="shared" si="142"/>
        <v>58.333333333333329</v>
      </c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  <c r="AG641" s="180"/>
      <c r="AH641" s="180"/>
      <c r="AI641" s="180">
        <f>500000+500000+500000+500000+500000</f>
        <v>2500000</v>
      </c>
      <c r="AJ641" s="181">
        <f t="shared" si="155"/>
        <v>41.666666666666671</v>
      </c>
      <c r="AK641" s="180">
        <f t="shared" si="161"/>
        <v>3500000</v>
      </c>
      <c r="AL641" s="181">
        <f t="shared" si="157"/>
        <v>58.333333333333336</v>
      </c>
      <c r="AM641" s="243"/>
    </row>
    <row r="642" spans="1:39" ht="24.75" customHeight="1" x14ac:dyDescent="0.25">
      <c r="A642" s="243"/>
      <c r="B642" s="477"/>
      <c r="C642" s="477"/>
      <c r="D642" s="477"/>
      <c r="E642" s="477"/>
      <c r="F642" s="477"/>
      <c r="G642" s="477"/>
      <c r="H642" s="477"/>
      <c r="I642" s="478"/>
      <c r="J642" s="477" t="s">
        <v>318</v>
      </c>
      <c r="K642" s="245"/>
      <c r="L642" s="257"/>
      <c r="M642" s="591" t="s">
        <v>319</v>
      </c>
      <c r="N642" s="592"/>
      <c r="O642" s="179"/>
      <c r="P642" s="180"/>
      <c r="Q642" s="180">
        <v>10500000</v>
      </c>
      <c r="R642" s="181">
        <f t="shared" si="162"/>
        <v>17.467708611603637</v>
      </c>
      <c r="S642" s="181">
        <v>100</v>
      </c>
      <c r="T642" s="180">
        <f t="shared" si="159"/>
        <v>0</v>
      </c>
      <c r="U642" s="180">
        <f t="shared" si="122"/>
        <v>0</v>
      </c>
      <c r="V642" s="182">
        <f t="shared" si="142"/>
        <v>100</v>
      </c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  <c r="AG642" s="180"/>
      <c r="AH642" s="180"/>
      <c r="AI642" s="180">
        <v>0</v>
      </c>
      <c r="AJ642" s="181">
        <f t="shared" si="155"/>
        <v>0</v>
      </c>
      <c r="AK642" s="180">
        <f t="shared" si="161"/>
        <v>10500000</v>
      </c>
      <c r="AL642" s="181">
        <f t="shared" si="157"/>
        <v>100</v>
      </c>
      <c r="AM642" s="243"/>
    </row>
    <row r="643" spans="1:39" ht="24.75" customHeight="1" x14ac:dyDescent="0.25">
      <c r="A643" s="243"/>
      <c r="B643" s="477"/>
      <c r="C643" s="477"/>
      <c r="D643" s="477"/>
      <c r="E643" s="477"/>
      <c r="F643" s="477"/>
      <c r="G643" s="477"/>
      <c r="H643" s="477"/>
      <c r="I643" s="478"/>
      <c r="J643" s="477" t="s">
        <v>624</v>
      </c>
      <c r="K643" s="245"/>
      <c r="L643" s="257"/>
      <c r="M643" s="591" t="s">
        <v>281</v>
      </c>
      <c r="N643" s="592"/>
      <c r="O643" s="179"/>
      <c r="P643" s="180"/>
      <c r="Q643" s="180">
        <v>12000000</v>
      </c>
      <c r="R643" s="181">
        <f t="shared" si="162"/>
        <v>19.963095556118439</v>
      </c>
      <c r="S643" s="181">
        <v>100</v>
      </c>
      <c r="T643" s="180">
        <f t="shared" si="159"/>
        <v>41.666666666666671</v>
      </c>
      <c r="U643" s="180">
        <f t="shared" si="122"/>
        <v>8.317956481716017</v>
      </c>
      <c r="V643" s="182">
        <f t="shared" si="142"/>
        <v>58.333333333333329</v>
      </c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  <c r="AG643" s="180"/>
      <c r="AH643" s="180"/>
      <c r="AI643" s="180">
        <f>1000000+1000000+1000000+1000000+1000000</f>
        <v>5000000</v>
      </c>
      <c r="AJ643" s="181">
        <f t="shared" si="155"/>
        <v>41.666666666666671</v>
      </c>
      <c r="AK643" s="180">
        <f t="shared" si="161"/>
        <v>7000000</v>
      </c>
      <c r="AL643" s="181">
        <f t="shared" si="157"/>
        <v>58.333333333333336</v>
      </c>
      <c r="AM643" s="243"/>
    </row>
    <row r="644" spans="1:39" ht="38.25" customHeight="1" x14ac:dyDescent="0.25">
      <c r="A644" s="227">
        <v>77</v>
      </c>
      <c r="B644" s="477"/>
      <c r="C644" s="477"/>
      <c r="D644" s="477"/>
      <c r="E644" s="477"/>
      <c r="F644" s="477"/>
      <c r="G644" s="477"/>
      <c r="H644" s="477"/>
      <c r="I644" s="478"/>
      <c r="J644" s="304" t="s">
        <v>631</v>
      </c>
      <c r="K644" s="230"/>
      <c r="L644" s="294"/>
      <c r="M644" s="610" t="s">
        <v>632</v>
      </c>
      <c r="N644" s="612"/>
      <c r="O644" s="309"/>
      <c r="P644" s="231"/>
      <c r="Q644" s="231">
        <f>SUM(Q645:Q658)</f>
        <v>334885000</v>
      </c>
      <c r="R644" s="233">
        <f>Q644/Q$248*100</f>
        <v>2.8075902012485408</v>
      </c>
      <c r="S644" s="233">
        <v>100</v>
      </c>
      <c r="T644" s="231">
        <f t="shared" si="159"/>
        <v>17.767293249921615</v>
      </c>
      <c r="U644" s="231">
        <f t="shared" si="122"/>
        <v>0.49883278431189271</v>
      </c>
      <c r="V644" s="296">
        <f t="shared" si="142"/>
        <v>82.232706750078393</v>
      </c>
      <c r="W644" s="231"/>
      <c r="X644" s="231"/>
      <c r="Y644" s="231"/>
      <c r="Z644" s="231"/>
      <c r="AA644" s="231"/>
      <c r="AB644" s="231"/>
      <c r="AC644" s="231"/>
      <c r="AD644" s="231"/>
      <c r="AE644" s="231"/>
      <c r="AF644" s="231"/>
      <c r="AG644" s="231"/>
      <c r="AH644" s="231"/>
      <c r="AI644" s="231">
        <f>SUM(AI645:AI650)</f>
        <v>59500000</v>
      </c>
      <c r="AJ644" s="233">
        <f t="shared" si="155"/>
        <v>17.767293249921615</v>
      </c>
      <c r="AK644" s="231">
        <f t="shared" si="161"/>
        <v>275385000</v>
      </c>
      <c r="AL644" s="233">
        <f t="shared" si="157"/>
        <v>82.232706750078393</v>
      </c>
      <c r="AM644" s="243"/>
    </row>
    <row r="645" spans="1:39" ht="24.75" customHeight="1" x14ac:dyDescent="0.25">
      <c r="A645" s="243"/>
      <c r="B645" s="477"/>
      <c r="C645" s="477"/>
      <c r="D645" s="477"/>
      <c r="E645" s="477"/>
      <c r="F645" s="477"/>
      <c r="G645" s="477"/>
      <c r="H645" s="477"/>
      <c r="I645" s="478"/>
      <c r="J645" s="477" t="s">
        <v>257</v>
      </c>
      <c r="K645" s="245"/>
      <c r="L645" s="257"/>
      <c r="M645" s="591" t="s">
        <v>258</v>
      </c>
      <c r="N645" s="592"/>
      <c r="O645" s="179"/>
      <c r="P645" s="180"/>
      <c r="Q645" s="180">
        <v>560000</v>
      </c>
      <c r="R645" s="181">
        <f t="shared" ref="R645:R658" si="163">Q645/Q$644*100</f>
        <v>0.16722158352867403</v>
      </c>
      <c r="S645" s="181">
        <v>100</v>
      </c>
      <c r="T645" s="180">
        <f t="shared" si="159"/>
        <v>0</v>
      </c>
      <c r="U645" s="180">
        <f t="shared" si="122"/>
        <v>0</v>
      </c>
      <c r="V645" s="182">
        <f t="shared" si="142"/>
        <v>100</v>
      </c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  <c r="AG645" s="180"/>
      <c r="AH645" s="180"/>
      <c r="AI645" s="180">
        <v>0</v>
      </c>
      <c r="AJ645" s="181">
        <f t="shared" si="155"/>
        <v>0</v>
      </c>
      <c r="AK645" s="180">
        <f t="shared" si="161"/>
        <v>560000</v>
      </c>
      <c r="AL645" s="181">
        <f t="shared" si="157"/>
        <v>100</v>
      </c>
      <c r="AM645" s="243"/>
    </row>
    <row r="646" spans="1:39" ht="24.75" customHeight="1" x14ac:dyDescent="0.25">
      <c r="A646" s="243"/>
      <c r="B646" s="477"/>
      <c r="C646" s="477"/>
      <c r="D646" s="477"/>
      <c r="E646" s="477"/>
      <c r="F646" s="477"/>
      <c r="G646" s="477"/>
      <c r="H646" s="477"/>
      <c r="I646" s="478"/>
      <c r="J646" s="477" t="s">
        <v>633</v>
      </c>
      <c r="K646" s="245"/>
      <c r="L646" s="257"/>
      <c r="M646" s="591" t="s">
        <v>260</v>
      </c>
      <c r="N646" s="592"/>
      <c r="O646" s="179"/>
      <c r="P646" s="180"/>
      <c r="Q646" s="180">
        <v>600000</v>
      </c>
      <c r="R646" s="181">
        <f t="shared" si="163"/>
        <v>0.17916598235215075</v>
      </c>
      <c r="S646" s="181">
        <v>100</v>
      </c>
      <c r="T646" s="180">
        <f t="shared" si="159"/>
        <v>0</v>
      </c>
      <c r="U646" s="180">
        <f t="shared" si="122"/>
        <v>0</v>
      </c>
      <c r="V646" s="182">
        <f t="shared" si="142"/>
        <v>100</v>
      </c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  <c r="AG646" s="180"/>
      <c r="AH646" s="180"/>
      <c r="AI646" s="180">
        <v>0</v>
      </c>
      <c r="AJ646" s="181">
        <f t="shared" si="155"/>
        <v>0</v>
      </c>
      <c r="AK646" s="180">
        <f t="shared" si="161"/>
        <v>600000</v>
      </c>
      <c r="AL646" s="181">
        <f t="shared" si="157"/>
        <v>100</v>
      </c>
      <c r="AM646" s="243"/>
    </row>
    <row r="647" spans="1:39" ht="24.75" customHeight="1" x14ac:dyDescent="0.25">
      <c r="A647" s="243"/>
      <c r="B647" s="477"/>
      <c r="C647" s="477"/>
      <c r="D647" s="477"/>
      <c r="E647" s="477"/>
      <c r="F647" s="477"/>
      <c r="G647" s="477"/>
      <c r="H647" s="477"/>
      <c r="I647" s="478"/>
      <c r="J647" s="477" t="s">
        <v>375</v>
      </c>
      <c r="K647" s="245"/>
      <c r="L647" s="257"/>
      <c r="M647" s="591" t="s">
        <v>376</v>
      </c>
      <c r="N647" s="612"/>
      <c r="O647" s="179"/>
      <c r="P647" s="180"/>
      <c r="Q647" s="180">
        <v>60000000</v>
      </c>
      <c r="R647" s="181">
        <f t="shared" si="163"/>
        <v>17.916598235215073</v>
      </c>
      <c r="S647" s="181">
        <v>100</v>
      </c>
      <c r="T647" s="180">
        <f t="shared" si="159"/>
        <v>99.166666666666671</v>
      </c>
      <c r="U647" s="180">
        <f t="shared" si="122"/>
        <v>17.767293249921615</v>
      </c>
      <c r="V647" s="182">
        <f t="shared" si="142"/>
        <v>0.8333333333333286</v>
      </c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  <c r="AG647" s="180"/>
      <c r="AH647" s="180"/>
      <c r="AI647" s="180">
        <v>59500000</v>
      </c>
      <c r="AJ647" s="181">
        <f t="shared" si="155"/>
        <v>99.166666666666671</v>
      </c>
      <c r="AK647" s="180">
        <f t="shared" si="161"/>
        <v>500000</v>
      </c>
      <c r="AL647" s="181">
        <f t="shared" si="157"/>
        <v>0.83333333333333337</v>
      </c>
      <c r="AM647" s="243"/>
    </row>
    <row r="648" spans="1:39" ht="24.75" customHeight="1" x14ac:dyDescent="0.25">
      <c r="A648" s="243"/>
      <c r="B648" s="477"/>
      <c r="C648" s="477"/>
      <c r="D648" s="477"/>
      <c r="E648" s="477"/>
      <c r="F648" s="477"/>
      <c r="G648" s="477"/>
      <c r="H648" s="477"/>
      <c r="I648" s="478"/>
      <c r="J648" s="477" t="s">
        <v>267</v>
      </c>
      <c r="K648" s="245"/>
      <c r="L648" s="257"/>
      <c r="M648" s="591" t="s">
        <v>268</v>
      </c>
      <c r="N648" s="592"/>
      <c r="O648" s="179"/>
      <c r="P648" s="180"/>
      <c r="Q648" s="180">
        <v>12500000</v>
      </c>
      <c r="R648" s="181">
        <f t="shared" si="163"/>
        <v>3.7326246323364738</v>
      </c>
      <c r="S648" s="181">
        <v>100</v>
      </c>
      <c r="T648" s="180">
        <f t="shared" si="159"/>
        <v>0</v>
      </c>
      <c r="U648" s="180">
        <f t="shared" si="122"/>
        <v>0</v>
      </c>
      <c r="V648" s="182">
        <f t="shared" si="142"/>
        <v>100</v>
      </c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  <c r="AG648" s="180"/>
      <c r="AH648" s="180"/>
      <c r="AI648" s="180">
        <v>0</v>
      </c>
      <c r="AJ648" s="181">
        <f t="shared" si="155"/>
        <v>0</v>
      </c>
      <c r="AK648" s="180">
        <f t="shared" si="161"/>
        <v>12500000</v>
      </c>
      <c r="AL648" s="181">
        <f t="shared" si="157"/>
        <v>100</v>
      </c>
      <c r="AM648" s="243"/>
    </row>
    <row r="649" spans="1:39" ht="24.75" customHeight="1" x14ac:dyDescent="0.25">
      <c r="A649" s="243"/>
      <c r="B649" s="477"/>
      <c r="C649" s="477"/>
      <c r="D649" s="477"/>
      <c r="E649" s="477"/>
      <c r="F649" s="477"/>
      <c r="G649" s="477"/>
      <c r="H649" s="477"/>
      <c r="I649" s="478"/>
      <c r="J649" s="477" t="s">
        <v>332</v>
      </c>
      <c r="K649" s="245"/>
      <c r="L649" s="257"/>
      <c r="M649" s="591" t="s">
        <v>351</v>
      </c>
      <c r="N649" s="592"/>
      <c r="O649" s="179"/>
      <c r="P649" s="180"/>
      <c r="Q649" s="180">
        <v>1000000</v>
      </c>
      <c r="R649" s="181">
        <f t="shared" si="163"/>
        <v>0.29860997058691791</v>
      </c>
      <c r="S649" s="181">
        <v>100</v>
      </c>
      <c r="T649" s="180">
        <f t="shared" si="159"/>
        <v>0</v>
      </c>
      <c r="U649" s="180">
        <f t="shared" si="122"/>
        <v>0</v>
      </c>
      <c r="V649" s="182">
        <f t="shared" si="142"/>
        <v>100</v>
      </c>
      <c r="W649" s="180"/>
      <c r="X649" s="180"/>
      <c r="Y649" s="180"/>
      <c r="Z649" s="180"/>
      <c r="AA649" s="180"/>
      <c r="AB649" s="180"/>
      <c r="AC649" s="180"/>
      <c r="AD649" s="180"/>
      <c r="AE649" s="180"/>
      <c r="AF649" s="180"/>
      <c r="AG649" s="180"/>
      <c r="AH649" s="180"/>
      <c r="AI649" s="180">
        <v>0</v>
      </c>
      <c r="AJ649" s="181">
        <f t="shared" si="155"/>
        <v>0</v>
      </c>
      <c r="AK649" s="180">
        <f t="shared" si="161"/>
        <v>1000000</v>
      </c>
      <c r="AL649" s="181">
        <f t="shared" si="157"/>
        <v>100</v>
      </c>
      <c r="AM649" s="243"/>
    </row>
    <row r="650" spans="1:39" ht="24.75" customHeight="1" x14ac:dyDescent="0.25">
      <c r="A650" s="243"/>
      <c r="B650" s="477"/>
      <c r="C650" s="477"/>
      <c r="D650" s="477"/>
      <c r="E650" s="477"/>
      <c r="F650" s="477"/>
      <c r="G650" s="477"/>
      <c r="H650" s="477"/>
      <c r="I650" s="478"/>
      <c r="J650" s="477" t="s">
        <v>315</v>
      </c>
      <c r="K650" s="245"/>
      <c r="L650" s="257"/>
      <c r="M650" s="591" t="s">
        <v>271</v>
      </c>
      <c r="N650" s="592"/>
      <c r="O650" s="179"/>
      <c r="P650" s="180"/>
      <c r="Q650" s="180">
        <v>975000</v>
      </c>
      <c r="R650" s="181">
        <f t="shared" si="163"/>
        <v>0.29114472132224495</v>
      </c>
      <c r="S650" s="181">
        <v>100</v>
      </c>
      <c r="T650" s="180">
        <f t="shared" si="159"/>
        <v>0</v>
      </c>
      <c r="U650" s="180">
        <f t="shared" si="122"/>
        <v>0</v>
      </c>
      <c r="V650" s="182">
        <f t="shared" si="142"/>
        <v>100</v>
      </c>
      <c r="W650" s="180"/>
      <c r="X650" s="180"/>
      <c r="Y650" s="180"/>
      <c r="Z650" s="180"/>
      <c r="AA650" s="180"/>
      <c r="AB650" s="180"/>
      <c r="AC650" s="180"/>
      <c r="AD650" s="180"/>
      <c r="AE650" s="180"/>
      <c r="AF650" s="180"/>
      <c r="AG650" s="180"/>
      <c r="AH650" s="180"/>
      <c r="AI650" s="180">
        <v>0</v>
      </c>
      <c r="AJ650" s="181">
        <f t="shared" si="155"/>
        <v>0</v>
      </c>
      <c r="AK650" s="180">
        <f t="shared" si="161"/>
        <v>975000</v>
      </c>
      <c r="AL650" s="181">
        <f t="shared" si="157"/>
        <v>100</v>
      </c>
      <c r="AM650" s="243"/>
    </row>
    <row r="651" spans="1:39" ht="24.75" customHeight="1" x14ac:dyDescent="0.25">
      <c r="A651" s="243"/>
      <c r="B651" s="477"/>
      <c r="C651" s="477"/>
      <c r="D651" s="477"/>
      <c r="E651" s="477"/>
      <c r="F651" s="477"/>
      <c r="G651" s="477"/>
      <c r="H651" s="477"/>
      <c r="I651" s="478"/>
      <c r="J651" s="477" t="s">
        <v>501</v>
      </c>
      <c r="K651" s="245"/>
      <c r="L651" s="257"/>
      <c r="M651" s="591" t="s">
        <v>317</v>
      </c>
      <c r="N651" s="592"/>
      <c r="O651" s="179"/>
      <c r="P651" s="180"/>
      <c r="Q651" s="180">
        <v>400000</v>
      </c>
      <c r="R651" s="181">
        <f t="shared" si="163"/>
        <v>0.11944398823476715</v>
      </c>
      <c r="S651" s="181">
        <v>100</v>
      </c>
      <c r="T651" s="180">
        <f t="shared" si="159"/>
        <v>0</v>
      </c>
      <c r="U651" s="180">
        <f t="shared" si="122"/>
        <v>0</v>
      </c>
      <c r="V651" s="182">
        <f t="shared" si="142"/>
        <v>100</v>
      </c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>
        <v>0</v>
      </c>
      <c r="AJ651" s="181">
        <f t="shared" si="155"/>
        <v>0</v>
      </c>
      <c r="AK651" s="180">
        <f t="shared" si="161"/>
        <v>400000</v>
      </c>
      <c r="AL651" s="181">
        <f t="shared" si="157"/>
        <v>100</v>
      </c>
      <c r="AM651" s="243"/>
    </row>
    <row r="652" spans="1:39" ht="24.75" customHeight="1" x14ac:dyDescent="0.25">
      <c r="A652" s="243"/>
      <c r="B652" s="477"/>
      <c r="C652" s="477"/>
      <c r="D652" s="477"/>
      <c r="E652" s="477"/>
      <c r="F652" s="477"/>
      <c r="G652" s="477"/>
      <c r="H652" s="477"/>
      <c r="I652" s="478"/>
      <c r="J652" s="477" t="s">
        <v>318</v>
      </c>
      <c r="K652" s="245"/>
      <c r="L652" s="257"/>
      <c r="M652" s="591" t="s">
        <v>319</v>
      </c>
      <c r="N652" s="592"/>
      <c r="O652" s="179"/>
      <c r="P652" s="180"/>
      <c r="Q652" s="180">
        <v>21000000</v>
      </c>
      <c r="R652" s="181">
        <f t="shared" si="163"/>
        <v>6.2708093823252762</v>
      </c>
      <c r="S652" s="181">
        <v>100</v>
      </c>
      <c r="T652" s="180">
        <f t="shared" si="159"/>
        <v>0</v>
      </c>
      <c r="U652" s="180">
        <f t="shared" si="122"/>
        <v>0</v>
      </c>
      <c r="V652" s="182">
        <f t="shared" si="142"/>
        <v>100</v>
      </c>
      <c r="W652" s="180"/>
      <c r="X652" s="180"/>
      <c r="Y652" s="180"/>
      <c r="Z652" s="180"/>
      <c r="AA652" s="180"/>
      <c r="AB652" s="180"/>
      <c r="AC652" s="180"/>
      <c r="AD652" s="180"/>
      <c r="AE652" s="180"/>
      <c r="AF652" s="180"/>
      <c r="AG652" s="180"/>
      <c r="AH652" s="180"/>
      <c r="AI652" s="180">
        <v>0</v>
      </c>
      <c r="AJ652" s="181">
        <f t="shared" si="155"/>
        <v>0</v>
      </c>
      <c r="AK652" s="180">
        <f t="shared" si="161"/>
        <v>21000000</v>
      </c>
      <c r="AL652" s="181">
        <f t="shared" si="157"/>
        <v>100</v>
      </c>
      <c r="AM652" s="243"/>
    </row>
    <row r="653" spans="1:39" ht="24.75" customHeight="1" x14ac:dyDescent="0.25">
      <c r="A653" s="243"/>
      <c r="B653" s="477"/>
      <c r="C653" s="477"/>
      <c r="D653" s="477"/>
      <c r="E653" s="477"/>
      <c r="F653" s="477"/>
      <c r="G653" s="477"/>
      <c r="H653" s="477"/>
      <c r="I653" s="478"/>
      <c r="J653" s="477" t="s">
        <v>280</v>
      </c>
      <c r="K653" s="245"/>
      <c r="L653" s="257"/>
      <c r="M653" s="591" t="s">
        <v>281</v>
      </c>
      <c r="N653" s="612"/>
      <c r="O653" s="179"/>
      <c r="P653" s="180"/>
      <c r="Q653" s="180">
        <v>1250000</v>
      </c>
      <c r="R653" s="181">
        <f t="shared" si="163"/>
        <v>0.37326246323364737</v>
      </c>
      <c r="S653" s="181">
        <v>100</v>
      </c>
      <c r="T653" s="180">
        <f t="shared" si="159"/>
        <v>0</v>
      </c>
      <c r="U653" s="180">
        <f t="shared" si="122"/>
        <v>0</v>
      </c>
      <c r="V653" s="182">
        <f t="shared" si="142"/>
        <v>100</v>
      </c>
      <c r="W653" s="180"/>
      <c r="X653" s="180"/>
      <c r="Y653" s="180"/>
      <c r="Z653" s="180"/>
      <c r="AA653" s="180"/>
      <c r="AB653" s="180"/>
      <c r="AC653" s="180"/>
      <c r="AD653" s="180"/>
      <c r="AE653" s="180"/>
      <c r="AF653" s="180"/>
      <c r="AG653" s="180"/>
      <c r="AH653" s="180"/>
      <c r="AI653" s="180">
        <v>0</v>
      </c>
      <c r="AJ653" s="181">
        <f t="shared" si="155"/>
        <v>0</v>
      </c>
      <c r="AK653" s="180">
        <f t="shared" si="161"/>
        <v>1250000</v>
      </c>
      <c r="AL653" s="181">
        <f t="shared" si="157"/>
        <v>100</v>
      </c>
      <c r="AM653" s="243"/>
    </row>
    <row r="654" spans="1:39" ht="24.75" customHeight="1" x14ac:dyDescent="0.25">
      <c r="A654" s="243"/>
      <c r="B654" s="477"/>
      <c r="C654" s="477"/>
      <c r="D654" s="477"/>
      <c r="E654" s="477"/>
      <c r="F654" s="477"/>
      <c r="G654" s="477"/>
      <c r="H654" s="477"/>
      <c r="I654" s="478"/>
      <c r="J654" s="477" t="s">
        <v>284</v>
      </c>
      <c r="K654" s="245"/>
      <c r="L654" s="257"/>
      <c r="M654" s="591" t="s">
        <v>285</v>
      </c>
      <c r="N654" s="592"/>
      <c r="O654" s="179"/>
      <c r="P654" s="180"/>
      <c r="Q654" s="180">
        <v>2000000</v>
      </c>
      <c r="R654" s="181">
        <f t="shared" si="163"/>
        <v>0.59721994117383581</v>
      </c>
      <c r="S654" s="181">
        <v>100</v>
      </c>
      <c r="T654" s="180">
        <f t="shared" si="159"/>
        <v>0</v>
      </c>
      <c r="U654" s="180">
        <f t="shared" si="122"/>
        <v>0</v>
      </c>
      <c r="V654" s="182">
        <f t="shared" si="142"/>
        <v>100</v>
      </c>
      <c r="W654" s="180"/>
      <c r="X654" s="180"/>
      <c r="Y654" s="180"/>
      <c r="Z654" s="180"/>
      <c r="AA654" s="180"/>
      <c r="AB654" s="180"/>
      <c r="AC654" s="180"/>
      <c r="AD654" s="180"/>
      <c r="AE654" s="180"/>
      <c r="AF654" s="180"/>
      <c r="AG654" s="180"/>
      <c r="AH654" s="180"/>
      <c r="AI654" s="180">
        <v>0</v>
      </c>
      <c r="AJ654" s="181">
        <f t="shared" si="155"/>
        <v>0</v>
      </c>
      <c r="AK654" s="180">
        <f t="shared" si="161"/>
        <v>2000000</v>
      </c>
      <c r="AL654" s="181">
        <f t="shared" si="157"/>
        <v>100</v>
      </c>
      <c r="AM654" s="243"/>
    </row>
    <row r="655" spans="1:39" ht="24.75" customHeight="1" x14ac:dyDescent="0.25">
      <c r="A655" s="243"/>
      <c r="B655" s="477"/>
      <c r="C655" s="477"/>
      <c r="D655" s="477"/>
      <c r="E655" s="477"/>
      <c r="F655" s="477"/>
      <c r="G655" s="477"/>
      <c r="H655" s="477"/>
      <c r="I655" s="478"/>
      <c r="J655" s="477" t="s">
        <v>282</v>
      </c>
      <c r="K655" s="245"/>
      <c r="L655" s="257"/>
      <c r="M655" s="591" t="s">
        <v>283</v>
      </c>
      <c r="N655" s="592"/>
      <c r="O655" s="179"/>
      <c r="P655" s="180"/>
      <c r="Q655" s="180">
        <v>210000000</v>
      </c>
      <c r="R655" s="181">
        <f t="shared" si="163"/>
        <v>62.708093823252753</v>
      </c>
      <c r="S655" s="181">
        <v>100</v>
      </c>
      <c r="T655" s="180">
        <f t="shared" si="159"/>
        <v>0</v>
      </c>
      <c r="U655" s="180">
        <f t="shared" si="122"/>
        <v>0</v>
      </c>
      <c r="V655" s="182">
        <f t="shared" si="142"/>
        <v>100</v>
      </c>
      <c r="W655" s="180"/>
      <c r="X655" s="180"/>
      <c r="Y655" s="180"/>
      <c r="Z655" s="180"/>
      <c r="AA655" s="180"/>
      <c r="AB655" s="180"/>
      <c r="AC655" s="180"/>
      <c r="AD655" s="180"/>
      <c r="AE655" s="180"/>
      <c r="AF655" s="180"/>
      <c r="AG655" s="180"/>
      <c r="AH655" s="180"/>
      <c r="AI655" s="180">
        <v>0</v>
      </c>
      <c r="AJ655" s="181">
        <f t="shared" si="155"/>
        <v>0</v>
      </c>
      <c r="AK655" s="180">
        <f t="shared" si="161"/>
        <v>210000000</v>
      </c>
      <c r="AL655" s="181">
        <f t="shared" si="157"/>
        <v>100</v>
      </c>
      <c r="AM655" s="243"/>
    </row>
    <row r="656" spans="1:39" ht="24.75" customHeight="1" x14ac:dyDescent="0.25">
      <c r="A656" s="243"/>
      <c r="B656" s="477"/>
      <c r="C656" s="477"/>
      <c r="D656" s="477"/>
      <c r="E656" s="477"/>
      <c r="F656" s="477"/>
      <c r="G656" s="477"/>
      <c r="H656" s="477"/>
      <c r="I656" s="478"/>
      <c r="J656" s="477" t="s">
        <v>320</v>
      </c>
      <c r="K656" s="245"/>
      <c r="L656" s="257"/>
      <c r="M656" s="591" t="s">
        <v>321</v>
      </c>
      <c r="N656" s="592"/>
      <c r="O656" s="179"/>
      <c r="P656" s="180"/>
      <c r="Q656" s="180">
        <v>5600000</v>
      </c>
      <c r="R656" s="181">
        <f t="shared" si="163"/>
        <v>1.6722158352867402</v>
      </c>
      <c r="S656" s="181">
        <v>100</v>
      </c>
      <c r="T656" s="180">
        <f t="shared" si="159"/>
        <v>0</v>
      </c>
      <c r="U656" s="180">
        <f t="shared" si="122"/>
        <v>0</v>
      </c>
      <c r="V656" s="182">
        <f t="shared" si="142"/>
        <v>100</v>
      </c>
      <c r="W656" s="180"/>
      <c r="X656" s="180"/>
      <c r="Y656" s="180"/>
      <c r="Z656" s="180"/>
      <c r="AA656" s="180"/>
      <c r="AB656" s="180"/>
      <c r="AC656" s="180"/>
      <c r="AD656" s="180"/>
      <c r="AE656" s="180"/>
      <c r="AF656" s="180"/>
      <c r="AG656" s="180"/>
      <c r="AH656" s="180"/>
      <c r="AI656" s="180">
        <v>0</v>
      </c>
      <c r="AJ656" s="181">
        <f t="shared" si="155"/>
        <v>0</v>
      </c>
      <c r="AK656" s="180">
        <f t="shared" si="161"/>
        <v>5600000</v>
      </c>
      <c r="AL656" s="181">
        <f t="shared" si="157"/>
        <v>100</v>
      </c>
      <c r="AM656" s="243"/>
    </row>
    <row r="657" spans="1:39" ht="24.75" customHeight="1" x14ac:dyDescent="0.25">
      <c r="A657" s="243"/>
      <c r="B657" s="477"/>
      <c r="C657" s="477"/>
      <c r="D657" s="477"/>
      <c r="E657" s="477"/>
      <c r="F657" s="477"/>
      <c r="G657" s="477"/>
      <c r="H657" s="477"/>
      <c r="I657" s="478"/>
      <c r="J657" s="477" t="s">
        <v>407</v>
      </c>
      <c r="K657" s="245"/>
      <c r="L657" s="257"/>
      <c r="M657" s="591" t="s">
        <v>634</v>
      </c>
      <c r="N657" s="592"/>
      <c r="O657" s="179"/>
      <c r="P657" s="180"/>
      <c r="Q657" s="180">
        <v>4000000</v>
      </c>
      <c r="R657" s="181">
        <f t="shared" si="163"/>
        <v>1.1944398823476716</v>
      </c>
      <c r="S657" s="181">
        <v>100</v>
      </c>
      <c r="T657" s="180">
        <f t="shared" si="159"/>
        <v>0</v>
      </c>
      <c r="U657" s="180">
        <f t="shared" si="122"/>
        <v>0</v>
      </c>
      <c r="V657" s="182">
        <f t="shared" si="142"/>
        <v>100</v>
      </c>
      <c r="W657" s="180"/>
      <c r="X657" s="180"/>
      <c r="Y657" s="180"/>
      <c r="Z657" s="180"/>
      <c r="AA657" s="180"/>
      <c r="AB657" s="180"/>
      <c r="AC657" s="180"/>
      <c r="AD657" s="180"/>
      <c r="AE657" s="180"/>
      <c r="AF657" s="180"/>
      <c r="AG657" s="180"/>
      <c r="AH657" s="180"/>
      <c r="AI657" s="180">
        <v>0</v>
      </c>
      <c r="AJ657" s="181">
        <f t="shared" si="155"/>
        <v>0</v>
      </c>
      <c r="AK657" s="180">
        <f t="shared" si="161"/>
        <v>4000000</v>
      </c>
      <c r="AL657" s="181">
        <f t="shared" si="157"/>
        <v>100</v>
      </c>
      <c r="AM657" s="243"/>
    </row>
    <row r="658" spans="1:39" ht="24.75" customHeight="1" x14ac:dyDescent="0.25">
      <c r="A658" s="243"/>
      <c r="B658" s="477"/>
      <c r="C658" s="477"/>
      <c r="D658" s="477"/>
      <c r="E658" s="477"/>
      <c r="F658" s="477"/>
      <c r="G658" s="477"/>
      <c r="H658" s="477"/>
      <c r="I658" s="478"/>
      <c r="J658" s="477" t="s">
        <v>372</v>
      </c>
      <c r="K658" s="245"/>
      <c r="L658" s="257"/>
      <c r="M658" s="591" t="s">
        <v>373</v>
      </c>
      <c r="N658" s="592"/>
      <c r="O658" s="179"/>
      <c r="P658" s="180"/>
      <c r="Q658" s="180">
        <v>15000000</v>
      </c>
      <c r="R658" s="181">
        <f t="shared" si="163"/>
        <v>4.4791495588037682</v>
      </c>
      <c r="S658" s="181">
        <v>100</v>
      </c>
      <c r="T658" s="180">
        <f t="shared" si="159"/>
        <v>0</v>
      </c>
      <c r="U658" s="180">
        <f t="shared" si="122"/>
        <v>0</v>
      </c>
      <c r="V658" s="182">
        <f t="shared" si="142"/>
        <v>100</v>
      </c>
      <c r="W658" s="180"/>
      <c r="X658" s="180"/>
      <c r="Y658" s="180"/>
      <c r="Z658" s="180"/>
      <c r="AA658" s="180"/>
      <c r="AB658" s="180"/>
      <c r="AC658" s="180"/>
      <c r="AD658" s="180"/>
      <c r="AE658" s="180"/>
      <c r="AF658" s="180"/>
      <c r="AG658" s="180"/>
      <c r="AH658" s="180"/>
      <c r="AI658" s="180">
        <v>0</v>
      </c>
      <c r="AJ658" s="181">
        <f t="shared" si="155"/>
        <v>0</v>
      </c>
      <c r="AK658" s="180">
        <f t="shared" si="161"/>
        <v>15000000</v>
      </c>
      <c r="AL658" s="181">
        <f t="shared" si="157"/>
        <v>100</v>
      </c>
      <c r="AM658" s="243"/>
    </row>
    <row r="659" spans="1:39" s="297" customFormat="1" ht="28.5" customHeight="1" x14ac:dyDescent="0.25">
      <c r="A659" s="227">
        <v>78</v>
      </c>
      <c r="B659" s="482"/>
      <c r="C659" s="482"/>
      <c r="D659" s="482"/>
      <c r="E659" s="482"/>
      <c r="F659" s="482"/>
      <c r="G659" s="482"/>
      <c r="H659" s="482"/>
      <c r="I659" s="481"/>
      <c r="J659" s="304" t="s">
        <v>530</v>
      </c>
      <c r="K659" s="230"/>
      <c r="L659" s="294"/>
      <c r="M659" s="610" t="s">
        <v>210</v>
      </c>
      <c r="N659" s="610"/>
      <c r="O659" s="309"/>
      <c r="P659" s="231"/>
      <c r="Q659" s="231">
        <f>SUM(Q660:Q672)</f>
        <v>221952061</v>
      </c>
      <c r="R659" s="233">
        <f>Q659/Q$35*100</f>
        <v>0.69826432176742415</v>
      </c>
      <c r="S659" s="233">
        <v>100</v>
      </c>
      <c r="T659" s="231">
        <f t="shared" si="159"/>
        <v>97.886002509343669</v>
      </c>
      <c r="U659" s="231">
        <f t="shared" si="122"/>
        <v>0.68350303152711234</v>
      </c>
      <c r="V659" s="296">
        <f t="shared" si="142"/>
        <v>2.113997490656331</v>
      </c>
      <c r="W659" s="231"/>
      <c r="X659" s="231"/>
      <c r="Y659" s="231"/>
      <c r="Z659" s="231"/>
      <c r="AA659" s="231"/>
      <c r="AB659" s="231"/>
      <c r="AC659" s="231"/>
      <c r="AD659" s="231"/>
      <c r="AE659" s="231"/>
      <c r="AF659" s="231"/>
      <c r="AG659" s="231"/>
      <c r="AH659" s="231"/>
      <c r="AI659" s="231">
        <f>SUM(AI660:AI672)</f>
        <v>217260000</v>
      </c>
      <c r="AJ659" s="233">
        <f t="shared" si="155"/>
        <v>97.886002509343669</v>
      </c>
      <c r="AK659" s="231">
        <f t="shared" si="161"/>
        <v>4692061</v>
      </c>
      <c r="AL659" s="233">
        <f t="shared" si="157"/>
        <v>2.1139974906563266</v>
      </c>
      <c r="AM659" s="227"/>
    </row>
    <row r="660" spans="1:39" ht="28.5" customHeight="1" x14ac:dyDescent="0.25">
      <c r="A660" s="243"/>
      <c r="B660" s="477"/>
      <c r="C660" s="477"/>
      <c r="D660" s="477"/>
      <c r="E660" s="477"/>
      <c r="F660" s="477"/>
      <c r="G660" s="477"/>
      <c r="H660" s="477"/>
      <c r="I660" s="478"/>
      <c r="J660" s="477" t="s">
        <v>259</v>
      </c>
      <c r="K660" s="245"/>
      <c r="L660" s="257"/>
      <c r="M660" s="591" t="s">
        <v>260</v>
      </c>
      <c r="N660" s="592"/>
      <c r="O660" s="179"/>
      <c r="P660" s="180"/>
      <c r="Q660" s="180">
        <v>650000</v>
      </c>
      <c r="R660" s="181">
        <f t="shared" ref="R660:R672" si="164">Q660/Q$659*100</f>
        <v>0.29285603254659576</v>
      </c>
      <c r="S660" s="181">
        <v>100</v>
      </c>
      <c r="T660" s="180">
        <f t="shared" si="159"/>
        <v>100</v>
      </c>
      <c r="U660" s="180">
        <f t="shared" si="122"/>
        <v>0.29285603254659576</v>
      </c>
      <c r="V660" s="182">
        <f t="shared" si="142"/>
        <v>0</v>
      </c>
      <c r="W660" s="180"/>
      <c r="X660" s="180"/>
      <c r="Y660" s="180"/>
      <c r="Z660" s="180"/>
      <c r="AA660" s="180"/>
      <c r="AB660" s="180"/>
      <c r="AC660" s="180"/>
      <c r="AD660" s="180"/>
      <c r="AE660" s="180"/>
      <c r="AF660" s="180"/>
      <c r="AG660" s="180"/>
      <c r="AH660" s="180"/>
      <c r="AI660" s="180">
        <v>650000</v>
      </c>
      <c r="AJ660" s="181">
        <f t="shared" si="155"/>
        <v>100</v>
      </c>
      <c r="AK660" s="180">
        <f t="shared" si="161"/>
        <v>0</v>
      </c>
      <c r="AL660" s="181">
        <f t="shared" si="157"/>
        <v>0</v>
      </c>
      <c r="AM660" s="243"/>
    </row>
    <row r="661" spans="1:39" ht="28.5" customHeight="1" x14ac:dyDescent="0.25">
      <c r="A661" s="243"/>
      <c r="B661" s="477"/>
      <c r="C661" s="477"/>
      <c r="D661" s="477"/>
      <c r="E661" s="477"/>
      <c r="F661" s="477"/>
      <c r="G661" s="477"/>
      <c r="H661" s="477"/>
      <c r="I661" s="478"/>
      <c r="J661" s="477" t="s">
        <v>375</v>
      </c>
      <c r="K661" s="245"/>
      <c r="L661" s="257"/>
      <c r="M661" s="611" t="s">
        <v>376</v>
      </c>
      <c r="N661" s="598"/>
      <c r="O661" s="179"/>
      <c r="P661" s="180"/>
      <c r="Q661" s="180">
        <v>124500000</v>
      </c>
      <c r="R661" s="181">
        <f t="shared" si="164"/>
        <v>56.093193926232566</v>
      </c>
      <c r="S661" s="181">
        <v>100</v>
      </c>
      <c r="T661" s="180">
        <f t="shared" si="159"/>
        <v>98.353413654618464</v>
      </c>
      <c r="U661" s="180">
        <f t="shared" si="122"/>
        <v>55.16957105435484</v>
      </c>
      <c r="V661" s="182">
        <f t="shared" si="142"/>
        <v>1.6465863453815359</v>
      </c>
      <c r="W661" s="180"/>
      <c r="X661" s="180"/>
      <c r="Y661" s="180"/>
      <c r="Z661" s="180"/>
      <c r="AA661" s="180"/>
      <c r="AB661" s="180"/>
      <c r="AC661" s="180"/>
      <c r="AD661" s="180"/>
      <c r="AE661" s="180"/>
      <c r="AF661" s="180"/>
      <c r="AG661" s="180"/>
      <c r="AH661" s="180"/>
      <c r="AI661" s="180">
        <v>122450000</v>
      </c>
      <c r="AJ661" s="181">
        <f t="shared" si="155"/>
        <v>98.353413654618464</v>
      </c>
      <c r="AK661" s="180">
        <f t="shared" si="161"/>
        <v>2050000</v>
      </c>
      <c r="AL661" s="181">
        <f t="shared" si="157"/>
        <v>1.6465863453815262</v>
      </c>
      <c r="AM661" s="243"/>
    </row>
    <row r="662" spans="1:39" ht="28.5" customHeight="1" x14ac:dyDescent="0.25">
      <c r="A662" s="243"/>
      <c r="B662" s="477"/>
      <c r="C662" s="477"/>
      <c r="D662" s="477"/>
      <c r="E662" s="477"/>
      <c r="F662" s="477"/>
      <c r="G662" s="477"/>
      <c r="H662" s="477"/>
      <c r="I662" s="478"/>
      <c r="J662" s="477" t="s">
        <v>267</v>
      </c>
      <c r="K662" s="245"/>
      <c r="L662" s="257"/>
      <c r="M662" s="591" t="s">
        <v>268</v>
      </c>
      <c r="N662" s="592"/>
      <c r="O662" s="179"/>
      <c r="P662" s="180"/>
      <c r="Q662" s="180">
        <v>12500000</v>
      </c>
      <c r="R662" s="181">
        <f t="shared" si="164"/>
        <v>5.6318467797422258</v>
      </c>
      <c r="S662" s="181">
        <v>100</v>
      </c>
      <c r="T662" s="180">
        <f t="shared" si="159"/>
        <v>100</v>
      </c>
      <c r="U662" s="180">
        <f t="shared" si="122"/>
        <v>5.6318467797422258</v>
      </c>
      <c r="V662" s="182">
        <f t="shared" si="142"/>
        <v>0</v>
      </c>
      <c r="W662" s="180"/>
      <c r="X662" s="180"/>
      <c r="Y662" s="180"/>
      <c r="Z662" s="180"/>
      <c r="AA662" s="180"/>
      <c r="AB662" s="180"/>
      <c r="AC662" s="180"/>
      <c r="AD662" s="180"/>
      <c r="AE662" s="180"/>
      <c r="AF662" s="180"/>
      <c r="AG662" s="180"/>
      <c r="AH662" s="180"/>
      <c r="AI662" s="180">
        <v>12500000</v>
      </c>
      <c r="AJ662" s="181">
        <f t="shared" si="155"/>
        <v>100</v>
      </c>
      <c r="AK662" s="180">
        <f t="shared" si="161"/>
        <v>0</v>
      </c>
      <c r="AL662" s="181">
        <f t="shared" si="157"/>
        <v>0</v>
      </c>
      <c r="AM662" s="243"/>
    </row>
    <row r="663" spans="1:39" ht="28.5" customHeight="1" x14ac:dyDescent="0.25">
      <c r="A663" s="243"/>
      <c r="B663" s="477"/>
      <c r="C663" s="477"/>
      <c r="D663" s="477"/>
      <c r="E663" s="477"/>
      <c r="F663" s="477"/>
      <c r="G663" s="477"/>
      <c r="H663" s="477"/>
      <c r="I663" s="478"/>
      <c r="J663" s="477" t="s">
        <v>332</v>
      </c>
      <c r="K663" s="245"/>
      <c r="L663" s="257"/>
      <c r="M663" s="591" t="s">
        <v>351</v>
      </c>
      <c r="N663" s="592"/>
      <c r="O663" s="179"/>
      <c r="P663" s="180"/>
      <c r="Q663" s="180">
        <v>500000</v>
      </c>
      <c r="R663" s="181">
        <f t="shared" si="164"/>
        <v>0.22527387118968903</v>
      </c>
      <c r="S663" s="181">
        <v>100</v>
      </c>
      <c r="T663" s="180">
        <f t="shared" si="159"/>
        <v>100</v>
      </c>
      <c r="U663" s="180">
        <f t="shared" si="122"/>
        <v>0.22527387118968903</v>
      </c>
      <c r="V663" s="182">
        <f t="shared" si="142"/>
        <v>0</v>
      </c>
      <c r="W663" s="180"/>
      <c r="X663" s="180"/>
      <c r="Y663" s="180"/>
      <c r="Z663" s="180"/>
      <c r="AA663" s="180"/>
      <c r="AB663" s="180"/>
      <c r="AC663" s="180"/>
      <c r="AD663" s="180"/>
      <c r="AE663" s="180"/>
      <c r="AF663" s="180"/>
      <c r="AG663" s="180"/>
      <c r="AH663" s="180"/>
      <c r="AI663" s="180">
        <v>500000</v>
      </c>
      <c r="AJ663" s="181">
        <f t="shared" si="155"/>
        <v>100</v>
      </c>
      <c r="AK663" s="180">
        <f t="shared" si="161"/>
        <v>0</v>
      </c>
      <c r="AL663" s="181">
        <f t="shared" si="157"/>
        <v>0</v>
      </c>
      <c r="AM663" s="243"/>
    </row>
    <row r="664" spans="1:39" ht="28.5" customHeight="1" x14ac:dyDescent="0.25">
      <c r="A664" s="243"/>
      <c r="B664" s="477"/>
      <c r="C664" s="477"/>
      <c r="D664" s="477"/>
      <c r="E664" s="477"/>
      <c r="F664" s="477"/>
      <c r="G664" s="477"/>
      <c r="H664" s="477"/>
      <c r="I664" s="478"/>
      <c r="J664" s="477" t="s">
        <v>315</v>
      </c>
      <c r="K664" s="245"/>
      <c r="L664" s="257"/>
      <c r="M664" s="591" t="s">
        <v>271</v>
      </c>
      <c r="N664" s="592"/>
      <c r="O664" s="179"/>
      <c r="P664" s="180"/>
      <c r="Q664" s="180">
        <v>977061</v>
      </c>
      <c r="R664" s="181">
        <f t="shared" si="164"/>
        <v>0.44021262771693753</v>
      </c>
      <c r="S664" s="181">
        <v>100</v>
      </c>
      <c r="T664" s="180">
        <f t="shared" si="159"/>
        <v>97.230367397736686</v>
      </c>
      <c r="U664" s="180">
        <f t="shared" si="122"/>
        <v>0.42802035526040916</v>
      </c>
      <c r="V664" s="182">
        <f t="shared" si="142"/>
        <v>2.7696326022633144</v>
      </c>
      <c r="W664" s="180"/>
      <c r="X664" s="180"/>
      <c r="Y664" s="180"/>
      <c r="Z664" s="180"/>
      <c r="AA664" s="180"/>
      <c r="AB664" s="180"/>
      <c r="AC664" s="180"/>
      <c r="AD664" s="180"/>
      <c r="AE664" s="180"/>
      <c r="AF664" s="180"/>
      <c r="AG664" s="180"/>
      <c r="AH664" s="180"/>
      <c r="AI664" s="180">
        <v>950000</v>
      </c>
      <c r="AJ664" s="181">
        <f t="shared" si="155"/>
        <v>97.230367397736686</v>
      </c>
      <c r="AK664" s="180">
        <f t="shared" si="161"/>
        <v>27061</v>
      </c>
      <c r="AL664" s="181">
        <f t="shared" si="157"/>
        <v>2.7696326022633184</v>
      </c>
      <c r="AM664" s="243"/>
    </row>
    <row r="665" spans="1:39" ht="28.5" customHeight="1" x14ac:dyDescent="0.25">
      <c r="A665" s="243"/>
      <c r="B665" s="477"/>
      <c r="C665" s="477"/>
      <c r="D665" s="477"/>
      <c r="E665" s="477"/>
      <c r="F665" s="477"/>
      <c r="G665" s="477"/>
      <c r="H665" s="477"/>
      <c r="I665" s="478"/>
      <c r="J665" s="477" t="s">
        <v>316</v>
      </c>
      <c r="K665" s="245"/>
      <c r="L665" s="257"/>
      <c r="M665" s="591" t="s">
        <v>317</v>
      </c>
      <c r="N665" s="592"/>
      <c r="O665" s="179"/>
      <c r="P665" s="180"/>
      <c r="Q665" s="180">
        <v>400000</v>
      </c>
      <c r="R665" s="181">
        <f t="shared" si="164"/>
        <v>0.18021909695175123</v>
      </c>
      <c r="S665" s="181">
        <v>100</v>
      </c>
      <c r="T665" s="180">
        <f t="shared" si="159"/>
        <v>100</v>
      </c>
      <c r="U665" s="180">
        <f t="shared" si="122"/>
        <v>0.18021909695175123</v>
      </c>
      <c r="V665" s="182">
        <f t="shared" si="142"/>
        <v>0</v>
      </c>
      <c r="W665" s="180"/>
      <c r="X665" s="180"/>
      <c r="Y665" s="180"/>
      <c r="Z665" s="180"/>
      <c r="AA665" s="180"/>
      <c r="AB665" s="180"/>
      <c r="AC665" s="180"/>
      <c r="AD665" s="180"/>
      <c r="AE665" s="180"/>
      <c r="AF665" s="180"/>
      <c r="AG665" s="180"/>
      <c r="AH665" s="180"/>
      <c r="AI665" s="180">
        <v>400000</v>
      </c>
      <c r="AJ665" s="181">
        <f t="shared" si="155"/>
        <v>100</v>
      </c>
      <c r="AK665" s="180">
        <f t="shared" si="161"/>
        <v>0</v>
      </c>
      <c r="AL665" s="181">
        <f t="shared" si="157"/>
        <v>0</v>
      </c>
      <c r="AM665" s="243"/>
    </row>
    <row r="666" spans="1:39" ht="28.5" customHeight="1" x14ac:dyDescent="0.25">
      <c r="A666" s="243"/>
      <c r="B666" s="477"/>
      <c r="C666" s="477"/>
      <c r="D666" s="477"/>
      <c r="E666" s="477"/>
      <c r="F666" s="477"/>
      <c r="G666" s="477"/>
      <c r="H666" s="477"/>
      <c r="I666" s="478"/>
      <c r="J666" s="477" t="s">
        <v>318</v>
      </c>
      <c r="K666" s="245"/>
      <c r="L666" s="257"/>
      <c r="M666" s="591" t="s">
        <v>319</v>
      </c>
      <c r="N666" s="592"/>
      <c r="O666" s="179"/>
      <c r="P666" s="180"/>
      <c r="Q666" s="180">
        <v>35000000</v>
      </c>
      <c r="R666" s="181">
        <f t="shared" si="164"/>
        <v>15.769170983278229</v>
      </c>
      <c r="S666" s="181">
        <v>100</v>
      </c>
      <c r="T666" s="180">
        <f t="shared" si="159"/>
        <v>100</v>
      </c>
      <c r="U666" s="180">
        <f t="shared" si="122"/>
        <v>15.769170983278229</v>
      </c>
      <c r="V666" s="182">
        <f t="shared" si="142"/>
        <v>0</v>
      </c>
      <c r="W666" s="180"/>
      <c r="X666" s="180"/>
      <c r="Y666" s="180"/>
      <c r="Z666" s="180"/>
      <c r="AA666" s="180"/>
      <c r="AB666" s="180"/>
      <c r="AC666" s="180"/>
      <c r="AD666" s="180"/>
      <c r="AE666" s="180"/>
      <c r="AF666" s="180"/>
      <c r="AG666" s="180"/>
      <c r="AH666" s="180"/>
      <c r="AI666" s="180">
        <v>35000000</v>
      </c>
      <c r="AJ666" s="181">
        <f t="shared" si="155"/>
        <v>100</v>
      </c>
      <c r="AK666" s="180">
        <f t="shared" si="161"/>
        <v>0</v>
      </c>
      <c r="AL666" s="181">
        <f t="shared" si="157"/>
        <v>0</v>
      </c>
      <c r="AM666" s="243"/>
    </row>
    <row r="667" spans="1:39" ht="28.5" customHeight="1" x14ac:dyDescent="0.25">
      <c r="A667" s="243"/>
      <c r="B667" s="477"/>
      <c r="C667" s="477"/>
      <c r="D667" s="477"/>
      <c r="E667" s="477"/>
      <c r="F667" s="477"/>
      <c r="G667" s="477"/>
      <c r="H667" s="477"/>
      <c r="I667" s="478"/>
      <c r="J667" s="477" t="s">
        <v>280</v>
      </c>
      <c r="K667" s="245"/>
      <c r="L667" s="257"/>
      <c r="M667" s="591" t="s">
        <v>281</v>
      </c>
      <c r="N667" s="592"/>
      <c r="O667" s="179"/>
      <c r="P667" s="180"/>
      <c r="Q667" s="180">
        <v>1250000</v>
      </c>
      <c r="R667" s="181">
        <f t="shared" si="164"/>
        <v>0.56318467797422256</v>
      </c>
      <c r="S667" s="181">
        <v>100</v>
      </c>
      <c r="T667" s="180">
        <f t="shared" si="159"/>
        <v>100</v>
      </c>
      <c r="U667" s="180">
        <f t="shared" si="122"/>
        <v>0.56318467797422256</v>
      </c>
      <c r="V667" s="182">
        <f t="shared" si="142"/>
        <v>0</v>
      </c>
      <c r="W667" s="180"/>
      <c r="X667" s="180"/>
      <c r="Y667" s="180"/>
      <c r="Z667" s="180"/>
      <c r="AA667" s="180"/>
      <c r="AB667" s="180"/>
      <c r="AC667" s="180"/>
      <c r="AD667" s="180"/>
      <c r="AE667" s="180"/>
      <c r="AF667" s="180"/>
      <c r="AG667" s="180"/>
      <c r="AH667" s="180"/>
      <c r="AI667" s="180">
        <v>1250000</v>
      </c>
      <c r="AJ667" s="181">
        <f t="shared" si="155"/>
        <v>100</v>
      </c>
      <c r="AK667" s="180">
        <f t="shared" si="161"/>
        <v>0</v>
      </c>
      <c r="AL667" s="181">
        <f t="shared" si="157"/>
        <v>0</v>
      </c>
      <c r="AM667" s="243"/>
    </row>
    <row r="668" spans="1:39" ht="28.5" customHeight="1" x14ac:dyDescent="0.25">
      <c r="A668" s="243"/>
      <c r="B668" s="477"/>
      <c r="C668" s="477"/>
      <c r="D668" s="477"/>
      <c r="E668" s="477"/>
      <c r="F668" s="477"/>
      <c r="G668" s="477"/>
      <c r="H668" s="477"/>
      <c r="I668" s="478"/>
      <c r="J668" s="477" t="s">
        <v>284</v>
      </c>
      <c r="K668" s="245"/>
      <c r="L668" s="257"/>
      <c r="M668" s="591" t="s">
        <v>285</v>
      </c>
      <c r="N668" s="592"/>
      <c r="O668" s="179"/>
      <c r="P668" s="180"/>
      <c r="Q668" s="180">
        <v>2925000</v>
      </c>
      <c r="R668" s="181">
        <f t="shared" si="164"/>
        <v>1.3178521464596809</v>
      </c>
      <c r="S668" s="181">
        <v>100</v>
      </c>
      <c r="T668" s="180">
        <f t="shared" si="159"/>
        <v>78.974358974358978</v>
      </c>
      <c r="U668" s="180">
        <f t="shared" si="122"/>
        <v>1.0407652848963636</v>
      </c>
      <c r="V668" s="182">
        <f t="shared" si="142"/>
        <v>21.025641025641022</v>
      </c>
      <c r="W668" s="180"/>
      <c r="X668" s="180"/>
      <c r="Y668" s="180"/>
      <c r="Z668" s="180"/>
      <c r="AA668" s="180"/>
      <c r="AB668" s="180"/>
      <c r="AC668" s="180"/>
      <c r="AD668" s="180"/>
      <c r="AE668" s="180"/>
      <c r="AF668" s="180"/>
      <c r="AG668" s="180"/>
      <c r="AH668" s="180"/>
      <c r="AI668" s="180">
        <v>2310000</v>
      </c>
      <c r="AJ668" s="181">
        <f t="shared" si="155"/>
        <v>78.974358974358978</v>
      </c>
      <c r="AK668" s="180">
        <f t="shared" si="161"/>
        <v>615000</v>
      </c>
      <c r="AL668" s="181">
        <f t="shared" si="157"/>
        <v>21.025641025641026</v>
      </c>
      <c r="AM668" s="243"/>
    </row>
    <row r="669" spans="1:39" ht="28.5" customHeight="1" x14ac:dyDescent="0.25">
      <c r="A669" s="243"/>
      <c r="B669" s="477"/>
      <c r="C669" s="477"/>
      <c r="D669" s="477"/>
      <c r="E669" s="477"/>
      <c r="F669" s="477"/>
      <c r="G669" s="477"/>
      <c r="H669" s="477"/>
      <c r="I669" s="478"/>
      <c r="J669" s="477" t="s">
        <v>282</v>
      </c>
      <c r="K669" s="245"/>
      <c r="L669" s="257"/>
      <c r="M669" s="591" t="s">
        <v>283</v>
      </c>
      <c r="N669" s="592"/>
      <c r="O669" s="179"/>
      <c r="P669" s="180"/>
      <c r="Q669" s="180">
        <v>21300000</v>
      </c>
      <c r="R669" s="181">
        <f t="shared" si="164"/>
        <v>9.5966669126807531</v>
      </c>
      <c r="S669" s="181">
        <v>100</v>
      </c>
      <c r="T669" s="180">
        <f t="shared" si="159"/>
        <v>100</v>
      </c>
      <c r="U669" s="180">
        <f t="shared" si="122"/>
        <v>9.5966669126807531</v>
      </c>
      <c r="V669" s="182">
        <f t="shared" si="142"/>
        <v>0</v>
      </c>
      <c r="W669" s="180"/>
      <c r="X669" s="180"/>
      <c r="Y669" s="180"/>
      <c r="Z669" s="180"/>
      <c r="AA669" s="180"/>
      <c r="AB669" s="180"/>
      <c r="AC669" s="180"/>
      <c r="AD669" s="180"/>
      <c r="AE669" s="180"/>
      <c r="AF669" s="180"/>
      <c r="AG669" s="180"/>
      <c r="AH669" s="180"/>
      <c r="AI669" s="180">
        <v>21300000</v>
      </c>
      <c r="AJ669" s="181">
        <f t="shared" si="155"/>
        <v>100</v>
      </c>
      <c r="AK669" s="180">
        <f t="shared" si="161"/>
        <v>0</v>
      </c>
      <c r="AL669" s="181">
        <f t="shared" si="157"/>
        <v>0</v>
      </c>
      <c r="AM669" s="243"/>
    </row>
    <row r="670" spans="1:39" ht="28.5" customHeight="1" x14ac:dyDescent="0.25">
      <c r="A670" s="243"/>
      <c r="B670" s="477"/>
      <c r="C670" s="477"/>
      <c r="D670" s="477"/>
      <c r="E670" s="477"/>
      <c r="F670" s="477"/>
      <c r="G670" s="477"/>
      <c r="H670" s="477"/>
      <c r="I670" s="478"/>
      <c r="J670" s="477" t="s">
        <v>320</v>
      </c>
      <c r="K670" s="245"/>
      <c r="L670" s="257"/>
      <c r="M670" s="591" t="s">
        <v>321</v>
      </c>
      <c r="N670" s="592"/>
      <c r="O670" s="179"/>
      <c r="P670" s="180"/>
      <c r="Q670" s="180">
        <v>4300000</v>
      </c>
      <c r="R670" s="181">
        <f t="shared" si="164"/>
        <v>1.9373552922313255</v>
      </c>
      <c r="S670" s="181">
        <v>100</v>
      </c>
      <c r="T670" s="180">
        <f t="shared" si="159"/>
        <v>100</v>
      </c>
      <c r="U670" s="180">
        <f t="shared" si="122"/>
        <v>1.9373552922313255</v>
      </c>
      <c r="V670" s="182">
        <f t="shared" si="142"/>
        <v>0</v>
      </c>
      <c r="W670" s="180"/>
      <c r="X670" s="180"/>
      <c r="Y670" s="180"/>
      <c r="Z670" s="180"/>
      <c r="AA670" s="180"/>
      <c r="AB670" s="180"/>
      <c r="AC670" s="180"/>
      <c r="AD670" s="180"/>
      <c r="AE670" s="180"/>
      <c r="AF670" s="180"/>
      <c r="AG670" s="180"/>
      <c r="AH670" s="180"/>
      <c r="AI670" s="180">
        <v>4300000</v>
      </c>
      <c r="AJ670" s="181">
        <f t="shared" si="155"/>
        <v>100</v>
      </c>
      <c r="AK670" s="180">
        <f t="shared" si="161"/>
        <v>0</v>
      </c>
      <c r="AL670" s="181">
        <f t="shared" si="157"/>
        <v>0</v>
      </c>
      <c r="AM670" s="243"/>
    </row>
    <row r="671" spans="1:39" ht="28.5" customHeight="1" x14ac:dyDescent="0.25">
      <c r="A671" s="243"/>
      <c r="B671" s="477"/>
      <c r="C671" s="477"/>
      <c r="D671" s="477"/>
      <c r="E671" s="477"/>
      <c r="F671" s="477"/>
      <c r="G671" s="477"/>
      <c r="H671" s="477"/>
      <c r="I671" s="478"/>
      <c r="J671" s="477" t="s">
        <v>407</v>
      </c>
      <c r="K671" s="245"/>
      <c r="L671" s="257"/>
      <c r="M671" s="591" t="s">
        <v>607</v>
      </c>
      <c r="N671" s="592"/>
      <c r="O671" s="179"/>
      <c r="P671" s="180"/>
      <c r="Q671" s="180">
        <v>2650000</v>
      </c>
      <c r="R671" s="181">
        <f t="shared" si="164"/>
        <v>1.1939515173053519</v>
      </c>
      <c r="S671" s="181">
        <v>100</v>
      </c>
      <c r="T671" s="180">
        <f t="shared" si="159"/>
        <v>24.528301886792452</v>
      </c>
      <c r="U671" s="180">
        <f t="shared" si="122"/>
        <v>0.29285603254659576</v>
      </c>
      <c r="V671" s="182">
        <f t="shared" si="142"/>
        <v>75.471698113207552</v>
      </c>
      <c r="W671" s="180"/>
      <c r="X671" s="180"/>
      <c r="Y671" s="180"/>
      <c r="Z671" s="180"/>
      <c r="AA671" s="180"/>
      <c r="AB671" s="180"/>
      <c r="AC671" s="180"/>
      <c r="AD671" s="180"/>
      <c r="AE671" s="180"/>
      <c r="AF671" s="180"/>
      <c r="AG671" s="180"/>
      <c r="AH671" s="180"/>
      <c r="AI671" s="180">
        <v>650000</v>
      </c>
      <c r="AJ671" s="181">
        <f t="shared" si="155"/>
        <v>24.528301886792452</v>
      </c>
      <c r="AK671" s="180">
        <f t="shared" si="161"/>
        <v>2000000</v>
      </c>
      <c r="AL671" s="181">
        <f t="shared" si="157"/>
        <v>75.471698113207552</v>
      </c>
      <c r="AM671" s="243"/>
    </row>
    <row r="672" spans="1:39" ht="28.5" customHeight="1" x14ac:dyDescent="0.25">
      <c r="A672" s="243"/>
      <c r="B672" s="477"/>
      <c r="C672" s="477"/>
      <c r="D672" s="477"/>
      <c r="E672" s="477"/>
      <c r="F672" s="477"/>
      <c r="G672" s="477"/>
      <c r="H672" s="477"/>
      <c r="I672" s="478"/>
      <c r="J672" s="477" t="s">
        <v>372</v>
      </c>
      <c r="K672" s="245"/>
      <c r="L672" s="257"/>
      <c r="M672" s="591" t="s">
        <v>373</v>
      </c>
      <c r="N672" s="592"/>
      <c r="O672" s="179"/>
      <c r="P672" s="180"/>
      <c r="Q672" s="180">
        <v>15000000</v>
      </c>
      <c r="R672" s="181">
        <f t="shared" si="164"/>
        <v>6.7582161356906703</v>
      </c>
      <c r="S672" s="181">
        <v>100</v>
      </c>
      <c r="T672" s="180">
        <f t="shared" si="159"/>
        <v>100</v>
      </c>
      <c r="U672" s="180">
        <f t="shared" si="122"/>
        <v>6.7582161356906703</v>
      </c>
      <c r="V672" s="182">
        <v>100</v>
      </c>
      <c r="W672" s="180"/>
      <c r="X672" s="180"/>
      <c r="Y672" s="180"/>
      <c r="Z672" s="180"/>
      <c r="AA672" s="180"/>
      <c r="AB672" s="180"/>
      <c r="AC672" s="180"/>
      <c r="AD672" s="180"/>
      <c r="AE672" s="180"/>
      <c r="AF672" s="180"/>
      <c r="AG672" s="180"/>
      <c r="AH672" s="180"/>
      <c r="AI672" s="180">
        <v>15000000</v>
      </c>
      <c r="AJ672" s="181">
        <f t="shared" si="155"/>
        <v>100</v>
      </c>
      <c r="AK672" s="180">
        <f t="shared" si="161"/>
        <v>0</v>
      </c>
      <c r="AL672" s="181">
        <f t="shared" si="157"/>
        <v>0</v>
      </c>
      <c r="AM672" s="243"/>
    </row>
    <row r="673" spans="1:83" s="297" customFormat="1" ht="28.5" customHeight="1" x14ac:dyDescent="0.25">
      <c r="A673" s="227">
        <f>SUM(A659+1)</f>
        <v>79</v>
      </c>
      <c r="B673" s="482"/>
      <c r="C673" s="482"/>
      <c r="D673" s="482"/>
      <c r="E673" s="482"/>
      <c r="F673" s="482"/>
      <c r="G673" s="482"/>
      <c r="H673" s="482"/>
      <c r="I673" s="481"/>
      <c r="J673" s="482" t="s">
        <v>377</v>
      </c>
      <c r="K673" s="230"/>
      <c r="L673" s="294"/>
      <c r="M673" s="610" t="s">
        <v>378</v>
      </c>
      <c r="N673" s="610"/>
      <c r="O673" s="309">
        <v>355300000</v>
      </c>
      <c r="P673" s="231">
        <v>0</v>
      </c>
      <c r="Q673" s="231">
        <f>SUM(Q674:Q678)</f>
        <v>88840644</v>
      </c>
      <c r="R673" s="233">
        <f>Q673/Q$35*100</f>
        <v>0.27949392201427309</v>
      </c>
      <c r="S673" s="233">
        <v>100</v>
      </c>
      <c r="T673" s="231">
        <f t="shared" si="159"/>
        <v>31.133272739445701</v>
      </c>
      <c r="U673" s="231">
        <f>R673*T673/100</f>
        <v>8.7015605030877297E-2</v>
      </c>
      <c r="V673" s="296">
        <f t="shared" si="142"/>
        <v>68.866727260554299</v>
      </c>
      <c r="W673" s="231"/>
      <c r="X673" s="231"/>
      <c r="Y673" s="231"/>
      <c r="Z673" s="231"/>
      <c r="AA673" s="231"/>
      <c r="AB673" s="231"/>
      <c r="AC673" s="231"/>
      <c r="AD673" s="231"/>
      <c r="AE673" s="231"/>
      <c r="AF673" s="231"/>
      <c r="AG673" s="231" t="e">
        <f>[2]april!N78</f>
        <v>#REF!</v>
      </c>
      <c r="AH673" s="231">
        <f>'[3]DES SKPD'!$N78</f>
        <v>0</v>
      </c>
      <c r="AI673" s="231">
        <f>SUM(AI674:AI678)</f>
        <v>27659000</v>
      </c>
      <c r="AJ673" s="233">
        <f t="shared" si="155"/>
        <v>31.133272739445701</v>
      </c>
      <c r="AK673" s="231">
        <f t="shared" si="161"/>
        <v>61181644</v>
      </c>
      <c r="AL673" s="233">
        <f t="shared" si="157"/>
        <v>68.866727260554299</v>
      </c>
      <c r="AM673" s="227"/>
    </row>
    <row r="674" spans="1:83" ht="28.5" customHeight="1" x14ac:dyDescent="0.25">
      <c r="A674" s="243"/>
      <c r="B674" s="477"/>
      <c r="C674" s="477"/>
      <c r="D674" s="477"/>
      <c r="E674" s="477"/>
      <c r="F674" s="477"/>
      <c r="G674" s="477"/>
      <c r="H674" s="477"/>
      <c r="I674" s="478"/>
      <c r="J674" s="477" t="s">
        <v>323</v>
      </c>
      <c r="K674" s="245"/>
      <c r="L674" s="257"/>
      <c r="M674" s="591" t="s">
        <v>324</v>
      </c>
      <c r="N674" s="592"/>
      <c r="O674" s="179"/>
      <c r="P674" s="180"/>
      <c r="Q674" s="180">
        <v>25000000</v>
      </c>
      <c r="R674" s="181">
        <f>Q674/Q$673*100</f>
        <v>28.140273274020842</v>
      </c>
      <c r="S674" s="181">
        <v>100</v>
      </c>
      <c r="T674" s="180">
        <f t="shared" si="159"/>
        <v>51.836000000000006</v>
      </c>
      <c r="U674" s="180">
        <f t="shared" ref="U674:U679" si="165">R674*T674/100</f>
        <v>14.586792054321444</v>
      </c>
      <c r="V674" s="182">
        <f t="shared" si="142"/>
        <v>48.163999999999994</v>
      </c>
      <c r="W674" s="180"/>
      <c r="X674" s="180"/>
      <c r="Y674" s="180"/>
      <c r="Z674" s="180"/>
      <c r="AA674" s="180"/>
      <c r="AB674" s="180"/>
      <c r="AC674" s="180"/>
      <c r="AD674" s="180"/>
      <c r="AE674" s="180"/>
      <c r="AF674" s="180"/>
      <c r="AG674" s="180"/>
      <c r="AH674" s="180"/>
      <c r="AI674" s="180">
        <f>5000000+5000000+2959000</f>
        <v>12959000</v>
      </c>
      <c r="AJ674" s="181">
        <f t="shared" si="155"/>
        <v>51.836000000000006</v>
      </c>
      <c r="AK674" s="180">
        <f t="shared" si="161"/>
        <v>12041000</v>
      </c>
      <c r="AL674" s="181">
        <f t="shared" si="157"/>
        <v>48.164000000000001</v>
      </c>
      <c r="AM674" s="243"/>
    </row>
    <row r="675" spans="1:83" ht="28.5" customHeight="1" x14ac:dyDescent="0.25">
      <c r="A675" s="243"/>
      <c r="B675" s="477"/>
      <c r="C675" s="477"/>
      <c r="D675" s="477"/>
      <c r="E675" s="477"/>
      <c r="F675" s="477"/>
      <c r="G675" s="477"/>
      <c r="H675" s="477"/>
      <c r="I675" s="478"/>
      <c r="J675" s="477" t="s">
        <v>315</v>
      </c>
      <c r="K675" s="245"/>
      <c r="L675" s="257"/>
      <c r="M675" s="591" t="s">
        <v>271</v>
      </c>
      <c r="N675" s="592"/>
      <c r="O675" s="179"/>
      <c r="P675" s="180"/>
      <c r="Q675" s="180">
        <v>2000000</v>
      </c>
      <c r="R675" s="181">
        <f t="shared" ref="R675:R678" si="166">Q675/Q$673*100</f>
        <v>2.2512218619216671</v>
      </c>
      <c r="S675" s="181">
        <v>100</v>
      </c>
      <c r="T675" s="180">
        <f t="shared" si="159"/>
        <v>75</v>
      </c>
      <c r="U675" s="180">
        <f t="shared" si="165"/>
        <v>1.6884163964412502</v>
      </c>
      <c r="V675" s="182">
        <f t="shared" si="142"/>
        <v>25</v>
      </c>
      <c r="W675" s="180"/>
      <c r="X675" s="180"/>
      <c r="Y675" s="180"/>
      <c r="Z675" s="180"/>
      <c r="AA675" s="180"/>
      <c r="AB675" s="180"/>
      <c r="AC675" s="180"/>
      <c r="AD675" s="180"/>
      <c r="AE675" s="180"/>
      <c r="AF675" s="180"/>
      <c r="AG675" s="180"/>
      <c r="AH675" s="180"/>
      <c r="AI675" s="180">
        <f>750000+750000</f>
        <v>1500000</v>
      </c>
      <c r="AJ675" s="181">
        <f t="shared" si="155"/>
        <v>75</v>
      </c>
      <c r="AK675" s="180">
        <f t="shared" si="161"/>
        <v>500000</v>
      </c>
      <c r="AL675" s="181">
        <f t="shared" si="157"/>
        <v>25</v>
      </c>
      <c r="AM675" s="243"/>
    </row>
    <row r="676" spans="1:83" ht="28.5" customHeight="1" x14ac:dyDescent="0.25">
      <c r="A676" s="243"/>
      <c r="B676" s="477"/>
      <c r="C676" s="477"/>
      <c r="D676" s="477"/>
      <c r="E676" s="477"/>
      <c r="F676" s="477"/>
      <c r="G676" s="477"/>
      <c r="H676" s="477"/>
      <c r="I676" s="478"/>
      <c r="J676" s="477" t="s">
        <v>280</v>
      </c>
      <c r="K676" s="245"/>
      <c r="L676" s="257"/>
      <c r="M676" s="591" t="s">
        <v>425</v>
      </c>
      <c r="N676" s="592"/>
      <c r="O676" s="179"/>
      <c r="P676" s="180"/>
      <c r="Q676" s="180">
        <v>7500000</v>
      </c>
      <c r="R676" s="181">
        <f t="shared" si="166"/>
        <v>8.4420819822062523</v>
      </c>
      <c r="S676" s="181">
        <v>100</v>
      </c>
      <c r="T676" s="180">
        <f t="shared" si="159"/>
        <v>66.666666666666657</v>
      </c>
      <c r="U676" s="180">
        <f t="shared" si="165"/>
        <v>5.628054654804167</v>
      </c>
      <c r="V676" s="182">
        <f t="shared" si="142"/>
        <v>33.333333333333343</v>
      </c>
      <c r="W676" s="180"/>
      <c r="X676" s="180"/>
      <c r="Y676" s="180"/>
      <c r="Z676" s="180"/>
      <c r="AA676" s="180"/>
      <c r="AB676" s="180"/>
      <c r="AC676" s="180"/>
      <c r="AD676" s="180"/>
      <c r="AE676" s="180"/>
      <c r="AF676" s="180"/>
      <c r="AG676" s="180"/>
      <c r="AH676" s="180"/>
      <c r="AI676" s="180">
        <f>1250000+1250000+2500000</f>
        <v>5000000</v>
      </c>
      <c r="AJ676" s="181">
        <f t="shared" si="155"/>
        <v>66.666666666666657</v>
      </c>
      <c r="AK676" s="180">
        <f t="shared" si="161"/>
        <v>2500000</v>
      </c>
      <c r="AL676" s="181">
        <f t="shared" si="157"/>
        <v>33.333333333333329</v>
      </c>
      <c r="AM676" s="243"/>
    </row>
    <row r="677" spans="1:83" ht="28.5" customHeight="1" x14ac:dyDescent="0.25">
      <c r="A677" s="243"/>
      <c r="B677" s="477"/>
      <c r="C677" s="477"/>
      <c r="D677" s="477"/>
      <c r="E677" s="477"/>
      <c r="F677" s="477"/>
      <c r="G677" s="477"/>
      <c r="H677" s="477"/>
      <c r="I677" s="478"/>
      <c r="J677" s="477" t="s">
        <v>284</v>
      </c>
      <c r="K677" s="245"/>
      <c r="L677" s="257"/>
      <c r="M677" s="591" t="s">
        <v>285</v>
      </c>
      <c r="N677" s="592"/>
      <c r="O677" s="179"/>
      <c r="P677" s="180"/>
      <c r="Q677" s="180">
        <v>24500000</v>
      </c>
      <c r="R677" s="181">
        <f t="shared" si="166"/>
        <v>27.577467808540423</v>
      </c>
      <c r="S677" s="181">
        <v>100</v>
      </c>
      <c r="T677" s="180">
        <f t="shared" si="159"/>
        <v>0</v>
      </c>
      <c r="U677" s="180">
        <f t="shared" si="165"/>
        <v>0</v>
      </c>
      <c r="V677" s="182">
        <f t="shared" si="142"/>
        <v>100</v>
      </c>
      <c r="W677" s="180"/>
      <c r="X677" s="180"/>
      <c r="Y677" s="180"/>
      <c r="Z677" s="180"/>
      <c r="AA677" s="180"/>
      <c r="AB677" s="180"/>
      <c r="AC677" s="180"/>
      <c r="AD677" s="180"/>
      <c r="AE677" s="180"/>
      <c r="AF677" s="180"/>
      <c r="AG677" s="180"/>
      <c r="AH677" s="180"/>
      <c r="AI677" s="180">
        <v>0</v>
      </c>
      <c r="AJ677" s="181">
        <f t="shared" si="155"/>
        <v>0</v>
      </c>
      <c r="AK677" s="180">
        <f t="shared" si="161"/>
        <v>24500000</v>
      </c>
      <c r="AL677" s="181">
        <f t="shared" si="157"/>
        <v>100</v>
      </c>
      <c r="AM677" s="243"/>
    </row>
    <row r="678" spans="1:83" ht="28.5" customHeight="1" x14ac:dyDescent="0.25">
      <c r="A678" s="243"/>
      <c r="B678" s="477"/>
      <c r="C678" s="477"/>
      <c r="D678" s="477"/>
      <c r="E678" s="477"/>
      <c r="F678" s="477"/>
      <c r="G678" s="477"/>
      <c r="H678" s="477"/>
      <c r="I678" s="478"/>
      <c r="J678" s="477" t="s">
        <v>282</v>
      </c>
      <c r="K678" s="245"/>
      <c r="L678" s="257"/>
      <c r="M678" s="591" t="s">
        <v>283</v>
      </c>
      <c r="N678" s="592"/>
      <c r="O678" s="179"/>
      <c r="P678" s="180"/>
      <c r="Q678" s="180">
        <v>29840644</v>
      </c>
      <c r="R678" s="181">
        <f t="shared" si="166"/>
        <v>33.588955073310814</v>
      </c>
      <c r="S678" s="181">
        <v>100</v>
      </c>
      <c r="T678" s="180">
        <f t="shared" si="159"/>
        <v>27.479299709483477</v>
      </c>
      <c r="U678" s="180">
        <f t="shared" si="165"/>
        <v>9.2300096338788347</v>
      </c>
      <c r="V678" s="182">
        <f t="shared" si="142"/>
        <v>72.520700290516515</v>
      </c>
      <c r="W678" s="180"/>
      <c r="X678" s="180"/>
      <c r="Y678" s="180"/>
      <c r="Z678" s="180"/>
      <c r="AA678" s="180"/>
      <c r="AB678" s="180"/>
      <c r="AC678" s="180"/>
      <c r="AD678" s="180"/>
      <c r="AE678" s="180"/>
      <c r="AF678" s="180"/>
      <c r="AG678" s="180"/>
      <c r="AH678" s="180"/>
      <c r="AI678" s="180">
        <f>5700000+2500000</f>
        <v>8200000</v>
      </c>
      <c r="AJ678" s="181">
        <f t="shared" si="155"/>
        <v>27.479299709483477</v>
      </c>
      <c r="AK678" s="180">
        <f t="shared" si="161"/>
        <v>21640644</v>
      </c>
      <c r="AL678" s="181">
        <f t="shared" si="157"/>
        <v>72.520700290516515</v>
      </c>
      <c r="AM678" s="243"/>
    </row>
    <row r="679" spans="1:83" ht="28.5" customHeight="1" x14ac:dyDescent="0.25">
      <c r="A679" s="289" t="s">
        <v>38</v>
      </c>
      <c r="B679" s="607" t="s">
        <v>145</v>
      </c>
      <c r="C679" s="607"/>
      <c r="D679" s="607"/>
      <c r="E679" s="607"/>
      <c r="F679" s="607"/>
      <c r="G679" s="607"/>
      <c r="H679" s="607"/>
      <c r="I679" s="608"/>
      <c r="J679" s="483" t="s">
        <v>531</v>
      </c>
      <c r="K679" s="291"/>
      <c r="L679" s="607" t="s">
        <v>532</v>
      </c>
      <c r="M679" s="607"/>
      <c r="N679" s="608"/>
      <c r="O679" s="263" t="e">
        <f>SUM(O680:O1154)</f>
        <v>#REF!</v>
      </c>
      <c r="P679" s="263" t="e">
        <f>SUM(P680:P1154)</f>
        <v>#REF!</v>
      </c>
      <c r="Q679" s="263">
        <f>SUM(Q680)</f>
        <v>649500000</v>
      </c>
      <c r="R679" s="222">
        <f>Q679/Q$58*100</f>
        <v>3.2186986170973042</v>
      </c>
      <c r="S679" s="222">
        <v>100</v>
      </c>
      <c r="T679" s="263">
        <f t="shared" si="159"/>
        <v>32.575705311778293</v>
      </c>
      <c r="U679" s="308">
        <f t="shared" si="165"/>
        <v>1.0485137763799011</v>
      </c>
      <c r="V679" s="292">
        <f t="shared" si="142"/>
        <v>67.424294688221707</v>
      </c>
      <c r="W679" s="263">
        <f t="shared" ref="W679:AH679" si="167">SUM(W680:W1154)</f>
        <v>0</v>
      </c>
      <c r="X679" s="263">
        <f t="shared" si="167"/>
        <v>0</v>
      </c>
      <c r="Y679" s="263">
        <f t="shared" si="167"/>
        <v>0</v>
      </c>
      <c r="Z679" s="263">
        <f t="shared" si="167"/>
        <v>0</v>
      </c>
      <c r="AA679" s="263">
        <f t="shared" si="167"/>
        <v>0</v>
      </c>
      <c r="AB679" s="263">
        <f t="shared" si="167"/>
        <v>0</v>
      </c>
      <c r="AC679" s="263">
        <f t="shared" si="167"/>
        <v>0</v>
      </c>
      <c r="AD679" s="263">
        <f t="shared" si="167"/>
        <v>0</v>
      </c>
      <c r="AE679" s="263">
        <f t="shared" si="167"/>
        <v>0</v>
      </c>
      <c r="AF679" s="263">
        <f t="shared" si="167"/>
        <v>0</v>
      </c>
      <c r="AG679" s="263" t="e">
        <f t="shared" si="167"/>
        <v>#REF!</v>
      </c>
      <c r="AH679" s="263">
        <f t="shared" si="167"/>
        <v>0</v>
      </c>
      <c r="AI679" s="263">
        <f>SUM(AI680)</f>
        <v>211579206</v>
      </c>
      <c r="AJ679" s="222">
        <f t="shared" si="155"/>
        <v>32.575705311778293</v>
      </c>
      <c r="AK679" s="263">
        <f>SUM(Q679-AI679)</f>
        <v>437920794</v>
      </c>
      <c r="AL679" s="222">
        <f t="shared" si="157"/>
        <v>67.424294688221707</v>
      </c>
      <c r="AM679" s="289"/>
    </row>
    <row r="680" spans="1:83" s="297" customFormat="1" ht="28.5" customHeight="1" x14ac:dyDescent="0.25">
      <c r="A680" s="227">
        <f>SUM(A673+1)</f>
        <v>80</v>
      </c>
      <c r="B680" s="482"/>
      <c r="C680" s="482"/>
      <c r="D680" s="482"/>
      <c r="E680" s="482"/>
      <c r="F680" s="482"/>
      <c r="G680" s="482"/>
      <c r="H680" s="482"/>
      <c r="I680" s="481"/>
      <c r="J680" s="482" t="s">
        <v>381</v>
      </c>
      <c r="K680" s="230"/>
      <c r="L680" s="294"/>
      <c r="M680" s="609" t="s">
        <v>533</v>
      </c>
      <c r="N680" s="609"/>
      <c r="O680" s="309">
        <v>355300000</v>
      </c>
      <c r="P680" s="231">
        <v>0</v>
      </c>
      <c r="Q680" s="231">
        <f>SUM(Q681:Q687)</f>
        <v>649500000</v>
      </c>
      <c r="R680" s="233">
        <f>Q680/Q$35*100</f>
        <v>2.0433361823476917</v>
      </c>
      <c r="S680" s="233">
        <v>100</v>
      </c>
      <c r="T680" s="231">
        <f>AJ680</f>
        <v>32.575705311778293</v>
      </c>
      <c r="U680" s="231">
        <f>R680*T680/100</f>
        <v>0.66563117329052479</v>
      </c>
      <c r="V680" s="296">
        <f>S680-T680</f>
        <v>67.424294688221707</v>
      </c>
      <c r="W680" s="231"/>
      <c r="X680" s="231"/>
      <c r="Y680" s="231"/>
      <c r="Z680" s="231"/>
      <c r="AA680" s="231"/>
      <c r="AB680" s="231"/>
      <c r="AC680" s="231"/>
      <c r="AD680" s="231"/>
      <c r="AE680" s="231"/>
      <c r="AF680" s="231"/>
      <c r="AG680" s="231" t="e">
        <f>[2]april!N87</f>
        <v>#REF!</v>
      </c>
      <c r="AH680" s="231">
        <f>'[3]DES SKPD'!$N87</f>
        <v>0</v>
      </c>
      <c r="AI680" s="231">
        <f>SUM(AI681:AI687)</f>
        <v>211579206</v>
      </c>
      <c r="AJ680" s="181">
        <f t="shared" si="155"/>
        <v>32.575705311778293</v>
      </c>
      <c r="AK680" s="231">
        <f t="shared" si="161"/>
        <v>437920794</v>
      </c>
      <c r="AL680" s="233">
        <f t="shared" si="157"/>
        <v>67.424294688221707</v>
      </c>
      <c r="AM680" s="227"/>
    </row>
    <row r="681" spans="1:83" ht="28.5" customHeight="1" x14ac:dyDescent="0.25">
      <c r="A681" s="243"/>
      <c r="B681" s="477"/>
      <c r="C681" s="477"/>
      <c r="D681" s="477"/>
      <c r="E681" s="477"/>
      <c r="F681" s="477"/>
      <c r="G681" s="477"/>
      <c r="H681" s="477"/>
      <c r="I681" s="478"/>
      <c r="J681" s="477" t="s">
        <v>536</v>
      </c>
      <c r="K681" s="245"/>
      <c r="L681" s="257"/>
      <c r="M681" s="604" t="s">
        <v>271</v>
      </c>
      <c r="N681" s="592"/>
      <c r="O681" s="179"/>
      <c r="P681" s="180"/>
      <c r="Q681" s="180">
        <v>14900000</v>
      </c>
      <c r="R681" s="181">
        <f t="shared" ref="R681:R687" si="168">Q681/Q$680*100</f>
        <v>2.2940723633564279</v>
      </c>
      <c r="S681" s="181">
        <v>100</v>
      </c>
      <c r="T681" s="180">
        <f t="shared" ref="T681:T687" si="169">AJ681</f>
        <v>69.798657718120808</v>
      </c>
      <c r="U681" s="180">
        <f t="shared" ref="U681:U687" si="170">R681*T681/100</f>
        <v>1.6012317167051577</v>
      </c>
      <c r="V681" s="182">
        <f t="shared" ref="V681:V687" si="171">S681-T681</f>
        <v>30.201342281879192</v>
      </c>
      <c r="W681" s="180"/>
      <c r="X681" s="180"/>
      <c r="Y681" s="180"/>
      <c r="Z681" s="180"/>
      <c r="AA681" s="180"/>
      <c r="AB681" s="180"/>
      <c r="AC681" s="180"/>
      <c r="AD681" s="180"/>
      <c r="AE681" s="180"/>
      <c r="AF681" s="180"/>
      <c r="AG681" s="180"/>
      <c r="AH681" s="180"/>
      <c r="AI681" s="180">
        <f>2500000+7900000</f>
        <v>10400000</v>
      </c>
      <c r="AJ681" s="181">
        <f t="shared" si="155"/>
        <v>69.798657718120808</v>
      </c>
      <c r="AK681" s="180">
        <f t="shared" si="161"/>
        <v>4500000</v>
      </c>
      <c r="AL681" s="181">
        <f t="shared" si="157"/>
        <v>30.201342281879196</v>
      </c>
      <c r="AM681" s="243"/>
    </row>
    <row r="682" spans="1:83" ht="28.5" customHeight="1" x14ac:dyDescent="0.25">
      <c r="A682" s="243"/>
      <c r="B682" s="477"/>
      <c r="C682" s="477"/>
      <c r="D682" s="477"/>
      <c r="E682" s="477"/>
      <c r="F682" s="477"/>
      <c r="G682" s="477"/>
      <c r="H682" s="477"/>
      <c r="I682" s="478"/>
      <c r="J682" s="477" t="s">
        <v>502</v>
      </c>
      <c r="K682" s="245"/>
      <c r="L682" s="257"/>
      <c r="M682" s="604" t="s">
        <v>319</v>
      </c>
      <c r="N682" s="592"/>
      <c r="O682" s="179"/>
      <c r="P682" s="180"/>
      <c r="Q682" s="180">
        <v>200200000</v>
      </c>
      <c r="R682" s="181">
        <f>Q682/Q$680*100</f>
        <v>30.82371054657429</v>
      </c>
      <c r="S682" s="181">
        <v>100</v>
      </c>
      <c r="T682" s="180">
        <f t="shared" si="169"/>
        <v>49.615384615384613</v>
      </c>
      <c r="U682" s="180">
        <f t="shared" si="170"/>
        <v>15.293302540415704</v>
      </c>
      <c r="V682" s="182">
        <f t="shared" si="171"/>
        <v>50.384615384615387</v>
      </c>
      <c r="W682" s="180"/>
      <c r="X682" s="180"/>
      <c r="Y682" s="180"/>
      <c r="Z682" s="180"/>
      <c r="AA682" s="180"/>
      <c r="AB682" s="180"/>
      <c r="AC682" s="180"/>
      <c r="AD682" s="180"/>
      <c r="AE682" s="180"/>
      <c r="AF682" s="180"/>
      <c r="AG682" s="180"/>
      <c r="AH682" s="180"/>
      <c r="AI682" s="180">
        <v>99330000</v>
      </c>
      <c r="AJ682" s="181">
        <f t="shared" si="155"/>
        <v>49.615384615384613</v>
      </c>
      <c r="AK682" s="180">
        <f t="shared" si="161"/>
        <v>100870000</v>
      </c>
      <c r="AL682" s="181">
        <f t="shared" si="157"/>
        <v>50.384615384615387</v>
      </c>
      <c r="AM682" s="243"/>
    </row>
    <row r="683" spans="1:83" ht="28.5" customHeight="1" x14ac:dyDescent="0.25">
      <c r="A683" s="243"/>
      <c r="B683" s="477"/>
      <c r="C683" s="477"/>
      <c r="D683" s="477"/>
      <c r="E683" s="477"/>
      <c r="F683" s="477"/>
      <c r="G683" s="477"/>
      <c r="H683" s="477"/>
      <c r="I683" s="478"/>
      <c r="J683" s="477" t="s">
        <v>625</v>
      </c>
      <c r="K683" s="245"/>
      <c r="L683" s="257"/>
      <c r="M683" s="604" t="s">
        <v>281</v>
      </c>
      <c r="N683" s="592"/>
      <c r="O683" s="179"/>
      <c r="P683" s="180"/>
      <c r="Q683" s="180">
        <v>25200000</v>
      </c>
      <c r="R683" s="181">
        <f>Q683/Q$680*100</f>
        <v>3.8799076212471131</v>
      </c>
      <c r="S683" s="181">
        <v>100</v>
      </c>
      <c r="T683" s="180">
        <f t="shared" si="169"/>
        <v>29.166666666666668</v>
      </c>
      <c r="U683" s="180">
        <f t="shared" si="170"/>
        <v>1.1316397228637414</v>
      </c>
      <c r="V683" s="182">
        <f t="shared" si="171"/>
        <v>70.833333333333329</v>
      </c>
      <c r="W683" s="180"/>
      <c r="X683" s="180"/>
      <c r="Y683" s="180"/>
      <c r="Z683" s="180"/>
      <c r="AA683" s="180"/>
      <c r="AB683" s="180"/>
      <c r="AC683" s="180"/>
      <c r="AD683" s="180"/>
      <c r="AE683" s="180"/>
      <c r="AF683" s="180"/>
      <c r="AG683" s="180"/>
      <c r="AH683" s="180"/>
      <c r="AI683" s="180">
        <f>2450000+4900000</f>
        <v>7350000</v>
      </c>
      <c r="AJ683" s="181">
        <f t="shared" si="155"/>
        <v>29.166666666666668</v>
      </c>
      <c r="AK683" s="180">
        <f t="shared" si="161"/>
        <v>17850000</v>
      </c>
      <c r="AL683" s="181">
        <f t="shared" si="157"/>
        <v>70.833333333333343</v>
      </c>
      <c r="AM683" s="243"/>
    </row>
    <row r="684" spans="1:83" ht="28.5" customHeight="1" x14ac:dyDescent="0.25">
      <c r="A684" s="243"/>
      <c r="B684" s="477"/>
      <c r="C684" s="477"/>
      <c r="D684" s="477"/>
      <c r="E684" s="477"/>
      <c r="F684" s="477"/>
      <c r="G684" s="477"/>
      <c r="H684" s="477"/>
      <c r="I684" s="478"/>
      <c r="J684" s="477" t="s">
        <v>538</v>
      </c>
      <c r="K684" s="245"/>
      <c r="L684" s="257"/>
      <c r="M684" s="605" t="s">
        <v>626</v>
      </c>
      <c r="N684" s="606"/>
      <c r="O684" s="179"/>
      <c r="P684" s="180"/>
      <c r="Q684" s="180">
        <v>92000000</v>
      </c>
      <c r="R684" s="181">
        <f t="shared" si="168"/>
        <v>14.164742109314856</v>
      </c>
      <c r="S684" s="181">
        <v>100</v>
      </c>
      <c r="T684" s="180">
        <f t="shared" si="169"/>
        <v>49.999136956521738</v>
      </c>
      <c r="U684" s="180">
        <f t="shared" si="170"/>
        <v>7.0822488067744418</v>
      </c>
      <c r="V684" s="182">
        <f t="shared" si="171"/>
        <v>50.000863043478262</v>
      </c>
      <c r="W684" s="180"/>
      <c r="X684" s="180"/>
      <c r="Y684" s="180"/>
      <c r="Z684" s="180"/>
      <c r="AA684" s="180"/>
      <c r="AB684" s="180"/>
      <c r="AC684" s="180"/>
      <c r="AD684" s="180"/>
      <c r="AE684" s="180"/>
      <c r="AF684" s="180"/>
      <c r="AG684" s="180"/>
      <c r="AH684" s="180"/>
      <c r="AI684" s="180">
        <v>45999206</v>
      </c>
      <c r="AJ684" s="181">
        <f t="shared" si="155"/>
        <v>49.999136956521738</v>
      </c>
      <c r="AK684" s="180">
        <f t="shared" si="161"/>
        <v>46000794</v>
      </c>
      <c r="AL684" s="181">
        <f t="shared" si="157"/>
        <v>50.000863043478262</v>
      </c>
      <c r="AM684" s="243"/>
    </row>
    <row r="685" spans="1:83" ht="28.5" customHeight="1" x14ac:dyDescent="0.25">
      <c r="A685" s="243"/>
      <c r="B685" s="477"/>
      <c r="C685" s="477"/>
      <c r="D685" s="477"/>
      <c r="E685" s="477"/>
      <c r="F685" s="477"/>
      <c r="G685" s="477"/>
      <c r="H685" s="477"/>
      <c r="I685" s="478"/>
      <c r="J685" s="477" t="s">
        <v>629</v>
      </c>
      <c r="K685" s="245"/>
      <c r="L685" s="257"/>
      <c r="M685" s="605" t="s">
        <v>321</v>
      </c>
      <c r="N685" s="606"/>
      <c r="O685" s="179"/>
      <c r="P685" s="180"/>
      <c r="Q685" s="180">
        <v>9200000</v>
      </c>
      <c r="R685" s="181">
        <f t="shared" si="168"/>
        <v>1.4164742109314856</v>
      </c>
      <c r="S685" s="181">
        <v>100</v>
      </c>
      <c r="T685" s="180">
        <f t="shared" si="169"/>
        <v>48.913043478260867</v>
      </c>
      <c r="U685" s="180">
        <f t="shared" si="170"/>
        <v>0.6928406466512701</v>
      </c>
      <c r="V685" s="182">
        <f t="shared" si="171"/>
        <v>51.086956521739133</v>
      </c>
      <c r="W685" s="180"/>
      <c r="X685" s="180"/>
      <c r="Y685" s="180"/>
      <c r="Z685" s="180"/>
      <c r="AA685" s="180"/>
      <c r="AB685" s="180"/>
      <c r="AC685" s="180"/>
      <c r="AD685" s="180"/>
      <c r="AE685" s="180"/>
      <c r="AF685" s="180"/>
      <c r="AG685" s="180"/>
      <c r="AH685" s="180"/>
      <c r="AI685" s="180">
        <v>4500000</v>
      </c>
      <c r="AJ685" s="181">
        <f t="shared" ref="AJ685:AJ687" si="172">AI685/Q685*100</f>
        <v>48.913043478260867</v>
      </c>
      <c r="AK685" s="180">
        <f t="shared" si="161"/>
        <v>4700000</v>
      </c>
      <c r="AL685" s="181">
        <f t="shared" si="157"/>
        <v>51.086956521739133</v>
      </c>
      <c r="AM685" s="243"/>
    </row>
    <row r="686" spans="1:83" ht="28.5" customHeight="1" x14ac:dyDescent="0.25">
      <c r="A686" s="243"/>
      <c r="B686" s="477"/>
      <c r="C686" s="477"/>
      <c r="D686" s="477"/>
      <c r="E686" s="477"/>
      <c r="F686" s="477"/>
      <c r="G686" s="477"/>
      <c r="H686" s="477"/>
      <c r="I686" s="478"/>
      <c r="J686" s="477" t="s">
        <v>628</v>
      </c>
      <c r="K686" s="245"/>
      <c r="L686" s="257"/>
      <c r="M686" s="605" t="s">
        <v>310</v>
      </c>
      <c r="N686" s="606"/>
      <c r="O686" s="179"/>
      <c r="P686" s="180"/>
      <c r="Q686" s="180">
        <v>300000000</v>
      </c>
      <c r="R686" s="181">
        <f t="shared" si="168"/>
        <v>46.189376443418013</v>
      </c>
      <c r="S686" s="181">
        <v>100</v>
      </c>
      <c r="T686" s="180">
        <f t="shared" si="169"/>
        <v>13.333333333333334</v>
      </c>
      <c r="U686" s="180">
        <f t="shared" si="170"/>
        <v>6.1585835257890684</v>
      </c>
      <c r="V686" s="182">
        <f t="shared" si="171"/>
        <v>86.666666666666671</v>
      </c>
      <c r="W686" s="180"/>
      <c r="X686" s="180"/>
      <c r="Y686" s="180"/>
      <c r="Z686" s="180"/>
      <c r="AA686" s="180"/>
      <c r="AB686" s="180"/>
      <c r="AC686" s="180"/>
      <c r="AD686" s="180"/>
      <c r="AE686" s="180"/>
      <c r="AF686" s="180"/>
      <c r="AG686" s="180"/>
      <c r="AH686" s="180"/>
      <c r="AI686" s="180">
        <v>40000000</v>
      </c>
      <c r="AJ686" s="181">
        <f t="shared" si="172"/>
        <v>13.333333333333334</v>
      </c>
      <c r="AK686" s="180">
        <f t="shared" si="161"/>
        <v>260000000</v>
      </c>
      <c r="AL686" s="181">
        <f t="shared" si="157"/>
        <v>86.666666666666671</v>
      </c>
      <c r="AM686" s="243"/>
    </row>
    <row r="687" spans="1:83" ht="24.75" customHeight="1" x14ac:dyDescent="0.25">
      <c r="A687" s="243"/>
      <c r="B687" s="597" t="s">
        <v>158</v>
      </c>
      <c r="C687" s="597"/>
      <c r="D687" s="597"/>
      <c r="E687" s="597"/>
      <c r="F687" s="597"/>
      <c r="G687" s="597"/>
      <c r="H687" s="597"/>
      <c r="I687" s="598"/>
      <c r="J687" s="477" t="s">
        <v>627</v>
      </c>
      <c r="K687" s="314"/>
      <c r="L687" s="315"/>
      <c r="M687" s="599" t="s">
        <v>607</v>
      </c>
      <c r="N687" s="600"/>
      <c r="O687" s="316"/>
      <c r="P687" s="316"/>
      <c r="Q687" s="317">
        <v>8000000</v>
      </c>
      <c r="R687" s="181">
        <f t="shared" si="168"/>
        <v>1.2317167051578137</v>
      </c>
      <c r="S687" s="181">
        <v>100</v>
      </c>
      <c r="T687" s="180">
        <f t="shared" si="169"/>
        <v>50</v>
      </c>
      <c r="U687" s="180">
        <f t="shared" si="170"/>
        <v>0.61585835257890686</v>
      </c>
      <c r="V687" s="182">
        <f t="shared" si="171"/>
        <v>50</v>
      </c>
      <c r="W687" s="316"/>
      <c r="X687" s="316"/>
      <c r="Y687" s="316"/>
      <c r="Z687" s="316"/>
      <c r="AA687" s="316"/>
      <c r="AB687" s="316"/>
      <c r="AC687" s="316"/>
      <c r="AD687" s="316"/>
      <c r="AE687" s="316"/>
      <c r="AF687" s="316"/>
      <c r="AG687" s="316"/>
      <c r="AH687" s="316"/>
      <c r="AI687" s="180">
        <v>4000000</v>
      </c>
      <c r="AJ687" s="181">
        <f t="shared" si="172"/>
        <v>50</v>
      </c>
      <c r="AK687" s="180">
        <f t="shared" si="161"/>
        <v>4000000</v>
      </c>
      <c r="AL687" s="181">
        <f t="shared" si="157"/>
        <v>50</v>
      </c>
      <c r="AM687" s="243"/>
      <c r="AQ687" s="318"/>
      <c r="AR687" s="318"/>
      <c r="AS687" s="318"/>
      <c r="AT687" s="318"/>
      <c r="AU687" s="318"/>
      <c r="AV687" s="318"/>
      <c r="AW687" s="318"/>
      <c r="AX687" s="318"/>
      <c r="AY687" s="318"/>
      <c r="AZ687" s="318"/>
      <c r="BA687" s="318"/>
      <c r="BB687" s="318"/>
      <c r="BC687" s="318"/>
      <c r="BD687" s="318"/>
      <c r="BE687" s="318"/>
      <c r="BF687" s="318"/>
      <c r="BG687" s="318"/>
      <c r="BH687" s="318"/>
      <c r="BI687" s="318"/>
      <c r="BJ687" s="318"/>
      <c r="BK687" s="318"/>
      <c r="BL687" s="318"/>
      <c r="BM687" s="318"/>
      <c r="BN687" s="318"/>
      <c r="BO687" s="318"/>
      <c r="BP687" s="318"/>
      <c r="BQ687" s="318"/>
      <c r="BR687" s="318"/>
      <c r="BS687" s="318"/>
      <c r="BT687" s="318"/>
      <c r="BU687" s="318"/>
      <c r="BV687" s="318"/>
      <c r="BW687" s="318"/>
      <c r="BX687" s="318"/>
      <c r="BY687" s="318"/>
      <c r="BZ687" s="318"/>
      <c r="CA687" s="318"/>
      <c r="CB687" s="318"/>
      <c r="CC687" s="318"/>
      <c r="CD687" s="318"/>
      <c r="CE687" s="318"/>
    </row>
    <row r="688" spans="1:83" s="319" customFormat="1" ht="24" customHeight="1" x14ac:dyDescent="0.25">
      <c r="B688" s="601" t="s">
        <v>166</v>
      </c>
      <c r="C688" s="601"/>
      <c r="D688" s="601"/>
      <c r="E688" s="601"/>
      <c r="F688" s="601"/>
      <c r="G688" s="601"/>
      <c r="H688" s="601"/>
      <c r="I688" s="601"/>
      <c r="J688" s="479"/>
      <c r="L688" s="601"/>
      <c r="M688" s="601"/>
      <c r="N688" s="601"/>
      <c r="O688" s="321" t="e">
        <f>SUM(#REF!)</f>
        <v>#REF!</v>
      </c>
      <c r="P688" s="321" t="e">
        <f>SUM(#REF!)</f>
        <v>#REF!</v>
      </c>
      <c r="Q688" s="321"/>
      <c r="R688" s="322"/>
      <c r="S688" s="322"/>
      <c r="T688" s="321"/>
      <c r="U688" s="321"/>
      <c r="V688" s="323"/>
      <c r="W688" s="321"/>
      <c r="X688" s="321"/>
      <c r="Y688" s="321"/>
      <c r="Z688" s="321"/>
      <c r="AA688" s="321"/>
      <c r="AB688" s="321"/>
      <c r="AC688" s="321"/>
      <c r="AD688" s="321"/>
      <c r="AE688" s="321"/>
      <c r="AF688" s="321"/>
      <c r="AG688" s="321"/>
      <c r="AH688" s="321"/>
      <c r="AI688" s="321"/>
      <c r="AJ688" s="322"/>
      <c r="AK688" s="321"/>
      <c r="AL688" s="322"/>
      <c r="AQ688" s="325"/>
      <c r="AR688" s="325"/>
      <c r="AS688" s="325"/>
      <c r="AT688" s="325"/>
      <c r="AU688" s="325"/>
      <c r="AV688" s="325"/>
      <c r="AW688" s="325"/>
      <c r="AX688" s="325"/>
      <c r="AY688" s="325"/>
      <c r="AZ688" s="325"/>
      <c r="BA688" s="325"/>
      <c r="BB688" s="325"/>
      <c r="BC688" s="325"/>
      <c r="BD688" s="325"/>
      <c r="BE688" s="325"/>
      <c r="BF688" s="325"/>
      <c r="BG688" s="325"/>
      <c r="BH688" s="325"/>
      <c r="BI688" s="325"/>
      <c r="BJ688" s="325"/>
      <c r="BK688" s="325"/>
      <c r="BL688" s="325"/>
      <c r="BM688" s="325"/>
      <c r="BN688" s="325"/>
      <c r="BO688" s="325"/>
      <c r="BP688" s="325"/>
      <c r="BQ688" s="325"/>
      <c r="BR688" s="325"/>
      <c r="BS688" s="325"/>
      <c r="BT688" s="325"/>
      <c r="BU688" s="325"/>
      <c r="BV688" s="325"/>
      <c r="BW688" s="325"/>
      <c r="BX688" s="325"/>
      <c r="BY688" s="325"/>
      <c r="BZ688" s="325"/>
      <c r="CA688" s="325"/>
      <c r="CB688" s="325"/>
      <c r="CC688" s="325"/>
      <c r="CD688" s="325"/>
      <c r="CE688" s="325"/>
    </row>
    <row r="689" spans="1:39" s="325" customFormat="1" ht="24" customHeight="1" x14ac:dyDescent="0.25">
      <c r="B689" s="326"/>
      <c r="C689" s="326"/>
      <c r="D689" s="326"/>
      <c r="E689" s="326"/>
      <c r="F689" s="326"/>
      <c r="G689" s="326"/>
      <c r="H689" s="326"/>
      <c r="I689" s="326"/>
      <c r="J689" s="326"/>
      <c r="L689" s="326"/>
      <c r="M689" s="326"/>
      <c r="N689" s="326"/>
      <c r="O689" s="327"/>
      <c r="P689" s="327"/>
      <c r="Q689" s="327"/>
      <c r="R689" s="328"/>
      <c r="S689" s="328"/>
      <c r="T689" s="327"/>
      <c r="U689" s="327"/>
      <c r="V689" s="329"/>
      <c r="W689" s="327"/>
      <c r="X689" s="327"/>
      <c r="Y689" s="327"/>
      <c r="Z689" s="327"/>
      <c r="AA689" s="327"/>
      <c r="AB689" s="327"/>
      <c r="AC689" s="327"/>
      <c r="AD689" s="327"/>
      <c r="AE689" s="327"/>
      <c r="AF689" s="327"/>
      <c r="AG689" s="327"/>
      <c r="AH689" s="327"/>
      <c r="AI689" s="602" t="s">
        <v>542</v>
      </c>
      <c r="AJ689" s="602"/>
      <c r="AK689" s="602"/>
      <c r="AL689" s="602"/>
    </row>
    <row r="690" spans="1:39" s="325" customFormat="1" ht="24" customHeight="1" x14ac:dyDescent="0.25">
      <c r="B690" s="326"/>
      <c r="C690" s="326"/>
      <c r="D690" s="326"/>
      <c r="E690" s="326"/>
      <c r="F690" s="326"/>
      <c r="G690" s="326"/>
      <c r="H690" s="326"/>
      <c r="I690" s="326"/>
      <c r="J690" s="326"/>
      <c r="L690" s="326"/>
      <c r="M690" s="326"/>
      <c r="N690" s="326"/>
      <c r="O690" s="327"/>
      <c r="P690" s="327"/>
      <c r="Q690" s="327"/>
      <c r="R690" s="328"/>
      <c r="S690" s="328"/>
      <c r="T690" s="327"/>
      <c r="U690" s="327"/>
      <c r="V690" s="329"/>
      <c r="W690" s="327"/>
      <c r="X690" s="327"/>
      <c r="Y690" s="327"/>
      <c r="Z690" s="327"/>
      <c r="AA690" s="327"/>
      <c r="AB690" s="327"/>
      <c r="AC690" s="327"/>
      <c r="AD690" s="327"/>
      <c r="AE690" s="327"/>
      <c r="AF690" s="327"/>
      <c r="AG690" s="327"/>
      <c r="AH690" s="327"/>
      <c r="AI690" s="603" t="s">
        <v>543</v>
      </c>
      <c r="AJ690" s="603"/>
      <c r="AK690" s="603"/>
      <c r="AL690" s="603"/>
    </row>
    <row r="691" spans="1:39" s="325" customFormat="1" ht="24" customHeight="1" x14ac:dyDescent="0.25">
      <c r="B691" s="326"/>
      <c r="C691" s="326"/>
      <c r="D691" s="326"/>
      <c r="E691" s="326"/>
      <c r="F691" s="326"/>
      <c r="G691" s="326"/>
      <c r="H691" s="326"/>
      <c r="I691" s="326"/>
      <c r="J691" s="326"/>
      <c r="L691" s="326"/>
      <c r="M691" s="326"/>
      <c r="N691" s="326"/>
      <c r="O691" s="327"/>
      <c r="P691" s="327"/>
      <c r="Q691" s="327"/>
      <c r="R691" s="328"/>
      <c r="S691" s="328"/>
      <c r="T691" s="327"/>
      <c r="U691" s="327"/>
      <c r="V691" s="329"/>
      <c r="W691" s="327"/>
      <c r="X691" s="327"/>
      <c r="Y691" s="327"/>
      <c r="Z691" s="327"/>
      <c r="AA691" s="327"/>
      <c r="AB691" s="327"/>
      <c r="AC691" s="327"/>
      <c r="AD691" s="327"/>
      <c r="AE691" s="327"/>
      <c r="AF691" s="327"/>
      <c r="AG691" s="327"/>
      <c r="AH691" s="327"/>
      <c r="AI691" s="311" t="s">
        <v>648</v>
      </c>
      <c r="AJ691" s="297"/>
      <c r="AK691" s="406"/>
      <c r="AL691" s="328"/>
    </row>
    <row r="692" spans="1:39" ht="13.5" customHeight="1" x14ac:dyDescent="0.25">
      <c r="AI692" s="311"/>
      <c r="AJ692" s="297"/>
      <c r="AK692" s="406"/>
    </row>
    <row r="693" spans="1:39" ht="13.5" customHeight="1" x14ac:dyDescent="0.25">
      <c r="A693" s="204"/>
      <c r="B693" s="204"/>
      <c r="C693" s="204"/>
      <c r="D693" s="204"/>
      <c r="E693" s="204"/>
      <c r="F693" s="204"/>
      <c r="G693" s="204"/>
      <c r="H693" s="204"/>
      <c r="I693" s="204"/>
      <c r="J693" s="204"/>
      <c r="K693" s="204"/>
      <c r="L693" s="204"/>
      <c r="M693" s="204"/>
      <c r="N693" s="332"/>
      <c r="O693" s="204"/>
      <c r="P693" s="204"/>
      <c r="Q693" s="204"/>
      <c r="R693" s="204"/>
      <c r="S693" s="204"/>
      <c r="T693" s="204"/>
      <c r="U693" s="204"/>
      <c r="V693" s="333"/>
      <c r="W693" s="204"/>
      <c r="X693" s="204"/>
      <c r="Y693" s="204"/>
      <c r="Z693" s="204"/>
      <c r="AA693" s="204"/>
      <c r="AB693" s="204"/>
      <c r="AC693" s="204"/>
      <c r="AD693" s="204"/>
      <c r="AE693" s="204"/>
      <c r="AF693" s="204"/>
      <c r="AG693" s="204"/>
      <c r="AH693" s="204"/>
      <c r="AI693" s="311"/>
      <c r="AJ693" s="297"/>
      <c r="AK693" s="406"/>
      <c r="AL693" s="204"/>
      <c r="AM693" s="204"/>
    </row>
    <row r="694" spans="1:39" ht="13.5" customHeight="1" x14ac:dyDescent="0.25">
      <c r="A694" s="204"/>
      <c r="B694" s="204"/>
      <c r="C694" s="204"/>
      <c r="D694" s="204"/>
      <c r="E694" s="204"/>
      <c r="F694" s="204"/>
      <c r="G694" s="204"/>
      <c r="H694" s="204"/>
      <c r="I694" s="204"/>
      <c r="J694" s="204"/>
      <c r="K694" s="204"/>
      <c r="L694" s="204"/>
      <c r="M694" s="204"/>
      <c r="N694" s="204"/>
      <c r="O694" s="204"/>
      <c r="P694" s="204"/>
      <c r="Q694" s="204"/>
      <c r="R694" s="204"/>
      <c r="S694" s="204"/>
      <c r="T694" s="204"/>
      <c r="U694" s="204"/>
      <c r="V694" s="333"/>
      <c r="W694" s="204"/>
      <c r="X694" s="204"/>
      <c r="Y694" s="204"/>
      <c r="Z694" s="204"/>
      <c r="AA694" s="204"/>
      <c r="AB694" s="204"/>
      <c r="AC694" s="204"/>
      <c r="AD694" s="204"/>
      <c r="AE694" s="204"/>
      <c r="AF694" s="204"/>
      <c r="AG694" s="204"/>
      <c r="AH694" s="204"/>
      <c r="AI694" s="311"/>
      <c r="AJ694" s="297"/>
      <c r="AK694" s="406"/>
      <c r="AL694" s="204"/>
      <c r="AM694" s="204"/>
    </row>
    <row r="695" spans="1:39" ht="13.5" customHeight="1" x14ac:dyDescent="0.25">
      <c r="A695" s="204"/>
      <c r="B695" s="204"/>
      <c r="C695" s="204"/>
      <c r="D695" s="204"/>
      <c r="E695" s="204"/>
      <c r="F695" s="204"/>
      <c r="G695" s="204"/>
      <c r="H695" s="204"/>
      <c r="I695" s="204"/>
      <c r="J695" s="204"/>
      <c r="K695" s="204"/>
      <c r="L695" s="204"/>
      <c r="M695" s="204"/>
      <c r="N695" s="204"/>
      <c r="AI695" s="595" t="s">
        <v>216</v>
      </c>
      <c r="AJ695" s="595"/>
      <c r="AK695" s="595"/>
      <c r="AL695" s="595"/>
    </row>
    <row r="696" spans="1:39" ht="13.5" customHeight="1" x14ac:dyDescent="0.25">
      <c r="A696" s="334"/>
      <c r="B696" s="204"/>
      <c r="C696" s="204"/>
      <c r="D696" s="204"/>
      <c r="E696" s="204"/>
      <c r="F696" s="204"/>
      <c r="G696" s="204"/>
      <c r="H696" s="204"/>
      <c r="I696" s="204"/>
      <c r="J696" s="204"/>
      <c r="K696" s="204"/>
      <c r="L696" s="204"/>
      <c r="M696" s="204"/>
      <c r="N696" s="204"/>
      <c r="AI696" s="596" t="s">
        <v>217</v>
      </c>
      <c r="AJ696" s="596"/>
      <c r="AK696" s="596"/>
      <c r="AL696" s="596"/>
    </row>
    <row r="697" spans="1:39" ht="13.5" customHeight="1" x14ac:dyDescent="0.25">
      <c r="A697" s="204"/>
      <c r="B697" s="204"/>
      <c r="C697" s="204"/>
      <c r="D697" s="204"/>
      <c r="E697" s="204"/>
      <c r="F697" s="204"/>
      <c r="G697" s="204"/>
      <c r="H697" s="204"/>
      <c r="I697" s="204"/>
      <c r="J697" s="204"/>
      <c r="K697" s="204"/>
      <c r="L697" s="204"/>
      <c r="M697" s="204"/>
      <c r="N697" s="204"/>
    </row>
    <row r="698" spans="1:39" ht="13.5" customHeight="1" x14ac:dyDescent="0.25">
      <c r="A698" s="204"/>
      <c r="B698" s="204"/>
      <c r="C698" s="204"/>
      <c r="D698" s="204"/>
      <c r="E698" s="204"/>
      <c r="F698" s="204"/>
      <c r="G698" s="204"/>
      <c r="H698" s="204"/>
      <c r="I698" s="204"/>
      <c r="J698" s="204"/>
      <c r="K698" s="204"/>
      <c r="L698" s="204"/>
      <c r="M698" s="204"/>
      <c r="N698" s="204"/>
    </row>
    <row r="699" spans="1:39" ht="13.5" customHeight="1" x14ac:dyDescent="0.25">
      <c r="A699" s="337"/>
      <c r="B699" s="204"/>
      <c r="C699" s="204"/>
      <c r="D699" s="204"/>
      <c r="E699" s="204"/>
      <c r="F699" s="204"/>
      <c r="G699" s="204"/>
      <c r="H699" s="204"/>
      <c r="I699" s="204"/>
      <c r="J699" s="204"/>
      <c r="K699" s="204"/>
      <c r="L699" s="204"/>
      <c r="M699" s="204"/>
      <c r="N699" s="204"/>
    </row>
    <row r="700" spans="1:39" ht="13.5" customHeight="1" x14ac:dyDescent="0.25">
      <c r="A700" s="204"/>
      <c r="B700" s="204"/>
      <c r="C700" s="204"/>
      <c r="D700" s="204"/>
      <c r="E700" s="204"/>
      <c r="F700" s="204"/>
      <c r="G700" s="204"/>
      <c r="H700" s="204"/>
      <c r="I700" s="204"/>
      <c r="J700" s="204"/>
      <c r="K700" s="204"/>
      <c r="L700" s="204"/>
      <c r="M700" s="204"/>
      <c r="N700" s="204"/>
    </row>
    <row r="701" spans="1:39" ht="13.5" customHeight="1" x14ac:dyDescent="0.25">
      <c r="A701" s="204"/>
      <c r="B701" s="204"/>
      <c r="C701" s="204"/>
      <c r="D701" s="204"/>
      <c r="E701" s="204"/>
      <c r="F701" s="204"/>
      <c r="G701" s="204"/>
      <c r="H701" s="204"/>
      <c r="I701" s="204"/>
      <c r="J701" s="204"/>
      <c r="K701" s="204"/>
      <c r="L701" s="204"/>
      <c r="M701" s="204"/>
      <c r="N701" s="204"/>
    </row>
    <row r="702" spans="1:39" ht="13.5" customHeight="1" x14ac:dyDescent="0.25">
      <c r="A702" s="204"/>
      <c r="B702" s="204"/>
      <c r="C702" s="204"/>
      <c r="D702" s="204"/>
      <c r="E702" s="204"/>
      <c r="F702" s="204"/>
      <c r="G702" s="204"/>
      <c r="H702" s="204"/>
      <c r="I702" s="204"/>
      <c r="J702" s="204"/>
      <c r="K702" s="204"/>
      <c r="L702" s="204"/>
      <c r="M702" s="204"/>
      <c r="N702" s="204"/>
    </row>
    <row r="703" spans="1:39" ht="13.5" customHeight="1" x14ac:dyDescent="0.25">
      <c r="A703" s="337"/>
      <c r="B703" s="204"/>
      <c r="C703" s="204"/>
      <c r="D703" s="204"/>
      <c r="E703" s="204"/>
      <c r="F703" s="204"/>
      <c r="G703" s="204"/>
      <c r="H703" s="204"/>
      <c r="I703" s="204"/>
      <c r="J703" s="204"/>
      <c r="K703" s="204"/>
      <c r="L703" s="204"/>
      <c r="M703" s="204"/>
      <c r="N703" s="204"/>
    </row>
    <row r="704" spans="1:39" ht="13.5" customHeight="1" x14ac:dyDescent="0.25">
      <c r="A704" s="204"/>
      <c r="B704" s="204"/>
      <c r="C704" s="204"/>
      <c r="D704" s="204"/>
      <c r="E704" s="204"/>
      <c r="F704" s="204"/>
      <c r="G704" s="204"/>
      <c r="H704" s="204"/>
      <c r="I704" s="204"/>
      <c r="J704" s="204"/>
      <c r="K704" s="204"/>
      <c r="L704" s="204"/>
      <c r="M704" s="204"/>
      <c r="N704" s="204"/>
    </row>
    <row r="705" spans="1:35" ht="13.5" customHeight="1" x14ac:dyDescent="0.25">
      <c r="A705" s="204"/>
      <c r="B705" s="204"/>
      <c r="C705" s="204"/>
      <c r="D705" s="204"/>
      <c r="E705" s="204"/>
      <c r="F705" s="204"/>
      <c r="G705" s="204"/>
      <c r="H705" s="204"/>
      <c r="I705" s="204"/>
      <c r="J705" s="204"/>
      <c r="K705" s="204"/>
      <c r="L705" s="204"/>
      <c r="M705" s="204"/>
      <c r="N705" s="204"/>
    </row>
    <row r="706" spans="1:35" ht="13.5" customHeight="1" x14ac:dyDescent="0.25">
      <c r="A706" s="334"/>
      <c r="B706" s="204"/>
      <c r="C706" s="204"/>
      <c r="D706" s="204"/>
      <c r="E706" s="204"/>
      <c r="F706" s="204"/>
      <c r="G706" s="204"/>
      <c r="H706" s="204"/>
      <c r="I706" s="204"/>
      <c r="J706" s="204"/>
      <c r="K706" s="204"/>
      <c r="L706" s="204"/>
      <c r="M706" s="204"/>
      <c r="N706" s="204"/>
    </row>
    <row r="707" spans="1:35" ht="13.5" customHeight="1" x14ac:dyDescent="0.25">
      <c r="A707" s="333"/>
      <c r="B707" s="338"/>
      <c r="C707" s="338"/>
      <c r="D707" s="338"/>
      <c r="E707" s="338"/>
      <c r="F707" s="338"/>
      <c r="G707" s="338"/>
      <c r="H707" s="338"/>
      <c r="I707" s="338"/>
      <c r="J707" s="338"/>
      <c r="K707" s="333"/>
      <c r="L707" s="204"/>
      <c r="M707" s="204"/>
      <c r="N707" s="204"/>
    </row>
    <row r="708" spans="1:35" ht="13.5" customHeight="1" x14ac:dyDescent="0.25">
      <c r="A708" s="333">
        <v>0</v>
      </c>
      <c r="B708" s="338"/>
      <c r="C708" s="338"/>
      <c r="D708" s="338"/>
      <c r="E708" s="338"/>
      <c r="F708" s="338"/>
      <c r="G708" s="338"/>
      <c r="H708" s="338"/>
      <c r="I708" s="338"/>
      <c r="J708" s="338"/>
      <c r="K708" s="333" t="s">
        <v>190</v>
      </c>
      <c r="L708" s="204"/>
      <c r="M708" s="204"/>
      <c r="N708" s="204"/>
    </row>
    <row r="709" spans="1:35" ht="13.5" customHeight="1" x14ac:dyDescent="0.25">
      <c r="A709" s="333">
        <f>A707-A708</f>
        <v>0</v>
      </c>
      <c r="B709" s="338"/>
      <c r="C709" s="338"/>
      <c r="D709" s="338"/>
      <c r="E709" s="338"/>
      <c r="F709" s="338"/>
      <c r="G709" s="338"/>
      <c r="H709" s="338"/>
      <c r="I709" s="338"/>
      <c r="J709" s="338"/>
      <c r="K709" s="333" t="s">
        <v>191</v>
      </c>
      <c r="L709" s="204"/>
      <c r="M709" s="204"/>
      <c r="N709" s="204"/>
    </row>
    <row r="710" spans="1:35" ht="13.5" customHeight="1" x14ac:dyDescent="0.25">
      <c r="A710" s="204"/>
      <c r="B710" s="204"/>
      <c r="C710" s="204"/>
      <c r="D710" s="204"/>
      <c r="E710" s="204"/>
      <c r="F710" s="204"/>
      <c r="G710" s="204"/>
      <c r="H710" s="204"/>
      <c r="I710" s="204"/>
      <c r="J710" s="204"/>
      <c r="K710" s="204"/>
      <c r="L710" s="204"/>
      <c r="M710" s="204"/>
      <c r="N710" s="204"/>
    </row>
    <row r="711" spans="1:35" ht="13.5" customHeight="1" x14ac:dyDescent="0.25">
      <c r="A711" s="204">
        <v>7</v>
      </c>
      <c r="B711" s="204"/>
      <c r="C711" s="204"/>
      <c r="D711" s="204"/>
      <c r="E711" s="204"/>
      <c r="F711" s="204"/>
      <c r="G711" s="204"/>
      <c r="H711" s="204"/>
      <c r="I711" s="204"/>
      <c r="J711" s="204"/>
      <c r="K711" s="204" t="s">
        <v>168</v>
      </c>
      <c r="L711" s="204"/>
      <c r="M711" s="204"/>
      <c r="N711" s="332" t="s">
        <v>169</v>
      </c>
      <c r="O711" s="204"/>
      <c r="P711" s="204"/>
      <c r="Q711" s="204"/>
      <c r="R711" s="204"/>
      <c r="S711" s="204"/>
      <c r="T711" s="204"/>
      <c r="U711" s="204"/>
    </row>
    <row r="712" spans="1:35" ht="13.5" customHeight="1" x14ac:dyDescent="0.25">
      <c r="A712" s="204" t="e">
        <f>#REF!</f>
        <v>#REF!</v>
      </c>
      <c r="B712" s="204"/>
      <c r="C712" s="204"/>
      <c r="D712" s="204"/>
      <c r="E712" s="204"/>
      <c r="F712" s="204"/>
      <c r="G712" s="204"/>
      <c r="H712" s="204"/>
      <c r="I712" s="204"/>
      <c r="J712" s="204"/>
      <c r="K712" s="204" t="s">
        <v>170</v>
      </c>
      <c r="L712" s="204"/>
      <c r="M712" s="204"/>
      <c r="N712" s="204" t="s">
        <v>171</v>
      </c>
      <c r="O712" s="204"/>
      <c r="P712" s="204"/>
      <c r="Q712" s="204"/>
      <c r="R712" s="204"/>
      <c r="S712" s="204"/>
      <c r="T712" s="204"/>
      <c r="U712" s="204"/>
      <c r="V712" s="205"/>
      <c r="AI712" s="205"/>
    </row>
    <row r="713" spans="1:35" ht="13.5" customHeight="1" x14ac:dyDescent="0.25">
      <c r="A713" s="204"/>
      <c r="B713" s="204"/>
      <c r="C713" s="204"/>
      <c r="D713" s="204"/>
      <c r="E713" s="204"/>
      <c r="F713" s="204"/>
      <c r="G713" s="204"/>
      <c r="H713" s="204"/>
      <c r="I713" s="204"/>
      <c r="J713" s="204"/>
      <c r="K713" s="204"/>
      <c r="L713" s="204"/>
      <c r="M713" s="204"/>
      <c r="N713" s="204" t="s">
        <v>172</v>
      </c>
      <c r="V713" s="205"/>
      <c r="AI713" s="205"/>
    </row>
    <row r="714" spans="1:35" ht="13.5" customHeight="1" x14ac:dyDescent="0.25">
      <c r="A714" s="334">
        <f>COUNTIF(T144:T706,"&gt;=95")</f>
        <v>87</v>
      </c>
      <c r="B714" s="204"/>
      <c r="C714" s="204"/>
      <c r="D714" s="204"/>
      <c r="E714" s="204"/>
      <c r="F714" s="204"/>
      <c r="G714" s="204"/>
      <c r="H714" s="204"/>
      <c r="I714" s="204"/>
      <c r="J714" s="204"/>
      <c r="K714" s="204" t="s">
        <v>173</v>
      </c>
      <c r="L714" s="204"/>
      <c r="M714" s="204"/>
      <c r="N714" s="204" t="s">
        <v>174</v>
      </c>
      <c r="V714" s="205"/>
      <c r="AI714" s="205"/>
    </row>
    <row r="715" spans="1:35" ht="13.5" customHeight="1" x14ac:dyDescent="0.25">
      <c r="A715" s="204" t="e">
        <f>A712-A714</f>
        <v>#REF!</v>
      </c>
      <c r="B715" s="204"/>
      <c r="C715" s="204"/>
      <c r="D715" s="204"/>
      <c r="E715" s="204"/>
      <c r="F715" s="204"/>
      <c r="G715" s="204"/>
      <c r="H715" s="204"/>
      <c r="I715" s="204"/>
      <c r="J715" s="204"/>
      <c r="K715" s="204"/>
      <c r="L715" s="204"/>
      <c r="M715" s="204"/>
      <c r="N715" s="204" t="s">
        <v>175</v>
      </c>
      <c r="V715" s="205"/>
      <c r="AI715" s="205"/>
    </row>
    <row r="716" spans="1:35" ht="13.5" customHeight="1" x14ac:dyDescent="0.25">
      <c r="A716" s="204"/>
      <c r="B716" s="204"/>
      <c r="C716" s="204"/>
      <c r="D716" s="204"/>
      <c r="E716" s="204"/>
      <c r="F716" s="204"/>
      <c r="G716" s="204"/>
      <c r="H716" s="204"/>
      <c r="I716" s="204"/>
      <c r="J716" s="204"/>
      <c r="K716" s="204"/>
      <c r="L716" s="204"/>
      <c r="M716" s="204"/>
      <c r="N716" s="204" t="s">
        <v>176</v>
      </c>
      <c r="V716" s="205"/>
      <c r="AI716" s="205"/>
    </row>
    <row r="717" spans="1:35" ht="13.5" customHeight="1" x14ac:dyDescent="0.25">
      <c r="A717" s="337">
        <v>2</v>
      </c>
      <c r="B717" s="204"/>
      <c r="C717" s="204"/>
      <c r="D717" s="204"/>
      <c r="E717" s="204"/>
      <c r="F717" s="204"/>
      <c r="G717" s="204"/>
      <c r="H717" s="204"/>
      <c r="I717" s="204"/>
      <c r="J717" s="204"/>
      <c r="K717" s="204" t="s">
        <v>177</v>
      </c>
      <c r="L717" s="204"/>
      <c r="M717" s="204"/>
      <c r="N717" s="204" t="s">
        <v>178</v>
      </c>
      <c r="V717" s="205"/>
      <c r="AI717" s="205"/>
    </row>
    <row r="718" spans="1:35" ht="13.5" customHeight="1" x14ac:dyDescent="0.25">
      <c r="A718" s="204">
        <f>A711-A717</f>
        <v>5</v>
      </c>
      <c r="B718" s="204"/>
      <c r="C718" s="204"/>
      <c r="D718" s="204"/>
      <c r="E718" s="204"/>
      <c r="F718" s="204"/>
      <c r="G718" s="204"/>
      <c r="H718" s="204"/>
      <c r="I718" s="204"/>
      <c r="J718" s="204"/>
      <c r="K718" s="204"/>
      <c r="L718" s="204"/>
      <c r="M718" s="204"/>
      <c r="N718" s="204" t="s">
        <v>179</v>
      </c>
      <c r="V718" s="205"/>
      <c r="AI718" s="205"/>
    </row>
    <row r="719" spans="1:35" ht="13.5" customHeight="1" x14ac:dyDescent="0.25">
      <c r="A719" s="204"/>
      <c r="B719" s="204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 t="s">
        <v>180</v>
      </c>
      <c r="V719" s="205"/>
      <c r="AI719" s="205"/>
    </row>
    <row r="720" spans="1:35" ht="13.5" customHeight="1" x14ac:dyDescent="0.25">
      <c r="A720" s="204">
        <v>7</v>
      </c>
      <c r="B720" s="204"/>
      <c r="C720" s="204"/>
      <c r="D720" s="204"/>
      <c r="E720" s="204"/>
      <c r="F720" s="204"/>
      <c r="G720" s="204"/>
      <c r="H720" s="204"/>
      <c r="I720" s="204"/>
      <c r="J720" s="204"/>
      <c r="K720" s="204" t="s">
        <v>181</v>
      </c>
      <c r="L720" s="204"/>
      <c r="M720" s="204"/>
      <c r="N720" s="204" t="s">
        <v>182</v>
      </c>
      <c r="V720" s="205"/>
      <c r="AI720" s="205"/>
    </row>
    <row r="721" spans="1:35" ht="13.5" customHeight="1" x14ac:dyDescent="0.25">
      <c r="A721" s="337">
        <v>3</v>
      </c>
      <c r="B721" s="204"/>
      <c r="C721" s="204"/>
      <c r="D721" s="204"/>
      <c r="E721" s="204"/>
      <c r="F721" s="204"/>
      <c r="G721" s="204"/>
      <c r="H721" s="204"/>
      <c r="I721" s="204"/>
      <c r="J721" s="204"/>
      <c r="K721" s="204" t="s">
        <v>183</v>
      </c>
      <c r="L721" s="204"/>
      <c r="M721" s="204"/>
      <c r="N721" s="204" t="s">
        <v>184</v>
      </c>
      <c r="V721" s="205"/>
      <c r="AI721" s="205"/>
    </row>
    <row r="722" spans="1:35" ht="13.5" customHeight="1" x14ac:dyDescent="0.25">
      <c r="A722" s="204">
        <f>A720-A721</f>
        <v>4</v>
      </c>
      <c r="B722" s="204"/>
      <c r="C722" s="204"/>
      <c r="D722" s="204"/>
      <c r="E722" s="204"/>
      <c r="F722" s="204"/>
      <c r="G722" s="204"/>
      <c r="H722" s="204"/>
      <c r="I722" s="204"/>
      <c r="J722" s="204"/>
      <c r="K722" s="204"/>
      <c r="L722" s="204"/>
      <c r="M722" s="204"/>
      <c r="N722" s="204" t="s">
        <v>185</v>
      </c>
      <c r="V722" s="205"/>
      <c r="AI722" s="205"/>
    </row>
    <row r="723" spans="1:35" ht="13.5" customHeight="1" x14ac:dyDescent="0.25">
      <c r="A723" s="204"/>
      <c r="B723" s="204"/>
      <c r="C723" s="204"/>
      <c r="D723" s="204"/>
      <c r="E723" s="204"/>
      <c r="F723" s="204"/>
      <c r="G723" s="204"/>
      <c r="H723" s="204"/>
      <c r="I723" s="204"/>
      <c r="J723" s="204"/>
      <c r="K723" s="204"/>
      <c r="L723" s="204"/>
      <c r="M723" s="204"/>
      <c r="N723" s="204" t="s">
        <v>186</v>
      </c>
      <c r="V723" s="205"/>
      <c r="AI723" s="205"/>
    </row>
    <row r="724" spans="1:35" ht="13.5" customHeight="1" x14ac:dyDescent="0.25">
      <c r="A724" s="334">
        <f>COUNTIF(T144:T706,"0")</f>
        <v>193</v>
      </c>
      <c r="B724" s="204"/>
      <c r="C724" s="204"/>
      <c r="D724" s="204"/>
      <c r="E724" s="204"/>
      <c r="F724" s="204"/>
      <c r="G724" s="204"/>
      <c r="H724" s="204"/>
      <c r="I724" s="204"/>
      <c r="J724" s="204"/>
      <c r="K724" s="204" t="s">
        <v>187</v>
      </c>
      <c r="L724" s="204"/>
      <c r="M724" s="204"/>
      <c r="N724" s="204" t="s">
        <v>188</v>
      </c>
      <c r="V724" s="205"/>
      <c r="AI724" s="205"/>
    </row>
    <row r="725" spans="1:35" ht="13.5" customHeight="1" x14ac:dyDescent="0.25">
      <c r="A725" s="333" t="e">
        <f>A712-(A714+A724)</f>
        <v>#REF!</v>
      </c>
      <c r="B725" s="338"/>
      <c r="C725" s="338"/>
      <c r="D725" s="338"/>
      <c r="E725" s="338"/>
      <c r="F725" s="338"/>
      <c r="G725" s="338"/>
      <c r="H725" s="338"/>
      <c r="I725" s="338"/>
      <c r="J725" s="338"/>
      <c r="K725" s="333" t="s">
        <v>189</v>
      </c>
      <c r="L725" s="204"/>
      <c r="M725" s="204"/>
      <c r="N725" s="204"/>
      <c r="V725" s="205"/>
      <c r="AI725" s="205"/>
    </row>
  </sheetData>
  <autoFilter ref="A1:A725" xr:uid="{00000000-0009-0000-0000-000009000000}"/>
  <mergeCells count="800">
    <mergeCell ref="B1:AM1"/>
    <mergeCell ref="A2:AM2"/>
    <mergeCell ref="A3:AO3"/>
    <mergeCell ref="A5:A7"/>
    <mergeCell ref="B5:I7"/>
    <mergeCell ref="J5:J7"/>
    <mergeCell ref="K5:N7"/>
    <mergeCell ref="O5:O7"/>
    <mergeCell ref="P5:P7"/>
    <mergeCell ref="Q5:Q7"/>
    <mergeCell ref="AO5:AO7"/>
    <mergeCell ref="AP5:AP7"/>
    <mergeCell ref="T6:U6"/>
    <mergeCell ref="V6:V7"/>
    <mergeCell ref="W6:W7"/>
    <mergeCell ref="X6:X7"/>
    <mergeCell ref="Y6:Y7"/>
    <mergeCell ref="Z6:Z7"/>
    <mergeCell ref="R5:R7"/>
    <mergeCell ref="S5:S7"/>
    <mergeCell ref="T5:AI5"/>
    <mergeCell ref="AJ5:AJ7"/>
    <mergeCell ref="AK5:AK7"/>
    <mergeCell ref="AL5:AL7"/>
    <mergeCell ref="AA6:AA7"/>
    <mergeCell ref="AB6:AB7"/>
    <mergeCell ref="AC6:AC7"/>
    <mergeCell ref="AD6:AD7"/>
    <mergeCell ref="AE6:AE7"/>
    <mergeCell ref="AF6:AF7"/>
    <mergeCell ref="AG6:AG7"/>
    <mergeCell ref="AH6:AH7"/>
    <mergeCell ref="AI6:AI7"/>
    <mergeCell ref="B8:I8"/>
    <mergeCell ref="K8:N8"/>
    <mergeCell ref="AM5:AM7"/>
    <mergeCell ref="AN5:AN7"/>
    <mergeCell ref="B15:I15"/>
    <mergeCell ref="L15:N15"/>
    <mergeCell ref="B16:I16"/>
    <mergeCell ref="L16:N16"/>
    <mergeCell ref="B17:I17"/>
    <mergeCell ref="L17:N17"/>
    <mergeCell ref="B10:I10"/>
    <mergeCell ref="L10:N10"/>
    <mergeCell ref="B12:I12"/>
    <mergeCell ref="L12:N12"/>
    <mergeCell ref="B14:I14"/>
    <mergeCell ref="L14:N14"/>
    <mergeCell ref="B21:I21"/>
    <mergeCell ref="L21:N21"/>
    <mergeCell ref="B22:I22"/>
    <mergeCell ref="L22:N22"/>
    <mergeCell ref="B23:I23"/>
    <mergeCell ref="L23:N23"/>
    <mergeCell ref="B18:I18"/>
    <mergeCell ref="L18:N18"/>
    <mergeCell ref="B19:I19"/>
    <mergeCell ref="L19:N19"/>
    <mergeCell ref="B20:I20"/>
    <mergeCell ref="L20:N20"/>
    <mergeCell ref="B27:I27"/>
    <mergeCell ref="L27:N27"/>
    <mergeCell ref="B28:I28"/>
    <mergeCell ref="L28:N28"/>
    <mergeCell ref="B29:I29"/>
    <mergeCell ref="L29:N29"/>
    <mergeCell ref="B24:I24"/>
    <mergeCell ref="L24:N24"/>
    <mergeCell ref="B25:I25"/>
    <mergeCell ref="L25:N25"/>
    <mergeCell ref="B26:I26"/>
    <mergeCell ref="L26:N26"/>
    <mergeCell ref="L34:N34"/>
    <mergeCell ref="L35:N35"/>
    <mergeCell ref="B37:I37"/>
    <mergeCell ref="L37:N37"/>
    <mergeCell ref="L38:N38"/>
    <mergeCell ref="L39:N39"/>
    <mergeCell ref="L30:N30"/>
    <mergeCell ref="B31:I31"/>
    <mergeCell ref="L31:N31"/>
    <mergeCell ref="L32:N32"/>
    <mergeCell ref="B33:I33"/>
    <mergeCell ref="L33:N33"/>
    <mergeCell ref="L46:N46"/>
    <mergeCell ref="L47:N47"/>
    <mergeCell ref="L48:N48"/>
    <mergeCell ref="L49:N49"/>
    <mergeCell ref="L50:N50"/>
    <mergeCell ref="L51:N51"/>
    <mergeCell ref="L40:N40"/>
    <mergeCell ref="L41:N41"/>
    <mergeCell ref="L42:N42"/>
    <mergeCell ref="L43:N43"/>
    <mergeCell ref="L44:N44"/>
    <mergeCell ref="L45:N45"/>
    <mergeCell ref="B59:I59"/>
    <mergeCell ref="L59:N59"/>
    <mergeCell ref="B60:I60"/>
    <mergeCell ref="M60:N60"/>
    <mergeCell ref="M61:N61"/>
    <mergeCell ref="B62:I62"/>
    <mergeCell ref="M62:N62"/>
    <mergeCell ref="L52:N52"/>
    <mergeCell ref="L53:N53"/>
    <mergeCell ref="L54:N54"/>
    <mergeCell ref="L55:N55"/>
    <mergeCell ref="L56:N56"/>
    <mergeCell ref="B58:I58"/>
    <mergeCell ref="L58:N58"/>
    <mergeCell ref="B68:I68"/>
    <mergeCell ref="M68:N68"/>
    <mergeCell ref="M69:N69"/>
    <mergeCell ref="M70:N70"/>
    <mergeCell ref="M71:N71"/>
    <mergeCell ref="B72:I72"/>
    <mergeCell ref="M72:N72"/>
    <mergeCell ref="M63:N63"/>
    <mergeCell ref="M64:N64"/>
    <mergeCell ref="M65:N65"/>
    <mergeCell ref="B66:I66"/>
    <mergeCell ref="M66:N66"/>
    <mergeCell ref="M67:N67"/>
    <mergeCell ref="M78:N78"/>
    <mergeCell ref="M79:N79"/>
    <mergeCell ref="M80:N80"/>
    <mergeCell ref="B81:I81"/>
    <mergeCell ref="M81:N81"/>
    <mergeCell ref="M82:N82"/>
    <mergeCell ref="M73:N73"/>
    <mergeCell ref="M74:N74"/>
    <mergeCell ref="B75:I75"/>
    <mergeCell ref="M75:N75"/>
    <mergeCell ref="M76:N76"/>
    <mergeCell ref="M77:N77"/>
    <mergeCell ref="M88:N88"/>
    <mergeCell ref="B89:I89"/>
    <mergeCell ref="M89:N89"/>
    <mergeCell ref="M90:N90"/>
    <mergeCell ref="M91:N91"/>
    <mergeCell ref="B92:I92"/>
    <mergeCell ref="M92:N92"/>
    <mergeCell ref="M83:N83"/>
    <mergeCell ref="M84:N84"/>
    <mergeCell ref="M85:N85"/>
    <mergeCell ref="B86:I86"/>
    <mergeCell ref="M86:N86"/>
    <mergeCell ref="M87:N87"/>
    <mergeCell ref="M97:N97"/>
    <mergeCell ref="M98:N98"/>
    <mergeCell ref="M99:N99"/>
    <mergeCell ref="M100:N100"/>
    <mergeCell ref="M101:N101"/>
    <mergeCell ref="M102:N102"/>
    <mergeCell ref="M93:N93"/>
    <mergeCell ref="B94:I94"/>
    <mergeCell ref="M94:N94"/>
    <mergeCell ref="M95:N95"/>
    <mergeCell ref="B96:I96"/>
    <mergeCell ref="M96:N96"/>
    <mergeCell ref="M109:N109"/>
    <mergeCell ref="B110:I110"/>
    <mergeCell ref="M110:N110"/>
    <mergeCell ref="M111:N111"/>
    <mergeCell ref="M112:N112"/>
    <mergeCell ref="M113:N113"/>
    <mergeCell ref="M103:N103"/>
    <mergeCell ref="M104:N104"/>
    <mergeCell ref="M105:N105"/>
    <mergeCell ref="M106:N106"/>
    <mergeCell ref="M107:N107"/>
    <mergeCell ref="M108:N108"/>
    <mergeCell ref="M120:N120"/>
    <mergeCell ref="M121:N121"/>
    <mergeCell ref="M122:N122"/>
    <mergeCell ref="M123:N123"/>
    <mergeCell ref="B124:I124"/>
    <mergeCell ref="L124:N124"/>
    <mergeCell ref="M114:N114"/>
    <mergeCell ref="M115:N115"/>
    <mergeCell ref="M116:N116"/>
    <mergeCell ref="M117:N117"/>
    <mergeCell ref="M118:N118"/>
    <mergeCell ref="M119:N119"/>
    <mergeCell ref="M129:N129"/>
    <mergeCell ref="M130:N130"/>
    <mergeCell ref="M131:N131"/>
    <mergeCell ref="M132:N132"/>
    <mergeCell ref="M133:N133"/>
    <mergeCell ref="M134:N134"/>
    <mergeCell ref="B125:I125"/>
    <mergeCell ref="M125:N125"/>
    <mergeCell ref="M126:N126"/>
    <mergeCell ref="B127:I127"/>
    <mergeCell ref="M127:N127"/>
    <mergeCell ref="M128:N128"/>
    <mergeCell ref="M140:N140"/>
    <mergeCell ref="B141:I141"/>
    <mergeCell ref="M141:N141"/>
    <mergeCell ref="M142:N142"/>
    <mergeCell ref="M143:N143"/>
    <mergeCell ref="B144:I144"/>
    <mergeCell ref="M144:N144"/>
    <mergeCell ref="M135:N135"/>
    <mergeCell ref="M136:N136"/>
    <mergeCell ref="M137:N137"/>
    <mergeCell ref="M138:N138"/>
    <mergeCell ref="B139:I139"/>
    <mergeCell ref="M139:N139"/>
    <mergeCell ref="M150:N150"/>
    <mergeCell ref="M151:N151"/>
    <mergeCell ref="M152:N152"/>
    <mergeCell ref="M153:N153"/>
    <mergeCell ref="M154:N154"/>
    <mergeCell ref="B155:I155"/>
    <mergeCell ref="M155:N155"/>
    <mergeCell ref="M145:N145"/>
    <mergeCell ref="M146:N146"/>
    <mergeCell ref="M147:N147"/>
    <mergeCell ref="B148:I148"/>
    <mergeCell ref="M148:N148"/>
    <mergeCell ref="M149:N149"/>
    <mergeCell ref="M162:N162"/>
    <mergeCell ref="M163:N163"/>
    <mergeCell ref="M164:N164"/>
    <mergeCell ref="B165:I165"/>
    <mergeCell ref="M165:N165"/>
    <mergeCell ref="M166:N166"/>
    <mergeCell ref="M156:N156"/>
    <mergeCell ref="M157:N157"/>
    <mergeCell ref="M158:N158"/>
    <mergeCell ref="M159:N159"/>
    <mergeCell ref="M160:N160"/>
    <mergeCell ref="B161:I161"/>
    <mergeCell ref="L161:N161"/>
    <mergeCell ref="B171:I171"/>
    <mergeCell ref="M171:N171"/>
    <mergeCell ref="M172:N172"/>
    <mergeCell ref="M173:N173"/>
    <mergeCell ref="M174:N174"/>
    <mergeCell ref="M175:N175"/>
    <mergeCell ref="M167:N167"/>
    <mergeCell ref="B168:I168"/>
    <mergeCell ref="L168:N168"/>
    <mergeCell ref="B169:I169"/>
    <mergeCell ref="M169:N169"/>
    <mergeCell ref="M170:N170"/>
    <mergeCell ref="B181:I181"/>
    <mergeCell ref="M181:N181"/>
    <mergeCell ref="M182:N182"/>
    <mergeCell ref="M183:N183"/>
    <mergeCell ref="M184:N184"/>
    <mergeCell ref="M185:N185"/>
    <mergeCell ref="M176:N176"/>
    <mergeCell ref="M177:N177"/>
    <mergeCell ref="M178:N178"/>
    <mergeCell ref="M179:N179"/>
    <mergeCell ref="B180:I180"/>
    <mergeCell ref="L180:N180"/>
    <mergeCell ref="M192:N192"/>
    <mergeCell ref="B193:I193"/>
    <mergeCell ref="M193:N193"/>
    <mergeCell ref="M194:N194"/>
    <mergeCell ref="M195:N195"/>
    <mergeCell ref="M196:N196"/>
    <mergeCell ref="M186:N186"/>
    <mergeCell ref="M187:N187"/>
    <mergeCell ref="M188:N188"/>
    <mergeCell ref="M189:N189"/>
    <mergeCell ref="M190:N190"/>
    <mergeCell ref="M191:N191"/>
    <mergeCell ref="M203:N203"/>
    <mergeCell ref="M204:N204"/>
    <mergeCell ref="M205:N205"/>
    <mergeCell ref="M206:N206"/>
    <mergeCell ref="M207:N207"/>
    <mergeCell ref="M208:N208"/>
    <mergeCell ref="M197:N197"/>
    <mergeCell ref="M198:N198"/>
    <mergeCell ref="M199:N199"/>
    <mergeCell ref="M200:N200"/>
    <mergeCell ref="M201:N201"/>
    <mergeCell ref="M202:N202"/>
    <mergeCell ref="M214:N214"/>
    <mergeCell ref="M215:N215"/>
    <mergeCell ref="B216:I216"/>
    <mergeCell ref="M216:N216"/>
    <mergeCell ref="M217:N217"/>
    <mergeCell ref="M218:N218"/>
    <mergeCell ref="B209:I209"/>
    <mergeCell ref="M209:N209"/>
    <mergeCell ref="M210:N210"/>
    <mergeCell ref="M211:N211"/>
    <mergeCell ref="M212:N212"/>
    <mergeCell ref="M213:N213"/>
    <mergeCell ref="M225:N225"/>
    <mergeCell ref="M226:N226"/>
    <mergeCell ref="M227:N227"/>
    <mergeCell ref="M228:N228"/>
    <mergeCell ref="M229:N229"/>
    <mergeCell ref="B230:I230"/>
    <mergeCell ref="M230:N230"/>
    <mergeCell ref="M219:N219"/>
    <mergeCell ref="M220:N220"/>
    <mergeCell ref="M221:N221"/>
    <mergeCell ref="M222:N222"/>
    <mergeCell ref="M223:N223"/>
    <mergeCell ref="M224:N224"/>
    <mergeCell ref="M237:N237"/>
    <mergeCell ref="M238:N238"/>
    <mergeCell ref="M239:N239"/>
    <mergeCell ref="M240:N240"/>
    <mergeCell ref="B241:I241"/>
    <mergeCell ref="M241:N241"/>
    <mergeCell ref="M231:N231"/>
    <mergeCell ref="M232:N232"/>
    <mergeCell ref="M233:N233"/>
    <mergeCell ref="M234:N234"/>
    <mergeCell ref="M235:N235"/>
    <mergeCell ref="M236:N236"/>
    <mergeCell ref="B248:I248"/>
    <mergeCell ref="L248:N248"/>
    <mergeCell ref="B249:I249"/>
    <mergeCell ref="M249:N249"/>
    <mergeCell ref="M250:N250"/>
    <mergeCell ref="M251:N251"/>
    <mergeCell ref="M242:N242"/>
    <mergeCell ref="M243:N243"/>
    <mergeCell ref="M244:N244"/>
    <mergeCell ref="M245:N245"/>
    <mergeCell ref="M246:N246"/>
    <mergeCell ref="M247:N247"/>
    <mergeCell ref="M258:N258"/>
    <mergeCell ref="M259:N259"/>
    <mergeCell ref="M260:N260"/>
    <mergeCell ref="M261:N261"/>
    <mergeCell ref="M262:N262"/>
    <mergeCell ref="M263:N263"/>
    <mergeCell ref="M252:N252"/>
    <mergeCell ref="M253:N253"/>
    <mergeCell ref="M254:N254"/>
    <mergeCell ref="M255:N255"/>
    <mergeCell ref="M256:N256"/>
    <mergeCell ref="M257:N257"/>
    <mergeCell ref="M270:N270"/>
    <mergeCell ref="M271:N271"/>
    <mergeCell ref="M272:N272"/>
    <mergeCell ref="M273:N273"/>
    <mergeCell ref="M274:N274"/>
    <mergeCell ref="B275:I275"/>
    <mergeCell ref="M275:N275"/>
    <mergeCell ref="M264:N264"/>
    <mergeCell ref="M265:N265"/>
    <mergeCell ref="M266:N266"/>
    <mergeCell ref="M267:N267"/>
    <mergeCell ref="M268:N268"/>
    <mergeCell ref="M269:N269"/>
    <mergeCell ref="M282:N282"/>
    <mergeCell ref="M283:N283"/>
    <mergeCell ref="M284:N284"/>
    <mergeCell ref="M285:N285"/>
    <mergeCell ref="M286:N286"/>
    <mergeCell ref="B287:I287"/>
    <mergeCell ref="M287:N287"/>
    <mergeCell ref="M276:N276"/>
    <mergeCell ref="M277:N277"/>
    <mergeCell ref="M278:N278"/>
    <mergeCell ref="M279:N279"/>
    <mergeCell ref="M280:N280"/>
    <mergeCell ref="M281:N281"/>
    <mergeCell ref="M294:N294"/>
    <mergeCell ref="M295:N295"/>
    <mergeCell ref="M296:N296"/>
    <mergeCell ref="B297:I297"/>
    <mergeCell ref="M297:N297"/>
    <mergeCell ref="M298:N298"/>
    <mergeCell ref="M288:N288"/>
    <mergeCell ref="M289:N289"/>
    <mergeCell ref="M290:N290"/>
    <mergeCell ref="M291:N291"/>
    <mergeCell ref="M292:N292"/>
    <mergeCell ref="M293:N293"/>
    <mergeCell ref="M305:N305"/>
    <mergeCell ref="M306:N306"/>
    <mergeCell ref="M307:N307"/>
    <mergeCell ref="M308:N308"/>
    <mergeCell ref="B309:I309"/>
    <mergeCell ref="M309:N309"/>
    <mergeCell ref="M299:N299"/>
    <mergeCell ref="M300:N300"/>
    <mergeCell ref="M301:N301"/>
    <mergeCell ref="M302:N302"/>
    <mergeCell ref="M303:N303"/>
    <mergeCell ref="M304:N304"/>
    <mergeCell ref="B325:I325"/>
    <mergeCell ref="M325:N325"/>
    <mergeCell ref="M316:N316"/>
    <mergeCell ref="B317:I317"/>
    <mergeCell ref="M317:N317"/>
    <mergeCell ref="M318:N318"/>
    <mergeCell ref="M319:N319"/>
    <mergeCell ref="M320:N320"/>
    <mergeCell ref="M310:N310"/>
    <mergeCell ref="M311:N311"/>
    <mergeCell ref="M312:N312"/>
    <mergeCell ref="M313:N313"/>
    <mergeCell ref="M314:N314"/>
    <mergeCell ref="M315:N315"/>
    <mergeCell ref="M326:N326"/>
    <mergeCell ref="M327:N327"/>
    <mergeCell ref="M328:N328"/>
    <mergeCell ref="M329:N329"/>
    <mergeCell ref="M330:N330"/>
    <mergeCell ref="M331:N331"/>
    <mergeCell ref="M321:N321"/>
    <mergeCell ref="M322:N322"/>
    <mergeCell ref="M323:N323"/>
    <mergeCell ref="M324:N324"/>
    <mergeCell ref="M338:N338"/>
    <mergeCell ref="B339:I339"/>
    <mergeCell ref="M339:N339"/>
    <mergeCell ref="M340:N340"/>
    <mergeCell ref="M341:N341"/>
    <mergeCell ref="M342:N342"/>
    <mergeCell ref="M332:N332"/>
    <mergeCell ref="M333:N333"/>
    <mergeCell ref="M334:N334"/>
    <mergeCell ref="M335:N335"/>
    <mergeCell ref="M336:N336"/>
    <mergeCell ref="M337:N337"/>
    <mergeCell ref="M349:N349"/>
    <mergeCell ref="B350:I350"/>
    <mergeCell ref="M350:N350"/>
    <mergeCell ref="M351:N351"/>
    <mergeCell ref="M352:N352"/>
    <mergeCell ref="M353:N353"/>
    <mergeCell ref="M343:N343"/>
    <mergeCell ref="M344:N344"/>
    <mergeCell ref="M345:N345"/>
    <mergeCell ref="M346:N346"/>
    <mergeCell ref="M347:N347"/>
    <mergeCell ref="M348:N348"/>
    <mergeCell ref="M360:N360"/>
    <mergeCell ref="M361:N361"/>
    <mergeCell ref="M362:N362"/>
    <mergeCell ref="M363:N363"/>
    <mergeCell ref="B364:I364"/>
    <mergeCell ref="M364:N364"/>
    <mergeCell ref="M354:N354"/>
    <mergeCell ref="M355:N355"/>
    <mergeCell ref="M356:N356"/>
    <mergeCell ref="M357:N357"/>
    <mergeCell ref="M358:N358"/>
    <mergeCell ref="M359:N359"/>
    <mergeCell ref="M371:N371"/>
    <mergeCell ref="M372:N372"/>
    <mergeCell ref="M373:N373"/>
    <mergeCell ref="M374:N374"/>
    <mergeCell ref="M375:N375"/>
    <mergeCell ref="M376:N376"/>
    <mergeCell ref="M365:N365"/>
    <mergeCell ref="M366:N366"/>
    <mergeCell ref="M367:N367"/>
    <mergeCell ref="M368:N368"/>
    <mergeCell ref="M369:N369"/>
    <mergeCell ref="M370:N370"/>
    <mergeCell ref="M382:N382"/>
    <mergeCell ref="M383:N383"/>
    <mergeCell ref="M384:N384"/>
    <mergeCell ref="M385:N385"/>
    <mergeCell ref="M386:N386"/>
    <mergeCell ref="B387:I387"/>
    <mergeCell ref="M387:N387"/>
    <mergeCell ref="B377:I377"/>
    <mergeCell ref="M377:N377"/>
    <mergeCell ref="M378:N378"/>
    <mergeCell ref="M379:N379"/>
    <mergeCell ref="M380:N380"/>
    <mergeCell ref="M381:N381"/>
    <mergeCell ref="M394:N394"/>
    <mergeCell ref="M395:N395"/>
    <mergeCell ref="M396:N396"/>
    <mergeCell ref="M397:N397"/>
    <mergeCell ref="M398:N398"/>
    <mergeCell ref="M399:N399"/>
    <mergeCell ref="M388:N388"/>
    <mergeCell ref="M389:N389"/>
    <mergeCell ref="M390:N390"/>
    <mergeCell ref="M391:N391"/>
    <mergeCell ref="M392:N392"/>
    <mergeCell ref="M393:N393"/>
    <mergeCell ref="B408:I408"/>
    <mergeCell ref="M408:N408"/>
    <mergeCell ref="M409:N409"/>
    <mergeCell ref="B400:I400"/>
    <mergeCell ref="M400:N400"/>
    <mergeCell ref="M401:N401"/>
    <mergeCell ref="M402:N402"/>
    <mergeCell ref="M403:N403"/>
    <mergeCell ref="M404:N404"/>
    <mergeCell ref="M410:N410"/>
    <mergeCell ref="M411:N411"/>
    <mergeCell ref="M412:N412"/>
    <mergeCell ref="M413:N413"/>
    <mergeCell ref="M414:N414"/>
    <mergeCell ref="M415:N415"/>
    <mergeCell ref="M405:N405"/>
    <mergeCell ref="M406:N406"/>
    <mergeCell ref="M407:N407"/>
    <mergeCell ref="M422:N422"/>
    <mergeCell ref="M423:N423"/>
    <mergeCell ref="M424:N424"/>
    <mergeCell ref="B425:I425"/>
    <mergeCell ref="M425:N425"/>
    <mergeCell ref="M426:N426"/>
    <mergeCell ref="M416:N416"/>
    <mergeCell ref="M417:N417"/>
    <mergeCell ref="M418:N418"/>
    <mergeCell ref="M419:N419"/>
    <mergeCell ref="M420:N420"/>
    <mergeCell ref="M421:N421"/>
    <mergeCell ref="M433:N433"/>
    <mergeCell ref="M434:N434"/>
    <mergeCell ref="M435:N435"/>
    <mergeCell ref="B436:I436"/>
    <mergeCell ref="M436:N436"/>
    <mergeCell ref="M437:N437"/>
    <mergeCell ref="M427:N427"/>
    <mergeCell ref="M428:N428"/>
    <mergeCell ref="M429:N429"/>
    <mergeCell ref="M430:N430"/>
    <mergeCell ref="M431:N431"/>
    <mergeCell ref="M432:N432"/>
    <mergeCell ref="B447:I447"/>
    <mergeCell ref="M447:N447"/>
    <mergeCell ref="M448:N448"/>
    <mergeCell ref="M438:N438"/>
    <mergeCell ref="M439:N439"/>
    <mergeCell ref="M440:N440"/>
    <mergeCell ref="M441:N441"/>
    <mergeCell ref="M442:N442"/>
    <mergeCell ref="M443:N443"/>
    <mergeCell ref="M449:N449"/>
    <mergeCell ref="M450:N450"/>
    <mergeCell ref="M451:N451"/>
    <mergeCell ref="M452:N452"/>
    <mergeCell ref="M453:N453"/>
    <mergeCell ref="M454:N454"/>
    <mergeCell ref="M444:N444"/>
    <mergeCell ref="M445:N445"/>
    <mergeCell ref="M446:N446"/>
    <mergeCell ref="M460:N460"/>
    <mergeCell ref="M461:N461"/>
    <mergeCell ref="M462:N462"/>
    <mergeCell ref="M463:N463"/>
    <mergeCell ref="M464:N464"/>
    <mergeCell ref="M465:N465"/>
    <mergeCell ref="M455:N455"/>
    <mergeCell ref="M456:N456"/>
    <mergeCell ref="B457:I457"/>
    <mergeCell ref="M457:N457"/>
    <mergeCell ref="M458:N458"/>
    <mergeCell ref="M459:N459"/>
    <mergeCell ref="M471:N471"/>
    <mergeCell ref="M472:N472"/>
    <mergeCell ref="M473:N473"/>
    <mergeCell ref="M474:N474"/>
    <mergeCell ref="M475:N475"/>
    <mergeCell ref="M476:N476"/>
    <mergeCell ref="B466:I466"/>
    <mergeCell ref="M466:N466"/>
    <mergeCell ref="M467:N467"/>
    <mergeCell ref="M468:N468"/>
    <mergeCell ref="M469:N469"/>
    <mergeCell ref="M470:N470"/>
    <mergeCell ref="M483:N483"/>
    <mergeCell ref="M484:N484"/>
    <mergeCell ref="M485:N485"/>
    <mergeCell ref="M486:N486"/>
    <mergeCell ref="M487:N487"/>
    <mergeCell ref="M488:N488"/>
    <mergeCell ref="M477:N477"/>
    <mergeCell ref="M478:N478"/>
    <mergeCell ref="M479:N479"/>
    <mergeCell ref="M480:N480"/>
    <mergeCell ref="M481:N481"/>
    <mergeCell ref="M482:N482"/>
    <mergeCell ref="B504:I504"/>
    <mergeCell ref="M504:N504"/>
    <mergeCell ref="B495:I495"/>
    <mergeCell ref="M495:N495"/>
    <mergeCell ref="M496:N496"/>
    <mergeCell ref="M497:N497"/>
    <mergeCell ref="M498:N498"/>
    <mergeCell ref="M499:N499"/>
    <mergeCell ref="M489:N489"/>
    <mergeCell ref="M490:N490"/>
    <mergeCell ref="M491:N491"/>
    <mergeCell ref="M492:N492"/>
    <mergeCell ref="M493:N493"/>
    <mergeCell ref="M494:N494"/>
    <mergeCell ref="M505:N505"/>
    <mergeCell ref="M506:N506"/>
    <mergeCell ref="M507:N507"/>
    <mergeCell ref="M508:N508"/>
    <mergeCell ref="M509:N509"/>
    <mergeCell ref="M510:N510"/>
    <mergeCell ref="M500:N500"/>
    <mergeCell ref="M501:N501"/>
    <mergeCell ref="M502:N502"/>
    <mergeCell ref="M503:N503"/>
    <mergeCell ref="M517:N517"/>
    <mergeCell ref="M518:N518"/>
    <mergeCell ref="M519:N519"/>
    <mergeCell ref="M520:N520"/>
    <mergeCell ref="M521:N521"/>
    <mergeCell ref="M522:N522"/>
    <mergeCell ref="M511:N511"/>
    <mergeCell ref="M512:N512"/>
    <mergeCell ref="M513:N513"/>
    <mergeCell ref="M514:N514"/>
    <mergeCell ref="M515:N515"/>
    <mergeCell ref="M516:N516"/>
    <mergeCell ref="M528:N528"/>
    <mergeCell ref="M529:N529"/>
    <mergeCell ref="B530:I530"/>
    <mergeCell ref="M530:N530"/>
    <mergeCell ref="M531:N531"/>
    <mergeCell ref="M532:N532"/>
    <mergeCell ref="B523:I523"/>
    <mergeCell ref="M523:N523"/>
    <mergeCell ref="M524:N524"/>
    <mergeCell ref="M525:N525"/>
    <mergeCell ref="M526:N526"/>
    <mergeCell ref="M527:N527"/>
    <mergeCell ref="B542:I542"/>
    <mergeCell ref="M542:N542"/>
    <mergeCell ref="M543:N543"/>
    <mergeCell ref="M533:N533"/>
    <mergeCell ref="M534:N534"/>
    <mergeCell ref="M535:N535"/>
    <mergeCell ref="M536:N536"/>
    <mergeCell ref="M537:N537"/>
    <mergeCell ref="M538:N538"/>
    <mergeCell ref="M544:N544"/>
    <mergeCell ref="M545:N545"/>
    <mergeCell ref="M546:N546"/>
    <mergeCell ref="M547:N547"/>
    <mergeCell ref="M548:N548"/>
    <mergeCell ref="M549:N549"/>
    <mergeCell ref="M539:N539"/>
    <mergeCell ref="M540:N540"/>
    <mergeCell ref="M541:N541"/>
    <mergeCell ref="M556:N556"/>
    <mergeCell ref="M557:N557"/>
    <mergeCell ref="M558:N558"/>
    <mergeCell ref="M559:N559"/>
    <mergeCell ref="M560:N560"/>
    <mergeCell ref="M561:N561"/>
    <mergeCell ref="M550:N550"/>
    <mergeCell ref="M551:N551"/>
    <mergeCell ref="M552:N552"/>
    <mergeCell ref="M553:N553"/>
    <mergeCell ref="M554:N554"/>
    <mergeCell ref="M555:N555"/>
    <mergeCell ref="M568:N568"/>
    <mergeCell ref="M569:N569"/>
    <mergeCell ref="M570:N570"/>
    <mergeCell ref="M571:N571"/>
    <mergeCell ref="M572:N572"/>
    <mergeCell ref="M573:N573"/>
    <mergeCell ref="M562:N562"/>
    <mergeCell ref="M563:N563"/>
    <mergeCell ref="M564:N564"/>
    <mergeCell ref="M565:N565"/>
    <mergeCell ref="M566:N566"/>
    <mergeCell ref="M567:N567"/>
    <mergeCell ref="M580:N580"/>
    <mergeCell ref="M581:N581"/>
    <mergeCell ref="M582:N582"/>
    <mergeCell ref="M583:N583"/>
    <mergeCell ref="M584:N584"/>
    <mergeCell ref="M585:N585"/>
    <mergeCell ref="M574:N574"/>
    <mergeCell ref="M575:N575"/>
    <mergeCell ref="M576:N576"/>
    <mergeCell ref="M577:N577"/>
    <mergeCell ref="M578:N578"/>
    <mergeCell ref="M579:N579"/>
    <mergeCell ref="M592:N592"/>
    <mergeCell ref="M593:N593"/>
    <mergeCell ref="M594:N594"/>
    <mergeCell ref="M595:N595"/>
    <mergeCell ref="M596:N596"/>
    <mergeCell ref="M597:N597"/>
    <mergeCell ref="M586:N586"/>
    <mergeCell ref="M587:N587"/>
    <mergeCell ref="M588:N588"/>
    <mergeCell ref="M589:N589"/>
    <mergeCell ref="M590:N590"/>
    <mergeCell ref="M591:N591"/>
    <mergeCell ref="M604:N604"/>
    <mergeCell ref="M605:N605"/>
    <mergeCell ref="M606:N606"/>
    <mergeCell ref="M607:N607"/>
    <mergeCell ref="M608:N608"/>
    <mergeCell ref="M609:N609"/>
    <mergeCell ref="M598:N598"/>
    <mergeCell ref="M599:N599"/>
    <mergeCell ref="M600:N600"/>
    <mergeCell ref="M601:N601"/>
    <mergeCell ref="M602:N602"/>
    <mergeCell ref="M603:N603"/>
    <mergeCell ref="M616:N616"/>
    <mergeCell ref="M617:N617"/>
    <mergeCell ref="M618:N618"/>
    <mergeCell ref="M619:N619"/>
    <mergeCell ref="M620:N620"/>
    <mergeCell ref="M621:N621"/>
    <mergeCell ref="M610:N610"/>
    <mergeCell ref="M611:N611"/>
    <mergeCell ref="M612:N612"/>
    <mergeCell ref="M613:N613"/>
    <mergeCell ref="M614:N614"/>
    <mergeCell ref="M615:N615"/>
    <mergeCell ref="M628:N628"/>
    <mergeCell ref="M629:N629"/>
    <mergeCell ref="M630:N630"/>
    <mergeCell ref="M631:N631"/>
    <mergeCell ref="M632:N632"/>
    <mergeCell ref="M633:N633"/>
    <mergeCell ref="M622:N622"/>
    <mergeCell ref="M623:N623"/>
    <mergeCell ref="M624:N624"/>
    <mergeCell ref="M625:N625"/>
    <mergeCell ref="M626:N626"/>
    <mergeCell ref="M627:N627"/>
    <mergeCell ref="M640:N640"/>
    <mergeCell ref="M641:N641"/>
    <mergeCell ref="M642:N642"/>
    <mergeCell ref="M643:N643"/>
    <mergeCell ref="M644:N644"/>
    <mergeCell ref="M645:N645"/>
    <mergeCell ref="M634:N634"/>
    <mergeCell ref="M635:N635"/>
    <mergeCell ref="M636:N636"/>
    <mergeCell ref="M637:N637"/>
    <mergeCell ref="M638:N638"/>
    <mergeCell ref="M639:N639"/>
    <mergeCell ref="M652:N652"/>
    <mergeCell ref="M653:N653"/>
    <mergeCell ref="M654:N654"/>
    <mergeCell ref="M655:N655"/>
    <mergeCell ref="M656:N656"/>
    <mergeCell ref="M657:N657"/>
    <mergeCell ref="M646:N646"/>
    <mergeCell ref="M647:N647"/>
    <mergeCell ref="M648:N648"/>
    <mergeCell ref="M649:N649"/>
    <mergeCell ref="M650:N650"/>
    <mergeCell ref="M651:N651"/>
    <mergeCell ref="M664:N664"/>
    <mergeCell ref="M665:N665"/>
    <mergeCell ref="M666:N666"/>
    <mergeCell ref="M667:N667"/>
    <mergeCell ref="M668:N668"/>
    <mergeCell ref="M669:N669"/>
    <mergeCell ref="M658:N658"/>
    <mergeCell ref="M659:N659"/>
    <mergeCell ref="M660:N660"/>
    <mergeCell ref="M661:N661"/>
    <mergeCell ref="M662:N662"/>
    <mergeCell ref="M663:N663"/>
    <mergeCell ref="M676:N676"/>
    <mergeCell ref="M677:N677"/>
    <mergeCell ref="M678:N678"/>
    <mergeCell ref="B679:I679"/>
    <mergeCell ref="L679:N679"/>
    <mergeCell ref="M680:N680"/>
    <mergeCell ref="M670:N670"/>
    <mergeCell ref="M671:N671"/>
    <mergeCell ref="M672:N672"/>
    <mergeCell ref="M673:N673"/>
    <mergeCell ref="M674:N674"/>
    <mergeCell ref="M675:N675"/>
    <mergeCell ref="AI695:AL695"/>
    <mergeCell ref="AI696:AL696"/>
    <mergeCell ref="B687:I687"/>
    <mergeCell ref="M687:N687"/>
    <mergeCell ref="B688:I688"/>
    <mergeCell ref="L688:N688"/>
    <mergeCell ref="AI689:AL689"/>
    <mergeCell ref="AI690:AL690"/>
    <mergeCell ref="M681:N681"/>
    <mergeCell ref="M682:N682"/>
    <mergeCell ref="M683:N683"/>
    <mergeCell ref="M684:N684"/>
    <mergeCell ref="M685:N685"/>
    <mergeCell ref="M686:N686"/>
  </mergeCells>
  <printOptions horizontalCentered="1"/>
  <pageMargins left="0.75" right="0.75" top="0.59055118110236204" bottom="0.39370078740157499" header="0.35433070866141703" footer="0.35433070866141703"/>
  <pageSetup paperSize="258" scale="65" fitToWidth="0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autoPageBreaks="0"/>
  </sheetPr>
  <dimension ref="A1:CE703"/>
  <sheetViews>
    <sheetView showOutlineSymbols="0" topLeftCell="J1" zoomScale="80" zoomScaleNormal="80" workbookViewId="0">
      <pane ySplit="8" topLeftCell="A32" activePane="bottomLeft" state="frozen"/>
      <selection activeCell="Q553" sqref="Q553"/>
      <selection pane="bottomLeft" activeCell="AI38" sqref="AI38"/>
    </sheetView>
  </sheetViews>
  <sheetFormatPr defaultRowHeight="13.5" customHeight="1" x14ac:dyDescent="0.25"/>
  <cols>
    <col min="1" max="1" width="5" customWidth="1"/>
    <col min="2" max="2" width="1.140625" hidden="1" customWidth="1"/>
    <col min="3" max="3" width="1.7109375" hidden="1" customWidth="1"/>
    <col min="4" max="5" width="1.140625" hidden="1" customWidth="1"/>
    <col min="6" max="6" width="1.7109375" hidden="1" customWidth="1"/>
    <col min="7" max="7" width="2" hidden="1" customWidth="1"/>
    <col min="8" max="8" width="8.5703125" hidden="1" customWidth="1"/>
    <col min="9" max="9" width="1.140625" hidden="1" customWidth="1"/>
    <col min="10" max="10" width="22.5703125" customWidth="1"/>
    <col min="11" max="11" width="2.28515625" customWidth="1"/>
    <col min="12" max="12" width="1.7109375" customWidth="1"/>
    <col min="13" max="13" width="5.85546875" customWidth="1"/>
    <col min="14" max="14" width="30.7109375" customWidth="1"/>
    <col min="15" max="16" width="16.42578125" hidden="1" customWidth="1"/>
    <col min="17" max="17" width="21.85546875" customWidth="1"/>
    <col min="18" max="18" width="8.28515625" customWidth="1"/>
    <col min="19" max="19" width="8" customWidth="1"/>
    <col min="20" max="20" width="11" bestFit="1" customWidth="1"/>
    <col min="21" max="21" width="11" customWidth="1"/>
    <col min="22" max="22" width="11" style="120" customWidth="1"/>
    <col min="23" max="31" width="15.85546875" hidden="1" customWidth="1"/>
    <col min="32" max="32" width="18.28515625" hidden="1" customWidth="1"/>
    <col min="33" max="34" width="15.85546875" hidden="1" customWidth="1"/>
    <col min="35" max="35" width="22.42578125" style="89" customWidth="1"/>
    <col min="36" max="36" width="8" customWidth="1"/>
    <col min="37" max="37" width="24.28515625" style="141" customWidth="1"/>
    <col min="38" max="38" width="9.5703125" customWidth="1"/>
    <col min="39" max="39" width="6.85546875" customWidth="1"/>
    <col min="40" max="42" width="0" hidden="1" customWidth="1"/>
    <col min="44" max="44" width="20.140625" bestFit="1" customWidth="1"/>
    <col min="45" max="45" width="15.85546875" bestFit="1" customWidth="1"/>
  </cols>
  <sheetData>
    <row r="1" spans="1:45" ht="13.5" customHeight="1" x14ac:dyDescent="0.25">
      <c r="A1" s="1"/>
      <c r="B1" s="495" t="s">
        <v>0</v>
      </c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495"/>
      <c r="AK1" s="495"/>
      <c r="AL1" s="495"/>
      <c r="AM1" s="495"/>
      <c r="AN1" s="2"/>
      <c r="AO1" s="2"/>
      <c r="AP1" s="2"/>
    </row>
    <row r="2" spans="1:45" s="15" customFormat="1" ht="13.5" customHeight="1" x14ac:dyDescent="0.2">
      <c r="A2" s="496" t="s">
        <v>541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  <c r="Z2" s="496"/>
      <c r="AA2" s="496"/>
      <c r="AB2" s="496"/>
      <c r="AC2" s="496"/>
      <c r="AD2" s="496"/>
      <c r="AE2" s="496"/>
      <c r="AF2" s="496"/>
      <c r="AG2" s="496"/>
      <c r="AH2" s="496"/>
      <c r="AI2" s="496"/>
      <c r="AJ2" s="496"/>
      <c r="AK2" s="496"/>
      <c r="AL2" s="496"/>
      <c r="AM2" s="496"/>
    </row>
    <row r="3" spans="1:45" ht="13.5" customHeight="1" x14ac:dyDescent="0.25">
      <c r="A3" s="495" t="s">
        <v>545</v>
      </c>
      <c r="B3" s="495"/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  <c r="N3" s="495"/>
      <c r="O3" s="495"/>
      <c r="P3" s="495"/>
      <c r="Q3" s="495"/>
      <c r="R3" s="495"/>
      <c r="S3" s="495"/>
      <c r="T3" s="495"/>
      <c r="U3" s="495"/>
      <c r="V3" s="495"/>
      <c r="W3" s="495"/>
      <c r="X3" s="495"/>
      <c r="Y3" s="495"/>
      <c r="Z3" s="495"/>
      <c r="AA3" s="495"/>
      <c r="AB3" s="495"/>
      <c r="AC3" s="495"/>
      <c r="AD3" s="495"/>
      <c r="AE3" s="495"/>
      <c r="AF3" s="495"/>
      <c r="AG3" s="495"/>
      <c r="AH3" s="495"/>
      <c r="AI3" s="495"/>
      <c r="AJ3" s="495"/>
      <c r="AK3" s="495"/>
      <c r="AL3" s="495"/>
      <c r="AM3" s="495"/>
      <c r="AN3" s="495"/>
      <c r="AO3" s="495"/>
      <c r="AP3" s="2"/>
    </row>
    <row r="4" spans="1:45" ht="13.5" customHeight="1" x14ac:dyDescent="0.25">
      <c r="A4" s="1" t="s">
        <v>426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88"/>
      <c r="O4" s="2"/>
      <c r="P4" s="2"/>
      <c r="Q4" s="2"/>
      <c r="R4" s="1"/>
      <c r="S4" s="1"/>
      <c r="T4" s="2"/>
      <c r="U4" s="2"/>
      <c r="V4" s="106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130"/>
      <c r="AL4" s="2"/>
      <c r="AM4" s="2"/>
      <c r="AN4" s="2"/>
      <c r="AO4" s="2"/>
      <c r="AP4" s="2"/>
    </row>
    <row r="5" spans="1:45" ht="13.5" customHeight="1" x14ac:dyDescent="0.25">
      <c r="A5" s="497" t="s">
        <v>1</v>
      </c>
      <c r="B5" s="497" t="s">
        <v>56</v>
      </c>
      <c r="C5" s="497"/>
      <c r="D5" s="497"/>
      <c r="E5" s="497"/>
      <c r="F5" s="497"/>
      <c r="G5" s="497"/>
      <c r="H5" s="497"/>
      <c r="I5" s="497"/>
      <c r="J5" s="498" t="s">
        <v>192</v>
      </c>
      <c r="K5" s="497" t="s">
        <v>2</v>
      </c>
      <c r="L5" s="497"/>
      <c r="M5" s="497"/>
      <c r="N5" s="497"/>
      <c r="O5" s="497" t="s">
        <v>57</v>
      </c>
      <c r="P5" s="498" t="s">
        <v>58</v>
      </c>
      <c r="Q5" s="497" t="s">
        <v>3</v>
      </c>
      <c r="R5" s="497" t="s">
        <v>4</v>
      </c>
      <c r="S5" s="497" t="s">
        <v>59</v>
      </c>
      <c r="T5" s="505" t="s">
        <v>60</v>
      </c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0"/>
      <c r="AI5" s="506"/>
      <c r="AJ5" s="497" t="s">
        <v>5</v>
      </c>
      <c r="AK5" s="511" t="s">
        <v>61</v>
      </c>
      <c r="AL5" s="497" t="s">
        <v>5</v>
      </c>
      <c r="AM5" s="497" t="s">
        <v>62</v>
      </c>
      <c r="AN5" s="497" t="s">
        <v>63</v>
      </c>
      <c r="AO5" s="497" t="s">
        <v>64</v>
      </c>
      <c r="AP5" s="497" t="s">
        <v>62</v>
      </c>
    </row>
    <row r="6" spans="1:45" ht="13.5" customHeight="1" x14ac:dyDescent="0.25">
      <c r="A6" s="497"/>
      <c r="B6" s="497"/>
      <c r="C6" s="497"/>
      <c r="D6" s="497"/>
      <c r="E6" s="497"/>
      <c r="F6" s="497"/>
      <c r="G6" s="497"/>
      <c r="H6" s="497"/>
      <c r="I6" s="497"/>
      <c r="J6" s="499"/>
      <c r="K6" s="497"/>
      <c r="L6" s="497"/>
      <c r="M6" s="497"/>
      <c r="N6" s="497"/>
      <c r="O6" s="497"/>
      <c r="P6" s="499"/>
      <c r="Q6" s="497"/>
      <c r="R6" s="497"/>
      <c r="S6" s="497"/>
      <c r="T6" s="505" t="s">
        <v>65</v>
      </c>
      <c r="U6" s="506"/>
      <c r="V6" s="507" t="s">
        <v>66</v>
      </c>
      <c r="W6" s="498" t="s">
        <v>67</v>
      </c>
      <c r="X6" s="498" t="s">
        <v>68</v>
      </c>
      <c r="Y6" s="498" t="s">
        <v>69</v>
      </c>
      <c r="Z6" s="498" t="s">
        <v>70</v>
      </c>
      <c r="AA6" s="498" t="s">
        <v>71</v>
      </c>
      <c r="AB6" s="498" t="s">
        <v>72</v>
      </c>
      <c r="AC6" s="498" t="s">
        <v>73</v>
      </c>
      <c r="AD6" s="498" t="s">
        <v>74</v>
      </c>
      <c r="AE6" s="498" t="s">
        <v>75</v>
      </c>
      <c r="AF6" s="498" t="s">
        <v>76</v>
      </c>
      <c r="AG6" s="498" t="s">
        <v>77</v>
      </c>
      <c r="AH6" s="498" t="s">
        <v>78</v>
      </c>
      <c r="AI6" s="498" t="s">
        <v>79</v>
      </c>
      <c r="AJ6" s="497"/>
      <c r="AK6" s="511"/>
      <c r="AL6" s="497"/>
      <c r="AM6" s="497"/>
      <c r="AN6" s="497"/>
      <c r="AO6" s="497"/>
      <c r="AP6" s="497"/>
    </row>
    <row r="7" spans="1:45" ht="34.5" customHeight="1" x14ac:dyDescent="0.25">
      <c r="A7" s="497"/>
      <c r="B7" s="497"/>
      <c r="C7" s="497"/>
      <c r="D7" s="497"/>
      <c r="E7" s="497"/>
      <c r="F7" s="497"/>
      <c r="G7" s="497"/>
      <c r="H7" s="497"/>
      <c r="I7" s="497"/>
      <c r="J7" s="500"/>
      <c r="K7" s="497"/>
      <c r="L7" s="497"/>
      <c r="M7" s="497"/>
      <c r="N7" s="497"/>
      <c r="O7" s="497"/>
      <c r="P7" s="500"/>
      <c r="Q7" s="497"/>
      <c r="R7" s="497"/>
      <c r="S7" s="497"/>
      <c r="T7" s="149" t="s">
        <v>80</v>
      </c>
      <c r="U7" s="149" t="s">
        <v>6</v>
      </c>
      <c r="V7" s="508"/>
      <c r="W7" s="500"/>
      <c r="X7" s="500"/>
      <c r="Y7" s="500"/>
      <c r="Z7" s="500"/>
      <c r="AA7" s="500"/>
      <c r="AB7" s="500"/>
      <c r="AC7" s="500"/>
      <c r="AD7" s="500"/>
      <c r="AE7" s="500"/>
      <c r="AF7" s="500"/>
      <c r="AG7" s="500"/>
      <c r="AH7" s="500"/>
      <c r="AI7" s="500"/>
      <c r="AJ7" s="497"/>
      <c r="AK7" s="511"/>
      <c r="AL7" s="497"/>
      <c r="AM7" s="497"/>
      <c r="AN7" s="497"/>
      <c r="AO7" s="497"/>
      <c r="AP7" s="497"/>
    </row>
    <row r="8" spans="1:45" s="4" customFormat="1" ht="13.5" customHeight="1" x14ac:dyDescent="0.25">
      <c r="A8" s="150">
        <v>1</v>
      </c>
      <c r="B8" s="509">
        <v>2</v>
      </c>
      <c r="C8" s="509"/>
      <c r="D8" s="509"/>
      <c r="E8" s="509"/>
      <c r="F8" s="509"/>
      <c r="G8" s="509"/>
      <c r="H8" s="509"/>
      <c r="I8" s="509"/>
      <c r="J8" s="150"/>
      <c r="K8" s="509">
        <v>2</v>
      </c>
      <c r="L8" s="509"/>
      <c r="M8" s="509"/>
      <c r="N8" s="509"/>
      <c r="O8" s="150">
        <v>3</v>
      </c>
      <c r="P8" s="150">
        <v>3</v>
      </c>
      <c r="Q8" s="150">
        <v>4</v>
      </c>
      <c r="R8" s="150">
        <v>5</v>
      </c>
      <c r="S8" s="150">
        <v>6</v>
      </c>
      <c r="T8" s="150">
        <v>7</v>
      </c>
      <c r="U8" s="150" t="s">
        <v>81</v>
      </c>
      <c r="V8" s="107" t="s">
        <v>82</v>
      </c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>
        <v>10</v>
      </c>
      <c r="AJ8" s="150" t="s">
        <v>83</v>
      </c>
      <c r="AK8" s="131" t="s">
        <v>84</v>
      </c>
      <c r="AL8" s="150" t="s">
        <v>85</v>
      </c>
      <c r="AM8" s="150">
        <v>14</v>
      </c>
      <c r="AN8" s="150"/>
      <c r="AO8" s="150"/>
      <c r="AP8" s="150">
        <v>12</v>
      </c>
    </row>
    <row r="9" spans="1:45" ht="13.5" customHeight="1" thickBot="1" x14ac:dyDescent="0.3">
      <c r="A9" s="5" t="s">
        <v>544</v>
      </c>
      <c r="B9" s="6"/>
      <c r="C9" s="6"/>
      <c r="D9" s="6"/>
      <c r="E9" s="6"/>
      <c r="F9" s="6"/>
      <c r="G9" s="6"/>
      <c r="H9" s="6"/>
      <c r="I9" s="7"/>
      <c r="J9" s="6"/>
      <c r="K9" s="8"/>
      <c r="L9" s="6"/>
      <c r="M9" s="6"/>
      <c r="N9" s="7"/>
      <c r="O9" s="5"/>
      <c r="P9" s="5"/>
      <c r="Q9" s="5"/>
      <c r="R9" s="5"/>
      <c r="S9" s="5"/>
      <c r="T9" s="5"/>
      <c r="U9" s="5"/>
      <c r="V9" s="108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 t="s">
        <v>215</v>
      </c>
      <c r="AJ9" s="5"/>
      <c r="AK9" s="132"/>
      <c r="AL9" s="5"/>
      <c r="AM9" s="5"/>
      <c r="AN9" s="9"/>
      <c r="AO9" s="9"/>
      <c r="AP9" s="9"/>
    </row>
    <row r="10" spans="1:45" s="36" customFormat="1" ht="29.25" customHeight="1" thickTop="1" thickBot="1" x14ac:dyDescent="0.3">
      <c r="A10" s="37"/>
      <c r="B10" s="517" t="s">
        <v>86</v>
      </c>
      <c r="C10" s="518"/>
      <c r="D10" s="518"/>
      <c r="E10" s="518"/>
      <c r="F10" s="518"/>
      <c r="G10" s="518"/>
      <c r="H10" s="518"/>
      <c r="I10" s="519"/>
      <c r="J10" s="153" t="s">
        <v>193</v>
      </c>
      <c r="K10" s="38"/>
      <c r="L10" s="520" t="s">
        <v>87</v>
      </c>
      <c r="M10" s="520"/>
      <c r="N10" s="521"/>
      <c r="O10" s="39">
        <f>SUM(O14,O24,O26)</f>
        <v>57230250000</v>
      </c>
      <c r="P10" s="39">
        <f>SUM(P14,P24,P26)</f>
        <v>57230250000</v>
      </c>
      <c r="Q10" s="39">
        <f>SUM(Q14,Q24,Q26)</f>
        <v>124313865783</v>
      </c>
      <c r="R10" s="57">
        <f>Q10/Q10*100</f>
        <v>100</v>
      </c>
      <c r="S10" s="39">
        <f>S14</f>
        <v>100</v>
      </c>
      <c r="T10" s="39">
        <f>SUM(AJ10)</f>
        <v>6.1363846904382768</v>
      </c>
      <c r="U10" s="39">
        <f>AJ10</f>
        <v>6.1363846904382768</v>
      </c>
      <c r="V10" s="109">
        <f>S10-T10</f>
        <v>93.863615309561723</v>
      </c>
      <c r="W10" s="39">
        <f t="shared" ref="W10:AI10" si="0">SUM(W14,W24,W26)</f>
        <v>0</v>
      </c>
      <c r="X10" s="39" t="e">
        <f t="shared" si="0"/>
        <v>#REF!</v>
      </c>
      <c r="Y10" s="39" t="e">
        <f t="shared" si="0"/>
        <v>#REF!</v>
      </c>
      <c r="Z10" s="39" t="e">
        <f t="shared" si="0"/>
        <v>#REF!</v>
      </c>
      <c r="AA10" s="39" t="e">
        <f t="shared" si="0"/>
        <v>#REF!</v>
      </c>
      <c r="AB10" s="39">
        <f t="shared" si="0"/>
        <v>33313624753</v>
      </c>
      <c r="AC10" s="39" t="e">
        <f t="shared" si="0"/>
        <v>#REF!</v>
      </c>
      <c r="AD10" s="39" t="e">
        <f t="shared" si="0"/>
        <v>#REF!</v>
      </c>
      <c r="AE10" s="39" t="e">
        <f t="shared" si="0"/>
        <v>#REF!</v>
      </c>
      <c r="AF10" s="39" t="e">
        <f t="shared" si="0"/>
        <v>#REF!</v>
      </c>
      <c r="AG10" s="39" t="e">
        <f t="shared" si="0"/>
        <v>#REF!</v>
      </c>
      <c r="AH10" s="39">
        <f t="shared" si="0"/>
        <v>78185513265</v>
      </c>
      <c r="AI10" s="39">
        <f t="shared" si="0"/>
        <v>7628377028</v>
      </c>
      <c r="AJ10" s="40">
        <f>AI10/Q10*100</f>
        <v>6.1363846904382768</v>
      </c>
      <c r="AK10" s="133">
        <f>SUM(AK14,AK24,AK26)</f>
        <v>116685488755</v>
      </c>
      <c r="AL10" s="40">
        <f>AK10/Q10*100</f>
        <v>93.863615309561723</v>
      </c>
      <c r="AM10" s="40"/>
    </row>
    <row r="11" spans="1:45" s="3" customFormat="1" ht="13.5" customHeight="1" thickTop="1" thickBot="1" x14ac:dyDescent="0.3">
      <c r="A11" s="21"/>
      <c r="B11" s="158"/>
      <c r="C11" s="158"/>
      <c r="D11" s="158"/>
      <c r="E11" s="158"/>
      <c r="F11" s="158"/>
      <c r="G11" s="158"/>
      <c r="H11" s="158"/>
      <c r="I11" s="159"/>
      <c r="J11" s="158"/>
      <c r="K11" s="22"/>
      <c r="L11" s="160"/>
      <c r="M11" s="160"/>
      <c r="N11" s="161"/>
      <c r="O11" s="23"/>
      <c r="P11" s="23"/>
      <c r="Q11" s="23"/>
      <c r="R11" s="23"/>
      <c r="S11" s="23"/>
      <c r="T11" s="23"/>
      <c r="U11" s="23"/>
      <c r="V11" s="110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4"/>
      <c r="AK11" s="134"/>
      <c r="AL11" s="24"/>
      <c r="AM11" s="24"/>
    </row>
    <row r="12" spans="1:45" s="36" customFormat="1" ht="29.25" customHeight="1" thickTop="1" thickBot="1" x14ac:dyDescent="0.3">
      <c r="A12" s="37"/>
      <c r="B12" s="517" t="s">
        <v>86</v>
      </c>
      <c r="C12" s="518"/>
      <c r="D12" s="518"/>
      <c r="E12" s="518"/>
      <c r="F12" s="518"/>
      <c r="G12" s="518"/>
      <c r="H12" s="518"/>
      <c r="I12" s="519"/>
      <c r="J12" s="153" t="s">
        <v>194</v>
      </c>
      <c r="K12" s="38"/>
      <c r="L12" s="520" t="s">
        <v>195</v>
      </c>
      <c r="M12" s="520"/>
      <c r="N12" s="521"/>
      <c r="O12" s="39" t="e">
        <f>SUM(#REF!,O26,O32)</f>
        <v>#REF!</v>
      </c>
      <c r="P12" s="39" t="e">
        <f>SUM(#REF!,P26,P32)</f>
        <v>#REF!</v>
      </c>
      <c r="Q12" s="39">
        <f>SUM(Q14+Q24+Q26)</f>
        <v>124313865783</v>
      </c>
      <c r="R12" s="57">
        <f>Q12/Q12*100</f>
        <v>100</v>
      </c>
      <c r="S12" s="39">
        <v>100</v>
      </c>
      <c r="T12" s="39">
        <f>SUM(AJ12)</f>
        <v>6.1363846904382768</v>
      </c>
      <c r="U12" s="39">
        <f>AJ12</f>
        <v>6.1363846904382768</v>
      </c>
      <c r="V12" s="109">
        <f>S12-T12</f>
        <v>93.863615309561723</v>
      </c>
      <c r="W12" s="39">
        <f t="shared" ref="W12:AH12" si="1">SUM(W16,W26,W32)</f>
        <v>0</v>
      </c>
      <c r="X12" s="39" t="e">
        <f t="shared" si="1"/>
        <v>#REF!</v>
      </c>
      <c r="Y12" s="39" t="e">
        <f t="shared" si="1"/>
        <v>#REF!</v>
      </c>
      <c r="Z12" s="39" t="e">
        <f t="shared" si="1"/>
        <v>#REF!</v>
      </c>
      <c r="AA12" s="39" t="e">
        <f t="shared" si="1"/>
        <v>#REF!</v>
      </c>
      <c r="AB12" s="39">
        <f t="shared" si="1"/>
        <v>5549197752</v>
      </c>
      <c r="AC12" s="39" t="e">
        <f t="shared" si="1"/>
        <v>#REF!</v>
      </c>
      <c r="AD12" s="39" t="e">
        <f t="shared" si="1"/>
        <v>#REF!</v>
      </c>
      <c r="AE12" s="39" t="e">
        <f t="shared" si="1"/>
        <v>#REF!</v>
      </c>
      <c r="AF12" s="39" t="e">
        <f t="shared" si="1"/>
        <v>#REF!</v>
      </c>
      <c r="AG12" s="39" t="e">
        <f t="shared" si="1"/>
        <v>#REF!</v>
      </c>
      <c r="AH12" s="39">
        <f t="shared" si="1"/>
        <v>11081028822</v>
      </c>
      <c r="AI12" s="39">
        <f>SUM(AI14+AI24+AI26)</f>
        <v>7628377028</v>
      </c>
      <c r="AJ12" s="40">
        <f>AI12/Q12*100</f>
        <v>6.1363846904382768</v>
      </c>
      <c r="AK12" s="133">
        <f>SUM(AK14+AK24+AK26)</f>
        <v>116685488755</v>
      </c>
      <c r="AL12" s="40">
        <f>AK12/Q12*100</f>
        <v>93.863615309561723</v>
      </c>
      <c r="AM12" s="40"/>
    </row>
    <row r="13" spans="1:45" s="3" customFormat="1" ht="13.5" customHeight="1" thickTop="1" x14ac:dyDescent="0.25">
      <c r="A13" s="21"/>
      <c r="B13" s="158"/>
      <c r="C13" s="158"/>
      <c r="D13" s="158"/>
      <c r="E13" s="158"/>
      <c r="F13" s="158"/>
      <c r="G13" s="158"/>
      <c r="H13" s="158"/>
      <c r="I13" s="159"/>
      <c r="J13" s="158"/>
      <c r="K13" s="22"/>
      <c r="L13" s="160"/>
      <c r="M13" s="160"/>
      <c r="N13" s="161"/>
      <c r="O13" s="23"/>
      <c r="P13" s="23"/>
      <c r="Q13" s="23"/>
      <c r="R13" s="23"/>
      <c r="S13" s="23"/>
      <c r="T13" s="23"/>
      <c r="U13" s="23"/>
      <c r="V13" s="110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4"/>
      <c r="AK13" s="134"/>
      <c r="AL13" s="24"/>
      <c r="AM13" s="24"/>
    </row>
    <row r="14" spans="1:45" s="36" customFormat="1" ht="28.5" customHeight="1" x14ac:dyDescent="0.25">
      <c r="A14" s="49" t="s">
        <v>7</v>
      </c>
      <c r="B14" s="522" t="s">
        <v>88</v>
      </c>
      <c r="C14" s="523"/>
      <c r="D14" s="523"/>
      <c r="E14" s="523"/>
      <c r="F14" s="523"/>
      <c r="G14" s="523"/>
      <c r="H14" s="523"/>
      <c r="I14" s="524"/>
      <c r="J14" s="154" t="s">
        <v>213</v>
      </c>
      <c r="K14" s="50"/>
      <c r="L14" s="525" t="s">
        <v>89</v>
      </c>
      <c r="M14" s="525"/>
      <c r="N14" s="526"/>
      <c r="O14" s="58">
        <v>53000250000</v>
      </c>
      <c r="P14" s="58">
        <f>O14</f>
        <v>53000250000</v>
      </c>
      <c r="Q14" s="58">
        <f>SUM(Q15:Q23)</f>
        <v>114000000000</v>
      </c>
      <c r="R14" s="56">
        <f>Q14/Q14*100</f>
        <v>100</v>
      </c>
      <c r="S14" s="56">
        <v>100</v>
      </c>
      <c r="T14" s="58">
        <f>AJ14</f>
        <v>5.8116601929824565</v>
      </c>
      <c r="U14" s="58">
        <f>SUM(R14*T14)</f>
        <v>581.1660192982456</v>
      </c>
      <c r="V14" s="111">
        <f>S14-T14</f>
        <v>94.188339807017542</v>
      </c>
      <c r="W14" s="58"/>
      <c r="X14" s="58" t="e">
        <f>#REF!</f>
        <v>#REF!</v>
      </c>
      <c r="Y14" s="58" t="e">
        <f>#REF!</f>
        <v>#REF!</v>
      </c>
      <c r="Z14" s="58" t="e">
        <f>#REF!</f>
        <v>#REF!</v>
      </c>
      <c r="AA14" s="58" t="e">
        <f>#REF!</f>
        <v>#REF!</v>
      </c>
      <c r="AB14" s="58">
        <v>27766121137</v>
      </c>
      <c r="AC14" s="58" t="e">
        <f>#REF!</f>
        <v>#REF!</v>
      </c>
      <c r="AD14" s="58" t="e">
        <f>#REF!</f>
        <v>#REF!</v>
      </c>
      <c r="AE14" s="58" t="e">
        <f>#REF!</f>
        <v>#REF!</v>
      </c>
      <c r="AF14" s="58" t="e">
        <f>[1]April!$N$12</f>
        <v>#REF!</v>
      </c>
      <c r="AG14" s="58" t="e">
        <f>[2]april!$N$12</f>
        <v>#REF!</v>
      </c>
      <c r="AH14" s="58">
        <f>'[3]DES SKPD'!$N$12</f>
        <v>67029484443</v>
      </c>
      <c r="AI14" s="58">
        <f>SUM(AI15:AI23)</f>
        <v>6625292620</v>
      </c>
      <c r="AJ14" s="56">
        <f t="shared" ref="AJ14:AJ27" si="2">AI14/Q14*100</f>
        <v>5.8116601929824565</v>
      </c>
      <c r="AK14" s="135">
        <f>Q14-AI14</f>
        <v>107374707380</v>
      </c>
      <c r="AL14" s="56">
        <f t="shared" ref="AL14:AL27" si="3">AK14/Q14*100</f>
        <v>94.188339807017542</v>
      </c>
      <c r="AM14" s="49"/>
    </row>
    <row r="15" spans="1:45" ht="28.5" customHeight="1" x14ac:dyDescent="0.25">
      <c r="A15" s="26">
        <v>1</v>
      </c>
      <c r="B15" s="512" t="s">
        <v>90</v>
      </c>
      <c r="C15" s="513"/>
      <c r="D15" s="513"/>
      <c r="E15" s="513"/>
      <c r="F15" s="513"/>
      <c r="G15" s="513"/>
      <c r="H15" s="513"/>
      <c r="I15" s="514"/>
      <c r="J15" s="151" t="s">
        <v>355</v>
      </c>
      <c r="K15" s="27"/>
      <c r="L15" s="515" t="s">
        <v>389</v>
      </c>
      <c r="M15" s="515"/>
      <c r="N15" s="516"/>
      <c r="O15" s="28"/>
      <c r="P15" s="28"/>
      <c r="Q15" s="28">
        <v>4000000000</v>
      </c>
      <c r="R15" s="29">
        <f>Q15/Q$10*100</f>
        <v>3.2176619838870804</v>
      </c>
      <c r="S15" s="29">
        <v>100</v>
      </c>
      <c r="T15" s="28">
        <f>AJ15</f>
        <v>5.5971858999999995</v>
      </c>
      <c r="U15" s="28">
        <f>R15*T15/100</f>
        <v>0.1800985228717879</v>
      </c>
      <c r="V15" s="87">
        <f t="shared" ref="V15:V26" si="4">S15-T15</f>
        <v>94.402814100000001</v>
      </c>
      <c r="W15" s="28"/>
      <c r="X15" s="28"/>
      <c r="Y15" s="28"/>
      <c r="Z15" s="28"/>
      <c r="AA15" s="28"/>
      <c r="AB15" s="28">
        <v>0</v>
      </c>
      <c r="AC15" s="28"/>
      <c r="AD15" s="28"/>
      <c r="AE15" s="28"/>
      <c r="AF15" s="28"/>
      <c r="AG15" s="28"/>
      <c r="AH15" s="28"/>
      <c r="AI15" s="28">
        <f>(223887436)</f>
        <v>223887436</v>
      </c>
      <c r="AJ15" s="29">
        <f t="shared" si="2"/>
        <v>5.5971858999999995</v>
      </c>
      <c r="AK15" s="136">
        <f>SUM(Q15-AI15)</f>
        <v>3776112564</v>
      </c>
      <c r="AL15" s="29">
        <f t="shared" si="3"/>
        <v>94.402814100000001</v>
      </c>
      <c r="AM15" s="26"/>
      <c r="AR15" s="169">
        <v>114000000000</v>
      </c>
      <c r="AS15" s="170">
        <f>Q14-AR15</f>
        <v>0</v>
      </c>
    </row>
    <row r="16" spans="1:45" ht="28.5" customHeight="1" x14ac:dyDescent="0.25">
      <c r="A16" s="26">
        <v>2</v>
      </c>
      <c r="B16" s="512" t="s">
        <v>91</v>
      </c>
      <c r="C16" s="513"/>
      <c r="D16" s="513"/>
      <c r="E16" s="513"/>
      <c r="F16" s="513"/>
      <c r="G16" s="513"/>
      <c r="H16" s="513"/>
      <c r="I16" s="514"/>
      <c r="J16" s="151" t="s">
        <v>356</v>
      </c>
      <c r="K16" s="27"/>
      <c r="L16" s="515" t="s">
        <v>390</v>
      </c>
      <c r="M16" s="515"/>
      <c r="N16" s="516"/>
      <c r="O16" s="28"/>
      <c r="P16" s="28"/>
      <c r="Q16" s="28">
        <v>16748000000</v>
      </c>
      <c r="R16" s="29">
        <f t="shared" ref="R16:R23" si="5">Q16/Q$10*100</f>
        <v>13.472350726535204</v>
      </c>
      <c r="S16" s="29">
        <v>100</v>
      </c>
      <c r="T16" s="28">
        <f>AJ16</f>
        <v>8.5711682529257214</v>
      </c>
      <c r="U16" s="28">
        <f>R16*T16/100</f>
        <v>1.1547378483955932</v>
      </c>
      <c r="V16" s="87">
        <f t="shared" si="4"/>
        <v>91.428831747074284</v>
      </c>
      <c r="W16" s="28"/>
      <c r="X16" s="28"/>
      <c r="Y16" s="28"/>
      <c r="Z16" s="28"/>
      <c r="AA16" s="28"/>
      <c r="AB16" s="28">
        <v>0</v>
      </c>
      <c r="AC16" s="28"/>
      <c r="AD16" s="28"/>
      <c r="AE16" s="28"/>
      <c r="AF16" s="28"/>
      <c r="AG16" s="28"/>
      <c r="AH16" s="28"/>
      <c r="AI16" s="28">
        <f>(1435499259)</f>
        <v>1435499259</v>
      </c>
      <c r="AJ16" s="29">
        <f t="shared" si="2"/>
        <v>8.5711682529257214</v>
      </c>
      <c r="AK16" s="136">
        <f t="shared" ref="AK16:AK31" si="6">SUM(Q16-AI16)</f>
        <v>15312500741</v>
      </c>
      <c r="AL16" s="94">
        <f t="shared" si="3"/>
        <v>91.428831747074284</v>
      </c>
      <c r="AM16" s="26"/>
    </row>
    <row r="17" spans="1:39" ht="28.5" customHeight="1" x14ac:dyDescent="0.25">
      <c r="A17" s="26">
        <v>3</v>
      </c>
      <c r="B17" s="512" t="s">
        <v>92</v>
      </c>
      <c r="C17" s="513"/>
      <c r="D17" s="513"/>
      <c r="E17" s="513"/>
      <c r="F17" s="513"/>
      <c r="G17" s="513"/>
      <c r="H17" s="513"/>
      <c r="I17" s="514"/>
      <c r="J17" s="151" t="s">
        <v>357</v>
      </c>
      <c r="K17" s="27"/>
      <c r="L17" s="515" t="s">
        <v>391</v>
      </c>
      <c r="M17" s="515"/>
      <c r="N17" s="516"/>
      <c r="O17" s="28"/>
      <c r="P17" s="28"/>
      <c r="Q17" s="28">
        <v>714500000</v>
      </c>
      <c r="R17" s="29">
        <f t="shared" si="5"/>
        <v>0.57475487187182972</v>
      </c>
      <c r="S17" s="29">
        <v>100</v>
      </c>
      <c r="T17" s="28">
        <f>AJ17</f>
        <v>8.024299510146955</v>
      </c>
      <c r="U17" s="28">
        <f>R17*T17/100</f>
        <v>4.6120052368156993E-2</v>
      </c>
      <c r="V17" s="87">
        <f t="shared" si="4"/>
        <v>91.97570048985304</v>
      </c>
      <c r="W17" s="28"/>
      <c r="X17" s="28"/>
      <c r="Y17" s="28"/>
      <c r="Z17" s="28"/>
      <c r="AA17" s="28"/>
      <c r="AB17" s="28">
        <v>0</v>
      </c>
      <c r="AC17" s="28"/>
      <c r="AD17" s="28"/>
      <c r="AE17" s="28"/>
      <c r="AF17" s="28"/>
      <c r="AG17" s="28"/>
      <c r="AH17" s="28"/>
      <c r="AI17" s="28">
        <f>(57333620)</f>
        <v>57333620</v>
      </c>
      <c r="AJ17" s="29">
        <f t="shared" si="2"/>
        <v>8.024299510146955</v>
      </c>
      <c r="AK17" s="136">
        <f t="shared" si="6"/>
        <v>657166380</v>
      </c>
      <c r="AL17" s="29">
        <f t="shared" si="3"/>
        <v>91.97570048985304</v>
      </c>
      <c r="AM17" s="26"/>
    </row>
    <row r="18" spans="1:39" ht="28.5" customHeight="1" x14ac:dyDescent="0.25">
      <c r="A18" s="26">
        <v>4</v>
      </c>
      <c r="B18" s="512" t="s">
        <v>93</v>
      </c>
      <c r="C18" s="513"/>
      <c r="D18" s="513"/>
      <c r="E18" s="513"/>
      <c r="F18" s="513"/>
      <c r="G18" s="513"/>
      <c r="H18" s="513"/>
      <c r="I18" s="514"/>
      <c r="J18" s="151" t="s">
        <v>358</v>
      </c>
      <c r="K18" s="27"/>
      <c r="L18" s="515" t="s">
        <v>392</v>
      </c>
      <c r="M18" s="515"/>
      <c r="N18" s="516"/>
      <c r="O18" s="28"/>
      <c r="P18" s="28"/>
      <c r="Q18" s="28">
        <v>4296000000</v>
      </c>
      <c r="R18" s="29">
        <f t="shared" si="5"/>
        <v>3.4557689706947241</v>
      </c>
      <c r="S18" s="29">
        <v>100</v>
      </c>
      <c r="T18" s="28">
        <f t="shared" ref="T18:T31" si="7">AJ18</f>
        <v>12.686260847299813</v>
      </c>
      <c r="U18" s="28">
        <f t="shared" ref="U18:U23" si="8">R18*T18/100</f>
        <v>0.43840786590238051</v>
      </c>
      <c r="V18" s="87">
        <f t="shared" si="4"/>
        <v>87.31373915270018</v>
      </c>
      <c r="W18" s="28"/>
      <c r="X18" s="28"/>
      <c r="Y18" s="28"/>
      <c r="Z18" s="28"/>
      <c r="AA18" s="28"/>
      <c r="AB18" s="28">
        <v>0</v>
      </c>
      <c r="AC18" s="28"/>
      <c r="AD18" s="28"/>
      <c r="AE18" s="28"/>
      <c r="AF18" s="28"/>
      <c r="AG18" s="28"/>
      <c r="AH18" s="28"/>
      <c r="AI18" s="28">
        <f>(545001766)</f>
        <v>545001766</v>
      </c>
      <c r="AJ18" s="29">
        <f t="shared" si="2"/>
        <v>12.686260847299813</v>
      </c>
      <c r="AK18" s="136">
        <f t="shared" si="6"/>
        <v>3750998234</v>
      </c>
      <c r="AL18" s="94">
        <f t="shared" si="3"/>
        <v>87.313739152700194</v>
      </c>
      <c r="AM18" s="26"/>
    </row>
    <row r="19" spans="1:39" ht="28.5" customHeight="1" x14ac:dyDescent="0.25">
      <c r="A19" s="26">
        <v>5</v>
      </c>
      <c r="B19" s="512" t="s">
        <v>94</v>
      </c>
      <c r="C19" s="513"/>
      <c r="D19" s="513"/>
      <c r="E19" s="513"/>
      <c r="F19" s="513"/>
      <c r="G19" s="513"/>
      <c r="H19" s="513"/>
      <c r="I19" s="514"/>
      <c r="J19" s="151" t="s">
        <v>359</v>
      </c>
      <c r="K19" s="27"/>
      <c r="L19" s="515" t="s">
        <v>393</v>
      </c>
      <c r="M19" s="515"/>
      <c r="N19" s="516"/>
      <c r="O19" s="28"/>
      <c r="P19" s="28"/>
      <c r="Q19" s="28">
        <v>29977500000</v>
      </c>
      <c r="R19" s="29">
        <f t="shared" si="5"/>
        <v>24.114365530493735</v>
      </c>
      <c r="S19" s="29">
        <v>100</v>
      </c>
      <c r="T19" s="28">
        <f t="shared" si="7"/>
        <v>6.5201968609790679</v>
      </c>
      <c r="U19" s="28">
        <f t="shared" si="8"/>
        <v>1.5723041043642709</v>
      </c>
      <c r="V19" s="87">
        <f t="shared" si="4"/>
        <v>93.47980313902093</v>
      </c>
      <c r="W19" s="28"/>
      <c r="X19" s="28"/>
      <c r="Y19" s="28"/>
      <c r="Z19" s="28"/>
      <c r="AA19" s="28"/>
      <c r="AB19" s="28">
        <v>0</v>
      </c>
      <c r="AC19" s="28"/>
      <c r="AD19" s="28"/>
      <c r="AE19" s="28"/>
      <c r="AF19" s="28"/>
      <c r="AG19" s="28"/>
      <c r="AH19" s="28"/>
      <c r="AI19" s="28">
        <f>(1954592014)</f>
        <v>1954592014</v>
      </c>
      <c r="AJ19" s="29">
        <f t="shared" si="2"/>
        <v>6.5201968609790679</v>
      </c>
      <c r="AK19" s="136">
        <f t="shared" si="6"/>
        <v>28022907986</v>
      </c>
      <c r="AL19" s="94">
        <f t="shared" si="3"/>
        <v>93.47980313902093</v>
      </c>
      <c r="AM19" s="26"/>
    </row>
    <row r="20" spans="1:39" ht="28.5" customHeight="1" x14ac:dyDescent="0.25">
      <c r="A20" s="26">
        <v>6</v>
      </c>
      <c r="B20" s="512" t="s">
        <v>95</v>
      </c>
      <c r="C20" s="513"/>
      <c r="D20" s="513"/>
      <c r="E20" s="513"/>
      <c r="F20" s="513"/>
      <c r="G20" s="513"/>
      <c r="H20" s="513"/>
      <c r="I20" s="514"/>
      <c r="J20" s="151" t="s">
        <v>360</v>
      </c>
      <c r="K20" s="27"/>
      <c r="L20" s="515" t="s">
        <v>394</v>
      </c>
      <c r="M20" s="515"/>
      <c r="N20" s="516"/>
      <c r="O20" s="28"/>
      <c r="P20" s="28"/>
      <c r="Q20" s="28">
        <v>900000000</v>
      </c>
      <c r="R20" s="29">
        <f t="shared" si="5"/>
        <v>0.72397394637459311</v>
      </c>
      <c r="S20" s="29">
        <v>100</v>
      </c>
      <c r="T20" s="28">
        <f t="shared" si="7"/>
        <v>8.3780133333333335</v>
      </c>
      <c r="U20" s="28">
        <f t="shared" si="8"/>
        <v>6.0654633757122926E-2</v>
      </c>
      <c r="V20" s="87">
        <f t="shared" si="4"/>
        <v>91.621986666666672</v>
      </c>
      <c r="W20" s="28"/>
      <c r="X20" s="28"/>
      <c r="Y20" s="28"/>
      <c r="Z20" s="28"/>
      <c r="AA20" s="28"/>
      <c r="AB20" s="28">
        <v>0</v>
      </c>
      <c r="AC20" s="28"/>
      <c r="AD20" s="28"/>
      <c r="AE20" s="28"/>
      <c r="AF20" s="28"/>
      <c r="AG20" s="28"/>
      <c r="AH20" s="28"/>
      <c r="AI20" s="28">
        <f>(75402120)</f>
        <v>75402120</v>
      </c>
      <c r="AJ20" s="29">
        <f t="shared" si="2"/>
        <v>8.3780133333333335</v>
      </c>
      <c r="AK20" s="136">
        <f t="shared" si="6"/>
        <v>824597880</v>
      </c>
      <c r="AL20" s="29">
        <f t="shared" si="3"/>
        <v>91.621986666666672</v>
      </c>
      <c r="AM20" s="26"/>
    </row>
    <row r="21" spans="1:39" ht="28.5" customHeight="1" x14ac:dyDescent="0.25">
      <c r="A21" s="26">
        <v>7</v>
      </c>
      <c r="B21" s="512" t="s">
        <v>96</v>
      </c>
      <c r="C21" s="513"/>
      <c r="D21" s="513"/>
      <c r="E21" s="513"/>
      <c r="F21" s="513"/>
      <c r="G21" s="513"/>
      <c r="H21" s="513"/>
      <c r="I21" s="514"/>
      <c r="J21" s="151" t="s">
        <v>361</v>
      </c>
      <c r="K21" s="27"/>
      <c r="L21" s="515" t="s">
        <v>97</v>
      </c>
      <c r="M21" s="515"/>
      <c r="N21" s="516"/>
      <c r="O21" s="28"/>
      <c r="P21" s="28"/>
      <c r="Q21" s="28">
        <v>300000000</v>
      </c>
      <c r="R21" s="29">
        <f t="shared" si="5"/>
        <v>0.24132464879153101</v>
      </c>
      <c r="S21" s="29">
        <v>100</v>
      </c>
      <c r="T21" s="28">
        <f t="shared" si="7"/>
        <v>9.1068583333333333</v>
      </c>
      <c r="U21" s="28">
        <f t="shared" si="8"/>
        <v>2.1977093888858944E-2</v>
      </c>
      <c r="V21" s="87">
        <f t="shared" si="4"/>
        <v>90.893141666666665</v>
      </c>
      <c r="W21" s="28"/>
      <c r="X21" s="28"/>
      <c r="Y21" s="28"/>
      <c r="Z21" s="28"/>
      <c r="AA21" s="28"/>
      <c r="AB21" s="28">
        <v>0</v>
      </c>
      <c r="AC21" s="28"/>
      <c r="AD21" s="28"/>
      <c r="AE21" s="28"/>
      <c r="AF21" s="28"/>
      <c r="AG21" s="28"/>
      <c r="AH21" s="28"/>
      <c r="AI21" s="28">
        <f>(27320575)</f>
        <v>27320575</v>
      </c>
      <c r="AJ21" s="29">
        <f t="shared" si="2"/>
        <v>9.1068583333333333</v>
      </c>
      <c r="AK21" s="136">
        <f t="shared" si="6"/>
        <v>272679425</v>
      </c>
      <c r="AL21" s="29">
        <f t="shared" si="3"/>
        <v>90.893141666666665</v>
      </c>
      <c r="AM21" s="26"/>
    </row>
    <row r="22" spans="1:39" ht="28.5" customHeight="1" x14ac:dyDescent="0.25">
      <c r="A22" s="26">
        <v>8</v>
      </c>
      <c r="B22" s="512" t="s">
        <v>98</v>
      </c>
      <c r="C22" s="513"/>
      <c r="D22" s="513"/>
      <c r="E22" s="513"/>
      <c r="F22" s="513"/>
      <c r="G22" s="513"/>
      <c r="H22" s="513"/>
      <c r="I22" s="514"/>
      <c r="J22" s="151" t="s">
        <v>362</v>
      </c>
      <c r="K22" s="27"/>
      <c r="L22" s="515" t="s">
        <v>363</v>
      </c>
      <c r="M22" s="515"/>
      <c r="N22" s="516"/>
      <c r="O22" s="28"/>
      <c r="P22" s="28"/>
      <c r="Q22" s="28">
        <v>22900000000</v>
      </c>
      <c r="R22" s="29">
        <f t="shared" si="5"/>
        <v>18.421114857753533</v>
      </c>
      <c r="S22" s="29">
        <v>100</v>
      </c>
      <c r="T22" s="28">
        <f t="shared" si="7"/>
        <v>1.6354562052401747</v>
      </c>
      <c r="U22" s="28">
        <f t="shared" si="8"/>
        <v>0.30126926601554993</v>
      </c>
      <c r="V22" s="87">
        <f t="shared" si="4"/>
        <v>98.364543794759825</v>
      </c>
      <c r="W22" s="28"/>
      <c r="X22" s="28"/>
      <c r="Y22" s="28"/>
      <c r="Z22" s="28"/>
      <c r="AA22" s="28"/>
      <c r="AB22" s="28">
        <v>0</v>
      </c>
      <c r="AC22" s="28"/>
      <c r="AD22" s="28"/>
      <c r="AE22" s="28"/>
      <c r="AF22" s="28"/>
      <c r="AG22" s="28"/>
      <c r="AH22" s="28"/>
      <c r="AI22" s="28">
        <f>(374519471)</f>
        <v>374519471</v>
      </c>
      <c r="AJ22" s="29">
        <f t="shared" si="2"/>
        <v>1.6354562052401747</v>
      </c>
      <c r="AK22" s="136">
        <f t="shared" si="6"/>
        <v>22525480529</v>
      </c>
      <c r="AL22" s="94">
        <f t="shared" si="3"/>
        <v>98.364543794759825</v>
      </c>
      <c r="AM22" s="26"/>
    </row>
    <row r="23" spans="1:39" ht="32.25" customHeight="1" x14ac:dyDescent="0.25">
      <c r="A23" s="26">
        <v>9</v>
      </c>
      <c r="B23" s="512" t="s">
        <v>99</v>
      </c>
      <c r="C23" s="513"/>
      <c r="D23" s="513"/>
      <c r="E23" s="513"/>
      <c r="F23" s="513"/>
      <c r="G23" s="513"/>
      <c r="H23" s="513"/>
      <c r="I23" s="514"/>
      <c r="J23" s="151" t="s">
        <v>364</v>
      </c>
      <c r="K23" s="27"/>
      <c r="L23" s="515" t="s">
        <v>100</v>
      </c>
      <c r="M23" s="515"/>
      <c r="N23" s="516"/>
      <c r="O23" s="28"/>
      <c r="P23" s="28"/>
      <c r="Q23" s="28">
        <v>34164000000</v>
      </c>
      <c r="R23" s="29">
        <f t="shared" si="5"/>
        <v>27.482051004379553</v>
      </c>
      <c r="S23" s="29">
        <v>100</v>
      </c>
      <c r="T23" s="28">
        <f t="shared" si="7"/>
        <v>5.6543038256644422</v>
      </c>
      <c r="U23" s="28">
        <f t="shared" si="8"/>
        <v>1.5539186613116862</v>
      </c>
      <c r="V23" s="87">
        <f>S23-T23</f>
        <v>94.345696174335558</v>
      </c>
      <c r="W23" s="28"/>
      <c r="X23" s="28"/>
      <c r="Y23" s="28"/>
      <c r="Z23" s="28"/>
      <c r="AA23" s="28"/>
      <c r="AB23" s="28">
        <v>0</v>
      </c>
      <c r="AC23" s="28"/>
      <c r="AD23" s="28"/>
      <c r="AE23" s="28"/>
      <c r="AF23" s="28"/>
      <c r="AG23" s="28"/>
      <c r="AH23" s="28"/>
      <c r="AI23" s="28">
        <f>(1931736359)</f>
        <v>1931736359</v>
      </c>
      <c r="AJ23" s="29">
        <f t="shared" si="2"/>
        <v>5.6543038256644422</v>
      </c>
      <c r="AK23" s="136">
        <f t="shared" si="6"/>
        <v>32232263641</v>
      </c>
      <c r="AL23" s="29">
        <f t="shared" si="3"/>
        <v>94.345696174335558</v>
      </c>
      <c r="AM23" s="26"/>
    </row>
    <row r="24" spans="1:39" s="36" customFormat="1" ht="27.75" customHeight="1" x14ac:dyDescent="0.25">
      <c r="A24" s="49" t="s">
        <v>8</v>
      </c>
      <c r="B24" s="522" t="s">
        <v>101</v>
      </c>
      <c r="C24" s="523"/>
      <c r="D24" s="523"/>
      <c r="E24" s="523"/>
      <c r="F24" s="523"/>
      <c r="G24" s="523"/>
      <c r="H24" s="523"/>
      <c r="I24" s="524"/>
      <c r="J24" s="154" t="s">
        <v>214</v>
      </c>
      <c r="K24" s="50"/>
      <c r="L24" s="525" t="s">
        <v>102</v>
      </c>
      <c r="M24" s="525"/>
      <c r="N24" s="526"/>
      <c r="O24" s="58">
        <v>80000000</v>
      </c>
      <c r="P24" s="58">
        <f>O24</f>
        <v>80000000</v>
      </c>
      <c r="Q24" s="58">
        <f>SUM(Q25)</f>
        <v>161362180</v>
      </c>
      <c r="R24" s="57">
        <f>Q24/Q24*100</f>
        <v>100</v>
      </c>
      <c r="S24" s="56">
        <v>100</v>
      </c>
      <c r="T24" s="58">
        <f t="shared" si="7"/>
        <v>8.9240242044325377</v>
      </c>
      <c r="U24" s="58">
        <f>AJ24</f>
        <v>8.9240242044325377</v>
      </c>
      <c r="V24" s="111">
        <f t="shared" si="4"/>
        <v>91.075975795567459</v>
      </c>
      <c r="W24" s="58"/>
      <c r="X24" s="58" t="e">
        <f>#REF!</f>
        <v>#REF!</v>
      </c>
      <c r="Y24" s="58" t="e">
        <f>#REF!</f>
        <v>#REF!</v>
      </c>
      <c r="Z24" s="58" t="e">
        <f>#REF!</f>
        <v>#REF!</v>
      </c>
      <c r="AA24" s="58" t="e">
        <f>#REF!</f>
        <v>#REF!</v>
      </c>
      <c r="AB24" s="58">
        <v>15000000</v>
      </c>
      <c r="AC24" s="58" t="e">
        <f>#REF!</f>
        <v>#REF!</v>
      </c>
      <c r="AD24" s="58" t="e">
        <f>#REF!</f>
        <v>#REF!</v>
      </c>
      <c r="AE24" s="58" t="e">
        <f>#REF!</f>
        <v>#REF!</v>
      </c>
      <c r="AF24" s="58" t="e">
        <f>[1]April!$N$13</f>
        <v>#REF!</v>
      </c>
      <c r="AG24" s="58" t="e">
        <f>[2]april!$N$13</f>
        <v>#REF!</v>
      </c>
      <c r="AH24" s="58">
        <f>'[3]DES SKPD'!$N$13</f>
        <v>75000000</v>
      </c>
      <c r="AI24" s="58">
        <f>SUM(AI25)</f>
        <v>14400000</v>
      </c>
      <c r="AJ24" s="56">
        <f t="shared" si="2"/>
        <v>8.9240242044325377</v>
      </c>
      <c r="AK24" s="135">
        <f t="shared" si="6"/>
        <v>146962180</v>
      </c>
      <c r="AL24" s="56">
        <f t="shared" si="3"/>
        <v>91.075975795567459</v>
      </c>
      <c r="AM24" s="49"/>
    </row>
    <row r="25" spans="1:39" ht="21" customHeight="1" x14ac:dyDescent="0.25">
      <c r="A25" s="26">
        <v>10</v>
      </c>
      <c r="B25" s="512" t="s">
        <v>103</v>
      </c>
      <c r="C25" s="513"/>
      <c r="D25" s="513"/>
      <c r="E25" s="513"/>
      <c r="F25" s="513"/>
      <c r="G25" s="513"/>
      <c r="H25" s="513"/>
      <c r="I25" s="514"/>
      <c r="J25" s="151" t="s">
        <v>365</v>
      </c>
      <c r="K25" s="27"/>
      <c r="L25" s="515" t="s">
        <v>540</v>
      </c>
      <c r="M25" s="515"/>
      <c r="N25" s="516"/>
      <c r="O25" s="28"/>
      <c r="P25" s="28"/>
      <c r="Q25" s="28">
        <v>161362180</v>
      </c>
      <c r="R25" s="29">
        <f t="shared" ref="R25:R27" si="9">Q25/Q$10*100</f>
        <v>0.12980223805578603</v>
      </c>
      <c r="S25" s="29">
        <v>100</v>
      </c>
      <c r="T25" s="28">
        <f t="shared" si="7"/>
        <v>8.9240242044325377</v>
      </c>
      <c r="U25" s="28">
        <f>R25*T25/100</f>
        <v>1.1583583141993488E-2</v>
      </c>
      <c r="V25" s="87">
        <f t="shared" si="4"/>
        <v>91.075975795567459</v>
      </c>
      <c r="W25" s="28"/>
      <c r="X25" s="28"/>
      <c r="Y25" s="28"/>
      <c r="Z25" s="28"/>
      <c r="AA25" s="28"/>
      <c r="AB25" s="28">
        <v>0</v>
      </c>
      <c r="AC25" s="23" t="e">
        <f>#REF!</f>
        <v>#REF!</v>
      </c>
      <c r="AD25" s="28"/>
      <c r="AE25" s="28"/>
      <c r="AF25" s="28"/>
      <c r="AG25" s="28"/>
      <c r="AH25" s="28"/>
      <c r="AI25" s="28">
        <f>(14400000)</f>
        <v>14400000</v>
      </c>
      <c r="AJ25" s="29">
        <f t="shared" si="2"/>
        <v>8.9240242044325377</v>
      </c>
      <c r="AK25" s="136">
        <f t="shared" si="6"/>
        <v>146962180</v>
      </c>
      <c r="AL25" s="29">
        <f t="shared" si="3"/>
        <v>91.075975795567459</v>
      </c>
      <c r="AM25" s="26"/>
    </row>
    <row r="26" spans="1:39" s="36" customFormat="1" ht="27.75" customHeight="1" x14ac:dyDescent="0.25">
      <c r="A26" s="49" t="s">
        <v>29</v>
      </c>
      <c r="B26" s="522" t="s">
        <v>104</v>
      </c>
      <c r="C26" s="523"/>
      <c r="D26" s="523"/>
      <c r="E26" s="523"/>
      <c r="F26" s="523"/>
      <c r="G26" s="523"/>
      <c r="H26" s="523"/>
      <c r="I26" s="524"/>
      <c r="J26" s="154" t="s">
        <v>366</v>
      </c>
      <c r="K26" s="50"/>
      <c r="L26" s="525" t="s">
        <v>105</v>
      </c>
      <c r="M26" s="525"/>
      <c r="N26" s="526"/>
      <c r="O26" s="58">
        <v>4150000000</v>
      </c>
      <c r="P26" s="58">
        <f>O26</f>
        <v>4150000000</v>
      </c>
      <c r="Q26" s="58">
        <f>SUM(Q27:Q29)</f>
        <v>10152503603</v>
      </c>
      <c r="R26" s="57">
        <f>Q26/Q26*100</f>
        <v>100</v>
      </c>
      <c r="S26" s="56">
        <v>100</v>
      </c>
      <c r="T26" s="58">
        <f t="shared" si="7"/>
        <v>9.7383310231759008</v>
      </c>
      <c r="U26" s="58">
        <f>AJ26</f>
        <v>9.7383310231759008</v>
      </c>
      <c r="V26" s="111">
        <f t="shared" si="4"/>
        <v>90.261668976824097</v>
      </c>
      <c r="W26" s="58"/>
      <c r="X26" s="58" t="e">
        <f>#REF!</f>
        <v>#REF!</v>
      </c>
      <c r="Y26" s="58" t="e">
        <f>#REF!</f>
        <v>#REF!</v>
      </c>
      <c r="Z26" s="58" t="e">
        <f>#REF!</f>
        <v>#REF!</v>
      </c>
      <c r="AA26" s="58" t="e">
        <f>#REF!</f>
        <v>#REF!</v>
      </c>
      <c r="AB26" s="58">
        <v>5532503616</v>
      </c>
      <c r="AC26" s="58" t="e">
        <f>#REF!</f>
        <v>#REF!</v>
      </c>
      <c r="AD26" s="58" t="e">
        <f>#REF!</f>
        <v>#REF!</v>
      </c>
      <c r="AE26" s="58" t="e">
        <f>#REF!</f>
        <v>#REF!</v>
      </c>
      <c r="AF26" s="58" t="e">
        <f>[1]April!$N$14</f>
        <v>#REF!</v>
      </c>
      <c r="AG26" s="58" t="e">
        <f>[2]april!$N$14</f>
        <v>#REF!</v>
      </c>
      <c r="AH26" s="58">
        <f>'[3]DES SKPD'!$N$14</f>
        <v>11081028822</v>
      </c>
      <c r="AI26" s="58">
        <f>SUM(AI27:AI32)</f>
        <v>988684408</v>
      </c>
      <c r="AJ26" s="56">
        <f t="shared" si="2"/>
        <v>9.7383310231759008</v>
      </c>
      <c r="AK26" s="142">
        <f>SUM(Q26-AI26)</f>
        <v>9163819195</v>
      </c>
      <c r="AL26" s="56">
        <f t="shared" si="3"/>
        <v>90.261668976824112</v>
      </c>
      <c r="AM26" s="49"/>
    </row>
    <row r="27" spans="1:39" ht="24.95" customHeight="1" x14ac:dyDescent="0.25">
      <c r="A27" s="26">
        <v>11</v>
      </c>
      <c r="B27" s="512" t="s">
        <v>106</v>
      </c>
      <c r="C27" s="513"/>
      <c r="D27" s="513"/>
      <c r="E27" s="513"/>
      <c r="F27" s="513"/>
      <c r="G27" s="513"/>
      <c r="H27" s="513"/>
      <c r="I27" s="514"/>
      <c r="J27" s="151" t="s">
        <v>367</v>
      </c>
      <c r="K27" s="27"/>
      <c r="L27" s="515" t="s">
        <v>107</v>
      </c>
      <c r="M27" s="515"/>
      <c r="N27" s="516"/>
      <c r="O27" s="28">
        <v>2869514353</v>
      </c>
      <c r="P27" s="28"/>
      <c r="Q27" s="28">
        <v>9463503603</v>
      </c>
      <c r="R27" s="29">
        <f t="shared" si="9"/>
        <v>7.6125889444378787</v>
      </c>
      <c r="S27" s="29">
        <v>100</v>
      </c>
      <c r="T27" s="28">
        <f t="shared" si="7"/>
        <v>5.8067751231773901</v>
      </c>
      <c r="U27" s="28">
        <f t="shared" ref="U27:U31" si="10">R27*T27/100</f>
        <v>0.44204592105537105</v>
      </c>
      <c r="V27" s="87">
        <f t="shared" ref="V27:V31" si="11">T27-S27</f>
        <v>-94.193224876822612</v>
      </c>
      <c r="W27" s="28">
        <v>0</v>
      </c>
      <c r="X27" s="28">
        <v>0</v>
      </c>
      <c r="Y27" s="28">
        <f>[4]MARET!$N$14</f>
        <v>1079679809</v>
      </c>
      <c r="Z27" s="28">
        <v>3345735931</v>
      </c>
      <c r="AA27" s="28" t="e">
        <f>[5]maret!$Q$166</f>
        <v>#REF!</v>
      </c>
      <c r="AB27" s="28">
        <f>[6]JUNI!$S$166</f>
        <v>2116323666</v>
      </c>
      <c r="AC27" s="28"/>
      <c r="AD27" s="28"/>
      <c r="AE27" s="28"/>
      <c r="AF27" s="28"/>
      <c r="AG27" s="28"/>
      <c r="AH27" s="28"/>
      <c r="AI27" s="28">
        <f>(549524373)</f>
        <v>549524373</v>
      </c>
      <c r="AJ27" s="29">
        <f t="shared" si="2"/>
        <v>5.8067751231773901</v>
      </c>
      <c r="AK27" s="136">
        <f t="shared" si="6"/>
        <v>8913979230</v>
      </c>
      <c r="AL27" s="29">
        <f t="shared" si="3"/>
        <v>94.193224876822612</v>
      </c>
      <c r="AM27" s="26"/>
    </row>
    <row r="28" spans="1:39" ht="24.95" customHeight="1" x14ac:dyDescent="0.25">
      <c r="A28" s="26">
        <v>12</v>
      </c>
      <c r="B28" s="512" t="s">
        <v>108</v>
      </c>
      <c r="C28" s="513"/>
      <c r="D28" s="513"/>
      <c r="E28" s="513"/>
      <c r="F28" s="513"/>
      <c r="G28" s="513"/>
      <c r="H28" s="513"/>
      <c r="I28" s="514"/>
      <c r="J28" s="151"/>
      <c r="K28" s="27"/>
      <c r="L28" s="515" t="s">
        <v>110</v>
      </c>
      <c r="M28" s="515"/>
      <c r="N28" s="516"/>
      <c r="O28" s="28"/>
      <c r="P28" s="28"/>
      <c r="Q28" s="28"/>
      <c r="R28" s="29">
        <f>AI28/Q$10*100</f>
        <v>0.33062143342678163</v>
      </c>
      <c r="S28" s="29">
        <v>0</v>
      </c>
      <c r="T28" s="28">
        <f>AJ28</f>
        <v>0</v>
      </c>
      <c r="U28" s="28">
        <f>R28*T28/100</f>
        <v>0</v>
      </c>
      <c r="V28" s="87">
        <f>T28-S28</f>
        <v>0</v>
      </c>
      <c r="W28" s="28">
        <v>0</v>
      </c>
      <c r="X28" s="28">
        <v>0</v>
      </c>
      <c r="Y28" s="28" t="e">
        <f>'[7]LRA RINCIAN nBJEK'!$N$334</f>
        <v>#REF!</v>
      </c>
      <c r="Z28" s="28" t="e">
        <f>'[8]DPKD versi ekbang'!$P$334</f>
        <v>#REF!</v>
      </c>
      <c r="AA28" s="28" t="e">
        <f>[5]maret!$Q$224</f>
        <v>#REF!</v>
      </c>
      <c r="AB28" s="28">
        <f>[6]JUNI!$S$224</f>
        <v>1216233073</v>
      </c>
      <c r="AC28" s="28"/>
      <c r="AD28" s="28"/>
      <c r="AE28" s="28"/>
      <c r="AF28" s="28"/>
      <c r="AG28" s="28"/>
      <c r="AH28" s="28"/>
      <c r="AI28" s="28">
        <f>(411008285)</f>
        <v>411008285</v>
      </c>
      <c r="AJ28" s="29">
        <v>0</v>
      </c>
      <c r="AK28" s="143">
        <f>SUM(Q28-AI28)</f>
        <v>-411008285</v>
      </c>
      <c r="AL28" s="29">
        <v>0</v>
      </c>
      <c r="AM28" s="26"/>
    </row>
    <row r="29" spans="1:39" ht="24.95" customHeight="1" x14ac:dyDescent="0.25">
      <c r="A29" s="26">
        <v>13</v>
      </c>
      <c r="B29" s="512" t="s">
        <v>108</v>
      </c>
      <c r="C29" s="513"/>
      <c r="D29" s="513"/>
      <c r="E29" s="513"/>
      <c r="F29" s="513"/>
      <c r="G29" s="513"/>
      <c r="H29" s="513"/>
      <c r="I29" s="514"/>
      <c r="J29" s="151" t="s">
        <v>382</v>
      </c>
      <c r="K29" s="27"/>
      <c r="L29" s="515" t="s">
        <v>368</v>
      </c>
      <c r="M29" s="515"/>
      <c r="N29" s="516"/>
      <c r="O29" s="28"/>
      <c r="P29" s="28"/>
      <c r="Q29" s="28">
        <v>689000000</v>
      </c>
      <c r="R29" s="29">
        <f>AI29/Q$10*100</f>
        <v>0</v>
      </c>
      <c r="S29" s="29">
        <v>0</v>
      </c>
      <c r="T29" s="28">
        <f t="shared" si="7"/>
        <v>0</v>
      </c>
      <c r="U29" s="28">
        <f t="shared" si="10"/>
        <v>0</v>
      </c>
      <c r="V29" s="87">
        <f t="shared" si="11"/>
        <v>0</v>
      </c>
      <c r="W29" s="28">
        <v>0</v>
      </c>
      <c r="X29" s="28">
        <v>0</v>
      </c>
      <c r="Y29" s="28" t="e">
        <f>'[7]LRA RINCIAN nBJEK'!$N$334</f>
        <v>#REF!</v>
      </c>
      <c r="Z29" s="28" t="e">
        <f>'[8]DPKD versi ekbang'!$P$334</f>
        <v>#REF!</v>
      </c>
      <c r="AA29" s="28" t="e">
        <f>[5]maret!$Q$265</f>
        <v>#REF!</v>
      </c>
      <c r="AB29" s="28">
        <f>[6]JUNI!$S$265</f>
        <v>727292590</v>
      </c>
      <c r="AC29" s="28"/>
      <c r="AD29" s="28"/>
      <c r="AE29" s="28"/>
      <c r="AF29" s="28"/>
      <c r="AG29" s="28"/>
      <c r="AH29" s="28"/>
      <c r="AI29" s="28">
        <v>0</v>
      </c>
      <c r="AJ29" s="29">
        <f>AI29/Q29*100</f>
        <v>0</v>
      </c>
      <c r="AK29" s="136">
        <f t="shared" si="6"/>
        <v>689000000</v>
      </c>
      <c r="AL29" s="29">
        <f>AK29/Q29*100</f>
        <v>100</v>
      </c>
      <c r="AM29" s="26"/>
    </row>
    <row r="30" spans="1:39" ht="24.95" customHeight="1" thickBot="1" x14ac:dyDescent="0.3">
      <c r="A30" s="26">
        <v>14</v>
      </c>
      <c r="B30" s="535" t="s">
        <v>108</v>
      </c>
      <c r="C30" s="536"/>
      <c r="D30" s="536"/>
      <c r="E30" s="536"/>
      <c r="F30" s="536"/>
      <c r="G30" s="536"/>
      <c r="H30" s="536"/>
      <c r="I30" s="537"/>
      <c r="J30" s="151"/>
      <c r="K30" s="27"/>
      <c r="L30" s="515" t="s">
        <v>385</v>
      </c>
      <c r="M30" s="515"/>
      <c r="N30" s="516"/>
      <c r="O30" s="28"/>
      <c r="P30" s="28"/>
      <c r="Q30" s="28"/>
      <c r="R30" s="29">
        <f>Q30/Q$10*100</f>
        <v>0</v>
      </c>
      <c r="S30" s="29">
        <v>0</v>
      </c>
      <c r="T30" s="28">
        <f t="shared" si="7"/>
        <v>0</v>
      </c>
      <c r="U30" s="28">
        <f t="shared" si="10"/>
        <v>0</v>
      </c>
      <c r="V30" s="87">
        <f t="shared" si="11"/>
        <v>0</v>
      </c>
      <c r="W30" s="28">
        <v>0</v>
      </c>
      <c r="X30" s="28">
        <v>0</v>
      </c>
      <c r="Y30" s="28" t="e">
        <f>'[7]LRA RINCIAN nBJEK'!$N$334</f>
        <v>#REF!</v>
      </c>
      <c r="Z30" s="28" t="e">
        <f>'[8]DPKD versi ekbang'!$P$334</f>
        <v>#REF!</v>
      </c>
      <c r="AA30" s="28" t="e">
        <f>[5]maret!$Q$269</f>
        <v>#REF!</v>
      </c>
      <c r="AB30" s="28">
        <f>[6]JUNI!$S$269</f>
        <v>319903749</v>
      </c>
      <c r="AC30" s="28"/>
      <c r="AD30" s="28"/>
      <c r="AE30" s="28"/>
      <c r="AF30" s="28"/>
      <c r="AG30" s="28"/>
      <c r="AH30" s="28"/>
      <c r="AI30" s="28">
        <v>21</v>
      </c>
      <c r="AJ30" s="29">
        <v>0</v>
      </c>
      <c r="AK30" s="143">
        <f t="shared" si="6"/>
        <v>-21</v>
      </c>
      <c r="AL30" s="29">
        <v>0</v>
      </c>
      <c r="AM30" s="26"/>
    </row>
    <row r="31" spans="1:39" ht="24.95" customHeight="1" thickTop="1" thickBot="1" x14ac:dyDescent="0.3">
      <c r="A31" s="26">
        <v>15</v>
      </c>
      <c r="B31" s="156"/>
      <c r="C31" s="156"/>
      <c r="D31" s="156"/>
      <c r="E31" s="156"/>
      <c r="F31" s="156"/>
      <c r="G31" s="156"/>
      <c r="H31" s="156"/>
      <c r="I31" s="157"/>
      <c r="J31" s="151"/>
      <c r="K31" s="27"/>
      <c r="L31" s="515" t="s">
        <v>384</v>
      </c>
      <c r="M31" s="515"/>
      <c r="N31" s="516"/>
      <c r="O31" s="28">
        <v>599994905</v>
      </c>
      <c r="P31" s="28"/>
      <c r="Q31" s="28"/>
      <c r="R31" s="29">
        <f>Q31/Q$10*100</f>
        <v>0</v>
      </c>
      <c r="S31" s="29">
        <v>0</v>
      </c>
      <c r="T31" s="28">
        <f t="shared" si="7"/>
        <v>0</v>
      </c>
      <c r="U31" s="28">
        <f t="shared" si="10"/>
        <v>0</v>
      </c>
      <c r="V31" s="87">
        <f t="shared" si="11"/>
        <v>0</v>
      </c>
      <c r="W31" s="28">
        <v>0</v>
      </c>
      <c r="X31" s="28">
        <v>0</v>
      </c>
      <c r="Y31" s="28" t="e">
        <f>'[7]LRA RINCIAN nBJEK'!$N$334</f>
        <v>#REF!</v>
      </c>
      <c r="Z31" s="28" t="e">
        <f>'[8]DPKD versi ekbang'!$P$334</f>
        <v>#REF!</v>
      </c>
      <c r="AA31" s="28" t="e">
        <f>[5]maret!$Q$269</f>
        <v>#REF!</v>
      </c>
      <c r="AB31" s="28">
        <f>[6]JUNI!$S$269</f>
        <v>319903749</v>
      </c>
      <c r="AC31" s="28"/>
      <c r="AD31" s="28"/>
      <c r="AE31" s="28"/>
      <c r="AF31" s="28"/>
      <c r="AG31" s="28"/>
      <c r="AH31" s="28"/>
      <c r="AI31" s="28">
        <f>(1600000)</f>
        <v>1600000</v>
      </c>
      <c r="AJ31" s="29">
        <v>0</v>
      </c>
      <c r="AK31" s="143">
        <f t="shared" si="6"/>
        <v>-1600000</v>
      </c>
      <c r="AL31" s="29">
        <v>0</v>
      </c>
      <c r="AM31" s="26"/>
    </row>
    <row r="32" spans="1:39" ht="24.95" customHeight="1" thickTop="1" thickBot="1" x14ac:dyDescent="0.3">
      <c r="A32" s="26">
        <v>16</v>
      </c>
      <c r="B32" s="512" t="s">
        <v>108</v>
      </c>
      <c r="C32" s="513"/>
      <c r="D32" s="513"/>
      <c r="E32" s="513"/>
      <c r="F32" s="513"/>
      <c r="G32" s="513"/>
      <c r="H32" s="513"/>
      <c r="I32" s="514"/>
      <c r="J32" s="151"/>
      <c r="K32" s="27"/>
      <c r="L32" s="527" t="s">
        <v>109</v>
      </c>
      <c r="M32" s="527"/>
      <c r="N32" s="528"/>
      <c r="O32" s="28"/>
      <c r="P32" s="28"/>
      <c r="Q32" s="28"/>
      <c r="R32" s="29">
        <f>AI32/Q$10*100</f>
        <v>2.1358622252443029E-2</v>
      </c>
      <c r="S32" s="29">
        <v>0</v>
      </c>
      <c r="T32" s="28">
        <f>AJ32</f>
        <v>0</v>
      </c>
      <c r="U32" s="28">
        <f>R32*T32/100</f>
        <v>0</v>
      </c>
      <c r="V32" s="87">
        <f>T32-S32</f>
        <v>0</v>
      </c>
      <c r="W32" s="28">
        <v>0</v>
      </c>
      <c r="X32" s="28">
        <v>0</v>
      </c>
      <c r="Y32" s="28" t="e">
        <f>'[7]LRA RINCIAN nBJEK'!$N$334</f>
        <v>#REF!</v>
      </c>
      <c r="Z32" s="28" t="e">
        <f>'[8]DPKD versi ekbang'!$P$334</f>
        <v>#REF!</v>
      </c>
      <c r="AA32" s="28" t="e">
        <f>[5]maret!$Q$198</f>
        <v>#REF!</v>
      </c>
      <c r="AB32" s="28">
        <f>[6]JUNI!$S$198</f>
        <v>16694136</v>
      </c>
      <c r="AC32" s="28"/>
      <c r="AD32" s="28"/>
      <c r="AE32" s="28"/>
      <c r="AF32" s="28"/>
      <c r="AG32" s="28"/>
      <c r="AH32" s="28"/>
      <c r="AI32" s="28">
        <f>(26551729)</f>
        <v>26551729</v>
      </c>
      <c r="AJ32" s="29">
        <v>0</v>
      </c>
      <c r="AK32" s="143">
        <f>SUM(Q32-AI32)</f>
        <v>-26551729</v>
      </c>
      <c r="AL32" s="29">
        <v>0</v>
      </c>
      <c r="AM32" s="26"/>
    </row>
    <row r="33" spans="1:39" s="46" customFormat="1" ht="27.75" customHeight="1" thickTop="1" thickBot="1" x14ac:dyDescent="0.3">
      <c r="A33" s="37"/>
      <c r="B33" s="47"/>
      <c r="C33" s="47"/>
      <c r="D33" s="47"/>
      <c r="E33" s="47"/>
      <c r="F33" s="47"/>
      <c r="G33" s="47"/>
      <c r="H33" s="47"/>
      <c r="I33" s="48"/>
      <c r="J33" s="47" t="s">
        <v>211</v>
      </c>
      <c r="K33" s="38"/>
      <c r="L33" s="538" t="s">
        <v>9</v>
      </c>
      <c r="M33" s="538"/>
      <c r="N33" s="539"/>
      <c r="O33" s="39" t="e">
        <f>SUM(O35:O53)</f>
        <v>#REF!</v>
      </c>
      <c r="P33" s="39" t="e">
        <f>SUM(P35:P53)</f>
        <v>#REF!</v>
      </c>
      <c r="Q33" s="39" t="e">
        <f>SUM(Q35+Q53)</f>
        <v>#REF!</v>
      </c>
      <c r="R33" s="57" t="e">
        <f>Q33/Q33*100</f>
        <v>#REF!</v>
      </c>
      <c r="S33" s="39">
        <f>S35</f>
        <v>100</v>
      </c>
      <c r="T33" s="39" t="e">
        <f>AJ33</f>
        <v>#REF!</v>
      </c>
      <c r="U33" s="39" t="e">
        <f>SUM(R33*T33/100)</f>
        <v>#REF!</v>
      </c>
      <c r="V33" s="109" t="e">
        <f>S33-T33</f>
        <v>#REF!</v>
      </c>
      <c r="W33" s="39">
        <f t="shared" ref="W33:AH33" si="12">SUM(W35:W53)</f>
        <v>0</v>
      </c>
      <c r="X33" s="39" t="e">
        <f t="shared" si="12"/>
        <v>#REF!</v>
      </c>
      <c r="Y33" s="39" t="e">
        <f t="shared" si="12"/>
        <v>#REF!</v>
      </c>
      <c r="Z33" s="39" t="e">
        <f t="shared" si="12"/>
        <v>#REF!</v>
      </c>
      <c r="AA33" s="39" t="e">
        <f t="shared" si="12"/>
        <v>#REF!</v>
      </c>
      <c r="AB33" s="39">
        <f t="shared" si="12"/>
        <v>13148060099</v>
      </c>
      <c r="AC33" s="39" t="e">
        <f t="shared" si="12"/>
        <v>#REF!</v>
      </c>
      <c r="AD33" s="39" t="e">
        <f t="shared" si="12"/>
        <v>#REF!</v>
      </c>
      <c r="AE33" s="39" t="e">
        <f t="shared" si="12"/>
        <v>#REF!</v>
      </c>
      <c r="AF33" s="39" t="e">
        <f t="shared" si="12"/>
        <v>#REF!</v>
      </c>
      <c r="AG33" s="39" t="e">
        <f t="shared" si="12"/>
        <v>#REF!</v>
      </c>
      <c r="AH33" s="39" t="e">
        <f t="shared" si="12"/>
        <v>#REF!</v>
      </c>
      <c r="AI33" s="39" t="e">
        <f>SUM(AI36+AI53)</f>
        <v>#REF!</v>
      </c>
      <c r="AJ33" s="40" t="e">
        <f>AI33/Q33*100</f>
        <v>#REF!</v>
      </c>
      <c r="AK33" s="133" t="e">
        <f>SUM(AK36+AK53)</f>
        <v>#REF!</v>
      </c>
      <c r="AL33" s="40" t="e">
        <f>AK33/Q33*100</f>
        <v>#REF!</v>
      </c>
      <c r="AM33" s="37"/>
    </row>
    <row r="34" spans="1:39" ht="13.5" customHeight="1" thickTop="1" x14ac:dyDescent="0.25">
      <c r="A34" s="26"/>
      <c r="B34" s="31"/>
      <c r="C34" s="31"/>
      <c r="D34" s="31"/>
      <c r="E34" s="31"/>
      <c r="F34" s="31"/>
      <c r="G34" s="31"/>
      <c r="H34" s="31"/>
      <c r="I34" s="32"/>
      <c r="J34" s="31"/>
      <c r="K34" s="27"/>
      <c r="L34" s="31"/>
      <c r="M34" s="31"/>
      <c r="N34" s="32"/>
      <c r="O34" s="26"/>
      <c r="P34" s="26"/>
      <c r="Q34" s="26"/>
      <c r="R34" s="26"/>
      <c r="S34" s="26"/>
      <c r="T34" s="26"/>
      <c r="U34" s="26"/>
      <c r="V34" s="87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83"/>
      <c r="AL34" s="26"/>
      <c r="AM34" s="26"/>
    </row>
    <row r="35" spans="1:39" s="36" customFormat="1" ht="28.5" customHeight="1" x14ac:dyDescent="0.25">
      <c r="A35" s="53"/>
      <c r="B35" s="529" t="s">
        <v>111</v>
      </c>
      <c r="C35" s="529"/>
      <c r="D35" s="529"/>
      <c r="E35" s="529"/>
      <c r="F35" s="529"/>
      <c r="G35" s="529"/>
      <c r="H35" s="529"/>
      <c r="I35" s="529"/>
      <c r="J35" s="155" t="s">
        <v>212</v>
      </c>
      <c r="K35" s="54"/>
      <c r="L35" s="530" t="s">
        <v>10</v>
      </c>
      <c r="M35" s="531"/>
      <c r="N35" s="531"/>
      <c r="O35" s="55">
        <v>6663803304</v>
      </c>
      <c r="P35" s="55">
        <f>O35</f>
        <v>6663803304</v>
      </c>
      <c r="Q35" s="55">
        <f>SUM(Q36)</f>
        <v>11607289675</v>
      </c>
      <c r="R35" s="57" t="e">
        <f>Q35/Q33*100</f>
        <v>#REF!</v>
      </c>
      <c r="S35" s="53">
        <v>100</v>
      </c>
      <c r="T35" s="55">
        <f>AJ35</f>
        <v>18.557418771406688</v>
      </c>
      <c r="U35" s="55" t="e">
        <f>R35*T35/100</f>
        <v>#REF!</v>
      </c>
      <c r="V35" s="112">
        <f>S35-T35</f>
        <v>81.442581228593312</v>
      </c>
      <c r="W35" s="55"/>
      <c r="X35" s="55" t="e">
        <f>#REF!</f>
        <v>#REF!</v>
      </c>
      <c r="Y35" s="55" t="e">
        <f>#REF!</f>
        <v>#REF!</v>
      </c>
      <c r="Z35" s="55" t="e">
        <f>#REF!</f>
        <v>#REF!</v>
      </c>
      <c r="AA35" s="55" t="e">
        <f>#REF!</f>
        <v>#REF!</v>
      </c>
      <c r="AB35" s="55">
        <v>2898050817</v>
      </c>
      <c r="AC35" s="55" t="e">
        <f>#REF!</f>
        <v>#REF!</v>
      </c>
      <c r="AD35" s="55" t="e">
        <f>#REF!</f>
        <v>#REF!</v>
      </c>
      <c r="AE35" s="55" t="e">
        <f>#REF!</f>
        <v>#REF!</v>
      </c>
      <c r="AF35" s="55" t="e">
        <f>[1]April!$N$17</f>
        <v>#REF!</v>
      </c>
      <c r="AG35" s="55" t="e">
        <f>[2]april!$N$17</f>
        <v>#REF!</v>
      </c>
      <c r="AH35" s="55">
        <f>'[3]DES SKPD'!$N$17</f>
        <v>8257610364</v>
      </c>
      <c r="AI35" s="55">
        <f>SUM(AI36)</f>
        <v>2154013353</v>
      </c>
      <c r="AJ35" s="53">
        <f>AI35/Q35*100</f>
        <v>18.557418771406688</v>
      </c>
      <c r="AK35" s="137">
        <f>SUM(AK36)</f>
        <v>9453276322</v>
      </c>
      <c r="AL35" s="53">
        <f>AK35/Q35*100</f>
        <v>81.442581228593312</v>
      </c>
      <c r="AM35" s="57"/>
    </row>
    <row r="36" spans="1:39" s="36" customFormat="1" ht="28.5" customHeight="1" x14ac:dyDescent="0.25">
      <c r="A36" s="81"/>
      <c r="B36" s="62"/>
      <c r="C36" s="62"/>
      <c r="D36" s="62"/>
      <c r="E36" s="62"/>
      <c r="F36" s="62"/>
      <c r="G36" s="62"/>
      <c r="H36" s="62"/>
      <c r="I36" s="63"/>
      <c r="J36" s="64" t="s">
        <v>219</v>
      </c>
      <c r="K36" s="54"/>
      <c r="L36" s="532" t="s">
        <v>218</v>
      </c>
      <c r="M36" s="532"/>
      <c r="N36" s="530"/>
      <c r="O36" s="55"/>
      <c r="P36" s="55"/>
      <c r="Q36" s="55">
        <f>SUM(Q37+Q47+Q50)</f>
        <v>11607289675</v>
      </c>
      <c r="R36" s="57" t="e">
        <f>Q36/Q33*100</f>
        <v>#REF!</v>
      </c>
      <c r="S36" s="53">
        <v>100</v>
      </c>
      <c r="T36" s="55">
        <f t="shared" ref="T36:T51" si="13">AJ36</f>
        <v>18.557418771406688</v>
      </c>
      <c r="U36" s="55" t="e">
        <f>R36*T36/100</f>
        <v>#REF!</v>
      </c>
      <c r="V36" s="112">
        <f t="shared" ref="V36:V51" si="14">S36-T36</f>
        <v>81.442581228593312</v>
      </c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>
        <f>SUM(AI37+AI47+AI50)</f>
        <v>2154013353</v>
      </c>
      <c r="AJ36" s="53">
        <f t="shared" ref="AJ36:AJ51" si="15">AI36/Q36*100</f>
        <v>18.557418771406688</v>
      </c>
      <c r="AK36" s="137">
        <f>SUM(AK37+AK47+AK50)</f>
        <v>9453276322</v>
      </c>
      <c r="AL36" s="53">
        <f t="shared" ref="AL36:AL51" si="16">AK36/Q36*100</f>
        <v>81.442581228593312</v>
      </c>
      <c r="AM36" s="57"/>
    </row>
    <row r="37" spans="1:39" s="36" customFormat="1" ht="28.5" customHeight="1" x14ac:dyDescent="0.25">
      <c r="A37" s="82" t="s">
        <v>7</v>
      </c>
      <c r="B37" s="62"/>
      <c r="C37" s="62"/>
      <c r="D37" s="62"/>
      <c r="E37" s="62"/>
      <c r="F37" s="62"/>
      <c r="G37" s="62"/>
      <c r="H37" s="62"/>
      <c r="I37" s="63"/>
      <c r="J37" s="64" t="s">
        <v>220</v>
      </c>
      <c r="K37" s="54"/>
      <c r="L37" s="532" t="s">
        <v>221</v>
      </c>
      <c r="M37" s="532"/>
      <c r="N37" s="530"/>
      <c r="O37" s="55"/>
      <c r="P37" s="55"/>
      <c r="Q37" s="55">
        <f>SUM(Q38:Q46)</f>
        <v>4242771195</v>
      </c>
      <c r="R37" s="57">
        <f>Q37/Q36*100</f>
        <v>36.552643328426285</v>
      </c>
      <c r="S37" s="53">
        <v>100</v>
      </c>
      <c r="T37" s="55">
        <f t="shared" si="13"/>
        <v>7.0706058661266082</v>
      </c>
      <c r="U37" s="55">
        <f>R37*T37/100</f>
        <v>2.5844933434040449</v>
      </c>
      <c r="V37" s="112">
        <f t="shared" si="14"/>
        <v>92.929394133873387</v>
      </c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>
        <f>SUM(AI38:AI46)</f>
        <v>299989629</v>
      </c>
      <c r="AJ37" s="53">
        <f t="shared" si="15"/>
        <v>7.0706058661266082</v>
      </c>
      <c r="AK37" s="137">
        <f t="shared" ref="AK37:AK51" si="17">Q37-AI37</f>
        <v>3942781566</v>
      </c>
      <c r="AL37" s="53">
        <f t="shared" si="16"/>
        <v>92.929394133873387</v>
      </c>
      <c r="AM37" s="57"/>
    </row>
    <row r="38" spans="1:39" s="3" customFormat="1" ht="28.5" customHeight="1" x14ac:dyDescent="0.25">
      <c r="A38" s="83">
        <v>1</v>
      </c>
      <c r="B38" s="59"/>
      <c r="C38" s="59"/>
      <c r="D38" s="59"/>
      <c r="E38" s="59"/>
      <c r="F38" s="59"/>
      <c r="G38" s="59"/>
      <c r="H38" s="59"/>
      <c r="I38" s="60"/>
      <c r="J38" s="59" t="s">
        <v>222</v>
      </c>
      <c r="K38" s="61"/>
      <c r="L38" s="533" t="s">
        <v>223</v>
      </c>
      <c r="M38" s="533"/>
      <c r="N38" s="534"/>
      <c r="O38" s="28"/>
      <c r="P38" s="28"/>
      <c r="Q38" s="28">
        <v>3155998370</v>
      </c>
      <c r="R38" s="29" t="e">
        <f t="shared" ref="R38:R51" si="18">Q38/Q$33*100</f>
        <v>#REF!</v>
      </c>
      <c r="S38" s="33">
        <v>100</v>
      </c>
      <c r="T38" s="28">
        <f t="shared" si="13"/>
        <v>7.1578110479188872</v>
      </c>
      <c r="U38" s="28" t="e">
        <f t="shared" ref="U38:U46" si="19">SUM(R38*T38)</f>
        <v>#REF!</v>
      </c>
      <c r="V38" s="113">
        <f t="shared" si="14"/>
        <v>92.842188952081116</v>
      </c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>
        <f>(225900400)</f>
        <v>225900400</v>
      </c>
      <c r="AJ38" s="29">
        <f t="shared" si="15"/>
        <v>7.1578110479188872</v>
      </c>
      <c r="AK38" s="136">
        <f t="shared" si="17"/>
        <v>2930097970</v>
      </c>
      <c r="AL38" s="29">
        <f t="shared" si="16"/>
        <v>92.842188952081116</v>
      </c>
      <c r="AM38" s="29"/>
    </row>
    <row r="39" spans="1:39" s="3" customFormat="1" ht="28.5" customHeight="1" x14ac:dyDescent="0.25">
      <c r="A39" s="83">
        <v>2</v>
      </c>
      <c r="B39" s="59"/>
      <c r="C39" s="59"/>
      <c r="D39" s="59"/>
      <c r="E39" s="59"/>
      <c r="F39" s="59"/>
      <c r="G39" s="59"/>
      <c r="H39" s="59"/>
      <c r="I39" s="60"/>
      <c r="J39" s="59" t="s">
        <v>224</v>
      </c>
      <c r="K39" s="61"/>
      <c r="L39" s="533" t="s">
        <v>225</v>
      </c>
      <c r="M39" s="533"/>
      <c r="N39" s="534"/>
      <c r="O39" s="28"/>
      <c r="P39" s="28"/>
      <c r="Q39" s="28">
        <v>327556228</v>
      </c>
      <c r="R39" s="29" t="e">
        <f t="shared" si="18"/>
        <v>#REF!</v>
      </c>
      <c r="S39" s="33">
        <v>100</v>
      </c>
      <c r="T39" s="28">
        <f>AJ39</f>
        <v>6.8588486737611349</v>
      </c>
      <c r="U39" s="28" t="e">
        <f t="shared" si="19"/>
        <v>#REF!</v>
      </c>
      <c r="V39" s="114">
        <f t="shared" si="14"/>
        <v>93.14115132623887</v>
      </c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>
        <f>(22466586)</f>
        <v>22466586</v>
      </c>
      <c r="AJ39" s="29">
        <f t="shared" si="15"/>
        <v>6.8588486737611349</v>
      </c>
      <c r="AK39" s="136">
        <f t="shared" si="17"/>
        <v>305089642</v>
      </c>
      <c r="AL39" s="29">
        <f t="shared" si="16"/>
        <v>93.14115132623887</v>
      </c>
      <c r="AM39" s="29"/>
    </row>
    <row r="40" spans="1:39" s="3" customFormat="1" ht="28.5" customHeight="1" x14ac:dyDescent="0.25">
      <c r="A40" s="83">
        <v>3</v>
      </c>
      <c r="B40" s="59"/>
      <c r="C40" s="59"/>
      <c r="D40" s="59"/>
      <c r="E40" s="59"/>
      <c r="F40" s="59"/>
      <c r="G40" s="59"/>
      <c r="H40" s="59"/>
      <c r="I40" s="60"/>
      <c r="J40" s="59" t="s">
        <v>226</v>
      </c>
      <c r="K40" s="61"/>
      <c r="L40" s="533" t="s">
        <v>227</v>
      </c>
      <c r="M40" s="533"/>
      <c r="N40" s="534"/>
      <c r="O40" s="28"/>
      <c r="P40" s="28"/>
      <c r="Q40" s="28">
        <v>316058750</v>
      </c>
      <c r="R40" s="29" t="e">
        <f t="shared" si="18"/>
        <v>#REF!</v>
      </c>
      <c r="S40" s="33">
        <v>100</v>
      </c>
      <c r="T40" s="28">
        <f t="shared" si="13"/>
        <v>5.8043006244883264</v>
      </c>
      <c r="U40" s="28" t="e">
        <f t="shared" si="19"/>
        <v>#REF!</v>
      </c>
      <c r="V40" s="114">
        <f t="shared" si="14"/>
        <v>94.19569937551168</v>
      </c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>
        <f>(18345000)</f>
        <v>18345000</v>
      </c>
      <c r="AJ40" s="29">
        <f>AI40/Q40*100</f>
        <v>5.8043006244883264</v>
      </c>
      <c r="AK40" s="136">
        <f t="shared" si="17"/>
        <v>297713750</v>
      </c>
      <c r="AL40" s="29">
        <f t="shared" si="16"/>
        <v>94.19569937551168</v>
      </c>
      <c r="AM40" s="29"/>
    </row>
    <row r="41" spans="1:39" s="3" customFormat="1" ht="28.5" customHeight="1" x14ac:dyDescent="0.25">
      <c r="A41" s="83">
        <v>4</v>
      </c>
      <c r="B41" s="59"/>
      <c r="C41" s="59"/>
      <c r="D41" s="59"/>
      <c r="E41" s="59"/>
      <c r="F41" s="59"/>
      <c r="G41" s="59"/>
      <c r="H41" s="59"/>
      <c r="I41" s="60"/>
      <c r="J41" s="59" t="s">
        <v>228</v>
      </c>
      <c r="K41" s="61"/>
      <c r="L41" s="533" t="s">
        <v>229</v>
      </c>
      <c r="M41" s="533"/>
      <c r="N41" s="534"/>
      <c r="O41" s="28"/>
      <c r="P41" s="28"/>
      <c r="Q41" s="28">
        <v>100378250</v>
      </c>
      <c r="R41" s="29" t="e">
        <f t="shared" si="18"/>
        <v>#REF!</v>
      </c>
      <c r="S41" s="33">
        <v>100</v>
      </c>
      <c r="T41" s="28">
        <f t="shared" si="13"/>
        <v>8.8066886999922787</v>
      </c>
      <c r="U41" s="28" t="e">
        <f t="shared" si="19"/>
        <v>#REF!</v>
      </c>
      <c r="V41" s="114">
        <f t="shared" si="14"/>
        <v>91.193311300007721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>
        <f>(8840000)</f>
        <v>8840000</v>
      </c>
      <c r="AJ41" s="29">
        <f t="shared" si="15"/>
        <v>8.8066886999922787</v>
      </c>
      <c r="AK41" s="136">
        <f t="shared" si="17"/>
        <v>91538250</v>
      </c>
      <c r="AL41" s="29">
        <f t="shared" si="16"/>
        <v>91.193311300007721</v>
      </c>
      <c r="AM41" s="29"/>
    </row>
    <row r="42" spans="1:39" s="3" customFormat="1" ht="28.5" customHeight="1" x14ac:dyDescent="0.25">
      <c r="A42" s="83">
        <v>5</v>
      </c>
      <c r="B42" s="59"/>
      <c r="C42" s="59"/>
      <c r="D42" s="59"/>
      <c r="E42" s="59"/>
      <c r="F42" s="59"/>
      <c r="G42" s="59"/>
      <c r="H42" s="59"/>
      <c r="I42" s="60"/>
      <c r="J42" s="59" t="s">
        <v>230</v>
      </c>
      <c r="K42" s="61"/>
      <c r="L42" s="533" t="s">
        <v>231</v>
      </c>
      <c r="M42" s="533"/>
      <c r="N42" s="534"/>
      <c r="O42" s="28"/>
      <c r="P42" s="28"/>
      <c r="Q42" s="28">
        <v>220316124</v>
      </c>
      <c r="R42" s="33" t="e">
        <f t="shared" si="18"/>
        <v>#REF!</v>
      </c>
      <c r="S42" s="33">
        <v>100</v>
      </c>
      <c r="T42" s="28">
        <f t="shared" si="13"/>
        <v>7.13299585826047</v>
      </c>
      <c r="U42" s="28" t="e">
        <f t="shared" si="19"/>
        <v>#REF!</v>
      </c>
      <c r="V42" s="114">
        <f t="shared" si="14"/>
        <v>92.867004141739528</v>
      </c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>
        <f>(15715140)</f>
        <v>15715140</v>
      </c>
      <c r="AJ42" s="33">
        <f t="shared" si="15"/>
        <v>7.13299585826047</v>
      </c>
      <c r="AK42" s="136">
        <f t="shared" si="17"/>
        <v>204600984</v>
      </c>
      <c r="AL42" s="33">
        <f t="shared" si="16"/>
        <v>92.867004141739528</v>
      </c>
      <c r="AM42" s="29"/>
    </row>
    <row r="43" spans="1:39" s="3" customFormat="1" ht="28.5" customHeight="1" x14ac:dyDescent="0.25">
      <c r="A43" s="83">
        <v>6</v>
      </c>
      <c r="B43" s="59"/>
      <c r="C43" s="59"/>
      <c r="D43" s="59"/>
      <c r="E43" s="59"/>
      <c r="F43" s="59"/>
      <c r="G43" s="59"/>
      <c r="H43" s="59"/>
      <c r="I43" s="60"/>
      <c r="J43" s="59" t="s">
        <v>232</v>
      </c>
      <c r="K43" s="61"/>
      <c r="L43" s="533" t="s">
        <v>234</v>
      </c>
      <c r="M43" s="533"/>
      <c r="N43" s="534"/>
      <c r="O43" s="28"/>
      <c r="P43" s="28"/>
      <c r="Q43" s="28">
        <v>868720</v>
      </c>
      <c r="R43" s="33" t="e">
        <f t="shared" si="18"/>
        <v>#REF!</v>
      </c>
      <c r="S43" s="33">
        <v>100</v>
      </c>
      <c r="T43" s="28">
        <f t="shared" si="13"/>
        <v>5.5771710102219361</v>
      </c>
      <c r="U43" s="28" t="e">
        <f t="shared" si="19"/>
        <v>#REF!</v>
      </c>
      <c r="V43" s="114">
        <f t="shared" si="14"/>
        <v>94.422828989778068</v>
      </c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>
        <f>(48450)</f>
        <v>48450</v>
      </c>
      <c r="AJ43" s="33">
        <f t="shared" si="15"/>
        <v>5.5771710102219361</v>
      </c>
      <c r="AK43" s="136">
        <f t="shared" si="17"/>
        <v>820270</v>
      </c>
      <c r="AL43" s="33">
        <f t="shared" si="16"/>
        <v>94.422828989778068</v>
      </c>
      <c r="AM43" s="29"/>
    </row>
    <row r="44" spans="1:39" s="3" customFormat="1" ht="28.5" customHeight="1" x14ac:dyDescent="0.25">
      <c r="A44" s="83">
        <v>7</v>
      </c>
      <c r="B44" s="59"/>
      <c r="C44" s="59"/>
      <c r="D44" s="59"/>
      <c r="E44" s="59"/>
      <c r="F44" s="59"/>
      <c r="G44" s="59"/>
      <c r="H44" s="59"/>
      <c r="I44" s="60"/>
      <c r="J44" s="59" t="s">
        <v>233</v>
      </c>
      <c r="K44" s="61"/>
      <c r="L44" s="533" t="s">
        <v>235</v>
      </c>
      <c r="M44" s="533"/>
      <c r="N44" s="534"/>
      <c r="O44" s="28"/>
      <c r="P44" s="28"/>
      <c r="Q44" s="28">
        <v>45647</v>
      </c>
      <c r="R44" s="33" t="e">
        <f t="shared" si="18"/>
        <v>#REF!</v>
      </c>
      <c r="S44" s="33">
        <v>100</v>
      </c>
      <c r="T44" s="28">
        <f t="shared" si="13"/>
        <v>6.9467873025609572</v>
      </c>
      <c r="U44" s="28" t="e">
        <f t="shared" si="19"/>
        <v>#REF!</v>
      </c>
      <c r="V44" s="114">
        <f t="shared" si="14"/>
        <v>93.053212697439037</v>
      </c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>
        <f>(3171)</f>
        <v>3171</v>
      </c>
      <c r="AJ44" s="33">
        <f t="shared" si="15"/>
        <v>6.9467873025609572</v>
      </c>
      <c r="AK44" s="136">
        <f t="shared" si="17"/>
        <v>42476</v>
      </c>
      <c r="AL44" s="33">
        <f t="shared" si="16"/>
        <v>93.053212697439051</v>
      </c>
      <c r="AM44" s="29"/>
    </row>
    <row r="45" spans="1:39" s="3" customFormat="1" ht="28.5" customHeight="1" x14ac:dyDescent="0.25">
      <c r="A45" s="83">
        <v>8</v>
      </c>
      <c r="B45" s="59"/>
      <c r="C45" s="59"/>
      <c r="D45" s="59"/>
      <c r="E45" s="59"/>
      <c r="F45" s="59"/>
      <c r="G45" s="59"/>
      <c r="H45" s="59"/>
      <c r="I45" s="60"/>
      <c r="J45" s="59" t="s">
        <v>236</v>
      </c>
      <c r="K45" s="61"/>
      <c r="L45" s="533" t="s">
        <v>237</v>
      </c>
      <c r="M45" s="533"/>
      <c r="N45" s="534"/>
      <c r="O45" s="28"/>
      <c r="P45" s="28"/>
      <c r="Q45" s="28">
        <v>104506702</v>
      </c>
      <c r="R45" s="33" t="e">
        <f t="shared" si="18"/>
        <v>#REF!</v>
      </c>
      <c r="S45" s="33">
        <v>100</v>
      </c>
      <c r="T45" s="28">
        <f t="shared" si="13"/>
        <v>7.129697768091467</v>
      </c>
      <c r="U45" s="28" t="e">
        <f t="shared" si="19"/>
        <v>#REF!</v>
      </c>
      <c r="V45" s="114">
        <f t="shared" si="14"/>
        <v>92.870302231908539</v>
      </c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>
        <f>(7451012)</f>
        <v>7451012</v>
      </c>
      <c r="AJ45" s="33">
        <f t="shared" si="15"/>
        <v>7.129697768091467</v>
      </c>
      <c r="AK45" s="136">
        <f t="shared" si="17"/>
        <v>97055690</v>
      </c>
      <c r="AL45" s="33">
        <f t="shared" si="16"/>
        <v>92.870302231908525</v>
      </c>
      <c r="AM45" s="29"/>
    </row>
    <row r="46" spans="1:39" s="3" customFormat="1" ht="28.5" customHeight="1" x14ac:dyDescent="0.25">
      <c r="A46" s="83">
        <v>9</v>
      </c>
      <c r="B46" s="59"/>
      <c r="C46" s="59"/>
      <c r="D46" s="59"/>
      <c r="E46" s="59"/>
      <c r="F46" s="59"/>
      <c r="G46" s="59"/>
      <c r="H46" s="59"/>
      <c r="I46" s="60"/>
      <c r="J46" s="59" t="s">
        <v>238</v>
      </c>
      <c r="K46" s="61"/>
      <c r="L46" s="533" t="s">
        <v>239</v>
      </c>
      <c r="M46" s="533"/>
      <c r="N46" s="534"/>
      <c r="O46" s="28"/>
      <c r="P46" s="28"/>
      <c r="Q46" s="28">
        <v>17042404</v>
      </c>
      <c r="R46" s="33" t="e">
        <f t="shared" si="18"/>
        <v>#REF!</v>
      </c>
      <c r="S46" s="33">
        <v>100</v>
      </c>
      <c r="T46" s="28">
        <f t="shared" si="13"/>
        <v>7.1578516739774498</v>
      </c>
      <c r="U46" s="28" t="e">
        <f t="shared" si="19"/>
        <v>#REF!</v>
      </c>
      <c r="V46" s="115">
        <f t="shared" si="14"/>
        <v>92.842148326022553</v>
      </c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>
        <f>(1219870)</f>
        <v>1219870</v>
      </c>
      <c r="AJ46" s="33">
        <f t="shared" si="15"/>
        <v>7.1578516739774498</v>
      </c>
      <c r="AK46" s="136">
        <f t="shared" si="17"/>
        <v>15822534</v>
      </c>
      <c r="AL46" s="33">
        <f t="shared" si="16"/>
        <v>92.842148326022539</v>
      </c>
      <c r="AM46" s="29"/>
    </row>
    <row r="47" spans="1:39" s="3" customFormat="1" ht="28.5" customHeight="1" x14ac:dyDescent="0.25">
      <c r="A47" s="84" t="s">
        <v>8</v>
      </c>
      <c r="B47" s="66"/>
      <c r="C47" s="66"/>
      <c r="D47" s="66"/>
      <c r="E47" s="66"/>
      <c r="F47" s="66"/>
      <c r="G47" s="66"/>
      <c r="H47" s="66"/>
      <c r="I47" s="66"/>
      <c r="J47" s="66" t="s">
        <v>240</v>
      </c>
      <c r="K47" s="71"/>
      <c r="L47" s="540" t="s">
        <v>241</v>
      </c>
      <c r="M47" s="541"/>
      <c r="N47" s="541"/>
      <c r="O47" s="67"/>
      <c r="P47" s="67"/>
      <c r="Q47" s="67">
        <f>SUM(Q48:Q49)</f>
        <v>2764518480</v>
      </c>
      <c r="R47" s="57">
        <f>Q47/Q36*100</f>
        <v>23.817088721015313</v>
      </c>
      <c r="S47" s="65">
        <v>100</v>
      </c>
      <c r="T47" s="67">
        <f t="shared" si="13"/>
        <v>0</v>
      </c>
      <c r="U47" s="67">
        <f>R47*T47/100</f>
        <v>0</v>
      </c>
      <c r="V47" s="116">
        <f t="shared" si="14"/>
        <v>100</v>
      </c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>
        <f>SUM(AI48:AI49)</f>
        <v>0</v>
      </c>
      <c r="AJ47" s="65">
        <f t="shared" si="15"/>
        <v>0</v>
      </c>
      <c r="AK47" s="138">
        <f t="shared" si="17"/>
        <v>2764518480</v>
      </c>
      <c r="AL47" s="65">
        <f t="shared" si="16"/>
        <v>100</v>
      </c>
      <c r="AM47" s="68"/>
    </row>
    <row r="48" spans="1:39" s="3" customFormat="1" ht="28.5" customHeight="1" x14ac:dyDescent="0.25">
      <c r="A48" s="83">
        <v>1</v>
      </c>
      <c r="B48" s="59"/>
      <c r="C48" s="59"/>
      <c r="D48" s="59"/>
      <c r="E48" s="59"/>
      <c r="F48" s="59"/>
      <c r="G48" s="59"/>
      <c r="H48" s="59"/>
      <c r="I48" s="60"/>
      <c r="J48" s="59" t="s">
        <v>242</v>
      </c>
      <c r="K48" s="61"/>
      <c r="L48" s="533" t="s">
        <v>243</v>
      </c>
      <c r="M48" s="533"/>
      <c r="N48" s="534"/>
      <c r="O48" s="28"/>
      <c r="P48" s="28"/>
      <c r="Q48" s="28">
        <v>2546193480</v>
      </c>
      <c r="R48" s="33" t="e">
        <f t="shared" si="18"/>
        <v>#REF!</v>
      </c>
      <c r="S48" s="33">
        <v>100</v>
      </c>
      <c r="T48" s="28">
        <f t="shared" si="13"/>
        <v>0</v>
      </c>
      <c r="U48" s="91" t="e">
        <f>R48*T48/100</f>
        <v>#REF!</v>
      </c>
      <c r="V48" s="114">
        <f t="shared" si="14"/>
        <v>100</v>
      </c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>
        <v>0</v>
      </c>
      <c r="AJ48" s="33">
        <f t="shared" si="15"/>
        <v>0</v>
      </c>
      <c r="AK48" s="136">
        <f t="shared" si="17"/>
        <v>2546193480</v>
      </c>
      <c r="AL48" s="33">
        <f t="shared" si="16"/>
        <v>100</v>
      </c>
      <c r="AM48" s="29"/>
    </row>
    <row r="49" spans="1:39" s="3" customFormat="1" ht="28.5" customHeight="1" x14ac:dyDescent="0.25">
      <c r="A49" s="83">
        <v>2</v>
      </c>
      <c r="B49" s="59"/>
      <c r="C49" s="59"/>
      <c r="D49" s="59"/>
      <c r="E49" s="59"/>
      <c r="F49" s="59"/>
      <c r="G49" s="59"/>
      <c r="H49" s="59"/>
      <c r="I49" s="60"/>
      <c r="J49" s="59" t="s">
        <v>244</v>
      </c>
      <c r="K49" s="61"/>
      <c r="L49" s="533" t="s">
        <v>245</v>
      </c>
      <c r="M49" s="533"/>
      <c r="N49" s="534"/>
      <c r="O49" s="28"/>
      <c r="P49" s="28"/>
      <c r="Q49" s="28">
        <v>218325000</v>
      </c>
      <c r="R49" s="33" t="e">
        <f t="shared" si="18"/>
        <v>#REF!</v>
      </c>
      <c r="S49" s="33">
        <v>100</v>
      </c>
      <c r="T49" s="28">
        <f t="shared" si="13"/>
        <v>0</v>
      </c>
      <c r="U49" s="123" t="e">
        <f>R49*T49/100</f>
        <v>#REF!</v>
      </c>
      <c r="V49" s="115">
        <f t="shared" si="14"/>
        <v>100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>
        <v>0</v>
      </c>
      <c r="AJ49" s="33">
        <f t="shared" si="15"/>
        <v>0</v>
      </c>
      <c r="AK49" s="136">
        <f t="shared" si="17"/>
        <v>218325000</v>
      </c>
      <c r="AL49" s="33">
        <f t="shared" si="16"/>
        <v>100</v>
      </c>
      <c r="AM49" s="29"/>
    </row>
    <row r="50" spans="1:39" s="3" customFormat="1" ht="28.5" customHeight="1" x14ac:dyDescent="0.25">
      <c r="A50" s="84" t="s">
        <v>29</v>
      </c>
      <c r="B50" s="69"/>
      <c r="C50" s="69"/>
      <c r="D50" s="69"/>
      <c r="E50" s="69"/>
      <c r="F50" s="69"/>
      <c r="G50" s="69"/>
      <c r="H50" s="69"/>
      <c r="I50" s="70"/>
      <c r="J50" s="69" t="s">
        <v>246</v>
      </c>
      <c r="K50" s="71"/>
      <c r="L50" s="542" t="s">
        <v>247</v>
      </c>
      <c r="M50" s="542"/>
      <c r="N50" s="540"/>
      <c r="O50" s="67"/>
      <c r="P50" s="67"/>
      <c r="Q50" s="67">
        <f>SUM(Q51)</f>
        <v>4600000000</v>
      </c>
      <c r="R50" s="57">
        <f>Q50/Q36*100</f>
        <v>39.630267950558405</v>
      </c>
      <c r="S50" s="65">
        <v>100</v>
      </c>
      <c r="T50" s="67">
        <f t="shared" si="13"/>
        <v>40.304863565217389</v>
      </c>
      <c r="U50" s="67">
        <f>R50*T50/100</f>
        <v>15.972925428002638</v>
      </c>
      <c r="V50" s="116">
        <f t="shared" si="14"/>
        <v>59.695136434782611</v>
      </c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55">
        <f>SUM(AI51)</f>
        <v>1854023724</v>
      </c>
      <c r="AJ50" s="65">
        <f t="shared" si="15"/>
        <v>40.304863565217389</v>
      </c>
      <c r="AK50" s="138">
        <f t="shared" si="17"/>
        <v>2745976276</v>
      </c>
      <c r="AL50" s="65">
        <f t="shared" si="16"/>
        <v>59.695136434782611</v>
      </c>
      <c r="AM50" s="68"/>
    </row>
    <row r="51" spans="1:39" s="3" customFormat="1" ht="28.5" customHeight="1" x14ac:dyDescent="0.25">
      <c r="A51" s="83">
        <v>1</v>
      </c>
      <c r="B51" s="59"/>
      <c r="C51" s="59"/>
      <c r="D51" s="59"/>
      <c r="E51" s="59"/>
      <c r="F51" s="59"/>
      <c r="G51" s="59"/>
      <c r="H51" s="59"/>
      <c r="I51" s="60"/>
      <c r="J51" s="59" t="s">
        <v>248</v>
      </c>
      <c r="K51" s="61"/>
      <c r="L51" s="533" t="s">
        <v>427</v>
      </c>
      <c r="M51" s="533"/>
      <c r="N51" s="534"/>
      <c r="O51" s="28"/>
      <c r="P51" s="28"/>
      <c r="Q51" s="28">
        <v>4600000000</v>
      </c>
      <c r="R51" s="33" t="e">
        <f t="shared" si="18"/>
        <v>#REF!</v>
      </c>
      <c r="S51" s="33">
        <v>100</v>
      </c>
      <c r="T51" s="28">
        <f t="shared" si="13"/>
        <v>40.304863565217389</v>
      </c>
      <c r="U51" s="91" t="e">
        <f>R51*T51/100</f>
        <v>#REF!</v>
      </c>
      <c r="V51" s="113">
        <f t="shared" si="14"/>
        <v>59.695136434782611</v>
      </c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>
        <v>1854023724</v>
      </c>
      <c r="AJ51" s="33">
        <f t="shared" si="15"/>
        <v>40.304863565217389</v>
      </c>
      <c r="AK51" s="136">
        <f t="shared" si="17"/>
        <v>2745976276</v>
      </c>
      <c r="AL51" s="33">
        <f t="shared" si="16"/>
        <v>59.695136434782611</v>
      </c>
      <c r="AM51" s="29"/>
    </row>
    <row r="52" spans="1:39" ht="13.5" customHeight="1" x14ac:dyDescent="0.25">
      <c r="A52" s="26"/>
      <c r="B52" s="31"/>
      <c r="C52" s="31"/>
      <c r="D52" s="31"/>
      <c r="E52" s="31"/>
      <c r="F52" s="31"/>
      <c r="G52" s="31"/>
      <c r="H52" s="31"/>
      <c r="I52" s="32"/>
      <c r="J52" s="31"/>
      <c r="K52" s="27"/>
      <c r="L52" s="31"/>
      <c r="M52" s="31"/>
      <c r="N52" s="32"/>
      <c r="O52" s="26"/>
      <c r="P52" s="26"/>
      <c r="Q52" s="26"/>
      <c r="R52" s="26"/>
      <c r="S52" s="26"/>
      <c r="T52" s="26"/>
      <c r="U52" s="26"/>
      <c r="V52" s="87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83"/>
      <c r="AL52" s="26"/>
      <c r="AM52" s="26"/>
    </row>
    <row r="53" spans="1:39" s="36" customFormat="1" ht="24.75" customHeight="1" x14ac:dyDescent="0.25">
      <c r="A53" s="51"/>
      <c r="B53" s="547" t="s">
        <v>112</v>
      </c>
      <c r="C53" s="547"/>
      <c r="D53" s="547"/>
      <c r="E53" s="547"/>
      <c r="F53" s="547"/>
      <c r="G53" s="547"/>
      <c r="H53" s="547"/>
      <c r="I53" s="548"/>
      <c r="J53" s="162" t="s">
        <v>441</v>
      </c>
      <c r="K53" s="52"/>
      <c r="L53" s="549" t="s">
        <v>11</v>
      </c>
      <c r="M53" s="549"/>
      <c r="N53" s="550"/>
      <c r="O53" s="55" t="e">
        <f>SUM(O54,O119,O156,O163,O175,O243,O666)</f>
        <v>#REF!</v>
      </c>
      <c r="P53" s="55" t="e">
        <f>SUM(P54,P119,P156,P163,P175,P243,P666)</f>
        <v>#REF!</v>
      </c>
      <c r="Q53" s="55" t="e">
        <f>SUM(Q54,Q119,Q156,Q163,Q175,Q243+Q657)</f>
        <v>#REF!</v>
      </c>
      <c r="R53" s="57" t="e">
        <f>Q53/Q33*100</f>
        <v>#REF!</v>
      </c>
      <c r="S53" s="57">
        <f>S54</f>
        <v>100</v>
      </c>
      <c r="T53" s="55" t="e">
        <f t="shared" ref="T53:T138" si="20">AJ53</f>
        <v>#REF!</v>
      </c>
      <c r="U53" s="55" t="e">
        <f t="shared" ref="U53:U89" si="21">R53*T53/100</f>
        <v>#REF!</v>
      </c>
      <c r="V53" s="117" t="e">
        <f t="shared" ref="V53:V126" si="22">S53-T53</f>
        <v>#REF!</v>
      </c>
      <c r="W53" s="55">
        <f>SUM(W54:W87)</f>
        <v>0</v>
      </c>
      <c r="X53" s="55" t="e">
        <f t="shared" ref="X53:AH53" si="23">SUM(X54,X119,X156,X163,X175,X243,X666)</f>
        <v>#REF!</v>
      </c>
      <c r="Y53" s="55" t="e">
        <f t="shared" si="23"/>
        <v>#REF!</v>
      </c>
      <c r="Z53" s="55" t="e">
        <f t="shared" si="23"/>
        <v>#REF!</v>
      </c>
      <c r="AA53" s="55" t="e">
        <f t="shared" si="23"/>
        <v>#REF!</v>
      </c>
      <c r="AB53" s="55">
        <f t="shared" si="23"/>
        <v>10250009282</v>
      </c>
      <c r="AC53" s="55" t="e">
        <f t="shared" si="23"/>
        <v>#REF!</v>
      </c>
      <c r="AD53" s="55" t="e">
        <f t="shared" si="23"/>
        <v>#REF!</v>
      </c>
      <c r="AE53" s="55" t="e">
        <f t="shared" si="23"/>
        <v>#REF!</v>
      </c>
      <c r="AF53" s="55" t="e">
        <f t="shared" si="23"/>
        <v>#REF!</v>
      </c>
      <c r="AG53" s="55" t="e">
        <f t="shared" si="23"/>
        <v>#REF!</v>
      </c>
      <c r="AH53" s="55" t="e">
        <f t="shared" si="23"/>
        <v>#REF!</v>
      </c>
      <c r="AI53" s="55" t="e">
        <f>SUM(AI54,AI119,AI156,AI163,AI175,AI243)</f>
        <v>#REF!</v>
      </c>
      <c r="AJ53" s="57" t="e">
        <f t="shared" ref="AJ53:AJ138" si="24">AI53/Q53*100</f>
        <v>#REF!</v>
      </c>
      <c r="AK53" s="137" t="e">
        <f>SUM(Q53-AI53)</f>
        <v>#REF!</v>
      </c>
      <c r="AL53" s="57" t="e">
        <f t="shared" ref="AL53:AL138" si="25">AK53/Q53*100</f>
        <v>#REF!</v>
      </c>
      <c r="AM53" s="56"/>
    </row>
    <row r="54" spans="1:39" s="36" customFormat="1" ht="28.5" customHeight="1" x14ac:dyDescent="0.25">
      <c r="A54" s="49" t="s">
        <v>7</v>
      </c>
      <c r="B54" s="523" t="s">
        <v>113</v>
      </c>
      <c r="C54" s="523"/>
      <c r="D54" s="523"/>
      <c r="E54" s="523"/>
      <c r="F54" s="523"/>
      <c r="G54" s="523"/>
      <c r="H54" s="523"/>
      <c r="I54" s="524"/>
      <c r="J54" s="154" t="s">
        <v>439</v>
      </c>
      <c r="K54" s="50"/>
      <c r="L54" s="525" t="s">
        <v>12</v>
      </c>
      <c r="M54" s="525"/>
      <c r="N54" s="526"/>
      <c r="O54" s="58">
        <f>SUM(O55:O89)</f>
        <v>1502806500</v>
      </c>
      <c r="P54" s="58">
        <f>SUM(P55:P89)</f>
        <v>1794406500</v>
      </c>
      <c r="Q54" s="58">
        <f>SUM(Q55+Q57+Q61+Q63+Q67+Q70+Q76+Q78+Q81+Q84+Q87+Q89+Q91+Q105)</f>
        <v>2525908744</v>
      </c>
      <c r="R54" s="56" t="e">
        <f>Q54/Q$53*100</f>
        <v>#REF!</v>
      </c>
      <c r="S54" s="56">
        <f>S55</f>
        <v>100</v>
      </c>
      <c r="T54" s="92">
        <f t="shared" si="20"/>
        <v>0</v>
      </c>
      <c r="U54" s="92" t="e">
        <f t="shared" si="21"/>
        <v>#REF!</v>
      </c>
      <c r="V54" s="111">
        <f t="shared" si="22"/>
        <v>100</v>
      </c>
      <c r="W54" s="58">
        <f t="shared" ref="W54:AH54" si="26">SUM(W55:W89)</f>
        <v>0</v>
      </c>
      <c r="X54" s="58" t="e">
        <f t="shared" si="26"/>
        <v>#REF!</v>
      </c>
      <c r="Y54" s="58" t="e">
        <f t="shared" si="26"/>
        <v>#REF!</v>
      </c>
      <c r="Z54" s="58" t="e">
        <f t="shared" si="26"/>
        <v>#REF!</v>
      </c>
      <c r="AA54" s="58" t="e">
        <f t="shared" si="26"/>
        <v>#REF!</v>
      </c>
      <c r="AB54" s="58">
        <f t="shared" si="26"/>
        <v>1228213226</v>
      </c>
      <c r="AC54" s="58" t="e">
        <f t="shared" si="26"/>
        <v>#REF!</v>
      </c>
      <c r="AD54" s="58" t="e">
        <f t="shared" si="26"/>
        <v>#REF!</v>
      </c>
      <c r="AE54" s="58" t="e">
        <f t="shared" si="26"/>
        <v>#REF!</v>
      </c>
      <c r="AF54" s="58" t="e">
        <f t="shared" si="26"/>
        <v>#REF!</v>
      </c>
      <c r="AG54" s="58" t="e">
        <f t="shared" si="26"/>
        <v>#REF!</v>
      </c>
      <c r="AH54" s="58">
        <f t="shared" si="26"/>
        <v>3676337600</v>
      </c>
      <c r="AI54" s="58">
        <f>SUM(AI55+AI57+AI61+AI63+AI67+AI70+AI76+AI78+AI81+AI84+AI87+AI89)</f>
        <v>0</v>
      </c>
      <c r="AJ54" s="56">
        <f t="shared" si="24"/>
        <v>0</v>
      </c>
      <c r="AK54" s="135">
        <f>SUM(Q54-AI54)</f>
        <v>2525908744</v>
      </c>
      <c r="AL54" s="56">
        <f t="shared" si="25"/>
        <v>100</v>
      </c>
      <c r="AM54" s="49"/>
    </row>
    <row r="55" spans="1:39" s="41" customFormat="1" ht="24.75" customHeight="1" x14ac:dyDescent="0.25">
      <c r="A55" s="21">
        <v>1</v>
      </c>
      <c r="B55" s="543" t="s">
        <v>114</v>
      </c>
      <c r="C55" s="543"/>
      <c r="D55" s="543"/>
      <c r="E55" s="543"/>
      <c r="F55" s="543"/>
      <c r="G55" s="543"/>
      <c r="H55" s="543"/>
      <c r="I55" s="544"/>
      <c r="J55" s="158" t="s">
        <v>442</v>
      </c>
      <c r="K55" s="22"/>
      <c r="L55" s="72"/>
      <c r="M55" s="543" t="s">
        <v>13</v>
      </c>
      <c r="N55" s="544"/>
      <c r="O55" s="73">
        <v>26300000</v>
      </c>
      <c r="P55" s="23">
        <v>28400000</v>
      </c>
      <c r="Q55" s="23">
        <f>SUM(Q56)</f>
        <v>27000000</v>
      </c>
      <c r="R55" s="24">
        <f>Q55/Q$54*100</f>
        <v>1.068922227065223</v>
      </c>
      <c r="S55" s="24">
        <v>100</v>
      </c>
      <c r="T55" s="23">
        <f t="shared" si="20"/>
        <v>0</v>
      </c>
      <c r="U55" s="23">
        <f t="shared" si="21"/>
        <v>0</v>
      </c>
      <c r="V55" s="90">
        <f t="shared" si="22"/>
        <v>100</v>
      </c>
      <c r="W55" s="23"/>
      <c r="X55" s="23" t="e">
        <f>#REF!</f>
        <v>#REF!</v>
      </c>
      <c r="Y55" s="23" t="e">
        <f>#REF!</f>
        <v>#REF!</v>
      </c>
      <c r="Z55" s="23" t="e">
        <f>#REF!</f>
        <v>#REF!</v>
      </c>
      <c r="AA55" s="23" t="e">
        <f>#REF!</f>
        <v>#REF!</v>
      </c>
      <c r="AB55" s="23">
        <v>5828000</v>
      </c>
      <c r="AC55" s="23" t="e">
        <f>#REF!</f>
        <v>#REF!</v>
      </c>
      <c r="AD55" s="23" t="e">
        <f>#REF!</f>
        <v>#REF!</v>
      </c>
      <c r="AE55" s="23" t="e">
        <f>#REF!</f>
        <v>#REF!</v>
      </c>
      <c r="AF55" s="23" t="e">
        <f>[1]April!N21</f>
        <v>#REF!</v>
      </c>
      <c r="AG55" s="23" t="e">
        <f>[2]april!N21</f>
        <v>#REF!</v>
      </c>
      <c r="AH55" s="23">
        <f>'[3]DES SKPD'!$N21</f>
        <v>14378000</v>
      </c>
      <c r="AI55" s="23">
        <f>SUM(AI56)</f>
        <v>0</v>
      </c>
      <c r="AJ55" s="24">
        <f>AI55/Q55*100</f>
        <v>0</v>
      </c>
      <c r="AK55" s="134">
        <f>Q55-AI55</f>
        <v>27000000</v>
      </c>
      <c r="AL55" s="24">
        <f>AK55/Q55*100</f>
        <v>100</v>
      </c>
      <c r="AM55" s="21"/>
    </row>
    <row r="56" spans="1:39" ht="29.25" customHeight="1" x14ac:dyDescent="0.25">
      <c r="A56" s="26"/>
      <c r="B56" s="151"/>
      <c r="C56" s="151"/>
      <c r="D56" s="151"/>
      <c r="E56" s="151"/>
      <c r="F56" s="151"/>
      <c r="G56" s="151"/>
      <c r="H56" s="151"/>
      <c r="I56" s="152"/>
      <c r="J56" s="151" t="s">
        <v>249</v>
      </c>
      <c r="K56" s="27"/>
      <c r="L56" s="31"/>
      <c r="M56" s="513" t="s">
        <v>250</v>
      </c>
      <c r="N56" s="514"/>
      <c r="O56" s="34"/>
      <c r="P56" s="28"/>
      <c r="Q56" s="28">
        <v>27000000</v>
      </c>
      <c r="R56" s="29">
        <f>Q56/Q$55*100</f>
        <v>100</v>
      </c>
      <c r="S56" s="29">
        <v>100</v>
      </c>
      <c r="T56" s="28">
        <f t="shared" si="20"/>
        <v>0</v>
      </c>
      <c r="U56" s="28">
        <f t="shared" si="21"/>
        <v>0</v>
      </c>
      <c r="V56" s="87">
        <f t="shared" si="22"/>
        <v>100</v>
      </c>
      <c r="W56" s="28"/>
      <c r="X56" s="28" t="e">
        <f>#REF!</f>
        <v>#REF!</v>
      </c>
      <c r="Y56" s="28" t="e">
        <f>#REF!</f>
        <v>#REF!</v>
      </c>
      <c r="Z56" s="28" t="e">
        <f>#REF!</f>
        <v>#REF!</v>
      </c>
      <c r="AA56" s="28" t="e">
        <f>#REF!</f>
        <v>#REF!</v>
      </c>
      <c r="AB56" s="28">
        <v>5828001</v>
      </c>
      <c r="AC56" s="28" t="e">
        <f>#REF!</f>
        <v>#REF!</v>
      </c>
      <c r="AD56" s="28" t="e">
        <f>#REF!</f>
        <v>#REF!</v>
      </c>
      <c r="AE56" s="28" t="e">
        <f>#REF!</f>
        <v>#REF!</v>
      </c>
      <c r="AF56" s="28" t="e">
        <f>[1]April!N22</f>
        <v>#REF!</v>
      </c>
      <c r="AG56" s="28" t="e">
        <f>[2]april!N22</f>
        <v>#REF!</v>
      </c>
      <c r="AH56" s="28">
        <f>'[3]DES SKPD'!$N22</f>
        <v>238296148</v>
      </c>
      <c r="AI56" s="28">
        <v>0</v>
      </c>
      <c r="AJ56" s="29">
        <f>AI56/Q56*100</f>
        <v>0</v>
      </c>
      <c r="AK56" s="136">
        <f>Q56-AI56</f>
        <v>27000000</v>
      </c>
      <c r="AL56" s="29">
        <f>AK56/Q56*100</f>
        <v>100</v>
      </c>
      <c r="AM56" s="26"/>
    </row>
    <row r="57" spans="1:39" s="41" customFormat="1" ht="29.25" customHeight="1" x14ac:dyDescent="0.25">
      <c r="A57" s="21">
        <f>A55+1</f>
        <v>2</v>
      </c>
      <c r="B57" s="543" t="s">
        <v>115</v>
      </c>
      <c r="C57" s="543"/>
      <c r="D57" s="543"/>
      <c r="E57" s="543"/>
      <c r="F57" s="543"/>
      <c r="G57" s="543"/>
      <c r="H57" s="543"/>
      <c r="I57" s="544"/>
      <c r="J57" s="158" t="s">
        <v>443</v>
      </c>
      <c r="K57" s="22"/>
      <c r="L57" s="72"/>
      <c r="M57" s="545" t="s">
        <v>14</v>
      </c>
      <c r="N57" s="546"/>
      <c r="O57" s="73">
        <v>31000000</v>
      </c>
      <c r="P57" s="23">
        <f>[9]Sheet1!$U$35</f>
        <v>320500000</v>
      </c>
      <c r="Q57" s="23">
        <f>SUM(Q58:Q60)</f>
        <v>380000000</v>
      </c>
      <c r="R57" s="24">
        <f>Q57/Q$54*100</f>
        <v>15.044090603140175</v>
      </c>
      <c r="S57" s="24">
        <v>100</v>
      </c>
      <c r="T57" s="23">
        <f t="shared" si="20"/>
        <v>0</v>
      </c>
      <c r="U57" s="23">
        <f t="shared" si="21"/>
        <v>0</v>
      </c>
      <c r="V57" s="90">
        <f t="shared" si="22"/>
        <v>100</v>
      </c>
      <c r="W57" s="23"/>
      <c r="X57" s="23" t="e">
        <f>#REF!</f>
        <v>#REF!</v>
      </c>
      <c r="Y57" s="23" t="e">
        <f>#REF!</f>
        <v>#REF!</v>
      </c>
      <c r="Z57" s="23" t="e">
        <f>#REF!</f>
        <v>#REF!</v>
      </c>
      <c r="AA57" s="23" t="e">
        <f>#REF!</f>
        <v>#REF!</v>
      </c>
      <c r="AB57" s="23">
        <v>61516789</v>
      </c>
      <c r="AC57" s="23" t="e">
        <f>#REF!</f>
        <v>#REF!</v>
      </c>
      <c r="AD57" s="23" t="e">
        <f>#REF!</f>
        <v>#REF!</v>
      </c>
      <c r="AE57" s="23" t="e">
        <f>#REF!</f>
        <v>#REF!</v>
      </c>
      <c r="AF57" s="23" t="e">
        <f>[1]April!N22</f>
        <v>#REF!</v>
      </c>
      <c r="AG57" s="23" t="e">
        <f>[2]april!N22</f>
        <v>#REF!</v>
      </c>
      <c r="AH57" s="23">
        <f>'[3]DES SKPD'!$N22</f>
        <v>238296148</v>
      </c>
      <c r="AI57" s="23">
        <f>SUM(AI58:AI60)</f>
        <v>0</v>
      </c>
      <c r="AJ57" s="24">
        <f t="shared" si="24"/>
        <v>0</v>
      </c>
      <c r="AK57" s="134">
        <f t="shared" ref="AK57:AK90" si="27">Q57-AI57</f>
        <v>380000000</v>
      </c>
      <c r="AL57" s="24">
        <f t="shared" si="25"/>
        <v>100</v>
      </c>
      <c r="AM57" s="21"/>
    </row>
    <row r="58" spans="1:39" ht="23.25" customHeight="1" x14ac:dyDescent="0.25">
      <c r="A58" s="26"/>
      <c r="B58" s="151"/>
      <c r="C58" s="151"/>
      <c r="D58" s="151"/>
      <c r="E58" s="151"/>
      <c r="F58" s="151"/>
      <c r="G58" s="151"/>
      <c r="H58" s="151"/>
      <c r="I58" s="152"/>
      <c r="J58" s="151" t="s">
        <v>251</v>
      </c>
      <c r="K58" s="27"/>
      <c r="L58" s="31"/>
      <c r="M58" s="515" t="s">
        <v>252</v>
      </c>
      <c r="N58" s="516"/>
      <c r="O58" s="34"/>
      <c r="P58" s="28"/>
      <c r="Q58" s="28">
        <v>2808000</v>
      </c>
      <c r="R58" s="29">
        <f>Q58/Q$57*100</f>
        <v>0.73894736842105269</v>
      </c>
      <c r="S58" s="29">
        <v>101</v>
      </c>
      <c r="T58" s="28">
        <f t="shared" si="20"/>
        <v>0</v>
      </c>
      <c r="U58" s="28">
        <f t="shared" si="21"/>
        <v>0</v>
      </c>
      <c r="V58" s="87">
        <f t="shared" si="22"/>
        <v>101</v>
      </c>
      <c r="W58" s="28"/>
      <c r="X58" s="28" t="e">
        <f>#REF!</f>
        <v>#REF!</v>
      </c>
      <c r="Y58" s="28" t="e">
        <f>#REF!</f>
        <v>#REF!</v>
      </c>
      <c r="Z58" s="28" t="e">
        <f>#REF!</f>
        <v>#REF!</v>
      </c>
      <c r="AA58" s="28" t="e">
        <f>#REF!</f>
        <v>#REF!</v>
      </c>
      <c r="AB58" s="28">
        <v>61516790</v>
      </c>
      <c r="AC58" s="28" t="e">
        <f>#REF!</f>
        <v>#REF!</v>
      </c>
      <c r="AD58" s="28" t="e">
        <f>#REF!</f>
        <v>#REF!</v>
      </c>
      <c r="AE58" s="28" t="e">
        <f>#REF!</f>
        <v>#REF!</v>
      </c>
      <c r="AF58" s="28" t="e">
        <f>[1]April!N23</f>
        <v>#REF!</v>
      </c>
      <c r="AG58" s="28" t="e">
        <f>[2]april!N23</f>
        <v>#REF!</v>
      </c>
      <c r="AH58" s="28">
        <f>'[3]DES SKPD'!$N23</f>
        <v>24482700</v>
      </c>
      <c r="AI58" s="28">
        <v>0</v>
      </c>
      <c r="AJ58" s="29">
        <f t="shared" si="24"/>
        <v>0</v>
      </c>
      <c r="AK58" s="136">
        <f t="shared" si="27"/>
        <v>2808000</v>
      </c>
      <c r="AL58" s="29">
        <f t="shared" si="25"/>
        <v>100</v>
      </c>
      <c r="AM58" s="26"/>
    </row>
    <row r="59" spans="1:39" ht="23.25" customHeight="1" x14ac:dyDescent="0.25">
      <c r="A59" s="26"/>
      <c r="B59" s="151"/>
      <c r="C59" s="151"/>
      <c r="D59" s="151"/>
      <c r="E59" s="151"/>
      <c r="F59" s="151"/>
      <c r="G59" s="151"/>
      <c r="H59" s="151"/>
      <c r="I59" s="152"/>
      <c r="J59" s="151" t="s">
        <v>409</v>
      </c>
      <c r="K59" s="27"/>
      <c r="L59" s="31"/>
      <c r="M59" s="515" t="s">
        <v>410</v>
      </c>
      <c r="N59" s="516"/>
      <c r="O59" s="34"/>
      <c r="P59" s="28"/>
      <c r="Q59" s="28">
        <v>24000000</v>
      </c>
      <c r="R59" s="29">
        <f>Q59/Q$57*100</f>
        <v>6.3157894736842106</v>
      </c>
      <c r="S59" s="29">
        <v>102</v>
      </c>
      <c r="T59" s="28">
        <f t="shared" si="20"/>
        <v>0</v>
      </c>
      <c r="U59" s="28">
        <f t="shared" si="21"/>
        <v>0</v>
      </c>
      <c r="V59" s="87">
        <f t="shared" si="22"/>
        <v>102</v>
      </c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>
        <v>0</v>
      </c>
      <c r="AJ59" s="29">
        <f>AI59/Q59*100</f>
        <v>0</v>
      </c>
      <c r="AK59" s="136">
        <f>Q59-AI59</f>
        <v>24000000</v>
      </c>
      <c r="AL59" s="29">
        <f>AK59/Q59*100</f>
        <v>100</v>
      </c>
      <c r="AM59" s="26"/>
    </row>
    <row r="60" spans="1:39" ht="48.75" customHeight="1" x14ac:dyDescent="0.25">
      <c r="A60" s="26"/>
      <c r="B60" s="151"/>
      <c r="C60" s="151"/>
      <c r="D60" s="151"/>
      <c r="E60" s="151"/>
      <c r="F60" s="151"/>
      <c r="G60" s="151"/>
      <c r="H60" s="151"/>
      <c r="I60" s="152"/>
      <c r="J60" s="151" t="s">
        <v>253</v>
      </c>
      <c r="K60" s="27"/>
      <c r="L60" s="31"/>
      <c r="M60" s="515" t="s">
        <v>254</v>
      </c>
      <c r="N60" s="516"/>
      <c r="O60" s="34"/>
      <c r="P60" s="28"/>
      <c r="Q60" s="28">
        <v>353192000</v>
      </c>
      <c r="R60" s="29">
        <f>Q60/Q$57*100</f>
        <v>92.945263157894743</v>
      </c>
      <c r="S60" s="29">
        <v>102</v>
      </c>
      <c r="T60" s="28">
        <f t="shared" si="20"/>
        <v>0</v>
      </c>
      <c r="U60" s="28">
        <f t="shared" si="21"/>
        <v>0</v>
      </c>
      <c r="V60" s="87">
        <f t="shared" si="22"/>
        <v>102</v>
      </c>
      <c r="W60" s="28"/>
      <c r="X60" s="28" t="e">
        <f>#REF!</f>
        <v>#REF!</v>
      </c>
      <c r="Y60" s="28" t="e">
        <f>#REF!</f>
        <v>#REF!</v>
      </c>
      <c r="Z60" s="28" t="e">
        <f>#REF!</f>
        <v>#REF!</v>
      </c>
      <c r="AA60" s="28" t="e">
        <f>#REF!</f>
        <v>#REF!</v>
      </c>
      <c r="AB60" s="28">
        <v>61516791</v>
      </c>
      <c r="AC60" s="28" t="e">
        <f>#REF!</f>
        <v>#REF!</v>
      </c>
      <c r="AD60" s="28" t="e">
        <f>#REF!</f>
        <v>#REF!</v>
      </c>
      <c r="AE60" s="28" t="e">
        <f>#REF!</f>
        <v>#REF!</v>
      </c>
      <c r="AF60" s="28" t="e">
        <f>[1]April!N24</f>
        <v>#REF!</v>
      </c>
      <c r="AG60" s="28" t="e">
        <f>[2]april!N24</f>
        <v>#REF!</v>
      </c>
      <c r="AH60" s="28">
        <f>'[3]DES SKPD'!$N24</f>
        <v>201339002</v>
      </c>
      <c r="AI60" s="28">
        <v>0</v>
      </c>
      <c r="AJ60" s="29">
        <f t="shared" si="24"/>
        <v>0</v>
      </c>
      <c r="AK60" s="136">
        <f t="shared" si="27"/>
        <v>353192000</v>
      </c>
      <c r="AL60" s="29">
        <f t="shared" si="25"/>
        <v>100</v>
      </c>
      <c r="AM60" s="26"/>
    </row>
    <row r="61" spans="1:39" s="41" customFormat="1" ht="45.75" customHeight="1" x14ac:dyDescent="0.25">
      <c r="A61" s="21">
        <f>A57+1</f>
        <v>3</v>
      </c>
      <c r="B61" s="543" t="s">
        <v>116</v>
      </c>
      <c r="C61" s="543"/>
      <c r="D61" s="543"/>
      <c r="E61" s="543"/>
      <c r="F61" s="543"/>
      <c r="G61" s="543"/>
      <c r="H61" s="543"/>
      <c r="I61" s="544"/>
      <c r="J61" s="158" t="s">
        <v>444</v>
      </c>
      <c r="K61" s="22"/>
      <c r="L61" s="72"/>
      <c r="M61" s="545" t="s">
        <v>117</v>
      </c>
      <c r="N61" s="546"/>
      <c r="O61" s="73">
        <v>32800000</v>
      </c>
      <c r="P61" s="23">
        <f>O61</f>
        <v>32800000</v>
      </c>
      <c r="Q61" s="23">
        <f>SUM(Q62)</f>
        <v>66540000</v>
      </c>
      <c r="R61" s="24">
        <f>Q61/Q$54*100</f>
        <v>2.6342994440340717</v>
      </c>
      <c r="S61" s="24">
        <v>100</v>
      </c>
      <c r="T61" s="23">
        <f t="shared" si="20"/>
        <v>0</v>
      </c>
      <c r="U61" s="23">
        <f t="shared" si="21"/>
        <v>0</v>
      </c>
      <c r="V61" s="90">
        <f t="shared" si="22"/>
        <v>100</v>
      </c>
      <c r="W61" s="23"/>
      <c r="X61" s="23" t="e">
        <f>#REF!</f>
        <v>#REF!</v>
      </c>
      <c r="Y61" s="23" t="e">
        <f>#REF!</f>
        <v>#REF!</v>
      </c>
      <c r="Z61" s="23" t="e">
        <f>#REF!</f>
        <v>#REF!</v>
      </c>
      <c r="AA61" s="23" t="e">
        <f>#REF!</f>
        <v>#REF!</v>
      </c>
      <c r="AB61" s="23">
        <v>9127800</v>
      </c>
      <c r="AC61" s="23" t="e">
        <f>#REF!</f>
        <v>#REF!</v>
      </c>
      <c r="AD61" s="23" t="e">
        <f>#REF!</f>
        <v>#REF!</v>
      </c>
      <c r="AE61" s="23" t="e">
        <f>#REF!</f>
        <v>#REF!</v>
      </c>
      <c r="AF61" s="23" t="e">
        <f>[1]April!N23</f>
        <v>#REF!</v>
      </c>
      <c r="AG61" s="23" t="e">
        <f>[2]april!N23</f>
        <v>#REF!</v>
      </c>
      <c r="AH61" s="23">
        <f>'[3]DES SKPD'!$N23</f>
        <v>24482700</v>
      </c>
      <c r="AI61" s="23">
        <f>SUM(AI62)</f>
        <v>0</v>
      </c>
      <c r="AJ61" s="24">
        <f t="shared" si="24"/>
        <v>0</v>
      </c>
      <c r="AK61" s="134">
        <f t="shared" si="27"/>
        <v>66540000</v>
      </c>
      <c r="AL61" s="24">
        <f t="shared" si="25"/>
        <v>100</v>
      </c>
      <c r="AM61" s="21"/>
    </row>
    <row r="62" spans="1:39" s="41" customFormat="1" ht="28.5" customHeight="1" x14ac:dyDescent="0.25">
      <c r="A62" s="21"/>
      <c r="B62" s="158"/>
      <c r="C62" s="158"/>
      <c r="D62" s="158"/>
      <c r="E62" s="158"/>
      <c r="F62" s="158"/>
      <c r="G62" s="158"/>
      <c r="H62" s="158"/>
      <c r="I62" s="159"/>
      <c r="J62" s="151" t="s">
        <v>255</v>
      </c>
      <c r="K62" s="27"/>
      <c r="L62" s="31"/>
      <c r="M62" s="515" t="s">
        <v>256</v>
      </c>
      <c r="N62" s="516"/>
      <c r="O62" s="34"/>
      <c r="P62" s="28"/>
      <c r="Q62" s="28">
        <v>66540000</v>
      </c>
      <c r="R62" s="29">
        <f>Q62/Q$61*100</f>
        <v>100</v>
      </c>
      <c r="S62" s="29">
        <v>100</v>
      </c>
      <c r="T62" s="28">
        <f t="shared" si="20"/>
        <v>0</v>
      </c>
      <c r="U62" s="28">
        <f t="shared" si="21"/>
        <v>0</v>
      </c>
      <c r="V62" s="87">
        <f t="shared" si="22"/>
        <v>100</v>
      </c>
      <c r="W62" s="28"/>
      <c r="X62" s="28" t="e">
        <f>#REF!</f>
        <v>#REF!</v>
      </c>
      <c r="Y62" s="28" t="e">
        <f>#REF!</f>
        <v>#REF!</v>
      </c>
      <c r="Z62" s="28" t="e">
        <f>#REF!</f>
        <v>#REF!</v>
      </c>
      <c r="AA62" s="28" t="e">
        <f>#REF!</f>
        <v>#REF!</v>
      </c>
      <c r="AB62" s="28">
        <v>9127801</v>
      </c>
      <c r="AC62" s="28" t="e">
        <f>#REF!</f>
        <v>#REF!</v>
      </c>
      <c r="AD62" s="28" t="e">
        <f>#REF!</f>
        <v>#REF!</v>
      </c>
      <c r="AE62" s="28" t="e">
        <f>#REF!</f>
        <v>#REF!</v>
      </c>
      <c r="AF62" s="28" t="e">
        <f>[1]April!N24</f>
        <v>#REF!</v>
      </c>
      <c r="AG62" s="28" t="e">
        <f>[2]april!N24</f>
        <v>#REF!</v>
      </c>
      <c r="AH62" s="28">
        <f>'[3]DES SKPD'!$N24</f>
        <v>201339002</v>
      </c>
      <c r="AI62" s="28">
        <v>0</v>
      </c>
      <c r="AJ62" s="29">
        <f t="shared" si="24"/>
        <v>0</v>
      </c>
      <c r="AK62" s="136">
        <f t="shared" si="27"/>
        <v>66540000</v>
      </c>
      <c r="AL62" s="29">
        <f t="shared" si="25"/>
        <v>100</v>
      </c>
      <c r="AM62" s="21"/>
    </row>
    <row r="63" spans="1:39" s="41" customFormat="1" ht="24.75" customHeight="1" x14ac:dyDescent="0.25">
      <c r="A63" s="21">
        <f>A61+1</f>
        <v>4</v>
      </c>
      <c r="B63" s="543" t="s">
        <v>118</v>
      </c>
      <c r="C63" s="543"/>
      <c r="D63" s="543"/>
      <c r="E63" s="543"/>
      <c r="F63" s="543"/>
      <c r="G63" s="543"/>
      <c r="H63" s="543"/>
      <c r="I63" s="544"/>
      <c r="J63" s="158" t="s">
        <v>445</v>
      </c>
      <c r="K63" s="22"/>
      <c r="L63" s="72"/>
      <c r="M63" s="543" t="s">
        <v>15</v>
      </c>
      <c r="N63" s="544"/>
      <c r="O63" s="73">
        <v>218550000</v>
      </c>
      <c r="P63" s="23">
        <f>O63</f>
        <v>218550000</v>
      </c>
      <c r="Q63" s="23">
        <f>SUM(Q64:Q66)</f>
        <v>336900000</v>
      </c>
      <c r="R63" s="24">
        <f>Q63/Q$54*100</f>
        <v>13.337774011047172</v>
      </c>
      <c r="S63" s="24">
        <v>100</v>
      </c>
      <c r="T63" s="23">
        <f t="shared" si="20"/>
        <v>0</v>
      </c>
      <c r="U63" s="23">
        <f t="shared" si="21"/>
        <v>0</v>
      </c>
      <c r="V63" s="90">
        <f t="shared" si="22"/>
        <v>100</v>
      </c>
      <c r="W63" s="23"/>
      <c r="X63" s="23" t="e">
        <f>#REF!</f>
        <v>#REF!</v>
      </c>
      <c r="Y63" s="23" t="e">
        <f>#REF!</f>
        <v>#REF!</v>
      </c>
      <c r="Z63" s="23" t="e">
        <f>#REF!</f>
        <v>#REF!</v>
      </c>
      <c r="AA63" s="23" t="e">
        <f>#REF!</f>
        <v>#REF!</v>
      </c>
      <c r="AB63" s="23">
        <v>103406334</v>
      </c>
      <c r="AC63" s="23" t="e">
        <f>#REF!</f>
        <v>#REF!</v>
      </c>
      <c r="AD63" s="23" t="e">
        <f>#REF!</f>
        <v>#REF!</v>
      </c>
      <c r="AE63" s="23" t="e">
        <f>#REF!</f>
        <v>#REF!</v>
      </c>
      <c r="AF63" s="23" t="e">
        <f>[1]April!N24</f>
        <v>#REF!</v>
      </c>
      <c r="AG63" s="23" t="e">
        <f>[2]april!N24</f>
        <v>#REF!</v>
      </c>
      <c r="AH63" s="23">
        <f>'[3]DES SKPD'!$N24</f>
        <v>201339002</v>
      </c>
      <c r="AI63" s="23">
        <f>SUM(AI64:AI66)</f>
        <v>0</v>
      </c>
      <c r="AJ63" s="24">
        <f t="shared" si="24"/>
        <v>0</v>
      </c>
      <c r="AK63" s="134">
        <f t="shared" si="27"/>
        <v>336900000</v>
      </c>
      <c r="AL63" s="24">
        <f t="shared" si="25"/>
        <v>100</v>
      </c>
      <c r="AM63" s="21"/>
    </row>
    <row r="64" spans="1:39" ht="24.75" customHeight="1" x14ac:dyDescent="0.25">
      <c r="A64" s="26"/>
      <c r="B64" s="151"/>
      <c r="C64" s="151"/>
      <c r="D64" s="151"/>
      <c r="E64" s="151"/>
      <c r="F64" s="151"/>
      <c r="G64" s="151"/>
      <c r="H64" s="151"/>
      <c r="I64" s="152"/>
      <c r="J64" s="151" t="s">
        <v>259</v>
      </c>
      <c r="K64" s="27"/>
      <c r="L64" s="31"/>
      <c r="M64" s="513" t="s">
        <v>260</v>
      </c>
      <c r="N64" s="514"/>
      <c r="O64" s="34"/>
      <c r="P64" s="28"/>
      <c r="Q64" s="28">
        <v>1500000</v>
      </c>
      <c r="R64" s="29">
        <f>Q64/Q$63*100</f>
        <v>0.44523597506678536</v>
      </c>
      <c r="S64" s="29">
        <v>100</v>
      </c>
      <c r="T64" s="28">
        <f t="shared" si="20"/>
        <v>0</v>
      </c>
      <c r="U64" s="28">
        <f t="shared" si="21"/>
        <v>0</v>
      </c>
      <c r="V64" s="87">
        <f t="shared" si="22"/>
        <v>100</v>
      </c>
      <c r="W64" s="28"/>
      <c r="X64" s="28" t="e">
        <f>#REF!</f>
        <v>#REF!</v>
      </c>
      <c r="Y64" s="28" t="e">
        <f>#REF!</f>
        <v>#REF!</v>
      </c>
      <c r="Z64" s="28" t="e">
        <f>#REF!</f>
        <v>#REF!</v>
      </c>
      <c r="AA64" s="28" t="e">
        <f>#REF!</f>
        <v>#REF!</v>
      </c>
      <c r="AB64" s="28">
        <v>103406335</v>
      </c>
      <c r="AC64" s="28" t="e">
        <f>#REF!</f>
        <v>#REF!</v>
      </c>
      <c r="AD64" s="28" t="e">
        <f>#REF!</f>
        <v>#REF!</v>
      </c>
      <c r="AE64" s="28" t="e">
        <f>#REF!</f>
        <v>#REF!</v>
      </c>
      <c r="AF64" s="28" t="e">
        <f>[1]April!N26</f>
        <v>#REF!</v>
      </c>
      <c r="AG64" s="28" t="e">
        <f>[2]april!N26</f>
        <v>#REF!</v>
      </c>
      <c r="AH64" s="28">
        <f>'[3]DES SKPD'!$N26</f>
        <v>449102800</v>
      </c>
      <c r="AI64" s="28">
        <v>0</v>
      </c>
      <c r="AJ64" s="29">
        <f t="shared" si="24"/>
        <v>0</v>
      </c>
      <c r="AK64" s="136">
        <f t="shared" si="27"/>
        <v>1500000</v>
      </c>
      <c r="AL64" s="29">
        <f t="shared" si="25"/>
        <v>100</v>
      </c>
      <c r="AM64" s="26"/>
    </row>
    <row r="65" spans="1:39" ht="26.25" customHeight="1" x14ac:dyDescent="0.25">
      <c r="A65" s="26"/>
      <c r="B65" s="151"/>
      <c r="C65" s="151"/>
      <c r="D65" s="151"/>
      <c r="E65" s="151"/>
      <c r="F65" s="151"/>
      <c r="G65" s="151"/>
      <c r="H65" s="151"/>
      <c r="I65" s="152"/>
      <c r="J65" s="151" t="s">
        <v>261</v>
      </c>
      <c r="K65" s="27"/>
      <c r="L65" s="31"/>
      <c r="M65" s="513" t="s">
        <v>262</v>
      </c>
      <c r="N65" s="514"/>
      <c r="O65" s="34"/>
      <c r="P65" s="28"/>
      <c r="Q65" s="28">
        <v>120000000</v>
      </c>
      <c r="R65" s="29">
        <f>Q65/Q$63*100</f>
        <v>35.618878005342829</v>
      </c>
      <c r="S65" s="29">
        <v>100</v>
      </c>
      <c r="T65" s="28">
        <f t="shared" si="20"/>
        <v>0</v>
      </c>
      <c r="U65" s="28">
        <f t="shared" si="21"/>
        <v>0</v>
      </c>
      <c r="V65" s="87">
        <f t="shared" si="22"/>
        <v>100</v>
      </c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>
        <v>0</v>
      </c>
      <c r="AJ65" s="29">
        <f t="shared" si="24"/>
        <v>0</v>
      </c>
      <c r="AK65" s="136">
        <f t="shared" si="27"/>
        <v>120000000</v>
      </c>
      <c r="AL65" s="29">
        <f t="shared" si="25"/>
        <v>100</v>
      </c>
      <c r="AM65" s="26"/>
    </row>
    <row r="66" spans="1:39" ht="24.75" customHeight="1" x14ac:dyDescent="0.25">
      <c r="A66" s="26"/>
      <c r="B66" s="151"/>
      <c r="C66" s="151"/>
      <c r="D66" s="151"/>
      <c r="E66" s="151"/>
      <c r="F66" s="151"/>
      <c r="G66" s="151"/>
      <c r="H66" s="151"/>
      <c r="I66" s="152"/>
      <c r="J66" s="151" t="s">
        <v>263</v>
      </c>
      <c r="K66" s="27"/>
      <c r="L66" s="31"/>
      <c r="M66" s="513" t="s">
        <v>264</v>
      </c>
      <c r="N66" s="514"/>
      <c r="O66" s="34"/>
      <c r="P66" s="28"/>
      <c r="Q66" s="28">
        <v>215400000</v>
      </c>
      <c r="R66" s="29">
        <f>Q66/Q$63*100</f>
        <v>63.935886019590384</v>
      </c>
      <c r="S66" s="29">
        <v>100</v>
      </c>
      <c r="T66" s="28">
        <f t="shared" si="20"/>
        <v>0</v>
      </c>
      <c r="U66" s="28">
        <f t="shared" si="21"/>
        <v>0</v>
      </c>
      <c r="V66" s="87">
        <f t="shared" si="22"/>
        <v>100</v>
      </c>
      <c r="W66" s="28"/>
      <c r="X66" s="28" t="e">
        <f>#REF!</f>
        <v>#REF!</v>
      </c>
      <c r="Y66" s="28" t="e">
        <f>#REF!</f>
        <v>#REF!</v>
      </c>
      <c r="Z66" s="28" t="e">
        <f>#REF!</f>
        <v>#REF!</v>
      </c>
      <c r="AA66" s="28" t="e">
        <f>#REF!</f>
        <v>#REF!</v>
      </c>
      <c r="AB66" s="28">
        <v>103406335</v>
      </c>
      <c r="AC66" s="28" t="e">
        <f>#REF!</f>
        <v>#REF!</v>
      </c>
      <c r="AD66" s="28" t="e">
        <f>#REF!</f>
        <v>#REF!</v>
      </c>
      <c r="AE66" s="28" t="e">
        <f>#REF!</f>
        <v>#REF!</v>
      </c>
      <c r="AF66" s="28" t="e">
        <f>[1]April!N26</f>
        <v>#REF!</v>
      </c>
      <c r="AG66" s="28" t="e">
        <f>[2]april!N26</f>
        <v>#REF!</v>
      </c>
      <c r="AH66" s="28">
        <f>'[3]DES SKPD'!$N26</f>
        <v>449102800</v>
      </c>
      <c r="AI66" s="28">
        <v>0</v>
      </c>
      <c r="AJ66" s="29">
        <f t="shared" si="24"/>
        <v>0</v>
      </c>
      <c r="AK66" s="136">
        <f t="shared" si="27"/>
        <v>215400000</v>
      </c>
      <c r="AL66" s="29">
        <f t="shared" si="25"/>
        <v>100</v>
      </c>
      <c r="AM66" s="26"/>
    </row>
    <row r="67" spans="1:39" s="41" customFormat="1" ht="24.75" customHeight="1" x14ac:dyDescent="0.25">
      <c r="A67" s="21">
        <f>A63+1</f>
        <v>5</v>
      </c>
      <c r="B67" s="543" t="s">
        <v>119</v>
      </c>
      <c r="C67" s="543"/>
      <c r="D67" s="543"/>
      <c r="E67" s="543"/>
      <c r="F67" s="543"/>
      <c r="G67" s="543"/>
      <c r="H67" s="543"/>
      <c r="I67" s="544"/>
      <c r="J67" s="158" t="s">
        <v>446</v>
      </c>
      <c r="K67" s="22"/>
      <c r="L67" s="72"/>
      <c r="M67" s="543" t="s">
        <v>16</v>
      </c>
      <c r="N67" s="544"/>
      <c r="O67" s="73">
        <v>201527500</v>
      </c>
      <c r="P67" s="23">
        <f>O67</f>
        <v>201527500</v>
      </c>
      <c r="Q67" s="23">
        <f>SUM(Q68:Q69)</f>
        <v>411693900</v>
      </c>
      <c r="R67" s="24">
        <f>Q67/Q$54*100</f>
        <v>16.298842979895081</v>
      </c>
      <c r="S67" s="24">
        <v>100</v>
      </c>
      <c r="T67" s="23">
        <f t="shared" si="20"/>
        <v>0</v>
      </c>
      <c r="U67" s="23">
        <f t="shared" si="21"/>
        <v>0</v>
      </c>
      <c r="V67" s="90">
        <f t="shared" si="22"/>
        <v>100</v>
      </c>
      <c r="W67" s="23"/>
      <c r="X67" s="23" t="e">
        <f>#REF!</f>
        <v>#REF!</v>
      </c>
      <c r="Y67" s="23" t="e">
        <f>#REF!</f>
        <v>#REF!</v>
      </c>
      <c r="Z67" s="23" t="e">
        <f>#REF!</f>
        <v>#REF!</v>
      </c>
      <c r="AA67" s="23" t="e">
        <f>#REF!</f>
        <v>#REF!</v>
      </c>
      <c r="AB67" s="23">
        <v>99905000</v>
      </c>
      <c r="AC67" s="23" t="e">
        <f>#REF!</f>
        <v>#REF!</v>
      </c>
      <c r="AD67" s="23" t="e">
        <f>#REF!</f>
        <v>#REF!</v>
      </c>
      <c r="AE67" s="23" t="e">
        <f>#REF!</f>
        <v>#REF!</v>
      </c>
      <c r="AF67" s="23" t="e">
        <f>[1]April!N25</f>
        <v>#REF!</v>
      </c>
      <c r="AG67" s="23" t="e">
        <f>[2]april!N25</f>
        <v>#REF!</v>
      </c>
      <c r="AH67" s="23">
        <f>'[3]DES SKPD'!$N25</f>
        <v>229473500</v>
      </c>
      <c r="AI67" s="23">
        <f>SUM(AI68:AI69)</f>
        <v>0</v>
      </c>
      <c r="AJ67" s="24">
        <f>AI67/Q67*100</f>
        <v>0</v>
      </c>
      <c r="AK67" s="134">
        <f>Q67-AI67</f>
        <v>411693900</v>
      </c>
      <c r="AL67" s="24">
        <f>AK67/Q67*100</f>
        <v>100</v>
      </c>
      <c r="AM67" s="21"/>
    </row>
    <row r="68" spans="1:39" ht="29.25" customHeight="1" x14ac:dyDescent="0.25">
      <c r="A68" s="26"/>
      <c r="B68" s="151"/>
      <c r="C68" s="151"/>
      <c r="D68" s="151"/>
      <c r="E68" s="151"/>
      <c r="F68" s="151"/>
      <c r="G68" s="151"/>
      <c r="H68" s="151"/>
      <c r="I68" s="152"/>
      <c r="J68" s="151" t="s">
        <v>259</v>
      </c>
      <c r="K68" s="27"/>
      <c r="L68" s="31"/>
      <c r="M68" s="513" t="s">
        <v>260</v>
      </c>
      <c r="N68" s="514"/>
      <c r="O68" s="34"/>
      <c r="P68" s="28"/>
      <c r="Q68" s="28">
        <v>2400000</v>
      </c>
      <c r="R68" s="29">
        <f>Q68/Q$67*100</f>
        <v>0.58295738654374041</v>
      </c>
      <c r="S68" s="29">
        <v>100</v>
      </c>
      <c r="T68" s="28">
        <f t="shared" si="20"/>
        <v>0</v>
      </c>
      <c r="U68" s="28">
        <f t="shared" si="21"/>
        <v>0</v>
      </c>
      <c r="V68" s="87">
        <f t="shared" si="22"/>
        <v>100</v>
      </c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>
        <v>0</v>
      </c>
      <c r="AJ68" s="29">
        <f t="shared" si="24"/>
        <v>0</v>
      </c>
      <c r="AK68" s="136">
        <f t="shared" si="27"/>
        <v>2400000</v>
      </c>
      <c r="AL68" s="29">
        <f t="shared" si="25"/>
        <v>100</v>
      </c>
      <c r="AM68" s="26"/>
    </row>
    <row r="69" spans="1:39" ht="24.75" customHeight="1" x14ac:dyDescent="0.25">
      <c r="A69" s="26"/>
      <c r="B69" s="151"/>
      <c r="C69" s="151"/>
      <c r="D69" s="151"/>
      <c r="E69" s="151"/>
      <c r="F69" s="151"/>
      <c r="G69" s="151"/>
      <c r="H69" s="151"/>
      <c r="I69" s="152"/>
      <c r="J69" s="151" t="s">
        <v>265</v>
      </c>
      <c r="K69" s="27"/>
      <c r="L69" s="31"/>
      <c r="M69" s="513" t="s">
        <v>266</v>
      </c>
      <c r="N69" s="514"/>
      <c r="O69" s="34"/>
      <c r="P69" s="28"/>
      <c r="Q69" s="28">
        <v>409293900</v>
      </c>
      <c r="R69" s="29">
        <f>Q69/Q$67*100</f>
        <v>99.41704261345626</v>
      </c>
      <c r="S69" s="29">
        <v>100</v>
      </c>
      <c r="T69" s="28">
        <f t="shared" si="20"/>
        <v>0</v>
      </c>
      <c r="U69" s="28">
        <f t="shared" si="21"/>
        <v>0</v>
      </c>
      <c r="V69" s="87">
        <f t="shared" si="22"/>
        <v>100</v>
      </c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>
        <v>0</v>
      </c>
      <c r="AJ69" s="29">
        <f t="shared" si="24"/>
        <v>0</v>
      </c>
      <c r="AK69" s="136">
        <f t="shared" si="27"/>
        <v>409293900</v>
      </c>
      <c r="AL69" s="29">
        <f t="shared" si="25"/>
        <v>100</v>
      </c>
      <c r="AM69" s="26"/>
    </row>
    <row r="70" spans="1:39" s="41" customFormat="1" ht="27.75" customHeight="1" x14ac:dyDescent="0.25">
      <c r="A70" s="21">
        <f>A67+1</f>
        <v>6</v>
      </c>
      <c r="B70" s="543" t="s">
        <v>120</v>
      </c>
      <c r="C70" s="543"/>
      <c r="D70" s="543"/>
      <c r="E70" s="543"/>
      <c r="F70" s="543"/>
      <c r="G70" s="543"/>
      <c r="H70" s="543"/>
      <c r="I70" s="544"/>
      <c r="J70" s="158" t="s">
        <v>447</v>
      </c>
      <c r="K70" s="22"/>
      <c r="L70" s="72"/>
      <c r="M70" s="545" t="s">
        <v>17</v>
      </c>
      <c r="N70" s="546"/>
      <c r="O70" s="73">
        <v>261210000</v>
      </c>
      <c r="P70" s="23">
        <f>O70</f>
        <v>261210000</v>
      </c>
      <c r="Q70" s="23">
        <f>SUM(Q71:Q75)</f>
        <v>422840000</v>
      </c>
      <c r="R70" s="24">
        <f>Q70/Q$54*100</f>
        <v>16.740113870083661</v>
      </c>
      <c r="S70" s="24">
        <v>100</v>
      </c>
      <c r="T70" s="23">
        <f t="shared" si="20"/>
        <v>0</v>
      </c>
      <c r="U70" s="23">
        <f t="shared" si="21"/>
        <v>0</v>
      </c>
      <c r="V70" s="90">
        <f t="shared" si="22"/>
        <v>100</v>
      </c>
      <c r="W70" s="23"/>
      <c r="X70" s="23" t="e">
        <f>#REF!</f>
        <v>#REF!</v>
      </c>
      <c r="Y70" s="23" t="e">
        <f>#REF!</f>
        <v>#REF!</v>
      </c>
      <c r="Z70" s="23" t="e">
        <f>#REF!</f>
        <v>#REF!</v>
      </c>
      <c r="AA70" s="23" t="e">
        <f>#REF!</f>
        <v>#REF!</v>
      </c>
      <c r="AB70" s="23">
        <v>171140000</v>
      </c>
      <c r="AC70" s="23" t="e">
        <f>#REF!</f>
        <v>#REF!</v>
      </c>
      <c r="AD70" s="23" t="e">
        <f>#REF!</f>
        <v>#REF!</v>
      </c>
      <c r="AE70" s="23" t="e">
        <f>#REF!</f>
        <v>#REF!</v>
      </c>
      <c r="AF70" s="23" t="e">
        <f>[1]April!N26</f>
        <v>#REF!</v>
      </c>
      <c r="AG70" s="23" t="e">
        <f>[2]april!N26</f>
        <v>#REF!</v>
      </c>
      <c r="AH70" s="23">
        <f>'[3]DES SKPD'!$N26</f>
        <v>449102800</v>
      </c>
      <c r="AI70" s="23">
        <f>SUM(AI71:AI75)</f>
        <v>0</v>
      </c>
      <c r="AJ70" s="24">
        <f t="shared" si="24"/>
        <v>0</v>
      </c>
      <c r="AK70" s="134">
        <f t="shared" si="27"/>
        <v>422840000</v>
      </c>
      <c r="AL70" s="24">
        <f t="shared" si="25"/>
        <v>100</v>
      </c>
      <c r="AM70" s="21"/>
    </row>
    <row r="71" spans="1:39" s="41" customFormat="1" ht="27.75" customHeight="1" x14ac:dyDescent="0.25">
      <c r="A71" s="21"/>
      <c r="B71" s="158"/>
      <c r="C71" s="158"/>
      <c r="D71" s="158"/>
      <c r="E71" s="158"/>
      <c r="F71" s="158"/>
      <c r="G71" s="158"/>
      <c r="H71" s="158"/>
      <c r="I71" s="159"/>
      <c r="J71" s="151" t="s">
        <v>259</v>
      </c>
      <c r="K71" s="27"/>
      <c r="L71" s="31"/>
      <c r="M71" s="515" t="s">
        <v>260</v>
      </c>
      <c r="N71" s="516"/>
      <c r="O71" s="34"/>
      <c r="P71" s="28"/>
      <c r="Q71" s="28">
        <v>2400000</v>
      </c>
      <c r="R71" s="29">
        <f>Q71/Q$70*100</f>
        <v>0.56759057799640522</v>
      </c>
      <c r="S71" s="29">
        <v>100</v>
      </c>
      <c r="T71" s="28">
        <f t="shared" si="20"/>
        <v>0</v>
      </c>
      <c r="U71" s="28">
        <f t="shared" si="21"/>
        <v>0</v>
      </c>
      <c r="V71" s="87">
        <f t="shared" si="22"/>
        <v>100</v>
      </c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>
        <v>0</v>
      </c>
      <c r="AJ71" s="29">
        <f t="shared" si="24"/>
        <v>0</v>
      </c>
      <c r="AK71" s="136">
        <f t="shared" si="27"/>
        <v>2400000</v>
      </c>
      <c r="AL71" s="29">
        <f t="shared" si="25"/>
        <v>100</v>
      </c>
      <c r="AM71" s="21"/>
    </row>
    <row r="72" spans="1:39" s="41" customFormat="1" ht="27.75" customHeight="1" x14ac:dyDescent="0.25">
      <c r="A72" s="21"/>
      <c r="B72" s="158"/>
      <c r="C72" s="158"/>
      <c r="D72" s="158"/>
      <c r="E72" s="158"/>
      <c r="F72" s="158"/>
      <c r="G72" s="158"/>
      <c r="H72" s="158"/>
      <c r="I72" s="159"/>
      <c r="J72" s="151" t="s">
        <v>267</v>
      </c>
      <c r="K72" s="27"/>
      <c r="L72" s="31"/>
      <c r="M72" s="515" t="s">
        <v>268</v>
      </c>
      <c r="N72" s="516"/>
      <c r="O72" s="34"/>
      <c r="P72" s="28"/>
      <c r="Q72" s="28">
        <v>8000000</v>
      </c>
      <c r="R72" s="29">
        <f>Q72/Q$70*100</f>
        <v>1.8919685933213508</v>
      </c>
      <c r="S72" s="29">
        <v>100</v>
      </c>
      <c r="T72" s="28">
        <f t="shared" si="20"/>
        <v>0</v>
      </c>
      <c r="U72" s="28">
        <f t="shared" si="21"/>
        <v>0</v>
      </c>
      <c r="V72" s="87">
        <f t="shared" si="22"/>
        <v>100</v>
      </c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>
        <v>0</v>
      </c>
      <c r="AJ72" s="29">
        <f t="shared" si="24"/>
        <v>0</v>
      </c>
      <c r="AK72" s="136">
        <f t="shared" si="27"/>
        <v>8000000</v>
      </c>
      <c r="AL72" s="29">
        <f t="shared" si="25"/>
        <v>100</v>
      </c>
      <c r="AM72" s="21"/>
    </row>
    <row r="73" spans="1:39" s="41" customFormat="1" ht="27.75" customHeight="1" x14ac:dyDescent="0.25">
      <c r="A73" s="21"/>
      <c r="B73" s="158"/>
      <c r="C73" s="158"/>
      <c r="D73" s="158"/>
      <c r="E73" s="158"/>
      <c r="F73" s="158"/>
      <c r="G73" s="158"/>
      <c r="H73" s="158"/>
      <c r="I73" s="159"/>
      <c r="J73" s="151" t="s">
        <v>269</v>
      </c>
      <c r="K73" s="27"/>
      <c r="L73" s="31"/>
      <c r="M73" s="515" t="s">
        <v>270</v>
      </c>
      <c r="N73" s="516"/>
      <c r="O73" s="34"/>
      <c r="P73" s="28"/>
      <c r="Q73" s="28">
        <v>383113000</v>
      </c>
      <c r="R73" s="29">
        <f>Q73/Q$70*100</f>
        <v>90.604720461640326</v>
      </c>
      <c r="S73" s="29">
        <v>100</v>
      </c>
      <c r="T73" s="28">
        <f t="shared" si="20"/>
        <v>0</v>
      </c>
      <c r="U73" s="28">
        <f t="shared" si="21"/>
        <v>0</v>
      </c>
      <c r="V73" s="87">
        <f t="shared" si="22"/>
        <v>100</v>
      </c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>
        <v>0</v>
      </c>
      <c r="AJ73" s="29">
        <f t="shared" si="24"/>
        <v>0</v>
      </c>
      <c r="AK73" s="136">
        <f t="shared" si="27"/>
        <v>383113000</v>
      </c>
      <c r="AL73" s="29">
        <f t="shared" si="25"/>
        <v>100</v>
      </c>
      <c r="AM73" s="21"/>
    </row>
    <row r="74" spans="1:39" s="41" customFormat="1" ht="27.75" customHeight="1" x14ac:dyDescent="0.25">
      <c r="A74" s="21"/>
      <c r="B74" s="158"/>
      <c r="C74" s="158"/>
      <c r="D74" s="158"/>
      <c r="E74" s="158"/>
      <c r="F74" s="158"/>
      <c r="G74" s="158"/>
      <c r="H74" s="158"/>
      <c r="I74" s="159"/>
      <c r="J74" s="151" t="s">
        <v>315</v>
      </c>
      <c r="K74" s="27"/>
      <c r="L74" s="31"/>
      <c r="M74" s="515" t="s">
        <v>271</v>
      </c>
      <c r="N74" s="516"/>
      <c r="O74" s="34"/>
      <c r="P74" s="28"/>
      <c r="Q74" s="28">
        <v>19327000</v>
      </c>
      <c r="R74" s="29">
        <f>Q74/Q$70*100</f>
        <v>4.5707596253902185</v>
      </c>
      <c r="S74" s="29">
        <v>100</v>
      </c>
      <c r="T74" s="28">
        <f t="shared" si="20"/>
        <v>0</v>
      </c>
      <c r="U74" s="28">
        <f t="shared" si="21"/>
        <v>0</v>
      </c>
      <c r="V74" s="87">
        <f t="shared" si="22"/>
        <v>100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>
        <v>0</v>
      </c>
      <c r="AJ74" s="29">
        <f t="shared" si="24"/>
        <v>0</v>
      </c>
      <c r="AK74" s="136">
        <f t="shared" si="27"/>
        <v>19327000</v>
      </c>
      <c r="AL74" s="29">
        <f t="shared" si="25"/>
        <v>100</v>
      </c>
      <c r="AM74" s="21"/>
    </row>
    <row r="75" spans="1:39" s="41" customFormat="1" ht="27.75" customHeight="1" x14ac:dyDescent="0.25">
      <c r="A75" s="21"/>
      <c r="B75" s="167"/>
      <c r="C75" s="167"/>
      <c r="D75" s="167"/>
      <c r="E75" s="167"/>
      <c r="F75" s="167"/>
      <c r="G75" s="167"/>
      <c r="H75" s="167"/>
      <c r="I75" s="168"/>
      <c r="J75" s="165" t="s">
        <v>316</v>
      </c>
      <c r="K75" s="27"/>
      <c r="L75" s="31"/>
      <c r="M75" s="515" t="s">
        <v>317</v>
      </c>
      <c r="N75" s="516"/>
      <c r="O75" s="34"/>
      <c r="P75" s="28"/>
      <c r="Q75" s="28">
        <v>10000000</v>
      </c>
      <c r="R75" s="29">
        <f>Q75/Q$70*100</f>
        <v>2.3649607416516885</v>
      </c>
      <c r="S75" s="29">
        <v>100</v>
      </c>
      <c r="T75" s="28">
        <f t="shared" ref="T75" si="28">AJ75</f>
        <v>0</v>
      </c>
      <c r="U75" s="28">
        <f t="shared" ref="U75" si="29">R75*T75/100</f>
        <v>0</v>
      </c>
      <c r="V75" s="87">
        <f t="shared" ref="V75" si="30">S75-T75</f>
        <v>100</v>
      </c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>
        <v>0</v>
      </c>
      <c r="AJ75" s="29">
        <f t="shared" ref="AJ75" si="31">AI75/Q75*100</f>
        <v>0</v>
      </c>
      <c r="AK75" s="136">
        <f t="shared" ref="AK75" si="32">Q75-AI75</f>
        <v>10000000</v>
      </c>
      <c r="AL75" s="29">
        <f t="shared" ref="AL75" si="33">AK75/Q75*100</f>
        <v>100</v>
      </c>
      <c r="AM75" s="21"/>
    </row>
    <row r="76" spans="1:39" s="41" customFormat="1" ht="28.5" customHeight="1" x14ac:dyDescent="0.25">
      <c r="A76" s="21">
        <f>A70+1</f>
        <v>7</v>
      </c>
      <c r="B76" s="543" t="s">
        <v>121</v>
      </c>
      <c r="C76" s="543"/>
      <c r="D76" s="543"/>
      <c r="E76" s="543"/>
      <c r="F76" s="543"/>
      <c r="G76" s="543"/>
      <c r="H76" s="543"/>
      <c r="I76" s="544"/>
      <c r="J76" s="158" t="s">
        <v>448</v>
      </c>
      <c r="K76" s="22"/>
      <c r="L76" s="72"/>
      <c r="M76" s="545" t="s">
        <v>18</v>
      </c>
      <c r="N76" s="546"/>
      <c r="O76" s="73">
        <v>20900000</v>
      </c>
      <c r="P76" s="23">
        <f>O76</f>
        <v>20900000</v>
      </c>
      <c r="Q76" s="23">
        <f>SUM(Q77:Q77)</f>
        <v>21100000</v>
      </c>
      <c r="R76" s="24">
        <f>Q76/Q$54*100</f>
        <v>0.8353429255954149</v>
      </c>
      <c r="S76" s="24">
        <v>100</v>
      </c>
      <c r="T76" s="23">
        <f t="shared" si="20"/>
        <v>0</v>
      </c>
      <c r="U76" s="23">
        <f t="shared" si="21"/>
        <v>0</v>
      </c>
      <c r="V76" s="90">
        <f t="shared" si="22"/>
        <v>100</v>
      </c>
      <c r="W76" s="23"/>
      <c r="X76" s="23" t="e">
        <f>#REF!</f>
        <v>#REF!</v>
      </c>
      <c r="Y76" s="23" t="e">
        <f>#REF!</f>
        <v>#REF!</v>
      </c>
      <c r="Z76" s="23" t="e">
        <f>#REF!</f>
        <v>#REF!</v>
      </c>
      <c r="AA76" s="23" t="e">
        <f>#REF!</f>
        <v>#REF!</v>
      </c>
      <c r="AB76" s="23">
        <v>12597300</v>
      </c>
      <c r="AC76" s="23" t="e">
        <f>#REF!</f>
        <v>#REF!</v>
      </c>
      <c r="AD76" s="23" t="e">
        <f>#REF!</f>
        <v>#REF!</v>
      </c>
      <c r="AE76" s="23" t="e">
        <f>#REF!</f>
        <v>#REF!</v>
      </c>
      <c r="AF76" s="23" t="e">
        <f>[1]April!N27</f>
        <v>#REF!</v>
      </c>
      <c r="AG76" s="23">
        <v>27808300</v>
      </c>
      <c r="AH76" s="23">
        <f>'[3]DES SKPD'!$N27</f>
        <v>35785800</v>
      </c>
      <c r="AI76" s="23">
        <f>SUM(AI77:AI77)</f>
        <v>0</v>
      </c>
      <c r="AJ76" s="24">
        <f t="shared" si="24"/>
        <v>0</v>
      </c>
      <c r="AK76" s="134">
        <f t="shared" si="27"/>
        <v>21100000</v>
      </c>
      <c r="AL76" s="24">
        <f t="shared" si="25"/>
        <v>100</v>
      </c>
      <c r="AM76" s="21"/>
    </row>
    <row r="77" spans="1:39" ht="36" customHeight="1" x14ac:dyDescent="0.25">
      <c r="A77" s="26"/>
      <c r="B77" s="151"/>
      <c r="C77" s="151"/>
      <c r="D77" s="151"/>
      <c r="E77" s="151"/>
      <c r="F77" s="151"/>
      <c r="G77" s="151"/>
      <c r="H77" s="151"/>
      <c r="I77" s="152"/>
      <c r="J77" s="151" t="s">
        <v>272</v>
      </c>
      <c r="K77" s="27"/>
      <c r="L77" s="31"/>
      <c r="M77" s="515" t="s">
        <v>429</v>
      </c>
      <c r="N77" s="516"/>
      <c r="O77" s="34"/>
      <c r="P77" s="28"/>
      <c r="Q77" s="28">
        <v>21100000</v>
      </c>
      <c r="R77" s="29">
        <f>Q77/Q$76*100</f>
        <v>100</v>
      </c>
      <c r="S77" s="29">
        <v>100</v>
      </c>
      <c r="T77" s="28">
        <f t="shared" si="20"/>
        <v>0</v>
      </c>
      <c r="U77" s="28">
        <f t="shared" si="21"/>
        <v>0</v>
      </c>
      <c r="V77" s="87">
        <f t="shared" si="22"/>
        <v>100</v>
      </c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3"/>
      <c r="AH77" s="28"/>
      <c r="AI77" s="28">
        <v>0</v>
      </c>
      <c r="AJ77" s="29">
        <f t="shared" si="24"/>
        <v>0</v>
      </c>
      <c r="AK77" s="136">
        <f t="shared" si="27"/>
        <v>21100000</v>
      </c>
      <c r="AL77" s="29">
        <f t="shared" si="25"/>
        <v>100</v>
      </c>
      <c r="AM77" s="26"/>
    </row>
    <row r="78" spans="1:39" s="41" customFormat="1" ht="29.25" customHeight="1" x14ac:dyDescent="0.25">
      <c r="A78" s="21">
        <f>A76+1</f>
        <v>8</v>
      </c>
      <c r="B78" s="158"/>
      <c r="C78" s="158"/>
      <c r="D78" s="158"/>
      <c r="E78" s="158"/>
      <c r="F78" s="158"/>
      <c r="G78" s="158"/>
      <c r="H78" s="158"/>
      <c r="I78" s="159"/>
      <c r="J78" s="158" t="s">
        <v>449</v>
      </c>
      <c r="K78" s="22"/>
      <c r="L78" s="72"/>
      <c r="M78" s="545" t="s">
        <v>196</v>
      </c>
      <c r="N78" s="546"/>
      <c r="O78" s="75"/>
      <c r="P78" s="23"/>
      <c r="Q78" s="23">
        <f>SUM(Q79:Q80)</f>
        <v>36200000</v>
      </c>
      <c r="R78" s="24">
        <f>Q78/Q$54*100</f>
        <v>1.4331475785096692</v>
      </c>
      <c r="S78" s="24">
        <v>100</v>
      </c>
      <c r="T78" s="23">
        <f t="shared" si="20"/>
        <v>0</v>
      </c>
      <c r="U78" s="23">
        <f t="shared" si="21"/>
        <v>0</v>
      </c>
      <c r="V78" s="90">
        <f t="shared" si="22"/>
        <v>100</v>
      </c>
      <c r="W78" s="23"/>
      <c r="X78" s="23" t="e">
        <f>#REF!</f>
        <v>#REF!</v>
      </c>
      <c r="Y78" s="23" t="e">
        <f>#REF!</f>
        <v>#REF!</v>
      </c>
      <c r="Z78" s="23" t="e">
        <f>#REF!</f>
        <v>#REF!</v>
      </c>
      <c r="AA78" s="23" t="e">
        <f>#REF!</f>
        <v>#REF!</v>
      </c>
      <c r="AB78" s="23">
        <v>12597300</v>
      </c>
      <c r="AC78" s="23" t="e">
        <f>#REF!</f>
        <v>#REF!</v>
      </c>
      <c r="AD78" s="23" t="e">
        <f>#REF!</f>
        <v>#REF!</v>
      </c>
      <c r="AE78" s="23" t="e">
        <f>#REF!</f>
        <v>#REF!</v>
      </c>
      <c r="AF78" s="23" t="e">
        <f>[1]April!N28</f>
        <v>#REF!</v>
      </c>
      <c r="AG78" s="23">
        <v>27808300</v>
      </c>
      <c r="AH78" s="23">
        <f>'[3]DES SKPD'!$N28</f>
        <v>46904000</v>
      </c>
      <c r="AI78" s="23">
        <f>SUM(AI79:AI80)</f>
        <v>0</v>
      </c>
      <c r="AJ78" s="24">
        <f t="shared" si="24"/>
        <v>0</v>
      </c>
      <c r="AK78" s="134">
        <f t="shared" si="27"/>
        <v>36200000</v>
      </c>
      <c r="AL78" s="24">
        <f t="shared" si="25"/>
        <v>100</v>
      </c>
      <c r="AM78" s="21"/>
    </row>
    <row r="79" spans="1:39" s="41" customFormat="1" ht="24.75" customHeight="1" x14ac:dyDescent="0.25">
      <c r="A79" s="21"/>
      <c r="B79" s="158"/>
      <c r="C79" s="158"/>
      <c r="D79" s="158"/>
      <c r="E79" s="158"/>
      <c r="F79" s="158"/>
      <c r="G79" s="158"/>
      <c r="H79" s="158"/>
      <c r="I79" s="159"/>
      <c r="J79" s="151" t="s">
        <v>411</v>
      </c>
      <c r="K79" s="22"/>
      <c r="L79" s="72"/>
      <c r="M79" s="515" t="s">
        <v>412</v>
      </c>
      <c r="N79" s="516"/>
      <c r="O79" s="75"/>
      <c r="P79" s="23"/>
      <c r="Q79" s="28">
        <v>17000000</v>
      </c>
      <c r="R79" s="29">
        <f>Q79/Q$78*100</f>
        <v>46.961325966850829</v>
      </c>
      <c r="S79" s="29">
        <v>100</v>
      </c>
      <c r="T79" s="28">
        <f t="shared" si="20"/>
        <v>0</v>
      </c>
      <c r="U79" s="28">
        <f t="shared" si="21"/>
        <v>0</v>
      </c>
      <c r="V79" s="87">
        <f t="shared" si="22"/>
        <v>100</v>
      </c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3"/>
      <c r="AH79" s="28"/>
      <c r="AI79" s="28">
        <v>0</v>
      </c>
      <c r="AJ79" s="29">
        <f t="shared" si="24"/>
        <v>0</v>
      </c>
      <c r="AK79" s="136">
        <f t="shared" si="27"/>
        <v>17000000</v>
      </c>
      <c r="AL79" s="29">
        <f t="shared" si="25"/>
        <v>100</v>
      </c>
      <c r="AM79" s="21"/>
    </row>
    <row r="80" spans="1:39" ht="24.75" customHeight="1" x14ac:dyDescent="0.25">
      <c r="A80" s="26"/>
      <c r="B80" s="151"/>
      <c r="C80" s="151"/>
      <c r="D80" s="151"/>
      <c r="E80" s="151"/>
      <c r="F80" s="151"/>
      <c r="G80" s="151"/>
      <c r="H80" s="151"/>
      <c r="I80" s="152"/>
      <c r="J80" s="165" t="s">
        <v>546</v>
      </c>
      <c r="K80" s="27"/>
      <c r="L80" s="31"/>
      <c r="M80" s="515" t="s">
        <v>431</v>
      </c>
      <c r="N80" s="516"/>
      <c r="O80" s="74"/>
      <c r="P80" s="28"/>
      <c r="Q80" s="28">
        <v>19200000</v>
      </c>
      <c r="R80" s="29">
        <f>Q80/Q$78*100</f>
        <v>53.038674033149171</v>
      </c>
      <c r="S80" s="29">
        <v>100</v>
      </c>
      <c r="T80" s="28">
        <f t="shared" si="20"/>
        <v>0</v>
      </c>
      <c r="U80" s="28">
        <f t="shared" si="21"/>
        <v>0</v>
      </c>
      <c r="V80" s="87">
        <f t="shared" si="22"/>
        <v>100</v>
      </c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3"/>
      <c r="AH80" s="28"/>
      <c r="AI80" s="28">
        <v>0</v>
      </c>
      <c r="AJ80" s="29">
        <f t="shared" si="24"/>
        <v>0</v>
      </c>
      <c r="AK80" s="136">
        <f t="shared" si="27"/>
        <v>19200000</v>
      </c>
      <c r="AL80" s="29">
        <f t="shared" si="25"/>
        <v>100</v>
      </c>
      <c r="AM80" s="26"/>
    </row>
    <row r="81" spans="1:39" s="41" customFormat="1" ht="31.5" customHeight="1" x14ac:dyDescent="0.25">
      <c r="A81" s="21">
        <f>A78+1</f>
        <v>9</v>
      </c>
      <c r="B81" s="543" t="s">
        <v>121</v>
      </c>
      <c r="C81" s="543"/>
      <c r="D81" s="543"/>
      <c r="E81" s="543"/>
      <c r="F81" s="543"/>
      <c r="G81" s="543"/>
      <c r="H81" s="543"/>
      <c r="I81" s="544"/>
      <c r="J81" s="158" t="s">
        <v>450</v>
      </c>
      <c r="K81" s="22"/>
      <c r="L81" s="72"/>
      <c r="M81" s="545" t="s">
        <v>19</v>
      </c>
      <c r="N81" s="546"/>
      <c r="O81" s="73">
        <v>50800000</v>
      </c>
      <c r="P81" s="23">
        <f>O81</f>
        <v>50800000</v>
      </c>
      <c r="Q81" s="175">
        <f>SUM(Q82:Q83)</f>
        <v>42265000</v>
      </c>
      <c r="R81" s="24">
        <f>Q81/Q$54*100</f>
        <v>1.673259182478209</v>
      </c>
      <c r="S81" s="24">
        <v>100</v>
      </c>
      <c r="T81" s="23">
        <f t="shared" si="20"/>
        <v>0</v>
      </c>
      <c r="U81" s="23">
        <f t="shared" si="21"/>
        <v>0</v>
      </c>
      <c r="V81" s="90">
        <f t="shared" si="22"/>
        <v>100</v>
      </c>
      <c r="W81" s="23"/>
      <c r="X81" s="23" t="e">
        <f>#REF!</f>
        <v>#REF!</v>
      </c>
      <c r="Y81" s="23" t="e">
        <f>#REF!</f>
        <v>#REF!</v>
      </c>
      <c r="Z81" s="23" t="e">
        <f>#REF!</f>
        <v>#REF!</v>
      </c>
      <c r="AA81" s="23" t="e">
        <f>#REF!</f>
        <v>#REF!</v>
      </c>
      <c r="AB81" s="23">
        <v>23113500</v>
      </c>
      <c r="AC81" s="23" t="e">
        <f>#REF!</f>
        <v>#REF!</v>
      </c>
      <c r="AD81" s="23" t="e">
        <f>#REF!</f>
        <v>#REF!</v>
      </c>
      <c r="AE81" s="23" t="e">
        <f>#REF!</f>
        <v>#REF!</v>
      </c>
      <c r="AF81" s="23" t="e">
        <f>[1]April!N28</f>
        <v>#REF!</v>
      </c>
      <c r="AG81" s="23" t="e">
        <f>[2]april!N28</f>
        <v>#REF!</v>
      </c>
      <c r="AH81" s="23">
        <f>'[3]DES SKPD'!$N28</f>
        <v>46904000</v>
      </c>
      <c r="AI81" s="23">
        <f>SUM(AI82:AI83)</f>
        <v>0</v>
      </c>
      <c r="AJ81" s="24">
        <f t="shared" si="24"/>
        <v>0</v>
      </c>
      <c r="AK81" s="134">
        <f t="shared" si="27"/>
        <v>42265000</v>
      </c>
      <c r="AL81" s="24">
        <f t="shared" si="25"/>
        <v>100</v>
      </c>
      <c r="AM81" s="21"/>
    </row>
    <row r="82" spans="1:39" ht="24.75" customHeight="1" x14ac:dyDescent="0.25">
      <c r="A82" s="26"/>
      <c r="B82" s="151"/>
      <c r="C82" s="151"/>
      <c r="D82" s="151"/>
      <c r="E82" s="151"/>
      <c r="F82" s="151"/>
      <c r="G82" s="151"/>
      <c r="H82" s="151"/>
      <c r="I82" s="152"/>
      <c r="J82" s="151" t="s">
        <v>276</v>
      </c>
      <c r="K82" s="27"/>
      <c r="L82" s="31"/>
      <c r="M82" s="515" t="s">
        <v>277</v>
      </c>
      <c r="N82" s="516"/>
      <c r="O82" s="34"/>
      <c r="P82" s="28"/>
      <c r="Q82" s="28">
        <v>37600000</v>
      </c>
      <c r="R82" s="29">
        <f>Q82/Q$81*100</f>
        <v>88.962498521235062</v>
      </c>
      <c r="S82" s="29">
        <v>100</v>
      </c>
      <c r="T82" s="28">
        <f t="shared" si="20"/>
        <v>0</v>
      </c>
      <c r="U82" s="28">
        <f t="shared" si="21"/>
        <v>0</v>
      </c>
      <c r="V82" s="87">
        <f t="shared" si="22"/>
        <v>100</v>
      </c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>
        <v>0</v>
      </c>
      <c r="AJ82" s="29">
        <f t="shared" si="24"/>
        <v>0</v>
      </c>
      <c r="AK82" s="136">
        <f t="shared" si="27"/>
        <v>37600000</v>
      </c>
      <c r="AL82" s="29">
        <f t="shared" si="25"/>
        <v>100</v>
      </c>
      <c r="AM82" s="26"/>
    </row>
    <row r="83" spans="1:39" ht="39.75" customHeight="1" x14ac:dyDescent="0.25">
      <c r="A83" s="26"/>
      <c r="B83" s="151"/>
      <c r="C83" s="151"/>
      <c r="D83" s="151"/>
      <c r="E83" s="151"/>
      <c r="F83" s="151"/>
      <c r="G83" s="151"/>
      <c r="H83" s="151"/>
      <c r="I83" s="152"/>
      <c r="J83" s="151" t="s">
        <v>432</v>
      </c>
      <c r="K83" s="27"/>
      <c r="L83" s="31"/>
      <c r="M83" s="515" t="s">
        <v>433</v>
      </c>
      <c r="N83" s="516"/>
      <c r="O83" s="34"/>
      <c r="P83" s="28"/>
      <c r="Q83" s="28">
        <v>4665000</v>
      </c>
      <c r="R83" s="29">
        <f>Q83/Q$81*100</f>
        <v>11.037501478764936</v>
      </c>
      <c r="S83" s="29">
        <v>100</v>
      </c>
      <c r="T83" s="28">
        <f t="shared" si="20"/>
        <v>0</v>
      </c>
      <c r="U83" s="28">
        <f t="shared" si="21"/>
        <v>0</v>
      </c>
      <c r="V83" s="87">
        <f t="shared" si="22"/>
        <v>100</v>
      </c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>
        <v>0</v>
      </c>
      <c r="AJ83" s="29">
        <f t="shared" si="24"/>
        <v>0</v>
      </c>
      <c r="AK83" s="136">
        <f t="shared" si="27"/>
        <v>4665000</v>
      </c>
      <c r="AL83" s="29">
        <f t="shared" si="25"/>
        <v>100</v>
      </c>
      <c r="AM83" s="26"/>
    </row>
    <row r="84" spans="1:39" s="41" customFormat="1" ht="30.75" customHeight="1" x14ac:dyDescent="0.25">
      <c r="A84" s="21">
        <f>A81+1</f>
        <v>10</v>
      </c>
      <c r="B84" s="543" t="s">
        <v>122</v>
      </c>
      <c r="C84" s="543"/>
      <c r="D84" s="543"/>
      <c r="E84" s="543"/>
      <c r="F84" s="543"/>
      <c r="G84" s="543"/>
      <c r="H84" s="543"/>
      <c r="I84" s="544"/>
      <c r="J84" s="158" t="s">
        <v>451</v>
      </c>
      <c r="K84" s="22"/>
      <c r="L84" s="72"/>
      <c r="M84" s="543" t="s">
        <v>20</v>
      </c>
      <c r="N84" s="544"/>
      <c r="O84" s="73">
        <v>124190000</v>
      </c>
      <c r="P84" s="23">
        <f>O84</f>
        <v>124190000</v>
      </c>
      <c r="Q84" s="23">
        <f>SUM(Q85:Q86)</f>
        <v>118340000</v>
      </c>
      <c r="R84" s="24">
        <f>Q84/Q$54*100</f>
        <v>4.6850465315147583</v>
      </c>
      <c r="S84" s="24">
        <v>100</v>
      </c>
      <c r="T84" s="23">
        <f>AJ84</f>
        <v>0</v>
      </c>
      <c r="U84" s="23">
        <f t="shared" si="21"/>
        <v>0</v>
      </c>
      <c r="V84" s="90">
        <f t="shared" si="22"/>
        <v>100</v>
      </c>
      <c r="W84" s="23"/>
      <c r="X84" s="23" t="e">
        <f>#REF!</f>
        <v>#REF!</v>
      </c>
      <c r="Y84" s="23" t="e">
        <f>#REF!</f>
        <v>#REF!</v>
      </c>
      <c r="Z84" s="23" t="e">
        <f>#REF!</f>
        <v>#REF!</v>
      </c>
      <c r="AA84" s="23" t="e">
        <f>#REF!</f>
        <v>#REF!</v>
      </c>
      <c r="AB84" s="23">
        <v>53635000</v>
      </c>
      <c r="AC84" s="23" t="e">
        <f>#REF!</f>
        <v>#REF!</v>
      </c>
      <c r="AD84" s="23" t="e">
        <f>#REF!</f>
        <v>#REF!</v>
      </c>
      <c r="AE84" s="23" t="e">
        <f>#REF!</f>
        <v>#REF!</v>
      </c>
      <c r="AF84" s="23" t="e">
        <f>[1]April!N29</f>
        <v>#REF!</v>
      </c>
      <c r="AG84" s="23" t="e">
        <f>[2]april!N29</f>
        <v>#REF!</v>
      </c>
      <c r="AH84" s="23">
        <f>'[3]DES SKPD'!$N29</f>
        <v>138020848</v>
      </c>
      <c r="AI84" s="23">
        <f>SUM(AI85:AI86)</f>
        <v>0</v>
      </c>
      <c r="AJ84" s="24">
        <f t="shared" si="24"/>
        <v>0</v>
      </c>
      <c r="AK84" s="134">
        <f t="shared" si="27"/>
        <v>118340000</v>
      </c>
      <c r="AL84" s="24">
        <f t="shared" si="25"/>
        <v>100</v>
      </c>
      <c r="AM84" s="21"/>
    </row>
    <row r="85" spans="1:39" ht="32.25" customHeight="1" x14ac:dyDescent="0.25">
      <c r="A85" s="26"/>
      <c r="B85" s="151"/>
      <c r="C85" s="151"/>
      <c r="D85" s="151"/>
      <c r="E85" s="151"/>
      <c r="F85" s="151"/>
      <c r="G85" s="151"/>
      <c r="H85" s="151"/>
      <c r="I85" s="152"/>
      <c r="J85" s="151" t="s">
        <v>278</v>
      </c>
      <c r="K85" s="27"/>
      <c r="L85" s="31"/>
      <c r="M85" s="513" t="s">
        <v>279</v>
      </c>
      <c r="N85" s="514"/>
      <c r="O85" s="34"/>
      <c r="P85" s="28"/>
      <c r="Q85" s="28">
        <v>54000000</v>
      </c>
      <c r="R85" s="29">
        <f>Q85/Q$84*100</f>
        <v>45.631232043265172</v>
      </c>
      <c r="S85" s="29">
        <v>100</v>
      </c>
      <c r="T85" s="28">
        <f>AJ85</f>
        <v>0</v>
      </c>
      <c r="U85" s="28">
        <f t="shared" si="21"/>
        <v>0</v>
      </c>
      <c r="V85" s="87">
        <f t="shared" si="22"/>
        <v>100</v>
      </c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>
        <v>0</v>
      </c>
      <c r="AJ85" s="29">
        <f t="shared" si="24"/>
        <v>0</v>
      </c>
      <c r="AK85" s="136">
        <f t="shared" si="27"/>
        <v>54000000</v>
      </c>
      <c r="AL85" s="29">
        <f t="shared" si="25"/>
        <v>100</v>
      </c>
      <c r="AM85" s="26"/>
    </row>
    <row r="86" spans="1:39" ht="24.75" customHeight="1" x14ac:dyDescent="0.25">
      <c r="A86" s="26"/>
      <c r="B86" s="151"/>
      <c r="C86" s="151"/>
      <c r="D86" s="151"/>
      <c r="E86" s="151"/>
      <c r="F86" s="151"/>
      <c r="G86" s="151"/>
      <c r="H86" s="151"/>
      <c r="I86" s="152"/>
      <c r="J86" s="151" t="s">
        <v>280</v>
      </c>
      <c r="K86" s="27"/>
      <c r="L86" s="31"/>
      <c r="M86" s="513" t="s">
        <v>281</v>
      </c>
      <c r="N86" s="514"/>
      <c r="O86" s="34"/>
      <c r="P86" s="28"/>
      <c r="Q86" s="28">
        <v>64340000</v>
      </c>
      <c r="R86" s="29">
        <f>Q86/Q$84*100</f>
        <v>54.368767956734828</v>
      </c>
      <c r="S86" s="29">
        <v>100</v>
      </c>
      <c r="T86" s="28">
        <f>AJ86</f>
        <v>0</v>
      </c>
      <c r="U86" s="28">
        <f t="shared" si="21"/>
        <v>0</v>
      </c>
      <c r="V86" s="87">
        <f t="shared" si="22"/>
        <v>100</v>
      </c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>
        <v>0</v>
      </c>
      <c r="AJ86" s="29">
        <f t="shared" si="24"/>
        <v>0</v>
      </c>
      <c r="AK86" s="136">
        <f t="shared" si="27"/>
        <v>64340000</v>
      </c>
      <c r="AL86" s="29">
        <f t="shared" si="25"/>
        <v>100</v>
      </c>
      <c r="AM86" s="26"/>
    </row>
    <row r="87" spans="1:39" s="41" customFormat="1" ht="31.5" customHeight="1" x14ac:dyDescent="0.25">
      <c r="A87" s="21">
        <f>A84+1</f>
        <v>11</v>
      </c>
      <c r="B87" s="543" t="s">
        <v>123</v>
      </c>
      <c r="C87" s="543"/>
      <c r="D87" s="543"/>
      <c r="E87" s="543"/>
      <c r="F87" s="543"/>
      <c r="G87" s="543"/>
      <c r="H87" s="543"/>
      <c r="I87" s="544"/>
      <c r="J87" s="158" t="s">
        <v>452</v>
      </c>
      <c r="K87" s="22"/>
      <c r="L87" s="72"/>
      <c r="M87" s="545" t="s">
        <v>21</v>
      </c>
      <c r="N87" s="546"/>
      <c r="O87" s="73">
        <v>517929000</v>
      </c>
      <c r="P87" s="23">
        <f>O87</f>
        <v>517929000</v>
      </c>
      <c r="Q87" s="23">
        <f>SUM(Q88:Q88)</f>
        <v>483349844</v>
      </c>
      <c r="R87" s="24">
        <f>Q87/Q$54*100</f>
        <v>19.135681174078076</v>
      </c>
      <c r="S87" s="24">
        <v>100</v>
      </c>
      <c r="T87" s="23">
        <f t="shared" si="20"/>
        <v>0</v>
      </c>
      <c r="U87" s="23">
        <f>R87*T87/100</f>
        <v>0</v>
      </c>
      <c r="V87" s="90">
        <f t="shared" si="22"/>
        <v>100</v>
      </c>
      <c r="W87" s="23"/>
      <c r="X87" s="23" t="e">
        <f>#REF!</f>
        <v>#REF!</v>
      </c>
      <c r="Y87" s="23" t="e">
        <f>#REF!</f>
        <v>#REF!</v>
      </c>
      <c r="Z87" s="23" t="e">
        <f>#REF!</f>
        <v>#REF!</v>
      </c>
      <c r="AA87" s="23" t="e">
        <f>#REF!</f>
        <v>#REF!</v>
      </c>
      <c r="AB87" s="23">
        <v>317394150</v>
      </c>
      <c r="AC87" s="23" t="e">
        <f>#REF!</f>
        <v>#REF!</v>
      </c>
      <c r="AD87" s="23" t="e">
        <f>#REF!</f>
        <v>#REF!</v>
      </c>
      <c r="AE87" s="23" t="e">
        <f>#REF!</f>
        <v>#REF!</v>
      </c>
      <c r="AF87" s="23" t="e">
        <f>[1]April!N30</f>
        <v>#REF!</v>
      </c>
      <c r="AG87" s="23" t="e">
        <f>[2]april!N30</f>
        <v>#REF!</v>
      </c>
      <c r="AH87" s="23">
        <f>'[3]DES SKPD'!$N30</f>
        <v>660543350</v>
      </c>
      <c r="AI87" s="23">
        <f>SUM(AI88:AI88)</f>
        <v>0</v>
      </c>
      <c r="AJ87" s="24">
        <f t="shared" si="24"/>
        <v>0</v>
      </c>
      <c r="AK87" s="134">
        <f t="shared" si="27"/>
        <v>483349844</v>
      </c>
      <c r="AL87" s="24">
        <f t="shared" si="25"/>
        <v>100</v>
      </c>
      <c r="AM87" s="21"/>
    </row>
    <row r="88" spans="1:39" ht="26.25" customHeight="1" x14ac:dyDescent="0.25">
      <c r="A88" s="26"/>
      <c r="B88" s="151"/>
      <c r="C88" s="151"/>
      <c r="D88" s="151"/>
      <c r="E88" s="151"/>
      <c r="F88" s="151"/>
      <c r="G88" s="151"/>
      <c r="H88" s="151"/>
      <c r="I88" s="152"/>
      <c r="J88" s="151" t="s">
        <v>282</v>
      </c>
      <c r="K88" s="27"/>
      <c r="L88" s="31"/>
      <c r="M88" s="515" t="s">
        <v>283</v>
      </c>
      <c r="N88" s="516"/>
      <c r="O88" s="34"/>
      <c r="P88" s="28"/>
      <c r="Q88" s="28">
        <v>483349844</v>
      </c>
      <c r="R88" s="29">
        <f>Q88/Q$87*100</f>
        <v>100</v>
      </c>
      <c r="S88" s="29">
        <v>100</v>
      </c>
      <c r="T88" s="28">
        <f t="shared" si="20"/>
        <v>0</v>
      </c>
      <c r="U88" s="28">
        <f>R88*T88/100</f>
        <v>0</v>
      </c>
      <c r="V88" s="87">
        <f t="shared" si="22"/>
        <v>100</v>
      </c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>
        <v>0</v>
      </c>
      <c r="AJ88" s="29">
        <f t="shared" si="24"/>
        <v>0</v>
      </c>
      <c r="AK88" s="136">
        <f t="shared" si="27"/>
        <v>483349844</v>
      </c>
      <c r="AL88" s="29">
        <f t="shared" si="25"/>
        <v>100</v>
      </c>
      <c r="AM88" s="26"/>
    </row>
    <row r="89" spans="1:39" s="41" customFormat="1" ht="30.75" customHeight="1" x14ac:dyDescent="0.25">
      <c r="A89" s="21">
        <f>A87+1</f>
        <v>12</v>
      </c>
      <c r="B89" s="543" t="s">
        <v>124</v>
      </c>
      <c r="C89" s="543"/>
      <c r="D89" s="543"/>
      <c r="E89" s="543"/>
      <c r="F89" s="543"/>
      <c r="G89" s="543"/>
      <c r="H89" s="543"/>
      <c r="I89" s="544"/>
      <c r="J89" s="158" t="s">
        <v>453</v>
      </c>
      <c r="K89" s="22"/>
      <c r="L89" s="72"/>
      <c r="M89" s="545" t="s">
        <v>22</v>
      </c>
      <c r="N89" s="546"/>
      <c r="O89" s="73">
        <v>17600000</v>
      </c>
      <c r="P89" s="23">
        <f>O89</f>
        <v>17600000</v>
      </c>
      <c r="Q89" s="23">
        <f>SUM(Q90:Q90)</f>
        <v>31400000</v>
      </c>
      <c r="R89" s="24">
        <f>Q89/Q$54*100</f>
        <v>1.2431169603647407</v>
      </c>
      <c r="S89" s="24">
        <v>100</v>
      </c>
      <c r="T89" s="23">
        <f t="shared" si="20"/>
        <v>0</v>
      </c>
      <c r="U89" s="23">
        <f t="shared" si="21"/>
        <v>0</v>
      </c>
      <c r="V89" s="90">
        <f t="shared" si="22"/>
        <v>100</v>
      </c>
      <c r="W89" s="23"/>
      <c r="X89" s="23" t="e">
        <f>#REF!</f>
        <v>#REF!</v>
      </c>
      <c r="Y89" s="23" t="e">
        <f>#REF!</f>
        <v>#REF!</v>
      </c>
      <c r="Z89" s="23" t="e">
        <f>#REF!</f>
        <v>#REF!</v>
      </c>
      <c r="AA89" s="23" t="e">
        <f>#REF!</f>
        <v>#REF!</v>
      </c>
      <c r="AB89" s="23">
        <v>13150000</v>
      </c>
      <c r="AC89" s="23" t="e">
        <f>#REF!</f>
        <v>#REF!</v>
      </c>
      <c r="AD89" s="23" t="e">
        <f>#REF!</f>
        <v>#REF!</v>
      </c>
      <c r="AE89" s="23" t="e">
        <f>#REF!</f>
        <v>#REF!</v>
      </c>
      <c r="AF89" s="23" t="e">
        <f>[1]April!N31</f>
        <v>#REF!</v>
      </c>
      <c r="AG89" s="23" t="e">
        <f>[2]april!N31</f>
        <v>#REF!</v>
      </c>
      <c r="AH89" s="23">
        <f>'[3]DES SKPD'!$N31</f>
        <v>27445000</v>
      </c>
      <c r="AI89" s="23">
        <f>SUM(AI90:AI90)</f>
        <v>0</v>
      </c>
      <c r="AJ89" s="24">
        <f t="shared" si="24"/>
        <v>0</v>
      </c>
      <c r="AK89" s="134">
        <f t="shared" si="27"/>
        <v>31400000</v>
      </c>
      <c r="AL89" s="24">
        <f t="shared" si="25"/>
        <v>100</v>
      </c>
      <c r="AM89" s="21"/>
    </row>
    <row r="90" spans="1:39" ht="26.25" customHeight="1" x14ac:dyDescent="0.25">
      <c r="A90" s="26"/>
      <c r="B90" s="151"/>
      <c r="C90" s="151"/>
      <c r="D90" s="151"/>
      <c r="E90" s="151"/>
      <c r="F90" s="151"/>
      <c r="G90" s="151"/>
      <c r="H90" s="151"/>
      <c r="I90" s="152"/>
      <c r="J90" s="151" t="s">
        <v>284</v>
      </c>
      <c r="K90" s="27"/>
      <c r="L90" s="31"/>
      <c r="M90" s="515" t="s">
        <v>285</v>
      </c>
      <c r="N90" s="516"/>
      <c r="O90" s="34"/>
      <c r="P90" s="28"/>
      <c r="Q90" s="28">
        <v>31400000</v>
      </c>
      <c r="R90" s="29">
        <f>Q90/Q$89*100</f>
        <v>100</v>
      </c>
      <c r="S90" s="29">
        <v>100</v>
      </c>
      <c r="T90" s="28">
        <f t="shared" si="20"/>
        <v>0</v>
      </c>
      <c r="U90" s="28">
        <f>R90*T90/100</f>
        <v>0</v>
      </c>
      <c r="V90" s="87">
        <f t="shared" si="22"/>
        <v>100</v>
      </c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>
        <v>0</v>
      </c>
      <c r="AJ90" s="29">
        <f t="shared" si="24"/>
        <v>0</v>
      </c>
      <c r="AK90" s="136">
        <f t="shared" si="27"/>
        <v>31400000</v>
      </c>
      <c r="AL90" s="29">
        <f t="shared" si="25"/>
        <v>100</v>
      </c>
      <c r="AM90" s="26"/>
    </row>
    <row r="91" spans="1:39" ht="26.25" customHeight="1" x14ac:dyDescent="0.25">
      <c r="A91" s="21">
        <f>A89+1</f>
        <v>13</v>
      </c>
      <c r="B91" s="543" t="s">
        <v>124</v>
      </c>
      <c r="C91" s="543"/>
      <c r="D91" s="543"/>
      <c r="E91" s="543"/>
      <c r="F91" s="543"/>
      <c r="G91" s="543"/>
      <c r="H91" s="543"/>
      <c r="I91" s="544"/>
      <c r="J91" s="167" t="s">
        <v>547</v>
      </c>
      <c r="K91" s="22"/>
      <c r="L91" s="72"/>
      <c r="M91" s="545" t="s">
        <v>548</v>
      </c>
      <c r="N91" s="546"/>
      <c r="O91" s="73">
        <v>17600000</v>
      </c>
      <c r="P91" s="23">
        <f>O91</f>
        <v>17600000</v>
      </c>
      <c r="Q91" s="23">
        <f>SUM(Q92:Q104)</f>
        <v>71640000</v>
      </c>
      <c r="R91" s="24">
        <f>Q91/Q$54*100</f>
        <v>2.8362069758130581</v>
      </c>
      <c r="S91" s="24">
        <v>100</v>
      </c>
      <c r="T91" s="23">
        <f t="shared" ref="T91:T92" si="34">AJ91</f>
        <v>0</v>
      </c>
      <c r="U91" s="23">
        <f t="shared" ref="U91" si="35">R91*T91/100</f>
        <v>0</v>
      </c>
      <c r="V91" s="90">
        <f t="shared" ref="V91:V92" si="36">S91-T91</f>
        <v>100</v>
      </c>
      <c r="W91" s="23"/>
      <c r="X91" s="23" t="e">
        <f>#REF!</f>
        <v>#REF!</v>
      </c>
      <c r="Y91" s="23" t="e">
        <f>#REF!</f>
        <v>#REF!</v>
      </c>
      <c r="Z91" s="23" t="e">
        <f>#REF!</f>
        <v>#REF!</v>
      </c>
      <c r="AA91" s="23" t="e">
        <f>#REF!</f>
        <v>#REF!</v>
      </c>
      <c r="AB91" s="23">
        <v>13150000</v>
      </c>
      <c r="AC91" s="23" t="e">
        <f>#REF!</f>
        <v>#REF!</v>
      </c>
      <c r="AD91" s="23" t="e">
        <f>#REF!</f>
        <v>#REF!</v>
      </c>
      <c r="AE91" s="23" t="e">
        <f>#REF!</f>
        <v>#REF!</v>
      </c>
      <c r="AF91" s="23" t="e">
        <f>[1]April!N33</f>
        <v>#REF!</v>
      </c>
      <c r="AG91" s="23" t="e">
        <f>[2]april!N33</f>
        <v>#REF!</v>
      </c>
      <c r="AH91" s="23" t="e">
        <f>'[3]DES SKPD'!$N33</f>
        <v>#REF!</v>
      </c>
      <c r="AI91" s="23">
        <f>SUM(AI92:AI104)</f>
        <v>0</v>
      </c>
      <c r="AJ91" s="24">
        <f t="shared" ref="AJ91:AJ92" si="37">AI91/Q91*100</f>
        <v>0</v>
      </c>
      <c r="AK91" s="134">
        <f t="shared" ref="AK91:AK92" si="38">Q91-AI91</f>
        <v>71640000</v>
      </c>
      <c r="AL91" s="24">
        <f t="shared" ref="AL91:AL92" si="39">AK91/Q91*100</f>
        <v>100</v>
      </c>
      <c r="AM91" s="21"/>
    </row>
    <row r="92" spans="1:39" ht="26.25" customHeight="1" x14ac:dyDescent="0.25">
      <c r="A92" s="26"/>
      <c r="B92" s="165"/>
      <c r="C92" s="165"/>
      <c r="D92" s="165"/>
      <c r="E92" s="165"/>
      <c r="F92" s="165"/>
      <c r="G92" s="165"/>
      <c r="H92" s="165"/>
      <c r="I92" s="166"/>
      <c r="J92" s="165" t="s">
        <v>265</v>
      </c>
      <c r="K92" s="27"/>
      <c r="L92" s="31"/>
      <c r="M92" s="515" t="s">
        <v>266</v>
      </c>
      <c r="N92" s="516"/>
      <c r="O92" s="34"/>
      <c r="P92" s="28"/>
      <c r="Q92" s="28">
        <v>12590000</v>
      </c>
      <c r="R92" s="29">
        <f>Q92/Q$89*100</f>
        <v>40.095541401273884</v>
      </c>
      <c r="S92" s="29">
        <v>100</v>
      </c>
      <c r="T92" s="28">
        <f t="shared" si="34"/>
        <v>0</v>
      </c>
      <c r="U92" s="28">
        <f>R92*T92/100</f>
        <v>0</v>
      </c>
      <c r="V92" s="87">
        <f t="shared" si="36"/>
        <v>100</v>
      </c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>
        <v>0</v>
      </c>
      <c r="AJ92" s="29">
        <f t="shared" si="37"/>
        <v>0</v>
      </c>
      <c r="AK92" s="136">
        <f t="shared" si="38"/>
        <v>12590000</v>
      </c>
      <c r="AL92" s="29">
        <f t="shared" si="39"/>
        <v>100</v>
      </c>
      <c r="AM92" s="26"/>
    </row>
    <row r="93" spans="1:39" ht="26.25" customHeight="1" x14ac:dyDescent="0.25">
      <c r="A93" s="26"/>
      <c r="B93" s="165"/>
      <c r="C93" s="165"/>
      <c r="D93" s="165"/>
      <c r="E93" s="165"/>
      <c r="F93" s="165"/>
      <c r="G93" s="165"/>
      <c r="H93" s="165"/>
      <c r="I93" s="166"/>
      <c r="J93" s="165" t="s">
        <v>272</v>
      </c>
      <c r="K93" s="27"/>
      <c r="L93" s="31"/>
      <c r="M93" s="515" t="s">
        <v>429</v>
      </c>
      <c r="N93" s="516"/>
      <c r="O93" s="34"/>
      <c r="P93" s="28"/>
      <c r="Q93" s="28">
        <v>3000000</v>
      </c>
      <c r="R93" s="29">
        <f t="shared" ref="R93:R104" si="40">Q93/Q$89*100</f>
        <v>9.5541401273885356</v>
      </c>
      <c r="S93" s="29">
        <v>100</v>
      </c>
      <c r="T93" s="28">
        <f t="shared" ref="T93:T102" si="41">AJ93</f>
        <v>0</v>
      </c>
      <c r="U93" s="28">
        <f t="shared" ref="U93:U102" si="42">R93*T93/100</f>
        <v>0</v>
      </c>
      <c r="V93" s="87">
        <f t="shared" ref="V93:V102" si="43">S93-T93</f>
        <v>100</v>
      </c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>
        <v>0</v>
      </c>
      <c r="AJ93" s="29">
        <f t="shared" ref="AJ93:AJ102" si="44">AI93/Q93*100</f>
        <v>0</v>
      </c>
      <c r="AK93" s="136">
        <f t="shared" ref="AK93:AK102" si="45">Q93-AI93</f>
        <v>3000000</v>
      </c>
      <c r="AL93" s="29">
        <f t="shared" ref="AL93:AL102" si="46">AK93/Q93*100</f>
        <v>100</v>
      </c>
      <c r="AM93" s="26"/>
    </row>
    <row r="94" spans="1:39" ht="26.25" customHeight="1" x14ac:dyDescent="0.25">
      <c r="A94" s="26"/>
      <c r="B94" s="165"/>
      <c r="C94" s="165"/>
      <c r="D94" s="165"/>
      <c r="E94" s="165"/>
      <c r="F94" s="165"/>
      <c r="G94" s="165"/>
      <c r="H94" s="165"/>
      <c r="I94" s="166"/>
      <c r="J94" s="165" t="s">
        <v>249</v>
      </c>
      <c r="K94" s="27"/>
      <c r="L94" s="31"/>
      <c r="M94" s="515" t="s">
        <v>250</v>
      </c>
      <c r="N94" s="516"/>
      <c r="O94" s="34"/>
      <c r="P94" s="28"/>
      <c r="Q94" s="28">
        <v>390000</v>
      </c>
      <c r="R94" s="29">
        <f t="shared" si="40"/>
        <v>1.2420382165605097</v>
      </c>
      <c r="S94" s="29">
        <v>100</v>
      </c>
      <c r="T94" s="28">
        <f t="shared" si="41"/>
        <v>0</v>
      </c>
      <c r="U94" s="28">
        <f t="shared" si="42"/>
        <v>0</v>
      </c>
      <c r="V94" s="87">
        <f t="shared" si="43"/>
        <v>100</v>
      </c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>
        <v>0</v>
      </c>
      <c r="AJ94" s="29">
        <f t="shared" si="44"/>
        <v>0</v>
      </c>
      <c r="AK94" s="136">
        <f t="shared" si="45"/>
        <v>390000</v>
      </c>
      <c r="AL94" s="29">
        <f t="shared" si="46"/>
        <v>100</v>
      </c>
      <c r="AM94" s="26"/>
    </row>
    <row r="95" spans="1:39" ht="26.25" customHeight="1" x14ac:dyDescent="0.25">
      <c r="A95" s="26"/>
      <c r="B95" s="165"/>
      <c r="C95" s="165"/>
      <c r="D95" s="165"/>
      <c r="E95" s="165"/>
      <c r="F95" s="165"/>
      <c r="G95" s="165"/>
      <c r="H95" s="165"/>
      <c r="I95" s="166"/>
      <c r="J95" s="165" t="s">
        <v>261</v>
      </c>
      <c r="K95" s="27"/>
      <c r="L95" s="31"/>
      <c r="M95" s="515" t="s">
        <v>262</v>
      </c>
      <c r="N95" s="516"/>
      <c r="O95" s="34"/>
      <c r="P95" s="28"/>
      <c r="Q95" s="28">
        <v>3700000</v>
      </c>
      <c r="R95" s="29">
        <f t="shared" si="40"/>
        <v>11.783439490445859</v>
      </c>
      <c r="S95" s="29">
        <v>100</v>
      </c>
      <c r="T95" s="28">
        <f t="shared" si="41"/>
        <v>0</v>
      </c>
      <c r="U95" s="28">
        <f t="shared" si="42"/>
        <v>0</v>
      </c>
      <c r="V95" s="87">
        <f t="shared" si="43"/>
        <v>100</v>
      </c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>
        <v>0</v>
      </c>
      <c r="AJ95" s="29">
        <f t="shared" si="44"/>
        <v>0</v>
      </c>
      <c r="AK95" s="136">
        <f t="shared" si="45"/>
        <v>3700000</v>
      </c>
      <c r="AL95" s="29">
        <f t="shared" si="46"/>
        <v>100</v>
      </c>
      <c r="AM95" s="26"/>
    </row>
    <row r="96" spans="1:39" ht="26.25" customHeight="1" x14ac:dyDescent="0.25">
      <c r="A96" s="26"/>
      <c r="B96" s="165"/>
      <c r="C96" s="165"/>
      <c r="D96" s="165"/>
      <c r="E96" s="165"/>
      <c r="F96" s="165"/>
      <c r="G96" s="165"/>
      <c r="H96" s="165"/>
      <c r="I96" s="166"/>
      <c r="J96" s="165" t="s">
        <v>315</v>
      </c>
      <c r="K96" s="27"/>
      <c r="L96" s="31"/>
      <c r="M96" s="515" t="s">
        <v>271</v>
      </c>
      <c r="N96" s="516"/>
      <c r="O96" s="34"/>
      <c r="P96" s="28"/>
      <c r="Q96" s="28">
        <v>2000000</v>
      </c>
      <c r="R96" s="29">
        <f t="shared" si="40"/>
        <v>6.369426751592357</v>
      </c>
      <c r="S96" s="29">
        <v>100</v>
      </c>
      <c r="T96" s="28">
        <f t="shared" si="41"/>
        <v>0</v>
      </c>
      <c r="U96" s="28">
        <f t="shared" si="42"/>
        <v>0</v>
      </c>
      <c r="V96" s="87">
        <f t="shared" si="43"/>
        <v>100</v>
      </c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>
        <v>0</v>
      </c>
      <c r="AJ96" s="29">
        <f t="shared" si="44"/>
        <v>0</v>
      </c>
      <c r="AK96" s="136">
        <f t="shared" si="45"/>
        <v>2000000</v>
      </c>
      <c r="AL96" s="29">
        <f t="shared" si="46"/>
        <v>100</v>
      </c>
      <c r="AM96" s="26"/>
    </row>
    <row r="97" spans="1:39" ht="26.25" customHeight="1" x14ac:dyDescent="0.25">
      <c r="A97" s="26"/>
      <c r="B97" s="165"/>
      <c r="C97" s="165"/>
      <c r="D97" s="165"/>
      <c r="E97" s="165"/>
      <c r="F97" s="165"/>
      <c r="G97" s="165"/>
      <c r="H97" s="165"/>
      <c r="I97" s="166"/>
      <c r="J97" s="165" t="s">
        <v>278</v>
      </c>
      <c r="K97" s="27"/>
      <c r="L97" s="31"/>
      <c r="M97" s="515" t="s">
        <v>279</v>
      </c>
      <c r="N97" s="516"/>
      <c r="O97" s="34"/>
      <c r="P97" s="28"/>
      <c r="Q97" s="28">
        <v>2160000</v>
      </c>
      <c r="R97" s="29">
        <f t="shared" si="40"/>
        <v>6.8789808917197455</v>
      </c>
      <c r="S97" s="29">
        <v>100</v>
      </c>
      <c r="T97" s="28">
        <f t="shared" si="41"/>
        <v>0</v>
      </c>
      <c r="U97" s="28">
        <f t="shared" si="42"/>
        <v>0</v>
      </c>
      <c r="V97" s="87">
        <f t="shared" si="43"/>
        <v>100</v>
      </c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>
        <v>0</v>
      </c>
      <c r="AJ97" s="29">
        <f t="shared" si="44"/>
        <v>0</v>
      </c>
      <c r="AK97" s="136">
        <f t="shared" si="45"/>
        <v>2160000</v>
      </c>
      <c r="AL97" s="29">
        <f t="shared" si="46"/>
        <v>100</v>
      </c>
      <c r="AM97" s="26"/>
    </row>
    <row r="98" spans="1:39" ht="26.25" customHeight="1" x14ac:dyDescent="0.25">
      <c r="A98" s="26"/>
      <c r="B98" s="165"/>
      <c r="C98" s="165"/>
      <c r="D98" s="165"/>
      <c r="E98" s="165"/>
      <c r="F98" s="165"/>
      <c r="G98" s="165"/>
      <c r="H98" s="165"/>
      <c r="I98" s="166"/>
      <c r="J98" s="165" t="s">
        <v>284</v>
      </c>
      <c r="K98" s="27"/>
      <c r="L98" s="31"/>
      <c r="M98" s="515" t="s">
        <v>285</v>
      </c>
      <c r="N98" s="516"/>
      <c r="O98" s="34"/>
      <c r="P98" s="28"/>
      <c r="Q98" s="28">
        <v>15000000</v>
      </c>
      <c r="R98" s="29">
        <f t="shared" si="40"/>
        <v>47.770700636942678</v>
      </c>
      <c r="S98" s="29">
        <v>100</v>
      </c>
      <c r="T98" s="28">
        <f t="shared" si="41"/>
        <v>0</v>
      </c>
      <c r="U98" s="28">
        <f t="shared" si="42"/>
        <v>0</v>
      </c>
      <c r="V98" s="87">
        <f t="shared" si="43"/>
        <v>100</v>
      </c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>
        <v>0</v>
      </c>
      <c r="AJ98" s="29">
        <f t="shared" si="44"/>
        <v>0</v>
      </c>
      <c r="AK98" s="136">
        <f t="shared" si="45"/>
        <v>15000000</v>
      </c>
      <c r="AL98" s="29">
        <f t="shared" si="46"/>
        <v>100</v>
      </c>
      <c r="AM98" s="26"/>
    </row>
    <row r="99" spans="1:39" ht="26.25" customHeight="1" x14ac:dyDescent="0.25">
      <c r="A99" s="26"/>
      <c r="B99" s="165"/>
      <c r="C99" s="165"/>
      <c r="D99" s="165"/>
      <c r="E99" s="165"/>
      <c r="F99" s="165"/>
      <c r="G99" s="165"/>
      <c r="H99" s="165"/>
      <c r="I99" s="166"/>
      <c r="J99" s="165" t="s">
        <v>282</v>
      </c>
      <c r="K99" s="27"/>
      <c r="L99" s="31"/>
      <c r="M99" s="515" t="s">
        <v>503</v>
      </c>
      <c r="N99" s="516"/>
      <c r="O99" s="34"/>
      <c r="P99" s="28"/>
      <c r="Q99" s="28">
        <v>10000000</v>
      </c>
      <c r="R99" s="29">
        <f t="shared" si="40"/>
        <v>31.847133757961782</v>
      </c>
      <c r="S99" s="29">
        <v>100</v>
      </c>
      <c r="T99" s="28">
        <f t="shared" si="41"/>
        <v>0</v>
      </c>
      <c r="U99" s="28">
        <f t="shared" si="42"/>
        <v>0</v>
      </c>
      <c r="V99" s="87">
        <f t="shared" si="43"/>
        <v>100</v>
      </c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>
        <v>0</v>
      </c>
      <c r="AJ99" s="29">
        <f t="shared" si="44"/>
        <v>0</v>
      </c>
      <c r="AK99" s="136">
        <f t="shared" si="45"/>
        <v>10000000</v>
      </c>
      <c r="AL99" s="29">
        <f t="shared" si="46"/>
        <v>100</v>
      </c>
      <c r="AM99" s="26"/>
    </row>
    <row r="100" spans="1:39" ht="26.25" customHeight="1" x14ac:dyDescent="0.25">
      <c r="A100" s="26"/>
      <c r="B100" s="165"/>
      <c r="C100" s="165"/>
      <c r="D100" s="165"/>
      <c r="E100" s="165"/>
      <c r="F100" s="165"/>
      <c r="G100" s="165"/>
      <c r="H100" s="165"/>
      <c r="I100" s="166"/>
      <c r="J100" s="165" t="s">
        <v>304</v>
      </c>
      <c r="K100" s="27"/>
      <c r="L100" s="31"/>
      <c r="M100" s="515" t="s">
        <v>549</v>
      </c>
      <c r="N100" s="516"/>
      <c r="O100" s="34"/>
      <c r="P100" s="28"/>
      <c r="Q100" s="28">
        <v>6000000</v>
      </c>
      <c r="R100" s="29">
        <f t="shared" si="40"/>
        <v>19.108280254777071</v>
      </c>
      <c r="S100" s="29">
        <v>100</v>
      </c>
      <c r="T100" s="28">
        <f t="shared" si="41"/>
        <v>0</v>
      </c>
      <c r="U100" s="28">
        <f t="shared" si="42"/>
        <v>0</v>
      </c>
      <c r="V100" s="87">
        <f t="shared" si="43"/>
        <v>100</v>
      </c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>
        <v>0</v>
      </c>
      <c r="AJ100" s="29">
        <f t="shared" si="44"/>
        <v>0</v>
      </c>
      <c r="AK100" s="136">
        <f t="shared" si="45"/>
        <v>6000000</v>
      </c>
      <c r="AL100" s="29">
        <f t="shared" si="46"/>
        <v>100</v>
      </c>
      <c r="AM100" s="26"/>
    </row>
    <row r="101" spans="1:39" ht="26.25" customHeight="1" x14ac:dyDescent="0.25">
      <c r="A101" s="26"/>
      <c r="B101" s="165"/>
      <c r="C101" s="165"/>
      <c r="D101" s="165"/>
      <c r="E101" s="165"/>
      <c r="F101" s="165"/>
      <c r="G101" s="165"/>
      <c r="H101" s="165"/>
      <c r="I101" s="166"/>
      <c r="J101" s="165" t="s">
        <v>551</v>
      </c>
      <c r="K101" s="27"/>
      <c r="L101" s="31"/>
      <c r="M101" s="515" t="s">
        <v>550</v>
      </c>
      <c r="N101" s="516"/>
      <c r="O101" s="34"/>
      <c r="P101" s="28"/>
      <c r="Q101" s="28">
        <v>10800000</v>
      </c>
      <c r="R101" s="29">
        <f t="shared" si="40"/>
        <v>34.394904458598724</v>
      </c>
      <c r="S101" s="29">
        <v>100</v>
      </c>
      <c r="T101" s="28">
        <f t="shared" si="41"/>
        <v>0</v>
      </c>
      <c r="U101" s="28">
        <f t="shared" si="42"/>
        <v>0</v>
      </c>
      <c r="V101" s="87">
        <f t="shared" si="43"/>
        <v>100</v>
      </c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>
        <v>0</v>
      </c>
      <c r="AJ101" s="29">
        <f t="shared" si="44"/>
        <v>0</v>
      </c>
      <c r="AK101" s="136">
        <f t="shared" si="45"/>
        <v>10800000</v>
      </c>
      <c r="AL101" s="29">
        <f t="shared" si="46"/>
        <v>100</v>
      </c>
      <c r="AM101" s="26"/>
    </row>
    <row r="102" spans="1:39" ht="26.25" customHeight="1" x14ac:dyDescent="0.25">
      <c r="A102" s="26"/>
      <c r="B102" s="165"/>
      <c r="C102" s="165"/>
      <c r="D102" s="165"/>
      <c r="E102" s="165"/>
      <c r="F102" s="165"/>
      <c r="G102" s="165"/>
      <c r="H102" s="165"/>
      <c r="I102" s="166"/>
      <c r="J102" s="165" t="s">
        <v>553</v>
      </c>
      <c r="K102" s="27"/>
      <c r="L102" s="31"/>
      <c r="M102" s="515" t="s">
        <v>552</v>
      </c>
      <c r="N102" s="516"/>
      <c r="O102" s="34"/>
      <c r="P102" s="28"/>
      <c r="Q102" s="28">
        <v>1500000</v>
      </c>
      <c r="R102" s="29">
        <f t="shared" si="40"/>
        <v>4.7770700636942678</v>
      </c>
      <c r="S102" s="29">
        <v>100</v>
      </c>
      <c r="T102" s="28">
        <f t="shared" si="41"/>
        <v>0</v>
      </c>
      <c r="U102" s="28">
        <f t="shared" si="42"/>
        <v>0</v>
      </c>
      <c r="V102" s="87">
        <f t="shared" si="43"/>
        <v>100</v>
      </c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>
        <v>0</v>
      </c>
      <c r="AJ102" s="29">
        <f t="shared" si="44"/>
        <v>0</v>
      </c>
      <c r="AK102" s="136">
        <f t="shared" si="45"/>
        <v>1500000</v>
      </c>
      <c r="AL102" s="29">
        <f t="shared" si="46"/>
        <v>100</v>
      </c>
      <c r="AM102" s="26"/>
    </row>
    <row r="103" spans="1:39" ht="26.25" customHeight="1" x14ac:dyDescent="0.25">
      <c r="A103" s="26"/>
      <c r="B103" s="165"/>
      <c r="C103" s="165"/>
      <c r="D103" s="165"/>
      <c r="E103" s="165"/>
      <c r="F103" s="165"/>
      <c r="G103" s="165"/>
      <c r="H103" s="165"/>
      <c r="I103" s="166"/>
      <c r="J103" s="165" t="s">
        <v>554</v>
      </c>
      <c r="K103" s="27"/>
      <c r="L103" s="31"/>
      <c r="M103" s="515" t="s">
        <v>431</v>
      </c>
      <c r="N103" s="516"/>
      <c r="O103" s="34"/>
      <c r="P103" s="28"/>
      <c r="Q103" s="28">
        <v>2000000</v>
      </c>
      <c r="R103" s="29">
        <f t="shared" si="40"/>
        <v>6.369426751592357</v>
      </c>
      <c r="S103" s="29">
        <v>100</v>
      </c>
      <c r="T103" s="28">
        <f t="shared" ref="T103:T116" si="47">AJ103</f>
        <v>0</v>
      </c>
      <c r="U103" s="28">
        <f t="shared" ref="U103:U105" si="48">R103*T103/100</f>
        <v>0</v>
      </c>
      <c r="V103" s="87">
        <f t="shared" ref="V103:V116" si="49">S103-T103</f>
        <v>100</v>
      </c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>
        <v>0</v>
      </c>
      <c r="AJ103" s="29">
        <f t="shared" ref="AJ103:AJ116" si="50">AI103/Q103*100</f>
        <v>0</v>
      </c>
      <c r="AK103" s="136">
        <f t="shared" ref="AK103:AK116" si="51">Q103-AI103</f>
        <v>2000000</v>
      </c>
      <c r="AL103" s="29">
        <f t="shared" ref="AL103:AL116" si="52">AK103/Q103*100</f>
        <v>100</v>
      </c>
      <c r="AM103" s="26"/>
    </row>
    <row r="104" spans="1:39" ht="26.25" customHeight="1" x14ac:dyDescent="0.25">
      <c r="A104" s="26"/>
      <c r="B104" s="165"/>
      <c r="C104" s="165"/>
      <c r="D104" s="165"/>
      <c r="E104" s="165"/>
      <c r="F104" s="165"/>
      <c r="G104" s="165"/>
      <c r="H104" s="165"/>
      <c r="I104" s="166"/>
      <c r="J104" s="165" t="s">
        <v>274</v>
      </c>
      <c r="K104" s="27"/>
      <c r="L104" s="31"/>
      <c r="M104" s="515" t="s">
        <v>555</v>
      </c>
      <c r="N104" s="516"/>
      <c r="O104" s="34"/>
      <c r="P104" s="28"/>
      <c r="Q104" s="28">
        <v>2500000</v>
      </c>
      <c r="R104" s="29">
        <f t="shared" si="40"/>
        <v>7.9617834394904454</v>
      </c>
      <c r="S104" s="29">
        <v>100</v>
      </c>
      <c r="T104" s="28">
        <f t="shared" si="47"/>
        <v>0</v>
      </c>
      <c r="U104" s="28">
        <f t="shared" si="48"/>
        <v>0</v>
      </c>
      <c r="V104" s="87">
        <f t="shared" si="49"/>
        <v>100</v>
      </c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>
        <v>0</v>
      </c>
      <c r="AJ104" s="29">
        <f t="shared" si="50"/>
        <v>0</v>
      </c>
      <c r="AK104" s="136">
        <f t="shared" si="51"/>
        <v>2500000</v>
      </c>
      <c r="AL104" s="29">
        <f t="shared" si="52"/>
        <v>100</v>
      </c>
      <c r="AM104" s="26"/>
    </row>
    <row r="105" spans="1:39" ht="26.25" customHeight="1" x14ac:dyDescent="0.25">
      <c r="A105" s="21">
        <f>A91+1</f>
        <v>14</v>
      </c>
      <c r="B105" s="543" t="s">
        <v>124</v>
      </c>
      <c r="C105" s="543"/>
      <c r="D105" s="543"/>
      <c r="E105" s="543"/>
      <c r="F105" s="543"/>
      <c r="G105" s="543"/>
      <c r="H105" s="543"/>
      <c r="I105" s="544"/>
      <c r="J105" s="167" t="s">
        <v>547</v>
      </c>
      <c r="K105" s="22"/>
      <c r="L105" s="72"/>
      <c r="M105" s="545" t="s">
        <v>556</v>
      </c>
      <c r="N105" s="546"/>
      <c r="O105" s="73">
        <v>17600000</v>
      </c>
      <c r="P105" s="23">
        <f>O105</f>
        <v>17600000</v>
      </c>
      <c r="Q105" s="23">
        <f>SUM(Q106:Q118)</f>
        <v>76640000</v>
      </c>
      <c r="R105" s="24">
        <f>Q105/Q$54*100</f>
        <v>3.034155536380692</v>
      </c>
      <c r="S105" s="24">
        <v>100</v>
      </c>
      <c r="T105" s="23">
        <f t="shared" si="47"/>
        <v>0</v>
      </c>
      <c r="U105" s="23">
        <f t="shared" si="48"/>
        <v>0</v>
      </c>
      <c r="V105" s="90">
        <f t="shared" si="49"/>
        <v>100</v>
      </c>
      <c r="W105" s="23"/>
      <c r="X105" s="23" t="e">
        <f>#REF!</f>
        <v>#REF!</v>
      </c>
      <c r="Y105" s="23" t="e">
        <f>#REF!</f>
        <v>#REF!</v>
      </c>
      <c r="Z105" s="23" t="e">
        <f>#REF!</f>
        <v>#REF!</v>
      </c>
      <c r="AA105" s="23" t="e">
        <f>#REF!</f>
        <v>#REF!</v>
      </c>
      <c r="AB105" s="23">
        <v>13150000</v>
      </c>
      <c r="AC105" s="23" t="e">
        <f>#REF!</f>
        <v>#REF!</v>
      </c>
      <c r="AD105" s="23" t="e">
        <f>#REF!</f>
        <v>#REF!</v>
      </c>
      <c r="AE105" s="23" t="e">
        <f>#REF!</f>
        <v>#REF!</v>
      </c>
      <c r="AF105" s="23" t="e">
        <f>[1]April!N47</f>
        <v>#REF!</v>
      </c>
      <c r="AG105" s="23" t="e">
        <f>[2]april!N47</f>
        <v>#REF!</v>
      </c>
      <c r="AH105" s="23" t="e">
        <f>'[3]DES SKPD'!$N47</f>
        <v>#REF!</v>
      </c>
      <c r="AI105" s="23">
        <f>SUM(AI106:AI118)</f>
        <v>0</v>
      </c>
      <c r="AJ105" s="24">
        <f t="shared" si="50"/>
        <v>0</v>
      </c>
      <c r="AK105" s="134">
        <f t="shared" si="51"/>
        <v>76640000</v>
      </c>
      <c r="AL105" s="24">
        <f t="shared" si="52"/>
        <v>100</v>
      </c>
      <c r="AM105" s="26"/>
    </row>
    <row r="106" spans="1:39" ht="26.25" customHeight="1" x14ac:dyDescent="0.25">
      <c r="A106" s="26"/>
      <c r="B106" s="165"/>
      <c r="C106" s="165"/>
      <c r="D106" s="165"/>
      <c r="E106" s="165"/>
      <c r="F106" s="165"/>
      <c r="G106" s="165"/>
      <c r="H106" s="165"/>
      <c r="I106" s="166"/>
      <c r="J106" s="165" t="s">
        <v>265</v>
      </c>
      <c r="K106" s="27"/>
      <c r="L106" s="31"/>
      <c r="M106" s="515" t="s">
        <v>266</v>
      </c>
      <c r="N106" s="516"/>
      <c r="O106" s="34"/>
      <c r="P106" s="28"/>
      <c r="Q106" s="28">
        <v>6530000</v>
      </c>
      <c r="R106" s="29">
        <f t="shared" ref="R106:R118" si="53">Q106/Q$89*100</f>
        <v>20.796178343949045</v>
      </c>
      <c r="S106" s="29">
        <v>100</v>
      </c>
      <c r="T106" s="28">
        <f t="shared" si="47"/>
        <v>0</v>
      </c>
      <c r="U106" s="28">
        <f>R106*T106/100</f>
        <v>0</v>
      </c>
      <c r="V106" s="87">
        <f t="shared" si="49"/>
        <v>100</v>
      </c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>
        <v>0</v>
      </c>
      <c r="AJ106" s="29">
        <f t="shared" si="50"/>
        <v>0</v>
      </c>
      <c r="AK106" s="136">
        <f t="shared" si="51"/>
        <v>6530000</v>
      </c>
      <c r="AL106" s="29">
        <f t="shared" si="52"/>
        <v>100</v>
      </c>
      <c r="AM106" s="26"/>
    </row>
    <row r="107" spans="1:39" ht="26.25" customHeight="1" x14ac:dyDescent="0.25">
      <c r="A107" s="26"/>
      <c r="B107" s="165"/>
      <c r="C107" s="165"/>
      <c r="D107" s="165"/>
      <c r="E107" s="165"/>
      <c r="F107" s="165"/>
      <c r="G107" s="165"/>
      <c r="H107" s="165"/>
      <c r="I107" s="166"/>
      <c r="J107" s="165" t="s">
        <v>272</v>
      </c>
      <c r="K107" s="27"/>
      <c r="L107" s="31"/>
      <c r="M107" s="515" t="s">
        <v>429</v>
      </c>
      <c r="N107" s="516"/>
      <c r="O107" s="34"/>
      <c r="P107" s="28"/>
      <c r="Q107" s="28">
        <v>2000000</v>
      </c>
      <c r="R107" s="29">
        <f t="shared" si="53"/>
        <v>6.369426751592357</v>
      </c>
      <c r="S107" s="29">
        <v>100</v>
      </c>
      <c r="T107" s="28">
        <f t="shared" si="47"/>
        <v>0</v>
      </c>
      <c r="U107" s="28">
        <f t="shared" ref="U107:U118" si="54">R107*T107/100</f>
        <v>0</v>
      </c>
      <c r="V107" s="87">
        <f t="shared" si="49"/>
        <v>100</v>
      </c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>
        <v>0</v>
      </c>
      <c r="AJ107" s="29">
        <f t="shared" si="50"/>
        <v>0</v>
      </c>
      <c r="AK107" s="136">
        <f t="shared" si="51"/>
        <v>2000000</v>
      </c>
      <c r="AL107" s="29">
        <f t="shared" si="52"/>
        <v>100</v>
      </c>
      <c r="AM107" s="26"/>
    </row>
    <row r="108" spans="1:39" ht="26.25" customHeight="1" x14ac:dyDescent="0.25">
      <c r="A108" s="26"/>
      <c r="B108" s="165"/>
      <c r="C108" s="165"/>
      <c r="D108" s="165"/>
      <c r="E108" s="165"/>
      <c r="F108" s="165"/>
      <c r="G108" s="165"/>
      <c r="H108" s="165"/>
      <c r="I108" s="166"/>
      <c r="J108" s="165" t="s">
        <v>249</v>
      </c>
      <c r="K108" s="27"/>
      <c r="L108" s="31"/>
      <c r="M108" s="515" t="s">
        <v>250</v>
      </c>
      <c r="N108" s="516"/>
      <c r="O108" s="34"/>
      <c r="P108" s="28"/>
      <c r="Q108" s="28">
        <v>240000</v>
      </c>
      <c r="R108" s="29">
        <f t="shared" si="53"/>
        <v>0.76433121019108285</v>
      </c>
      <c r="S108" s="29">
        <v>100</v>
      </c>
      <c r="T108" s="28">
        <f t="shared" si="47"/>
        <v>0</v>
      </c>
      <c r="U108" s="28">
        <f t="shared" si="54"/>
        <v>0</v>
      </c>
      <c r="V108" s="87">
        <f t="shared" si="49"/>
        <v>100</v>
      </c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>
        <v>0</v>
      </c>
      <c r="AJ108" s="29">
        <f t="shared" si="50"/>
        <v>0</v>
      </c>
      <c r="AK108" s="136">
        <f t="shared" si="51"/>
        <v>240000</v>
      </c>
      <c r="AL108" s="29">
        <f t="shared" si="52"/>
        <v>100</v>
      </c>
      <c r="AM108" s="26"/>
    </row>
    <row r="109" spans="1:39" ht="26.25" customHeight="1" x14ac:dyDescent="0.25">
      <c r="A109" s="26"/>
      <c r="B109" s="165"/>
      <c r="C109" s="165"/>
      <c r="D109" s="165"/>
      <c r="E109" s="165"/>
      <c r="F109" s="165"/>
      <c r="G109" s="165"/>
      <c r="H109" s="165"/>
      <c r="I109" s="166"/>
      <c r="J109" s="165" t="s">
        <v>261</v>
      </c>
      <c r="K109" s="27"/>
      <c r="L109" s="31"/>
      <c r="M109" s="515" t="s">
        <v>262</v>
      </c>
      <c r="N109" s="516"/>
      <c r="O109" s="34"/>
      <c r="P109" s="28"/>
      <c r="Q109" s="28">
        <v>3300000</v>
      </c>
      <c r="R109" s="29">
        <f t="shared" si="53"/>
        <v>10.509554140127388</v>
      </c>
      <c r="S109" s="29">
        <v>100</v>
      </c>
      <c r="T109" s="28">
        <f t="shared" si="47"/>
        <v>0</v>
      </c>
      <c r="U109" s="28">
        <f t="shared" si="54"/>
        <v>0</v>
      </c>
      <c r="V109" s="87">
        <f t="shared" si="49"/>
        <v>100</v>
      </c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>
        <v>0</v>
      </c>
      <c r="AJ109" s="29">
        <f t="shared" si="50"/>
        <v>0</v>
      </c>
      <c r="AK109" s="136">
        <f t="shared" si="51"/>
        <v>3300000</v>
      </c>
      <c r="AL109" s="29">
        <f t="shared" si="52"/>
        <v>100</v>
      </c>
      <c r="AM109" s="26"/>
    </row>
    <row r="110" spans="1:39" ht="26.25" customHeight="1" x14ac:dyDescent="0.25">
      <c r="A110" s="26"/>
      <c r="B110" s="165"/>
      <c r="C110" s="165"/>
      <c r="D110" s="165"/>
      <c r="E110" s="165"/>
      <c r="F110" s="165"/>
      <c r="G110" s="165"/>
      <c r="H110" s="165"/>
      <c r="I110" s="166"/>
      <c r="J110" s="165" t="s">
        <v>409</v>
      </c>
      <c r="K110" s="27"/>
      <c r="L110" s="31"/>
      <c r="M110" s="515" t="s">
        <v>410</v>
      </c>
      <c r="N110" s="516"/>
      <c r="O110" s="34"/>
      <c r="P110" s="28"/>
      <c r="Q110" s="28">
        <v>12000000</v>
      </c>
      <c r="R110" s="29">
        <f t="shared" si="53"/>
        <v>38.216560509554142</v>
      </c>
      <c r="S110" s="29">
        <v>101</v>
      </c>
      <c r="T110" s="28">
        <f t="shared" ref="T110" si="55">AJ110</f>
        <v>0</v>
      </c>
      <c r="U110" s="28">
        <f t="shared" ref="U110" si="56">R110*T110/100</f>
        <v>0</v>
      </c>
      <c r="V110" s="87">
        <f t="shared" ref="V110" si="57">S110-T110</f>
        <v>101</v>
      </c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>
        <v>0</v>
      </c>
      <c r="AJ110" s="29">
        <f t="shared" ref="AJ110" si="58">AI110/Q110*100</f>
        <v>0</v>
      </c>
      <c r="AK110" s="136">
        <f t="shared" ref="AK110" si="59">Q110-AI110</f>
        <v>12000000</v>
      </c>
      <c r="AL110" s="29">
        <f t="shared" ref="AL110" si="60">AK110/Q110*100</f>
        <v>100</v>
      </c>
      <c r="AM110" s="26"/>
    </row>
    <row r="111" spans="1:39" ht="26.25" customHeight="1" x14ac:dyDescent="0.25">
      <c r="A111" s="26"/>
      <c r="B111" s="165"/>
      <c r="C111" s="165"/>
      <c r="D111" s="165"/>
      <c r="E111" s="165"/>
      <c r="F111" s="165"/>
      <c r="G111" s="165"/>
      <c r="H111" s="165"/>
      <c r="I111" s="166"/>
      <c r="J111" s="165" t="s">
        <v>315</v>
      </c>
      <c r="K111" s="27"/>
      <c r="L111" s="31"/>
      <c r="M111" s="515" t="s">
        <v>271</v>
      </c>
      <c r="N111" s="516"/>
      <c r="O111" s="34"/>
      <c r="P111" s="28"/>
      <c r="Q111" s="28">
        <v>2000000</v>
      </c>
      <c r="R111" s="29">
        <f t="shared" si="53"/>
        <v>6.369426751592357</v>
      </c>
      <c r="S111" s="29">
        <v>100</v>
      </c>
      <c r="T111" s="28">
        <f t="shared" si="47"/>
        <v>0</v>
      </c>
      <c r="U111" s="28">
        <f t="shared" si="54"/>
        <v>0</v>
      </c>
      <c r="V111" s="87">
        <f t="shared" si="49"/>
        <v>100</v>
      </c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>
        <v>0</v>
      </c>
      <c r="AJ111" s="29">
        <f t="shared" si="50"/>
        <v>0</v>
      </c>
      <c r="AK111" s="136">
        <f t="shared" si="51"/>
        <v>2000000</v>
      </c>
      <c r="AL111" s="29">
        <f t="shared" si="52"/>
        <v>100</v>
      </c>
      <c r="AM111" s="26"/>
    </row>
    <row r="112" spans="1:39" ht="26.25" customHeight="1" x14ac:dyDescent="0.25">
      <c r="A112" s="26"/>
      <c r="B112" s="165"/>
      <c r="C112" s="165"/>
      <c r="D112" s="165"/>
      <c r="E112" s="165"/>
      <c r="F112" s="165"/>
      <c r="G112" s="165"/>
      <c r="H112" s="165"/>
      <c r="I112" s="166"/>
      <c r="J112" s="165" t="s">
        <v>278</v>
      </c>
      <c r="K112" s="27"/>
      <c r="L112" s="31"/>
      <c r="M112" s="515" t="s">
        <v>279</v>
      </c>
      <c r="N112" s="516"/>
      <c r="O112" s="34"/>
      <c r="P112" s="28"/>
      <c r="Q112" s="28">
        <v>2160000</v>
      </c>
      <c r="R112" s="29">
        <f t="shared" si="53"/>
        <v>6.8789808917197455</v>
      </c>
      <c r="S112" s="29">
        <v>100</v>
      </c>
      <c r="T112" s="28">
        <f t="shared" si="47"/>
        <v>0</v>
      </c>
      <c r="U112" s="28">
        <f t="shared" si="54"/>
        <v>0</v>
      </c>
      <c r="V112" s="87">
        <f t="shared" si="49"/>
        <v>100</v>
      </c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>
        <v>0</v>
      </c>
      <c r="AJ112" s="29">
        <f t="shared" si="50"/>
        <v>0</v>
      </c>
      <c r="AK112" s="136">
        <f t="shared" si="51"/>
        <v>2160000</v>
      </c>
      <c r="AL112" s="29">
        <f t="shared" si="52"/>
        <v>100</v>
      </c>
      <c r="AM112" s="26"/>
    </row>
    <row r="113" spans="1:39" ht="26.25" customHeight="1" x14ac:dyDescent="0.25">
      <c r="A113" s="26"/>
      <c r="B113" s="165"/>
      <c r="C113" s="165"/>
      <c r="D113" s="165"/>
      <c r="E113" s="165"/>
      <c r="F113" s="165"/>
      <c r="G113" s="165"/>
      <c r="H113" s="165"/>
      <c r="I113" s="166"/>
      <c r="J113" s="165" t="s">
        <v>284</v>
      </c>
      <c r="K113" s="27"/>
      <c r="L113" s="31"/>
      <c r="M113" s="515" t="s">
        <v>285</v>
      </c>
      <c r="N113" s="516"/>
      <c r="O113" s="34"/>
      <c r="P113" s="28"/>
      <c r="Q113" s="28">
        <v>18900000</v>
      </c>
      <c r="R113" s="29">
        <f t="shared" si="53"/>
        <v>60.191082802547768</v>
      </c>
      <c r="S113" s="29">
        <v>100</v>
      </c>
      <c r="T113" s="28">
        <f t="shared" si="47"/>
        <v>0</v>
      </c>
      <c r="U113" s="28">
        <f t="shared" si="54"/>
        <v>0</v>
      </c>
      <c r="V113" s="87">
        <f t="shared" si="49"/>
        <v>100</v>
      </c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>
        <v>0</v>
      </c>
      <c r="AJ113" s="29">
        <f t="shared" si="50"/>
        <v>0</v>
      </c>
      <c r="AK113" s="136">
        <f t="shared" si="51"/>
        <v>18900000</v>
      </c>
      <c r="AL113" s="29">
        <f t="shared" si="52"/>
        <v>100</v>
      </c>
      <c r="AM113" s="26"/>
    </row>
    <row r="114" spans="1:39" ht="26.25" customHeight="1" x14ac:dyDescent="0.25">
      <c r="A114" s="26"/>
      <c r="B114" s="165"/>
      <c r="C114" s="165"/>
      <c r="D114" s="165"/>
      <c r="E114" s="165"/>
      <c r="F114" s="165"/>
      <c r="G114" s="165"/>
      <c r="H114" s="165"/>
      <c r="I114" s="166"/>
      <c r="J114" s="165" t="s">
        <v>282</v>
      </c>
      <c r="K114" s="27"/>
      <c r="L114" s="31"/>
      <c r="M114" s="515" t="s">
        <v>503</v>
      </c>
      <c r="N114" s="516"/>
      <c r="O114" s="34"/>
      <c r="P114" s="28"/>
      <c r="Q114" s="28">
        <v>4110000</v>
      </c>
      <c r="R114" s="29">
        <f t="shared" si="53"/>
        <v>13.089171974522293</v>
      </c>
      <c r="S114" s="29">
        <v>100</v>
      </c>
      <c r="T114" s="28">
        <f t="shared" si="47"/>
        <v>0</v>
      </c>
      <c r="U114" s="28">
        <f t="shared" si="54"/>
        <v>0</v>
      </c>
      <c r="V114" s="87">
        <f t="shared" si="49"/>
        <v>100</v>
      </c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>
        <v>0</v>
      </c>
      <c r="AJ114" s="29">
        <f t="shared" si="50"/>
        <v>0</v>
      </c>
      <c r="AK114" s="136">
        <f t="shared" si="51"/>
        <v>4110000</v>
      </c>
      <c r="AL114" s="29">
        <f t="shared" si="52"/>
        <v>100</v>
      </c>
      <c r="AM114" s="26"/>
    </row>
    <row r="115" spans="1:39" ht="26.25" customHeight="1" x14ac:dyDescent="0.25">
      <c r="A115" s="26"/>
      <c r="B115" s="165"/>
      <c r="C115" s="165"/>
      <c r="D115" s="165"/>
      <c r="E115" s="165"/>
      <c r="F115" s="165"/>
      <c r="G115" s="165"/>
      <c r="H115" s="165"/>
      <c r="I115" s="166"/>
      <c r="J115" s="165" t="s">
        <v>304</v>
      </c>
      <c r="K115" s="27"/>
      <c r="L115" s="31"/>
      <c r="M115" s="515" t="s">
        <v>549</v>
      </c>
      <c r="N115" s="516"/>
      <c r="O115" s="34"/>
      <c r="P115" s="28"/>
      <c r="Q115" s="28">
        <v>2000000</v>
      </c>
      <c r="R115" s="29">
        <f t="shared" si="53"/>
        <v>6.369426751592357</v>
      </c>
      <c r="S115" s="29">
        <v>100</v>
      </c>
      <c r="T115" s="28">
        <f t="shared" si="47"/>
        <v>0</v>
      </c>
      <c r="U115" s="28">
        <f t="shared" si="54"/>
        <v>0</v>
      </c>
      <c r="V115" s="87">
        <f t="shared" si="49"/>
        <v>100</v>
      </c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>
        <v>0</v>
      </c>
      <c r="AJ115" s="29">
        <f t="shared" si="50"/>
        <v>0</v>
      </c>
      <c r="AK115" s="136">
        <f t="shared" si="51"/>
        <v>2000000</v>
      </c>
      <c r="AL115" s="29">
        <f t="shared" si="52"/>
        <v>100</v>
      </c>
      <c r="AM115" s="26"/>
    </row>
    <row r="116" spans="1:39" ht="26.25" customHeight="1" x14ac:dyDescent="0.25">
      <c r="A116" s="26"/>
      <c r="B116" s="165"/>
      <c r="C116" s="165"/>
      <c r="D116" s="165"/>
      <c r="E116" s="165"/>
      <c r="F116" s="165"/>
      <c r="G116" s="165"/>
      <c r="H116" s="165"/>
      <c r="I116" s="166"/>
      <c r="J116" s="165" t="s">
        <v>551</v>
      </c>
      <c r="K116" s="27"/>
      <c r="L116" s="31"/>
      <c r="M116" s="515" t="s">
        <v>550</v>
      </c>
      <c r="N116" s="516"/>
      <c r="O116" s="34"/>
      <c r="P116" s="28"/>
      <c r="Q116" s="28">
        <v>20400000</v>
      </c>
      <c r="R116" s="29">
        <f t="shared" si="53"/>
        <v>64.968152866242036</v>
      </c>
      <c r="S116" s="29">
        <v>100</v>
      </c>
      <c r="T116" s="28">
        <f t="shared" si="47"/>
        <v>0</v>
      </c>
      <c r="U116" s="28">
        <f t="shared" si="54"/>
        <v>0</v>
      </c>
      <c r="V116" s="87">
        <f t="shared" si="49"/>
        <v>100</v>
      </c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>
        <v>0</v>
      </c>
      <c r="AJ116" s="29">
        <f t="shared" si="50"/>
        <v>0</v>
      </c>
      <c r="AK116" s="136">
        <f t="shared" si="51"/>
        <v>20400000</v>
      </c>
      <c r="AL116" s="29">
        <f t="shared" si="52"/>
        <v>100</v>
      </c>
      <c r="AM116" s="26"/>
    </row>
    <row r="117" spans="1:39" ht="26.25" customHeight="1" x14ac:dyDescent="0.25">
      <c r="A117" s="26"/>
      <c r="B117" s="165"/>
      <c r="C117" s="165"/>
      <c r="D117" s="165"/>
      <c r="E117" s="165"/>
      <c r="F117" s="165"/>
      <c r="G117" s="165"/>
      <c r="H117" s="165"/>
      <c r="I117" s="166"/>
      <c r="J117" s="165" t="s">
        <v>554</v>
      </c>
      <c r="K117" s="27"/>
      <c r="L117" s="31"/>
      <c r="M117" s="515" t="s">
        <v>431</v>
      </c>
      <c r="N117" s="516"/>
      <c r="O117" s="34"/>
      <c r="P117" s="28"/>
      <c r="Q117" s="28">
        <v>2000000</v>
      </c>
      <c r="R117" s="29">
        <f t="shared" si="53"/>
        <v>6.369426751592357</v>
      </c>
      <c r="S117" s="29">
        <v>100</v>
      </c>
      <c r="T117" s="28">
        <f t="shared" ref="T117:T118" si="61">AJ117</f>
        <v>0</v>
      </c>
      <c r="U117" s="28">
        <f t="shared" si="54"/>
        <v>0</v>
      </c>
      <c r="V117" s="87">
        <f t="shared" ref="V117:V118" si="62">S117-T117</f>
        <v>100</v>
      </c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>
        <v>0</v>
      </c>
      <c r="AJ117" s="29">
        <f t="shared" ref="AJ117:AJ118" si="63">AI117/Q117*100</f>
        <v>0</v>
      </c>
      <c r="AK117" s="136">
        <f t="shared" ref="AK117:AK118" si="64">Q117-AI117</f>
        <v>2000000</v>
      </c>
      <c r="AL117" s="29">
        <f t="shared" ref="AL117:AL118" si="65">AK117/Q117*100</f>
        <v>100</v>
      </c>
      <c r="AM117" s="26"/>
    </row>
    <row r="118" spans="1:39" ht="26.25" customHeight="1" x14ac:dyDescent="0.25">
      <c r="A118" s="26"/>
      <c r="B118" s="165"/>
      <c r="C118" s="165"/>
      <c r="D118" s="165"/>
      <c r="E118" s="165"/>
      <c r="F118" s="165"/>
      <c r="G118" s="165"/>
      <c r="H118" s="165"/>
      <c r="I118" s="166"/>
      <c r="J118" s="165" t="s">
        <v>274</v>
      </c>
      <c r="K118" s="27"/>
      <c r="L118" s="31"/>
      <c r="M118" s="515" t="s">
        <v>555</v>
      </c>
      <c r="N118" s="516"/>
      <c r="O118" s="34"/>
      <c r="P118" s="28"/>
      <c r="Q118" s="28">
        <v>1000000</v>
      </c>
      <c r="R118" s="29">
        <f t="shared" si="53"/>
        <v>3.1847133757961785</v>
      </c>
      <c r="S118" s="29">
        <v>100</v>
      </c>
      <c r="T118" s="28">
        <f t="shared" si="61"/>
        <v>0</v>
      </c>
      <c r="U118" s="28">
        <f t="shared" si="54"/>
        <v>0</v>
      </c>
      <c r="V118" s="87">
        <f t="shared" si="62"/>
        <v>100</v>
      </c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>
        <v>0</v>
      </c>
      <c r="AJ118" s="29">
        <f t="shared" si="63"/>
        <v>0</v>
      </c>
      <c r="AK118" s="136">
        <f t="shared" si="64"/>
        <v>1000000</v>
      </c>
      <c r="AL118" s="29">
        <f t="shared" si="65"/>
        <v>100</v>
      </c>
      <c r="AM118" s="26"/>
    </row>
    <row r="119" spans="1:39" s="36" customFormat="1" ht="27" customHeight="1" x14ac:dyDescent="0.25">
      <c r="A119" s="51" t="s">
        <v>8</v>
      </c>
      <c r="B119" s="553" t="s">
        <v>125</v>
      </c>
      <c r="C119" s="553"/>
      <c r="D119" s="553"/>
      <c r="E119" s="553"/>
      <c r="F119" s="553"/>
      <c r="G119" s="553"/>
      <c r="H119" s="553"/>
      <c r="I119" s="553"/>
      <c r="J119" s="163" t="s">
        <v>440</v>
      </c>
      <c r="K119" s="52"/>
      <c r="L119" s="550" t="s">
        <v>23</v>
      </c>
      <c r="M119" s="554"/>
      <c r="N119" s="554"/>
      <c r="O119" s="55">
        <f>SUM(O122:O153)</f>
        <v>2275595000</v>
      </c>
      <c r="P119" s="55">
        <f>SUM(P122:P153)</f>
        <v>1979635000</v>
      </c>
      <c r="Q119" s="55">
        <f>SUM(Q120+Q122+Q134+Q136+Q139+Q143+Q150+Q152+Q154)</f>
        <v>3540046000</v>
      </c>
      <c r="R119" s="57" t="e">
        <f>Q119/Q$53*100</f>
        <v>#REF!</v>
      </c>
      <c r="S119" s="57">
        <v>100</v>
      </c>
      <c r="T119" s="55">
        <f t="shared" si="20"/>
        <v>0</v>
      </c>
      <c r="U119" s="55" t="e">
        <f>SUM(R119*T119/100)</f>
        <v>#REF!</v>
      </c>
      <c r="V119" s="117">
        <f>SUM(S119-T119)</f>
        <v>100</v>
      </c>
      <c r="W119" s="55">
        <f t="shared" ref="W119:AH119" si="66">SUM(W122:W153)</f>
        <v>0</v>
      </c>
      <c r="X119" s="55" t="e">
        <f t="shared" si="66"/>
        <v>#REF!</v>
      </c>
      <c r="Y119" s="55" t="e">
        <f t="shared" si="66"/>
        <v>#REF!</v>
      </c>
      <c r="Z119" s="55" t="e">
        <f t="shared" si="66"/>
        <v>#REF!</v>
      </c>
      <c r="AA119" s="55" t="e">
        <f t="shared" si="66"/>
        <v>#REF!</v>
      </c>
      <c r="AB119" s="55">
        <f t="shared" si="66"/>
        <v>3331855358</v>
      </c>
      <c r="AC119" s="55" t="e">
        <f t="shared" si="66"/>
        <v>#REF!</v>
      </c>
      <c r="AD119" s="55" t="e">
        <f t="shared" si="66"/>
        <v>#REF!</v>
      </c>
      <c r="AE119" s="55" t="e">
        <f t="shared" si="66"/>
        <v>#REF!</v>
      </c>
      <c r="AF119" s="55" t="e">
        <f t="shared" si="66"/>
        <v>#REF!</v>
      </c>
      <c r="AG119" s="55" t="e">
        <f t="shared" si="66"/>
        <v>#REF!</v>
      </c>
      <c r="AH119" s="55" t="e">
        <f t="shared" si="66"/>
        <v>#REF!</v>
      </c>
      <c r="AI119" s="55">
        <f>SUM(AI122+AI134+AI136+AI139+AI143+AI150+AI152)</f>
        <v>0</v>
      </c>
      <c r="AJ119" s="57">
        <f t="shared" si="24"/>
        <v>0</v>
      </c>
      <c r="AK119" s="137">
        <f>SUM(Q119-AI119)</f>
        <v>3540046000</v>
      </c>
      <c r="AL119" s="57">
        <f t="shared" si="25"/>
        <v>100</v>
      </c>
      <c r="AM119" s="49"/>
    </row>
    <row r="120" spans="1:39" s="3" customFormat="1" ht="27" customHeight="1" x14ac:dyDescent="0.25">
      <c r="A120" s="21">
        <f>A105+1</f>
        <v>15</v>
      </c>
      <c r="B120" s="543" t="s">
        <v>126</v>
      </c>
      <c r="C120" s="543"/>
      <c r="D120" s="543"/>
      <c r="E120" s="543"/>
      <c r="F120" s="543"/>
      <c r="G120" s="543"/>
      <c r="H120" s="543"/>
      <c r="I120" s="544"/>
      <c r="J120" s="122" t="s">
        <v>557</v>
      </c>
      <c r="K120" s="22"/>
      <c r="L120" s="72"/>
      <c r="M120" s="543" t="s">
        <v>558</v>
      </c>
      <c r="N120" s="544"/>
      <c r="O120" s="73">
        <v>833155000</v>
      </c>
      <c r="P120" s="23">
        <f>O120</f>
        <v>833155000</v>
      </c>
      <c r="Q120" s="23">
        <f>SUM(Q121)</f>
        <v>318296000</v>
      </c>
      <c r="R120" s="24">
        <f>Q120/Q$54*100</f>
        <v>12.601247006887117</v>
      </c>
      <c r="S120" s="24">
        <v>100</v>
      </c>
      <c r="T120" s="23">
        <f t="shared" ref="T120:T121" si="67">AJ120</f>
        <v>0</v>
      </c>
      <c r="U120" s="23">
        <f t="shared" ref="U120:U121" si="68">R120*T120/100</f>
        <v>0</v>
      </c>
      <c r="V120" s="90">
        <f t="shared" ref="V120:V121" si="69">S120-T120</f>
        <v>100</v>
      </c>
      <c r="W120" s="23"/>
      <c r="X120" s="23" t="e">
        <f>#REF!</f>
        <v>#REF!</v>
      </c>
      <c r="Y120" s="23" t="e">
        <f>#REF!</f>
        <v>#REF!</v>
      </c>
      <c r="Z120" s="23" t="e">
        <f>#REF!</f>
        <v>#REF!</v>
      </c>
      <c r="AA120" s="23" t="e">
        <f>#REF!</f>
        <v>#REF!</v>
      </c>
      <c r="AB120" s="23">
        <v>139212000</v>
      </c>
      <c r="AC120" s="23" t="e">
        <f>#REF!</f>
        <v>#REF!</v>
      </c>
      <c r="AD120" s="23" t="e">
        <f>#REF!</f>
        <v>#REF!</v>
      </c>
      <c r="AE120" s="23" t="e">
        <f>#REF!</f>
        <v>#REF!</v>
      </c>
      <c r="AF120" s="23" t="e">
        <f>[1]April!N30</f>
        <v>#REF!</v>
      </c>
      <c r="AG120" s="23" t="e">
        <f>[2]april!N30</f>
        <v>#REF!</v>
      </c>
      <c r="AH120" s="23">
        <f>'[3]DES SKPD'!$N30</f>
        <v>660543350</v>
      </c>
      <c r="AI120" s="23">
        <f>SUM(AI121)</f>
        <v>0</v>
      </c>
      <c r="AJ120" s="24">
        <f t="shared" ref="AJ120:AJ121" si="70">AI120/Q120*100</f>
        <v>0</v>
      </c>
      <c r="AK120" s="134">
        <f t="shared" ref="AK120:AK121" si="71">Q120-AI120</f>
        <v>318296000</v>
      </c>
      <c r="AL120" s="24">
        <f t="shared" ref="AL120:AL121" si="72">AK120/Q120*100</f>
        <v>100</v>
      </c>
      <c r="AM120" s="21"/>
    </row>
    <row r="121" spans="1:39" s="3" customFormat="1" ht="27" customHeight="1" x14ac:dyDescent="0.25">
      <c r="A121" s="26"/>
      <c r="B121" s="165"/>
      <c r="C121" s="165"/>
      <c r="D121" s="165"/>
      <c r="E121" s="165"/>
      <c r="F121" s="165"/>
      <c r="G121" s="165"/>
      <c r="H121" s="165"/>
      <c r="I121" s="166"/>
      <c r="J121" s="165" t="s">
        <v>434</v>
      </c>
      <c r="K121" s="27"/>
      <c r="L121" s="31"/>
      <c r="M121" s="513" t="s">
        <v>559</v>
      </c>
      <c r="N121" s="514"/>
      <c r="O121" s="34"/>
      <c r="P121" s="28"/>
      <c r="Q121" s="28">
        <v>318296000</v>
      </c>
      <c r="R121" s="29">
        <f t="shared" ref="R121" si="73">Q121/Q$89*100</f>
        <v>1013.6815286624204</v>
      </c>
      <c r="S121" s="29">
        <v>100</v>
      </c>
      <c r="T121" s="28">
        <f t="shared" si="67"/>
        <v>0</v>
      </c>
      <c r="U121" s="28">
        <f t="shared" si="68"/>
        <v>0</v>
      </c>
      <c r="V121" s="87">
        <f t="shared" si="69"/>
        <v>100</v>
      </c>
      <c r="W121" s="28"/>
      <c r="X121" s="28" t="e">
        <f>#REF!</f>
        <v>#REF!</v>
      </c>
      <c r="Y121" s="28" t="e">
        <f>#REF!</f>
        <v>#REF!</v>
      </c>
      <c r="Z121" s="28" t="e">
        <f>#REF!</f>
        <v>#REF!</v>
      </c>
      <c r="AA121" s="28" t="e">
        <f>#REF!</f>
        <v>#REF!</v>
      </c>
      <c r="AB121" s="28">
        <v>139212001</v>
      </c>
      <c r="AC121" s="28" t="e">
        <f>#REF!</f>
        <v>#REF!</v>
      </c>
      <c r="AD121" s="28" t="e">
        <f>#REF!</f>
        <v>#REF!</v>
      </c>
      <c r="AE121" s="28" t="e">
        <f>#REF!</f>
        <v>#REF!</v>
      </c>
      <c r="AF121" s="28" t="e">
        <f>[1]April!N32</f>
        <v>#REF!</v>
      </c>
      <c r="AG121" s="28" t="e">
        <f>[2]april!N32</f>
        <v>#REF!</v>
      </c>
      <c r="AH121" s="28" t="e">
        <f>'[3]DES SKPD'!$N32</f>
        <v>#REF!</v>
      </c>
      <c r="AI121" s="28">
        <v>0</v>
      </c>
      <c r="AJ121" s="29">
        <f t="shared" si="70"/>
        <v>0</v>
      </c>
      <c r="AK121" s="136">
        <f t="shared" si="71"/>
        <v>318296000</v>
      </c>
      <c r="AL121" s="29">
        <f t="shared" si="72"/>
        <v>100</v>
      </c>
      <c r="AM121" s="21"/>
    </row>
    <row r="122" spans="1:39" s="41" customFormat="1" ht="33" customHeight="1" x14ac:dyDescent="0.25">
      <c r="A122" s="21">
        <f>A120+1</f>
        <v>16</v>
      </c>
      <c r="B122" s="543" t="s">
        <v>126</v>
      </c>
      <c r="C122" s="543"/>
      <c r="D122" s="543"/>
      <c r="E122" s="543"/>
      <c r="F122" s="543"/>
      <c r="G122" s="543"/>
      <c r="H122" s="543"/>
      <c r="I122" s="544"/>
      <c r="J122" s="122" t="s">
        <v>455</v>
      </c>
      <c r="K122" s="22"/>
      <c r="L122" s="72"/>
      <c r="M122" s="543" t="s">
        <v>24</v>
      </c>
      <c r="N122" s="544"/>
      <c r="O122" s="73">
        <v>833155000</v>
      </c>
      <c r="P122" s="23">
        <f>O122</f>
        <v>833155000</v>
      </c>
      <c r="Q122" s="23">
        <f>SUM(Q123:Q133)</f>
        <v>1068800000</v>
      </c>
      <c r="R122" s="24">
        <f>Q122/Q$54*100</f>
        <v>42.313484306937418</v>
      </c>
      <c r="S122" s="24">
        <v>100</v>
      </c>
      <c r="T122" s="23">
        <f t="shared" si="20"/>
        <v>0</v>
      </c>
      <c r="U122" s="23">
        <f t="shared" ref="U122:U135" si="74">R122*T122/100</f>
        <v>0</v>
      </c>
      <c r="V122" s="90">
        <f t="shared" si="22"/>
        <v>100</v>
      </c>
      <c r="W122" s="23"/>
      <c r="X122" s="23" t="e">
        <f>#REF!</f>
        <v>#REF!</v>
      </c>
      <c r="Y122" s="23" t="e">
        <f>#REF!</f>
        <v>#REF!</v>
      </c>
      <c r="Z122" s="23" t="e">
        <f>#REF!</f>
        <v>#REF!</v>
      </c>
      <c r="AA122" s="23" t="e">
        <f>#REF!</f>
        <v>#REF!</v>
      </c>
      <c r="AB122" s="23">
        <v>139212000</v>
      </c>
      <c r="AC122" s="23" t="e">
        <f>#REF!</f>
        <v>#REF!</v>
      </c>
      <c r="AD122" s="23" t="e">
        <f>#REF!</f>
        <v>#REF!</v>
      </c>
      <c r="AE122" s="23" t="e">
        <f>#REF!</f>
        <v>#REF!</v>
      </c>
      <c r="AF122" s="23" t="e">
        <f>[1]April!N35</f>
        <v>#REF!</v>
      </c>
      <c r="AG122" s="23" t="e">
        <f>[2]april!N35</f>
        <v>#REF!</v>
      </c>
      <c r="AH122" s="23">
        <f>'[3]DES SKPD'!$N35</f>
        <v>979532000</v>
      </c>
      <c r="AI122" s="23">
        <f>SUM(AI123:AI133)</f>
        <v>0</v>
      </c>
      <c r="AJ122" s="24">
        <f t="shared" si="24"/>
        <v>0</v>
      </c>
      <c r="AK122" s="134">
        <f t="shared" ref="AK122:AK153" si="75">Q122-AI122</f>
        <v>1068800000</v>
      </c>
      <c r="AL122" s="24">
        <f t="shared" si="25"/>
        <v>100</v>
      </c>
      <c r="AM122" s="21"/>
    </row>
    <row r="123" spans="1:39" ht="24.75" customHeight="1" x14ac:dyDescent="0.25">
      <c r="A123" s="26"/>
      <c r="B123" s="151"/>
      <c r="C123" s="151"/>
      <c r="D123" s="151"/>
      <c r="E123" s="151"/>
      <c r="F123" s="151"/>
      <c r="G123" s="151"/>
      <c r="H123" s="151"/>
      <c r="I123" s="152"/>
      <c r="J123" s="165" t="s">
        <v>561</v>
      </c>
      <c r="K123" s="27"/>
      <c r="L123" s="31"/>
      <c r="M123" s="513" t="s">
        <v>560</v>
      </c>
      <c r="N123" s="514"/>
      <c r="O123" s="34"/>
      <c r="P123" s="28"/>
      <c r="Q123" s="28">
        <v>35000000</v>
      </c>
      <c r="R123" s="29">
        <f t="shared" ref="R123:R130" si="76">Q123/Q$122*100</f>
        <v>3.2747005988023949</v>
      </c>
      <c r="S123" s="29">
        <v>100</v>
      </c>
      <c r="T123" s="28">
        <f t="shared" si="20"/>
        <v>0</v>
      </c>
      <c r="U123" s="28">
        <f t="shared" si="74"/>
        <v>0</v>
      </c>
      <c r="V123" s="87">
        <f t="shared" si="22"/>
        <v>100</v>
      </c>
      <c r="W123" s="28"/>
      <c r="X123" s="28" t="e">
        <f>#REF!</f>
        <v>#REF!</v>
      </c>
      <c r="Y123" s="28" t="e">
        <f>#REF!</f>
        <v>#REF!</v>
      </c>
      <c r="Z123" s="28" t="e">
        <f>#REF!</f>
        <v>#REF!</v>
      </c>
      <c r="AA123" s="28" t="e">
        <f>#REF!</f>
        <v>#REF!</v>
      </c>
      <c r="AB123" s="28">
        <v>139212001</v>
      </c>
      <c r="AC123" s="28" t="e">
        <f>#REF!</f>
        <v>#REF!</v>
      </c>
      <c r="AD123" s="28" t="e">
        <f>#REF!</f>
        <v>#REF!</v>
      </c>
      <c r="AE123" s="28" t="e">
        <f>#REF!</f>
        <v>#REF!</v>
      </c>
      <c r="AF123" s="28" t="e">
        <f>[1]April!N37</f>
        <v>#REF!</v>
      </c>
      <c r="AG123" s="28" t="e">
        <f>[2]april!N37</f>
        <v>#REF!</v>
      </c>
      <c r="AH123" s="28">
        <f>'[3]DES SKPD'!$N37</f>
        <v>0</v>
      </c>
      <c r="AI123" s="28">
        <v>0</v>
      </c>
      <c r="AJ123" s="29">
        <f t="shared" si="24"/>
        <v>0</v>
      </c>
      <c r="AK123" s="136">
        <f t="shared" si="75"/>
        <v>35000000</v>
      </c>
      <c r="AL123" s="29">
        <f t="shared" si="25"/>
        <v>100</v>
      </c>
      <c r="AM123" s="26"/>
    </row>
    <row r="124" spans="1:39" ht="33" customHeight="1" x14ac:dyDescent="0.25">
      <c r="A124" s="26"/>
      <c r="B124" s="151"/>
      <c r="C124" s="151"/>
      <c r="D124" s="151"/>
      <c r="E124" s="151"/>
      <c r="F124" s="151"/>
      <c r="G124" s="151"/>
      <c r="H124" s="151"/>
      <c r="I124" s="152"/>
      <c r="J124" s="165" t="s">
        <v>563</v>
      </c>
      <c r="K124" s="27"/>
      <c r="L124" s="31"/>
      <c r="M124" s="513" t="s">
        <v>562</v>
      </c>
      <c r="N124" s="514"/>
      <c r="O124" s="34"/>
      <c r="P124" s="28"/>
      <c r="Q124" s="28">
        <v>110000000</v>
      </c>
      <c r="R124" s="29">
        <f t="shared" si="76"/>
        <v>10.29191616766467</v>
      </c>
      <c r="S124" s="29">
        <v>100</v>
      </c>
      <c r="T124" s="28">
        <f t="shared" si="20"/>
        <v>0</v>
      </c>
      <c r="U124" s="28">
        <f t="shared" si="74"/>
        <v>0</v>
      </c>
      <c r="V124" s="87">
        <f t="shared" si="22"/>
        <v>100</v>
      </c>
      <c r="W124" s="28"/>
      <c r="X124" s="28" t="e">
        <f>#REF!</f>
        <v>#REF!</v>
      </c>
      <c r="Y124" s="28" t="e">
        <f>#REF!</f>
        <v>#REF!</v>
      </c>
      <c r="Z124" s="28" t="e">
        <f>#REF!</f>
        <v>#REF!</v>
      </c>
      <c r="AA124" s="28" t="e">
        <f>#REF!</f>
        <v>#REF!</v>
      </c>
      <c r="AB124" s="28">
        <v>139212002</v>
      </c>
      <c r="AC124" s="28" t="e">
        <f>#REF!</f>
        <v>#REF!</v>
      </c>
      <c r="AD124" s="28" t="e">
        <f>#REF!</f>
        <v>#REF!</v>
      </c>
      <c r="AE124" s="28" t="e">
        <f>#REF!</f>
        <v>#REF!</v>
      </c>
      <c r="AF124" s="28" t="e">
        <f>[1]April!N37</f>
        <v>#REF!</v>
      </c>
      <c r="AG124" s="28" t="e">
        <f>[2]april!N37</f>
        <v>#REF!</v>
      </c>
      <c r="AH124" s="28">
        <f>'[3]DES SKPD'!$N37</f>
        <v>0</v>
      </c>
      <c r="AI124" s="28">
        <v>0</v>
      </c>
      <c r="AJ124" s="29">
        <f t="shared" si="24"/>
        <v>0</v>
      </c>
      <c r="AK124" s="136">
        <f t="shared" si="75"/>
        <v>110000000</v>
      </c>
      <c r="AL124" s="29">
        <f t="shared" si="25"/>
        <v>100</v>
      </c>
      <c r="AM124" s="26"/>
    </row>
    <row r="125" spans="1:39" ht="27" customHeight="1" x14ac:dyDescent="0.25">
      <c r="A125" s="26"/>
      <c r="B125" s="151"/>
      <c r="C125" s="151"/>
      <c r="D125" s="151"/>
      <c r="E125" s="151"/>
      <c r="F125" s="151"/>
      <c r="G125" s="151"/>
      <c r="H125" s="151"/>
      <c r="I125" s="152"/>
      <c r="J125" s="165" t="s">
        <v>564</v>
      </c>
      <c r="K125" s="27"/>
      <c r="L125" s="31"/>
      <c r="M125" s="513" t="s">
        <v>565</v>
      </c>
      <c r="N125" s="514"/>
      <c r="O125" s="34"/>
      <c r="P125" s="28"/>
      <c r="Q125" s="28">
        <v>25000000</v>
      </c>
      <c r="R125" s="29">
        <f t="shared" si="76"/>
        <v>2.3390718562874251</v>
      </c>
      <c r="S125" s="29">
        <v>100</v>
      </c>
      <c r="T125" s="28">
        <f t="shared" si="20"/>
        <v>0</v>
      </c>
      <c r="U125" s="28">
        <f t="shared" si="74"/>
        <v>0</v>
      </c>
      <c r="V125" s="87">
        <f t="shared" si="22"/>
        <v>100</v>
      </c>
      <c r="W125" s="28"/>
      <c r="X125" s="28" t="e">
        <f>#REF!</f>
        <v>#REF!</v>
      </c>
      <c r="Y125" s="28" t="e">
        <f>#REF!</f>
        <v>#REF!</v>
      </c>
      <c r="Z125" s="28" t="e">
        <f>#REF!</f>
        <v>#REF!</v>
      </c>
      <c r="AA125" s="28" t="e">
        <f>#REF!</f>
        <v>#REF!</v>
      </c>
      <c r="AB125" s="28">
        <v>139212003</v>
      </c>
      <c r="AC125" s="28" t="e">
        <f>#REF!</f>
        <v>#REF!</v>
      </c>
      <c r="AD125" s="28" t="e">
        <f>#REF!</f>
        <v>#REF!</v>
      </c>
      <c r="AE125" s="28" t="e">
        <f>#REF!</f>
        <v>#REF!</v>
      </c>
      <c r="AF125" s="28" t="e">
        <f>[1]April!N38</f>
        <v>#REF!</v>
      </c>
      <c r="AG125" s="28" t="e">
        <f>[2]april!N38</f>
        <v>#REF!</v>
      </c>
      <c r="AH125" s="28">
        <f>'[3]DES SKPD'!$N38</f>
        <v>322038365</v>
      </c>
      <c r="AI125" s="28">
        <v>0</v>
      </c>
      <c r="AJ125" s="29">
        <f t="shared" si="24"/>
        <v>0</v>
      </c>
      <c r="AK125" s="136">
        <f t="shared" si="75"/>
        <v>25000000</v>
      </c>
      <c r="AL125" s="29">
        <f t="shared" si="25"/>
        <v>100</v>
      </c>
      <c r="AM125" s="26"/>
    </row>
    <row r="126" spans="1:39" ht="27.75" customHeight="1" x14ac:dyDescent="0.25">
      <c r="A126" s="26"/>
      <c r="B126" s="151"/>
      <c r="C126" s="151"/>
      <c r="D126" s="151"/>
      <c r="E126" s="151"/>
      <c r="F126" s="151"/>
      <c r="G126" s="151"/>
      <c r="H126" s="151"/>
      <c r="I126" s="152"/>
      <c r="J126" s="165" t="s">
        <v>566</v>
      </c>
      <c r="K126" s="27"/>
      <c r="L126" s="31"/>
      <c r="M126" s="513" t="s">
        <v>567</v>
      </c>
      <c r="N126" s="514"/>
      <c r="O126" s="34"/>
      <c r="P126" s="28"/>
      <c r="Q126" s="28">
        <v>12000000</v>
      </c>
      <c r="R126" s="29">
        <f t="shared" si="76"/>
        <v>1.1227544910179641</v>
      </c>
      <c r="S126" s="29">
        <v>100</v>
      </c>
      <c r="T126" s="28">
        <f t="shared" si="20"/>
        <v>0</v>
      </c>
      <c r="U126" s="28">
        <f t="shared" si="74"/>
        <v>0</v>
      </c>
      <c r="V126" s="87">
        <f t="shared" si="22"/>
        <v>100</v>
      </c>
      <c r="W126" s="28"/>
      <c r="X126" s="28" t="e">
        <f>#REF!</f>
        <v>#REF!</v>
      </c>
      <c r="Y126" s="28" t="e">
        <f>#REF!</f>
        <v>#REF!</v>
      </c>
      <c r="Z126" s="28" t="e">
        <f>#REF!</f>
        <v>#REF!</v>
      </c>
      <c r="AA126" s="28" t="e">
        <f>#REF!</f>
        <v>#REF!</v>
      </c>
      <c r="AB126" s="28">
        <v>139212004</v>
      </c>
      <c r="AC126" s="28" t="e">
        <f>#REF!</f>
        <v>#REF!</v>
      </c>
      <c r="AD126" s="28" t="e">
        <f>#REF!</f>
        <v>#REF!</v>
      </c>
      <c r="AE126" s="28" t="e">
        <f>#REF!</f>
        <v>#REF!</v>
      </c>
      <c r="AF126" s="28" t="e">
        <f>[1]April!N39</f>
        <v>#REF!</v>
      </c>
      <c r="AG126" s="28" t="e">
        <f>[2]april!N39</f>
        <v>#REF!</v>
      </c>
      <c r="AH126" s="28">
        <f>'[3]DES SKPD'!$N39</f>
        <v>676934270</v>
      </c>
      <c r="AI126" s="28">
        <v>0</v>
      </c>
      <c r="AJ126" s="29">
        <f t="shared" si="24"/>
        <v>0</v>
      </c>
      <c r="AK126" s="136">
        <f t="shared" si="75"/>
        <v>12000000</v>
      </c>
      <c r="AL126" s="29">
        <f t="shared" si="25"/>
        <v>100</v>
      </c>
      <c r="AM126" s="26"/>
    </row>
    <row r="127" spans="1:39" ht="27.75" customHeight="1" x14ac:dyDescent="0.25">
      <c r="A127" s="26"/>
      <c r="B127" s="165"/>
      <c r="C127" s="165"/>
      <c r="D127" s="165"/>
      <c r="E127" s="165"/>
      <c r="F127" s="165"/>
      <c r="G127" s="165"/>
      <c r="H127" s="165"/>
      <c r="I127" s="166"/>
      <c r="J127" s="165" t="s">
        <v>435</v>
      </c>
      <c r="K127" s="27"/>
      <c r="L127" s="31"/>
      <c r="M127" s="513" t="s">
        <v>396</v>
      </c>
      <c r="N127" s="514"/>
      <c r="O127" s="34"/>
      <c r="P127" s="28"/>
      <c r="Q127" s="28">
        <v>42500000</v>
      </c>
      <c r="R127" s="29">
        <f t="shared" ref="R127" si="77">Q127/Q$122*100</f>
        <v>3.9764221556886228</v>
      </c>
      <c r="S127" s="29">
        <v>100</v>
      </c>
      <c r="T127" s="28">
        <f t="shared" ref="T127" si="78">AJ127</f>
        <v>0</v>
      </c>
      <c r="U127" s="28">
        <f t="shared" ref="U127" si="79">R127*T127/100</f>
        <v>0</v>
      </c>
      <c r="V127" s="87">
        <f t="shared" ref="V127:V130" si="80">S127-T127</f>
        <v>100</v>
      </c>
      <c r="W127" s="28"/>
      <c r="X127" s="28" t="e">
        <f>#REF!</f>
        <v>#REF!</v>
      </c>
      <c r="Y127" s="28" t="e">
        <f>#REF!</f>
        <v>#REF!</v>
      </c>
      <c r="Z127" s="28" t="e">
        <f>#REF!</f>
        <v>#REF!</v>
      </c>
      <c r="AA127" s="28" t="e">
        <f>#REF!</f>
        <v>#REF!</v>
      </c>
      <c r="AB127" s="28">
        <v>139212004</v>
      </c>
      <c r="AC127" s="28" t="e">
        <f>#REF!</f>
        <v>#REF!</v>
      </c>
      <c r="AD127" s="28" t="e">
        <f>#REF!</f>
        <v>#REF!</v>
      </c>
      <c r="AE127" s="28" t="e">
        <f>#REF!</f>
        <v>#REF!</v>
      </c>
      <c r="AF127" s="28" t="e">
        <f>[1]April!N40</f>
        <v>#REF!</v>
      </c>
      <c r="AG127" s="28" t="e">
        <f>[2]april!N40</f>
        <v>#REF!</v>
      </c>
      <c r="AH127" s="28">
        <f>'[3]DES SKPD'!$N40</f>
        <v>140440000</v>
      </c>
      <c r="AI127" s="28">
        <v>0</v>
      </c>
      <c r="AJ127" s="29">
        <f t="shared" ref="AJ127" si="81">AI127/Q127*100</f>
        <v>0</v>
      </c>
      <c r="AK127" s="136">
        <f t="shared" ref="AK127" si="82">Q127-AI127</f>
        <v>42500000</v>
      </c>
      <c r="AL127" s="29">
        <f t="shared" ref="AL127" si="83">AK127/Q127*100</f>
        <v>100</v>
      </c>
      <c r="AM127" s="26"/>
    </row>
    <row r="128" spans="1:39" ht="27.75" customHeight="1" x14ac:dyDescent="0.25">
      <c r="A128" s="26"/>
      <c r="B128" s="151"/>
      <c r="C128" s="151"/>
      <c r="D128" s="151"/>
      <c r="E128" s="151"/>
      <c r="F128" s="151"/>
      <c r="G128" s="151"/>
      <c r="H128" s="151"/>
      <c r="I128" s="152"/>
      <c r="J128" s="165" t="s">
        <v>400</v>
      </c>
      <c r="K128" s="27"/>
      <c r="L128" s="31"/>
      <c r="M128" s="513" t="s">
        <v>568</v>
      </c>
      <c r="N128" s="514"/>
      <c r="O128" s="34"/>
      <c r="P128" s="28"/>
      <c r="Q128" s="28">
        <v>493300000</v>
      </c>
      <c r="R128" s="29">
        <f t="shared" si="76"/>
        <v>46.154565868263475</v>
      </c>
      <c r="S128" s="29">
        <v>100</v>
      </c>
      <c r="T128" s="28">
        <f t="shared" si="20"/>
        <v>0</v>
      </c>
      <c r="U128" s="28">
        <f t="shared" si="74"/>
        <v>0</v>
      </c>
      <c r="V128" s="87">
        <f t="shared" si="80"/>
        <v>100</v>
      </c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>
        <v>0</v>
      </c>
      <c r="AJ128" s="29">
        <f t="shared" si="24"/>
        <v>0</v>
      </c>
      <c r="AK128" s="136">
        <f t="shared" si="75"/>
        <v>493300000</v>
      </c>
      <c r="AL128" s="29">
        <f t="shared" si="25"/>
        <v>100</v>
      </c>
      <c r="AM128" s="26"/>
    </row>
    <row r="129" spans="1:39" ht="27.75" customHeight="1" x14ac:dyDescent="0.25">
      <c r="A129" s="26"/>
      <c r="B129" s="151"/>
      <c r="C129" s="151"/>
      <c r="D129" s="151"/>
      <c r="E129" s="151"/>
      <c r="F129" s="151"/>
      <c r="G129" s="151"/>
      <c r="H129" s="151"/>
      <c r="I129" s="152"/>
      <c r="J129" s="171" t="s">
        <v>569</v>
      </c>
      <c r="K129" s="27"/>
      <c r="L129" s="31"/>
      <c r="M129" s="513" t="s">
        <v>570</v>
      </c>
      <c r="N129" s="514"/>
      <c r="O129" s="34"/>
      <c r="P129" s="28"/>
      <c r="Q129" s="28">
        <v>50000000</v>
      </c>
      <c r="R129" s="29">
        <f t="shared" si="76"/>
        <v>4.6781437125748502</v>
      </c>
      <c r="S129" s="29">
        <v>100</v>
      </c>
      <c r="T129" s="28">
        <f t="shared" si="20"/>
        <v>0</v>
      </c>
      <c r="U129" s="28">
        <f t="shared" si="74"/>
        <v>0</v>
      </c>
      <c r="V129" s="87">
        <f t="shared" si="80"/>
        <v>100</v>
      </c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>
        <v>0</v>
      </c>
      <c r="AJ129" s="29">
        <f t="shared" si="24"/>
        <v>0</v>
      </c>
      <c r="AK129" s="136">
        <f t="shared" si="75"/>
        <v>50000000</v>
      </c>
      <c r="AL129" s="29">
        <f t="shared" si="25"/>
        <v>100</v>
      </c>
      <c r="AM129" s="26"/>
    </row>
    <row r="130" spans="1:39" ht="27.75" customHeight="1" x14ac:dyDescent="0.25">
      <c r="A130" s="26"/>
      <c r="B130" s="151"/>
      <c r="C130" s="151"/>
      <c r="D130" s="151"/>
      <c r="E130" s="151"/>
      <c r="F130" s="151"/>
      <c r="G130" s="151"/>
      <c r="H130" s="151"/>
      <c r="I130" s="152"/>
      <c r="J130" s="171" t="s">
        <v>286</v>
      </c>
      <c r="K130" s="27"/>
      <c r="L130" s="31"/>
      <c r="M130" s="513" t="s">
        <v>571</v>
      </c>
      <c r="N130" s="514"/>
      <c r="O130" s="34"/>
      <c r="P130" s="28"/>
      <c r="Q130" s="28">
        <v>50000000</v>
      </c>
      <c r="R130" s="29">
        <f t="shared" si="76"/>
        <v>4.6781437125748502</v>
      </c>
      <c r="S130" s="29">
        <v>100</v>
      </c>
      <c r="T130" s="28">
        <f t="shared" si="20"/>
        <v>0</v>
      </c>
      <c r="U130" s="28">
        <f t="shared" si="74"/>
        <v>0</v>
      </c>
      <c r="V130" s="87">
        <f t="shared" si="80"/>
        <v>100</v>
      </c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>
        <v>0</v>
      </c>
      <c r="AJ130" s="29">
        <f t="shared" si="24"/>
        <v>0</v>
      </c>
      <c r="AK130" s="136">
        <f t="shared" si="75"/>
        <v>50000000</v>
      </c>
      <c r="AL130" s="29">
        <f t="shared" si="25"/>
        <v>100</v>
      </c>
      <c r="AM130" s="26"/>
    </row>
    <row r="131" spans="1:39" ht="27.75" customHeight="1" x14ac:dyDescent="0.25">
      <c r="A131" s="26"/>
      <c r="B131" s="171"/>
      <c r="C131" s="171"/>
      <c r="D131" s="171"/>
      <c r="E131" s="171"/>
      <c r="F131" s="171"/>
      <c r="G131" s="171"/>
      <c r="H131" s="171"/>
      <c r="I131" s="172"/>
      <c r="J131" s="171" t="s">
        <v>402</v>
      </c>
      <c r="K131" s="27"/>
      <c r="L131" s="31"/>
      <c r="M131" s="513" t="s">
        <v>572</v>
      </c>
      <c r="N131" s="514"/>
      <c r="O131" s="34"/>
      <c r="P131" s="28"/>
      <c r="Q131" s="28">
        <v>192000000</v>
      </c>
      <c r="R131" s="29">
        <f t="shared" ref="R131:R133" si="84">Q131/Q$122*100</f>
        <v>17.964071856287426</v>
      </c>
      <c r="S131" s="29">
        <v>100</v>
      </c>
      <c r="T131" s="28">
        <f t="shared" ref="T131:T134" si="85">AJ131</f>
        <v>0</v>
      </c>
      <c r="U131" s="28">
        <f t="shared" ref="U131:U134" si="86">R131*T131/100</f>
        <v>0</v>
      </c>
      <c r="V131" s="87">
        <f t="shared" ref="V131:V134" si="87">S131-T131</f>
        <v>100</v>
      </c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>
        <v>0</v>
      </c>
      <c r="AJ131" s="29">
        <f t="shared" ref="AJ131:AJ134" si="88">AI131/Q131*100</f>
        <v>0</v>
      </c>
      <c r="AK131" s="136">
        <f t="shared" ref="AK131:AK134" si="89">Q131-AI131</f>
        <v>192000000</v>
      </c>
      <c r="AL131" s="29">
        <f t="shared" ref="AL131:AL134" si="90">AK131/Q131*100</f>
        <v>100</v>
      </c>
      <c r="AM131" s="26"/>
    </row>
    <row r="132" spans="1:39" ht="27.75" customHeight="1" x14ac:dyDescent="0.25">
      <c r="A132" s="26"/>
      <c r="B132" s="171"/>
      <c r="C132" s="171"/>
      <c r="D132" s="171"/>
      <c r="E132" s="171"/>
      <c r="F132" s="171"/>
      <c r="G132" s="171"/>
      <c r="H132" s="171"/>
      <c r="I132" s="172"/>
      <c r="J132" s="171" t="s">
        <v>573</v>
      </c>
      <c r="K132" s="27"/>
      <c r="L132" s="31"/>
      <c r="M132" s="513" t="s">
        <v>574</v>
      </c>
      <c r="N132" s="514"/>
      <c r="O132" s="34"/>
      <c r="P132" s="28"/>
      <c r="Q132" s="28">
        <v>15000000</v>
      </c>
      <c r="R132" s="29">
        <f t="shared" si="84"/>
        <v>1.403443113772455</v>
      </c>
      <c r="S132" s="29">
        <v>100</v>
      </c>
      <c r="T132" s="28">
        <f t="shared" si="85"/>
        <v>0</v>
      </c>
      <c r="U132" s="28">
        <f t="shared" si="86"/>
        <v>0</v>
      </c>
      <c r="V132" s="87">
        <f t="shared" si="87"/>
        <v>100</v>
      </c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>
        <v>0</v>
      </c>
      <c r="AJ132" s="29">
        <f t="shared" si="88"/>
        <v>0</v>
      </c>
      <c r="AK132" s="136">
        <f t="shared" si="89"/>
        <v>15000000</v>
      </c>
      <c r="AL132" s="29">
        <f t="shared" si="90"/>
        <v>100</v>
      </c>
      <c r="AM132" s="26"/>
    </row>
    <row r="133" spans="1:39" ht="27.75" customHeight="1" x14ac:dyDescent="0.25">
      <c r="A133" s="26"/>
      <c r="B133" s="171"/>
      <c r="C133" s="171"/>
      <c r="D133" s="171"/>
      <c r="E133" s="171"/>
      <c r="F133" s="171"/>
      <c r="G133" s="171"/>
      <c r="H133" s="171"/>
      <c r="I133" s="172"/>
      <c r="J133" s="171" t="s">
        <v>575</v>
      </c>
      <c r="K133" s="27"/>
      <c r="L133" s="31"/>
      <c r="M133" s="513" t="s">
        <v>576</v>
      </c>
      <c r="N133" s="514"/>
      <c r="O133" s="34"/>
      <c r="P133" s="28"/>
      <c r="Q133" s="28">
        <v>44000000</v>
      </c>
      <c r="R133" s="29">
        <f t="shared" si="84"/>
        <v>4.1167664670658679</v>
      </c>
      <c r="S133" s="29">
        <v>100</v>
      </c>
      <c r="T133" s="28">
        <f t="shared" si="85"/>
        <v>0</v>
      </c>
      <c r="U133" s="28">
        <f t="shared" si="86"/>
        <v>0</v>
      </c>
      <c r="V133" s="87">
        <f t="shared" si="87"/>
        <v>100</v>
      </c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>
        <v>0</v>
      </c>
      <c r="AJ133" s="29">
        <f t="shared" si="88"/>
        <v>0</v>
      </c>
      <c r="AK133" s="136">
        <f t="shared" si="89"/>
        <v>44000000</v>
      </c>
      <c r="AL133" s="29">
        <f t="shared" si="90"/>
        <v>100</v>
      </c>
      <c r="AM133" s="26"/>
    </row>
    <row r="134" spans="1:39" s="41" customFormat="1" ht="24.75" customHeight="1" x14ac:dyDescent="0.25">
      <c r="A134" s="21">
        <f>A122+1</f>
        <v>17</v>
      </c>
      <c r="B134" s="543" t="s">
        <v>127</v>
      </c>
      <c r="C134" s="543"/>
      <c r="D134" s="543"/>
      <c r="E134" s="543"/>
      <c r="F134" s="543"/>
      <c r="G134" s="543"/>
      <c r="H134" s="543"/>
      <c r="I134" s="544"/>
      <c r="J134" s="122" t="s">
        <v>456</v>
      </c>
      <c r="K134" s="22"/>
      <c r="L134" s="72"/>
      <c r="M134" s="543" t="s">
        <v>579</v>
      </c>
      <c r="N134" s="544"/>
      <c r="O134" s="73">
        <v>68210000</v>
      </c>
      <c r="P134" s="23">
        <f>O134</f>
        <v>68210000</v>
      </c>
      <c r="Q134" s="23">
        <f>SUM(Q135:Q135)</f>
        <v>190800000</v>
      </c>
      <c r="R134" s="24">
        <f>Q134/Q$54*100</f>
        <v>7.5537170712609081</v>
      </c>
      <c r="S134" s="24">
        <v>100</v>
      </c>
      <c r="T134" s="23">
        <f t="shared" si="85"/>
        <v>0</v>
      </c>
      <c r="U134" s="23">
        <f t="shared" si="86"/>
        <v>0</v>
      </c>
      <c r="V134" s="90">
        <f t="shared" si="87"/>
        <v>100</v>
      </c>
      <c r="W134" s="23"/>
      <c r="X134" s="23" t="e">
        <f>#REF!</f>
        <v>#REF!</v>
      </c>
      <c r="Y134" s="23" t="e">
        <f>#REF!</f>
        <v>#REF!</v>
      </c>
      <c r="Z134" s="23" t="e">
        <f>#REF!</f>
        <v>#REF!</v>
      </c>
      <c r="AA134" s="23" t="e">
        <f>#REF!</f>
        <v>#REF!</v>
      </c>
      <c r="AB134" s="23">
        <v>139212000</v>
      </c>
      <c r="AC134" s="23" t="e">
        <f>#REF!</f>
        <v>#REF!</v>
      </c>
      <c r="AD134" s="23" t="e">
        <f>#REF!</f>
        <v>#REF!</v>
      </c>
      <c r="AE134" s="23" t="e">
        <f>#REF!</f>
        <v>#REF!</v>
      </c>
      <c r="AF134" s="23" t="e">
        <f>[1]April!N47</f>
        <v>#REF!</v>
      </c>
      <c r="AG134" s="23" t="e">
        <f>[2]april!N47</f>
        <v>#REF!</v>
      </c>
      <c r="AH134" s="23" t="e">
        <f>'[3]DES SKPD'!$N47</f>
        <v>#REF!</v>
      </c>
      <c r="AI134" s="23">
        <f>SUM(AI135)</f>
        <v>0</v>
      </c>
      <c r="AJ134" s="24">
        <f t="shared" si="88"/>
        <v>0</v>
      </c>
      <c r="AK134" s="134">
        <f t="shared" si="89"/>
        <v>190800000</v>
      </c>
      <c r="AL134" s="24">
        <f t="shared" si="90"/>
        <v>100</v>
      </c>
      <c r="AM134" s="21"/>
    </row>
    <row r="135" spans="1:39" ht="29.25" customHeight="1" x14ac:dyDescent="0.25">
      <c r="A135" s="26"/>
      <c r="B135" s="151"/>
      <c r="C135" s="151"/>
      <c r="D135" s="151"/>
      <c r="E135" s="151"/>
      <c r="F135" s="151"/>
      <c r="G135" s="151"/>
      <c r="H135" s="151"/>
      <c r="I135" s="152"/>
      <c r="J135" s="171" t="s">
        <v>577</v>
      </c>
      <c r="K135" s="27"/>
      <c r="L135" s="31"/>
      <c r="M135" s="513" t="s">
        <v>578</v>
      </c>
      <c r="N135" s="514"/>
      <c r="O135" s="34"/>
      <c r="P135" s="28"/>
      <c r="Q135" s="28">
        <v>190800000</v>
      </c>
      <c r="R135" s="29">
        <f t="shared" ref="R135" si="91">Q135/Q$122*100</f>
        <v>17.851796407185631</v>
      </c>
      <c r="S135" s="29">
        <v>100</v>
      </c>
      <c r="T135" s="28">
        <f t="shared" si="20"/>
        <v>0</v>
      </c>
      <c r="U135" s="28">
        <f t="shared" si="74"/>
        <v>0</v>
      </c>
      <c r="V135" s="87">
        <f t="shared" ref="V135" si="92">S135-T135</f>
        <v>100</v>
      </c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>
        <v>0</v>
      </c>
      <c r="AJ135" s="29">
        <f t="shared" si="24"/>
        <v>0</v>
      </c>
      <c r="AK135" s="136">
        <f t="shared" si="75"/>
        <v>190800000</v>
      </c>
      <c r="AL135" s="29">
        <f t="shared" si="25"/>
        <v>100</v>
      </c>
      <c r="AM135" s="26"/>
    </row>
    <row r="136" spans="1:39" s="41" customFormat="1" ht="31.5" customHeight="1" x14ac:dyDescent="0.25">
      <c r="A136" s="21">
        <f>A134+1</f>
        <v>18</v>
      </c>
      <c r="B136" s="543" t="s">
        <v>128</v>
      </c>
      <c r="C136" s="543"/>
      <c r="D136" s="543"/>
      <c r="E136" s="543"/>
      <c r="F136" s="543"/>
      <c r="G136" s="543"/>
      <c r="H136" s="543"/>
      <c r="I136" s="544"/>
      <c r="J136" s="122" t="s">
        <v>457</v>
      </c>
      <c r="K136" s="22"/>
      <c r="L136" s="72"/>
      <c r="M136" s="545" t="s">
        <v>129</v>
      </c>
      <c r="N136" s="546"/>
      <c r="O136" s="73">
        <v>295960000</v>
      </c>
      <c r="P136" s="23">
        <v>0</v>
      </c>
      <c r="Q136" s="23">
        <f>SUM(Q137:Q138)</f>
        <v>326040000</v>
      </c>
      <c r="R136" s="24">
        <f>Q136/Q$54*100</f>
        <v>12.90782973749427</v>
      </c>
      <c r="S136" s="24">
        <v>100</v>
      </c>
      <c r="T136" s="23">
        <f t="shared" si="20"/>
        <v>0</v>
      </c>
      <c r="U136" s="23">
        <f>R136*T136/100</f>
        <v>0</v>
      </c>
      <c r="V136" s="90">
        <f t="shared" ref="V136:V148" si="93">S136-T136</f>
        <v>100</v>
      </c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 t="e">
        <f>[2]april!N37</f>
        <v>#REF!</v>
      </c>
      <c r="AH136" s="23">
        <f>'[3]DES SKPD'!$N37</f>
        <v>0</v>
      </c>
      <c r="AI136" s="23">
        <f>SUM(AI137:AI138)</f>
        <v>0</v>
      </c>
      <c r="AJ136" s="24">
        <f t="shared" si="24"/>
        <v>0</v>
      </c>
      <c r="AK136" s="134">
        <f t="shared" si="75"/>
        <v>326040000</v>
      </c>
      <c r="AL136" s="24">
        <f t="shared" si="25"/>
        <v>100</v>
      </c>
      <c r="AM136" s="21"/>
    </row>
    <row r="137" spans="1:39" ht="24.75" customHeight="1" x14ac:dyDescent="0.25">
      <c r="A137" s="26"/>
      <c r="B137" s="151"/>
      <c r="C137" s="151"/>
      <c r="D137" s="151"/>
      <c r="E137" s="151"/>
      <c r="F137" s="151"/>
      <c r="G137" s="151"/>
      <c r="H137" s="151"/>
      <c r="I137" s="152"/>
      <c r="J137" s="171" t="s">
        <v>259</v>
      </c>
      <c r="K137" s="27"/>
      <c r="L137" s="31"/>
      <c r="M137" s="555" t="s">
        <v>260</v>
      </c>
      <c r="N137" s="556"/>
      <c r="O137" s="34"/>
      <c r="P137" s="28"/>
      <c r="Q137" s="28">
        <v>1040000</v>
      </c>
      <c r="R137" s="29" t="e">
        <f>Q137/Q$33*100</f>
        <v>#REF!</v>
      </c>
      <c r="S137" s="29">
        <v>100</v>
      </c>
      <c r="T137" s="28">
        <f t="shared" si="20"/>
        <v>0</v>
      </c>
      <c r="U137" s="28" t="e">
        <f>R137*T137/100</f>
        <v>#REF!</v>
      </c>
      <c r="V137" s="87">
        <f t="shared" si="93"/>
        <v>100</v>
      </c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>
        <v>0</v>
      </c>
      <c r="AJ137" s="29">
        <f t="shared" si="24"/>
        <v>0</v>
      </c>
      <c r="AK137" s="136">
        <f t="shared" si="75"/>
        <v>1040000</v>
      </c>
      <c r="AL137" s="29">
        <f t="shared" si="25"/>
        <v>100</v>
      </c>
      <c r="AM137" s="26"/>
    </row>
    <row r="138" spans="1:39" ht="24.75" customHeight="1" x14ac:dyDescent="0.25">
      <c r="A138" s="26"/>
      <c r="B138" s="151"/>
      <c r="C138" s="151"/>
      <c r="D138" s="151"/>
      <c r="E138" s="151"/>
      <c r="F138" s="151"/>
      <c r="G138" s="151"/>
      <c r="H138" s="151"/>
      <c r="I138" s="152"/>
      <c r="J138" s="151" t="s">
        <v>288</v>
      </c>
      <c r="K138" s="27"/>
      <c r="L138" s="31"/>
      <c r="M138" s="515" t="s">
        <v>289</v>
      </c>
      <c r="N138" s="516"/>
      <c r="O138" s="34"/>
      <c r="P138" s="28"/>
      <c r="Q138" s="28">
        <v>325000000</v>
      </c>
      <c r="R138" s="29">
        <f>Q138/Q$136*100</f>
        <v>99.681020733652318</v>
      </c>
      <c r="S138" s="29">
        <v>100</v>
      </c>
      <c r="T138" s="28">
        <f t="shared" si="20"/>
        <v>0</v>
      </c>
      <c r="U138" s="28">
        <f>R138*T138/100</f>
        <v>0</v>
      </c>
      <c r="V138" s="87">
        <f t="shared" si="93"/>
        <v>100</v>
      </c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 t="e">
        <f>[2]april!N39</f>
        <v>#REF!</v>
      </c>
      <c r="AH138" s="28">
        <f>'[3]DES SKPD'!$N39</f>
        <v>676934270</v>
      </c>
      <c r="AI138" s="28">
        <v>0</v>
      </c>
      <c r="AJ138" s="29">
        <f t="shared" si="24"/>
        <v>0</v>
      </c>
      <c r="AK138" s="136">
        <f t="shared" si="75"/>
        <v>325000000</v>
      </c>
      <c r="AL138" s="29">
        <f t="shared" si="25"/>
        <v>100</v>
      </c>
      <c r="AM138" s="26"/>
    </row>
    <row r="139" spans="1:39" s="41" customFormat="1" ht="31.5" customHeight="1" x14ac:dyDescent="0.25">
      <c r="A139" s="21">
        <f>A136+1</f>
        <v>19</v>
      </c>
      <c r="B139" s="543" t="s">
        <v>128</v>
      </c>
      <c r="C139" s="543"/>
      <c r="D139" s="543"/>
      <c r="E139" s="543"/>
      <c r="F139" s="543"/>
      <c r="G139" s="543"/>
      <c r="H139" s="543"/>
      <c r="I139" s="544"/>
      <c r="J139" s="122" t="s">
        <v>458</v>
      </c>
      <c r="K139" s="22"/>
      <c r="L139" s="72"/>
      <c r="M139" s="545" t="s">
        <v>26</v>
      </c>
      <c r="N139" s="546"/>
      <c r="O139" s="73">
        <v>295960000</v>
      </c>
      <c r="P139" s="23">
        <f>O139</f>
        <v>295960000</v>
      </c>
      <c r="Q139" s="23">
        <f>SUM(Q140:Q142)</f>
        <v>151500000</v>
      </c>
      <c r="R139" s="24">
        <f>Q139/Q$54*100</f>
        <v>5.9978413851993064</v>
      </c>
      <c r="S139" s="24">
        <v>100</v>
      </c>
      <c r="T139" s="23">
        <f t="shared" ref="T139:T196" si="94">AJ139</f>
        <v>0</v>
      </c>
      <c r="U139" s="23">
        <f>R139*T139/100</f>
        <v>0</v>
      </c>
      <c r="V139" s="90">
        <f t="shared" si="93"/>
        <v>100</v>
      </c>
      <c r="W139" s="23"/>
      <c r="X139" s="23" t="e">
        <f>#REF!</f>
        <v>#REF!</v>
      </c>
      <c r="Y139" s="23" t="e">
        <f>#REF!</f>
        <v>#REF!</v>
      </c>
      <c r="Z139" s="23" t="e">
        <f>#REF!</f>
        <v>#REF!</v>
      </c>
      <c r="AA139" s="23" t="e">
        <f>#REF!</f>
        <v>#REF!</v>
      </c>
      <c r="AB139" s="23">
        <v>91844000</v>
      </c>
      <c r="AC139" s="23" t="e">
        <f>#REF!</f>
        <v>#REF!</v>
      </c>
      <c r="AD139" s="23" t="e">
        <f>#REF!</f>
        <v>#REF!</v>
      </c>
      <c r="AE139" s="23" t="e">
        <f>#REF!</f>
        <v>#REF!</v>
      </c>
      <c r="AF139" s="23" t="e">
        <f>[1]April!N38</f>
        <v>#REF!</v>
      </c>
      <c r="AG139" s="23" t="e">
        <f>[2]april!N38</f>
        <v>#REF!</v>
      </c>
      <c r="AH139" s="23">
        <f>'[3]DES SKPD'!$N38</f>
        <v>322038365</v>
      </c>
      <c r="AI139" s="23">
        <f>SUM(AI140:AI142)</f>
        <v>0</v>
      </c>
      <c r="AJ139" s="24">
        <f t="shared" ref="AJ139:AJ196" si="95">AI139/Q139*100</f>
        <v>0</v>
      </c>
      <c r="AK139" s="134">
        <f t="shared" si="75"/>
        <v>151500000</v>
      </c>
      <c r="AL139" s="24">
        <f t="shared" ref="AL139:AL196" si="96">AK139/Q139*100</f>
        <v>100</v>
      </c>
      <c r="AM139" s="21"/>
    </row>
    <row r="140" spans="1:39" ht="30.75" customHeight="1" x14ac:dyDescent="0.25">
      <c r="A140" s="26"/>
      <c r="B140" s="151"/>
      <c r="C140" s="151"/>
      <c r="D140" s="151"/>
      <c r="E140" s="151"/>
      <c r="F140" s="151"/>
      <c r="G140" s="151"/>
      <c r="H140" s="151"/>
      <c r="I140" s="152"/>
      <c r="J140" s="151" t="s">
        <v>259</v>
      </c>
      <c r="K140" s="27"/>
      <c r="L140" s="31"/>
      <c r="M140" s="515" t="s">
        <v>260</v>
      </c>
      <c r="N140" s="516"/>
      <c r="O140" s="34"/>
      <c r="P140" s="28"/>
      <c r="Q140" s="28">
        <v>800000</v>
      </c>
      <c r="R140" s="29">
        <f>Q140/Q$139*100</f>
        <v>0.528052805280528</v>
      </c>
      <c r="S140" s="29">
        <v>100</v>
      </c>
      <c r="T140" s="28">
        <f t="shared" si="94"/>
        <v>0</v>
      </c>
      <c r="U140" s="28">
        <f t="shared" ref="U140:U153" si="97">R140*T140/100</f>
        <v>0</v>
      </c>
      <c r="V140" s="87">
        <f t="shared" si="93"/>
        <v>100</v>
      </c>
      <c r="W140" s="28"/>
      <c r="X140" s="28" t="e">
        <f>#REF!</f>
        <v>#REF!</v>
      </c>
      <c r="Y140" s="28" t="e">
        <f>#REF!</f>
        <v>#REF!</v>
      </c>
      <c r="Z140" s="28" t="e">
        <f>#REF!</f>
        <v>#REF!</v>
      </c>
      <c r="AA140" s="28" t="e">
        <f>#REF!</f>
        <v>#REF!</v>
      </c>
      <c r="AB140" s="28">
        <v>91844002</v>
      </c>
      <c r="AC140" s="28" t="e">
        <f>#REF!</f>
        <v>#REF!</v>
      </c>
      <c r="AD140" s="28" t="e">
        <f>#REF!</f>
        <v>#REF!</v>
      </c>
      <c r="AE140" s="28" t="e">
        <f>#REF!</f>
        <v>#REF!</v>
      </c>
      <c r="AF140" s="28" t="e">
        <f>[1]April!N40</f>
        <v>#REF!</v>
      </c>
      <c r="AG140" s="28" t="e">
        <f>[2]april!N40</f>
        <v>#REF!</v>
      </c>
      <c r="AH140" s="28">
        <f>'[3]DES SKPD'!$N40</f>
        <v>140440000</v>
      </c>
      <c r="AI140" s="28">
        <v>0</v>
      </c>
      <c r="AJ140" s="29">
        <f t="shared" si="95"/>
        <v>0</v>
      </c>
      <c r="AK140" s="136">
        <f t="shared" si="75"/>
        <v>800000</v>
      </c>
      <c r="AL140" s="29">
        <f t="shared" si="96"/>
        <v>100</v>
      </c>
      <c r="AM140" s="26"/>
    </row>
    <row r="141" spans="1:39" ht="24.75" customHeight="1" x14ac:dyDescent="0.25">
      <c r="A141" s="26"/>
      <c r="B141" s="151"/>
      <c r="C141" s="151"/>
      <c r="D141" s="151"/>
      <c r="E141" s="151"/>
      <c r="F141" s="151"/>
      <c r="G141" s="151"/>
      <c r="H141" s="151"/>
      <c r="I141" s="152"/>
      <c r="J141" s="151" t="s">
        <v>290</v>
      </c>
      <c r="K141" s="27"/>
      <c r="L141" s="31"/>
      <c r="M141" s="515" t="s">
        <v>291</v>
      </c>
      <c r="N141" s="516"/>
      <c r="O141" s="34"/>
      <c r="P141" s="28"/>
      <c r="Q141" s="28">
        <v>95400000</v>
      </c>
      <c r="R141" s="29">
        <f>Q141/Q$139*100</f>
        <v>62.970297029702969</v>
      </c>
      <c r="S141" s="29">
        <v>100</v>
      </c>
      <c r="T141" s="28">
        <f t="shared" si="94"/>
        <v>0</v>
      </c>
      <c r="U141" s="28">
        <f t="shared" si="97"/>
        <v>0</v>
      </c>
      <c r="V141" s="87">
        <f t="shared" si="93"/>
        <v>100</v>
      </c>
      <c r="W141" s="28"/>
      <c r="X141" s="28" t="e">
        <f>#REF!</f>
        <v>#REF!</v>
      </c>
      <c r="Y141" s="28" t="e">
        <f>#REF!</f>
        <v>#REF!</v>
      </c>
      <c r="Z141" s="28" t="e">
        <f>#REF!</f>
        <v>#REF!</v>
      </c>
      <c r="AA141" s="28" t="e">
        <f>#REF!</f>
        <v>#REF!</v>
      </c>
      <c r="AB141" s="28">
        <v>91844003</v>
      </c>
      <c r="AC141" s="28" t="e">
        <f>#REF!</f>
        <v>#REF!</v>
      </c>
      <c r="AD141" s="28" t="e">
        <f>#REF!</f>
        <v>#REF!</v>
      </c>
      <c r="AE141" s="28" t="e">
        <f>#REF!</f>
        <v>#REF!</v>
      </c>
      <c r="AF141" s="28" t="e">
        <f>[1]April!N41</f>
        <v>#REF!</v>
      </c>
      <c r="AG141" s="28" t="e">
        <f>[2]april!N41</f>
        <v>#REF!</v>
      </c>
      <c r="AH141" s="28">
        <f>'[3]DES SKPD'!$N41</f>
        <v>231767600</v>
      </c>
      <c r="AI141" s="28">
        <v>0</v>
      </c>
      <c r="AJ141" s="29">
        <f t="shared" si="95"/>
        <v>0</v>
      </c>
      <c r="AK141" s="136">
        <f t="shared" si="75"/>
        <v>95400000</v>
      </c>
      <c r="AL141" s="29">
        <f t="shared" si="96"/>
        <v>100</v>
      </c>
      <c r="AM141" s="26"/>
    </row>
    <row r="142" spans="1:39" ht="36" customHeight="1" x14ac:dyDescent="0.25">
      <c r="A142" s="26"/>
      <c r="B142" s="151"/>
      <c r="C142" s="151"/>
      <c r="D142" s="151"/>
      <c r="E142" s="151"/>
      <c r="F142" s="151"/>
      <c r="G142" s="151"/>
      <c r="H142" s="151"/>
      <c r="I142" s="152"/>
      <c r="J142" s="151" t="s">
        <v>292</v>
      </c>
      <c r="K142" s="27"/>
      <c r="L142" s="31"/>
      <c r="M142" s="515" t="s">
        <v>293</v>
      </c>
      <c r="N142" s="516"/>
      <c r="O142" s="34"/>
      <c r="P142" s="28"/>
      <c r="Q142" s="28">
        <v>55300000</v>
      </c>
      <c r="R142" s="29">
        <f>Q142/Q$139*100</f>
        <v>36.5016501650165</v>
      </c>
      <c r="S142" s="29">
        <v>100</v>
      </c>
      <c r="T142" s="28">
        <f t="shared" si="94"/>
        <v>0</v>
      </c>
      <c r="U142" s="28">
        <f t="shared" si="97"/>
        <v>0</v>
      </c>
      <c r="V142" s="87">
        <f t="shared" si="93"/>
        <v>100</v>
      </c>
      <c r="W142" s="28"/>
      <c r="X142" s="28" t="e">
        <f>#REF!</f>
        <v>#REF!</v>
      </c>
      <c r="Y142" s="28" t="e">
        <f>#REF!</f>
        <v>#REF!</v>
      </c>
      <c r="Z142" s="28" t="e">
        <f>#REF!</f>
        <v>#REF!</v>
      </c>
      <c r="AA142" s="28" t="e">
        <f>#REF!</f>
        <v>#REF!</v>
      </c>
      <c r="AB142" s="28">
        <v>91844004</v>
      </c>
      <c r="AC142" s="28" t="e">
        <f>#REF!</f>
        <v>#REF!</v>
      </c>
      <c r="AD142" s="28" t="e">
        <f>#REF!</f>
        <v>#REF!</v>
      </c>
      <c r="AE142" s="28" t="e">
        <f>#REF!</f>
        <v>#REF!</v>
      </c>
      <c r="AF142" s="28" t="e">
        <f>[1]April!N42</f>
        <v>#REF!</v>
      </c>
      <c r="AG142" s="28" t="e">
        <f>[2]april!N42</f>
        <v>#REF!</v>
      </c>
      <c r="AH142" s="28" t="e">
        <f>'[3]DES SKPD'!$N42</f>
        <v>#REF!</v>
      </c>
      <c r="AI142" s="28">
        <v>0</v>
      </c>
      <c r="AJ142" s="29">
        <f t="shared" si="95"/>
        <v>0</v>
      </c>
      <c r="AK142" s="136">
        <f t="shared" si="75"/>
        <v>55300000</v>
      </c>
      <c r="AL142" s="29">
        <f t="shared" si="96"/>
        <v>100</v>
      </c>
      <c r="AM142" s="26"/>
    </row>
    <row r="143" spans="1:39" s="41" customFormat="1" ht="32.25" customHeight="1" x14ac:dyDescent="0.25">
      <c r="A143" s="21">
        <f>A139+1</f>
        <v>20</v>
      </c>
      <c r="B143" s="543" t="s">
        <v>130</v>
      </c>
      <c r="C143" s="543"/>
      <c r="D143" s="543"/>
      <c r="E143" s="543"/>
      <c r="F143" s="543"/>
      <c r="G143" s="543"/>
      <c r="H143" s="543"/>
      <c r="I143" s="544"/>
      <c r="J143" s="122" t="s">
        <v>459</v>
      </c>
      <c r="K143" s="22"/>
      <c r="L143" s="72"/>
      <c r="M143" s="545" t="s">
        <v>27</v>
      </c>
      <c r="N143" s="546"/>
      <c r="O143" s="73">
        <v>641710000</v>
      </c>
      <c r="P143" s="23">
        <f>O143</f>
        <v>641710000</v>
      </c>
      <c r="Q143" s="23">
        <f>SUM(Q144:Q149)</f>
        <v>1058810000</v>
      </c>
      <c r="R143" s="24">
        <f>Q143/Q$54*100</f>
        <v>41.917983082923286</v>
      </c>
      <c r="S143" s="24">
        <v>100</v>
      </c>
      <c r="T143" s="23">
        <f>AJ143</f>
        <v>0</v>
      </c>
      <c r="U143" s="23">
        <f>R143*T143/100</f>
        <v>0</v>
      </c>
      <c r="V143" s="90">
        <f>S143-T143</f>
        <v>100</v>
      </c>
      <c r="W143" s="23"/>
      <c r="X143" s="23" t="e">
        <f>#REF!</f>
        <v>#REF!</v>
      </c>
      <c r="Y143" s="23" t="e">
        <f>#REF!</f>
        <v>#REF!</v>
      </c>
      <c r="Z143" s="23" t="e">
        <f>#REF!</f>
        <v>#REF!</v>
      </c>
      <c r="AA143" s="23" t="e">
        <f>#REF!</f>
        <v>#REF!</v>
      </c>
      <c r="AB143" s="23">
        <v>335806263</v>
      </c>
      <c r="AC143" s="23" t="e">
        <f>#REF!</f>
        <v>#REF!</v>
      </c>
      <c r="AD143" s="23" t="e">
        <f>#REF!</f>
        <v>#REF!</v>
      </c>
      <c r="AE143" s="23" t="e">
        <f>#REF!</f>
        <v>#REF!</v>
      </c>
      <c r="AF143" s="23" t="e">
        <f>[1]April!N39</f>
        <v>#REF!</v>
      </c>
      <c r="AG143" s="23" t="e">
        <f>[2]april!N39</f>
        <v>#REF!</v>
      </c>
      <c r="AH143" s="23">
        <f>'[3]DES SKPD'!$N39</f>
        <v>676934270</v>
      </c>
      <c r="AI143" s="23">
        <f>SUM(AI144:AI149)</f>
        <v>0</v>
      </c>
      <c r="AJ143" s="24">
        <f>AI143/Q143*100</f>
        <v>0</v>
      </c>
      <c r="AK143" s="134">
        <f>Q143-AI143</f>
        <v>1058810000</v>
      </c>
      <c r="AL143" s="24">
        <f>AK143/Q143*100</f>
        <v>100</v>
      </c>
      <c r="AM143" s="21"/>
    </row>
    <row r="144" spans="1:39" s="41" customFormat="1" ht="32.25" customHeight="1" x14ac:dyDescent="0.25">
      <c r="A144" s="21"/>
      <c r="B144" s="173"/>
      <c r="C144" s="173"/>
      <c r="D144" s="173"/>
      <c r="E144" s="173"/>
      <c r="F144" s="173"/>
      <c r="G144" s="173"/>
      <c r="H144" s="173"/>
      <c r="I144" s="174"/>
      <c r="J144" s="171" t="s">
        <v>259</v>
      </c>
      <c r="K144" s="27"/>
      <c r="L144" s="31"/>
      <c r="M144" s="515" t="s">
        <v>260</v>
      </c>
      <c r="N144" s="516"/>
      <c r="O144" s="34"/>
      <c r="P144" s="28"/>
      <c r="Q144" s="28">
        <v>800000</v>
      </c>
      <c r="R144" s="29">
        <f>Q144/Q$139*100</f>
        <v>0.528052805280528</v>
      </c>
      <c r="S144" s="29">
        <v>100</v>
      </c>
      <c r="T144" s="28">
        <f t="shared" ref="T144" si="98">AJ144</f>
        <v>0</v>
      </c>
      <c r="U144" s="28">
        <f t="shared" ref="U144" si="99">R144*T144/100</f>
        <v>0</v>
      </c>
      <c r="V144" s="87">
        <f t="shared" ref="V144" si="100">S144-T144</f>
        <v>100</v>
      </c>
      <c r="W144" s="28"/>
      <c r="X144" s="28" t="e">
        <f>#REF!</f>
        <v>#REF!</v>
      </c>
      <c r="Y144" s="28" t="e">
        <f>#REF!</f>
        <v>#REF!</v>
      </c>
      <c r="Z144" s="28" t="e">
        <f>#REF!</f>
        <v>#REF!</v>
      </c>
      <c r="AA144" s="28" t="e">
        <f>#REF!</f>
        <v>#REF!</v>
      </c>
      <c r="AB144" s="28">
        <v>91844002</v>
      </c>
      <c r="AC144" s="28" t="e">
        <f>#REF!</f>
        <v>#REF!</v>
      </c>
      <c r="AD144" s="28" t="e">
        <f>#REF!</f>
        <v>#REF!</v>
      </c>
      <c r="AE144" s="28" t="e">
        <f>#REF!</f>
        <v>#REF!</v>
      </c>
      <c r="AF144" s="28" t="e">
        <f>[1]April!N44</f>
        <v>#REF!</v>
      </c>
      <c r="AG144" s="28" t="e">
        <f>[2]april!N44</f>
        <v>#REF!</v>
      </c>
      <c r="AH144" s="28" t="e">
        <f>'[3]DES SKPD'!$N44</f>
        <v>#REF!</v>
      </c>
      <c r="AI144" s="28">
        <v>0</v>
      </c>
      <c r="AJ144" s="29">
        <f t="shared" ref="AJ144" si="101">AI144/Q144*100</f>
        <v>0</v>
      </c>
      <c r="AK144" s="136">
        <f t="shared" ref="AK144" si="102">Q144-AI144</f>
        <v>800000</v>
      </c>
      <c r="AL144" s="29">
        <f t="shared" ref="AL144" si="103">AK144/Q144*100</f>
        <v>100</v>
      </c>
      <c r="AM144" s="21"/>
    </row>
    <row r="145" spans="1:39" ht="28.5" customHeight="1" x14ac:dyDescent="0.25">
      <c r="A145" s="26"/>
      <c r="B145" s="151"/>
      <c r="C145" s="151"/>
      <c r="D145" s="151"/>
      <c r="E145" s="151"/>
      <c r="F145" s="151"/>
      <c r="G145" s="151"/>
      <c r="H145" s="151"/>
      <c r="I145" s="152"/>
      <c r="J145" s="151" t="s">
        <v>294</v>
      </c>
      <c r="K145" s="27"/>
      <c r="L145" s="31"/>
      <c r="M145" s="515" t="s">
        <v>295</v>
      </c>
      <c r="N145" s="516"/>
      <c r="O145" s="34"/>
      <c r="P145" s="28"/>
      <c r="Q145" s="28">
        <v>95400000</v>
      </c>
      <c r="R145" s="29">
        <f t="shared" ref="R145:R149" si="104">Q145/Q$143*100</f>
        <v>9.0101151292488737</v>
      </c>
      <c r="S145" s="29">
        <v>100</v>
      </c>
      <c r="T145" s="28">
        <f t="shared" si="94"/>
        <v>0</v>
      </c>
      <c r="U145" s="28">
        <f t="shared" si="97"/>
        <v>0</v>
      </c>
      <c r="V145" s="87">
        <f t="shared" si="93"/>
        <v>100</v>
      </c>
      <c r="W145" s="28"/>
      <c r="X145" s="28" t="e">
        <f>#REF!</f>
        <v>#REF!</v>
      </c>
      <c r="Y145" s="28" t="e">
        <f>#REF!</f>
        <v>#REF!</v>
      </c>
      <c r="Z145" s="28" t="e">
        <f>#REF!</f>
        <v>#REF!</v>
      </c>
      <c r="AA145" s="28" t="e">
        <f>#REF!</f>
        <v>#REF!</v>
      </c>
      <c r="AB145" s="28">
        <v>335806265</v>
      </c>
      <c r="AC145" s="28" t="e">
        <f>#REF!</f>
        <v>#REF!</v>
      </c>
      <c r="AD145" s="28" t="e">
        <f>#REF!</f>
        <v>#REF!</v>
      </c>
      <c r="AE145" s="28" t="e">
        <f>#REF!</f>
        <v>#REF!</v>
      </c>
      <c r="AF145" s="28" t="e">
        <f>[1]April!N41</f>
        <v>#REF!</v>
      </c>
      <c r="AG145" s="28" t="e">
        <f>[2]april!N41</f>
        <v>#REF!</v>
      </c>
      <c r="AH145" s="28">
        <f>'[3]DES SKPD'!$N41</f>
        <v>231767600</v>
      </c>
      <c r="AI145" s="28">
        <v>0</v>
      </c>
      <c r="AJ145" s="29">
        <f t="shared" si="95"/>
        <v>0</v>
      </c>
      <c r="AK145" s="136">
        <f t="shared" si="75"/>
        <v>95400000</v>
      </c>
      <c r="AL145" s="29">
        <f t="shared" si="96"/>
        <v>100</v>
      </c>
      <c r="AM145" s="26"/>
    </row>
    <row r="146" spans="1:39" ht="28.5" customHeight="1" x14ac:dyDescent="0.25">
      <c r="A146" s="26"/>
      <c r="B146" s="151"/>
      <c r="C146" s="151"/>
      <c r="D146" s="151"/>
      <c r="E146" s="151"/>
      <c r="F146" s="151"/>
      <c r="G146" s="151"/>
      <c r="H146" s="151"/>
      <c r="I146" s="152"/>
      <c r="J146" s="151" t="s">
        <v>296</v>
      </c>
      <c r="K146" s="27"/>
      <c r="L146" s="31"/>
      <c r="M146" s="515" t="s">
        <v>297</v>
      </c>
      <c r="N146" s="516"/>
      <c r="O146" s="34"/>
      <c r="P146" s="28"/>
      <c r="Q146" s="28">
        <v>348600000</v>
      </c>
      <c r="R146" s="29">
        <f t="shared" si="104"/>
        <v>32.923754025745886</v>
      </c>
      <c r="S146" s="29">
        <v>100</v>
      </c>
      <c r="T146" s="28">
        <f t="shared" si="94"/>
        <v>0</v>
      </c>
      <c r="U146" s="28">
        <f t="shared" si="97"/>
        <v>0</v>
      </c>
      <c r="V146" s="87">
        <f t="shared" si="93"/>
        <v>100</v>
      </c>
      <c r="W146" s="28"/>
      <c r="X146" s="28" t="e">
        <f>#REF!</f>
        <v>#REF!</v>
      </c>
      <c r="Y146" s="28" t="e">
        <f>#REF!</f>
        <v>#REF!</v>
      </c>
      <c r="Z146" s="28" t="e">
        <f>#REF!</f>
        <v>#REF!</v>
      </c>
      <c r="AA146" s="28" t="e">
        <f>#REF!</f>
        <v>#REF!</v>
      </c>
      <c r="AB146" s="28">
        <v>335806266</v>
      </c>
      <c r="AC146" s="28" t="e">
        <f>#REF!</f>
        <v>#REF!</v>
      </c>
      <c r="AD146" s="28" t="e">
        <f>#REF!</f>
        <v>#REF!</v>
      </c>
      <c r="AE146" s="28" t="e">
        <f>#REF!</f>
        <v>#REF!</v>
      </c>
      <c r="AF146" s="28" t="e">
        <f>[1]April!N42</f>
        <v>#REF!</v>
      </c>
      <c r="AG146" s="28" t="e">
        <f>[2]april!N42</f>
        <v>#REF!</v>
      </c>
      <c r="AH146" s="28" t="e">
        <f>'[3]DES SKPD'!$N42</f>
        <v>#REF!</v>
      </c>
      <c r="AI146" s="28">
        <v>0</v>
      </c>
      <c r="AJ146" s="29">
        <f t="shared" si="95"/>
        <v>0</v>
      </c>
      <c r="AK146" s="136">
        <f t="shared" si="75"/>
        <v>348600000</v>
      </c>
      <c r="AL146" s="29">
        <f t="shared" si="96"/>
        <v>100</v>
      </c>
      <c r="AM146" s="26"/>
    </row>
    <row r="147" spans="1:39" ht="28.5" customHeight="1" x14ac:dyDescent="0.25">
      <c r="A147" s="26"/>
      <c r="B147" s="151"/>
      <c r="C147" s="151"/>
      <c r="D147" s="151"/>
      <c r="E147" s="151"/>
      <c r="F147" s="151"/>
      <c r="G147" s="151"/>
      <c r="H147" s="151"/>
      <c r="I147" s="152"/>
      <c r="J147" s="151" t="s">
        <v>298</v>
      </c>
      <c r="K147" s="27"/>
      <c r="L147" s="31"/>
      <c r="M147" s="515" t="s">
        <v>299</v>
      </c>
      <c r="N147" s="516"/>
      <c r="O147" s="34"/>
      <c r="P147" s="28"/>
      <c r="Q147" s="28">
        <v>273500000</v>
      </c>
      <c r="R147" s="29">
        <f t="shared" si="104"/>
        <v>25.830885616871775</v>
      </c>
      <c r="S147" s="29">
        <v>100</v>
      </c>
      <c r="T147" s="28">
        <f t="shared" si="94"/>
        <v>0</v>
      </c>
      <c r="U147" s="28">
        <f t="shared" si="97"/>
        <v>0</v>
      </c>
      <c r="V147" s="87">
        <f t="shared" si="93"/>
        <v>100</v>
      </c>
      <c r="W147" s="28"/>
      <c r="X147" s="28" t="e">
        <f>#REF!</f>
        <v>#REF!</v>
      </c>
      <c r="Y147" s="28" t="e">
        <f>#REF!</f>
        <v>#REF!</v>
      </c>
      <c r="Z147" s="28" t="e">
        <f>#REF!</f>
        <v>#REF!</v>
      </c>
      <c r="AA147" s="28" t="e">
        <f>#REF!</f>
        <v>#REF!</v>
      </c>
      <c r="AB147" s="28">
        <v>335806267</v>
      </c>
      <c r="AC147" s="28" t="e">
        <f>#REF!</f>
        <v>#REF!</v>
      </c>
      <c r="AD147" s="28" t="e">
        <f>#REF!</f>
        <v>#REF!</v>
      </c>
      <c r="AE147" s="28" t="e">
        <f>#REF!</f>
        <v>#REF!</v>
      </c>
      <c r="AF147" s="28" t="e">
        <f>[1]April!N43</f>
        <v>#REF!</v>
      </c>
      <c r="AG147" s="28" t="e">
        <f>[2]april!N43</f>
        <v>#REF!</v>
      </c>
      <c r="AH147" s="28">
        <f>'[3]DES SKPD'!$N43</f>
        <v>38085000</v>
      </c>
      <c r="AI147" s="28">
        <v>0</v>
      </c>
      <c r="AJ147" s="29">
        <f t="shared" si="95"/>
        <v>0</v>
      </c>
      <c r="AK147" s="136">
        <f t="shared" si="75"/>
        <v>273500000</v>
      </c>
      <c r="AL147" s="29">
        <f t="shared" si="96"/>
        <v>100</v>
      </c>
      <c r="AM147" s="26"/>
    </row>
    <row r="148" spans="1:39" ht="28.5" customHeight="1" x14ac:dyDescent="0.25">
      <c r="A148" s="26"/>
      <c r="B148" s="151"/>
      <c r="C148" s="151"/>
      <c r="D148" s="151"/>
      <c r="E148" s="151"/>
      <c r="F148" s="151"/>
      <c r="G148" s="151"/>
      <c r="H148" s="151"/>
      <c r="I148" s="152"/>
      <c r="J148" s="171" t="s">
        <v>581</v>
      </c>
      <c r="K148" s="27"/>
      <c r="L148" s="31"/>
      <c r="M148" s="515" t="s">
        <v>580</v>
      </c>
      <c r="N148" s="516"/>
      <c r="O148" s="34"/>
      <c r="P148" s="28"/>
      <c r="Q148" s="28">
        <v>328510000</v>
      </c>
      <c r="R148" s="29">
        <f t="shared" si="104"/>
        <v>31.026340892133618</v>
      </c>
      <c r="S148" s="29">
        <v>100</v>
      </c>
      <c r="T148" s="28">
        <f t="shared" si="94"/>
        <v>0</v>
      </c>
      <c r="U148" s="28">
        <f t="shared" si="97"/>
        <v>0</v>
      </c>
      <c r="V148" s="87">
        <f t="shared" si="93"/>
        <v>100</v>
      </c>
      <c r="W148" s="28"/>
      <c r="X148" s="28" t="e">
        <f>#REF!</f>
        <v>#REF!</v>
      </c>
      <c r="Y148" s="28" t="e">
        <f>#REF!</f>
        <v>#REF!</v>
      </c>
      <c r="Z148" s="28" t="e">
        <f>#REF!</f>
        <v>#REF!</v>
      </c>
      <c r="AA148" s="28" t="e">
        <f>#REF!</f>
        <v>#REF!</v>
      </c>
      <c r="AB148" s="28">
        <v>335806268</v>
      </c>
      <c r="AC148" s="28" t="e">
        <f>#REF!</f>
        <v>#REF!</v>
      </c>
      <c r="AD148" s="28" t="e">
        <f>#REF!</f>
        <v>#REF!</v>
      </c>
      <c r="AE148" s="28" t="e">
        <f>#REF!</f>
        <v>#REF!</v>
      </c>
      <c r="AF148" s="28" t="e">
        <f>[1]April!N44</f>
        <v>#REF!</v>
      </c>
      <c r="AG148" s="28" t="e">
        <f>[2]april!N44</f>
        <v>#REF!</v>
      </c>
      <c r="AH148" s="28" t="e">
        <f>'[3]DES SKPD'!$N44</f>
        <v>#REF!</v>
      </c>
      <c r="AI148" s="28">
        <v>0</v>
      </c>
      <c r="AJ148" s="29">
        <f t="shared" si="95"/>
        <v>0</v>
      </c>
      <c r="AK148" s="136">
        <f t="shared" si="75"/>
        <v>328510000</v>
      </c>
      <c r="AL148" s="29">
        <f t="shared" si="96"/>
        <v>100</v>
      </c>
      <c r="AM148" s="26"/>
    </row>
    <row r="149" spans="1:39" ht="32.25" customHeight="1" x14ac:dyDescent="0.25">
      <c r="A149" s="26"/>
      <c r="B149" s="151"/>
      <c r="C149" s="151"/>
      <c r="D149" s="151"/>
      <c r="E149" s="151"/>
      <c r="F149" s="151"/>
      <c r="G149" s="151"/>
      <c r="H149" s="151"/>
      <c r="I149" s="152"/>
      <c r="J149" s="171" t="s">
        <v>551</v>
      </c>
      <c r="K149" s="27"/>
      <c r="L149" s="31"/>
      <c r="M149" s="515" t="s">
        <v>550</v>
      </c>
      <c r="N149" s="516"/>
      <c r="O149" s="34"/>
      <c r="P149" s="28"/>
      <c r="Q149" s="28">
        <v>12000000</v>
      </c>
      <c r="R149" s="29">
        <f t="shared" si="104"/>
        <v>1.1333478149998584</v>
      </c>
      <c r="S149" s="29"/>
      <c r="T149" s="28">
        <f t="shared" si="94"/>
        <v>0</v>
      </c>
      <c r="U149" s="28">
        <f t="shared" si="97"/>
        <v>0</v>
      </c>
      <c r="V149" s="87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>
        <v>0</v>
      </c>
      <c r="AJ149" s="29">
        <f t="shared" si="95"/>
        <v>0</v>
      </c>
      <c r="AK149" s="136">
        <f t="shared" si="75"/>
        <v>12000000</v>
      </c>
      <c r="AL149" s="29">
        <f t="shared" si="96"/>
        <v>100</v>
      </c>
      <c r="AM149" s="26"/>
    </row>
    <row r="150" spans="1:39" s="41" customFormat="1" ht="33.75" customHeight="1" x14ac:dyDescent="0.25">
      <c r="A150" s="21">
        <f>A143+1</f>
        <v>21</v>
      </c>
      <c r="B150" s="543" t="s">
        <v>131</v>
      </c>
      <c r="C150" s="543"/>
      <c r="D150" s="543"/>
      <c r="E150" s="543"/>
      <c r="F150" s="543"/>
      <c r="G150" s="543"/>
      <c r="H150" s="543"/>
      <c r="I150" s="544"/>
      <c r="J150" s="122" t="s">
        <v>460</v>
      </c>
      <c r="K150" s="22"/>
      <c r="L150" s="72"/>
      <c r="M150" s="545" t="s">
        <v>28</v>
      </c>
      <c r="N150" s="546"/>
      <c r="O150" s="73">
        <v>140600000</v>
      </c>
      <c r="P150" s="23">
        <f>O150</f>
        <v>140600000</v>
      </c>
      <c r="Q150" s="23">
        <f>SUM(Q151:Q151)</f>
        <v>96500000</v>
      </c>
      <c r="R150" s="24">
        <f>Q150/Q$119*100</f>
        <v>2.7259532785732161</v>
      </c>
      <c r="S150" s="24">
        <v>100</v>
      </c>
      <c r="T150" s="23">
        <f t="shared" si="94"/>
        <v>0</v>
      </c>
      <c r="U150" s="23">
        <f t="shared" si="97"/>
        <v>0</v>
      </c>
      <c r="V150" s="90">
        <f>S150-T150</f>
        <v>100</v>
      </c>
      <c r="W150" s="23"/>
      <c r="X150" s="23" t="e">
        <f>#REF!</f>
        <v>#REF!</v>
      </c>
      <c r="Y150" s="23" t="e">
        <f>#REF!</f>
        <v>#REF!</v>
      </c>
      <c r="Z150" s="23" t="e">
        <f>#REF!</f>
        <v>#REF!</v>
      </c>
      <c r="AA150" s="23" t="e">
        <f>#REF!</f>
        <v>#REF!</v>
      </c>
      <c r="AB150" s="23">
        <v>54780000</v>
      </c>
      <c r="AC150" s="23" t="e">
        <f>#REF!</f>
        <v>#REF!</v>
      </c>
      <c r="AD150" s="23" t="e">
        <f>#REF!</f>
        <v>#REF!</v>
      </c>
      <c r="AE150" s="23" t="e">
        <f>#REF!</f>
        <v>#REF!</v>
      </c>
      <c r="AF150" s="23" t="e">
        <f>[1]April!N40</f>
        <v>#REF!</v>
      </c>
      <c r="AG150" s="23">
        <v>140440000</v>
      </c>
      <c r="AH150" s="23">
        <f>'[3]DES SKPD'!$N40</f>
        <v>140440000</v>
      </c>
      <c r="AI150" s="23">
        <f>SUM(AI151:AI151)</f>
        <v>0</v>
      </c>
      <c r="AJ150" s="24">
        <f t="shared" si="95"/>
        <v>0</v>
      </c>
      <c r="AK150" s="134">
        <f t="shared" si="75"/>
        <v>96500000</v>
      </c>
      <c r="AL150" s="24">
        <f t="shared" si="96"/>
        <v>100</v>
      </c>
      <c r="AM150" s="21"/>
    </row>
    <row r="151" spans="1:39" ht="29.25" customHeight="1" x14ac:dyDescent="0.25">
      <c r="A151" s="26"/>
      <c r="B151" s="151"/>
      <c r="C151" s="151"/>
      <c r="D151" s="151"/>
      <c r="E151" s="151"/>
      <c r="F151" s="151"/>
      <c r="G151" s="151"/>
      <c r="H151" s="151"/>
      <c r="I151" s="152"/>
      <c r="J151" s="151" t="s">
        <v>302</v>
      </c>
      <c r="K151" s="27"/>
      <c r="L151" s="31"/>
      <c r="M151" s="515" t="s">
        <v>303</v>
      </c>
      <c r="N151" s="516"/>
      <c r="O151" s="34"/>
      <c r="P151" s="28"/>
      <c r="Q151" s="28">
        <v>96500000</v>
      </c>
      <c r="R151" s="29">
        <f>Q151/Q$150*100</f>
        <v>100</v>
      </c>
      <c r="S151" s="29">
        <v>100</v>
      </c>
      <c r="T151" s="28">
        <f t="shared" si="94"/>
        <v>0</v>
      </c>
      <c r="U151" s="28">
        <f t="shared" si="97"/>
        <v>0</v>
      </c>
      <c r="V151" s="87">
        <f t="shared" ref="V151:V211" si="105">S151-T151</f>
        <v>100</v>
      </c>
      <c r="W151" s="28"/>
      <c r="X151" s="28" t="e">
        <f>#REF!</f>
        <v>#REF!</v>
      </c>
      <c r="Y151" s="28" t="e">
        <f>#REF!</f>
        <v>#REF!</v>
      </c>
      <c r="Z151" s="28" t="e">
        <f>#REF!</f>
        <v>#REF!</v>
      </c>
      <c r="AA151" s="28" t="e">
        <f>#REF!</f>
        <v>#REF!</v>
      </c>
      <c r="AB151" s="28">
        <v>54780002</v>
      </c>
      <c r="AC151" s="28" t="e">
        <f>#REF!</f>
        <v>#REF!</v>
      </c>
      <c r="AD151" s="28" t="e">
        <f>#REF!</f>
        <v>#REF!</v>
      </c>
      <c r="AE151" s="28" t="e">
        <f>#REF!</f>
        <v>#REF!</v>
      </c>
      <c r="AF151" s="28" t="e">
        <f>[1]April!N42</f>
        <v>#REF!</v>
      </c>
      <c r="AG151" s="23">
        <v>140440002</v>
      </c>
      <c r="AH151" s="28" t="e">
        <f>'[3]DES SKPD'!$N42</f>
        <v>#REF!</v>
      </c>
      <c r="AI151" s="28">
        <v>0</v>
      </c>
      <c r="AJ151" s="29">
        <f t="shared" si="95"/>
        <v>0</v>
      </c>
      <c r="AK151" s="136">
        <f t="shared" si="75"/>
        <v>96500000</v>
      </c>
      <c r="AL151" s="29">
        <f t="shared" si="96"/>
        <v>100</v>
      </c>
      <c r="AM151" s="26"/>
    </row>
    <row r="152" spans="1:39" s="41" customFormat="1" ht="33" customHeight="1" x14ac:dyDescent="0.25">
      <c r="A152" s="21">
        <f>SUM(A150+1)</f>
        <v>22</v>
      </c>
      <c r="B152" s="158"/>
      <c r="C152" s="158"/>
      <c r="D152" s="158"/>
      <c r="E152" s="158"/>
      <c r="F152" s="158"/>
      <c r="G152" s="158"/>
      <c r="H152" s="158"/>
      <c r="I152" s="159"/>
      <c r="J152" s="122" t="s">
        <v>461</v>
      </c>
      <c r="K152" s="22"/>
      <c r="L152" s="72"/>
      <c r="M152" s="545" t="s">
        <v>197</v>
      </c>
      <c r="N152" s="546"/>
      <c r="O152" s="73"/>
      <c r="P152" s="23"/>
      <c r="Q152" s="23">
        <f>SUM(Q153:Q153)</f>
        <v>230100000</v>
      </c>
      <c r="R152" s="24">
        <f>Q152/Q$119*100</f>
        <v>6.4999155378206952</v>
      </c>
      <c r="S152" s="24">
        <v>100</v>
      </c>
      <c r="T152" s="23">
        <f t="shared" si="94"/>
        <v>0</v>
      </c>
      <c r="U152" s="23">
        <f t="shared" si="97"/>
        <v>0</v>
      </c>
      <c r="V152" s="90">
        <f t="shared" si="105"/>
        <v>100</v>
      </c>
      <c r="W152" s="23"/>
      <c r="X152" s="23" t="e">
        <f>#REF!</f>
        <v>#REF!</v>
      </c>
      <c r="Y152" s="23" t="e">
        <f>#REF!</f>
        <v>#REF!</v>
      </c>
      <c r="Z152" s="23" t="e">
        <f>#REF!</f>
        <v>#REF!</v>
      </c>
      <c r="AA152" s="23" t="e">
        <f>#REF!</f>
        <v>#REF!</v>
      </c>
      <c r="AB152" s="23">
        <v>54780000</v>
      </c>
      <c r="AC152" s="23" t="e">
        <f>#REF!</f>
        <v>#REF!</v>
      </c>
      <c r="AD152" s="23" t="e">
        <f>#REF!</f>
        <v>#REF!</v>
      </c>
      <c r="AE152" s="23" t="e">
        <f>#REF!</f>
        <v>#REF!</v>
      </c>
      <c r="AF152" s="23" t="e">
        <f>[1]April!N41</f>
        <v>#REF!</v>
      </c>
      <c r="AG152" s="23">
        <v>140440000</v>
      </c>
      <c r="AH152" s="23">
        <f>'[3]DES SKPD'!$N41</f>
        <v>231767600</v>
      </c>
      <c r="AI152" s="23">
        <f>SUM(AI153:AI153)</f>
        <v>0</v>
      </c>
      <c r="AJ152" s="24">
        <f t="shared" si="95"/>
        <v>0</v>
      </c>
      <c r="AK152" s="134">
        <f t="shared" si="75"/>
        <v>230100000</v>
      </c>
      <c r="AL152" s="24">
        <f t="shared" si="96"/>
        <v>100</v>
      </c>
      <c r="AM152" s="21"/>
    </row>
    <row r="153" spans="1:39" ht="28.5" customHeight="1" x14ac:dyDescent="0.25">
      <c r="A153" s="26"/>
      <c r="B153" s="151"/>
      <c r="C153" s="151"/>
      <c r="D153" s="151"/>
      <c r="E153" s="151"/>
      <c r="F153" s="151"/>
      <c r="G153" s="151"/>
      <c r="H153" s="151"/>
      <c r="I153" s="152"/>
      <c r="J153" s="151" t="s">
        <v>304</v>
      </c>
      <c r="K153" s="27"/>
      <c r="L153" s="31"/>
      <c r="M153" s="515" t="s">
        <v>305</v>
      </c>
      <c r="N153" s="516"/>
      <c r="O153" s="34"/>
      <c r="P153" s="28"/>
      <c r="Q153" s="28">
        <v>230100000</v>
      </c>
      <c r="R153" s="29">
        <f>Q153/Q$152*100</f>
        <v>100</v>
      </c>
      <c r="S153" s="29">
        <v>100</v>
      </c>
      <c r="T153" s="28">
        <f t="shared" si="94"/>
        <v>0</v>
      </c>
      <c r="U153" s="28">
        <f t="shared" si="97"/>
        <v>0</v>
      </c>
      <c r="V153" s="87">
        <f t="shared" si="105"/>
        <v>100</v>
      </c>
      <c r="W153" s="28"/>
      <c r="X153" s="28" t="e">
        <f>#REF!</f>
        <v>#REF!</v>
      </c>
      <c r="Y153" s="28" t="e">
        <f>#REF!</f>
        <v>#REF!</v>
      </c>
      <c r="Z153" s="28" t="e">
        <f>#REF!</f>
        <v>#REF!</v>
      </c>
      <c r="AA153" s="28" t="e">
        <f>#REF!</f>
        <v>#REF!</v>
      </c>
      <c r="AB153" s="28">
        <v>54780002</v>
      </c>
      <c r="AC153" s="28" t="e">
        <f>#REF!</f>
        <v>#REF!</v>
      </c>
      <c r="AD153" s="28" t="e">
        <f>#REF!</f>
        <v>#REF!</v>
      </c>
      <c r="AE153" s="28" t="e">
        <f>#REF!</f>
        <v>#REF!</v>
      </c>
      <c r="AF153" s="28" t="e">
        <f>[1]April!N43</f>
        <v>#REF!</v>
      </c>
      <c r="AG153" s="23">
        <v>140440002</v>
      </c>
      <c r="AH153" s="28">
        <f>'[3]DES SKPD'!$N43</f>
        <v>38085000</v>
      </c>
      <c r="AI153" s="28">
        <v>0</v>
      </c>
      <c r="AJ153" s="29">
        <f t="shared" si="95"/>
        <v>0</v>
      </c>
      <c r="AK153" s="136">
        <f t="shared" si="75"/>
        <v>230100000</v>
      </c>
      <c r="AL153" s="29">
        <f t="shared" si="96"/>
        <v>100</v>
      </c>
      <c r="AM153" s="26"/>
    </row>
    <row r="154" spans="1:39" ht="28.5" customHeight="1" x14ac:dyDescent="0.25">
      <c r="A154" s="21">
        <f>SUM(A152+1)</f>
        <v>23</v>
      </c>
      <c r="B154" s="173"/>
      <c r="C154" s="173"/>
      <c r="D154" s="173"/>
      <c r="E154" s="173"/>
      <c r="F154" s="173"/>
      <c r="G154" s="173"/>
      <c r="H154" s="173"/>
      <c r="I154" s="174"/>
      <c r="J154" s="122" t="s">
        <v>582</v>
      </c>
      <c r="K154" s="22"/>
      <c r="L154" s="72"/>
      <c r="M154" s="545" t="s">
        <v>583</v>
      </c>
      <c r="N154" s="546"/>
      <c r="O154" s="73"/>
      <c r="P154" s="23"/>
      <c r="Q154" s="23">
        <f>SUM(Q155:Q155)</f>
        <v>99200000</v>
      </c>
      <c r="R154" s="24">
        <f>Q154/Q$119*100</f>
        <v>2.8022234739322598</v>
      </c>
      <c r="S154" s="24">
        <v>100</v>
      </c>
      <c r="T154" s="23">
        <f t="shared" ref="T154:T155" si="106">AJ154</f>
        <v>0</v>
      </c>
      <c r="U154" s="23">
        <f t="shared" ref="U154:U155" si="107">R154*T154/100</f>
        <v>0</v>
      </c>
      <c r="V154" s="90">
        <f t="shared" ref="V154:V155" si="108">S154-T154</f>
        <v>100</v>
      </c>
      <c r="W154" s="23"/>
      <c r="X154" s="23" t="e">
        <f>#REF!</f>
        <v>#REF!</v>
      </c>
      <c r="Y154" s="23" t="e">
        <f>#REF!</f>
        <v>#REF!</v>
      </c>
      <c r="Z154" s="23" t="e">
        <f>#REF!</f>
        <v>#REF!</v>
      </c>
      <c r="AA154" s="23" t="e">
        <f>#REF!</f>
        <v>#REF!</v>
      </c>
      <c r="AB154" s="23">
        <v>54780000</v>
      </c>
      <c r="AC154" s="23" t="e">
        <f>#REF!</f>
        <v>#REF!</v>
      </c>
      <c r="AD154" s="23" t="e">
        <f>#REF!</f>
        <v>#REF!</v>
      </c>
      <c r="AE154" s="23" t="e">
        <f>#REF!</f>
        <v>#REF!</v>
      </c>
      <c r="AF154" s="23" t="e">
        <f>[1]April!N43</f>
        <v>#REF!</v>
      </c>
      <c r="AG154" s="23">
        <v>140440000</v>
      </c>
      <c r="AH154" s="23">
        <f>'[3]DES SKPD'!$N43</f>
        <v>38085000</v>
      </c>
      <c r="AI154" s="23">
        <f>SUM(AI155:AI155)</f>
        <v>0</v>
      </c>
      <c r="AJ154" s="24">
        <f t="shared" ref="AJ154:AJ155" si="109">AI154/Q154*100</f>
        <v>0</v>
      </c>
      <c r="AK154" s="134">
        <f t="shared" ref="AK154:AK155" si="110">Q154-AI154</f>
        <v>99200000</v>
      </c>
      <c r="AL154" s="24">
        <f t="shared" ref="AL154:AL155" si="111">AK154/Q154*100</f>
        <v>100</v>
      </c>
      <c r="AM154" s="26"/>
    </row>
    <row r="155" spans="1:39" ht="28.5" customHeight="1" x14ac:dyDescent="0.25">
      <c r="A155" s="26"/>
      <c r="B155" s="171"/>
      <c r="C155" s="171"/>
      <c r="D155" s="171"/>
      <c r="E155" s="171"/>
      <c r="F155" s="171"/>
      <c r="G155" s="171"/>
      <c r="H155" s="171"/>
      <c r="I155" s="172"/>
      <c r="J155" s="171" t="s">
        <v>292</v>
      </c>
      <c r="K155" s="27"/>
      <c r="L155" s="31"/>
      <c r="M155" s="515" t="s">
        <v>584</v>
      </c>
      <c r="N155" s="516"/>
      <c r="O155" s="34"/>
      <c r="P155" s="28"/>
      <c r="Q155" s="28">
        <v>99200000</v>
      </c>
      <c r="R155" s="29">
        <f>Q155/Q$152*100</f>
        <v>43.111690569317688</v>
      </c>
      <c r="S155" s="29">
        <v>100</v>
      </c>
      <c r="T155" s="28">
        <f t="shared" si="106"/>
        <v>0</v>
      </c>
      <c r="U155" s="28">
        <f t="shared" si="107"/>
        <v>0</v>
      </c>
      <c r="V155" s="87">
        <f t="shared" si="108"/>
        <v>100</v>
      </c>
      <c r="W155" s="28"/>
      <c r="X155" s="28" t="e">
        <f>#REF!</f>
        <v>#REF!</v>
      </c>
      <c r="Y155" s="28" t="e">
        <f>#REF!</f>
        <v>#REF!</v>
      </c>
      <c r="Z155" s="28" t="e">
        <f>#REF!</f>
        <v>#REF!</v>
      </c>
      <c r="AA155" s="28" t="e">
        <f>#REF!</f>
        <v>#REF!</v>
      </c>
      <c r="AB155" s="28">
        <v>54780002</v>
      </c>
      <c r="AC155" s="28" t="e">
        <f>#REF!</f>
        <v>#REF!</v>
      </c>
      <c r="AD155" s="28" t="e">
        <f>#REF!</f>
        <v>#REF!</v>
      </c>
      <c r="AE155" s="28" t="e">
        <f>#REF!</f>
        <v>#REF!</v>
      </c>
      <c r="AF155" s="28" t="e">
        <f>[1]April!N45</f>
        <v>#REF!</v>
      </c>
      <c r="AG155" s="23">
        <v>140440002</v>
      </c>
      <c r="AH155" s="28">
        <f>'[3]DES SKPD'!$N45</f>
        <v>320566100</v>
      </c>
      <c r="AI155" s="28">
        <v>0</v>
      </c>
      <c r="AJ155" s="29">
        <f t="shared" si="109"/>
        <v>0</v>
      </c>
      <c r="AK155" s="136">
        <f t="shared" si="110"/>
        <v>99200000</v>
      </c>
      <c r="AL155" s="29">
        <f t="shared" si="111"/>
        <v>100</v>
      </c>
      <c r="AM155" s="26"/>
    </row>
    <row r="156" spans="1:39" s="36" customFormat="1" ht="29.25" customHeight="1" x14ac:dyDescent="0.25">
      <c r="A156" s="51" t="s">
        <v>29</v>
      </c>
      <c r="B156" s="547" t="s">
        <v>132</v>
      </c>
      <c r="C156" s="547"/>
      <c r="D156" s="547"/>
      <c r="E156" s="547"/>
      <c r="F156" s="547"/>
      <c r="G156" s="547"/>
      <c r="H156" s="547"/>
      <c r="I156" s="548"/>
      <c r="J156" s="163" t="s">
        <v>454</v>
      </c>
      <c r="K156" s="52"/>
      <c r="L156" s="549" t="s">
        <v>383</v>
      </c>
      <c r="M156" s="549"/>
      <c r="N156" s="550"/>
      <c r="O156" s="55">
        <f>SUM(O160)</f>
        <v>39710000</v>
      </c>
      <c r="P156" s="55">
        <f>SUM(P160)</f>
        <v>39710000</v>
      </c>
      <c r="Q156" s="55">
        <f>SUM(Q157+Q160)</f>
        <v>103000000</v>
      </c>
      <c r="R156" s="57" t="e">
        <f>Q156/Q$33*100</f>
        <v>#REF!</v>
      </c>
      <c r="S156" s="57">
        <v>100</v>
      </c>
      <c r="T156" s="55">
        <f t="shared" si="94"/>
        <v>0</v>
      </c>
      <c r="U156" s="55" t="e">
        <f>SUM(R156*T156/100)</f>
        <v>#REF!</v>
      </c>
      <c r="V156" s="117">
        <f t="shared" si="105"/>
        <v>100</v>
      </c>
      <c r="W156" s="55">
        <f>SUM(W160)</f>
        <v>0</v>
      </c>
      <c r="X156" s="55" t="e">
        <f>SUM(X160)</f>
        <v>#REF!</v>
      </c>
      <c r="Y156" s="55" t="e">
        <f t="shared" ref="Y156:AH156" si="112">SUM(Y160)</f>
        <v>#REF!</v>
      </c>
      <c r="Z156" s="55" t="e">
        <f t="shared" si="112"/>
        <v>#REF!</v>
      </c>
      <c r="AA156" s="55" t="e">
        <f t="shared" si="112"/>
        <v>#REF!</v>
      </c>
      <c r="AB156" s="55">
        <f t="shared" si="112"/>
        <v>38085000</v>
      </c>
      <c r="AC156" s="55" t="e">
        <f t="shared" si="112"/>
        <v>#REF!</v>
      </c>
      <c r="AD156" s="55" t="e">
        <f t="shared" si="112"/>
        <v>#REF!</v>
      </c>
      <c r="AE156" s="55" t="e">
        <f t="shared" si="112"/>
        <v>#REF!</v>
      </c>
      <c r="AF156" s="55" t="e">
        <f t="shared" si="112"/>
        <v>#REF!</v>
      </c>
      <c r="AG156" s="55" t="e">
        <f t="shared" si="112"/>
        <v>#REF!</v>
      </c>
      <c r="AH156" s="55">
        <f t="shared" si="112"/>
        <v>38085000</v>
      </c>
      <c r="AI156" s="55">
        <f>SUM(AI160+AI157)</f>
        <v>0</v>
      </c>
      <c r="AJ156" s="57">
        <f t="shared" si="95"/>
        <v>0</v>
      </c>
      <c r="AK156" s="137">
        <f>SUM(Q156-AI156)</f>
        <v>103000000</v>
      </c>
      <c r="AL156" s="57">
        <f t="shared" si="96"/>
        <v>100</v>
      </c>
      <c r="AM156" s="51"/>
    </row>
    <row r="157" spans="1:39" s="3" customFormat="1" ht="29.25" customHeight="1" x14ac:dyDescent="0.25">
      <c r="A157" s="21">
        <f>A154+1</f>
        <v>24</v>
      </c>
      <c r="B157" s="158"/>
      <c r="C157" s="158"/>
      <c r="D157" s="158"/>
      <c r="E157" s="158"/>
      <c r="F157" s="158"/>
      <c r="G157" s="158"/>
      <c r="H157" s="158"/>
      <c r="I157" s="159"/>
      <c r="J157" s="122" t="s">
        <v>462</v>
      </c>
      <c r="K157" s="22"/>
      <c r="L157" s="160"/>
      <c r="M157" s="545" t="s">
        <v>386</v>
      </c>
      <c r="N157" s="546"/>
      <c r="O157" s="23"/>
      <c r="P157" s="23"/>
      <c r="Q157" s="23">
        <f>SUM(Q158:Q159)</f>
        <v>71000000</v>
      </c>
      <c r="R157" s="24" t="e">
        <f>Q157/Q$33*100</f>
        <v>#REF!</v>
      </c>
      <c r="S157" s="24">
        <v>100</v>
      </c>
      <c r="T157" s="23">
        <f t="shared" si="94"/>
        <v>0</v>
      </c>
      <c r="U157" s="23" t="e">
        <f t="shared" ref="U157:U162" si="113">R157*T157/100</f>
        <v>#REF!</v>
      </c>
      <c r="V157" s="90">
        <f t="shared" si="105"/>
        <v>100</v>
      </c>
      <c r="W157" s="23"/>
      <c r="X157" s="23" t="e">
        <f>#REF!</f>
        <v>#REF!</v>
      </c>
      <c r="Y157" s="23" t="e">
        <f>#REF!</f>
        <v>#REF!</v>
      </c>
      <c r="Z157" s="23" t="e">
        <f>#REF!</f>
        <v>#REF!</v>
      </c>
      <c r="AA157" s="23" t="e">
        <f>#REF!</f>
        <v>#REF!</v>
      </c>
      <c r="AB157" s="23">
        <v>38085000</v>
      </c>
      <c r="AC157" s="23" t="e">
        <f>#REF!</f>
        <v>#REF!</v>
      </c>
      <c r="AD157" s="23" t="e">
        <f>#REF!</f>
        <v>#REF!</v>
      </c>
      <c r="AE157" s="23" t="e">
        <f>#REF!</f>
        <v>#REF!</v>
      </c>
      <c r="AF157" s="23" t="e">
        <f>[1]April!$N$43</f>
        <v>#REF!</v>
      </c>
      <c r="AG157" s="23" t="e">
        <f>[2]april!$N$43</f>
        <v>#REF!</v>
      </c>
      <c r="AH157" s="23">
        <f>'[3]DES SKPD'!$N39</f>
        <v>676934270</v>
      </c>
      <c r="AI157" s="23">
        <f>SUM(AI158:AI159)</f>
        <v>0</v>
      </c>
      <c r="AJ157" s="24">
        <f t="shared" si="95"/>
        <v>0</v>
      </c>
      <c r="AK157" s="134">
        <f t="shared" ref="AK157:AK162" si="114">Q157-AI157</f>
        <v>71000000</v>
      </c>
      <c r="AL157" s="24">
        <f t="shared" si="96"/>
        <v>100</v>
      </c>
      <c r="AM157" s="21"/>
    </row>
    <row r="158" spans="1:39" s="3" customFormat="1" ht="29.25" customHeight="1" x14ac:dyDescent="0.25">
      <c r="A158" s="21"/>
      <c r="B158" s="158"/>
      <c r="C158" s="158"/>
      <c r="D158" s="158"/>
      <c r="E158" s="158"/>
      <c r="F158" s="158"/>
      <c r="G158" s="158"/>
      <c r="H158" s="158"/>
      <c r="I158" s="159"/>
      <c r="J158" s="151" t="s">
        <v>259</v>
      </c>
      <c r="K158" s="27"/>
      <c r="L158" s="31"/>
      <c r="M158" s="515" t="s">
        <v>260</v>
      </c>
      <c r="N158" s="516"/>
      <c r="O158" s="23"/>
      <c r="P158" s="23"/>
      <c r="Q158" s="28">
        <v>800000</v>
      </c>
      <c r="R158" s="29">
        <f>Q158/Q$157*100</f>
        <v>1.1267605633802817</v>
      </c>
      <c r="S158" s="29">
        <v>100</v>
      </c>
      <c r="T158" s="28">
        <f t="shared" si="94"/>
        <v>0</v>
      </c>
      <c r="U158" s="28">
        <f t="shared" si="113"/>
        <v>0</v>
      </c>
      <c r="V158" s="87">
        <f t="shared" si="105"/>
        <v>100</v>
      </c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>
        <v>0</v>
      </c>
      <c r="AJ158" s="29">
        <f t="shared" si="95"/>
        <v>0</v>
      </c>
      <c r="AK158" s="136">
        <f t="shared" si="114"/>
        <v>800000</v>
      </c>
      <c r="AL158" s="29">
        <f t="shared" si="96"/>
        <v>100</v>
      </c>
      <c r="AM158" s="26"/>
    </row>
    <row r="159" spans="1:39" s="3" customFormat="1" ht="29.25" customHeight="1" x14ac:dyDescent="0.25">
      <c r="A159" s="21"/>
      <c r="B159" s="158"/>
      <c r="C159" s="158"/>
      <c r="D159" s="158"/>
      <c r="E159" s="158"/>
      <c r="F159" s="158"/>
      <c r="G159" s="158"/>
      <c r="H159" s="158"/>
      <c r="I159" s="159"/>
      <c r="J159" s="151" t="s">
        <v>387</v>
      </c>
      <c r="K159" s="22"/>
      <c r="L159" s="160"/>
      <c r="M159" s="515" t="s">
        <v>388</v>
      </c>
      <c r="N159" s="516"/>
      <c r="O159" s="23"/>
      <c r="P159" s="23"/>
      <c r="Q159" s="28">
        <v>70200000</v>
      </c>
      <c r="R159" s="29">
        <f>Q159/Q$157*100</f>
        <v>98.873239436619713</v>
      </c>
      <c r="S159" s="29">
        <v>100</v>
      </c>
      <c r="T159" s="28">
        <f t="shared" si="94"/>
        <v>0</v>
      </c>
      <c r="U159" s="28">
        <f t="shared" si="113"/>
        <v>0</v>
      </c>
      <c r="V159" s="87">
        <f t="shared" si="105"/>
        <v>100</v>
      </c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>
        <v>0</v>
      </c>
      <c r="AJ159" s="29">
        <f t="shared" si="95"/>
        <v>0</v>
      </c>
      <c r="AK159" s="136">
        <f t="shared" si="114"/>
        <v>70200000</v>
      </c>
      <c r="AL159" s="29">
        <f t="shared" si="96"/>
        <v>100</v>
      </c>
      <c r="AM159" s="26"/>
    </row>
    <row r="160" spans="1:39" s="41" customFormat="1" ht="28.5" customHeight="1" x14ac:dyDescent="0.25">
      <c r="A160" s="21">
        <f>A157+1</f>
        <v>25</v>
      </c>
      <c r="B160" s="543" t="s">
        <v>133</v>
      </c>
      <c r="C160" s="543"/>
      <c r="D160" s="543"/>
      <c r="E160" s="543"/>
      <c r="F160" s="543"/>
      <c r="G160" s="543"/>
      <c r="H160" s="543"/>
      <c r="I160" s="544"/>
      <c r="J160" s="122" t="s">
        <v>463</v>
      </c>
      <c r="K160" s="22"/>
      <c r="L160" s="72"/>
      <c r="M160" s="545" t="s">
        <v>134</v>
      </c>
      <c r="N160" s="546"/>
      <c r="O160" s="23">
        <v>39710000</v>
      </c>
      <c r="P160" s="23">
        <f>O160</f>
        <v>39710000</v>
      </c>
      <c r="Q160" s="23">
        <f>SUM(Q161:Q162)</f>
        <v>32000000</v>
      </c>
      <c r="R160" s="24" t="e">
        <f>Q160/Q$33*100</f>
        <v>#REF!</v>
      </c>
      <c r="S160" s="24">
        <v>100</v>
      </c>
      <c r="T160" s="23">
        <f t="shared" si="94"/>
        <v>0</v>
      </c>
      <c r="U160" s="23" t="e">
        <f t="shared" si="113"/>
        <v>#REF!</v>
      </c>
      <c r="V160" s="90">
        <f t="shared" si="105"/>
        <v>100</v>
      </c>
      <c r="W160" s="23"/>
      <c r="X160" s="23" t="e">
        <f>#REF!</f>
        <v>#REF!</v>
      </c>
      <c r="Y160" s="23" t="e">
        <f>#REF!</f>
        <v>#REF!</v>
      </c>
      <c r="Z160" s="23" t="e">
        <f>#REF!</f>
        <v>#REF!</v>
      </c>
      <c r="AA160" s="23" t="e">
        <f>#REF!</f>
        <v>#REF!</v>
      </c>
      <c r="AB160" s="23">
        <v>38085000</v>
      </c>
      <c r="AC160" s="23" t="e">
        <f>#REF!</f>
        <v>#REF!</v>
      </c>
      <c r="AD160" s="23" t="e">
        <f>#REF!</f>
        <v>#REF!</v>
      </c>
      <c r="AE160" s="23" t="e">
        <f>#REF!</f>
        <v>#REF!</v>
      </c>
      <c r="AF160" s="23" t="e">
        <f>[1]April!$N$43</f>
        <v>#REF!</v>
      </c>
      <c r="AG160" s="23" t="e">
        <f>[2]april!$N$43</f>
        <v>#REF!</v>
      </c>
      <c r="AH160" s="23">
        <f>'[3]DES SKPD'!$N43</f>
        <v>38085000</v>
      </c>
      <c r="AI160" s="23">
        <f>SUM(AI161:AI162)</f>
        <v>0</v>
      </c>
      <c r="AJ160" s="24">
        <f t="shared" si="95"/>
        <v>0</v>
      </c>
      <c r="AK160" s="134">
        <f t="shared" si="114"/>
        <v>32000000</v>
      </c>
      <c r="AL160" s="24">
        <f t="shared" si="96"/>
        <v>100</v>
      </c>
      <c r="AM160" s="21"/>
    </row>
    <row r="161" spans="1:39" ht="24.75" customHeight="1" x14ac:dyDescent="0.25">
      <c r="A161" s="26"/>
      <c r="B161" s="151"/>
      <c r="C161" s="151"/>
      <c r="D161" s="151"/>
      <c r="E161" s="151"/>
      <c r="F161" s="151"/>
      <c r="G161" s="151"/>
      <c r="H161" s="151"/>
      <c r="I161" s="152"/>
      <c r="J161" s="151" t="s">
        <v>259</v>
      </c>
      <c r="K161" s="27"/>
      <c r="L161" s="31"/>
      <c r="M161" s="515" t="s">
        <v>260</v>
      </c>
      <c r="N161" s="516"/>
      <c r="O161" s="28"/>
      <c r="P161" s="28"/>
      <c r="Q161" s="28">
        <v>800000</v>
      </c>
      <c r="R161" s="29">
        <f>Q161/Q$160*100</f>
        <v>2.5</v>
      </c>
      <c r="S161" s="29">
        <v>100</v>
      </c>
      <c r="T161" s="28">
        <f t="shared" si="94"/>
        <v>0</v>
      </c>
      <c r="U161" s="28">
        <f t="shared" si="113"/>
        <v>0</v>
      </c>
      <c r="V161" s="87">
        <f t="shared" si="105"/>
        <v>100</v>
      </c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>
        <v>0</v>
      </c>
      <c r="AJ161" s="29">
        <f t="shared" si="95"/>
        <v>0</v>
      </c>
      <c r="AK161" s="136">
        <f t="shared" si="114"/>
        <v>800000</v>
      </c>
      <c r="AL161" s="29">
        <f t="shared" si="96"/>
        <v>100</v>
      </c>
      <c r="AM161" s="26"/>
    </row>
    <row r="162" spans="1:39" ht="24.75" customHeight="1" x14ac:dyDescent="0.25">
      <c r="A162" s="26"/>
      <c r="B162" s="151"/>
      <c r="C162" s="151"/>
      <c r="D162" s="151"/>
      <c r="E162" s="151"/>
      <c r="F162" s="151"/>
      <c r="G162" s="151"/>
      <c r="H162" s="151"/>
      <c r="I162" s="152"/>
      <c r="J162" s="151" t="s">
        <v>311</v>
      </c>
      <c r="K162" s="27"/>
      <c r="L162" s="31"/>
      <c r="M162" s="515" t="s">
        <v>312</v>
      </c>
      <c r="N162" s="516"/>
      <c r="O162" s="28"/>
      <c r="P162" s="28"/>
      <c r="Q162" s="28">
        <v>31200000</v>
      </c>
      <c r="R162" s="29">
        <f>Q162/Q$160*100</f>
        <v>97.5</v>
      </c>
      <c r="S162" s="29">
        <v>100</v>
      </c>
      <c r="T162" s="28">
        <f t="shared" si="94"/>
        <v>0</v>
      </c>
      <c r="U162" s="28">
        <f t="shared" si="113"/>
        <v>0</v>
      </c>
      <c r="V162" s="87">
        <f t="shared" si="105"/>
        <v>100</v>
      </c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>
        <v>0</v>
      </c>
      <c r="AJ162" s="29">
        <f t="shared" si="95"/>
        <v>0</v>
      </c>
      <c r="AK162" s="136">
        <f t="shared" si="114"/>
        <v>31200000</v>
      </c>
      <c r="AL162" s="29">
        <f t="shared" si="96"/>
        <v>100</v>
      </c>
      <c r="AM162" s="26"/>
    </row>
    <row r="163" spans="1:39" s="36" customFormat="1" ht="28.5" customHeight="1" x14ac:dyDescent="0.25">
      <c r="A163" s="51" t="s">
        <v>30</v>
      </c>
      <c r="B163" s="547" t="s">
        <v>135</v>
      </c>
      <c r="C163" s="547"/>
      <c r="D163" s="547"/>
      <c r="E163" s="547"/>
      <c r="F163" s="547"/>
      <c r="G163" s="547"/>
      <c r="H163" s="547"/>
      <c r="I163" s="548"/>
      <c r="J163" s="163" t="s">
        <v>464</v>
      </c>
      <c r="K163" s="52"/>
      <c r="L163" s="549" t="s">
        <v>31</v>
      </c>
      <c r="M163" s="549"/>
      <c r="N163" s="550"/>
      <c r="O163" s="55">
        <f>SUM(O164:O166)</f>
        <v>789320000</v>
      </c>
      <c r="P163" s="55">
        <f>SUM(P164:P166)</f>
        <v>789320000</v>
      </c>
      <c r="Q163" s="55">
        <f>SUM(Q164+Q166)</f>
        <v>102870000</v>
      </c>
      <c r="R163" s="57" t="e">
        <f>Q163/Q$53*100</f>
        <v>#REF!</v>
      </c>
      <c r="S163" s="124">
        <v>100</v>
      </c>
      <c r="T163" s="125">
        <f t="shared" si="94"/>
        <v>0</v>
      </c>
      <c r="U163" s="55" t="e">
        <f>SUM(R163*T163/100)</f>
        <v>#REF!</v>
      </c>
      <c r="V163" s="126">
        <f t="shared" si="105"/>
        <v>100</v>
      </c>
      <c r="W163" s="55">
        <f t="shared" ref="W163:AH163" si="115">SUM(W164:W166)</f>
        <v>0</v>
      </c>
      <c r="X163" s="55" t="e">
        <f t="shared" si="115"/>
        <v>#REF!</v>
      </c>
      <c r="Y163" s="55" t="e">
        <f t="shared" si="115"/>
        <v>#REF!</v>
      </c>
      <c r="Z163" s="55" t="e">
        <f t="shared" si="115"/>
        <v>#REF!</v>
      </c>
      <c r="AA163" s="55" t="e">
        <f t="shared" si="115"/>
        <v>#REF!</v>
      </c>
      <c r="AB163" s="55">
        <f t="shared" si="115"/>
        <v>189087374</v>
      </c>
      <c r="AC163" s="55" t="e">
        <f t="shared" si="115"/>
        <v>#REF!</v>
      </c>
      <c r="AD163" s="55" t="e">
        <f t="shared" si="115"/>
        <v>#REF!</v>
      </c>
      <c r="AE163" s="55" t="e">
        <f t="shared" si="115"/>
        <v>#REF!</v>
      </c>
      <c r="AF163" s="55" t="e">
        <f t="shared" si="115"/>
        <v>#REF!</v>
      </c>
      <c r="AG163" s="55" t="e">
        <f t="shared" si="115"/>
        <v>#REF!</v>
      </c>
      <c r="AH163" s="55">
        <f t="shared" si="115"/>
        <v>663965174</v>
      </c>
      <c r="AI163" s="55">
        <f>SUM(AI164+AI166)</f>
        <v>0</v>
      </c>
      <c r="AJ163" s="57">
        <f t="shared" si="95"/>
        <v>0</v>
      </c>
      <c r="AK163" s="137">
        <f>SUM(Q163-AI163)</f>
        <v>102870000</v>
      </c>
      <c r="AL163" s="57">
        <f t="shared" si="96"/>
        <v>100</v>
      </c>
      <c r="AM163" s="51"/>
    </row>
    <row r="164" spans="1:39" s="41" customFormat="1" ht="29.25" customHeight="1" x14ac:dyDescent="0.25">
      <c r="A164" s="21">
        <f>A160+1</f>
        <v>26</v>
      </c>
      <c r="B164" s="543" t="s">
        <v>136</v>
      </c>
      <c r="C164" s="543"/>
      <c r="D164" s="543"/>
      <c r="E164" s="543"/>
      <c r="F164" s="543"/>
      <c r="G164" s="543"/>
      <c r="H164" s="543"/>
      <c r="I164" s="544"/>
      <c r="J164" s="122" t="s">
        <v>465</v>
      </c>
      <c r="K164" s="22"/>
      <c r="L164" s="72"/>
      <c r="M164" s="545" t="s">
        <v>32</v>
      </c>
      <c r="N164" s="546"/>
      <c r="O164" s="73">
        <v>350000000</v>
      </c>
      <c r="P164" s="23">
        <f>O164</f>
        <v>350000000</v>
      </c>
      <c r="Q164" s="23">
        <f>SUM(Q165:Q165)</f>
        <v>37300000</v>
      </c>
      <c r="R164" s="24">
        <f>Q164/Q$163*100</f>
        <v>36.259356469330221</v>
      </c>
      <c r="S164" s="24">
        <v>100</v>
      </c>
      <c r="T164" s="23">
        <f t="shared" si="94"/>
        <v>0</v>
      </c>
      <c r="U164" s="23">
        <f>R164*T164/100</f>
        <v>0</v>
      </c>
      <c r="V164" s="90">
        <f t="shared" si="105"/>
        <v>100</v>
      </c>
      <c r="W164" s="23"/>
      <c r="X164" s="23" t="e">
        <f>#REF!</f>
        <v>#REF!</v>
      </c>
      <c r="Y164" s="23" t="e">
        <f>#REF!</f>
        <v>#REF!</v>
      </c>
      <c r="Z164" s="23" t="e">
        <f>#REF!</f>
        <v>#REF!</v>
      </c>
      <c r="AA164" s="23" t="e">
        <f>#REF!</f>
        <v>#REF!</v>
      </c>
      <c r="AB164" s="23">
        <v>112882300</v>
      </c>
      <c r="AC164" s="23" t="e">
        <f>#REF!</f>
        <v>#REF!</v>
      </c>
      <c r="AD164" s="23" t="e">
        <f>#REF!</f>
        <v>#REF!</v>
      </c>
      <c r="AE164" s="23" t="e">
        <f>#REF!</f>
        <v>#REF!</v>
      </c>
      <c r="AF164" s="23" t="e">
        <f>[1]April!N45</f>
        <v>#REF!</v>
      </c>
      <c r="AG164" s="23" t="e">
        <f>[2]april!N45</f>
        <v>#REF!</v>
      </c>
      <c r="AH164" s="23">
        <f>'[3]DES SKPD'!$N45</f>
        <v>320566100</v>
      </c>
      <c r="AI164" s="23">
        <f>SUM(AI165:AI165)</f>
        <v>0</v>
      </c>
      <c r="AJ164" s="24">
        <f t="shared" si="95"/>
        <v>0</v>
      </c>
      <c r="AK164" s="134">
        <f t="shared" ref="AK164:AK174" si="116">Q164-AI164</f>
        <v>37300000</v>
      </c>
      <c r="AL164" s="24">
        <f t="shared" si="96"/>
        <v>100</v>
      </c>
      <c r="AM164" s="21"/>
    </row>
    <row r="165" spans="1:39" ht="29.25" customHeight="1" x14ac:dyDescent="0.25">
      <c r="A165" s="26"/>
      <c r="B165" s="151"/>
      <c r="C165" s="151"/>
      <c r="D165" s="151"/>
      <c r="E165" s="151"/>
      <c r="F165" s="151"/>
      <c r="G165" s="151"/>
      <c r="H165" s="151"/>
      <c r="I165" s="152"/>
      <c r="J165" s="151" t="s">
        <v>313</v>
      </c>
      <c r="K165" s="27"/>
      <c r="L165" s="31"/>
      <c r="M165" s="515" t="s">
        <v>314</v>
      </c>
      <c r="N165" s="516"/>
      <c r="O165" s="34"/>
      <c r="P165" s="28"/>
      <c r="Q165" s="28">
        <v>37300000</v>
      </c>
      <c r="R165" s="29">
        <f>Q165/Q$164*100</f>
        <v>100</v>
      </c>
      <c r="S165" s="29">
        <v>100</v>
      </c>
      <c r="T165" s="28">
        <f t="shared" si="94"/>
        <v>0</v>
      </c>
      <c r="U165" s="28">
        <f>R165*T165/100</f>
        <v>0</v>
      </c>
      <c r="V165" s="87">
        <f t="shared" si="105"/>
        <v>100</v>
      </c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>
        <v>0</v>
      </c>
      <c r="AJ165" s="29">
        <f t="shared" si="95"/>
        <v>0</v>
      </c>
      <c r="AK165" s="136">
        <f t="shared" si="116"/>
        <v>37300000</v>
      </c>
      <c r="AL165" s="29">
        <f t="shared" si="96"/>
        <v>100</v>
      </c>
      <c r="AM165" s="26"/>
    </row>
    <row r="166" spans="1:39" s="41" customFormat="1" ht="33.75" customHeight="1" x14ac:dyDescent="0.25">
      <c r="A166" s="21">
        <f>A164+1</f>
        <v>27</v>
      </c>
      <c r="B166" s="543" t="s">
        <v>137</v>
      </c>
      <c r="C166" s="543"/>
      <c r="D166" s="543"/>
      <c r="E166" s="543"/>
      <c r="F166" s="543"/>
      <c r="G166" s="543"/>
      <c r="H166" s="543"/>
      <c r="I166" s="544"/>
      <c r="J166" s="122" t="s">
        <v>466</v>
      </c>
      <c r="K166" s="22"/>
      <c r="L166" s="72"/>
      <c r="M166" s="545" t="s">
        <v>33</v>
      </c>
      <c r="N166" s="546"/>
      <c r="O166" s="73">
        <v>439320000</v>
      </c>
      <c r="P166" s="23">
        <f>O166</f>
        <v>439320000</v>
      </c>
      <c r="Q166" s="23">
        <f>SUM(Q167:Q174)</f>
        <v>65570000</v>
      </c>
      <c r="R166" s="24">
        <f>Q166/Q$163*100</f>
        <v>63.740643530669786</v>
      </c>
      <c r="S166" s="24">
        <v>100</v>
      </c>
      <c r="T166" s="23">
        <f t="shared" si="94"/>
        <v>0</v>
      </c>
      <c r="U166" s="23">
        <f>R166*T166/100</f>
        <v>0</v>
      </c>
      <c r="V166" s="90">
        <f t="shared" si="105"/>
        <v>100</v>
      </c>
      <c r="W166" s="23"/>
      <c r="X166" s="23" t="e">
        <f>#REF!</f>
        <v>#REF!</v>
      </c>
      <c r="Y166" s="23" t="e">
        <f>#REF!</f>
        <v>#REF!</v>
      </c>
      <c r="Z166" s="23" t="e">
        <f>#REF!</f>
        <v>#REF!</v>
      </c>
      <c r="AA166" s="23" t="e">
        <f>#REF!</f>
        <v>#REF!</v>
      </c>
      <c r="AB166" s="23">
        <v>76205074</v>
      </c>
      <c r="AC166" s="23" t="e">
        <f>#REF!</f>
        <v>#REF!</v>
      </c>
      <c r="AD166" s="23" t="e">
        <f>#REF!</f>
        <v>#REF!</v>
      </c>
      <c r="AE166" s="23" t="e">
        <f>#REF!</f>
        <v>#REF!</v>
      </c>
      <c r="AF166" s="23" t="e">
        <f>[1]April!N46</f>
        <v>#REF!</v>
      </c>
      <c r="AG166" s="23" t="e">
        <f>[2]april!N46</f>
        <v>#REF!</v>
      </c>
      <c r="AH166" s="23">
        <f>'[3]DES SKPD'!$N46</f>
        <v>343399074</v>
      </c>
      <c r="AI166" s="23">
        <f>SUM(AI167:AI174)</f>
        <v>0</v>
      </c>
      <c r="AJ166" s="24">
        <f t="shared" si="95"/>
        <v>0</v>
      </c>
      <c r="AK166" s="134">
        <f t="shared" si="116"/>
        <v>65570000</v>
      </c>
      <c r="AL166" s="24">
        <f t="shared" si="96"/>
        <v>100</v>
      </c>
      <c r="AM166" s="21"/>
    </row>
    <row r="167" spans="1:39" ht="28.5" customHeight="1" x14ac:dyDescent="0.25">
      <c r="A167" s="26"/>
      <c r="B167" s="151"/>
      <c r="C167" s="151"/>
      <c r="D167" s="151"/>
      <c r="E167" s="151"/>
      <c r="F167" s="151"/>
      <c r="G167" s="151"/>
      <c r="H167" s="151"/>
      <c r="I167" s="152"/>
      <c r="J167" s="151" t="s">
        <v>259</v>
      </c>
      <c r="K167" s="27"/>
      <c r="L167" s="31"/>
      <c r="M167" s="515" t="s">
        <v>260</v>
      </c>
      <c r="N167" s="516"/>
      <c r="O167" s="34"/>
      <c r="P167" s="28"/>
      <c r="Q167" s="28">
        <v>770000</v>
      </c>
      <c r="R167" s="29">
        <f t="shared" ref="R167:R174" si="117">Q167/Q$166*100</f>
        <v>1.1743175232575873</v>
      </c>
      <c r="S167" s="29">
        <v>100</v>
      </c>
      <c r="T167" s="28">
        <f t="shared" si="94"/>
        <v>0</v>
      </c>
      <c r="U167" s="28">
        <f t="shared" ref="U167:U175" si="118">R167*T167/100</f>
        <v>0</v>
      </c>
      <c r="V167" s="87">
        <f t="shared" si="105"/>
        <v>100</v>
      </c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>
        <v>0</v>
      </c>
      <c r="AJ167" s="29">
        <f t="shared" si="95"/>
        <v>0</v>
      </c>
      <c r="AK167" s="136">
        <f t="shared" si="116"/>
        <v>770000</v>
      </c>
      <c r="AL167" s="29">
        <f t="shared" si="96"/>
        <v>100</v>
      </c>
      <c r="AM167" s="26"/>
    </row>
    <row r="168" spans="1:39" ht="32.25" customHeight="1" x14ac:dyDescent="0.25">
      <c r="A168" s="26"/>
      <c r="B168" s="151"/>
      <c r="C168" s="151"/>
      <c r="D168" s="151"/>
      <c r="E168" s="151"/>
      <c r="F168" s="151"/>
      <c r="G168" s="151"/>
      <c r="H168" s="151"/>
      <c r="I168" s="152"/>
      <c r="J168" s="151" t="s">
        <v>315</v>
      </c>
      <c r="K168" s="27"/>
      <c r="L168" s="31"/>
      <c r="M168" s="515" t="s">
        <v>428</v>
      </c>
      <c r="N168" s="516"/>
      <c r="O168" s="34"/>
      <c r="P168" s="28"/>
      <c r="Q168" s="28">
        <v>1500000</v>
      </c>
      <c r="R168" s="29">
        <f t="shared" si="117"/>
        <v>2.2876315388134816</v>
      </c>
      <c r="S168" s="29">
        <v>100</v>
      </c>
      <c r="T168" s="28">
        <f t="shared" si="94"/>
        <v>0</v>
      </c>
      <c r="U168" s="28">
        <f t="shared" si="118"/>
        <v>0</v>
      </c>
      <c r="V168" s="87">
        <f t="shared" si="105"/>
        <v>100</v>
      </c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>
        <v>0</v>
      </c>
      <c r="AJ168" s="29">
        <f t="shared" si="95"/>
        <v>0</v>
      </c>
      <c r="AK168" s="136">
        <f t="shared" si="116"/>
        <v>1500000</v>
      </c>
      <c r="AL168" s="29">
        <f t="shared" si="96"/>
        <v>100</v>
      </c>
      <c r="AM168" s="26"/>
    </row>
    <row r="169" spans="1:39" ht="32.25" customHeight="1" x14ac:dyDescent="0.25">
      <c r="A169" s="26"/>
      <c r="B169" s="151"/>
      <c r="C169" s="151"/>
      <c r="D169" s="151"/>
      <c r="E169" s="151"/>
      <c r="F169" s="151"/>
      <c r="G169" s="151"/>
      <c r="H169" s="151"/>
      <c r="I169" s="152"/>
      <c r="J169" s="151" t="s">
        <v>316</v>
      </c>
      <c r="K169" s="27"/>
      <c r="L169" s="31"/>
      <c r="M169" s="515" t="s">
        <v>317</v>
      </c>
      <c r="N169" s="516"/>
      <c r="O169" s="34"/>
      <c r="P169" s="28"/>
      <c r="Q169" s="28">
        <v>300000</v>
      </c>
      <c r="R169" s="29">
        <f t="shared" si="117"/>
        <v>0.45752630776269632</v>
      </c>
      <c r="S169" s="29">
        <v>100</v>
      </c>
      <c r="T169" s="28">
        <f t="shared" si="94"/>
        <v>0</v>
      </c>
      <c r="U169" s="28">
        <f t="shared" si="118"/>
        <v>0</v>
      </c>
      <c r="V169" s="87">
        <f t="shared" si="105"/>
        <v>100</v>
      </c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>
        <v>0</v>
      </c>
      <c r="AJ169" s="29">
        <f t="shared" si="95"/>
        <v>0</v>
      </c>
      <c r="AK169" s="136">
        <f t="shared" si="116"/>
        <v>300000</v>
      </c>
      <c r="AL169" s="29">
        <f t="shared" si="96"/>
        <v>100</v>
      </c>
      <c r="AM169" s="26"/>
    </row>
    <row r="170" spans="1:39" ht="30.75" customHeight="1" x14ac:dyDescent="0.25">
      <c r="A170" s="26"/>
      <c r="B170" s="151"/>
      <c r="C170" s="151"/>
      <c r="D170" s="151"/>
      <c r="E170" s="151"/>
      <c r="F170" s="151"/>
      <c r="G170" s="151"/>
      <c r="H170" s="151"/>
      <c r="I170" s="152"/>
      <c r="J170" s="151" t="s">
        <v>318</v>
      </c>
      <c r="K170" s="27"/>
      <c r="L170" s="31"/>
      <c r="M170" s="515" t="s">
        <v>319</v>
      </c>
      <c r="N170" s="516"/>
      <c r="O170" s="34"/>
      <c r="P170" s="28"/>
      <c r="Q170" s="28">
        <v>26250000</v>
      </c>
      <c r="R170" s="29">
        <f t="shared" si="117"/>
        <v>40.033551929235934</v>
      </c>
      <c r="S170" s="29">
        <v>100</v>
      </c>
      <c r="T170" s="28">
        <f t="shared" si="94"/>
        <v>0</v>
      </c>
      <c r="U170" s="28">
        <f t="shared" si="118"/>
        <v>0</v>
      </c>
      <c r="V170" s="87">
        <f t="shared" si="105"/>
        <v>100</v>
      </c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>
        <v>0</v>
      </c>
      <c r="AJ170" s="29">
        <f t="shared" si="95"/>
        <v>0</v>
      </c>
      <c r="AK170" s="136">
        <f t="shared" si="116"/>
        <v>26250000</v>
      </c>
      <c r="AL170" s="29">
        <f t="shared" si="96"/>
        <v>100</v>
      </c>
      <c r="AM170" s="26"/>
    </row>
    <row r="171" spans="1:39" ht="24.75" customHeight="1" x14ac:dyDescent="0.25">
      <c r="A171" s="26"/>
      <c r="B171" s="151"/>
      <c r="C171" s="151"/>
      <c r="D171" s="151"/>
      <c r="E171" s="151"/>
      <c r="F171" s="151"/>
      <c r="G171" s="151"/>
      <c r="H171" s="151"/>
      <c r="I171" s="152"/>
      <c r="J171" s="171" t="s">
        <v>284</v>
      </c>
      <c r="K171" s="27"/>
      <c r="L171" s="31"/>
      <c r="M171" s="515" t="s">
        <v>585</v>
      </c>
      <c r="N171" s="516"/>
      <c r="O171" s="34"/>
      <c r="P171" s="28"/>
      <c r="Q171" s="28">
        <v>12900000</v>
      </c>
      <c r="R171" s="29">
        <f t="shared" si="117"/>
        <v>19.673631233795945</v>
      </c>
      <c r="S171" s="29">
        <v>100</v>
      </c>
      <c r="T171" s="28">
        <f t="shared" si="94"/>
        <v>0</v>
      </c>
      <c r="U171" s="28">
        <f t="shared" si="118"/>
        <v>0</v>
      </c>
      <c r="V171" s="87">
        <f t="shared" si="105"/>
        <v>100</v>
      </c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>
        <v>0</v>
      </c>
      <c r="AJ171" s="29">
        <f t="shared" si="95"/>
        <v>0</v>
      </c>
      <c r="AK171" s="136">
        <f t="shared" si="116"/>
        <v>12900000</v>
      </c>
      <c r="AL171" s="29">
        <f t="shared" si="96"/>
        <v>100</v>
      </c>
      <c r="AM171" s="26"/>
    </row>
    <row r="172" spans="1:39" ht="24.75" customHeight="1" x14ac:dyDescent="0.25">
      <c r="A172" s="26"/>
      <c r="B172" s="151"/>
      <c r="C172" s="151"/>
      <c r="D172" s="151"/>
      <c r="E172" s="151"/>
      <c r="F172" s="151"/>
      <c r="G172" s="151"/>
      <c r="H172" s="151"/>
      <c r="I172" s="152"/>
      <c r="J172" s="171" t="s">
        <v>282</v>
      </c>
      <c r="K172" s="27"/>
      <c r="L172" s="31"/>
      <c r="M172" s="515" t="s">
        <v>586</v>
      </c>
      <c r="N172" s="516"/>
      <c r="O172" s="34"/>
      <c r="P172" s="28"/>
      <c r="Q172" s="28">
        <v>5000000</v>
      </c>
      <c r="R172" s="29">
        <f t="shared" si="117"/>
        <v>7.6254384627116059</v>
      </c>
      <c r="S172" s="29">
        <v>100</v>
      </c>
      <c r="T172" s="28">
        <f t="shared" si="94"/>
        <v>0</v>
      </c>
      <c r="U172" s="28">
        <f t="shared" si="118"/>
        <v>0</v>
      </c>
      <c r="V172" s="87">
        <f>S172-T172</f>
        <v>100</v>
      </c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>
        <v>0</v>
      </c>
      <c r="AJ172" s="29">
        <f t="shared" si="95"/>
        <v>0</v>
      </c>
      <c r="AK172" s="136">
        <f t="shared" si="116"/>
        <v>5000000</v>
      </c>
      <c r="AL172" s="29">
        <f t="shared" si="96"/>
        <v>100</v>
      </c>
      <c r="AM172" s="26"/>
    </row>
    <row r="173" spans="1:39" ht="24.75" customHeight="1" x14ac:dyDescent="0.25">
      <c r="A173" s="26"/>
      <c r="B173" s="171"/>
      <c r="C173" s="171"/>
      <c r="D173" s="171"/>
      <c r="E173" s="171"/>
      <c r="F173" s="171"/>
      <c r="G173" s="171"/>
      <c r="H173" s="171"/>
      <c r="I173" s="172"/>
      <c r="J173" s="171" t="s">
        <v>320</v>
      </c>
      <c r="K173" s="27"/>
      <c r="L173" s="31"/>
      <c r="M173" s="515" t="s">
        <v>321</v>
      </c>
      <c r="N173" s="516"/>
      <c r="O173" s="34"/>
      <c r="P173" s="28"/>
      <c r="Q173" s="28">
        <v>18400000</v>
      </c>
      <c r="R173" s="29">
        <f t="shared" si="117"/>
        <v>28.061613542778709</v>
      </c>
      <c r="S173" s="29">
        <v>100</v>
      </c>
      <c r="T173" s="28">
        <f t="shared" si="94"/>
        <v>0</v>
      </c>
      <c r="U173" s="28">
        <f t="shared" si="118"/>
        <v>0</v>
      </c>
      <c r="V173" s="87">
        <f t="shared" ref="V173:V174" si="119">S173-T173</f>
        <v>100</v>
      </c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>
        <v>0</v>
      </c>
      <c r="AJ173" s="29">
        <f t="shared" si="95"/>
        <v>0</v>
      </c>
      <c r="AK173" s="136">
        <f t="shared" si="116"/>
        <v>18400000</v>
      </c>
      <c r="AL173" s="29">
        <f t="shared" si="96"/>
        <v>100</v>
      </c>
      <c r="AM173" s="26"/>
    </row>
    <row r="174" spans="1:39" ht="24.75" customHeight="1" x14ac:dyDescent="0.25">
      <c r="A174" s="26"/>
      <c r="B174" s="151"/>
      <c r="C174" s="151"/>
      <c r="D174" s="151"/>
      <c r="E174" s="151"/>
      <c r="F174" s="151"/>
      <c r="G174" s="151"/>
      <c r="H174" s="151"/>
      <c r="I174" s="152"/>
      <c r="J174" s="151" t="s">
        <v>407</v>
      </c>
      <c r="K174" s="27"/>
      <c r="L174" s="31"/>
      <c r="M174" s="515" t="s">
        <v>414</v>
      </c>
      <c r="N174" s="516"/>
      <c r="O174" s="34"/>
      <c r="P174" s="28"/>
      <c r="Q174" s="28">
        <v>450000</v>
      </c>
      <c r="R174" s="29">
        <f t="shared" si="117"/>
        <v>0.68628946164404447</v>
      </c>
      <c r="S174" s="29">
        <v>100</v>
      </c>
      <c r="T174" s="28">
        <f t="shared" si="94"/>
        <v>0</v>
      </c>
      <c r="U174" s="28">
        <f t="shared" si="118"/>
        <v>0</v>
      </c>
      <c r="V174" s="87">
        <f t="shared" si="119"/>
        <v>100</v>
      </c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>
        <v>0</v>
      </c>
      <c r="AJ174" s="29">
        <f t="shared" si="95"/>
        <v>0</v>
      </c>
      <c r="AK174" s="136">
        <f t="shared" si="116"/>
        <v>450000</v>
      </c>
      <c r="AL174" s="29">
        <f t="shared" si="96"/>
        <v>100</v>
      </c>
      <c r="AM174" s="26"/>
    </row>
    <row r="175" spans="1:39" s="36" customFormat="1" ht="36.75" customHeight="1" x14ac:dyDescent="0.25">
      <c r="A175" s="51" t="s">
        <v>34</v>
      </c>
      <c r="B175" s="547" t="s">
        <v>138</v>
      </c>
      <c r="C175" s="547"/>
      <c r="D175" s="547"/>
      <c r="E175" s="547"/>
      <c r="F175" s="547"/>
      <c r="G175" s="547"/>
      <c r="H175" s="547"/>
      <c r="I175" s="548"/>
      <c r="J175" s="163" t="s">
        <v>467</v>
      </c>
      <c r="K175" s="52"/>
      <c r="L175" s="549" t="s">
        <v>35</v>
      </c>
      <c r="M175" s="549"/>
      <c r="N175" s="550"/>
      <c r="O175" s="55">
        <f>SUM(O176:O225)</f>
        <v>2212865000</v>
      </c>
      <c r="P175" s="55">
        <f>SUM(P176:P225)</f>
        <v>1923365000</v>
      </c>
      <c r="Q175" s="55">
        <f>SUM(Q176+Q188+Q196+Q204+Q211+Q217+Q225)</f>
        <v>1310058427</v>
      </c>
      <c r="R175" s="57" t="e">
        <f>Q175/Q$53*100</f>
        <v>#REF!</v>
      </c>
      <c r="S175" s="57">
        <f>S176</f>
        <v>100</v>
      </c>
      <c r="T175" s="55">
        <f t="shared" si="94"/>
        <v>0</v>
      </c>
      <c r="U175" s="55" t="e">
        <f t="shared" si="118"/>
        <v>#REF!</v>
      </c>
      <c r="V175" s="117">
        <f t="shared" si="105"/>
        <v>100</v>
      </c>
      <c r="W175" s="55">
        <f t="shared" ref="W175:AH175" si="120">SUM(W176:W225)</f>
        <v>0</v>
      </c>
      <c r="X175" s="55" t="e">
        <f t="shared" si="120"/>
        <v>#REF!</v>
      </c>
      <c r="Y175" s="55" t="e">
        <f t="shared" si="120"/>
        <v>#REF!</v>
      </c>
      <c r="Z175" s="55" t="e">
        <f t="shared" si="120"/>
        <v>#REF!</v>
      </c>
      <c r="AA175" s="55" t="e">
        <f t="shared" si="120"/>
        <v>#REF!</v>
      </c>
      <c r="AB175" s="55">
        <f t="shared" si="120"/>
        <v>1160108089</v>
      </c>
      <c r="AC175" s="55" t="e">
        <f t="shared" si="120"/>
        <v>#REF!</v>
      </c>
      <c r="AD175" s="55" t="e">
        <f t="shared" si="120"/>
        <v>#REF!</v>
      </c>
      <c r="AE175" s="55" t="e">
        <f t="shared" si="120"/>
        <v>#REF!</v>
      </c>
      <c r="AF175" s="55" t="e">
        <f t="shared" si="120"/>
        <v>#REF!</v>
      </c>
      <c r="AG175" s="55" t="e">
        <f t="shared" si="120"/>
        <v>#REF!</v>
      </c>
      <c r="AH175" s="55" t="e">
        <f t="shared" si="120"/>
        <v>#REF!</v>
      </c>
      <c r="AI175" s="55">
        <f>SUM(AI176+AI188+AI196+AI204+AI211+AI217+AI225)</f>
        <v>0</v>
      </c>
      <c r="AJ175" s="57">
        <f t="shared" si="95"/>
        <v>0</v>
      </c>
      <c r="AK175" s="137">
        <f>SUM(Q175-AI175)</f>
        <v>1310058427</v>
      </c>
      <c r="AL175" s="57">
        <f t="shared" si="96"/>
        <v>100</v>
      </c>
      <c r="AM175" s="51"/>
    </row>
    <row r="176" spans="1:39" s="41" customFormat="1" ht="28.5" customHeight="1" x14ac:dyDescent="0.25">
      <c r="A176" s="21">
        <f>A166+1</f>
        <v>28</v>
      </c>
      <c r="B176" s="543" t="s">
        <v>139</v>
      </c>
      <c r="C176" s="543"/>
      <c r="D176" s="543"/>
      <c r="E176" s="543"/>
      <c r="F176" s="543"/>
      <c r="G176" s="543"/>
      <c r="H176" s="543"/>
      <c r="I176" s="544"/>
      <c r="J176" s="122" t="s">
        <v>468</v>
      </c>
      <c r="K176" s="22"/>
      <c r="L176" s="72"/>
      <c r="M176" s="545" t="s">
        <v>36</v>
      </c>
      <c r="N176" s="546"/>
      <c r="O176" s="75">
        <v>1093890000</v>
      </c>
      <c r="P176" s="23">
        <f>[9]Sheet1!$U$80</f>
        <v>804390000</v>
      </c>
      <c r="Q176" s="23">
        <f>SUM(Q177:Q187)</f>
        <v>496093427</v>
      </c>
      <c r="R176" s="24">
        <f>Q176/Q$175*100</f>
        <v>37.868038308492942</v>
      </c>
      <c r="S176" s="24">
        <v>100</v>
      </c>
      <c r="T176" s="23">
        <f t="shared" si="94"/>
        <v>0</v>
      </c>
      <c r="U176" s="23">
        <f>R176*T176/100</f>
        <v>0</v>
      </c>
      <c r="V176" s="90">
        <f t="shared" si="105"/>
        <v>100</v>
      </c>
      <c r="W176" s="23"/>
      <c r="X176" s="23" t="e">
        <f>#REF!</f>
        <v>#REF!</v>
      </c>
      <c r="Y176" s="23" t="e">
        <f>#REF!</f>
        <v>#REF!</v>
      </c>
      <c r="Z176" s="23" t="e">
        <f>#REF!</f>
        <v>#REF!</v>
      </c>
      <c r="AA176" s="23" t="e">
        <f>#REF!</f>
        <v>#REF!</v>
      </c>
      <c r="AB176" s="23">
        <v>258208050</v>
      </c>
      <c r="AC176" s="23" t="e">
        <f>#REF!</f>
        <v>#REF!</v>
      </c>
      <c r="AD176" s="23" t="e">
        <f>#REF!</f>
        <v>#REF!</v>
      </c>
      <c r="AE176" s="23" t="e">
        <f>#REF!</f>
        <v>#REF!</v>
      </c>
      <c r="AF176" s="23" t="e">
        <f>[1]April!N48</f>
        <v>#REF!</v>
      </c>
      <c r="AG176" s="23" t="e">
        <f>[2]april!N48</f>
        <v>#REF!</v>
      </c>
      <c r="AH176" s="23">
        <f>'[3]DES SKPD'!$N48</f>
        <v>531334050</v>
      </c>
      <c r="AI176" s="23">
        <f>SUM(AI177:AI187)</f>
        <v>0</v>
      </c>
      <c r="AJ176" s="24">
        <f t="shared" si="95"/>
        <v>0</v>
      </c>
      <c r="AK176" s="134">
        <f>Q176-AI176</f>
        <v>496093427</v>
      </c>
      <c r="AL176" s="24">
        <f t="shared" si="96"/>
        <v>100</v>
      </c>
      <c r="AM176" s="21"/>
    </row>
    <row r="177" spans="1:44" ht="28.5" customHeight="1" x14ac:dyDescent="0.25">
      <c r="A177" s="26"/>
      <c r="B177" s="151"/>
      <c r="C177" s="151"/>
      <c r="D177" s="151"/>
      <c r="E177" s="151"/>
      <c r="F177" s="151"/>
      <c r="G177" s="151"/>
      <c r="H177" s="151"/>
      <c r="I177" s="152"/>
      <c r="J177" s="151" t="s">
        <v>259</v>
      </c>
      <c r="K177" s="27"/>
      <c r="L177" s="31"/>
      <c r="M177" s="515" t="s">
        <v>260</v>
      </c>
      <c r="N177" s="516"/>
      <c r="O177" s="74"/>
      <c r="P177" s="28"/>
      <c r="Q177" s="28">
        <v>1096000</v>
      </c>
      <c r="R177" s="29">
        <f t="shared" ref="R177:R187" si="121">Q177/Q$176*100</f>
        <v>0.22092612809401324</v>
      </c>
      <c r="S177" s="29">
        <v>100</v>
      </c>
      <c r="T177" s="28">
        <f t="shared" si="94"/>
        <v>0</v>
      </c>
      <c r="U177" s="28">
        <f t="shared" ref="U177:U185" si="122">R177*T177/100</f>
        <v>0</v>
      </c>
      <c r="V177" s="87">
        <f t="shared" si="105"/>
        <v>100</v>
      </c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>
        <v>0</v>
      </c>
      <c r="AJ177" s="29">
        <f t="shared" si="95"/>
        <v>0</v>
      </c>
      <c r="AK177" s="136">
        <f t="shared" ref="AK177:AK235" si="123">Q177-AI177</f>
        <v>1096000</v>
      </c>
      <c r="AL177" s="29">
        <f t="shared" si="96"/>
        <v>100</v>
      </c>
      <c r="AM177" s="26"/>
      <c r="AR177">
        <f>SUM(69300000-48250000)</f>
        <v>21050000</v>
      </c>
    </row>
    <row r="178" spans="1:44" ht="28.5" customHeight="1" x14ac:dyDescent="0.25">
      <c r="A178" s="26"/>
      <c r="B178" s="151"/>
      <c r="C178" s="151"/>
      <c r="D178" s="151"/>
      <c r="E178" s="151"/>
      <c r="F178" s="151"/>
      <c r="G178" s="151"/>
      <c r="H178" s="151"/>
      <c r="I178" s="152"/>
      <c r="J178" s="171" t="s">
        <v>273</v>
      </c>
      <c r="K178" s="27"/>
      <c r="L178" s="31"/>
      <c r="M178" s="515" t="s">
        <v>322</v>
      </c>
      <c r="N178" s="516"/>
      <c r="O178" s="74"/>
      <c r="P178" s="28"/>
      <c r="Q178" s="28">
        <v>6900000</v>
      </c>
      <c r="R178" s="29">
        <f t="shared" si="121"/>
        <v>1.3908670473072002</v>
      </c>
      <c r="S178" s="29">
        <v>100</v>
      </c>
      <c r="T178" s="28">
        <f>AJ178</f>
        <v>0</v>
      </c>
      <c r="U178" s="28">
        <f t="shared" si="122"/>
        <v>0</v>
      </c>
      <c r="V178" s="87">
        <f t="shared" si="105"/>
        <v>100</v>
      </c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>
        <v>0</v>
      </c>
      <c r="AJ178" s="29">
        <f>AI178/Q178*100</f>
        <v>0</v>
      </c>
      <c r="AK178" s="136">
        <f t="shared" si="123"/>
        <v>6900000</v>
      </c>
      <c r="AL178" s="29">
        <f t="shared" si="96"/>
        <v>100</v>
      </c>
      <c r="AM178" s="26"/>
    </row>
    <row r="179" spans="1:44" ht="28.5" customHeight="1" x14ac:dyDescent="0.25">
      <c r="A179" s="26"/>
      <c r="B179" s="171"/>
      <c r="C179" s="171"/>
      <c r="D179" s="171"/>
      <c r="E179" s="171"/>
      <c r="F179" s="171"/>
      <c r="G179" s="171"/>
      <c r="H179" s="171"/>
      <c r="I179" s="172"/>
      <c r="J179" s="171" t="s">
        <v>587</v>
      </c>
      <c r="K179" s="27"/>
      <c r="L179" s="31"/>
      <c r="M179" s="515" t="s">
        <v>588</v>
      </c>
      <c r="N179" s="516"/>
      <c r="O179" s="74"/>
      <c r="P179" s="28"/>
      <c r="Q179" s="28">
        <v>80900000</v>
      </c>
      <c r="R179" s="29">
        <f t="shared" si="121"/>
        <v>16.307412192340941</v>
      </c>
      <c r="S179" s="29">
        <v>100</v>
      </c>
      <c r="T179" s="28">
        <f>AJ179</f>
        <v>0</v>
      </c>
      <c r="U179" s="28">
        <f t="shared" si="122"/>
        <v>0</v>
      </c>
      <c r="V179" s="87">
        <f t="shared" si="105"/>
        <v>100</v>
      </c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>
        <v>0</v>
      </c>
      <c r="AJ179" s="29">
        <f>AI179/Q179*100</f>
        <v>0</v>
      </c>
      <c r="AK179" s="136">
        <f t="shared" si="123"/>
        <v>80900000</v>
      </c>
      <c r="AL179" s="29"/>
      <c r="AM179" s="26"/>
    </row>
    <row r="180" spans="1:44" ht="28.5" customHeight="1" x14ac:dyDescent="0.25">
      <c r="A180" s="26"/>
      <c r="B180" s="151"/>
      <c r="C180" s="151"/>
      <c r="D180" s="151"/>
      <c r="E180" s="151"/>
      <c r="F180" s="151"/>
      <c r="G180" s="151"/>
      <c r="H180" s="151"/>
      <c r="I180" s="152"/>
      <c r="J180" s="151" t="s">
        <v>323</v>
      </c>
      <c r="K180" s="27"/>
      <c r="L180" s="31"/>
      <c r="M180" s="515" t="s">
        <v>324</v>
      </c>
      <c r="N180" s="516"/>
      <c r="O180" s="74"/>
      <c r="P180" s="28"/>
      <c r="Q180" s="28">
        <v>23150000</v>
      </c>
      <c r="R180" s="29">
        <f t="shared" si="121"/>
        <v>4.6664597311828526</v>
      </c>
      <c r="S180" s="29">
        <v>100</v>
      </c>
      <c r="T180" s="28">
        <f t="shared" si="94"/>
        <v>0</v>
      </c>
      <c r="U180" s="28">
        <f t="shared" si="122"/>
        <v>0</v>
      </c>
      <c r="V180" s="87">
        <f t="shared" si="105"/>
        <v>100</v>
      </c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>
        <v>0</v>
      </c>
      <c r="AJ180" s="29">
        <f t="shared" si="95"/>
        <v>0</v>
      </c>
      <c r="AK180" s="136">
        <f t="shared" si="123"/>
        <v>23150000</v>
      </c>
      <c r="AL180" s="29">
        <f t="shared" si="96"/>
        <v>100</v>
      </c>
      <c r="AM180" s="26"/>
    </row>
    <row r="181" spans="1:44" ht="28.5" customHeight="1" x14ac:dyDescent="0.25">
      <c r="A181" s="26"/>
      <c r="B181" s="151"/>
      <c r="C181" s="151"/>
      <c r="D181" s="151"/>
      <c r="E181" s="151"/>
      <c r="F181" s="151"/>
      <c r="G181" s="151"/>
      <c r="H181" s="151"/>
      <c r="I181" s="152"/>
      <c r="J181" s="151" t="s">
        <v>269</v>
      </c>
      <c r="K181" s="27"/>
      <c r="L181" s="31"/>
      <c r="M181" s="515" t="s">
        <v>589</v>
      </c>
      <c r="N181" s="516"/>
      <c r="O181" s="74"/>
      <c r="P181" s="28"/>
      <c r="Q181" s="28">
        <v>23500000</v>
      </c>
      <c r="R181" s="29">
        <f t="shared" si="121"/>
        <v>4.737010958220174</v>
      </c>
      <c r="S181" s="29">
        <v>100</v>
      </c>
      <c r="T181" s="28">
        <f t="shared" si="94"/>
        <v>0</v>
      </c>
      <c r="U181" s="28">
        <f t="shared" si="122"/>
        <v>0</v>
      </c>
      <c r="V181" s="87">
        <f t="shared" si="105"/>
        <v>100</v>
      </c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>
        <v>0</v>
      </c>
      <c r="AJ181" s="29">
        <f t="shared" si="95"/>
        <v>0</v>
      </c>
      <c r="AK181" s="136">
        <f t="shared" si="123"/>
        <v>23500000</v>
      </c>
      <c r="AL181" s="29">
        <f t="shared" si="96"/>
        <v>100</v>
      </c>
      <c r="AM181" s="26"/>
    </row>
    <row r="182" spans="1:44" ht="28.5" customHeight="1" x14ac:dyDescent="0.25">
      <c r="A182" s="26"/>
      <c r="B182" s="151"/>
      <c r="C182" s="151"/>
      <c r="D182" s="151"/>
      <c r="E182" s="151"/>
      <c r="F182" s="151"/>
      <c r="G182" s="151"/>
      <c r="H182" s="151"/>
      <c r="I182" s="152"/>
      <c r="J182" s="151" t="s">
        <v>315</v>
      </c>
      <c r="K182" s="27"/>
      <c r="L182" s="31"/>
      <c r="M182" s="515" t="s">
        <v>271</v>
      </c>
      <c r="N182" s="516"/>
      <c r="O182" s="74"/>
      <c r="P182" s="28"/>
      <c r="Q182" s="28">
        <v>5200000</v>
      </c>
      <c r="R182" s="29">
        <f t="shared" si="121"/>
        <v>1.0481896588402086</v>
      </c>
      <c r="S182" s="29">
        <v>100</v>
      </c>
      <c r="T182" s="28">
        <f t="shared" si="94"/>
        <v>0</v>
      </c>
      <c r="U182" s="28">
        <f t="shared" si="122"/>
        <v>0</v>
      </c>
      <c r="V182" s="87">
        <f t="shared" si="105"/>
        <v>100</v>
      </c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>
        <v>0</v>
      </c>
      <c r="AJ182" s="29">
        <f t="shared" si="95"/>
        <v>0</v>
      </c>
      <c r="AK182" s="136">
        <f t="shared" si="123"/>
        <v>5200000</v>
      </c>
      <c r="AL182" s="29">
        <f t="shared" si="96"/>
        <v>100</v>
      </c>
      <c r="AM182" s="26"/>
    </row>
    <row r="183" spans="1:44" ht="28.5" customHeight="1" x14ac:dyDescent="0.25">
      <c r="A183" s="26"/>
      <c r="B183" s="151"/>
      <c r="C183" s="151"/>
      <c r="D183" s="151"/>
      <c r="E183" s="151"/>
      <c r="F183" s="151"/>
      <c r="G183" s="151"/>
      <c r="H183" s="151"/>
      <c r="I183" s="152"/>
      <c r="J183" s="171" t="s">
        <v>328</v>
      </c>
      <c r="K183" s="27"/>
      <c r="L183" s="31"/>
      <c r="M183" s="515" t="s">
        <v>329</v>
      </c>
      <c r="N183" s="516"/>
      <c r="O183" s="74"/>
      <c r="P183" s="28"/>
      <c r="Q183" s="28">
        <v>36000000</v>
      </c>
      <c r="R183" s="29">
        <f t="shared" si="121"/>
        <v>7.2566976381245221</v>
      </c>
      <c r="S183" s="29">
        <v>100</v>
      </c>
      <c r="T183" s="28">
        <f t="shared" si="94"/>
        <v>0</v>
      </c>
      <c r="U183" s="28">
        <f t="shared" si="122"/>
        <v>0</v>
      </c>
      <c r="V183" s="87">
        <f t="shared" si="105"/>
        <v>100</v>
      </c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>
        <v>0</v>
      </c>
      <c r="AJ183" s="29">
        <f t="shared" si="95"/>
        <v>0</v>
      </c>
      <c r="AK183" s="136">
        <f t="shared" si="123"/>
        <v>36000000</v>
      </c>
      <c r="AL183" s="29">
        <f t="shared" si="96"/>
        <v>100</v>
      </c>
      <c r="AM183" s="26"/>
    </row>
    <row r="184" spans="1:44" ht="28.5" customHeight="1" x14ac:dyDescent="0.25">
      <c r="A184" s="26"/>
      <c r="B184" s="151"/>
      <c r="C184" s="151"/>
      <c r="D184" s="151"/>
      <c r="E184" s="151"/>
      <c r="F184" s="151"/>
      <c r="G184" s="151"/>
      <c r="H184" s="151"/>
      <c r="I184" s="152"/>
      <c r="J184" s="171" t="s">
        <v>280</v>
      </c>
      <c r="K184" s="27"/>
      <c r="L184" s="31"/>
      <c r="M184" s="515" t="s">
        <v>425</v>
      </c>
      <c r="N184" s="516"/>
      <c r="O184" s="74"/>
      <c r="P184" s="28"/>
      <c r="Q184" s="28">
        <v>40500000</v>
      </c>
      <c r="R184" s="29">
        <f t="shared" si="121"/>
        <v>8.1637848428900881</v>
      </c>
      <c r="S184" s="29">
        <v>100</v>
      </c>
      <c r="T184" s="28">
        <f t="shared" si="94"/>
        <v>0</v>
      </c>
      <c r="U184" s="28">
        <f t="shared" si="122"/>
        <v>0</v>
      </c>
      <c r="V184" s="87">
        <f t="shared" si="105"/>
        <v>100</v>
      </c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>
        <v>0</v>
      </c>
      <c r="AJ184" s="29">
        <f t="shared" si="95"/>
        <v>0</v>
      </c>
      <c r="AK184" s="136">
        <f t="shared" si="123"/>
        <v>40500000</v>
      </c>
      <c r="AL184" s="29">
        <f t="shared" si="96"/>
        <v>100</v>
      </c>
      <c r="AM184" s="26"/>
    </row>
    <row r="185" spans="1:44" ht="28.5" customHeight="1" x14ac:dyDescent="0.25">
      <c r="A185" s="26"/>
      <c r="B185" s="151"/>
      <c r="C185" s="151"/>
      <c r="D185" s="151"/>
      <c r="E185" s="151"/>
      <c r="F185" s="151"/>
      <c r="G185" s="151"/>
      <c r="H185" s="151"/>
      <c r="I185" s="152"/>
      <c r="J185" s="171" t="s">
        <v>282</v>
      </c>
      <c r="K185" s="27"/>
      <c r="L185" s="31"/>
      <c r="M185" s="515" t="s">
        <v>590</v>
      </c>
      <c r="N185" s="516"/>
      <c r="O185" s="74"/>
      <c r="P185" s="28"/>
      <c r="Q185" s="28">
        <v>40047427</v>
      </c>
      <c r="R185" s="29">
        <f t="shared" si="121"/>
        <v>8.0725574701073395</v>
      </c>
      <c r="S185" s="29">
        <v>100</v>
      </c>
      <c r="T185" s="28">
        <f t="shared" si="94"/>
        <v>0</v>
      </c>
      <c r="U185" s="28">
        <f t="shared" si="122"/>
        <v>0</v>
      </c>
      <c r="V185" s="87">
        <f t="shared" si="105"/>
        <v>100</v>
      </c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>
        <v>0</v>
      </c>
      <c r="AJ185" s="29">
        <f t="shared" si="95"/>
        <v>0</v>
      </c>
      <c r="AK185" s="136">
        <f t="shared" si="123"/>
        <v>40047427</v>
      </c>
      <c r="AL185" s="29">
        <f t="shared" si="96"/>
        <v>100</v>
      </c>
      <c r="AM185" s="26"/>
    </row>
    <row r="186" spans="1:44" ht="28.5" customHeight="1" x14ac:dyDescent="0.25">
      <c r="A186" s="26"/>
      <c r="B186" s="151"/>
      <c r="C186" s="151"/>
      <c r="D186" s="151"/>
      <c r="E186" s="151"/>
      <c r="F186" s="151"/>
      <c r="G186" s="151"/>
      <c r="H186" s="151"/>
      <c r="I186" s="152"/>
      <c r="J186" s="171" t="s">
        <v>306</v>
      </c>
      <c r="K186" s="27"/>
      <c r="L186" s="31"/>
      <c r="M186" s="515" t="s">
        <v>591</v>
      </c>
      <c r="N186" s="516"/>
      <c r="O186" s="74"/>
      <c r="P186" s="28"/>
      <c r="Q186" s="28">
        <v>40000000</v>
      </c>
      <c r="R186" s="29">
        <f t="shared" si="121"/>
        <v>8.0629973756939126</v>
      </c>
      <c r="S186" s="29">
        <v>100</v>
      </c>
      <c r="T186" s="28">
        <f>AJ187</f>
        <v>0</v>
      </c>
      <c r="U186" s="28">
        <f>R186*T186/100</f>
        <v>0</v>
      </c>
      <c r="V186" s="87">
        <f>S186-T186</f>
        <v>100</v>
      </c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>
        <v>0</v>
      </c>
      <c r="AJ186" s="29">
        <f>AI186/Q186*100</f>
        <v>0</v>
      </c>
      <c r="AK186" s="136">
        <f t="shared" si="123"/>
        <v>40000000</v>
      </c>
      <c r="AL186" s="29">
        <f t="shared" si="96"/>
        <v>100</v>
      </c>
      <c r="AM186" s="26"/>
    </row>
    <row r="187" spans="1:44" ht="28.5" customHeight="1" x14ac:dyDescent="0.25">
      <c r="A187" s="26"/>
      <c r="B187" s="171"/>
      <c r="C187" s="171"/>
      <c r="D187" s="171"/>
      <c r="E187" s="171"/>
      <c r="F187" s="171"/>
      <c r="G187" s="171"/>
      <c r="H187" s="171"/>
      <c r="I187" s="172"/>
      <c r="J187" s="171" t="s">
        <v>551</v>
      </c>
      <c r="K187" s="27"/>
      <c r="L187" s="31"/>
      <c r="M187" s="515" t="s">
        <v>550</v>
      </c>
      <c r="N187" s="516"/>
      <c r="O187" s="74"/>
      <c r="P187" s="28"/>
      <c r="Q187" s="28">
        <v>198800000</v>
      </c>
      <c r="R187" s="29">
        <f t="shared" si="121"/>
        <v>40.07309695719875</v>
      </c>
      <c r="S187" s="29">
        <v>100</v>
      </c>
      <c r="T187" s="28"/>
      <c r="U187" s="28">
        <f>R187*T187/100</f>
        <v>0</v>
      </c>
      <c r="V187" s="87">
        <f>S187-T187</f>
        <v>100</v>
      </c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>
        <v>0</v>
      </c>
      <c r="AJ187" s="29">
        <f>AI186/Q186*100</f>
        <v>0</v>
      </c>
      <c r="AK187" s="136">
        <f t="shared" si="123"/>
        <v>198800000</v>
      </c>
      <c r="AL187" s="29">
        <f t="shared" si="96"/>
        <v>100</v>
      </c>
      <c r="AM187" s="26"/>
    </row>
    <row r="188" spans="1:44" s="41" customFormat="1" ht="28.5" customHeight="1" x14ac:dyDescent="0.25">
      <c r="A188" s="21">
        <f>A176+1</f>
        <v>29</v>
      </c>
      <c r="B188" s="543" t="s">
        <v>140</v>
      </c>
      <c r="C188" s="543"/>
      <c r="D188" s="543"/>
      <c r="E188" s="543"/>
      <c r="F188" s="543"/>
      <c r="G188" s="543"/>
      <c r="H188" s="543"/>
      <c r="I188" s="544"/>
      <c r="J188" s="122" t="s">
        <v>469</v>
      </c>
      <c r="K188" s="22"/>
      <c r="L188" s="72"/>
      <c r="M188" s="545" t="s">
        <v>37</v>
      </c>
      <c r="N188" s="546"/>
      <c r="O188" s="73">
        <v>144225000</v>
      </c>
      <c r="P188" s="23">
        <f>O188</f>
        <v>144225000</v>
      </c>
      <c r="Q188" s="23">
        <f>SUM(Q189:Q195)</f>
        <v>131070000</v>
      </c>
      <c r="R188" s="24">
        <f>Q188/Q$175*100</f>
        <v>10.004897285394126</v>
      </c>
      <c r="S188" s="24">
        <v>100</v>
      </c>
      <c r="T188" s="23">
        <f t="shared" si="94"/>
        <v>0</v>
      </c>
      <c r="U188" s="23">
        <f>R188*T188/100</f>
        <v>0</v>
      </c>
      <c r="V188" s="90">
        <f t="shared" si="105"/>
        <v>100</v>
      </c>
      <c r="W188" s="23"/>
      <c r="X188" s="23" t="e">
        <f>#REF!</f>
        <v>#REF!</v>
      </c>
      <c r="Y188" s="23" t="e">
        <f>#REF!</f>
        <v>#REF!</v>
      </c>
      <c r="Z188" s="23" t="e">
        <f>#REF!</f>
        <v>#REF!</v>
      </c>
      <c r="AA188" s="23" t="e">
        <f>#REF!</f>
        <v>#REF!</v>
      </c>
      <c r="AB188" s="23">
        <v>0</v>
      </c>
      <c r="AC188" s="23" t="e">
        <f>#REF!</f>
        <v>#REF!</v>
      </c>
      <c r="AD188" s="23" t="e">
        <f>#REF!</f>
        <v>#REF!</v>
      </c>
      <c r="AE188" s="23" t="e">
        <f>#REF!</f>
        <v>#REF!</v>
      </c>
      <c r="AF188" s="23" t="e">
        <f>[1]April!N49</f>
        <v>#REF!</v>
      </c>
      <c r="AG188" s="23" t="e">
        <f>[2]april!N49</f>
        <v>#REF!</v>
      </c>
      <c r="AH188" s="23">
        <f>'[3]DES SKPD'!$N49</f>
        <v>143100490</v>
      </c>
      <c r="AI188" s="23">
        <f>SUM(AI189:AI195)</f>
        <v>0</v>
      </c>
      <c r="AJ188" s="24">
        <f t="shared" si="95"/>
        <v>0</v>
      </c>
      <c r="AK188" s="134">
        <f t="shared" si="123"/>
        <v>131070000</v>
      </c>
      <c r="AL188" s="24">
        <f t="shared" si="96"/>
        <v>100</v>
      </c>
      <c r="AM188" s="21"/>
    </row>
    <row r="189" spans="1:44" ht="28.5" customHeight="1" x14ac:dyDescent="0.25">
      <c r="A189" s="26"/>
      <c r="B189" s="151"/>
      <c r="C189" s="151"/>
      <c r="D189" s="151"/>
      <c r="E189" s="151"/>
      <c r="F189" s="151"/>
      <c r="G189" s="151"/>
      <c r="H189" s="151"/>
      <c r="I189" s="152"/>
      <c r="J189" s="171" t="s">
        <v>326</v>
      </c>
      <c r="K189" s="27"/>
      <c r="L189" s="31"/>
      <c r="M189" s="515" t="s">
        <v>327</v>
      </c>
      <c r="N189" s="516"/>
      <c r="O189" s="34"/>
      <c r="P189" s="28"/>
      <c r="Q189" s="28">
        <v>16750000</v>
      </c>
      <c r="R189" s="29">
        <f t="shared" ref="R189:R195" si="124">Q189/Q$188*100</f>
        <v>12.779430838483252</v>
      </c>
      <c r="S189" s="29">
        <v>100</v>
      </c>
      <c r="T189" s="28">
        <f t="shared" si="94"/>
        <v>0</v>
      </c>
      <c r="U189" s="28">
        <f t="shared" ref="U189:U195" si="125">R189*T189/100</f>
        <v>0</v>
      </c>
      <c r="V189" s="87">
        <f t="shared" si="105"/>
        <v>100</v>
      </c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>
        <v>0</v>
      </c>
      <c r="AJ189" s="29">
        <f t="shared" si="95"/>
        <v>0</v>
      </c>
      <c r="AK189" s="136">
        <f t="shared" si="123"/>
        <v>16750000</v>
      </c>
      <c r="AL189" s="29">
        <f t="shared" si="96"/>
        <v>100</v>
      </c>
      <c r="AM189" s="26"/>
    </row>
    <row r="190" spans="1:44" ht="28.5" customHeight="1" x14ac:dyDescent="0.25">
      <c r="A190" s="26"/>
      <c r="B190" s="151"/>
      <c r="C190" s="151"/>
      <c r="D190" s="151"/>
      <c r="E190" s="151"/>
      <c r="F190" s="151"/>
      <c r="G190" s="151"/>
      <c r="H190" s="151"/>
      <c r="I190" s="152"/>
      <c r="J190" s="171" t="s">
        <v>323</v>
      </c>
      <c r="K190" s="27"/>
      <c r="L190" s="31"/>
      <c r="M190" s="515" t="s">
        <v>324</v>
      </c>
      <c r="N190" s="516"/>
      <c r="O190" s="34"/>
      <c r="P190" s="28"/>
      <c r="Q190" s="28">
        <v>9132000</v>
      </c>
      <c r="R190" s="29">
        <f t="shared" si="124"/>
        <v>6.9672693980315863</v>
      </c>
      <c r="S190" s="29">
        <v>100</v>
      </c>
      <c r="T190" s="28">
        <f t="shared" si="94"/>
        <v>0</v>
      </c>
      <c r="U190" s="28">
        <f t="shared" si="125"/>
        <v>0</v>
      </c>
      <c r="V190" s="87">
        <f t="shared" si="105"/>
        <v>100</v>
      </c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>
        <v>0</v>
      </c>
      <c r="AJ190" s="29">
        <f t="shared" si="95"/>
        <v>0</v>
      </c>
      <c r="AK190" s="136">
        <f t="shared" si="123"/>
        <v>9132000</v>
      </c>
      <c r="AL190" s="29">
        <f t="shared" si="96"/>
        <v>100</v>
      </c>
      <c r="AM190" s="26"/>
    </row>
    <row r="191" spans="1:44" ht="28.5" customHeight="1" x14ac:dyDescent="0.25">
      <c r="A191" s="26"/>
      <c r="B191" s="151"/>
      <c r="C191" s="151"/>
      <c r="D191" s="151"/>
      <c r="E191" s="151"/>
      <c r="F191" s="151"/>
      <c r="G191" s="151"/>
      <c r="H191" s="151"/>
      <c r="I191" s="152"/>
      <c r="J191" s="171" t="s">
        <v>269</v>
      </c>
      <c r="K191" s="27"/>
      <c r="L191" s="31"/>
      <c r="M191" s="515" t="s">
        <v>270</v>
      </c>
      <c r="N191" s="516"/>
      <c r="O191" s="34"/>
      <c r="P191" s="28"/>
      <c r="Q191" s="28">
        <v>13650000</v>
      </c>
      <c r="R191" s="29">
        <f t="shared" si="124"/>
        <v>10.414282444495308</v>
      </c>
      <c r="S191" s="29">
        <v>100</v>
      </c>
      <c r="T191" s="28">
        <f t="shared" si="94"/>
        <v>0</v>
      </c>
      <c r="U191" s="28">
        <f t="shared" si="125"/>
        <v>0</v>
      </c>
      <c r="V191" s="87">
        <f t="shared" si="105"/>
        <v>100</v>
      </c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>
        <v>0</v>
      </c>
      <c r="AJ191" s="29">
        <f t="shared" si="95"/>
        <v>0</v>
      </c>
      <c r="AK191" s="136">
        <f t="shared" si="123"/>
        <v>13650000</v>
      </c>
      <c r="AL191" s="29">
        <f t="shared" si="96"/>
        <v>100</v>
      </c>
      <c r="AM191" s="26"/>
    </row>
    <row r="192" spans="1:44" ht="28.5" customHeight="1" x14ac:dyDescent="0.25">
      <c r="A192" s="26"/>
      <c r="B192" s="151"/>
      <c r="C192" s="151"/>
      <c r="D192" s="151"/>
      <c r="E192" s="151"/>
      <c r="F192" s="151"/>
      <c r="G192" s="151"/>
      <c r="H192" s="151"/>
      <c r="I192" s="152"/>
      <c r="J192" s="171" t="s">
        <v>315</v>
      </c>
      <c r="K192" s="27"/>
      <c r="L192" s="31"/>
      <c r="M192" s="515" t="s">
        <v>271</v>
      </c>
      <c r="N192" s="516"/>
      <c r="O192" s="34"/>
      <c r="P192" s="28"/>
      <c r="Q192" s="28">
        <v>1418000</v>
      </c>
      <c r="R192" s="29">
        <f t="shared" si="124"/>
        <v>1.0818646524757762</v>
      </c>
      <c r="S192" s="29">
        <v>100</v>
      </c>
      <c r="T192" s="28">
        <f t="shared" si="94"/>
        <v>0</v>
      </c>
      <c r="U192" s="28">
        <f t="shared" si="125"/>
        <v>0</v>
      </c>
      <c r="V192" s="87">
        <f t="shared" si="105"/>
        <v>100</v>
      </c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>
        <v>0</v>
      </c>
      <c r="AJ192" s="29">
        <f t="shared" si="95"/>
        <v>0</v>
      </c>
      <c r="AK192" s="136">
        <f t="shared" si="123"/>
        <v>1418000</v>
      </c>
      <c r="AL192" s="29">
        <f t="shared" si="96"/>
        <v>100</v>
      </c>
      <c r="AM192" s="26"/>
    </row>
    <row r="193" spans="1:39" ht="28.5" customHeight="1" x14ac:dyDescent="0.25">
      <c r="A193" s="26"/>
      <c r="B193" s="151"/>
      <c r="C193" s="151"/>
      <c r="D193" s="151"/>
      <c r="E193" s="151"/>
      <c r="F193" s="151"/>
      <c r="G193" s="151"/>
      <c r="H193" s="151"/>
      <c r="I193" s="152"/>
      <c r="J193" s="151" t="s">
        <v>328</v>
      </c>
      <c r="K193" s="27"/>
      <c r="L193" s="31"/>
      <c r="M193" s="515" t="s">
        <v>329</v>
      </c>
      <c r="N193" s="516"/>
      <c r="O193" s="34"/>
      <c r="P193" s="28"/>
      <c r="Q193" s="28">
        <v>82500000</v>
      </c>
      <c r="R193" s="29">
        <f t="shared" si="124"/>
        <v>62.943465323872736</v>
      </c>
      <c r="S193" s="29">
        <v>100</v>
      </c>
      <c r="T193" s="28">
        <f t="shared" si="94"/>
        <v>0</v>
      </c>
      <c r="U193" s="28">
        <f t="shared" si="125"/>
        <v>0</v>
      </c>
      <c r="V193" s="87">
        <f t="shared" si="105"/>
        <v>100</v>
      </c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>
        <v>0</v>
      </c>
      <c r="AJ193" s="29">
        <f t="shared" si="95"/>
        <v>0</v>
      </c>
      <c r="AK193" s="136">
        <f t="shared" si="123"/>
        <v>82500000</v>
      </c>
      <c r="AL193" s="29">
        <f t="shared" si="96"/>
        <v>100</v>
      </c>
      <c r="AM193" s="26"/>
    </row>
    <row r="194" spans="1:39" ht="28.5" customHeight="1" x14ac:dyDescent="0.25">
      <c r="A194" s="26"/>
      <c r="B194" s="151"/>
      <c r="C194" s="151"/>
      <c r="D194" s="151"/>
      <c r="E194" s="151"/>
      <c r="F194" s="151"/>
      <c r="G194" s="151"/>
      <c r="H194" s="151"/>
      <c r="I194" s="152"/>
      <c r="J194" s="151" t="s">
        <v>284</v>
      </c>
      <c r="K194" s="27"/>
      <c r="L194" s="31"/>
      <c r="M194" s="515" t="s">
        <v>285</v>
      </c>
      <c r="N194" s="516"/>
      <c r="O194" s="34"/>
      <c r="P194" s="28"/>
      <c r="Q194" s="28">
        <v>2120000</v>
      </c>
      <c r="R194" s="29">
        <f t="shared" si="124"/>
        <v>1.617456321049821</v>
      </c>
      <c r="S194" s="29">
        <v>100</v>
      </c>
      <c r="T194" s="28">
        <f t="shared" si="94"/>
        <v>0</v>
      </c>
      <c r="U194" s="28">
        <f t="shared" si="125"/>
        <v>0</v>
      </c>
      <c r="V194" s="87">
        <f t="shared" si="105"/>
        <v>100</v>
      </c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>
        <v>0</v>
      </c>
      <c r="AJ194" s="29">
        <f t="shared" si="95"/>
        <v>0</v>
      </c>
      <c r="AK194" s="136">
        <f t="shared" si="123"/>
        <v>2120000</v>
      </c>
      <c r="AL194" s="29">
        <f t="shared" si="96"/>
        <v>100</v>
      </c>
      <c r="AM194" s="26"/>
    </row>
    <row r="195" spans="1:39" ht="28.5" customHeight="1" x14ac:dyDescent="0.25">
      <c r="A195" s="26"/>
      <c r="B195" s="151"/>
      <c r="C195" s="151"/>
      <c r="D195" s="151"/>
      <c r="E195" s="151"/>
      <c r="F195" s="151"/>
      <c r="G195" s="151"/>
      <c r="H195" s="151"/>
      <c r="I195" s="152"/>
      <c r="J195" s="151" t="s">
        <v>282</v>
      </c>
      <c r="K195" s="27"/>
      <c r="L195" s="31"/>
      <c r="M195" s="515" t="s">
        <v>283</v>
      </c>
      <c r="N195" s="516"/>
      <c r="O195" s="34"/>
      <c r="P195" s="28"/>
      <c r="Q195" s="28">
        <v>5500000</v>
      </c>
      <c r="R195" s="29">
        <f t="shared" si="124"/>
        <v>4.1962310215915153</v>
      </c>
      <c r="S195" s="29">
        <v>100</v>
      </c>
      <c r="T195" s="28">
        <f t="shared" si="94"/>
        <v>0</v>
      </c>
      <c r="U195" s="28">
        <f t="shared" si="125"/>
        <v>0</v>
      </c>
      <c r="V195" s="87">
        <f t="shared" si="105"/>
        <v>100</v>
      </c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>
        <v>0</v>
      </c>
      <c r="AJ195" s="29">
        <f t="shared" si="95"/>
        <v>0</v>
      </c>
      <c r="AK195" s="136">
        <f t="shared" si="123"/>
        <v>5500000</v>
      </c>
      <c r="AL195" s="29">
        <f t="shared" si="96"/>
        <v>100</v>
      </c>
      <c r="AM195" s="26"/>
    </row>
    <row r="196" spans="1:39" ht="28.5" customHeight="1" x14ac:dyDescent="0.25">
      <c r="A196" s="21">
        <v>26</v>
      </c>
      <c r="B196" s="151"/>
      <c r="C196" s="151"/>
      <c r="D196" s="151"/>
      <c r="E196" s="151"/>
      <c r="F196" s="151"/>
      <c r="G196" s="151"/>
      <c r="H196" s="151"/>
      <c r="I196" s="152"/>
      <c r="J196" s="122" t="s">
        <v>474</v>
      </c>
      <c r="K196" s="22"/>
      <c r="L196" s="72"/>
      <c r="M196" s="545" t="s">
        <v>470</v>
      </c>
      <c r="N196" s="546"/>
      <c r="O196" s="73">
        <v>144225000</v>
      </c>
      <c r="P196" s="23">
        <f>O196</f>
        <v>144225000</v>
      </c>
      <c r="Q196" s="23">
        <f>SUM(Q197:Q203)</f>
        <v>168774000</v>
      </c>
      <c r="R196" s="24">
        <f>Q196/Q$175*100</f>
        <v>12.882936861563351</v>
      </c>
      <c r="S196" s="24">
        <v>100</v>
      </c>
      <c r="T196" s="23">
        <f t="shared" si="94"/>
        <v>0</v>
      </c>
      <c r="U196" s="23">
        <f>R196*T196/100</f>
        <v>0</v>
      </c>
      <c r="V196" s="90">
        <f t="shared" si="105"/>
        <v>100</v>
      </c>
      <c r="W196" s="23"/>
      <c r="X196" s="23" t="e">
        <f>#REF!</f>
        <v>#REF!</v>
      </c>
      <c r="Y196" s="23" t="e">
        <f>#REF!</f>
        <v>#REF!</v>
      </c>
      <c r="Z196" s="23" t="e">
        <f>#REF!</f>
        <v>#REF!</v>
      </c>
      <c r="AA196" s="23" t="e">
        <f>#REF!</f>
        <v>#REF!</v>
      </c>
      <c r="AB196" s="23">
        <v>0</v>
      </c>
      <c r="AC196" s="23" t="e">
        <f>#REF!</f>
        <v>#REF!</v>
      </c>
      <c r="AD196" s="23" t="e">
        <f>#REF!</f>
        <v>#REF!</v>
      </c>
      <c r="AE196" s="23" t="e">
        <f>#REF!</f>
        <v>#REF!</v>
      </c>
      <c r="AF196" s="23" t="e">
        <f>[1]April!N58</f>
        <v>#REF!</v>
      </c>
      <c r="AG196" s="23" t="e">
        <f>[2]april!N58</f>
        <v>#REF!</v>
      </c>
      <c r="AH196" s="23">
        <f>'[3]DES SKPD'!$N58</f>
        <v>133587000</v>
      </c>
      <c r="AI196" s="23">
        <f>SUM(AI197:AI203)</f>
        <v>0</v>
      </c>
      <c r="AJ196" s="24">
        <f t="shared" si="95"/>
        <v>0</v>
      </c>
      <c r="AK196" s="134">
        <f t="shared" si="123"/>
        <v>168774000</v>
      </c>
      <c r="AL196" s="24">
        <f t="shared" si="96"/>
        <v>100</v>
      </c>
      <c r="AM196" s="26"/>
    </row>
    <row r="197" spans="1:39" ht="28.5" customHeight="1" x14ac:dyDescent="0.25">
      <c r="A197" s="26"/>
      <c r="B197" s="151"/>
      <c r="C197" s="151"/>
      <c r="D197" s="151"/>
      <c r="E197" s="151"/>
      <c r="F197" s="151"/>
      <c r="G197" s="151"/>
      <c r="H197" s="151"/>
      <c r="I197" s="152"/>
      <c r="J197" s="151" t="s">
        <v>273</v>
      </c>
      <c r="K197" s="27"/>
      <c r="L197" s="31"/>
      <c r="M197" s="515" t="s">
        <v>322</v>
      </c>
      <c r="N197" s="516"/>
      <c r="O197" s="34"/>
      <c r="P197" s="28"/>
      <c r="Q197" s="28">
        <v>34600000</v>
      </c>
      <c r="R197" s="29">
        <f t="shared" ref="R197:R203" si="126">Q197/Q$196*100</f>
        <v>20.500788036071906</v>
      </c>
      <c r="S197" s="29">
        <v>100</v>
      </c>
      <c r="T197" s="28">
        <f t="shared" ref="T197:T269" si="127">AJ197</f>
        <v>0</v>
      </c>
      <c r="U197" s="28">
        <f t="shared" ref="U197:U203" si="128">R197*T197/100</f>
        <v>0</v>
      </c>
      <c r="V197" s="87">
        <f t="shared" si="105"/>
        <v>100</v>
      </c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>
        <v>0</v>
      </c>
      <c r="AJ197" s="29">
        <f t="shared" ref="AJ197:AJ269" si="129">AI197/Q197*100</f>
        <v>0</v>
      </c>
      <c r="AK197" s="136">
        <f t="shared" si="123"/>
        <v>34600000</v>
      </c>
      <c r="AL197" s="29">
        <f t="shared" ref="AL197:AL269" si="130">AK197/Q197*100</f>
        <v>100</v>
      </c>
      <c r="AM197" s="26"/>
    </row>
    <row r="198" spans="1:39" ht="28.5" customHeight="1" x14ac:dyDescent="0.25">
      <c r="A198" s="26"/>
      <c r="B198" s="151"/>
      <c r="C198" s="151"/>
      <c r="D198" s="151"/>
      <c r="E198" s="151"/>
      <c r="F198" s="151"/>
      <c r="G198" s="151"/>
      <c r="H198" s="151"/>
      <c r="I198" s="152"/>
      <c r="J198" s="151" t="s">
        <v>323</v>
      </c>
      <c r="K198" s="27"/>
      <c r="L198" s="31"/>
      <c r="M198" s="515" t="s">
        <v>324</v>
      </c>
      <c r="N198" s="516"/>
      <c r="O198" s="34"/>
      <c r="P198" s="28"/>
      <c r="Q198" s="28">
        <v>100464000</v>
      </c>
      <c r="R198" s="29">
        <f t="shared" si="126"/>
        <v>59.525756336876533</v>
      </c>
      <c r="S198" s="29">
        <v>100</v>
      </c>
      <c r="T198" s="28">
        <f t="shared" si="127"/>
        <v>0</v>
      </c>
      <c r="U198" s="28">
        <f t="shared" si="128"/>
        <v>0</v>
      </c>
      <c r="V198" s="87">
        <f t="shared" si="105"/>
        <v>100</v>
      </c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>
        <v>0</v>
      </c>
      <c r="AJ198" s="29">
        <f t="shared" si="129"/>
        <v>0</v>
      </c>
      <c r="AK198" s="136">
        <f t="shared" si="123"/>
        <v>100464000</v>
      </c>
      <c r="AL198" s="29">
        <f t="shared" si="130"/>
        <v>100</v>
      </c>
      <c r="AM198" s="26"/>
    </row>
    <row r="199" spans="1:39" ht="28.5" customHeight="1" x14ac:dyDescent="0.25">
      <c r="A199" s="26"/>
      <c r="B199" s="151"/>
      <c r="C199" s="151"/>
      <c r="D199" s="151"/>
      <c r="E199" s="151"/>
      <c r="F199" s="151"/>
      <c r="G199" s="151"/>
      <c r="H199" s="151"/>
      <c r="I199" s="152"/>
      <c r="J199" s="171" t="s">
        <v>269</v>
      </c>
      <c r="K199" s="27"/>
      <c r="L199" s="31"/>
      <c r="M199" s="515" t="s">
        <v>270</v>
      </c>
      <c r="N199" s="516"/>
      <c r="O199" s="34"/>
      <c r="P199" s="28"/>
      <c r="Q199" s="28">
        <v>9000000</v>
      </c>
      <c r="R199" s="29">
        <f t="shared" si="126"/>
        <v>5.3325749226776642</v>
      </c>
      <c r="S199" s="29">
        <v>100</v>
      </c>
      <c r="T199" s="28">
        <f t="shared" si="127"/>
        <v>0</v>
      </c>
      <c r="U199" s="28">
        <f t="shared" si="128"/>
        <v>0</v>
      </c>
      <c r="V199" s="87">
        <f t="shared" si="105"/>
        <v>100</v>
      </c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>
        <v>0</v>
      </c>
      <c r="AJ199" s="29">
        <f t="shared" si="129"/>
        <v>0</v>
      </c>
      <c r="AK199" s="136">
        <f t="shared" si="123"/>
        <v>9000000</v>
      </c>
      <c r="AL199" s="29">
        <f t="shared" si="130"/>
        <v>100</v>
      </c>
      <c r="AM199" s="26"/>
    </row>
    <row r="200" spans="1:39" ht="28.5" customHeight="1" x14ac:dyDescent="0.25">
      <c r="A200" s="26"/>
      <c r="B200" s="151"/>
      <c r="C200" s="151"/>
      <c r="D200" s="151"/>
      <c r="E200" s="151"/>
      <c r="F200" s="151"/>
      <c r="G200" s="151"/>
      <c r="H200" s="151"/>
      <c r="I200" s="152"/>
      <c r="J200" s="151" t="s">
        <v>315</v>
      </c>
      <c r="K200" s="27"/>
      <c r="L200" s="31"/>
      <c r="M200" s="515" t="s">
        <v>271</v>
      </c>
      <c r="N200" s="516"/>
      <c r="O200" s="34"/>
      <c r="P200" s="28"/>
      <c r="Q200" s="28">
        <v>360000</v>
      </c>
      <c r="R200" s="29">
        <f t="shared" si="126"/>
        <v>0.21330299690710655</v>
      </c>
      <c r="S200" s="29">
        <v>100</v>
      </c>
      <c r="T200" s="28">
        <f t="shared" si="127"/>
        <v>0</v>
      </c>
      <c r="U200" s="28">
        <f t="shared" si="128"/>
        <v>0</v>
      </c>
      <c r="V200" s="87">
        <f t="shared" si="105"/>
        <v>100</v>
      </c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>
        <v>0</v>
      </c>
      <c r="AJ200" s="29">
        <f t="shared" si="129"/>
        <v>0</v>
      </c>
      <c r="AK200" s="136">
        <f t="shared" si="123"/>
        <v>360000</v>
      </c>
      <c r="AL200" s="29">
        <f t="shared" si="130"/>
        <v>100</v>
      </c>
      <c r="AM200" s="26"/>
    </row>
    <row r="201" spans="1:39" ht="28.5" customHeight="1" x14ac:dyDescent="0.25">
      <c r="A201" s="26"/>
      <c r="B201" s="171"/>
      <c r="C201" s="171"/>
      <c r="D201" s="171"/>
      <c r="E201" s="171"/>
      <c r="F201" s="171"/>
      <c r="G201" s="171"/>
      <c r="H201" s="171"/>
      <c r="I201" s="172"/>
      <c r="J201" s="171" t="s">
        <v>280</v>
      </c>
      <c r="K201" s="27"/>
      <c r="L201" s="31"/>
      <c r="M201" s="515" t="s">
        <v>425</v>
      </c>
      <c r="N201" s="516"/>
      <c r="O201" s="34"/>
      <c r="P201" s="28"/>
      <c r="Q201" s="28">
        <v>3500000</v>
      </c>
      <c r="R201" s="29">
        <f t="shared" ref="R201" si="131">Q201/Q$196*100</f>
        <v>2.073779136596869</v>
      </c>
      <c r="S201" s="29">
        <v>100</v>
      </c>
      <c r="T201" s="28">
        <f t="shared" ref="T201" si="132">AJ201</f>
        <v>0</v>
      </c>
      <c r="U201" s="28">
        <f t="shared" ref="U201" si="133">R201*T201/100</f>
        <v>0</v>
      </c>
      <c r="V201" s="87">
        <f t="shared" ref="V201" si="134">S201-T201</f>
        <v>100</v>
      </c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>
        <v>0</v>
      </c>
      <c r="AJ201" s="29">
        <f t="shared" ref="AJ201" si="135">AI201/Q201*100</f>
        <v>0</v>
      </c>
      <c r="AK201" s="136">
        <f t="shared" ref="AK201" si="136">Q201-AI201</f>
        <v>3500000</v>
      </c>
      <c r="AL201" s="29">
        <f t="shared" ref="AL201" si="137">AK201/Q201*100</f>
        <v>100</v>
      </c>
      <c r="AM201" s="26"/>
    </row>
    <row r="202" spans="1:39" ht="28.5" customHeight="1" x14ac:dyDescent="0.25">
      <c r="A202" s="26"/>
      <c r="B202" s="151"/>
      <c r="C202" s="151"/>
      <c r="D202" s="151"/>
      <c r="E202" s="151"/>
      <c r="F202" s="151"/>
      <c r="G202" s="151"/>
      <c r="H202" s="151"/>
      <c r="I202" s="152"/>
      <c r="J202" s="151" t="s">
        <v>284</v>
      </c>
      <c r="K202" s="27"/>
      <c r="L202" s="31"/>
      <c r="M202" s="515" t="s">
        <v>285</v>
      </c>
      <c r="N202" s="516"/>
      <c r="O202" s="34"/>
      <c r="P202" s="28"/>
      <c r="Q202" s="28">
        <v>5250000</v>
      </c>
      <c r="R202" s="29">
        <f t="shared" si="126"/>
        <v>3.1106687048953039</v>
      </c>
      <c r="S202" s="29">
        <v>100</v>
      </c>
      <c r="T202" s="28">
        <f t="shared" si="127"/>
        <v>0</v>
      </c>
      <c r="U202" s="28">
        <f t="shared" si="128"/>
        <v>0</v>
      </c>
      <c r="V202" s="87">
        <f t="shared" si="105"/>
        <v>100</v>
      </c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>
        <v>0</v>
      </c>
      <c r="AJ202" s="29">
        <f t="shared" si="129"/>
        <v>0</v>
      </c>
      <c r="AK202" s="136">
        <f t="shared" si="123"/>
        <v>5250000</v>
      </c>
      <c r="AL202" s="29">
        <f t="shared" si="130"/>
        <v>100</v>
      </c>
      <c r="AM202" s="26"/>
    </row>
    <row r="203" spans="1:39" ht="28.5" customHeight="1" x14ac:dyDescent="0.25">
      <c r="A203" s="26"/>
      <c r="B203" s="151"/>
      <c r="C203" s="151"/>
      <c r="D203" s="151"/>
      <c r="E203" s="151"/>
      <c r="F203" s="151"/>
      <c r="G203" s="151"/>
      <c r="H203" s="151"/>
      <c r="I203" s="152"/>
      <c r="J203" s="151" t="s">
        <v>282</v>
      </c>
      <c r="K203" s="27"/>
      <c r="L203" s="31"/>
      <c r="M203" s="515" t="s">
        <v>283</v>
      </c>
      <c r="N203" s="516"/>
      <c r="O203" s="34"/>
      <c r="P203" s="28"/>
      <c r="Q203" s="28">
        <v>15600000</v>
      </c>
      <c r="R203" s="29">
        <f t="shared" si="126"/>
        <v>9.2431298659746162</v>
      </c>
      <c r="S203" s="29">
        <v>100</v>
      </c>
      <c r="T203" s="28">
        <f t="shared" si="127"/>
        <v>0</v>
      </c>
      <c r="U203" s="28">
        <f t="shared" si="128"/>
        <v>0</v>
      </c>
      <c r="V203" s="87">
        <f t="shared" si="105"/>
        <v>100</v>
      </c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>
        <v>0</v>
      </c>
      <c r="AJ203" s="29">
        <f t="shared" si="129"/>
        <v>0</v>
      </c>
      <c r="AK203" s="136">
        <f t="shared" si="123"/>
        <v>15600000</v>
      </c>
      <c r="AL203" s="29">
        <f t="shared" si="130"/>
        <v>100</v>
      </c>
      <c r="AM203" s="26"/>
    </row>
    <row r="204" spans="1:39" s="41" customFormat="1" ht="28.5" customHeight="1" x14ac:dyDescent="0.25">
      <c r="A204" s="21">
        <f>A196+1</f>
        <v>27</v>
      </c>
      <c r="B204" s="543" t="s">
        <v>141</v>
      </c>
      <c r="C204" s="543"/>
      <c r="D204" s="543"/>
      <c r="E204" s="543"/>
      <c r="F204" s="543"/>
      <c r="G204" s="543"/>
      <c r="H204" s="543"/>
      <c r="I204" s="544"/>
      <c r="J204" s="122" t="s">
        <v>475</v>
      </c>
      <c r="K204" s="22"/>
      <c r="L204" s="72"/>
      <c r="M204" s="545" t="s">
        <v>142</v>
      </c>
      <c r="N204" s="546"/>
      <c r="O204" s="73">
        <v>299485000</v>
      </c>
      <c r="P204" s="23">
        <f>O204</f>
        <v>299485000</v>
      </c>
      <c r="Q204" s="23">
        <f>SUM(Q205:Q210)</f>
        <v>142716000</v>
      </c>
      <c r="R204" s="24">
        <f>Q204/Q$175*100</f>
        <v>10.893865270331183</v>
      </c>
      <c r="S204" s="24">
        <v>100</v>
      </c>
      <c r="T204" s="23">
        <f t="shared" si="127"/>
        <v>0</v>
      </c>
      <c r="U204" s="23">
        <f>R204*T204/100</f>
        <v>0</v>
      </c>
      <c r="V204" s="90">
        <f t="shared" si="105"/>
        <v>100</v>
      </c>
      <c r="W204" s="23"/>
      <c r="X204" s="23" t="e">
        <f>#REF!</f>
        <v>#REF!</v>
      </c>
      <c r="Y204" s="23" t="e">
        <f>#REF!</f>
        <v>#REF!</v>
      </c>
      <c r="Z204" s="23" t="e">
        <f>#REF!</f>
        <v>#REF!</v>
      </c>
      <c r="AA204" s="23" t="e">
        <f>#REF!</f>
        <v>#REF!</v>
      </c>
      <c r="AB204" s="23">
        <v>4600000</v>
      </c>
      <c r="AC204" s="23" t="e">
        <f>#REF!</f>
        <v>#REF!</v>
      </c>
      <c r="AD204" s="23" t="e">
        <f>#REF!</f>
        <v>#REF!</v>
      </c>
      <c r="AE204" s="23" t="e">
        <f>#REF!</f>
        <v>#REF!</v>
      </c>
      <c r="AF204" s="23" t="e">
        <f>[1]April!N50</f>
        <v>#REF!</v>
      </c>
      <c r="AG204" s="23" t="e">
        <f>[2]april!N50</f>
        <v>#REF!</v>
      </c>
      <c r="AH204" s="23">
        <f>'[3]DES SKPD'!$N50</f>
        <v>221288650</v>
      </c>
      <c r="AI204" s="23">
        <f>SUM(AI205:AI210)</f>
        <v>0</v>
      </c>
      <c r="AJ204" s="24">
        <f t="shared" si="129"/>
        <v>0</v>
      </c>
      <c r="AK204" s="134">
        <f t="shared" si="123"/>
        <v>142716000</v>
      </c>
      <c r="AL204" s="24">
        <f t="shared" si="130"/>
        <v>100</v>
      </c>
      <c r="AM204" s="21"/>
    </row>
    <row r="205" spans="1:39" ht="28.5" customHeight="1" x14ac:dyDescent="0.25">
      <c r="A205" s="26"/>
      <c r="B205" s="151"/>
      <c r="C205" s="151"/>
      <c r="D205" s="151"/>
      <c r="E205" s="151"/>
      <c r="F205" s="151"/>
      <c r="G205" s="151"/>
      <c r="H205" s="151"/>
      <c r="I205" s="152"/>
      <c r="J205" s="151" t="s">
        <v>323</v>
      </c>
      <c r="K205" s="27"/>
      <c r="L205" s="31"/>
      <c r="M205" s="515" t="s">
        <v>324</v>
      </c>
      <c r="N205" s="516"/>
      <c r="O205" s="34"/>
      <c r="P205" s="28"/>
      <c r="Q205" s="28">
        <v>27408000</v>
      </c>
      <c r="R205" s="29">
        <f t="shared" ref="R205:R210" si="138">Q205/Q$204*100</f>
        <v>19.2045741192298</v>
      </c>
      <c r="S205" s="29">
        <v>100</v>
      </c>
      <c r="T205" s="28">
        <f t="shared" si="127"/>
        <v>0</v>
      </c>
      <c r="U205" s="28">
        <f t="shared" ref="U205:U224" si="139">R205*T205/100</f>
        <v>0</v>
      </c>
      <c r="V205" s="87">
        <f t="shared" si="105"/>
        <v>100</v>
      </c>
      <c r="W205" s="28"/>
      <c r="X205" s="28" t="e">
        <f>#REF!</f>
        <v>#REF!</v>
      </c>
      <c r="Y205" s="28" t="e">
        <f>#REF!</f>
        <v>#REF!</v>
      </c>
      <c r="Z205" s="28" t="e">
        <f>#REF!</f>
        <v>#REF!</v>
      </c>
      <c r="AA205" s="28" t="e">
        <f>#REF!</f>
        <v>#REF!</v>
      </c>
      <c r="AB205" s="28">
        <v>4600002</v>
      </c>
      <c r="AC205" s="28" t="e">
        <f>#REF!</f>
        <v>#REF!</v>
      </c>
      <c r="AD205" s="28" t="e">
        <f>#REF!</f>
        <v>#REF!</v>
      </c>
      <c r="AE205" s="28" t="e">
        <f>#REF!</f>
        <v>#REF!</v>
      </c>
      <c r="AF205" s="28" t="e">
        <f>[1]April!N52</f>
        <v>#REF!</v>
      </c>
      <c r="AG205" s="28" t="e">
        <f>[2]april!N52</f>
        <v>#REF!</v>
      </c>
      <c r="AH205" s="28">
        <f>'[3]DES SKPD'!$N52</f>
        <v>73668000</v>
      </c>
      <c r="AI205" s="28">
        <v>0</v>
      </c>
      <c r="AJ205" s="29">
        <f t="shared" si="129"/>
        <v>0</v>
      </c>
      <c r="AK205" s="136">
        <f t="shared" si="123"/>
        <v>27408000</v>
      </c>
      <c r="AL205" s="29">
        <f t="shared" si="130"/>
        <v>100</v>
      </c>
      <c r="AM205" s="26"/>
    </row>
    <row r="206" spans="1:39" ht="28.5" customHeight="1" x14ac:dyDescent="0.25">
      <c r="A206" s="26"/>
      <c r="B206" s="151"/>
      <c r="C206" s="151"/>
      <c r="D206" s="151"/>
      <c r="E206" s="151"/>
      <c r="F206" s="151"/>
      <c r="G206" s="151"/>
      <c r="H206" s="151"/>
      <c r="I206" s="152"/>
      <c r="J206" s="151" t="s">
        <v>269</v>
      </c>
      <c r="K206" s="27"/>
      <c r="L206" s="31"/>
      <c r="M206" s="515" t="s">
        <v>270</v>
      </c>
      <c r="N206" s="516"/>
      <c r="O206" s="34"/>
      <c r="P206" s="28"/>
      <c r="Q206" s="28">
        <v>17800000</v>
      </c>
      <c r="R206" s="29">
        <f t="shared" si="138"/>
        <v>12.472322654782927</v>
      </c>
      <c r="S206" s="29">
        <v>100</v>
      </c>
      <c r="T206" s="28">
        <f t="shared" si="127"/>
        <v>0</v>
      </c>
      <c r="U206" s="28">
        <f t="shared" si="139"/>
        <v>0</v>
      </c>
      <c r="V206" s="87">
        <f t="shared" si="105"/>
        <v>100</v>
      </c>
      <c r="W206" s="28"/>
      <c r="X206" s="28" t="e">
        <f>#REF!</f>
        <v>#REF!</v>
      </c>
      <c r="Y206" s="28" t="e">
        <f>#REF!</f>
        <v>#REF!</v>
      </c>
      <c r="Z206" s="28" t="e">
        <f>#REF!</f>
        <v>#REF!</v>
      </c>
      <c r="AA206" s="28" t="e">
        <f>#REF!</f>
        <v>#REF!</v>
      </c>
      <c r="AB206" s="28">
        <v>4600003</v>
      </c>
      <c r="AC206" s="28" t="e">
        <f>#REF!</f>
        <v>#REF!</v>
      </c>
      <c r="AD206" s="28" t="e">
        <f>#REF!</f>
        <v>#REF!</v>
      </c>
      <c r="AE206" s="28" t="e">
        <f>#REF!</f>
        <v>#REF!</v>
      </c>
      <c r="AF206" s="28" t="e">
        <f>[1]April!N53</f>
        <v>#REF!</v>
      </c>
      <c r="AG206" s="28" t="e">
        <f>[2]april!N53</f>
        <v>#REF!</v>
      </c>
      <c r="AH206" s="28" t="e">
        <f>'[3]DES SKPD'!$N53</f>
        <v>#REF!</v>
      </c>
      <c r="AI206" s="28">
        <v>0</v>
      </c>
      <c r="AJ206" s="29">
        <f t="shared" si="129"/>
        <v>0</v>
      </c>
      <c r="AK206" s="136">
        <f t="shared" si="123"/>
        <v>17800000</v>
      </c>
      <c r="AL206" s="29">
        <f t="shared" si="130"/>
        <v>100</v>
      </c>
      <c r="AM206" s="26"/>
    </row>
    <row r="207" spans="1:39" ht="28.5" customHeight="1" x14ac:dyDescent="0.25">
      <c r="A207" s="26"/>
      <c r="B207" s="151"/>
      <c r="C207" s="151"/>
      <c r="D207" s="151"/>
      <c r="E207" s="151"/>
      <c r="F207" s="151"/>
      <c r="G207" s="151"/>
      <c r="H207" s="151"/>
      <c r="I207" s="152"/>
      <c r="J207" s="151" t="s">
        <v>315</v>
      </c>
      <c r="K207" s="27"/>
      <c r="L207" s="31"/>
      <c r="M207" s="515" t="s">
        <v>271</v>
      </c>
      <c r="N207" s="516"/>
      <c r="O207" s="34"/>
      <c r="P207" s="28"/>
      <c r="Q207" s="28">
        <v>3648000</v>
      </c>
      <c r="R207" s="29">
        <f t="shared" si="138"/>
        <v>2.5561254519465235</v>
      </c>
      <c r="S207" s="29">
        <v>100</v>
      </c>
      <c r="T207" s="28">
        <f t="shared" si="127"/>
        <v>0</v>
      </c>
      <c r="U207" s="28">
        <f t="shared" si="139"/>
        <v>0</v>
      </c>
      <c r="V207" s="87">
        <f t="shared" si="105"/>
        <v>100</v>
      </c>
      <c r="W207" s="28"/>
      <c r="X207" s="28" t="e">
        <f>#REF!</f>
        <v>#REF!</v>
      </c>
      <c r="Y207" s="28" t="e">
        <f>#REF!</f>
        <v>#REF!</v>
      </c>
      <c r="Z207" s="28" t="e">
        <f>#REF!</f>
        <v>#REF!</v>
      </c>
      <c r="AA207" s="28" t="e">
        <f>#REF!</f>
        <v>#REF!</v>
      </c>
      <c r="AB207" s="28">
        <v>4600004</v>
      </c>
      <c r="AC207" s="28" t="e">
        <f>#REF!</f>
        <v>#REF!</v>
      </c>
      <c r="AD207" s="28" t="e">
        <f>#REF!</f>
        <v>#REF!</v>
      </c>
      <c r="AE207" s="28" t="e">
        <f>#REF!</f>
        <v>#REF!</v>
      </c>
      <c r="AF207" s="28" t="e">
        <f>[1]April!N54</f>
        <v>#REF!</v>
      </c>
      <c r="AG207" s="28" t="e">
        <f>[2]april!N54</f>
        <v>#REF!</v>
      </c>
      <c r="AH207" s="28">
        <f>'[3]DES SKPD'!$N54</f>
        <v>508172500</v>
      </c>
      <c r="AI207" s="28">
        <v>0</v>
      </c>
      <c r="AJ207" s="29">
        <f t="shared" si="129"/>
        <v>0</v>
      </c>
      <c r="AK207" s="136">
        <f t="shared" si="123"/>
        <v>3648000</v>
      </c>
      <c r="AL207" s="29">
        <f t="shared" si="130"/>
        <v>100</v>
      </c>
      <c r="AM207" s="26"/>
    </row>
    <row r="208" spans="1:39" ht="28.5" customHeight="1" x14ac:dyDescent="0.25">
      <c r="A208" s="26"/>
      <c r="B208" s="171"/>
      <c r="C208" s="171"/>
      <c r="D208" s="171"/>
      <c r="E208" s="171"/>
      <c r="F208" s="171"/>
      <c r="G208" s="171"/>
      <c r="H208" s="171"/>
      <c r="I208" s="172"/>
      <c r="J208" s="171" t="s">
        <v>328</v>
      </c>
      <c r="K208" s="27"/>
      <c r="L208" s="31"/>
      <c r="M208" s="515" t="s">
        <v>329</v>
      </c>
      <c r="N208" s="516"/>
      <c r="O208" s="34"/>
      <c r="P208" s="28"/>
      <c r="Q208" s="28">
        <v>36000000</v>
      </c>
      <c r="R208" s="29">
        <f t="shared" ref="R208" si="140">Q208/Q$204*100</f>
        <v>25.224922223156476</v>
      </c>
      <c r="S208" s="29">
        <v>100</v>
      </c>
      <c r="T208" s="28">
        <f t="shared" ref="T208" si="141">AJ208</f>
        <v>0</v>
      </c>
      <c r="U208" s="28">
        <f t="shared" ref="U208" si="142">R208*T208/100</f>
        <v>0</v>
      </c>
      <c r="V208" s="87">
        <f t="shared" ref="V208" si="143">S208-T208</f>
        <v>100</v>
      </c>
      <c r="W208" s="28"/>
      <c r="X208" s="28" t="e">
        <f>#REF!</f>
        <v>#REF!</v>
      </c>
      <c r="Y208" s="28" t="e">
        <f>#REF!</f>
        <v>#REF!</v>
      </c>
      <c r="Z208" s="28" t="e">
        <f>#REF!</f>
        <v>#REF!</v>
      </c>
      <c r="AA208" s="28" t="e">
        <f>#REF!</f>
        <v>#REF!</v>
      </c>
      <c r="AB208" s="28">
        <v>4600004</v>
      </c>
      <c r="AC208" s="28" t="e">
        <f>#REF!</f>
        <v>#REF!</v>
      </c>
      <c r="AD208" s="28" t="e">
        <f>#REF!</f>
        <v>#REF!</v>
      </c>
      <c r="AE208" s="28" t="e">
        <f>#REF!</f>
        <v>#REF!</v>
      </c>
      <c r="AF208" s="28" t="e">
        <f>[1]April!N55</f>
        <v>#REF!</v>
      </c>
      <c r="AG208" s="28" t="e">
        <f>[2]april!N55</f>
        <v>#REF!</v>
      </c>
      <c r="AH208" s="28" t="e">
        <f>'[3]DES SKPD'!$N55</f>
        <v>#REF!</v>
      </c>
      <c r="AI208" s="28">
        <v>0</v>
      </c>
      <c r="AJ208" s="29">
        <f t="shared" ref="AJ208" si="144">AI208/Q208*100</f>
        <v>0</v>
      </c>
      <c r="AK208" s="136">
        <f t="shared" ref="AK208" si="145">Q208-AI208</f>
        <v>36000000</v>
      </c>
      <c r="AL208" s="29">
        <f t="shared" ref="AL208" si="146">AK208/Q208*100</f>
        <v>100</v>
      </c>
      <c r="AM208" s="26"/>
    </row>
    <row r="209" spans="1:39" ht="28.5" customHeight="1" x14ac:dyDescent="0.25">
      <c r="A209" s="26"/>
      <c r="B209" s="151"/>
      <c r="C209" s="151"/>
      <c r="D209" s="151"/>
      <c r="E209" s="151"/>
      <c r="F209" s="151"/>
      <c r="G209" s="151"/>
      <c r="H209" s="151"/>
      <c r="I209" s="152"/>
      <c r="J209" s="151" t="s">
        <v>280</v>
      </c>
      <c r="K209" s="27"/>
      <c r="L209" s="31"/>
      <c r="M209" s="515" t="s">
        <v>281</v>
      </c>
      <c r="N209" s="516"/>
      <c r="O209" s="34"/>
      <c r="P209" s="28"/>
      <c r="Q209" s="28">
        <v>15750000</v>
      </c>
      <c r="R209" s="29">
        <f t="shared" si="138"/>
        <v>11.035903472630959</v>
      </c>
      <c r="S209" s="29">
        <v>100</v>
      </c>
      <c r="T209" s="28">
        <f t="shared" si="127"/>
        <v>0</v>
      </c>
      <c r="U209" s="28">
        <f t="shared" si="139"/>
        <v>0</v>
      </c>
      <c r="V209" s="87">
        <f t="shared" si="105"/>
        <v>100</v>
      </c>
      <c r="W209" s="28"/>
      <c r="X209" s="28" t="e">
        <f>#REF!</f>
        <v>#REF!</v>
      </c>
      <c r="Y209" s="28" t="e">
        <f>#REF!</f>
        <v>#REF!</v>
      </c>
      <c r="Z209" s="28" t="e">
        <f>#REF!</f>
        <v>#REF!</v>
      </c>
      <c r="AA209" s="28" t="e">
        <f>#REF!</f>
        <v>#REF!</v>
      </c>
      <c r="AB209" s="28">
        <v>4600005</v>
      </c>
      <c r="AC209" s="28" t="e">
        <f>#REF!</f>
        <v>#REF!</v>
      </c>
      <c r="AD209" s="28" t="e">
        <f>#REF!</f>
        <v>#REF!</v>
      </c>
      <c r="AE209" s="28" t="e">
        <f>#REF!</f>
        <v>#REF!</v>
      </c>
      <c r="AF209" s="28" t="e">
        <f>[1]April!N55</f>
        <v>#REF!</v>
      </c>
      <c r="AG209" s="28" t="e">
        <f>[2]april!N55</f>
        <v>#REF!</v>
      </c>
      <c r="AH209" s="28" t="e">
        <f>'[3]DES SKPD'!$N55</f>
        <v>#REF!</v>
      </c>
      <c r="AI209" s="28">
        <v>0</v>
      </c>
      <c r="AJ209" s="29">
        <f t="shared" si="129"/>
        <v>0</v>
      </c>
      <c r="AK209" s="136">
        <f t="shared" si="123"/>
        <v>15750000</v>
      </c>
      <c r="AL209" s="29">
        <f t="shared" si="130"/>
        <v>100</v>
      </c>
      <c r="AM209" s="26"/>
    </row>
    <row r="210" spans="1:39" ht="28.5" customHeight="1" x14ac:dyDescent="0.25">
      <c r="A210" s="26"/>
      <c r="B210" s="151"/>
      <c r="C210" s="151"/>
      <c r="D210" s="151"/>
      <c r="E210" s="151"/>
      <c r="F210" s="151"/>
      <c r="G210" s="151"/>
      <c r="H210" s="151"/>
      <c r="I210" s="152"/>
      <c r="J210" s="151" t="s">
        <v>282</v>
      </c>
      <c r="K210" s="27"/>
      <c r="L210" s="31"/>
      <c r="M210" s="515" t="s">
        <v>283</v>
      </c>
      <c r="N210" s="516"/>
      <c r="O210" s="34"/>
      <c r="P210" s="28"/>
      <c r="Q210" s="28">
        <v>42110000</v>
      </c>
      <c r="R210" s="29">
        <f t="shared" si="138"/>
        <v>29.506152078253312</v>
      </c>
      <c r="S210" s="29">
        <v>100</v>
      </c>
      <c r="T210" s="28">
        <f t="shared" si="127"/>
        <v>0</v>
      </c>
      <c r="U210" s="28">
        <f t="shared" si="139"/>
        <v>0</v>
      </c>
      <c r="V210" s="87">
        <f t="shared" si="105"/>
        <v>100</v>
      </c>
      <c r="W210" s="28"/>
      <c r="X210" s="28" t="e">
        <f>#REF!</f>
        <v>#REF!</v>
      </c>
      <c r="Y210" s="28" t="e">
        <f>#REF!</f>
        <v>#REF!</v>
      </c>
      <c r="Z210" s="28" t="e">
        <f>#REF!</f>
        <v>#REF!</v>
      </c>
      <c r="AA210" s="28" t="e">
        <f>#REF!</f>
        <v>#REF!</v>
      </c>
      <c r="AB210" s="28">
        <v>4600006</v>
      </c>
      <c r="AC210" s="28" t="e">
        <f>#REF!</f>
        <v>#REF!</v>
      </c>
      <c r="AD210" s="28" t="e">
        <f>#REF!</f>
        <v>#REF!</v>
      </c>
      <c r="AE210" s="28" t="e">
        <f>#REF!</f>
        <v>#REF!</v>
      </c>
      <c r="AF210" s="28" t="e">
        <f>[1]April!N56</f>
        <v>#REF!</v>
      </c>
      <c r="AG210" s="28" t="e">
        <f>[2]april!N56</f>
        <v>#REF!</v>
      </c>
      <c r="AH210" s="28">
        <f>'[3]DES SKPD'!$N56</f>
        <v>260098500</v>
      </c>
      <c r="AI210" s="28">
        <v>0</v>
      </c>
      <c r="AJ210" s="29">
        <f t="shared" si="129"/>
        <v>0</v>
      </c>
      <c r="AK210" s="136">
        <f t="shared" si="123"/>
        <v>42110000</v>
      </c>
      <c r="AL210" s="29">
        <f t="shared" si="130"/>
        <v>100</v>
      </c>
      <c r="AM210" s="26"/>
    </row>
    <row r="211" spans="1:39" s="41" customFormat="1" ht="32.25" customHeight="1" x14ac:dyDescent="0.25">
      <c r="A211" s="21">
        <f>A204+1</f>
        <v>28</v>
      </c>
      <c r="B211" s="543" t="s">
        <v>141</v>
      </c>
      <c r="C211" s="543"/>
      <c r="D211" s="543"/>
      <c r="E211" s="543"/>
      <c r="F211" s="543"/>
      <c r="G211" s="543"/>
      <c r="H211" s="543"/>
      <c r="I211" s="544"/>
      <c r="J211" s="122" t="s">
        <v>476</v>
      </c>
      <c r="K211" s="22"/>
      <c r="L211" s="72"/>
      <c r="M211" s="545" t="s">
        <v>143</v>
      </c>
      <c r="N211" s="546"/>
      <c r="O211" s="73">
        <v>359210000</v>
      </c>
      <c r="P211" s="23">
        <f>O211</f>
        <v>359210000</v>
      </c>
      <c r="Q211" s="23">
        <f>SUM(Q212:Q216)</f>
        <v>138060000</v>
      </c>
      <c r="R211" s="24">
        <f>Q211/Q$175*100</f>
        <v>10.538461274292462</v>
      </c>
      <c r="S211" s="24">
        <v>100</v>
      </c>
      <c r="T211" s="23">
        <f t="shared" si="127"/>
        <v>0</v>
      </c>
      <c r="U211" s="23">
        <f t="shared" si="139"/>
        <v>0</v>
      </c>
      <c r="V211" s="90">
        <f t="shared" si="105"/>
        <v>100</v>
      </c>
      <c r="W211" s="23"/>
      <c r="X211" s="23" t="e">
        <f>#REF!</f>
        <v>#REF!</v>
      </c>
      <c r="Y211" s="23" t="e">
        <f>#REF!</f>
        <v>#REF!</v>
      </c>
      <c r="Z211" s="23" t="e">
        <f>#REF!</f>
        <v>#REF!</v>
      </c>
      <c r="AA211" s="23" t="e">
        <f>#REF!</f>
        <v>#REF!</v>
      </c>
      <c r="AB211" s="23">
        <v>173940000</v>
      </c>
      <c r="AC211" s="23" t="e">
        <f>#REF!</f>
        <v>#REF!</v>
      </c>
      <c r="AD211" s="23" t="e">
        <f>#REF!</f>
        <v>#REF!</v>
      </c>
      <c r="AE211" s="23" t="e">
        <f>#REF!</f>
        <v>#REF!</v>
      </c>
      <c r="AF211" s="23" t="e">
        <f>[1]April!N51</f>
        <v>#REF!</v>
      </c>
      <c r="AG211" s="23" t="e">
        <f>[2]april!N51</f>
        <v>#REF!</v>
      </c>
      <c r="AH211" s="23">
        <f>'[3]DES SKPD'!$N51</f>
        <v>317812000</v>
      </c>
      <c r="AI211" s="23">
        <f>SUM(AI212:AI216)</f>
        <v>0</v>
      </c>
      <c r="AJ211" s="24">
        <f t="shared" si="129"/>
        <v>0</v>
      </c>
      <c r="AK211" s="134">
        <f t="shared" si="123"/>
        <v>138060000</v>
      </c>
      <c r="AL211" s="24">
        <f t="shared" si="130"/>
        <v>100</v>
      </c>
      <c r="AM211" s="21"/>
    </row>
    <row r="212" spans="1:39" ht="28.5" customHeight="1" x14ac:dyDescent="0.25">
      <c r="A212" s="26"/>
      <c r="B212" s="151"/>
      <c r="C212" s="151"/>
      <c r="D212" s="151"/>
      <c r="E212" s="151"/>
      <c r="F212" s="151"/>
      <c r="G212" s="151"/>
      <c r="H212" s="151"/>
      <c r="I212" s="152"/>
      <c r="J212" s="151" t="s">
        <v>332</v>
      </c>
      <c r="K212" s="27"/>
      <c r="L212" s="31"/>
      <c r="M212" s="515" t="s">
        <v>335</v>
      </c>
      <c r="N212" s="516"/>
      <c r="O212" s="34"/>
      <c r="P212" s="28"/>
      <c r="Q212" s="28">
        <v>1000000</v>
      </c>
      <c r="R212" s="29">
        <f>Q212/Q$211*100</f>
        <v>0.72432275822106329</v>
      </c>
      <c r="S212" s="29">
        <v>100</v>
      </c>
      <c r="T212" s="28">
        <f t="shared" si="127"/>
        <v>0</v>
      </c>
      <c r="U212" s="28">
        <f t="shared" si="139"/>
        <v>0</v>
      </c>
      <c r="V212" s="87">
        <f t="shared" ref="V212:V289" si="147">S212-T212</f>
        <v>100</v>
      </c>
      <c r="W212" s="28"/>
      <c r="X212" s="28" t="e">
        <f>#REF!</f>
        <v>#REF!</v>
      </c>
      <c r="Y212" s="28" t="e">
        <f>#REF!</f>
        <v>#REF!</v>
      </c>
      <c r="Z212" s="28" t="e">
        <f>#REF!</f>
        <v>#REF!</v>
      </c>
      <c r="AA212" s="28" t="e">
        <f>#REF!</f>
        <v>#REF!</v>
      </c>
      <c r="AB212" s="28">
        <v>173940002</v>
      </c>
      <c r="AC212" s="28" t="e">
        <f>#REF!</f>
        <v>#REF!</v>
      </c>
      <c r="AD212" s="28" t="e">
        <f>#REF!</f>
        <v>#REF!</v>
      </c>
      <c r="AE212" s="28" t="e">
        <f>#REF!</f>
        <v>#REF!</v>
      </c>
      <c r="AF212" s="28" t="e">
        <f>[1]April!N53</f>
        <v>#REF!</v>
      </c>
      <c r="AG212" s="28" t="e">
        <f>[2]april!N53</f>
        <v>#REF!</v>
      </c>
      <c r="AH212" s="28" t="e">
        <f>'[3]DES SKPD'!$N53</f>
        <v>#REF!</v>
      </c>
      <c r="AI212" s="28">
        <v>0</v>
      </c>
      <c r="AJ212" s="29">
        <f t="shared" si="129"/>
        <v>0</v>
      </c>
      <c r="AK212" s="136">
        <f t="shared" si="123"/>
        <v>1000000</v>
      </c>
      <c r="AL212" s="29">
        <f t="shared" si="130"/>
        <v>100</v>
      </c>
      <c r="AM212" s="26"/>
    </row>
    <row r="213" spans="1:39" ht="28.5" customHeight="1" x14ac:dyDescent="0.25">
      <c r="A213" s="26"/>
      <c r="B213" s="151"/>
      <c r="C213" s="151"/>
      <c r="D213" s="151"/>
      <c r="E213" s="151"/>
      <c r="F213" s="151"/>
      <c r="G213" s="151"/>
      <c r="H213" s="151"/>
      <c r="I213" s="152"/>
      <c r="J213" s="151" t="s">
        <v>333</v>
      </c>
      <c r="K213" s="27"/>
      <c r="L213" s="31"/>
      <c r="M213" s="515" t="s">
        <v>334</v>
      </c>
      <c r="N213" s="516"/>
      <c r="O213" s="34"/>
      <c r="P213" s="28"/>
      <c r="Q213" s="28">
        <v>20000000</v>
      </c>
      <c r="R213" s="29">
        <f>Q213/Q$211*100</f>
        <v>14.486455164421267</v>
      </c>
      <c r="S213" s="29">
        <v>100</v>
      </c>
      <c r="T213" s="28">
        <f t="shared" si="127"/>
        <v>0</v>
      </c>
      <c r="U213" s="28">
        <f t="shared" si="139"/>
        <v>0</v>
      </c>
      <c r="V213" s="87">
        <f t="shared" si="147"/>
        <v>100</v>
      </c>
      <c r="W213" s="28"/>
      <c r="X213" s="28" t="e">
        <f>#REF!</f>
        <v>#REF!</v>
      </c>
      <c r="Y213" s="28" t="e">
        <f>#REF!</f>
        <v>#REF!</v>
      </c>
      <c r="Z213" s="28" t="e">
        <f>#REF!</f>
        <v>#REF!</v>
      </c>
      <c r="AA213" s="28" t="e">
        <f>#REF!</f>
        <v>#REF!</v>
      </c>
      <c r="AB213" s="28">
        <v>173940003</v>
      </c>
      <c r="AC213" s="28" t="e">
        <f>#REF!</f>
        <v>#REF!</v>
      </c>
      <c r="AD213" s="28" t="e">
        <f>#REF!</f>
        <v>#REF!</v>
      </c>
      <c r="AE213" s="28" t="e">
        <f>#REF!</f>
        <v>#REF!</v>
      </c>
      <c r="AF213" s="28" t="e">
        <f>[1]April!N54</f>
        <v>#REF!</v>
      </c>
      <c r="AG213" s="28" t="e">
        <f>[2]april!N54</f>
        <v>#REF!</v>
      </c>
      <c r="AH213" s="28">
        <f>'[3]DES SKPD'!$N54</f>
        <v>508172500</v>
      </c>
      <c r="AI213" s="28">
        <v>0</v>
      </c>
      <c r="AJ213" s="29">
        <f t="shared" si="129"/>
        <v>0</v>
      </c>
      <c r="AK213" s="136">
        <f t="shared" si="123"/>
        <v>20000000</v>
      </c>
      <c r="AL213" s="29">
        <f t="shared" si="130"/>
        <v>100</v>
      </c>
      <c r="AM213" s="26"/>
    </row>
    <row r="214" spans="1:39" ht="28.5" customHeight="1" x14ac:dyDescent="0.25">
      <c r="A214" s="26"/>
      <c r="B214" s="151"/>
      <c r="C214" s="151"/>
      <c r="D214" s="151"/>
      <c r="E214" s="151"/>
      <c r="F214" s="151"/>
      <c r="G214" s="151"/>
      <c r="H214" s="151"/>
      <c r="I214" s="152"/>
      <c r="J214" s="151" t="s">
        <v>336</v>
      </c>
      <c r="K214" s="27"/>
      <c r="L214" s="31"/>
      <c r="M214" s="515" t="s">
        <v>337</v>
      </c>
      <c r="N214" s="516"/>
      <c r="O214" s="34"/>
      <c r="P214" s="28"/>
      <c r="Q214" s="28">
        <v>92100000</v>
      </c>
      <c r="R214" s="29">
        <f>Q214/Q$211*100</f>
        <v>66.710126032159934</v>
      </c>
      <c r="S214" s="29">
        <v>100</v>
      </c>
      <c r="T214" s="28">
        <f t="shared" si="127"/>
        <v>0</v>
      </c>
      <c r="U214" s="28">
        <f t="shared" si="139"/>
        <v>0</v>
      </c>
      <c r="V214" s="87">
        <f t="shared" si="147"/>
        <v>100</v>
      </c>
      <c r="W214" s="28"/>
      <c r="X214" s="28" t="e">
        <f>#REF!</f>
        <v>#REF!</v>
      </c>
      <c r="Y214" s="28" t="e">
        <f>#REF!</f>
        <v>#REF!</v>
      </c>
      <c r="Z214" s="28" t="e">
        <f>#REF!</f>
        <v>#REF!</v>
      </c>
      <c r="AA214" s="28" t="e">
        <f>#REF!</f>
        <v>#REF!</v>
      </c>
      <c r="AB214" s="28">
        <v>173940004</v>
      </c>
      <c r="AC214" s="28" t="e">
        <f>#REF!</f>
        <v>#REF!</v>
      </c>
      <c r="AD214" s="28" t="e">
        <f>#REF!</f>
        <v>#REF!</v>
      </c>
      <c r="AE214" s="28" t="e">
        <f>#REF!</f>
        <v>#REF!</v>
      </c>
      <c r="AF214" s="28" t="e">
        <f>[1]April!N55</f>
        <v>#REF!</v>
      </c>
      <c r="AG214" s="28" t="e">
        <f>[2]april!N55</f>
        <v>#REF!</v>
      </c>
      <c r="AH214" s="28" t="e">
        <f>'[3]DES SKPD'!$N55</f>
        <v>#REF!</v>
      </c>
      <c r="AI214" s="28">
        <v>0</v>
      </c>
      <c r="AJ214" s="29">
        <f t="shared" si="129"/>
        <v>0</v>
      </c>
      <c r="AK214" s="136">
        <f t="shared" si="123"/>
        <v>92100000</v>
      </c>
      <c r="AL214" s="29">
        <f t="shared" si="130"/>
        <v>100</v>
      </c>
      <c r="AM214" s="26"/>
    </row>
    <row r="215" spans="1:39" ht="28.5" customHeight="1" x14ac:dyDescent="0.25">
      <c r="A215" s="26"/>
      <c r="B215" s="151"/>
      <c r="C215" s="151"/>
      <c r="D215" s="151"/>
      <c r="E215" s="151"/>
      <c r="F215" s="151"/>
      <c r="G215" s="151"/>
      <c r="H215" s="151"/>
      <c r="I215" s="152"/>
      <c r="J215" s="171" t="s">
        <v>309</v>
      </c>
      <c r="K215" s="27"/>
      <c r="L215" s="31"/>
      <c r="M215" s="515" t="s">
        <v>310</v>
      </c>
      <c r="N215" s="516"/>
      <c r="O215" s="34"/>
      <c r="P215" s="28"/>
      <c r="Q215" s="28">
        <v>21600000</v>
      </c>
      <c r="R215" s="29">
        <f>Q215/Q$211*100</f>
        <v>15.645371577574968</v>
      </c>
      <c r="S215" s="29">
        <v>100</v>
      </c>
      <c r="T215" s="28">
        <f t="shared" si="127"/>
        <v>0</v>
      </c>
      <c r="U215" s="28">
        <f t="shared" si="139"/>
        <v>0</v>
      </c>
      <c r="V215" s="87">
        <f t="shared" si="147"/>
        <v>100</v>
      </c>
      <c r="W215" s="28"/>
      <c r="X215" s="28" t="e">
        <f>#REF!</f>
        <v>#REF!</v>
      </c>
      <c r="Y215" s="28" t="e">
        <f>#REF!</f>
        <v>#REF!</v>
      </c>
      <c r="Z215" s="28" t="e">
        <f>#REF!</f>
        <v>#REF!</v>
      </c>
      <c r="AA215" s="28" t="e">
        <f>#REF!</f>
        <v>#REF!</v>
      </c>
      <c r="AB215" s="28">
        <v>173940006</v>
      </c>
      <c r="AC215" s="28" t="e">
        <f>#REF!</f>
        <v>#REF!</v>
      </c>
      <c r="AD215" s="28" t="e">
        <f>#REF!</f>
        <v>#REF!</v>
      </c>
      <c r="AE215" s="28" t="e">
        <f>#REF!</f>
        <v>#REF!</v>
      </c>
      <c r="AF215" s="28" t="e">
        <f>[1]April!N57</f>
        <v>#REF!</v>
      </c>
      <c r="AG215" s="28" t="e">
        <f>[2]april!N57</f>
        <v>#REF!</v>
      </c>
      <c r="AH215" s="28">
        <f>'[3]DES SKPD'!$N57</f>
        <v>371775000</v>
      </c>
      <c r="AI215" s="28">
        <v>0</v>
      </c>
      <c r="AJ215" s="29">
        <f>AI215/Q215*100</f>
        <v>0</v>
      </c>
      <c r="AK215" s="136">
        <f>Q215-AI215</f>
        <v>21600000</v>
      </c>
      <c r="AL215" s="29">
        <f t="shared" si="130"/>
        <v>100</v>
      </c>
      <c r="AM215" s="26"/>
    </row>
    <row r="216" spans="1:39" ht="28.5" customHeight="1" x14ac:dyDescent="0.25">
      <c r="A216" s="26"/>
      <c r="B216" s="171"/>
      <c r="C216" s="171"/>
      <c r="D216" s="171"/>
      <c r="E216" s="171"/>
      <c r="F216" s="171"/>
      <c r="G216" s="171"/>
      <c r="H216" s="171"/>
      <c r="I216" s="172"/>
      <c r="J216" s="171" t="s">
        <v>551</v>
      </c>
      <c r="K216" s="27"/>
      <c r="L216" s="31"/>
      <c r="M216" s="515" t="s">
        <v>550</v>
      </c>
      <c r="N216" s="516"/>
      <c r="O216" s="34"/>
      <c r="P216" s="28"/>
      <c r="Q216" s="28">
        <v>3360000</v>
      </c>
      <c r="R216" s="29">
        <f>Q216/Q$211*100</f>
        <v>2.4337244676227727</v>
      </c>
      <c r="S216" s="29">
        <v>100</v>
      </c>
      <c r="T216" s="28">
        <f t="shared" si="127"/>
        <v>0</v>
      </c>
      <c r="U216" s="28">
        <f t="shared" si="139"/>
        <v>0</v>
      </c>
      <c r="V216" s="87">
        <f t="shared" si="147"/>
        <v>100</v>
      </c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>
        <v>0</v>
      </c>
      <c r="AJ216" s="29">
        <f>AI216/Q216*100</f>
        <v>0</v>
      </c>
      <c r="AK216" s="136">
        <f>Q216-AI216</f>
        <v>3360000</v>
      </c>
      <c r="AL216" s="29">
        <f t="shared" si="130"/>
        <v>100</v>
      </c>
      <c r="AM216" s="26"/>
    </row>
    <row r="217" spans="1:39" ht="28.5" customHeight="1" x14ac:dyDescent="0.25">
      <c r="A217" s="21">
        <v>29</v>
      </c>
      <c r="B217" s="151"/>
      <c r="C217" s="151"/>
      <c r="D217" s="151"/>
      <c r="E217" s="151"/>
      <c r="F217" s="151"/>
      <c r="G217" s="151"/>
      <c r="H217" s="151"/>
      <c r="I217" s="152"/>
      <c r="J217" s="122" t="s">
        <v>477</v>
      </c>
      <c r="K217" s="22"/>
      <c r="L217" s="72"/>
      <c r="M217" s="545" t="s">
        <v>472</v>
      </c>
      <c r="N217" s="546"/>
      <c r="O217" s="73">
        <v>85915000</v>
      </c>
      <c r="P217" s="23">
        <f>O217</f>
        <v>85915000</v>
      </c>
      <c r="Q217" s="23">
        <f>SUM(Q218:Q224)</f>
        <v>102020000</v>
      </c>
      <c r="R217" s="24">
        <f>Q217/Q$175*100</f>
        <v>7.7874389338209271</v>
      </c>
      <c r="S217" s="24">
        <v>100</v>
      </c>
      <c r="T217" s="23">
        <f t="shared" si="127"/>
        <v>0</v>
      </c>
      <c r="U217" s="23">
        <f t="shared" si="139"/>
        <v>0</v>
      </c>
      <c r="V217" s="90">
        <f t="shared" si="147"/>
        <v>100</v>
      </c>
      <c r="W217" s="23"/>
      <c r="X217" s="23" t="e">
        <f>#REF!</f>
        <v>#REF!</v>
      </c>
      <c r="Y217" s="23" t="e">
        <f>#REF!</f>
        <v>#REF!</v>
      </c>
      <c r="Z217" s="23" t="e">
        <f>#REF!</f>
        <v>#REF!</v>
      </c>
      <c r="AA217" s="23" t="e">
        <f>#REF!</f>
        <v>#REF!</v>
      </c>
      <c r="AB217" s="23">
        <v>0</v>
      </c>
      <c r="AC217" s="23" t="e">
        <f>#REF!</f>
        <v>#REF!</v>
      </c>
      <c r="AD217" s="23" t="e">
        <f>#REF!</f>
        <v>#REF!</v>
      </c>
      <c r="AE217" s="23" t="e">
        <f>#REF!</f>
        <v>#REF!</v>
      </c>
      <c r="AF217" s="23" t="e">
        <f>[1]April!N45</f>
        <v>#REF!</v>
      </c>
      <c r="AG217" s="23" t="e">
        <f>[2]april!N45</f>
        <v>#REF!</v>
      </c>
      <c r="AH217" s="23">
        <f>'[3]DES SKPD'!$N45</f>
        <v>320566100</v>
      </c>
      <c r="AI217" s="23">
        <f>SUM(AI218:AI224)</f>
        <v>0</v>
      </c>
      <c r="AJ217" s="24">
        <f t="shared" si="129"/>
        <v>0</v>
      </c>
      <c r="AK217" s="134">
        <f t="shared" si="123"/>
        <v>102020000</v>
      </c>
      <c r="AL217" s="24">
        <f t="shared" si="130"/>
        <v>100</v>
      </c>
      <c r="AM217" s="26"/>
    </row>
    <row r="218" spans="1:39" ht="28.5" customHeight="1" x14ac:dyDescent="0.25">
      <c r="A218" s="26"/>
      <c r="B218" s="151"/>
      <c r="C218" s="151"/>
      <c r="D218" s="151"/>
      <c r="E218" s="151"/>
      <c r="F218" s="151"/>
      <c r="G218" s="151"/>
      <c r="H218" s="151"/>
      <c r="I218" s="152"/>
      <c r="J218" s="151" t="s">
        <v>257</v>
      </c>
      <c r="K218" s="27"/>
      <c r="L218" s="31"/>
      <c r="M218" s="515" t="s">
        <v>592</v>
      </c>
      <c r="N218" s="516"/>
      <c r="O218" s="34"/>
      <c r="P218" s="28"/>
      <c r="Q218" s="28">
        <v>1600000</v>
      </c>
      <c r="R218" s="29">
        <f t="shared" ref="R218:R224" si="148">Q218/Q$217*100</f>
        <v>1.5683199372672023</v>
      </c>
      <c r="S218" s="29">
        <v>100</v>
      </c>
      <c r="T218" s="28">
        <f t="shared" si="127"/>
        <v>0</v>
      </c>
      <c r="U218" s="28">
        <f t="shared" si="139"/>
        <v>0</v>
      </c>
      <c r="V218" s="87">
        <f t="shared" si="147"/>
        <v>100</v>
      </c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>
        <v>0</v>
      </c>
      <c r="AJ218" s="29">
        <f t="shared" si="129"/>
        <v>0</v>
      </c>
      <c r="AK218" s="136">
        <f t="shared" si="123"/>
        <v>1600000</v>
      </c>
      <c r="AL218" s="29">
        <f t="shared" si="130"/>
        <v>100</v>
      </c>
      <c r="AM218" s="26"/>
    </row>
    <row r="219" spans="1:39" ht="28.5" customHeight="1" x14ac:dyDescent="0.25">
      <c r="A219" s="26"/>
      <c r="B219" s="151"/>
      <c r="C219" s="151"/>
      <c r="D219" s="151"/>
      <c r="E219" s="151"/>
      <c r="F219" s="151"/>
      <c r="G219" s="151"/>
      <c r="H219" s="151"/>
      <c r="I219" s="152"/>
      <c r="J219" s="171" t="s">
        <v>593</v>
      </c>
      <c r="K219" s="27"/>
      <c r="L219" s="31"/>
      <c r="M219" s="515" t="s">
        <v>270</v>
      </c>
      <c r="N219" s="516"/>
      <c r="O219" s="34"/>
      <c r="P219" s="28"/>
      <c r="Q219" s="28">
        <v>2000000</v>
      </c>
      <c r="R219" s="29">
        <f t="shared" si="148"/>
        <v>1.9603999215840031</v>
      </c>
      <c r="S219" s="29">
        <v>100</v>
      </c>
      <c r="T219" s="28">
        <f t="shared" si="127"/>
        <v>0</v>
      </c>
      <c r="U219" s="28">
        <f t="shared" si="139"/>
        <v>0</v>
      </c>
      <c r="V219" s="87">
        <f t="shared" si="147"/>
        <v>100</v>
      </c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>
        <v>0</v>
      </c>
      <c r="AJ219" s="29">
        <f t="shared" si="129"/>
        <v>0</v>
      </c>
      <c r="AK219" s="136">
        <f t="shared" si="123"/>
        <v>2000000</v>
      </c>
      <c r="AL219" s="29">
        <f t="shared" si="130"/>
        <v>100</v>
      </c>
      <c r="AM219" s="26"/>
    </row>
    <row r="220" spans="1:39" ht="28.5" customHeight="1" x14ac:dyDescent="0.25">
      <c r="A220" s="26"/>
      <c r="B220" s="151"/>
      <c r="C220" s="151"/>
      <c r="D220" s="151"/>
      <c r="E220" s="151"/>
      <c r="F220" s="151"/>
      <c r="G220" s="151"/>
      <c r="H220" s="151"/>
      <c r="I220" s="152"/>
      <c r="J220" s="171" t="s">
        <v>593</v>
      </c>
      <c r="K220" s="27"/>
      <c r="L220" s="31"/>
      <c r="M220" s="515" t="s">
        <v>428</v>
      </c>
      <c r="N220" s="516"/>
      <c r="O220" s="34"/>
      <c r="P220" s="28"/>
      <c r="Q220" s="28">
        <v>1500000</v>
      </c>
      <c r="R220" s="29">
        <f t="shared" si="148"/>
        <v>1.4702999411880022</v>
      </c>
      <c r="S220" s="29">
        <v>100</v>
      </c>
      <c r="T220" s="28">
        <f t="shared" si="127"/>
        <v>0</v>
      </c>
      <c r="U220" s="28">
        <f t="shared" si="139"/>
        <v>0</v>
      </c>
      <c r="V220" s="87">
        <f t="shared" si="147"/>
        <v>100</v>
      </c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>
        <v>0</v>
      </c>
      <c r="AJ220" s="29">
        <f t="shared" si="129"/>
        <v>0</v>
      </c>
      <c r="AK220" s="136">
        <f t="shared" si="123"/>
        <v>1500000</v>
      </c>
      <c r="AL220" s="29">
        <f t="shared" si="130"/>
        <v>100</v>
      </c>
      <c r="AM220" s="26"/>
    </row>
    <row r="221" spans="1:39" ht="28.5" customHeight="1" x14ac:dyDescent="0.25">
      <c r="A221" s="26"/>
      <c r="B221" s="151"/>
      <c r="C221" s="151"/>
      <c r="D221" s="151"/>
      <c r="E221" s="151"/>
      <c r="F221" s="151"/>
      <c r="G221" s="151"/>
      <c r="H221" s="151"/>
      <c r="I221" s="152"/>
      <c r="J221" s="171" t="s">
        <v>318</v>
      </c>
      <c r="K221" s="27"/>
      <c r="L221" s="31"/>
      <c r="M221" s="515" t="s">
        <v>319</v>
      </c>
      <c r="N221" s="516"/>
      <c r="O221" s="34"/>
      <c r="P221" s="28"/>
      <c r="Q221" s="28">
        <v>22750000</v>
      </c>
      <c r="R221" s="29">
        <f t="shared" si="148"/>
        <v>22.299549108018034</v>
      </c>
      <c r="S221" s="29">
        <v>100</v>
      </c>
      <c r="T221" s="28">
        <f t="shared" si="127"/>
        <v>0</v>
      </c>
      <c r="U221" s="28">
        <f t="shared" si="139"/>
        <v>0</v>
      </c>
      <c r="V221" s="87">
        <f t="shared" si="147"/>
        <v>100</v>
      </c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>
        <v>0</v>
      </c>
      <c r="AJ221" s="29">
        <f t="shared" si="129"/>
        <v>0</v>
      </c>
      <c r="AK221" s="136">
        <f t="shared" si="123"/>
        <v>22750000</v>
      </c>
      <c r="AL221" s="29">
        <f t="shared" si="130"/>
        <v>100</v>
      </c>
      <c r="AM221" s="26"/>
    </row>
    <row r="222" spans="1:39" ht="28.5" customHeight="1" x14ac:dyDescent="0.25">
      <c r="A222" s="26"/>
      <c r="B222" s="151"/>
      <c r="C222" s="151"/>
      <c r="D222" s="151"/>
      <c r="E222" s="151"/>
      <c r="F222" s="151"/>
      <c r="G222" s="151"/>
      <c r="H222" s="151"/>
      <c r="I222" s="152"/>
      <c r="J222" s="171" t="s">
        <v>280</v>
      </c>
      <c r="K222" s="27"/>
      <c r="L222" s="31"/>
      <c r="M222" s="515" t="s">
        <v>425</v>
      </c>
      <c r="N222" s="516"/>
      <c r="O222" s="34"/>
      <c r="P222" s="28"/>
      <c r="Q222" s="28">
        <v>7000000</v>
      </c>
      <c r="R222" s="29">
        <f t="shared" si="148"/>
        <v>6.8613997255440111</v>
      </c>
      <c r="S222" s="29">
        <v>100</v>
      </c>
      <c r="T222" s="28">
        <f t="shared" si="127"/>
        <v>0</v>
      </c>
      <c r="U222" s="28">
        <f t="shared" si="139"/>
        <v>0</v>
      </c>
      <c r="V222" s="87">
        <f t="shared" si="147"/>
        <v>100</v>
      </c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>
        <v>0</v>
      </c>
      <c r="AJ222" s="29">
        <f t="shared" si="129"/>
        <v>0</v>
      </c>
      <c r="AK222" s="136">
        <f t="shared" si="123"/>
        <v>7000000</v>
      </c>
      <c r="AL222" s="29">
        <f t="shared" si="130"/>
        <v>100</v>
      </c>
      <c r="AM222" s="26"/>
    </row>
    <row r="223" spans="1:39" ht="28.5" customHeight="1" x14ac:dyDescent="0.25">
      <c r="A223" s="26"/>
      <c r="B223" s="151"/>
      <c r="C223" s="151"/>
      <c r="D223" s="151"/>
      <c r="E223" s="151"/>
      <c r="F223" s="151"/>
      <c r="G223" s="151"/>
      <c r="H223" s="151"/>
      <c r="I223" s="152"/>
      <c r="J223" s="171" t="s">
        <v>282</v>
      </c>
      <c r="K223" s="27"/>
      <c r="L223" s="31"/>
      <c r="M223" s="515" t="s">
        <v>590</v>
      </c>
      <c r="N223" s="516"/>
      <c r="O223" s="34"/>
      <c r="P223" s="28"/>
      <c r="Q223" s="28">
        <v>27170000</v>
      </c>
      <c r="R223" s="29">
        <f t="shared" si="148"/>
        <v>26.63203293471868</v>
      </c>
      <c r="S223" s="29">
        <v>100</v>
      </c>
      <c r="T223" s="28">
        <f t="shared" si="127"/>
        <v>0</v>
      </c>
      <c r="U223" s="28">
        <f t="shared" si="139"/>
        <v>0</v>
      </c>
      <c r="V223" s="87">
        <f>S223-T223</f>
        <v>100</v>
      </c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>
        <v>0</v>
      </c>
      <c r="AJ223" s="29">
        <f t="shared" si="129"/>
        <v>0</v>
      </c>
      <c r="AK223" s="136">
        <f t="shared" si="123"/>
        <v>27170000</v>
      </c>
      <c r="AL223" s="29">
        <f t="shared" si="130"/>
        <v>100</v>
      </c>
      <c r="AM223" s="26"/>
    </row>
    <row r="224" spans="1:39" ht="28.5" customHeight="1" x14ac:dyDescent="0.25">
      <c r="A224" s="26"/>
      <c r="B224" s="171"/>
      <c r="C224" s="171"/>
      <c r="D224" s="171"/>
      <c r="E224" s="171"/>
      <c r="F224" s="171"/>
      <c r="G224" s="171"/>
      <c r="H224" s="171"/>
      <c r="I224" s="172"/>
      <c r="J224" s="171" t="s">
        <v>594</v>
      </c>
      <c r="K224" s="27"/>
      <c r="L224" s="31"/>
      <c r="M224" s="515" t="s">
        <v>591</v>
      </c>
      <c r="N224" s="516"/>
      <c r="O224" s="34"/>
      <c r="P224" s="28"/>
      <c r="Q224" s="28">
        <v>40000000</v>
      </c>
      <c r="R224" s="29">
        <f t="shared" si="148"/>
        <v>39.20799843168006</v>
      </c>
      <c r="S224" s="29">
        <v>100</v>
      </c>
      <c r="T224" s="28">
        <f t="shared" si="127"/>
        <v>0</v>
      </c>
      <c r="U224" s="28">
        <f t="shared" si="139"/>
        <v>0</v>
      </c>
      <c r="V224" s="87">
        <f>S224-T224</f>
        <v>100</v>
      </c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>
        <v>0</v>
      </c>
      <c r="AJ224" s="29">
        <f t="shared" si="129"/>
        <v>0</v>
      </c>
      <c r="AK224" s="136">
        <f t="shared" si="123"/>
        <v>40000000</v>
      </c>
      <c r="AL224" s="29">
        <f t="shared" si="130"/>
        <v>100</v>
      </c>
      <c r="AM224" s="26"/>
    </row>
    <row r="225" spans="1:39" s="41" customFormat="1" ht="24.75" customHeight="1" x14ac:dyDescent="0.25">
      <c r="A225" s="21">
        <f>A217+1</f>
        <v>30</v>
      </c>
      <c r="B225" s="543" t="s">
        <v>144</v>
      </c>
      <c r="C225" s="543"/>
      <c r="D225" s="543"/>
      <c r="E225" s="543"/>
      <c r="F225" s="543"/>
      <c r="G225" s="543"/>
      <c r="H225" s="543"/>
      <c r="I225" s="544"/>
      <c r="J225" s="122" t="s">
        <v>478</v>
      </c>
      <c r="K225" s="22"/>
      <c r="L225" s="72"/>
      <c r="M225" s="545" t="s">
        <v>167</v>
      </c>
      <c r="N225" s="546"/>
      <c r="O225" s="73">
        <v>85915000</v>
      </c>
      <c r="P225" s="23">
        <f>O225</f>
        <v>85915000</v>
      </c>
      <c r="Q225" s="23">
        <f>SUM(Q226:Q235)</f>
        <v>131325000</v>
      </c>
      <c r="R225" s="24">
        <f>Q225/Q$175*100</f>
        <v>10.024362066105011</v>
      </c>
      <c r="S225" s="24">
        <v>100</v>
      </c>
      <c r="T225" s="23">
        <f t="shared" si="127"/>
        <v>0</v>
      </c>
      <c r="U225" s="23">
        <f>R225*T225/100</f>
        <v>0</v>
      </c>
      <c r="V225" s="90">
        <f t="shared" si="147"/>
        <v>100</v>
      </c>
      <c r="W225" s="23"/>
      <c r="X225" s="23" t="e">
        <f>#REF!</f>
        <v>#REF!</v>
      </c>
      <c r="Y225" s="23" t="e">
        <f>#REF!</f>
        <v>#REF!</v>
      </c>
      <c r="Z225" s="23" t="e">
        <f>#REF!</f>
        <v>#REF!</v>
      </c>
      <c r="AA225" s="23" t="e">
        <f>#REF!</f>
        <v>#REF!</v>
      </c>
      <c r="AB225" s="23">
        <v>0</v>
      </c>
      <c r="AC225" s="23" t="e">
        <f>#REF!</f>
        <v>#REF!</v>
      </c>
      <c r="AD225" s="23" t="e">
        <f>#REF!</f>
        <v>#REF!</v>
      </c>
      <c r="AE225" s="23" t="e">
        <f>#REF!</f>
        <v>#REF!</v>
      </c>
      <c r="AF225" s="23" t="e">
        <f>[1]April!N52</f>
        <v>#REF!</v>
      </c>
      <c r="AG225" s="23" t="e">
        <f>[2]april!N52</f>
        <v>#REF!</v>
      </c>
      <c r="AH225" s="23">
        <f>'[3]DES SKPD'!$N52</f>
        <v>73668000</v>
      </c>
      <c r="AI225" s="23">
        <f>SUM(AI226:AI235)</f>
        <v>0</v>
      </c>
      <c r="AJ225" s="24">
        <f t="shared" si="129"/>
        <v>0</v>
      </c>
      <c r="AK225" s="134">
        <f t="shared" si="123"/>
        <v>131325000</v>
      </c>
      <c r="AL225" s="24">
        <f t="shared" si="130"/>
        <v>100</v>
      </c>
      <c r="AM225" s="21"/>
    </row>
    <row r="226" spans="1:39" ht="24.75" customHeight="1" x14ac:dyDescent="0.25">
      <c r="A226" s="26"/>
      <c r="B226" s="151"/>
      <c r="C226" s="151"/>
      <c r="D226" s="151"/>
      <c r="E226" s="151"/>
      <c r="F226" s="151"/>
      <c r="G226" s="151"/>
      <c r="H226" s="151"/>
      <c r="I226" s="152"/>
      <c r="J226" s="151" t="s">
        <v>273</v>
      </c>
      <c r="K226" s="27"/>
      <c r="L226" s="31"/>
      <c r="M226" s="515" t="s">
        <v>322</v>
      </c>
      <c r="N226" s="516"/>
      <c r="O226" s="34"/>
      <c r="P226" s="28"/>
      <c r="Q226" s="28">
        <v>4600000</v>
      </c>
      <c r="R226" s="29">
        <f t="shared" ref="R226:R235" si="149">Q226/Q$225*100</f>
        <v>3.5027603274319441</v>
      </c>
      <c r="S226" s="29">
        <v>100</v>
      </c>
      <c r="T226" s="28">
        <f t="shared" si="127"/>
        <v>0</v>
      </c>
      <c r="U226" s="28">
        <f t="shared" ref="U226:U296" si="150">R226*T226/100</f>
        <v>0</v>
      </c>
      <c r="V226" s="87">
        <f t="shared" si="147"/>
        <v>100</v>
      </c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>
        <v>0</v>
      </c>
      <c r="AJ226" s="29">
        <f t="shared" si="129"/>
        <v>0</v>
      </c>
      <c r="AK226" s="136">
        <f t="shared" si="123"/>
        <v>4600000</v>
      </c>
      <c r="AL226" s="29">
        <f t="shared" si="130"/>
        <v>100</v>
      </c>
      <c r="AM226" s="26"/>
    </row>
    <row r="227" spans="1:39" ht="24.75" customHeight="1" x14ac:dyDescent="0.25">
      <c r="A227" s="26"/>
      <c r="B227" s="151"/>
      <c r="C227" s="151"/>
      <c r="D227" s="151"/>
      <c r="E227" s="151"/>
      <c r="F227" s="151"/>
      <c r="G227" s="151"/>
      <c r="H227" s="151"/>
      <c r="I227" s="152"/>
      <c r="J227" s="151" t="s">
        <v>323</v>
      </c>
      <c r="K227" s="27"/>
      <c r="L227" s="31"/>
      <c r="M227" s="515" t="s">
        <v>324</v>
      </c>
      <c r="N227" s="516"/>
      <c r="O227" s="34"/>
      <c r="P227" s="28"/>
      <c r="Q227" s="28">
        <v>13776000</v>
      </c>
      <c r="R227" s="29">
        <f t="shared" si="149"/>
        <v>10.490005711022272</v>
      </c>
      <c r="S227" s="29">
        <v>100</v>
      </c>
      <c r="T227" s="28">
        <f t="shared" si="127"/>
        <v>0</v>
      </c>
      <c r="U227" s="28">
        <f t="shared" si="150"/>
        <v>0</v>
      </c>
      <c r="V227" s="87">
        <f t="shared" si="147"/>
        <v>100</v>
      </c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>
        <v>0</v>
      </c>
      <c r="AJ227" s="29">
        <f t="shared" si="129"/>
        <v>0</v>
      </c>
      <c r="AK227" s="136">
        <f t="shared" si="123"/>
        <v>13776000</v>
      </c>
      <c r="AL227" s="29">
        <f t="shared" si="130"/>
        <v>100</v>
      </c>
      <c r="AM227" s="26"/>
    </row>
    <row r="228" spans="1:39" ht="24.75" customHeight="1" x14ac:dyDescent="0.25">
      <c r="A228" s="26"/>
      <c r="B228" s="151"/>
      <c r="C228" s="151"/>
      <c r="D228" s="151"/>
      <c r="E228" s="151"/>
      <c r="F228" s="151"/>
      <c r="G228" s="151"/>
      <c r="H228" s="151"/>
      <c r="I228" s="152"/>
      <c r="J228" s="151" t="s">
        <v>269</v>
      </c>
      <c r="K228" s="27"/>
      <c r="L228" s="31"/>
      <c r="M228" s="515" t="s">
        <v>270</v>
      </c>
      <c r="N228" s="516"/>
      <c r="O228" s="34"/>
      <c r="P228" s="28"/>
      <c r="Q228" s="28">
        <v>4000000</v>
      </c>
      <c r="R228" s="29">
        <f t="shared" si="149"/>
        <v>3.0458785455929944</v>
      </c>
      <c r="S228" s="29">
        <v>100</v>
      </c>
      <c r="T228" s="28">
        <f t="shared" si="127"/>
        <v>0</v>
      </c>
      <c r="U228" s="28">
        <f t="shared" si="150"/>
        <v>0</v>
      </c>
      <c r="V228" s="87">
        <f t="shared" si="147"/>
        <v>100</v>
      </c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>
        <v>0</v>
      </c>
      <c r="AJ228" s="29">
        <f t="shared" si="129"/>
        <v>0</v>
      </c>
      <c r="AK228" s="136">
        <f t="shared" si="123"/>
        <v>4000000</v>
      </c>
      <c r="AL228" s="29">
        <f t="shared" si="130"/>
        <v>100</v>
      </c>
      <c r="AM228" s="26"/>
    </row>
    <row r="229" spans="1:39" ht="24.75" customHeight="1" x14ac:dyDescent="0.25">
      <c r="A229" s="26"/>
      <c r="B229" s="151"/>
      <c r="C229" s="151"/>
      <c r="D229" s="151"/>
      <c r="E229" s="151"/>
      <c r="F229" s="151"/>
      <c r="G229" s="151"/>
      <c r="H229" s="151"/>
      <c r="I229" s="152"/>
      <c r="J229" s="151" t="s">
        <v>315</v>
      </c>
      <c r="K229" s="27"/>
      <c r="L229" s="31"/>
      <c r="M229" s="515" t="s">
        <v>271</v>
      </c>
      <c r="N229" s="516"/>
      <c r="O229" s="34"/>
      <c r="P229" s="28"/>
      <c r="Q229" s="28">
        <v>2889000</v>
      </c>
      <c r="R229" s="29">
        <f t="shared" si="149"/>
        <v>2.1998857795545406</v>
      </c>
      <c r="S229" s="29">
        <v>100</v>
      </c>
      <c r="T229" s="28">
        <f t="shared" si="127"/>
        <v>0</v>
      </c>
      <c r="U229" s="28">
        <f t="shared" si="150"/>
        <v>0</v>
      </c>
      <c r="V229" s="87">
        <f t="shared" si="147"/>
        <v>100</v>
      </c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>
        <v>0</v>
      </c>
      <c r="AJ229" s="29">
        <f t="shared" si="129"/>
        <v>0</v>
      </c>
      <c r="AK229" s="136">
        <f t="shared" si="123"/>
        <v>2889000</v>
      </c>
      <c r="AL229" s="29">
        <f t="shared" si="130"/>
        <v>100</v>
      </c>
      <c r="AM229" s="26"/>
    </row>
    <row r="230" spans="1:39" ht="24.75" customHeight="1" x14ac:dyDescent="0.25">
      <c r="A230" s="26"/>
      <c r="B230" s="171"/>
      <c r="C230" s="171"/>
      <c r="D230" s="171"/>
      <c r="E230" s="171"/>
      <c r="F230" s="171"/>
      <c r="G230" s="171"/>
      <c r="H230" s="171"/>
      <c r="I230" s="172"/>
      <c r="J230" s="171" t="s">
        <v>328</v>
      </c>
      <c r="K230" s="27"/>
      <c r="L230" s="31"/>
      <c r="M230" s="515" t="s">
        <v>329</v>
      </c>
      <c r="N230" s="516"/>
      <c r="O230" s="34"/>
      <c r="P230" s="28"/>
      <c r="Q230" s="28">
        <v>49500000</v>
      </c>
      <c r="R230" s="29">
        <f t="shared" ref="R230" si="151">Q230/Q$225*100</f>
        <v>37.692747001713307</v>
      </c>
      <c r="S230" s="29">
        <v>100</v>
      </c>
      <c r="T230" s="28">
        <f t="shared" ref="T230" si="152">AJ230</f>
        <v>0</v>
      </c>
      <c r="U230" s="28">
        <f t="shared" ref="U230" si="153">R230*T230/100</f>
        <v>0</v>
      </c>
      <c r="V230" s="87">
        <f t="shared" ref="V230" si="154">S230-T230</f>
        <v>100</v>
      </c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>
        <v>0</v>
      </c>
      <c r="AJ230" s="29">
        <f t="shared" ref="AJ230" si="155">AI230/Q230*100</f>
        <v>0</v>
      </c>
      <c r="AK230" s="136">
        <f t="shared" ref="AK230" si="156">Q230-AI230</f>
        <v>49500000</v>
      </c>
      <c r="AL230" s="29">
        <f t="shared" ref="AL230" si="157">AK230/Q230*100</f>
        <v>100</v>
      </c>
      <c r="AM230" s="26"/>
    </row>
    <row r="231" spans="1:39" ht="24.75" customHeight="1" x14ac:dyDescent="0.25">
      <c r="A231" s="26"/>
      <c r="B231" s="151"/>
      <c r="C231" s="151"/>
      <c r="D231" s="151"/>
      <c r="E231" s="151"/>
      <c r="F231" s="151"/>
      <c r="G231" s="151"/>
      <c r="H231" s="151"/>
      <c r="I231" s="152"/>
      <c r="J231" s="151" t="s">
        <v>280</v>
      </c>
      <c r="K231" s="27"/>
      <c r="L231" s="31"/>
      <c r="M231" s="515" t="s">
        <v>281</v>
      </c>
      <c r="N231" s="516"/>
      <c r="O231" s="34"/>
      <c r="P231" s="28"/>
      <c r="Q231" s="28">
        <v>15750000</v>
      </c>
      <c r="R231" s="29">
        <f t="shared" si="149"/>
        <v>11.993146773272416</v>
      </c>
      <c r="S231" s="29">
        <v>100</v>
      </c>
      <c r="T231" s="28">
        <f t="shared" si="127"/>
        <v>0</v>
      </c>
      <c r="U231" s="28">
        <f t="shared" si="150"/>
        <v>0</v>
      </c>
      <c r="V231" s="87">
        <f t="shared" si="147"/>
        <v>100</v>
      </c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>
        <v>0</v>
      </c>
      <c r="AJ231" s="29">
        <f t="shared" si="129"/>
        <v>0</v>
      </c>
      <c r="AK231" s="136">
        <f t="shared" si="123"/>
        <v>15750000</v>
      </c>
      <c r="AL231" s="29">
        <f t="shared" si="130"/>
        <v>100</v>
      </c>
      <c r="AM231" s="26"/>
    </row>
    <row r="232" spans="1:39" ht="24.75" customHeight="1" x14ac:dyDescent="0.25">
      <c r="A232" s="26"/>
      <c r="B232" s="151"/>
      <c r="C232" s="151"/>
      <c r="D232" s="151"/>
      <c r="E232" s="151"/>
      <c r="F232" s="151"/>
      <c r="G232" s="151"/>
      <c r="H232" s="151"/>
      <c r="I232" s="152"/>
      <c r="J232" s="171" t="s">
        <v>284</v>
      </c>
      <c r="K232" s="27"/>
      <c r="L232" s="31"/>
      <c r="M232" s="515" t="s">
        <v>585</v>
      </c>
      <c r="N232" s="516"/>
      <c r="O232" s="34"/>
      <c r="P232" s="28"/>
      <c r="Q232" s="28">
        <v>5000000</v>
      </c>
      <c r="R232" s="29">
        <f t="shared" si="149"/>
        <v>3.8073481819912427</v>
      </c>
      <c r="S232" s="29">
        <v>100</v>
      </c>
      <c r="T232" s="28">
        <f t="shared" si="127"/>
        <v>0</v>
      </c>
      <c r="U232" s="28">
        <f t="shared" si="150"/>
        <v>0</v>
      </c>
      <c r="V232" s="87">
        <f t="shared" si="147"/>
        <v>100</v>
      </c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>
        <v>0</v>
      </c>
      <c r="AJ232" s="29">
        <f t="shared" si="129"/>
        <v>0</v>
      </c>
      <c r="AK232" s="136">
        <f t="shared" si="123"/>
        <v>5000000</v>
      </c>
      <c r="AL232" s="29">
        <f t="shared" si="130"/>
        <v>100</v>
      </c>
      <c r="AM232" s="26"/>
    </row>
    <row r="233" spans="1:39" ht="24.75" customHeight="1" x14ac:dyDescent="0.25">
      <c r="A233" s="26"/>
      <c r="B233" s="171"/>
      <c r="C233" s="171"/>
      <c r="D233" s="171"/>
      <c r="E233" s="171"/>
      <c r="F233" s="171"/>
      <c r="G233" s="171"/>
      <c r="H233" s="171"/>
      <c r="I233" s="172"/>
      <c r="J233" s="171" t="s">
        <v>282</v>
      </c>
      <c r="K233" s="27"/>
      <c r="L233" s="31"/>
      <c r="M233" s="515" t="s">
        <v>503</v>
      </c>
      <c r="N233" s="516"/>
      <c r="O233" s="34"/>
      <c r="P233" s="28"/>
      <c r="Q233" s="28">
        <v>21160000</v>
      </c>
      <c r="R233" s="29">
        <f t="shared" si="149"/>
        <v>16.11269750618694</v>
      </c>
      <c r="S233" s="29">
        <v>100</v>
      </c>
      <c r="T233" s="28">
        <f t="shared" si="127"/>
        <v>0</v>
      </c>
      <c r="U233" s="28">
        <f t="shared" si="150"/>
        <v>0</v>
      </c>
      <c r="V233" s="87">
        <f t="shared" si="147"/>
        <v>100</v>
      </c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>
        <v>0</v>
      </c>
      <c r="AJ233" s="29">
        <f t="shared" si="129"/>
        <v>0</v>
      </c>
      <c r="AK233" s="136">
        <f t="shared" si="123"/>
        <v>21160000</v>
      </c>
      <c r="AL233" s="29">
        <f t="shared" si="130"/>
        <v>100</v>
      </c>
      <c r="AM233" s="26"/>
    </row>
    <row r="234" spans="1:39" ht="24.75" customHeight="1" x14ac:dyDescent="0.25">
      <c r="A234" s="26"/>
      <c r="B234" s="171"/>
      <c r="C234" s="171"/>
      <c r="D234" s="171"/>
      <c r="E234" s="171"/>
      <c r="F234" s="171"/>
      <c r="G234" s="171"/>
      <c r="H234" s="171"/>
      <c r="I234" s="172"/>
      <c r="J234" s="171" t="s">
        <v>320</v>
      </c>
      <c r="K234" s="27"/>
      <c r="L234" s="31"/>
      <c r="M234" s="515" t="s">
        <v>321</v>
      </c>
      <c r="N234" s="516"/>
      <c r="O234" s="34"/>
      <c r="P234" s="28"/>
      <c r="Q234" s="28">
        <v>10000000</v>
      </c>
      <c r="R234" s="29">
        <f t="shared" si="149"/>
        <v>7.6146963639824854</v>
      </c>
      <c r="S234" s="29">
        <v>100</v>
      </c>
      <c r="T234" s="28">
        <f t="shared" si="127"/>
        <v>0</v>
      </c>
      <c r="U234" s="28">
        <f t="shared" si="150"/>
        <v>0</v>
      </c>
      <c r="V234" s="87">
        <f t="shared" si="147"/>
        <v>100</v>
      </c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>
        <v>0</v>
      </c>
      <c r="AJ234" s="29">
        <f t="shared" si="129"/>
        <v>0</v>
      </c>
      <c r="AK234" s="136">
        <f t="shared" si="123"/>
        <v>10000000</v>
      </c>
      <c r="AL234" s="29">
        <f t="shared" si="130"/>
        <v>100</v>
      </c>
      <c r="AM234" s="26"/>
    </row>
    <row r="235" spans="1:39" ht="24.75" customHeight="1" x14ac:dyDescent="0.25">
      <c r="A235" s="26"/>
      <c r="B235" s="171"/>
      <c r="C235" s="171"/>
      <c r="D235" s="171"/>
      <c r="E235" s="171"/>
      <c r="F235" s="171"/>
      <c r="G235" s="171"/>
      <c r="H235" s="171"/>
      <c r="I235" s="172"/>
      <c r="J235" s="171" t="s">
        <v>407</v>
      </c>
      <c r="K235" s="27"/>
      <c r="L235" s="31"/>
      <c r="M235" s="515" t="s">
        <v>595</v>
      </c>
      <c r="N235" s="516"/>
      <c r="O235" s="34"/>
      <c r="P235" s="28"/>
      <c r="Q235" s="28">
        <v>4650000</v>
      </c>
      <c r="R235" s="29">
        <f t="shared" si="149"/>
        <v>3.5408338092518559</v>
      </c>
      <c r="S235" s="29">
        <v>100</v>
      </c>
      <c r="T235" s="28">
        <f t="shared" si="127"/>
        <v>0</v>
      </c>
      <c r="U235" s="28">
        <f t="shared" si="150"/>
        <v>0</v>
      </c>
      <c r="V235" s="87">
        <f t="shared" si="147"/>
        <v>100</v>
      </c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>
        <v>0</v>
      </c>
      <c r="AJ235" s="29">
        <f t="shared" si="129"/>
        <v>0</v>
      </c>
      <c r="AK235" s="136">
        <f t="shared" si="123"/>
        <v>4650000</v>
      </c>
      <c r="AL235" s="29">
        <f t="shared" si="130"/>
        <v>100</v>
      </c>
      <c r="AM235" s="26"/>
    </row>
    <row r="236" spans="1:39" s="41" customFormat="1" ht="24.75" customHeight="1" x14ac:dyDescent="0.25">
      <c r="A236" s="21">
        <f>A225+1</f>
        <v>31</v>
      </c>
      <c r="B236" s="590" t="s">
        <v>144</v>
      </c>
      <c r="C236" s="543"/>
      <c r="D236" s="543"/>
      <c r="E236" s="543"/>
      <c r="F236" s="543"/>
      <c r="G236" s="543"/>
      <c r="H236" s="543"/>
      <c r="I236" s="544"/>
      <c r="J236" s="122" t="s">
        <v>596</v>
      </c>
      <c r="K236" s="22"/>
      <c r="L236" s="72"/>
      <c r="M236" s="545" t="s">
        <v>597</v>
      </c>
      <c r="N236" s="546"/>
      <c r="O236" s="73">
        <v>85915000</v>
      </c>
      <c r="P236" s="23">
        <f>O236</f>
        <v>85915000</v>
      </c>
      <c r="Q236" s="23">
        <f>SUM(Q237:Q242)</f>
        <v>48040000</v>
      </c>
      <c r="R236" s="24">
        <f>Q236/Q$175*100</f>
        <v>3.6670120209837025</v>
      </c>
      <c r="S236" s="24">
        <v>100</v>
      </c>
      <c r="T236" s="23">
        <f>AJ236</f>
        <v>0</v>
      </c>
      <c r="U236" s="23">
        <f>R236*T236/100</f>
        <v>0</v>
      </c>
      <c r="V236" s="90">
        <f t="shared" ref="V236:V241" si="158">S236-T236</f>
        <v>100</v>
      </c>
      <c r="W236" s="23"/>
      <c r="X236" s="23" t="e">
        <f>#REF!</f>
        <v>#REF!</v>
      </c>
      <c r="Y236" s="23" t="e">
        <f>#REF!</f>
        <v>#REF!</v>
      </c>
      <c r="Z236" s="23" t="e">
        <f>#REF!</f>
        <v>#REF!</v>
      </c>
      <c r="AA236" s="23" t="e">
        <f>#REF!</f>
        <v>#REF!</v>
      </c>
      <c r="AB236" s="23">
        <v>0</v>
      </c>
      <c r="AC236" s="23" t="e">
        <f>#REF!</f>
        <v>#REF!</v>
      </c>
      <c r="AD236" s="23" t="e">
        <f>#REF!</f>
        <v>#REF!</v>
      </c>
      <c r="AE236" s="23" t="e">
        <f>#REF!</f>
        <v>#REF!</v>
      </c>
      <c r="AF236" s="23" t="e">
        <f>[1]April!N63</f>
        <v>#REF!</v>
      </c>
      <c r="AG236" s="23" t="e">
        <f>[2]april!N63</f>
        <v>#REF!</v>
      </c>
      <c r="AH236" s="23">
        <f>'[3]DES SKPD'!$N63</f>
        <v>174573000</v>
      </c>
      <c r="AI236" s="23">
        <f>SUM(AI237:AI242)</f>
        <v>0</v>
      </c>
      <c r="AJ236" s="24">
        <f>AI236/Q236*100</f>
        <v>0</v>
      </c>
      <c r="AK236" s="134">
        <f t="shared" ref="AK236:AK241" si="159">Q236-AI236</f>
        <v>48040000</v>
      </c>
      <c r="AL236" s="24">
        <f t="shared" ref="AL236:AL241" si="160">AK236/Q236*100</f>
        <v>100</v>
      </c>
      <c r="AM236" s="21"/>
    </row>
    <row r="237" spans="1:39" ht="24.75" customHeight="1" x14ac:dyDescent="0.25">
      <c r="A237" s="26"/>
      <c r="B237" s="171"/>
      <c r="C237" s="171"/>
      <c r="D237" s="171"/>
      <c r="E237" s="171"/>
      <c r="F237" s="171"/>
      <c r="G237" s="171"/>
      <c r="H237" s="171"/>
      <c r="I237" s="172"/>
      <c r="J237" s="171" t="s">
        <v>273</v>
      </c>
      <c r="K237" s="27"/>
      <c r="L237" s="31"/>
      <c r="M237" s="515" t="s">
        <v>322</v>
      </c>
      <c r="N237" s="516"/>
      <c r="O237" s="34"/>
      <c r="P237" s="28"/>
      <c r="Q237" s="28">
        <v>12400000</v>
      </c>
      <c r="R237" s="29">
        <f t="shared" ref="R237:R242" si="161">Q237/Q$225*100</f>
        <v>9.4422234913382841</v>
      </c>
      <c r="S237" s="29">
        <v>100</v>
      </c>
      <c r="T237" s="28">
        <f t="shared" ref="T237:T241" si="162">AJ237</f>
        <v>0</v>
      </c>
      <c r="U237" s="28">
        <f t="shared" ref="U237:U241" si="163">R237*T237/100</f>
        <v>0</v>
      </c>
      <c r="V237" s="87">
        <f t="shared" si="158"/>
        <v>100</v>
      </c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>
        <v>0</v>
      </c>
      <c r="AJ237" s="29">
        <f t="shared" ref="AJ237:AJ241" si="164">AI237/Q237*100</f>
        <v>0</v>
      </c>
      <c r="AK237" s="136">
        <f t="shared" si="159"/>
        <v>12400000</v>
      </c>
      <c r="AL237" s="29">
        <f t="shared" si="160"/>
        <v>100</v>
      </c>
      <c r="AM237" s="26"/>
    </row>
    <row r="238" spans="1:39" ht="24.75" customHeight="1" x14ac:dyDescent="0.25">
      <c r="A238" s="26"/>
      <c r="B238" s="171"/>
      <c r="C238" s="171"/>
      <c r="D238" s="171"/>
      <c r="E238" s="171"/>
      <c r="F238" s="171"/>
      <c r="G238" s="171"/>
      <c r="H238" s="171"/>
      <c r="I238" s="172"/>
      <c r="J238" s="171" t="s">
        <v>315</v>
      </c>
      <c r="K238" s="27"/>
      <c r="L238" s="31"/>
      <c r="M238" s="515" t="s">
        <v>599</v>
      </c>
      <c r="N238" s="516"/>
      <c r="O238" s="34"/>
      <c r="P238" s="28"/>
      <c r="Q238" s="28">
        <v>1000000</v>
      </c>
      <c r="R238" s="29">
        <f t="shared" si="161"/>
        <v>0.76146963639824861</v>
      </c>
      <c r="S238" s="29">
        <v>100</v>
      </c>
      <c r="T238" s="28">
        <f t="shared" si="162"/>
        <v>0</v>
      </c>
      <c r="U238" s="28">
        <f t="shared" si="163"/>
        <v>0</v>
      </c>
      <c r="V238" s="87">
        <f t="shared" si="158"/>
        <v>100</v>
      </c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>
        <v>0</v>
      </c>
      <c r="AJ238" s="29">
        <f t="shared" si="164"/>
        <v>0</v>
      </c>
      <c r="AK238" s="136">
        <f t="shared" si="159"/>
        <v>1000000</v>
      </c>
      <c r="AL238" s="29">
        <f t="shared" si="160"/>
        <v>100</v>
      </c>
      <c r="AM238" s="26"/>
    </row>
    <row r="239" spans="1:39" ht="24.75" customHeight="1" x14ac:dyDescent="0.25">
      <c r="A239" s="26"/>
      <c r="B239" s="171"/>
      <c r="C239" s="171"/>
      <c r="D239" s="171"/>
      <c r="E239" s="171"/>
      <c r="F239" s="171"/>
      <c r="G239" s="171"/>
      <c r="H239" s="171"/>
      <c r="I239" s="172"/>
      <c r="J239" s="171" t="s">
        <v>318</v>
      </c>
      <c r="K239" s="27"/>
      <c r="L239" s="31"/>
      <c r="M239" s="515" t="s">
        <v>319</v>
      </c>
      <c r="N239" s="516"/>
      <c r="O239" s="34"/>
      <c r="P239" s="28"/>
      <c r="Q239" s="28">
        <v>14000000</v>
      </c>
      <c r="R239" s="29">
        <f t="shared" si="161"/>
        <v>10.66057490957548</v>
      </c>
      <c r="S239" s="29">
        <v>100</v>
      </c>
      <c r="T239" s="28">
        <f t="shared" si="162"/>
        <v>0</v>
      </c>
      <c r="U239" s="28">
        <f>R239*T239/100</f>
        <v>0</v>
      </c>
      <c r="V239" s="87">
        <f t="shared" si="158"/>
        <v>100</v>
      </c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>
        <v>0</v>
      </c>
      <c r="AJ239" s="29">
        <f t="shared" si="164"/>
        <v>0</v>
      </c>
      <c r="AK239" s="136">
        <f t="shared" si="159"/>
        <v>14000000</v>
      </c>
      <c r="AL239" s="29">
        <f t="shared" si="160"/>
        <v>100</v>
      </c>
      <c r="AM239" s="26"/>
    </row>
    <row r="240" spans="1:39" ht="24.75" customHeight="1" x14ac:dyDescent="0.25">
      <c r="A240" s="26"/>
      <c r="B240" s="171"/>
      <c r="C240" s="171"/>
      <c r="D240" s="171"/>
      <c r="E240" s="171"/>
      <c r="F240" s="171"/>
      <c r="G240" s="171"/>
      <c r="H240" s="171"/>
      <c r="I240" s="172"/>
      <c r="J240" s="171" t="s">
        <v>537</v>
      </c>
      <c r="K240" s="27"/>
      <c r="L240" s="31"/>
      <c r="M240" s="515" t="s">
        <v>600</v>
      </c>
      <c r="N240" s="516"/>
      <c r="O240" s="34"/>
      <c r="P240" s="28"/>
      <c r="Q240" s="28">
        <v>2640000</v>
      </c>
      <c r="R240" s="29">
        <f t="shared" si="161"/>
        <v>2.0102798400913762</v>
      </c>
      <c r="S240" s="29">
        <v>100</v>
      </c>
      <c r="T240" s="28">
        <f t="shared" si="162"/>
        <v>0</v>
      </c>
      <c r="U240" s="28">
        <f t="shared" si="163"/>
        <v>0</v>
      </c>
      <c r="V240" s="87">
        <f t="shared" si="158"/>
        <v>100</v>
      </c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>
        <v>0</v>
      </c>
      <c r="AJ240" s="29">
        <f t="shared" si="164"/>
        <v>0</v>
      </c>
      <c r="AK240" s="136">
        <f t="shared" si="159"/>
        <v>2640000</v>
      </c>
      <c r="AL240" s="29">
        <f t="shared" si="160"/>
        <v>100</v>
      </c>
      <c r="AM240" s="26"/>
    </row>
    <row r="241" spans="1:39" ht="24.75" customHeight="1" x14ac:dyDescent="0.25">
      <c r="A241" s="26"/>
      <c r="B241" s="171"/>
      <c r="C241" s="171"/>
      <c r="D241" s="171"/>
      <c r="E241" s="171"/>
      <c r="F241" s="171"/>
      <c r="G241" s="171"/>
      <c r="H241" s="171"/>
      <c r="I241" s="172"/>
      <c r="J241" s="171" t="s">
        <v>320</v>
      </c>
      <c r="K241" s="27"/>
      <c r="L241" s="31"/>
      <c r="M241" s="515" t="s">
        <v>321</v>
      </c>
      <c r="N241" s="516"/>
      <c r="O241" s="34"/>
      <c r="P241" s="28"/>
      <c r="Q241" s="28">
        <v>6000000</v>
      </c>
      <c r="R241" s="29">
        <f t="shared" si="161"/>
        <v>4.5688178183894914</v>
      </c>
      <c r="S241" s="29">
        <v>100</v>
      </c>
      <c r="T241" s="28">
        <f t="shared" si="162"/>
        <v>0</v>
      </c>
      <c r="U241" s="28">
        <f t="shared" si="163"/>
        <v>0</v>
      </c>
      <c r="V241" s="87">
        <f t="shared" si="158"/>
        <v>100</v>
      </c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>
        <v>0</v>
      </c>
      <c r="AJ241" s="29">
        <f t="shared" si="164"/>
        <v>0</v>
      </c>
      <c r="AK241" s="136">
        <f t="shared" si="159"/>
        <v>6000000</v>
      </c>
      <c r="AL241" s="29">
        <f t="shared" si="160"/>
        <v>100</v>
      </c>
      <c r="AM241" s="26"/>
    </row>
    <row r="242" spans="1:39" ht="24.75" customHeight="1" x14ac:dyDescent="0.25">
      <c r="A242" s="26"/>
      <c r="B242" s="171"/>
      <c r="C242" s="171"/>
      <c r="D242" s="171"/>
      <c r="E242" s="171"/>
      <c r="F242" s="171"/>
      <c r="G242" s="171"/>
      <c r="H242" s="171"/>
      <c r="I242" s="172"/>
      <c r="J242" s="171" t="s">
        <v>598</v>
      </c>
      <c r="K242" s="27"/>
      <c r="L242" s="31"/>
      <c r="M242" s="551" t="s">
        <v>550</v>
      </c>
      <c r="N242" s="552"/>
      <c r="O242" s="34"/>
      <c r="P242" s="28"/>
      <c r="Q242" s="28">
        <v>12000000</v>
      </c>
      <c r="R242" s="29">
        <f t="shared" si="161"/>
        <v>9.1376356367789828</v>
      </c>
      <c r="S242" s="29">
        <v>100</v>
      </c>
      <c r="T242" s="28">
        <f t="shared" ref="T242" si="165">AJ242</f>
        <v>0</v>
      </c>
      <c r="U242" s="28">
        <f t="shared" ref="U242" si="166">R242*T242/100</f>
        <v>0</v>
      </c>
      <c r="V242" s="87">
        <f t="shared" ref="V242" si="167">S242-T242</f>
        <v>100</v>
      </c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>
        <v>0</v>
      </c>
      <c r="AJ242" s="29">
        <f t="shared" ref="AJ242" si="168">AI242/Q242*100</f>
        <v>0</v>
      </c>
      <c r="AK242" s="136">
        <f t="shared" ref="AK242" si="169">Q242-AI242</f>
        <v>12000000</v>
      </c>
      <c r="AL242" s="29">
        <f t="shared" ref="AL242" si="170">AK242/Q242*100</f>
        <v>100</v>
      </c>
      <c r="AM242" s="26"/>
    </row>
    <row r="243" spans="1:39" s="36" customFormat="1" ht="27.75" customHeight="1" x14ac:dyDescent="0.25">
      <c r="A243" s="51" t="s">
        <v>38</v>
      </c>
      <c r="B243" s="547" t="s">
        <v>145</v>
      </c>
      <c r="C243" s="547"/>
      <c r="D243" s="547"/>
      <c r="E243" s="547"/>
      <c r="F243" s="547"/>
      <c r="G243" s="547"/>
      <c r="H243" s="547"/>
      <c r="I243" s="548"/>
      <c r="J243" s="163" t="s">
        <v>473</v>
      </c>
      <c r="K243" s="52"/>
      <c r="L243" s="549" t="s">
        <v>39</v>
      </c>
      <c r="M243" s="549"/>
      <c r="N243" s="550"/>
      <c r="O243" s="55" t="e">
        <f>SUM(O244:O658)</f>
        <v>#REF!</v>
      </c>
      <c r="P243" s="55" t="e">
        <f>SUM(P244:P658)</f>
        <v>#REF!</v>
      </c>
      <c r="Q243" s="55" t="e">
        <f>SUM(Q244+Q259+#REF!+Q270+Q282+Q292+Q304+Q312+Q320+Q327+Q334+Q345+Q351+Q359+Q372+Q382+Q395+Q403+Q417+Q420+Q431+Q442+Q452+Q460+Q470+Q477+#REF!+Q484+Q489+Q498+Q505+Q517+Q524+Q536+Q547+Q556+Q566+Q579+Q587+Q601+Q611+Q620+Q630+Q637+Q651)</f>
        <v>#REF!</v>
      </c>
      <c r="R243" s="57" t="e">
        <f>Q243/Q$33*100</f>
        <v>#REF!</v>
      </c>
      <c r="S243" s="57">
        <f>S244</f>
        <v>100</v>
      </c>
      <c r="T243" s="55" t="e">
        <f t="shared" si="127"/>
        <v>#REF!</v>
      </c>
      <c r="U243" s="127" t="e">
        <f t="shared" si="150"/>
        <v>#REF!</v>
      </c>
      <c r="V243" s="117" t="e">
        <f t="shared" si="147"/>
        <v>#REF!</v>
      </c>
      <c r="W243" s="55">
        <f t="shared" ref="W243:AH243" si="171">SUM(W244:W658)</f>
        <v>0</v>
      </c>
      <c r="X243" s="55" t="e">
        <f t="shared" si="171"/>
        <v>#REF!</v>
      </c>
      <c r="Y243" s="55" t="e">
        <f t="shared" si="171"/>
        <v>#REF!</v>
      </c>
      <c r="Z243" s="55" t="e">
        <f t="shared" si="171"/>
        <v>#REF!</v>
      </c>
      <c r="AA243" s="55" t="e">
        <f t="shared" si="171"/>
        <v>#REF!</v>
      </c>
      <c r="AB243" s="55">
        <f t="shared" si="171"/>
        <v>4302660235</v>
      </c>
      <c r="AC243" s="55" t="e">
        <f t="shared" si="171"/>
        <v>#REF!</v>
      </c>
      <c r="AD243" s="55" t="e">
        <f t="shared" si="171"/>
        <v>#REF!</v>
      </c>
      <c r="AE243" s="55" t="e">
        <f t="shared" si="171"/>
        <v>#REF!</v>
      </c>
      <c r="AF243" s="55" t="e">
        <f t="shared" si="171"/>
        <v>#REF!</v>
      </c>
      <c r="AG243" s="55" t="e">
        <f t="shared" si="171"/>
        <v>#REF!</v>
      </c>
      <c r="AH243" s="55" t="e">
        <f t="shared" si="171"/>
        <v>#REF!</v>
      </c>
      <c r="AI243" s="55" t="e">
        <f>SUM(AI244+AI259+#REF!+AI270+AI282+AI292+AI304+AI312+AI320+AI327+AI334+AI345+AI351+AI359+AI372+AI382+AI395+AI403+AI417+AI420+AI431+AI442+AI452+AI460+AI470+AI477+#REF!+AI484+AI489+AI498+AI505+AI517+AI524+AI536+AI547+AI556+AI566+AI579+AI587+AI601+AI611+AI620+AI630+AI637+AI651)</f>
        <v>#REF!</v>
      </c>
      <c r="AJ243" s="57" t="e">
        <f t="shared" si="129"/>
        <v>#REF!</v>
      </c>
      <c r="AK243" s="137" t="e">
        <f>SUM(Q243-AI243)</f>
        <v>#REF!</v>
      </c>
      <c r="AL243" s="57" t="e">
        <f t="shared" si="130"/>
        <v>#REF!</v>
      </c>
      <c r="AM243" s="51"/>
    </row>
    <row r="244" spans="1:39" s="41" customFormat="1" ht="24.75" customHeight="1" x14ac:dyDescent="0.25">
      <c r="A244" s="21">
        <f>A236+1</f>
        <v>32</v>
      </c>
      <c r="B244" s="543" t="s">
        <v>146</v>
      </c>
      <c r="C244" s="543"/>
      <c r="D244" s="543"/>
      <c r="E244" s="543"/>
      <c r="F244" s="543"/>
      <c r="G244" s="543"/>
      <c r="H244" s="543"/>
      <c r="I244" s="544"/>
      <c r="J244" s="122" t="s">
        <v>479</v>
      </c>
      <c r="K244" s="22"/>
      <c r="L244" s="72"/>
      <c r="M244" s="565" t="s">
        <v>40</v>
      </c>
      <c r="N244" s="565"/>
      <c r="O244" s="76">
        <v>628725000</v>
      </c>
      <c r="P244" s="23">
        <f>O244</f>
        <v>628725000</v>
      </c>
      <c r="Q244" s="23">
        <f>SUM(Q245:Q258)</f>
        <v>462073720</v>
      </c>
      <c r="R244" s="24" t="e">
        <f>Q244/Q$243*100</f>
        <v>#REF!</v>
      </c>
      <c r="S244" s="24">
        <v>100</v>
      </c>
      <c r="T244" s="23">
        <f t="shared" si="127"/>
        <v>0</v>
      </c>
      <c r="U244" s="23" t="e">
        <f t="shared" si="150"/>
        <v>#REF!</v>
      </c>
      <c r="V244" s="90">
        <f t="shared" si="147"/>
        <v>100</v>
      </c>
      <c r="W244" s="23"/>
      <c r="X244" s="23" t="e">
        <f>#REF!</f>
        <v>#REF!</v>
      </c>
      <c r="Y244" s="23" t="e">
        <f>#REF!</f>
        <v>#REF!</v>
      </c>
      <c r="Z244" s="23" t="e">
        <f>#REF!</f>
        <v>#REF!</v>
      </c>
      <c r="AA244" s="23" t="e">
        <f>#REF!</f>
        <v>#REF!</v>
      </c>
      <c r="AB244" s="23">
        <v>391775000</v>
      </c>
      <c r="AC244" s="23" t="e">
        <f>#REF!</f>
        <v>#REF!</v>
      </c>
      <c r="AD244" s="23" t="e">
        <f>#REF!</f>
        <v>#REF!</v>
      </c>
      <c r="AE244" s="23" t="e">
        <f>#REF!</f>
        <v>#REF!</v>
      </c>
      <c r="AF244" s="23" t="e">
        <f>[1]April!N54</f>
        <v>#REF!</v>
      </c>
      <c r="AG244" s="23" t="e">
        <f>[2]april!N54</f>
        <v>#REF!</v>
      </c>
      <c r="AH244" s="23">
        <f>'[3]DES SKPD'!$N54</f>
        <v>508172500</v>
      </c>
      <c r="AI244" s="23">
        <f>SUM(AI245:AI257)</f>
        <v>0</v>
      </c>
      <c r="AJ244" s="24">
        <f t="shared" si="129"/>
        <v>0</v>
      </c>
      <c r="AK244" s="134">
        <f t="shared" ref="AK244:AK298" si="172">Q244-AI244</f>
        <v>462073720</v>
      </c>
      <c r="AL244" s="24">
        <f t="shared" si="130"/>
        <v>100</v>
      </c>
      <c r="AM244" s="21"/>
    </row>
    <row r="245" spans="1:39" ht="28.5" customHeight="1" x14ac:dyDescent="0.25">
      <c r="A245" s="26"/>
      <c r="B245" s="151"/>
      <c r="C245" s="151"/>
      <c r="D245" s="151"/>
      <c r="E245" s="151"/>
      <c r="F245" s="151"/>
      <c r="G245" s="151"/>
      <c r="H245" s="151"/>
      <c r="I245" s="152"/>
      <c r="J245" s="151" t="s">
        <v>259</v>
      </c>
      <c r="K245" s="27"/>
      <c r="L245" s="31"/>
      <c r="M245" s="559" t="s">
        <v>260</v>
      </c>
      <c r="N245" s="560"/>
      <c r="O245" s="35"/>
      <c r="P245" s="28"/>
      <c r="Q245" s="28">
        <v>3080000</v>
      </c>
      <c r="R245" s="29">
        <f t="shared" ref="R245:R256" si="173">Q245/Q$244*100</f>
        <v>0.66656030557202006</v>
      </c>
      <c r="S245" s="29">
        <v>100</v>
      </c>
      <c r="T245" s="28">
        <f>AJ245</f>
        <v>0</v>
      </c>
      <c r="U245" s="28">
        <f t="shared" si="150"/>
        <v>0</v>
      </c>
      <c r="V245" s="87">
        <f t="shared" si="147"/>
        <v>100</v>
      </c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>
        <v>0</v>
      </c>
      <c r="AJ245" s="29">
        <f t="shared" si="129"/>
        <v>0</v>
      </c>
      <c r="AK245" s="136">
        <f t="shared" si="172"/>
        <v>3080000</v>
      </c>
      <c r="AL245" s="29">
        <f t="shared" si="130"/>
        <v>100</v>
      </c>
      <c r="AM245" s="26"/>
    </row>
    <row r="246" spans="1:39" ht="24.75" customHeight="1" x14ac:dyDescent="0.25">
      <c r="A246" s="26"/>
      <c r="B246" s="151"/>
      <c r="C246" s="151"/>
      <c r="D246" s="151"/>
      <c r="E246" s="151"/>
      <c r="F246" s="151"/>
      <c r="G246" s="151"/>
      <c r="H246" s="151"/>
      <c r="I246" s="152"/>
      <c r="J246" s="151" t="s">
        <v>326</v>
      </c>
      <c r="K246" s="27"/>
      <c r="L246" s="31"/>
      <c r="M246" s="559" t="s">
        <v>327</v>
      </c>
      <c r="N246" s="560"/>
      <c r="O246" s="35"/>
      <c r="P246" s="28"/>
      <c r="Q246" s="28">
        <v>128800000</v>
      </c>
      <c r="R246" s="29">
        <f t="shared" si="173"/>
        <v>27.874340051193563</v>
      </c>
      <c r="S246" s="29">
        <v>100</v>
      </c>
      <c r="T246" s="28">
        <f t="shared" si="127"/>
        <v>0</v>
      </c>
      <c r="U246" s="28">
        <f t="shared" si="150"/>
        <v>0</v>
      </c>
      <c r="V246" s="87">
        <f t="shared" si="147"/>
        <v>100</v>
      </c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>
        <v>0</v>
      </c>
      <c r="AJ246" s="29">
        <f t="shared" si="129"/>
        <v>0</v>
      </c>
      <c r="AK246" s="136">
        <f t="shared" si="172"/>
        <v>128800000</v>
      </c>
      <c r="AL246" s="29">
        <f t="shared" si="130"/>
        <v>100</v>
      </c>
      <c r="AM246" s="26"/>
    </row>
    <row r="247" spans="1:39" ht="24.75" customHeight="1" x14ac:dyDescent="0.25">
      <c r="A247" s="26"/>
      <c r="B247" s="151"/>
      <c r="C247" s="151"/>
      <c r="D247" s="151"/>
      <c r="E247" s="151"/>
      <c r="F247" s="151"/>
      <c r="G247" s="151"/>
      <c r="H247" s="151"/>
      <c r="I247" s="152"/>
      <c r="J247" s="151" t="s">
        <v>323</v>
      </c>
      <c r="K247" s="27"/>
      <c r="L247" s="31"/>
      <c r="M247" s="559" t="s">
        <v>324</v>
      </c>
      <c r="N247" s="560"/>
      <c r="O247" s="35"/>
      <c r="P247" s="28"/>
      <c r="Q247" s="28">
        <v>3000000</v>
      </c>
      <c r="R247" s="29">
        <f t="shared" si="173"/>
        <v>0.64924705088183765</v>
      </c>
      <c r="S247" s="29">
        <v>100</v>
      </c>
      <c r="T247" s="28">
        <f t="shared" si="127"/>
        <v>0</v>
      </c>
      <c r="U247" s="28">
        <f t="shared" si="150"/>
        <v>0</v>
      </c>
      <c r="V247" s="87">
        <f t="shared" si="147"/>
        <v>100</v>
      </c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>
        <v>0</v>
      </c>
      <c r="AJ247" s="29">
        <f t="shared" si="129"/>
        <v>0</v>
      </c>
      <c r="AK247" s="136">
        <f t="shared" si="172"/>
        <v>3000000</v>
      </c>
      <c r="AL247" s="29">
        <f t="shared" si="130"/>
        <v>100</v>
      </c>
      <c r="AM247" s="26"/>
    </row>
    <row r="248" spans="1:39" ht="24.75" customHeight="1" x14ac:dyDescent="0.25">
      <c r="A248" s="26"/>
      <c r="B248" s="151"/>
      <c r="C248" s="151"/>
      <c r="D248" s="151"/>
      <c r="E248" s="151"/>
      <c r="F248" s="151"/>
      <c r="G248" s="151"/>
      <c r="H248" s="151"/>
      <c r="I248" s="152"/>
      <c r="J248" s="151" t="s">
        <v>269</v>
      </c>
      <c r="K248" s="27"/>
      <c r="L248" s="31"/>
      <c r="M248" s="559" t="s">
        <v>270</v>
      </c>
      <c r="N248" s="560"/>
      <c r="O248" s="35"/>
      <c r="P248" s="28"/>
      <c r="Q248" s="28">
        <v>52000000</v>
      </c>
      <c r="R248" s="29">
        <f t="shared" si="173"/>
        <v>11.253615548618519</v>
      </c>
      <c r="S248" s="29">
        <v>100</v>
      </c>
      <c r="T248" s="28">
        <f t="shared" si="127"/>
        <v>0</v>
      </c>
      <c r="U248" s="28">
        <f t="shared" si="150"/>
        <v>0</v>
      </c>
      <c r="V248" s="87">
        <f t="shared" si="147"/>
        <v>100</v>
      </c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>
        <v>0</v>
      </c>
      <c r="AJ248" s="29">
        <f t="shared" si="129"/>
        <v>0</v>
      </c>
      <c r="AK248" s="136">
        <f t="shared" si="172"/>
        <v>52000000</v>
      </c>
      <c r="AL248" s="29">
        <f t="shared" si="130"/>
        <v>100</v>
      </c>
      <c r="AM248" s="26"/>
    </row>
    <row r="249" spans="1:39" ht="24.75" customHeight="1" x14ac:dyDescent="0.25">
      <c r="A249" s="26"/>
      <c r="B249" s="151"/>
      <c r="C249" s="151"/>
      <c r="D249" s="151"/>
      <c r="E249" s="151"/>
      <c r="F249" s="151"/>
      <c r="G249" s="151"/>
      <c r="H249" s="151"/>
      <c r="I249" s="152"/>
      <c r="J249" s="151" t="s">
        <v>315</v>
      </c>
      <c r="K249" s="27"/>
      <c r="L249" s="31"/>
      <c r="M249" s="559" t="s">
        <v>271</v>
      </c>
      <c r="N249" s="560"/>
      <c r="O249" s="35"/>
      <c r="P249" s="28"/>
      <c r="Q249" s="28">
        <v>4000000</v>
      </c>
      <c r="R249" s="29">
        <f t="shared" si="173"/>
        <v>0.8656627345091169</v>
      </c>
      <c r="S249" s="29">
        <v>100</v>
      </c>
      <c r="T249" s="28">
        <f t="shared" si="127"/>
        <v>0</v>
      </c>
      <c r="U249" s="28">
        <f t="shared" si="150"/>
        <v>0</v>
      </c>
      <c r="V249" s="87">
        <f t="shared" si="147"/>
        <v>100</v>
      </c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>
        <v>0</v>
      </c>
      <c r="AJ249" s="29">
        <f t="shared" si="129"/>
        <v>0</v>
      </c>
      <c r="AK249" s="136">
        <f t="shared" si="172"/>
        <v>4000000</v>
      </c>
      <c r="AL249" s="29">
        <f t="shared" si="130"/>
        <v>100</v>
      </c>
      <c r="AM249" s="26"/>
    </row>
    <row r="250" spans="1:39" ht="24.75" customHeight="1" x14ac:dyDescent="0.25">
      <c r="A250" s="26"/>
      <c r="B250" s="151"/>
      <c r="C250" s="151"/>
      <c r="D250" s="151"/>
      <c r="E250" s="151"/>
      <c r="F250" s="151"/>
      <c r="G250" s="151"/>
      <c r="H250" s="151"/>
      <c r="I250" s="152"/>
      <c r="J250" s="151" t="s">
        <v>328</v>
      </c>
      <c r="K250" s="27"/>
      <c r="L250" s="31"/>
      <c r="M250" s="559" t="s">
        <v>329</v>
      </c>
      <c r="N250" s="560"/>
      <c r="O250" s="35"/>
      <c r="P250" s="28"/>
      <c r="Q250" s="28">
        <v>20000000</v>
      </c>
      <c r="R250" s="29">
        <f t="shared" si="173"/>
        <v>4.3283136725455842</v>
      </c>
      <c r="S250" s="29">
        <v>100</v>
      </c>
      <c r="T250" s="28">
        <f t="shared" si="127"/>
        <v>0</v>
      </c>
      <c r="U250" s="28">
        <f t="shared" si="150"/>
        <v>0</v>
      </c>
      <c r="V250" s="87">
        <f t="shared" si="147"/>
        <v>100</v>
      </c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>
        <v>0</v>
      </c>
      <c r="AJ250" s="29">
        <f t="shared" si="129"/>
        <v>0</v>
      </c>
      <c r="AK250" s="136">
        <f t="shared" si="172"/>
        <v>20000000</v>
      </c>
      <c r="AL250" s="29">
        <f t="shared" si="130"/>
        <v>100</v>
      </c>
      <c r="AM250" s="26"/>
    </row>
    <row r="251" spans="1:39" ht="31.5" customHeight="1" x14ac:dyDescent="0.25">
      <c r="A251" s="26"/>
      <c r="B251" s="151"/>
      <c r="C251" s="151"/>
      <c r="D251" s="151"/>
      <c r="E251" s="151"/>
      <c r="F251" s="151"/>
      <c r="G251" s="151"/>
      <c r="H251" s="151"/>
      <c r="I251" s="152"/>
      <c r="J251" s="151" t="s">
        <v>318</v>
      </c>
      <c r="K251" s="27"/>
      <c r="L251" s="31"/>
      <c r="M251" s="559" t="s">
        <v>319</v>
      </c>
      <c r="N251" s="560"/>
      <c r="O251" s="35"/>
      <c r="P251" s="28"/>
      <c r="Q251" s="28">
        <v>61500000</v>
      </c>
      <c r="R251" s="29">
        <f t="shared" si="173"/>
        <v>13.30956454307767</v>
      </c>
      <c r="S251" s="29">
        <v>100</v>
      </c>
      <c r="T251" s="28">
        <f t="shared" si="127"/>
        <v>0</v>
      </c>
      <c r="U251" s="28">
        <f t="shared" si="150"/>
        <v>0</v>
      </c>
      <c r="V251" s="87">
        <f t="shared" si="147"/>
        <v>100</v>
      </c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>
        <v>0</v>
      </c>
      <c r="AJ251" s="29">
        <f t="shared" si="129"/>
        <v>0</v>
      </c>
      <c r="AK251" s="136">
        <f t="shared" si="172"/>
        <v>61500000</v>
      </c>
      <c r="AL251" s="29">
        <f t="shared" si="130"/>
        <v>100</v>
      </c>
      <c r="AM251" s="26"/>
    </row>
    <row r="252" spans="1:39" ht="24.75" customHeight="1" x14ac:dyDescent="0.25">
      <c r="A252" s="26"/>
      <c r="B252" s="151"/>
      <c r="C252" s="151"/>
      <c r="D252" s="151"/>
      <c r="E252" s="151"/>
      <c r="F252" s="151"/>
      <c r="G252" s="151"/>
      <c r="H252" s="151"/>
      <c r="I252" s="152"/>
      <c r="J252" s="151" t="s">
        <v>280</v>
      </c>
      <c r="K252" s="27"/>
      <c r="L252" s="31"/>
      <c r="M252" s="559" t="s">
        <v>281</v>
      </c>
      <c r="N252" s="560"/>
      <c r="O252" s="35"/>
      <c r="P252" s="28"/>
      <c r="Q252" s="28">
        <v>15000000</v>
      </c>
      <c r="R252" s="29">
        <f t="shared" si="173"/>
        <v>3.2462352544091884</v>
      </c>
      <c r="S252" s="29">
        <v>100</v>
      </c>
      <c r="T252" s="28">
        <f t="shared" si="127"/>
        <v>0</v>
      </c>
      <c r="U252" s="28">
        <f t="shared" si="150"/>
        <v>0</v>
      </c>
      <c r="V252" s="87">
        <f t="shared" si="147"/>
        <v>100</v>
      </c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>
        <v>0</v>
      </c>
      <c r="AJ252" s="29">
        <f t="shared" si="129"/>
        <v>0</v>
      </c>
      <c r="AK252" s="136">
        <f t="shared" si="172"/>
        <v>15000000</v>
      </c>
      <c r="AL252" s="29">
        <f t="shared" si="130"/>
        <v>100</v>
      </c>
      <c r="AM252" s="26"/>
    </row>
    <row r="253" spans="1:39" ht="24.75" customHeight="1" x14ac:dyDescent="0.25">
      <c r="A253" s="26"/>
      <c r="B253" s="151"/>
      <c r="C253" s="151"/>
      <c r="D253" s="151"/>
      <c r="E253" s="151"/>
      <c r="F253" s="151"/>
      <c r="G253" s="151"/>
      <c r="H253" s="151"/>
      <c r="I253" s="152"/>
      <c r="J253" s="151" t="s">
        <v>284</v>
      </c>
      <c r="K253" s="27"/>
      <c r="L253" s="31"/>
      <c r="M253" s="559" t="s">
        <v>285</v>
      </c>
      <c r="N253" s="560"/>
      <c r="O253" s="35"/>
      <c r="P253" s="28"/>
      <c r="Q253" s="28">
        <v>6600000</v>
      </c>
      <c r="R253" s="29">
        <f t="shared" si="173"/>
        <v>1.4283435119400427</v>
      </c>
      <c r="S253" s="29">
        <v>100</v>
      </c>
      <c r="T253" s="28">
        <f t="shared" si="127"/>
        <v>0</v>
      </c>
      <c r="U253" s="28">
        <f t="shared" si="150"/>
        <v>0</v>
      </c>
      <c r="V253" s="87">
        <f t="shared" si="147"/>
        <v>100</v>
      </c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>
        <v>0</v>
      </c>
      <c r="AJ253" s="29">
        <f t="shared" si="129"/>
        <v>0</v>
      </c>
      <c r="AK253" s="136">
        <f t="shared" si="172"/>
        <v>6600000</v>
      </c>
      <c r="AL253" s="29">
        <f t="shared" si="130"/>
        <v>100</v>
      </c>
      <c r="AM253" s="26"/>
    </row>
    <row r="254" spans="1:39" ht="24.75" customHeight="1" x14ac:dyDescent="0.25">
      <c r="A254" s="26"/>
      <c r="B254" s="151"/>
      <c r="C254" s="151"/>
      <c r="D254" s="151"/>
      <c r="E254" s="151"/>
      <c r="F254" s="151"/>
      <c r="G254" s="151"/>
      <c r="H254" s="151"/>
      <c r="I254" s="152"/>
      <c r="J254" s="151" t="s">
        <v>282</v>
      </c>
      <c r="K254" s="27"/>
      <c r="L254" s="31"/>
      <c r="M254" s="559" t="s">
        <v>283</v>
      </c>
      <c r="N254" s="560"/>
      <c r="O254" s="35"/>
      <c r="P254" s="28"/>
      <c r="Q254" s="28">
        <v>33250000</v>
      </c>
      <c r="R254" s="29">
        <f t="shared" si="173"/>
        <v>7.1958214806070337</v>
      </c>
      <c r="S254" s="29">
        <v>100</v>
      </c>
      <c r="T254" s="28">
        <f t="shared" si="127"/>
        <v>0</v>
      </c>
      <c r="U254" s="28">
        <f t="shared" si="150"/>
        <v>0</v>
      </c>
      <c r="V254" s="87">
        <f t="shared" si="147"/>
        <v>100</v>
      </c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>
        <v>0</v>
      </c>
      <c r="AJ254" s="29">
        <f t="shared" si="129"/>
        <v>0</v>
      </c>
      <c r="AK254" s="136">
        <f t="shared" si="172"/>
        <v>33250000</v>
      </c>
      <c r="AL254" s="29">
        <f t="shared" si="130"/>
        <v>100</v>
      </c>
      <c r="AM254" s="26"/>
    </row>
    <row r="255" spans="1:39" ht="24.75" customHeight="1" x14ac:dyDescent="0.25">
      <c r="A255" s="26"/>
      <c r="B255" s="151"/>
      <c r="C255" s="151"/>
      <c r="D255" s="151"/>
      <c r="E255" s="151"/>
      <c r="F255" s="151"/>
      <c r="G255" s="151"/>
      <c r="H255" s="151"/>
      <c r="I255" s="152"/>
      <c r="J255" s="151" t="s">
        <v>306</v>
      </c>
      <c r="K255" s="27"/>
      <c r="L255" s="31"/>
      <c r="M255" s="559" t="s">
        <v>325</v>
      </c>
      <c r="N255" s="560"/>
      <c r="O255" s="35"/>
      <c r="P255" s="28"/>
      <c r="Q255" s="28">
        <v>45000000</v>
      </c>
      <c r="R255" s="29">
        <f t="shared" si="173"/>
        <v>9.7387057632275642</v>
      </c>
      <c r="S255" s="29">
        <v>100</v>
      </c>
      <c r="T255" s="28">
        <f t="shared" si="127"/>
        <v>0</v>
      </c>
      <c r="U255" s="28">
        <f t="shared" si="150"/>
        <v>0</v>
      </c>
      <c r="V255" s="87">
        <f t="shared" si="147"/>
        <v>100</v>
      </c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>
        <v>0</v>
      </c>
      <c r="AJ255" s="29">
        <f t="shared" si="129"/>
        <v>0</v>
      </c>
      <c r="AK255" s="136">
        <f t="shared" si="172"/>
        <v>45000000</v>
      </c>
      <c r="AL255" s="29">
        <f t="shared" si="130"/>
        <v>100</v>
      </c>
      <c r="AM255" s="26"/>
    </row>
    <row r="256" spans="1:39" ht="24.75" customHeight="1" x14ac:dyDescent="0.25">
      <c r="A256" s="26"/>
      <c r="B256" s="151"/>
      <c r="C256" s="151"/>
      <c r="D256" s="151"/>
      <c r="E256" s="151"/>
      <c r="F256" s="151"/>
      <c r="G256" s="151"/>
      <c r="H256" s="151"/>
      <c r="I256" s="152"/>
      <c r="J256" s="151" t="s">
        <v>379</v>
      </c>
      <c r="K256" s="27"/>
      <c r="L256" s="31"/>
      <c r="M256" s="559" t="s">
        <v>601</v>
      </c>
      <c r="N256" s="560"/>
      <c r="O256" s="35"/>
      <c r="P256" s="28"/>
      <c r="Q256" s="28">
        <v>31843720</v>
      </c>
      <c r="R256" s="29">
        <f t="shared" si="173"/>
        <v>6.8914804330356638</v>
      </c>
      <c r="S256" s="29">
        <v>100</v>
      </c>
      <c r="T256" s="28">
        <f t="shared" si="127"/>
        <v>0</v>
      </c>
      <c r="U256" s="28">
        <f t="shared" si="150"/>
        <v>0</v>
      </c>
      <c r="V256" s="87">
        <f t="shared" si="147"/>
        <v>100</v>
      </c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>
        <v>0</v>
      </c>
      <c r="AJ256" s="29">
        <f t="shared" si="129"/>
        <v>0</v>
      </c>
      <c r="AK256" s="136">
        <f t="shared" si="172"/>
        <v>31843720</v>
      </c>
      <c r="AL256" s="29">
        <f t="shared" si="130"/>
        <v>100</v>
      </c>
      <c r="AM256" s="26"/>
    </row>
    <row r="257" spans="1:39" ht="24.75" customHeight="1" x14ac:dyDescent="0.25">
      <c r="A257" s="26"/>
      <c r="B257" s="151"/>
      <c r="C257" s="151"/>
      <c r="D257" s="151"/>
      <c r="E257" s="151"/>
      <c r="F257" s="151"/>
      <c r="G257" s="151"/>
      <c r="H257" s="151"/>
      <c r="I257" s="152"/>
      <c r="J257" s="151" t="s">
        <v>380</v>
      </c>
      <c r="K257" s="27"/>
      <c r="L257" s="31"/>
      <c r="M257" s="559" t="s">
        <v>321</v>
      </c>
      <c r="N257" s="560"/>
      <c r="O257" s="35"/>
      <c r="P257" s="28"/>
      <c r="Q257" s="28">
        <v>40000000</v>
      </c>
      <c r="R257" s="29">
        <f>Q257/Q$244*100</f>
        <v>8.6566273450911684</v>
      </c>
      <c r="S257" s="29">
        <v>100</v>
      </c>
      <c r="T257" s="28">
        <f t="shared" si="127"/>
        <v>0</v>
      </c>
      <c r="U257" s="28">
        <f t="shared" si="150"/>
        <v>0</v>
      </c>
      <c r="V257" s="87">
        <f t="shared" si="147"/>
        <v>100</v>
      </c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>
        <v>0</v>
      </c>
      <c r="AJ257" s="29">
        <f t="shared" si="129"/>
        <v>0</v>
      </c>
      <c r="AK257" s="136">
        <f t="shared" si="172"/>
        <v>40000000</v>
      </c>
      <c r="AL257" s="29">
        <f t="shared" si="130"/>
        <v>100</v>
      </c>
      <c r="AM257" s="26"/>
    </row>
    <row r="258" spans="1:39" ht="24.75" customHeight="1" x14ac:dyDescent="0.25">
      <c r="A258" s="26"/>
      <c r="B258" s="151"/>
      <c r="C258" s="151"/>
      <c r="D258" s="151"/>
      <c r="E258" s="151"/>
      <c r="F258" s="151"/>
      <c r="G258" s="151"/>
      <c r="H258" s="151"/>
      <c r="I258" s="152"/>
      <c r="J258" s="151" t="s">
        <v>413</v>
      </c>
      <c r="K258" s="27"/>
      <c r="L258" s="31"/>
      <c r="M258" s="559" t="s">
        <v>414</v>
      </c>
      <c r="N258" s="560"/>
      <c r="O258" s="35"/>
      <c r="P258" s="28"/>
      <c r="Q258" s="28">
        <v>18000000</v>
      </c>
      <c r="R258" s="29">
        <f>Q258/Q$244*100</f>
        <v>3.8954823052910257</v>
      </c>
      <c r="S258" s="29">
        <v>100</v>
      </c>
      <c r="T258" s="28">
        <f t="shared" si="127"/>
        <v>0</v>
      </c>
      <c r="U258" s="28">
        <f t="shared" si="150"/>
        <v>0</v>
      </c>
      <c r="V258" s="87">
        <f t="shared" si="147"/>
        <v>100</v>
      </c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>
        <v>0</v>
      </c>
      <c r="AJ258" s="29">
        <f t="shared" si="129"/>
        <v>0</v>
      </c>
      <c r="AK258" s="136">
        <f t="shared" si="172"/>
        <v>18000000</v>
      </c>
      <c r="AL258" s="29">
        <f t="shared" si="130"/>
        <v>100</v>
      </c>
      <c r="AM258" s="26"/>
    </row>
    <row r="259" spans="1:39" s="41" customFormat="1" ht="30.75" customHeight="1" x14ac:dyDescent="0.25">
      <c r="A259" s="21">
        <f>SUM(A244+1)</f>
        <v>33</v>
      </c>
      <c r="B259" s="158"/>
      <c r="C259" s="158"/>
      <c r="D259" s="158"/>
      <c r="E259" s="158"/>
      <c r="F259" s="158"/>
      <c r="G259" s="158"/>
      <c r="H259" s="158"/>
      <c r="I259" s="159"/>
      <c r="J259" s="122" t="s">
        <v>480</v>
      </c>
      <c r="K259" s="22"/>
      <c r="L259" s="72"/>
      <c r="M259" s="561" t="s">
        <v>338</v>
      </c>
      <c r="N259" s="562"/>
      <c r="O259" s="76"/>
      <c r="P259" s="23"/>
      <c r="Q259" s="23">
        <f>SUM(Q260:Q269)</f>
        <v>64057069</v>
      </c>
      <c r="R259" s="24" t="e">
        <f>Q259/Q$243*100</f>
        <v>#REF!</v>
      </c>
      <c r="S259" s="24">
        <v>100</v>
      </c>
      <c r="T259" s="23">
        <f t="shared" si="127"/>
        <v>0</v>
      </c>
      <c r="U259" s="23" t="e">
        <f>R259*T259/100</f>
        <v>#REF!</v>
      </c>
      <c r="V259" s="90">
        <f t="shared" si="147"/>
        <v>100</v>
      </c>
      <c r="W259" s="23"/>
      <c r="X259" s="23" t="e">
        <f>#REF!</f>
        <v>#REF!</v>
      </c>
      <c r="Y259" s="23" t="e">
        <f>#REF!</f>
        <v>#REF!</v>
      </c>
      <c r="Z259" s="23" t="e">
        <f>#REF!</f>
        <v>#REF!</v>
      </c>
      <c r="AA259" s="23" t="e">
        <f>#REF!</f>
        <v>#REF!</v>
      </c>
      <c r="AB259" s="23">
        <v>391775001</v>
      </c>
      <c r="AC259" s="23" t="e">
        <f>#REF!</f>
        <v>#REF!</v>
      </c>
      <c r="AD259" s="23" t="e">
        <f>#REF!</f>
        <v>#REF!</v>
      </c>
      <c r="AE259" s="23" t="e">
        <f>#REF!</f>
        <v>#REF!</v>
      </c>
      <c r="AF259" s="23" t="e">
        <f>[1]April!N55</f>
        <v>#REF!</v>
      </c>
      <c r="AG259" s="23" t="e">
        <f>[2]april!N55</f>
        <v>#REF!</v>
      </c>
      <c r="AH259" s="23" t="e">
        <f>'[3]DES SKPD'!$N55</f>
        <v>#REF!</v>
      </c>
      <c r="AI259" s="23">
        <f>SUM(AI260:AI269)</f>
        <v>0</v>
      </c>
      <c r="AJ259" s="24">
        <f t="shared" si="129"/>
        <v>0</v>
      </c>
      <c r="AK259" s="134">
        <f t="shared" si="172"/>
        <v>64057069</v>
      </c>
      <c r="AL259" s="24">
        <f t="shared" si="130"/>
        <v>100</v>
      </c>
      <c r="AM259" s="21"/>
    </row>
    <row r="260" spans="1:39" ht="24.75" customHeight="1" x14ac:dyDescent="0.25">
      <c r="A260" s="26"/>
      <c r="B260" s="151"/>
      <c r="C260" s="151"/>
      <c r="D260" s="151"/>
      <c r="E260" s="151"/>
      <c r="F260" s="151"/>
      <c r="G260" s="151"/>
      <c r="H260" s="151"/>
      <c r="I260" s="152"/>
      <c r="J260" s="151" t="s">
        <v>326</v>
      </c>
      <c r="K260" s="27"/>
      <c r="L260" s="31"/>
      <c r="M260" s="563" t="s">
        <v>327</v>
      </c>
      <c r="N260" s="564"/>
      <c r="O260" s="35"/>
      <c r="P260" s="28"/>
      <c r="Q260" s="28">
        <v>15750000</v>
      </c>
      <c r="R260" s="29">
        <f>Q260/Q$259*100</f>
        <v>24.587450293737291</v>
      </c>
      <c r="S260" s="29">
        <v>100</v>
      </c>
      <c r="T260" s="28">
        <f t="shared" si="127"/>
        <v>0</v>
      </c>
      <c r="U260" s="28">
        <f t="shared" si="150"/>
        <v>0</v>
      </c>
      <c r="V260" s="87">
        <f t="shared" si="147"/>
        <v>100</v>
      </c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>
        <v>0</v>
      </c>
      <c r="AJ260" s="29">
        <f t="shared" si="129"/>
        <v>0</v>
      </c>
      <c r="AK260" s="136">
        <f t="shared" si="172"/>
        <v>15750000</v>
      </c>
      <c r="AL260" s="29">
        <f t="shared" si="130"/>
        <v>100</v>
      </c>
      <c r="AM260" s="26"/>
    </row>
    <row r="261" spans="1:39" ht="24.75" customHeight="1" x14ac:dyDescent="0.25">
      <c r="A261" s="26"/>
      <c r="B261" s="151"/>
      <c r="C261" s="151"/>
      <c r="D261" s="151"/>
      <c r="E261" s="151"/>
      <c r="F261" s="151"/>
      <c r="G261" s="151"/>
      <c r="H261" s="151"/>
      <c r="I261" s="152"/>
      <c r="J261" s="151" t="s">
        <v>323</v>
      </c>
      <c r="K261" s="27"/>
      <c r="L261" s="31"/>
      <c r="M261" s="563" t="s">
        <v>324</v>
      </c>
      <c r="N261" s="564"/>
      <c r="O261" s="35"/>
      <c r="P261" s="28"/>
      <c r="Q261" s="28">
        <v>2468000</v>
      </c>
      <c r="R261" s="29">
        <f t="shared" ref="R261:R269" si="174">Q261/Q$259*100</f>
        <v>3.8528144333297552</v>
      </c>
      <c r="S261" s="29">
        <v>100</v>
      </c>
      <c r="T261" s="28">
        <f t="shared" si="127"/>
        <v>0</v>
      </c>
      <c r="U261" s="28">
        <f t="shared" si="150"/>
        <v>0</v>
      </c>
      <c r="V261" s="87">
        <f t="shared" si="147"/>
        <v>100</v>
      </c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>
        <v>0</v>
      </c>
      <c r="AJ261" s="29">
        <f t="shared" si="129"/>
        <v>0</v>
      </c>
      <c r="AK261" s="136">
        <f t="shared" si="172"/>
        <v>2468000</v>
      </c>
      <c r="AL261" s="29">
        <f t="shared" si="130"/>
        <v>100</v>
      </c>
      <c r="AM261" s="26"/>
    </row>
    <row r="262" spans="1:39" ht="24.75" customHeight="1" x14ac:dyDescent="0.25">
      <c r="A262" s="26"/>
      <c r="B262" s="151"/>
      <c r="C262" s="151"/>
      <c r="D262" s="151"/>
      <c r="E262" s="151"/>
      <c r="F262" s="151"/>
      <c r="G262" s="151"/>
      <c r="H262" s="151"/>
      <c r="I262" s="152"/>
      <c r="J262" s="176" t="s">
        <v>269</v>
      </c>
      <c r="K262" s="27"/>
      <c r="L262" s="31"/>
      <c r="M262" s="563" t="s">
        <v>352</v>
      </c>
      <c r="N262" s="564"/>
      <c r="O262" s="35"/>
      <c r="P262" s="28"/>
      <c r="Q262" s="28">
        <v>3000000</v>
      </c>
      <c r="R262" s="29">
        <f t="shared" si="174"/>
        <v>4.6833238654737697</v>
      </c>
      <c r="S262" s="29">
        <v>100</v>
      </c>
      <c r="T262" s="28">
        <f t="shared" si="127"/>
        <v>0</v>
      </c>
      <c r="U262" s="28">
        <f t="shared" si="150"/>
        <v>0</v>
      </c>
      <c r="V262" s="87">
        <f t="shared" si="147"/>
        <v>100</v>
      </c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>
        <v>0</v>
      </c>
      <c r="AJ262" s="29">
        <f t="shared" si="129"/>
        <v>0</v>
      </c>
      <c r="AK262" s="136">
        <f t="shared" si="172"/>
        <v>3000000</v>
      </c>
      <c r="AL262" s="29">
        <f t="shared" si="130"/>
        <v>100</v>
      </c>
      <c r="AM262" s="26"/>
    </row>
    <row r="263" spans="1:39" ht="29.25" customHeight="1" x14ac:dyDescent="0.25">
      <c r="A263" s="26"/>
      <c r="B263" s="151"/>
      <c r="C263" s="151"/>
      <c r="D263" s="151"/>
      <c r="E263" s="151"/>
      <c r="F263" s="151"/>
      <c r="G263" s="151"/>
      <c r="H263" s="151"/>
      <c r="I263" s="152"/>
      <c r="J263" s="176" t="s">
        <v>315</v>
      </c>
      <c r="K263" s="27"/>
      <c r="L263" s="31"/>
      <c r="M263" s="563" t="s">
        <v>428</v>
      </c>
      <c r="N263" s="564"/>
      <c r="O263" s="35"/>
      <c r="P263" s="28"/>
      <c r="Q263" s="28">
        <v>2820000</v>
      </c>
      <c r="R263" s="29">
        <f t="shared" si="174"/>
        <v>4.4023244335453438</v>
      </c>
      <c r="S263" s="29">
        <v>100</v>
      </c>
      <c r="T263" s="28">
        <f t="shared" si="127"/>
        <v>0</v>
      </c>
      <c r="U263" s="28">
        <f t="shared" si="150"/>
        <v>0</v>
      </c>
      <c r="V263" s="87">
        <f t="shared" si="147"/>
        <v>100</v>
      </c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>
        <v>0</v>
      </c>
      <c r="AJ263" s="29">
        <f t="shared" si="129"/>
        <v>0</v>
      </c>
      <c r="AK263" s="136">
        <f t="shared" si="172"/>
        <v>2820000</v>
      </c>
      <c r="AL263" s="29">
        <f t="shared" si="130"/>
        <v>100</v>
      </c>
      <c r="AM263" s="26"/>
    </row>
    <row r="264" spans="1:39" ht="29.25" customHeight="1" x14ac:dyDescent="0.25">
      <c r="A264" s="26"/>
      <c r="B264" s="176"/>
      <c r="C264" s="176"/>
      <c r="D264" s="176"/>
      <c r="E264" s="176"/>
      <c r="F264" s="176"/>
      <c r="G264" s="176"/>
      <c r="H264" s="176"/>
      <c r="I264" s="177"/>
      <c r="J264" s="176" t="s">
        <v>318</v>
      </c>
      <c r="K264" s="27"/>
      <c r="L264" s="31"/>
      <c r="M264" s="563" t="s">
        <v>602</v>
      </c>
      <c r="N264" s="564"/>
      <c r="O264" s="35"/>
      <c r="P264" s="28"/>
      <c r="Q264" s="28">
        <v>20000000</v>
      </c>
      <c r="R264" s="29">
        <f t="shared" si="174"/>
        <v>31.222159103158464</v>
      </c>
      <c r="S264" s="29">
        <v>100</v>
      </c>
      <c r="T264" s="28">
        <f t="shared" si="127"/>
        <v>0</v>
      </c>
      <c r="U264" s="28">
        <f t="shared" si="150"/>
        <v>0</v>
      </c>
      <c r="V264" s="87">
        <f t="shared" si="147"/>
        <v>100</v>
      </c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>
        <v>0</v>
      </c>
      <c r="AJ264" s="29">
        <f t="shared" si="129"/>
        <v>0</v>
      </c>
      <c r="AK264" s="136">
        <f t="shared" si="172"/>
        <v>20000000</v>
      </c>
      <c r="AL264" s="29">
        <f t="shared" si="130"/>
        <v>100</v>
      </c>
      <c r="AM264" s="26"/>
    </row>
    <row r="265" spans="1:39" ht="29.25" customHeight="1" x14ac:dyDescent="0.25">
      <c r="A265" s="26"/>
      <c r="B265" s="176"/>
      <c r="C265" s="176"/>
      <c r="D265" s="176"/>
      <c r="E265" s="176"/>
      <c r="F265" s="176"/>
      <c r="G265" s="176"/>
      <c r="H265" s="176"/>
      <c r="I265" s="177"/>
      <c r="J265" s="176" t="s">
        <v>339</v>
      </c>
      <c r="K265" s="27"/>
      <c r="L265" s="31"/>
      <c r="M265" s="563" t="s">
        <v>340</v>
      </c>
      <c r="N265" s="564"/>
      <c r="O265" s="35"/>
      <c r="P265" s="28"/>
      <c r="Q265" s="28">
        <v>2000000</v>
      </c>
      <c r="R265" s="29">
        <f t="shared" si="174"/>
        <v>3.1222159103158469</v>
      </c>
      <c r="S265" s="29">
        <v>100</v>
      </c>
      <c r="T265" s="28">
        <f t="shared" si="127"/>
        <v>0</v>
      </c>
      <c r="U265" s="28">
        <f t="shared" si="150"/>
        <v>0</v>
      </c>
      <c r="V265" s="87">
        <f t="shared" si="147"/>
        <v>100</v>
      </c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>
        <v>0</v>
      </c>
      <c r="AJ265" s="29">
        <f t="shared" si="129"/>
        <v>0</v>
      </c>
      <c r="AK265" s="136">
        <f t="shared" si="172"/>
        <v>2000000</v>
      </c>
      <c r="AL265" s="29">
        <f t="shared" si="130"/>
        <v>100</v>
      </c>
      <c r="AM265" s="26"/>
    </row>
    <row r="266" spans="1:39" ht="29.25" customHeight="1" x14ac:dyDescent="0.25">
      <c r="A266" s="26"/>
      <c r="B266" s="176"/>
      <c r="C266" s="176"/>
      <c r="D266" s="176"/>
      <c r="E266" s="176"/>
      <c r="F266" s="176"/>
      <c r="G266" s="176"/>
      <c r="H266" s="176"/>
      <c r="I266" s="177"/>
      <c r="J266" s="176" t="s">
        <v>284</v>
      </c>
      <c r="K266" s="27"/>
      <c r="L266" s="31"/>
      <c r="M266" s="563" t="s">
        <v>603</v>
      </c>
      <c r="N266" s="564"/>
      <c r="O266" s="35"/>
      <c r="P266" s="28"/>
      <c r="Q266" s="28">
        <v>1119069</v>
      </c>
      <c r="R266" s="29">
        <f t="shared" si="174"/>
        <v>1.746987518270622</v>
      </c>
      <c r="S266" s="29">
        <v>100</v>
      </c>
      <c r="T266" s="28">
        <f t="shared" si="127"/>
        <v>0</v>
      </c>
      <c r="U266" s="28">
        <f t="shared" si="150"/>
        <v>0</v>
      </c>
      <c r="V266" s="87">
        <f t="shared" si="147"/>
        <v>100</v>
      </c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>
        <v>0</v>
      </c>
      <c r="AJ266" s="29">
        <f t="shared" si="129"/>
        <v>0</v>
      </c>
      <c r="AK266" s="136">
        <f t="shared" si="172"/>
        <v>1119069</v>
      </c>
      <c r="AL266" s="29">
        <f t="shared" si="130"/>
        <v>100</v>
      </c>
      <c r="AM266" s="26"/>
    </row>
    <row r="267" spans="1:39" ht="29.25" customHeight="1" x14ac:dyDescent="0.25">
      <c r="A267" s="26"/>
      <c r="B267" s="151"/>
      <c r="C267" s="151"/>
      <c r="D267" s="151"/>
      <c r="E267" s="151"/>
      <c r="F267" s="151"/>
      <c r="G267" s="151"/>
      <c r="H267" s="151"/>
      <c r="I267" s="152"/>
      <c r="J267" s="176" t="s">
        <v>282</v>
      </c>
      <c r="K267" s="27"/>
      <c r="L267" s="31"/>
      <c r="M267" s="563" t="s">
        <v>283</v>
      </c>
      <c r="N267" s="564"/>
      <c r="O267" s="35"/>
      <c r="P267" s="28"/>
      <c r="Q267" s="28">
        <v>6900000</v>
      </c>
      <c r="R267" s="29">
        <f t="shared" si="174"/>
        <v>10.771644890589672</v>
      </c>
      <c r="S267" s="29">
        <v>100</v>
      </c>
      <c r="T267" s="28">
        <f t="shared" si="127"/>
        <v>0</v>
      </c>
      <c r="U267" s="28">
        <f t="shared" si="150"/>
        <v>0</v>
      </c>
      <c r="V267" s="87">
        <f t="shared" si="147"/>
        <v>100</v>
      </c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>
        <v>0</v>
      </c>
      <c r="AJ267" s="29">
        <f t="shared" si="129"/>
        <v>0</v>
      </c>
      <c r="AK267" s="136">
        <f t="shared" si="172"/>
        <v>6900000</v>
      </c>
      <c r="AL267" s="29">
        <f t="shared" si="130"/>
        <v>100</v>
      </c>
      <c r="AM267" s="26"/>
    </row>
    <row r="268" spans="1:39" ht="29.25" customHeight="1" x14ac:dyDescent="0.25">
      <c r="A268" s="26"/>
      <c r="B268" s="151"/>
      <c r="C268" s="151"/>
      <c r="D268" s="151"/>
      <c r="E268" s="151"/>
      <c r="F268" s="151"/>
      <c r="G268" s="151"/>
      <c r="H268" s="151"/>
      <c r="I268" s="152"/>
      <c r="J268" s="151" t="s">
        <v>320</v>
      </c>
      <c r="K268" s="27"/>
      <c r="L268" s="31"/>
      <c r="M268" s="563" t="s">
        <v>321</v>
      </c>
      <c r="N268" s="564"/>
      <c r="O268" s="35"/>
      <c r="P268" s="28"/>
      <c r="Q268" s="28">
        <v>7200000</v>
      </c>
      <c r="R268" s="29">
        <f t="shared" si="174"/>
        <v>11.239977277137047</v>
      </c>
      <c r="S268" s="29">
        <v>100</v>
      </c>
      <c r="T268" s="28">
        <f t="shared" si="127"/>
        <v>0</v>
      </c>
      <c r="U268" s="28">
        <f t="shared" si="150"/>
        <v>0</v>
      </c>
      <c r="V268" s="87">
        <f t="shared" si="147"/>
        <v>100</v>
      </c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>
        <v>0</v>
      </c>
      <c r="AJ268" s="29">
        <f t="shared" si="129"/>
        <v>0</v>
      </c>
      <c r="AK268" s="136">
        <f t="shared" si="172"/>
        <v>7200000</v>
      </c>
      <c r="AL268" s="29">
        <f t="shared" si="130"/>
        <v>100</v>
      </c>
      <c r="AM268" s="26"/>
    </row>
    <row r="269" spans="1:39" ht="24.75" customHeight="1" x14ac:dyDescent="0.25">
      <c r="A269" s="26"/>
      <c r="B269" s="151"/>
      <c r="C269" s="151"/>
      <c r="D269" s="151"/>
      <c r="E269" s="151"/>
      <c r="F269" s="151"/>
      <c r="G269" s="151"/>
      <c r="H269" s="151"/>
      <c r="I269" s="152"/>
      <c r="J269" s="151" t="s">
        <v>407</v>
      </c>
      <c r="K269" s="27"/>
      <c r="L269" s="31"/>
      <c r="M269" s="563" t="s">
        <v>414</v>
      </c>
      <c r="N269" s="564"/>
      <c r="O269" s="35"/>
      <c r="P269" s="28"/>
      <c r="Q269" s="28">
        <v>2800000</v>
      </c>
      <c r="R269" s="29">
        <f t="shared" si="174"/>
        <v>4.371102274442185</v>
      </c>
      <c r="S269" s="29">
        <v>100</v>
      </c>
      <c r="T269" s="28">
        <f t="shared" si="127"/>
        <v>0</v>
      </c>
      <c r="U269" s="28">
        <f t="shared" si="150"/>
        <v>0</v>
      </c>
      <c r="V269" s="87">
        <f t="shared" si="147"/>
        <v>100</v>
      </c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>
        <v>0</v>
      </c>
      <c r="AJ269" s="29">
        <f t="shared" si="129"/>
        <v>0</v>
      </c>
      <c r="AK269" s="136">
        <f t="shared" si="172"/>
        <v>2800000</v>
      </c>
      <c r="AL269" s="29">
        <f t="shared" si="130"/>
        <v>100</v>
      </c>
      <c r="AM269" s="26"/>
    </row>
    <row r="270" spans="1:39" s="86" customFormat="1" ht="34.5" customHeight="1" x14ac:dyDescent="0.25">
      <c r="A270" s="21" t="e">
        <f>#REF!+1</f>
        <v>#REF!</v>
      </c>
      <c r="B270" s="543" t="s">
        <v>150</v>
      </c>
      <c r="C270" s="543"/>
      <c r="D270" s="543"/>
      <c r="E270" s="543"/>
      <c r="F270" s="543"/>
      <c r="G270" s="543"/>
      <c r="H270" s="543"/>
      <c r="I270" s="544"/>
      <c r="J270" s="122" t="s">
        <v>482</v>
      </c>
      <c r="K270" s="22"/>
      <c r="L270" s="72"/>
      <c r="M270" s="568" t="s">
        <v>41</v>
      </c>
      <c r="N270" s="568"/>
      <c r="O270" s="85">
        <v>461840000</v>
      </c>
      <c r="P270" s="23">
        <f>O270</f>
        <v>461840000</v>
      </c>
      <c r="Q270" s="23">
        <f>SUM(Q271:Q281)</f>
        <v>300818900</v>
      </c>
      <c r="R270" s="24" t="e">
        <f>Q270/Q$243*100</f>
        <v>#REF!</v>
      </c>
      <c r="S270" s="24">
        <v>100</v>
      </c>
      <c r="T270" s="23">
        <f t="shared" ref="T270:T324" si="175">AJ270</f>
        <v>0</v>
      </c>
      <c r="U270" s="23" t="e">
        <f t="shared" si="150"/>
        <v>#REF!</v>
      </c>
      <c r="V270" s="90">
        <f t="shared" si="147"/>
        <v>100</v>
      </c>
      <c r="W270" s="23"/>
      <c r="X270" s="23" t="e">
        <f>#REF!</f>
        <v>#REF!</v>
      </c>
      <c r="Y270" s="23" t="e">
        <f>#REF!</f>
        <v>#REF!</v>
      </c>
      <c r="Z270" s="23" t="e">
        <f>#REF!</f>
        <v>#REF!</v>
      </c>
      <c r="AA270" s="23" t="e">
        <f>#REF!</f>
        <v>#REF!</v>
      </c>
      <c r="AB270" s="23">
        <v>26033000</v>
      </c>
      <c r="AC270" s="23" t="e">
        <f>#REF!</f>
        <v>#REF!</v>
      </c>
      <c r="AD270" s="23" t="e">
        <f>#REF!</f>
        <v>#REF!</v>
      </c>
      <c r="AE270" s="23" t="e">
        <f>#REF!</f>
        <v>#REF!</v>
      </c>
      <c r="AF270" s="23" t="e">
        <f>[1]April!N57</f>
        <v>#REF!</v>
      </c>
      <c r="AG270" s="23" t="e">
        <f>[2]april!N57</f>
        <v>#REF!</v>
      </c>
      <c r="AH270" s="23">
        <f>'[3]DES SKPD'!$N57</f>
        <v>371775000</v>
      </c>
      <c r="AI270" s="23">
        <f>SUM(AI271:AI281)</f>
        <v>0</v>
      </c>
      <c r="AJ270" s="24">
        <f t="shared" ref="AJ270:AJ323" si="176">AI270/Q270*100</f>
        <v>0</v>
      </c>
      <c r="AK270" s="134">
        <f t="shared" si="172"/>
        <v>300818900</v>
      </c>
      <c r="AL270" s="24">
        <f t="shared" ref="AL270:AL323" si="177">AK270/Q270*100</f>
        <v>100</v>
      </c>
      <c r="AM270" s="21"/>
    </row>
    <row r="271" spans="1:39" ht="28.5" customHeight="1" x14ac:dyDescent="0.25">
      <c r="A271" s="26"/>
      <c r="B271" s="151"/>
      <c r="C271" s="151"/>
      <c r="D271" s="151"/>
      <c r="E271" s="151"/>
      <c r="F271" s="151"/>
      <c r="G271" s="151"/>
      <c r="H271" s="151"/>
      <c r="I271" s="152"/>
      <c r="J271" s="151" t="s">
        <v>257</v>
      </c>
      <c r="K271" s="27"/>
      <c r="L271" s="31"/>
      <c r="M271" s="563" t="s">
        <v>260</v>
      </c>
      <c r="N271" s="564"/>
      <c r="O271" s="35"/>
      <c r="P271" s="28"/>
      <c r="Q271" s="28">
        <v>1540000</v>
      </c>
      <c r="R271" s="29">
        <f>Q271/Q$270*100</f>
        <v>0.51193591891998813</v>
      </c>
      <c r="S271" s="29">
        <v>100</v>
      </c>
      <c r="T271" s="28">
        <f t="shared" si="175"/>
        <v>0</v>
      </c>
      <c r="U271" s="28">
        <f t="shared" si="150"/>
        <v>0</v>
      </c>
      <c r="V271" s="87">
        <f t="shared" si="147"/>
        <v>100</v>
      </c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>
        <v>0</v>
      </c>
      <c r="AJ271" s="29">
        <f t="shared" si="176"/>
        <v>0</v>
      </c>
      <c r="AK271" s="136">
        <f t="shared" si="172"/>
        <v>1540000</v>
      </c>
      <c r="AL271" s="29">
        <f t="shared" si="177"/>
        <v>100</v>
      </c>
      <c r="AM271" s="26"/>
    </row>
    <row r="272" spans="1:39" ht="28.5" customHeight="1" x14ac:dyDescent="0.25">
      <c r="A272" s="26"/>
      <c r="B272" s="151"/>
      <c r="C272" s="151"/>
      <c r="D272" s="151"/>
      <c r="E272" s="151"/>
      <c r="F272" s="151"/>
      <c r="G272" s="151"/>
      <c r="H272" s="151"/>
      <c r="I272" s="152"/>
      <c r="J272" s="151" t="s">
        <v>326</v>
      </c>
      <c r="K272" s="27"/>
      <c r="L272" s="31"/>
      <c r="M272" s="563" t="s">
        <v>327</v>
      </c>
      <c r="N272" s="564"/>
      <c r="O272" s="35"/>
      <c r="P272" s="28"/>
      <c r="Q272" s="28">
        <v>140400000</v>
      </c>
      <c r="R272" s="29">
        <f t="shared" ref="R272:R281" si="178">Q272/Q$270*100</f>
        <v>46.672599361276838</v>
      </c>
      <c r="S272" s="29">
        <v>100</v>
      </c>
      <c r="T272" s="28">
        <f t="shared" si="175"/>
        <v>0</v>
      </c>
      <c r="U272" s="28">
        <f t="shared" si="150"/>
        <v>0</v>
      </c>
      <c r="V272" s="87">
        <f t="shared" si="147"/>
        <v>100</v>
      </c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>
        <v>0</v>
      </c>
      <c r="AJ272" s="29">
        <f t="shared" si="176"/>
        <v>0</v>
      </c>
      <c r="AK272" s="136">
        <f t="shared" si="172"/>
        <v>140400000</v>
      </c>
      <c r="AL272" s="29">
        <f t="shared" si="177"/>
        <v>100</v>
      </c>
      <c r="AM272" s="26"/>
    </row>
    <row r="273" spans="1:39" ht="28.5" customHeight="1" x14ac:dyDescent="0.25">
      <c r="A273" s="26"/>
      <c r="B273" s="151"/>
      <c r="C273" s="151"/>
      <c r="D273" s="151"/>
      <c r="E273" s="151"/>
      <c r="F273" s="151"/>
      <c r="G273" s="151"/>
      <c r="H273" s="151"/>
      <c r="I273" s="152"/>
      <c r="J273" s="151" t="s">
        <v>323</v>
      </c>
      <c r="K273" s="27"/>
      <c r="L273" s="31"/>
      <c r="M273" s="563" t="s">
        <v>324</v>
      </c>
      <c r="N273" s="564"/>
      <c r="O273" s="35"/>
      <c r="P273" s="28"/>
      <c r="Q273" s="28">
        <v>10250000</v>
      </c>
      <c r="R273" s="29">
        <f t="shared" si="178"/>
        <v>3.4073656941103101</v>
      </c>
      <c r="S273" s="29">
        <v>100</v>
      </c>
      <c r="T273" s="28">
        <f t="shared" si="175"/>
        <v>0</v>
      </c>
      <c r="U273" s="28">
        <f t="shared" si="150"/>
        <v>0</v>
      </c>
      <c r="V273" s="87">
        <f t="shared" si="147"/>
        <v>100</v>
      </c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>
        <v>0</v>
      </c>
      <c r="AJ273" s="29">
        <f t="shared" si="176"/>
        <v>0</v>
      </c>
      <c r="AK273" s="136">
        <f t="shared" si="172"/>
        <v>10250000</v>
      </c>
      <c r="AL273" s="29">
        <f t="shared" si="177"/>
        <v>100</v>
      </c>
      <c r="AM273" s="26"/>
    </row>
    <row r="274" spans="1:39" ht="28.5" customHeight="1" x14ac:dyDescent="0.25">
      <c r="A274" s="26"/>
      <c r="B274" s="151"/>
      <c r="C274" s="151"/>
      <c r="D274" s="151"/>
      <c r="E274" s="151"/>
      <c r="F274" s="151"/>
      <c r="G274" s="151"/>
      <c r="H274" s="151"/>
      <c r="I274" s="152"/>
      <c r="J274" s="151" t="s">
        <v>336</v>
      </c>
      <c r="K274" s="27"/>
      <c r="L274" s="31"/>
      <c r="M274" s="563" t="s">
        <v>337</v>
      </c>
      <c r="N274" s="564"/>
      <c r="O274" s="35"/>
      <c r="P274" s="28"/>
      <c r="Q274" s="28">
        <v>10000000</v>
      </c>
      <c r="R274" s="29">
        <f t="shared" si="178"/>
        <v>3.3242592137661564</v>
      </c>
      <c r="S274" s="29">
        <v>100</v>
      </c>
      <c r="T274" s="28">
        <f t="shared" si="175"/>
        <v>0</v>
      </c>
      <c r="U274" s="28">
        <f t="shared" si="150"/>
        <v>0</v>
      </c>
      <c r="V274" s="87">
        <f t="shared" si="147"/>
        <v>100</v>
      </c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>
        <v>0</v>
      </c>
      <c r="AJ274" s="29">
        <f t="shared" si="176"/>
        <v>0</v>
      </c>
      <c r="AK274" s="136">
        <f t="shared" si="172"/>
        <v>10000000</v>
      </c>
      <c r="AL274" s="29">
        <f t="shared" si="177"/>
        <v>100</v>
      </c>
      <c r="AM274" s="26"/>
    </row>
    <row r="275" spans="1:39" ht="28.5" customHeight="1" x14ac:dyDescent="0.25">
      <c r="A275" s="26"/>
      <c r="B275" s="151"/>
      <c r="C275" s="151"/>
      <c r="D275" s="151"/>
      <c r="E275" s="151"/>
      <c r="F275" s="151"/>
      <c r="G275" s="151"/>
      <c r="H275" s="151"/>
      <c r="I275" s="152"/>
      <c r="J275" s="151" t="s">
        <v>269</v>
      </c>
      <c r="K275" s="27"/>
      <c r="L275" s="31"/>
      <c r="M275" s="563" t="s">
        <v>270</v>
      </c>
      <c r="N275" s="564"/>
      <c r="O275" s="35"/>
      <c r="P275" s="28"/>
      <c r="Q275" s="28">
        <v>23000000</v>
      </c>
      <c r="R275" s="29">
        <f t="shared" si="178"/>
        <v>7.6457961916621588</v>
      </c>
      <c r="S275" s="29">
        <v>100</v>
      </c>
      <c r="T275" s="28">
        <f t="shared" si="175"/>
        <v>0</v>
      </c>
      <c r="U275" s="28">
        <f t="shared" si="150"/>
        <v>0</v>
      </c>
      <c r="V275" s="87">
        <f t="shared" si="147"/>
        <v>100</v>
      </c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>
        <v>0</v>
      </c>
      <c r="AJ275" s="29">
        <f t="shared" si="176"/>
        <v>0</v>
      </c>
      <c r="AK275" s="136">
        <f t="shared" si="172"/>
        <v>23000000</v>
      </c>
      <c r="AL275" s="29">
        <f t="shared" si="177"/>
        <v>100</v>
      </c>
      <c r="AM275" s="26"/>
    </row>
    <row r="276" spans="1:39" ht="28.5" customHeight="1" x14ac:dyDescent="0.25">
      <c r="A276" s="26"/>
      <c r="B276" s="151"/>
      <c r="C276" s="151"/>
      <c r="D276" s="151"/>
      <c r="E276" s="151"/>
      <c r="F276" s="151"/>
      <c r="G276" s="151"/>
      <c r="H276" s="151"/>
      <c r="I276" s="152"/>
      <c r="J276" s="151" t="s">
        <v>315</v>
      </c>
      <c r="K276" s="27"/>
      <c r="L276" s="31"/>
      <c r="M276" s="563" t="s">
        <v>271</v>
      </c>
      <c r="N276" s="564"/>
      <c r="O276" s="35"/>
      <c r="P276" s="28"/>
      <c r="Q276" s="28">
        <v>17250000</v>
      </c>
      <c r="R276" s="29">
        <f t="shared" si="178"/>
        <v>5.7343471437466196</v>
      </c>
      <c r="S276" s="29">
        <v>100</v>
      </c>
      <c r="T276" s="28">
        <f t="shared" si="175"/>
        <v>0</v>
      </c>
      <c r="U276" s="28">
        <f t="shared" si="150"/>
        <v>0</v>
      </c>
      <c r="V276" s="87">
        <f t="shared" si="147"/>
        <v>100</v>
      </c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>
        <v>0</v>
      </c>
      <c r="AJ276" s="29">
        <f t="shared" si="176"/>
        <v>0</v>
      </c>
      <c r="AK276" s="136">
        <f t="shared" si="172"/>
        <v>17250000</v>
      </c>
      <c r="AL276" s="29">
        <f t="shared" si="177"/>
        <v>100</v>
      </c>
      <c r="AM276" s="26"/>
    </row>
    <row r="277" spans="1:39" ht="28.5" customHeight="1" x14ac:dyDescent="0.25">
      <c r="A277" s="26"/>
      <c r="B277" s="151"/>
      <c r="C277" s="151"/>
      <c r="D277" s="151"/>
      <c r="E277" s="151"/>
      <c r="F277" s="151"/>
      <c r="G277" s="151"/>
      <c r="H277" s="151"/>
      <c r="I277" s="152"/>
      <c r="J277" s="151" t="s">
        <v>318</v>
      </c>
      <c r="K277" s="27"/>
      <c r="L277" s="31"/>
      <c r="M277" s="563" t="s">
        <v>319</v>
      </c>
      <c r="N277" s="564"/>
      <c r="O277" s="35"/>
      <c r="P277" s="28"/>
      <c r="Q277" s="28">
        <v>32500000</v>
      </c>
      <c r="R277" s="29">
        <f t="shared" si="178"/>
        <v>10.803842444740008</v>
      </c>
      <c r="S277" s="29">
        <v>100</v>
      </c>
      <c r="T277" s="28">
        <f t="shared" si="175"/>
        <v>0</v>
      </c>
      <c r="U277" s="28">
        <f t="shared" si="150"/>
        <v>0</v>
      </c>
      <c r="V277" s="87">
        <f t="shared" si="147"/>
        <v>100</v>
      </c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>
        <v>0</v>
      </c>
      <c r="AJ277" s="29">
        <f t="shared" si="176"/>
        <v>0</v>
      </c>
      <c r="AK277" s="136">
        <f t="shared" si="172"/>
        <v>32500000</v>
      </c>
      <c r="AL277" s="29">
        <f t="shared" si="177"/>
        <v>100</v>
      </c>
      <c r="AM277" s="26"/>
    </row>
    <row r="278" spans="1:39" ht="28.5" customHeight="1" x14ac:dyDescent="0.25">
      <c r="A278" s="26"/>
      <c r="B278" s="151"/>
      <c r="C278" s="151"/>
      <c r="D278" s="151"/>
      <c r="E278" s="151"/>
      <c r="F278" s="151"/>
      <c r="G278" s="151"/>
      <c r="H278" s="151"/>
      <c r="I278" s="152"/>
      <c r="J278" s="151" t="s">
        <v>280</v>
      </c>
      <c r="K278" s="27"/>
      <c r="L278" s="31"/>
      <c r="M278" s="563" t="s">
        <v>281</v>
      </c>
      <c r="N278" s="564"/>
      <c r="O278" s="35"/>
      <c r="P278" s="28"/>
      <c r="Q278" s="28">
        <v>6500000</v>
      </c>
      <c r="R278" s="29">
        <f t="shared" si="178"/>
        <v>2.1607684889480017</v>
      </c>
      <c r="S278" s="29">
        <v>100</v>
      </c>
      <c r="T278" s="28">
        <f t="shared" si="175"/>
        <v>0</v>
      </c>
      <c r="U278" s="28">
        <f t="shared" si="150"/>
        <v>0</v>
      </c>
      <c r="V278" s="87">
        <f t="shared" si="147"/>
        <v>100</v>
      </c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>
        <v>0</v>
      </c>
      <c r="AJ278" s="29">
        <f t="shared" si="176"/>
        <v>0</v>
      </c>
      <c r="AK278" s="136">
        <f t="shared" si="172"/>
        <v>6500000</v>
      </c>
      <c r="AL278" s="29">
        <f t="shared" si="177"/>
        <v>100</v>
      </c>
      <c r="AM278" s="26"/>
    </row>
    <row r="279" spans="1:39" ht="28.5" customHeight="1" x14ac:dyDescent="0.25">
      <c r="A279" s="26"/>
      <c r="B279" s="151"/>
      <c r="C279" s="151"/>
      <c r="D279" s="151"/>
      <c r="E279" s="151"/>
      <c r="F279" s="151"/>
      <c r="G279" s="151"/>
      <c r="H279" s="151"/>
      <c r="I279" s="152"/>
      <c r="J279" s="151" t="s">
        <v>284</v>
      </c>
      <c r="K279" s="27"/>
      <c r="L279" s="31"/>
      <c r="M279" s="563" t="s">
        <v>285</v>
      </c>
      <c r="N279" s="564"/>
      <c r="O279" s="35"/>
      <c r="P279" s="28"/>
      <c r="Q279" s="28">
        <v>2700000</v>
      </c>
      <c r="R279" s="29">
        <f t="shared" si="178"/>
        <v>0.89754998771686223</v>
      </c>
      <c r="S279" s="29">
        <v>100</v>
      </c>
      <c r="T279" s="28">
        <f t="shared" si="175"/>
        <v>0</v>
      </c>
      <c r="U279" s="28">
        <f t="shared" si="150"/>
        <v>0</v>
      </c>
      <c r="V279" s="87">
        <f t="shared" si="147"/>
        <v>100</v>
      </c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>
        <v>0</v>
      </c>
      <c r="AJ279" s="29">
        <f t="shared" si="176"/>
        <v>0</v>
      </c>
      <c r="AK279" s="136">
        <f t="shared" si="172"/>
        <v>2700000</v>
      </c>
      <c r="AL279" s="29">
        <f t="shared" si="177"/>
        <v>100</v>
      </c>
      <c r="AM279" s="26"/>
    </row>
    <row r="280" spans="1:39" ht="28.5" customHeight="1" x14ac:dyDescent="0.25">
      <c r="A280" s="26"/>
      <c r="B280" s="151"/>
      <c r="C280" s="151"/>
      <c r="D280" s="151"/>
      <c r="E280" s="151"/>
      <c r="F280" s="151"/>
      <c r="G280" s="151"/>
      <c r="H280" s="151"/>
      <c r="I280" s="152"/>
      <c r="J280" s="151" t="s">
        <v>282</v>
      </c>
      <c r="K280" s="27"/>
      <c r="L280" s="31"/>
      <c r="M280" s="563" t="s">
        <v>283</v>
      </c>
      <c r="N280" s="564"/>
      <c r="O280" s="35"/>
      <c r="P280" s="28"/>
      <c r="Q280" s="28">
        <v>55878900</v>
      </c>
      <c r="R280" s="29">
        <f t="shared" si="178"/>
        <v>18.575594818011769</v>
      </c>
      <c r="S280" s="29">
        <v>100</v>
      </c>
      <c r="T280" s="28">
        <f t="shared" si="175"/>
        <v>0</v>
      </c>
      <c r="U280" s="28">
        <f t="shared" si="150"/>
        <v>0</v>
      </c>
      <c r="V280" s="87">
        <f t="shared" si="147"/>
        <v>100</v>
      </c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>
        <v>0</v>
      </c>
      <c r="AJ280" s="29">
        <f t="shared" si="176"/>
        <v>0</v>
      </c>
      <c r="AK280" s="136">
        <f t="shared" si="172"/>
        <v>55878900</v>
      </c>
      <c r="AL280" s="29">
        <f t="shared" si="177"/>
        <v>100</v>
      </c>
      <c r="AM280" s="26"/>
    </row>
    <row r="281" spans="1:39" ht="28.5" customHeight="1" x14ac:dyDescent="0.25">
      <c r="A281" s="26"/>
      <c r="B281" s="151"/>
      <c r="C281" s="151"/>
      <c r="D281" s="151"/>
      <c r="E281" s="151"/>
      <c r="F281" s="151"/>
      <c r="G281" s="151"/>
      <c r="H281" s="151"/>
      <c r="I281" s="152"/>
      <c r="J281" s="151" t="s">
        <v>320</v>
      </c>
      <c r="K281" s="27"/>
      <c r="L281" s="31"/>
      <c r="M281" s="563" t="s">
        <v>414</v>
      </c>
      <c r="N281" s="564"/>
      <c r="O281" s="35"/>
      <c r="P281" s="28"/>
      <c r="Q281" s="28">
        <v>800000</v>
      </c>
      <c r="R281" s="29">
        <f t="shared" si="178"/>
        <v>0.26594073710129251</v>
      </c>
      <c r="S281" s="29">
        <v>100</v>
      </c>
      <c r="T281" s="28">
        <f t="shared" si="175"/>
        <v>0</v>
      </c>
      <c r="U281" s="28">
        <f t="shared" si="150"/>
        <v>0</v>
      </c>
      <c r="V281" s="87">
        <f t="shared" si="147"/>
        <v>100</v>
      </c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>
        <v>0</v>
      </c>
      <c r="AJ281" s="29">
        <f t="shared" si="176"/>
        <v>0</v>
      </c>
      <c r="AK281" s="136">
        <f t="shared" si="172"/>
        <v>800000</v>
      </c>
      <c r="AL281" s="29">
        <f t="shared" si="177"/>
        <v>100</v>
      </c>
      <c r="AM281" s="26"/>
    </row>
    <row r="282" spans="1:39" s="41" customFormat="1" ht="28.5" customHeight="1" x14ac:dyDescent="0.25">
      <c r="A282" s="21" t="e">
        <f>A270+1</f>
        <v>#REF!</v>
      </c>
      <c r="B282" s="543" t="s">
        <v>151</v>
      </c>
      <c r="C282" s="543"/>
      <c r="D282" s="543"/>
      <c r="E282" s="543"/>
      <c r="F282" s="543"/>
      <c r="G282" s="543"/>
      <c r="H282" s="543"/>
      <c r="I282" s="544"/>
      <c r="J282" s="122" t="s">
        <v>483</v>
      </c>
      <c r="K282" s="22"/>
      <c r="L282" s="72"/>
      <c r="M282" s="566" t="s">
        <v>42</v>
      </c>
      <c r="N282" s="566"/>
      <c r="O282" s="76">
        <v>128761142</v>
      </c>
      <c r="P282" s="23">
        <f>O282</f>
        <v>128761142</v>
      </c>
      <c r="Q282" s="23">
        <f>SUM(Q283:Q291)</f>
        <v>412682320</v>
      </c>
      <c r="R282" s="24" t="e">
        <f>Q282/Q$243*100</f>
        <v>#REF!</v>
      </c>
      <c r="S282" s="24">
        <v>100</v>
      </c>
      <c r="T282" s="23">
        <f t="shared" si="175"/>
        <v>0</v>
      </c>
      <c r="U282" s="23" t="e">
        <f t="shared" si="150"/>
        <v>#REF!</v>
      </c>
      <c r="V282" s="90">
        <f t="shared" si="147"/>
        <v>100</v>
      </c>
      <c r="W282" s="23"/>
      <c r="X282" s="23" t="e">
        <f>#REF!</f>
        <v>#REF!</v>
      </c>
      <c r="Y282" s="23" t="e">
        <f>#REF!</f>
        <v>#REF!</v>
      </c>
      <c r="Z282" s="23" t="e">
        <f>#REF!</f>
        <v>#REF!</v>
      </c>
      <c r="AA282" s="23" t="e">
        <f>#REF!</f>
        <v>#REF!</v>
      </c>
      <c r="AB282" s="23">
        <v>11060000</v>
      </c>
      <c r="AC282" s="23" t="e">
        <f>#REF!</f>
        <v>#REF!</v>
      </c>
      <c r="AD282" s="23" t="e">
        <f>#REF!</f>
        <v>#REF!</v>
      </c>
      <c r="AE282" s="23" t="e">
        <f>#REF!</f>
        <v>#REF!</v>
      </c>
      <c r="AF282" s="23" t="e">
        <f>[1]April!N58</f>
        <v>#REF!</v>
      </c>
      <c r="AG282" s="23">
        <v>137440000</v>
      </c>
      <c r="AH282" s="23">
        <f>'[3]DES SKPD'!$N58</f>
        <v>133587000</v>
      </c>
      <c r="AI282" s="23">
        <f>SUM(AI283:AI289)</f>
        <v>0</v>
      </c>
      <c r="AJ282" s="24">
        <f t="shared" si="176"/>
        <v>0</v>
      </c>
      <c r="AK282" s="134">
        <f t="shared" si="172"/>
        <v>412682320</v>
      </c>
      <c r="AL282" s="24">
        <f t="shared" si="177"/>
        <v>100</v>
      </c>
      <c r="AM282" s="21"/>
    </row>
    <row r="283" spans="1:39" ht="28.5" customHeight="1" x14ac:dyDescent="0.25">
      <c r="A283" s="26"/>
      <c r="B283" s="151"/>
      <c r="C283" s="151"/>
      <c r="D283" s="151"/>
      <c r="E283" s="151"/>
      <c r="F283" s="151"/>
      <c r="G283" s="151"/>
      <c r="H283" s="151"/>
      <c r="I283" s="152"/>
      <c r="J283" s="151" t="s">
        <v>257</v>
      </c>
      <c r="K283" s="27"/>
      <c r="L283" s="31"/>
      <c r="M283" s="563" t="s">
        <v>260</v>
      </c>
      <c r="N283" s="564"/>
      <c r="O283" s="35"/>
      <c r="P283" s="28"/>
      <c r="Q283" s="28">
        <v>1540000</v>
      </c>
      <c r="R283" s="29">
        <f>Q283/Q$292*100</f>
        <v>0.51971035259647624</v>
      </c>
      <c r="S283" s="29">
        <v>100</v>
      </c>
      <c r="T283" s="28">
        <f t="shared" si="175"/>
        <v>0</v>
      </c>
      <c r="U283" s="28">
        <f t="shared" si="150"/>
        <v>0</v>
      </c>
      <c r="V283" s="87">
        <f t="shared" si="147"/>
        <v>100</v>
      </c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>
        <v>0</v>
      </c>
      <c r="AJ283" s="29">
        <f t="shared" si="176"/>
        <v>0</v>
      </c>
      <c r="AK283" s="136">
        <f t="shared" si="172"/>
        <v>1540000</v>
      </c>
      <c r="AL283" s="29">
        <f t="shared" si="177"/>
        <v>100</v>
      </c>
      <c r="AM283" s="26"/>
    </row>
    <row r="284" spans="1:39" ht="28.5" customHeight="1" x14ac:dyDescent="0.25">
      <c r="A284" s="26"/>
      <c r="B284" s="151"/>
      <c r="C284" s="151"/>
      <c r="D284" s="151"/>
      <c r="E284" s="151"/>
      <c r="F284" s="151"/>
      <c r="G284" s="151"/>
      <c r="H284" s="151"/>
      <c r="I284" s="152"/>
      <c r="J284" s="151" t="s">
        <v>326</v>
      </c>
      <c r="K284" s="27"/>
      <c r="L284" s="31"/>
      <c r="M284" s="563" t="s">
        <v>327</v>
      </c>
      <c r="N284" s="564"/>
      <c r="O284" s="35"/>
      <c r="P284" s="28"/>
      <c r="Q284" s="28">
        <v>255600000</v>
      </c>
      <c r="R284" s="29">
        <f>Q284/Q$292*100</f>
        <v>86.258419560817757</v>
      </c>
      <c r="S284" s="29">
        <v>100</v>
      </c>
      <c r="T284" s="28">
        <f>AJ284</f>
        <v>0</v>
      </c>
      <c r="U284" s="28">
        <f>R284*T284/100</f>
        <v>0</v>
      </c>
      <c r="V284" s="87">
        <f>S284-T284</f>
        <v>100</v>
      </c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>
        <v>0</v>
      </c>
      <c r="AJ284" s="29">
        <f t="shared" si="176"/>
        <v>0</v>
      </c>
      <c r="AK284" s="136">
        <f t="shared" si="172"/>
        <v>255600000</v>
      </c>
      <c r="AL284" s="29">
        <f t="shared" si="177"/>
        <v>100</v>
      </c>
      <c r="AM284" s="26"/>
    </row>
    <row r="285" spans="1:39" ht="28.5" customHeight="1" x14ac:dyDescent="0.25">
      <c r="A285" s="26"/>
      <c r="B285" s="176"/>
      <c r="C285" s="176"/>
      <c r="D285" s="176"/>
      <c r="E285" s="176"/>
      <c r="F285" s="176"/>
      <c r="G285" s="176"/>
      <c r="H285" s="176"/>
      <c r="I285" s="177"/>
      <c r="J285" s="176" t="s">
        <v>604</v>
      </c>
      <c r="K285" s="27"/>
      <c r="L285" s="31"/>
      <c r="M285" s="563" t="s">
        <v>324</v>
      </c>
      <c r="N285" s="564"/>
      <c r="O285" s="35"/>
      <c r="P285" s="28"/>
      <c r="Q285" s="28">
        <v>10000000</v>
      </c>
      <c r="R285" s="29"/>
      <c r="S285" s="29">
        <v>100</v>
      </c>
      <c r="T285" s="28">
        <f>AJ285</f>
        <v>0</v>
      </c>
      <c r="U285" s="28"/>
      <c r="V285" s="87">
        <f>S285-T285</f>
        <v>100</v>
      </c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>
        <v>0</v>
      </c>
      <c r="AJ285" s="29">
        <f t="shared" si="176"/>
        <v>0</v>
      </c>
      <c r="AK285" s="136">
        <f t="shared" si="172"/>
        <v>10000000</v>
      </c>
      <c r="AL285" s="29">
        <f t="shared" si="177"/>
        <v>100</v>
      </c>
      <c r="AM285" s="26"/>
    </row>
    <row r="286" spans="1:39" ht="28.5" customHeight="1" x14ac:dyDescent="0.25">
      <c r="A286" s="26"/>
      <c r="B286" s="151"/>
      <c r="C286" s="151"/>
      <c r="D286" s="151"/>
      <c r="E286" s="151"/>
      <c r="F286" s="151"/>
      <c r="G286" s="151"/>
      <c r="H286" s="151"/>
      <c r="I286" s="152"/>
      <c r="J286" s="151" t="s">
        <v>269</v>
      </c>
      <c r="K286" s="27"/>
      <c r="L286" s="31"/>
      <c r="M286" s="563" t="s">
        <v>270</v>
      </c>
      <c r="N286" s="564"/>
      <c r="O286" s="35"/>
      <c r="P286" s="28"/>
      <c r="Q286" s="28">
        <v>25000000</v>
      </c>
      <c r="R286" s="29">
        <f t="shared" ref="R286:R291" si="179">Q286/Q$292*100</f>
        <v>8.4368563733194204</v>
      </c>
      <c r="S286" s="29">
        <v>100</v>
      </c>
      <c r="T286" s="28">
        <f t="shared" si="175"/>
        <v>0</v>
      </c>
      <c r="U286" s="28">
        <f t="shared" si="150"/>
        <v>0</v>
      </c>
      <c r="V286" s="87">
        <f t="shared" si="147"/>
        <v>100</v>
      </c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>
        <v>0</v>
      </c>
      <c r="AJ286" s="29">
        <f t="shared" si="176"/>
        <v>0</v>
      </c>
      <c r="AK286" s="136">
        <f t="shared" si="172"/>
        <v>25000000</v>
      </c>
      <c r="AL286" s="29">
        <f t="shared" si="177"/>
        <v>100</v>
      </c>
      <c r="AM286" s="26"/>
    </row>
    <row r="287" spans="1:39" ht="28.5" customHeight="1" x14ac:dyDescent="0.25">
      <c r="A287" s="26"/>
      <c r="B287" s="151"/>
      <c r="C287" s="151"/>
      <c r="D287" s="151"/>
      <c r="E287" s="151"/>
      <c r="F287" s="151"/>
      <c r="G287" s="151"/>
      <c r="H287" s="151"/>
      <c r="I287" s="152"/>
      <c r="J287" s="151" t="s">
        <v>315</v>
      </c>
      <c r="K287" s="27"/>
      <c r="L287" s="31"/>
      <c r="M287" s="563" t="s">
        <v>271</v>
      </c>
      <c r="N287" s="564"/>
      <c r="O287" s="35"/>
      <c r="P287" s="28"/>
      <c r="Q287" s="28">
        <v>1000000</v>
      </c>
      <c r="R287" s="29">
        <f t="shared" si="179"/>
        <v>0.33747425493277683</v>
      </c>
      <c r="S287" s="29">
        <v>100</v>
      </c>
      <c r="T287" s="28">
        <f t="shared" si="175"/>
        <v>0</v>
      </c>
      <c r="U287" s="28">
        <f t="shared" si="150"/>
        <v>0</v>
      </c>
      <c r="V287" s="87">
        <f t="shared" si="147"/>
        <v>100</v>
      </c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>
        <v>0</v>
      </c>
      <c r="AJ287" s="29">
        <f t="shared" si="176"/>
        <v>0</v>
      </c>
      <c r="AK287" s="136">
        <f t="shared" si="172"/>
        <v>1000000</v>
      </c>
      <c r="AL287" s="29">
        <f t="shared" si="177"/>
        <v>100</v>
      </c>
      <c r="AM287" s="26"/>
    </row>
    <row r="288" spans="1:39" ht="28.5" customHeight="1" x14ac:dyDescent="0.25">
      <c r="A288" s="26"/>
      <c r="B288" s="176"/>
      <c r="C288" s="176"/>
      <c r="D288" s="176"/>
      <c r="E288" s="176"/>
      <c r="F288" s="176"/>
      <c r="G288" s="176"/>
      <c r="H288" s="176"/>
      <c r="I288" s="177"/>
      <c r="J288" s="176" t="s">
        <v>318</v>
      </c>
      <c r="K288" s="27"/>
      <c r="L288" s="31"/>
      <c r="M288" s="563" t="s">
        <v>319</v>
      </c>
      <c r="N288" s="564"/>
      <c r="O288" s="35"/>
      <c r="P288" s="28"/>
      <c r="Q288" s="28">
        <v>105482320</v>
      </c>
      <c r="R288" s="29">
        <f t="shared" si="179"/>
        <v>35.597567350580746</v>
      </c>
      <c r="S288" s="29">
        <v>100</v>
      </c>
      <c r="T288" s="28">
        <f t="shared" si="175"/>
        <v>0</v>
      </c>
      <c r="U288" s="28"/>
      <c r="V288" s="87">
        <f t="shared" si="147"/>
        <v>100</v>
      </c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>
        <v>0</v>
      </c>
      <c r="AJ288" s="29">
        <f t="shared" si="176"/>
        <v>0</v>
      </c>
      <c r="AK288" s="136">
        <f t="shared" si="172"/>
        <v>105482320</v>
      </c>
      <c r="AL288" s="29">
        <f t="shared" si="177"/>
        <v>100</v>
      </c>
      <c r="AM288" s="26"/>
    </row>
    <row r="289" spans="1:39" ht="28.5" customHeight="1" x14ac:dyDescent="0.25">
      <c r="A289" s="26"/>
      <c r="B289" s="151"/>
      <c r="C289" s="151"/>
      <c r="D289" s="151"/>
      <c r="E289" s="151"/>
      <c r="F289" s="151"/>
      <c r="G289" s="151"/>
      <c r="H289" s="151"/>
      <c r="I289" s="152"/>
      <c r="J289" s="176" t="s">
        <v>280</v>
      </c>
      <c r="K289" s="27"/>
      <c r="L289" s="31"/>
      <c r="M289" s="563" t="s">
        <v>281</v>
      </c>
      <c r="N289" s="564"/>
      <c r="O289" s="35"/>
      <c r="P289" s="28"/>
      <c r="Q289" s="28">
        <v>13000000</v>
      </c>
      <c r="R289" s="29">
        <f t="shared" si="179"/>
        <v>4.3871653141260989</v>
      </c>
      <c r="S289" s="29">
        <v>100</v>
      </c>
      <c r="T289" s="28">
        <f t="shared" si="175"/>
        <v>0</v>
      </c>
      <c r="U289" s="28">
        <f t="shared" si="150"/>
        <v>0</v>
      </c>
      <c r="V289" s="87">
        <f t="shared" si="147"/>
        <v>100</v>
      </c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>
        <v>0</v>
      </c>
      <c r="AJ289" s="29">
        <f t="shared" si="176"/>
        <v>0</v>
      </c>
      <c r="AK289" s="136">
        <f t="shared" si="172"/>
        <v>13000000</v>
      </c>
      <c r="AL289" s="29">
        <f t="shared" si="177"/>
        <v>100</v>
      </c>
      <c r="AM289" s="26"/>
    </row>
    <row r="290" spans="1:39" ht="28.5" customHeight="1" x14ac:dyDescent="0.25">
      <c r="A290" s="26"/>
      <c r="B290" s="176"/>
      <c r="C290" s="176"/>
      <c r="D290" s="176"/>
      <c r="E290" s="176"/>
      <c r="F290" s="176"/>
      <c r="G290" s="176"/>
      <c r="H290" s="176"/>
      <c r="I290" s="177"/>
      <c r="J290" s="176" t="s">
        <v>284</v>
      </c>
      <c r="K290" s="27"/>
      <c r="L290" s="31"/>
      <c r="M290" s="563" t="s">
        <v>600</v>
      </c>
      <c r="N290" s="564"/>
      <c r="O290" s="35"/>
      <c r="P290" s="28"/>
      <c r="Q290" s="28">
        <v>660000</v>
      </c>
      <c r="R290" s="29">
        <f t="shared" si="179"/>
        <v>0.22273300825563269</v>
      </c>
      <c r="S290" s="29">
        <v>100</v>
      </c>
      <c r="T290" s="28">
        <f t="shared" si="175"/>
        <v>0</v>
      </c>
      <c r="U290" s="28"/>
      <c r="V290" s="87">
        <f t="shared" ref="V290:V291" si="180">S290-T290</f>
        <v>100</v>
      </c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>
        <v>0</v>
      </c>
      <c r="AJ290" s="29">
        <f t="shared" si="176"/>
        <v>0</v>
      </c>
      <c r="AK290" s="136">
        <f t="shared" si="172"/>
        <v>660000</v>
      </c>
      <c r="AL290" s="29">
        <f t="shared" si="177"/>
        <v>100</v>
      </c>
      <c r="AM290" s="26"/>
    </row>
    <row r="291" spans="1:39" ht="28.5" customHeight="1" x14ac:dyDescent="0.25">
      <c r="A291" s="26"/>
      <c r="B291" s="151"/>
      <c r="C291" s="151"/>
      <c r="D291" s="151"/>
      <c r="E291" s="151"/>
      <c r="F291" s="151"/>
      <c r="G291" s="151"/>
      <c r="H291" s="151"/>
      <c r="I291" s="152"/>
      <c r="J291" s="151" t="s">
        <v>407</v>
      </c>
      <c r="K291" s="27"/>
      <c r="L291" s="31"/>
      <c r="M291" s="563" t="s">
        <v>414</v>
      </c>
      <c r="N291" s="564"/>
      <c r="O291" s="35"/>
      <c r="P291" s="28"/>
      <c r="Q291" s="28">
        <v>400000</v>
      </c>
      <c r="R291" s="29">
        <f t="shared" si="179"/>
        <v>0.13498970197311072</v>
      </c>
      <c r="S291" s="29">
        <v>100</v>
      </c>
      <c r="T291" s="28">
        <f t="shared" si="175"/>
        <v>0</v>
      </c>
      <c r="U291" s="28">
        <f t="shared" si="150"/>
        <v>0</v>
      </c>
      <c r="V291" s="87">
        <f t="shared" si="180"/>
        <v>100</v>
      </c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>
        <v>0</v>
      </c>
      <c r="AJ291" s="29">
        <f t="shared" si="176"/>
        <v>0</v>
      </c>
      <c r="AK291" s="136">
        <f t="shared" si="172"/>
        <v>400000</v>
      </c>
      <c r="AL291" s="29">
        <f t="shared" si="177"/>
        <v>100</v>
      </c>
      <c r="AM291" s="26"/>
    </row>
    <row r="292" spans="1:39" s="86" customFormat="1" ht="28.5" customHeight="1" x14ac:dyDescent="0.25">
      <c r="A292" s="21" t="e">
        <f>A282+1</f>
        <v>#REF!</v>
      </c>
      <c r="B292" s="543" t="s">
        <v>147</v>
      </c>
      <c r="C292" s="543"/>
      <c r="D292" s="543"/>
      <c r="E292" s="543"/>
      <c r="F292" s="543"/>
      <c r="G292" s="543"/>
      <c r="H292" s="543"/>
      <c r="I292" s="544"/>
      <c r="J292" s="122" t="s">
        <v>484</v>
      </c>
      <c r="K292" s="22"/>
      <c r="L292" s="72"/>
      <c r="M292" s="568" t="s">
        <v>43</v>
      </c>
      <c r="N292" s="568"/>
      <c r="O292" s="85">
        <v>450820000</v>
      </c>
      <c r="P292" s="23">
        <f>O292</f>
        <v>450820000</v>
      </c>
      <c r="Q292" s="23">
        <f>SUM(Q293:Q303)</f>
        <v>296318900</v>
      </c>
      <c r="R292" s="24" t="e">
        <f>Q292/Q$243*100</f>
        <v>#REF!</v>
      </c>
      <c r="S292" s="24">
        <v>100</v>
      </c>
      <c r="T292" s="23">
        <f t="shared" si="175"/>
        <v>0</v>
      </c>
      <c r="U292" s="23" t="e">
        <f t="shared" si="150"/>
        <v>#REF!</v>
      </c>
      <c r="V292" s="90">
        <f t="shared" ref="V292:V530" si="181">S292-T292</f>
        <v>100</v>
      </c>
      <c r="W292" s="23"/>
      <c r="X292" s="23" t="e">
        <f>#REF!</f>
        <v>#REF!</v>
      </c>
      <c r="Y292" s="23" t="e">
        <f>#REF!</f>
        <v>#REF!</v>
      </c>
      <c r="Z292" s="23" t="e">
        <f>#REF!</f>
        <v>#REF!</v>
      </c>
      <c r="AA292" s="23" t="e">
        <f>#REF!</f>
        <v>#REF!</v>
      </c>
      <c r="AB292" s="23">
        <v>0</v>
      </c>
      <c r="AC292" s="23" t="e">
        <f>#REF!</f>
        <v>#REF!</v>
      </c>
      <c r="AD292" s="23" t="e">
        <f>#REF!</f>
        <v>#REF!</v>
      </c>
      <c r="AE292" s="23" t="e">
        <f>#REF!</f>
        <v>#REF!</v>
      </c>
      <c r="AF292" s="23" t="e">
        <f>[1]April!N59</f>
        <v>#REF!</v>
      </c>
      <c r="AG292" s="23" t="e">
        <f>[2]april!N59</f>
        <v>#REF!</v>
      </c>
      <c r="AH292" s="23">
        <f>'[3]DES SKPD'!$N59</f>
        <v>395224250</v>
      </c>
      <c r="AI292" s="23">
        <f>SUM(AI293:AI303)</f>
        <v>0</v>
      </c>
      <c r="AJ292" s="24">
        <f t="shared" si="176"/>
        <v>0</v>
      </c>
      <c r="AK292" s="134">
        <f t="shared" si="172"/>
        <v>296318900</v>
      </c>
      <c r="AL292" s="24">
        <f t="shared" si="177"/>
        <v>100</v>
      </c>
      <c r="AM292" s="21"/>
    </row>
    <row r="293" spans="1:39" ht="28.5" customHeight="1" x14ac:dyDescent="0.25">
      <c r="A293" s="26"/>
      <c r="B293" s="151"/>
      <c r="C293" s="151"/>
      <c r="D293" s="151"/>
      <c r="E293" s="151"/>
      <c r="F293" s="151"/>
      <c r="G293" s="151"/>
      <c r="H293" s="151"/>
      <c r="I293" s="152"/>
      <c r="J293" s="151" t="s">
        <v>257</v>
      </c>
      <c r="K293" s="27"/>
      <c r="L293" s="31"/>
      <c r="M293" s="563" t="s">
        <v>260</v>
      </c>
      <c r="N293" s="564"/>
      <c r="O293" s="35"/>
      <c r="P293" s="28"/>
      <c r="Q293" s="28">
        <v>1540000</v>
      </c>
      <c r="R293" s="29">
        <f>Q293/Q$292*100</f>
        <v>0.51971035259647624</v>
      </c>
      <c r="S293" s="29">
        <v>100</v>
      </c>
      <c r="T293" s="28">
        <f t="shared" si="175"/>
        <v>0</v>
      </c>
      <c r="U293" s="28">
        <f t="shared" si="150"/>
        <v>0</v>
      </c>
      <c r="V293" s="87">
        <f t="shared" si="181"/>
        <v>100</v>
      </c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>
        <v>0</v>
      </c>
      <c r="AJ293" s="29">
        <f t="shared" si="176"/>
        <v>0</v>
      </c>
      <c r="AK293" s="136">
        <f t="shared" si="172"/>
        <v>1540000</v>
      </c>
      <c r="AL293" s="29">
        <f t="shared" si="177"/>
        <v>100</v>
      </c>
      <c r="AM293" s="26"/>
    </row>
    <row r="294" spans="1:39" ht="28.5" customHeight="1" x14ac:dyDescent="0.25">
      <c r="A294" s="26"/>
      <c r="B294" s="151"/>
      <c r="C294" s="151"/>
      <c r="D294" s="151"/>
      <c r="E294" s="151"/>
      <c r="F294" s="151"/>
      <c r="G294" s="151"/>
      <c r="H294" s="151"/>
      <c r="I294" s="152"/>
      <c r="J294" s="151" t="s">
        <v>326</v>
      </c>
      <c r="K294" s="27"/>
      <c r="L294" s="31"/>
      <c r="M294" s="563" t="s">
        <v>327</v>
      </c>
      <c r="N294" s="564"/>
      <c r="O294" s="35"/>
      <c r="P294" s="28"/>
      <c r="Q294" s="28">
        <v>140400000</v>
      </c>
      <c r="R294" s="29">
        <f t="shared" ref="R294:R303" si="182">Q294/Q$292*100</f>
        <v>47.381385392561867</v>
      </c>
      <c r="S294" s="29">
        <v>100</v>
      </c>
      <c r="T294" s="28">
        <f t="shared" si="175"/>
        <v>0</v>
      </c>
      <c r="U294" s="28">
        <f t="shared" si="150"/>
        <v>0</v>
      </c>
      <c r="V294" s="87">
        <f t="shared" si="181"/>
        <v>100</v>
      </c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>
        <v>0</v>
      </c>
      <c r="AJ294" s="29">
        <f t="shared" si="176"/>
        <v>0</v>
      </c>
      <c r="AK294" s="136">
        <f t="shared" si="172"/>
        <v>140400000</v>
      </c>
      <c r="AL294" s="29">
        <f t="shared" si="177"/>
        <v>100</v>
      </c>
      <c r="AM294" s="26"/>
    </row>
    <row r="295" spans="1:39" ht="28.5" customHeight="1" x14ac:dyDescent="0.25">
      <c r="A295" s="26"/>
      <c r="B295" s="176"/>
      <c r="C295" s="176"/>
      <c r="D295" s="176"/>
      <c r="E295" s="176"/>
      <c r="F295" s="176"/>
      <c r="G295" s="176"/>
      <c r="H295" s="176"/>
      <c r="I295" s="177"/>
      <c r="J295" s="176" t="s">
        <v>323</v>
      </c>
      <c r="K295" s="27"/>
      <c r="L295" s="31"/>
      <c r="M295" s="563" t="s">
        <v>324</v>
      </c>
      <c r="N295" s="564"/>
      <c r="O295" s="35"/>
      <c r="P295" s="28"/>
      <c r="Q295" s="28">
        <v>10000000</v>
      </c>
      <c r="R295" s="29">
        <f t="shared" si="182"/>
        <v>3.3747425493277681</v>
      </c>
      <c r="S295" s="29">
        <v>100</v>
      </c>
      <c r="T295" s="28">
        <f t="shared" si="175"/>
        <v>0</v>
      </c>
      <c r="U295" s="28">
        <f t="shared" si="150"/>
        <v>0</v>
      </c>
      <c r="V295" s="87">
        <f t="shared" ref="V295" si="183">S295-T295</f>
        <v>100</v>
      </c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>
        <v>0</v>
      </c>
      <c r="AJ295" s="29">
        <f t="shared" si="176"/>
        <v>0</v>
      </c>
      <c r="AK295" s="136">
        <f t="shared" si="172"/>
        <v>10000000</v>
      </c>
      <c r="AL295" s="29">
        <f t="shared" si="177"/>
        <v>100</v>
      </c>
      <c r="AM295" s="26"/>
    </row>
    <row r="296" spans="1:39" ht="28.5" customHeight="1" x14ac:dyDescent="0.25">
      <c r="A296" s="26"/>
      <c r="B296" s="151"/>
      <c r="C296" s="151"/>
      <c r="D296" s="151"/>
      <c r="E296" s="151"/>
      <c r="F296" s="151"/>
      <c r="G296" s="151"/>
      <c r="H296" s="151"/>
      <c r="I296" s="152"/>
      <c r="J296" s="151" t="s">
        <v>341</v>
      </c>
      <c r="K296" s="27"/>
      <c r="L296" s="31"/>
      <c r="M296" s="563" t="s">
        <v>337</v>
      </c>
      <c r="N296" s="564"/>
      <c r="O296" s="35"/>
      <c r="P296" s="28"/>
      <c r="Q296" s="28">
        <v>10000000</v>
      </c>
      <c r="R296" s="29">
        <f t="shared" si="182"/>
        <v>3.3747425493277681</v>
      </c>
      <c r="S296" s="29">
        <v>100</v>
      </c>
      <c r="T296" s="28">
        <f t="shared" si="175"/>
        <v>0</v>
      </c>
      <c r="U296" s="28">
        <f t="shared" si="150"/>
        <v>0</v>
      </c>
      <c r="V296" s="87">
        <f t="shared" si="181"/>
        <v>100</v>
      </c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>
        <v>0</v>
      </c>
      <c r="AJ296" s="29">
        <f t="shared" si="176"/>
        <v>0</v>
      </c>
      <c r="AK296" s="136">
        <f t="shared" si="172"/>
        <v>10000000</v>
      </c>
      <c r="AL296" s="29">
        <f t="shared" si="177"/>
        <v>100</v>
      </c>
      <c r="AM296" s="26"/>
    </row>
    <row r="297" spans="1:39" ht="28.5" customHeight="1" x14ac:dyDescent="0.25">
      <c r="A297" s="26"/>
      <c r="B297" s="151"/>
      <c r="C297" s="151"/>
      <c r="D297" s="151"/>
      <c r="E297" s="151"/>
      <c r="F297" s="151"/>
      <c r="G297" s="151"/>
      <c r="H297" s="151"/>
      <c r="I297" s="152"/>
      <c r="J297" s="151" t="s">
        <v>269</v>
      </c>
      <c r="K297" s="27"/>
      <c r="L297" s="31"/>
      <c r="M297" s="563" t="s">
        <v>270</v>
      </c>
      <c r="N297" s="564"/>
      <c r="O297" s="35"/>
      <c r="P297" s="28"/>
      <c r="Q297" s="28">
        <v>23000000</v>
      </c>
      <c r="R297" s="29">
        <f t="shared" si="182"/>
        <v>7.7619078634538665</v>
      </c>
      <c r="S297" s="29">
        <v>100</v>
      </c>
      <c r="T297" s="28">
        <f t="shared" si="175"/>
        <v>0</v>
      </c>
      <c r="U297" s="28">
        <f t="shared" ref="U297:U353" si="184">R297*T297/100</f>
        <v>0</v>
      </c>
      <c r="V297" s="87">
        <f t="shared" si="181"/>
        <v>100</v>
      </c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>
        <v>0</v>
      </c>
      <c r="AJ297" s="29">
        <f t="shared" si="176"/>
        <v>0</v>
      </c>
      <c r="AK297" s="136">
        <f t="shared" si="172"/>
        <v>23000000</v>
      </c>
      <c r="AL297" s="29">
        <f t="shared" si="177"/>
        <v>100</v>
      </c>
      <c r="AM297" s="26"/>
    </row>
    <row r="298" spans="1:39" ht="28.5" customHeight="1" x14ac:dyDescent="0.25">
      <c r="A298" s="26"/>
      <c r="B298" s="151"/>
      <c r="C298" s="151"/>
      <c r="D298" s="151"/>
      <c r="E298" s="151"/>
      <c r="F298" s="151"/>
      <c r="G298" s="151"/>
      <c r="H298" s="151"/>
      <c r="I298" s="152"/>
      <c r="J298" s="151" t="s">
        <v>315</v>
      </c>
      <c r="K298" s="27"/>
      <c r="L298" s="31"/>
      <c r="M298" s="563" t="s">
        <v>271</v>
      </c>
      <c r="N298" s="564"/>
      <c r="O298" s="35"/>
      <c r="P298" s="28"/>
      <c r="Q298" s="28">
        <v>17000000</v>
      </c>
      <c r="R298" s="29">
        <f t="shared" si="182"/>
        <v>5.7370623338572058</v>
      </c>
      <c r="S298" s="29">
        <v>100</v>
      </c>
      <c r="T298" s="28">
        <f t="shared" si="175"/>
        <v>0</v>
      </c>
      <c r="U298" s="28">
        <f t="shared" si="184"/>
        <v>0</v>
      </c>
      <c r="V298" s="87">
        <f t="shared" si="181"/>
        <v>100</v>
      </c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>
        <v>0</v>
      </c>
      <c r="AJ298" s="29">
        <f t="shared" si="176"/>
        <v>0</v>
      </c>
      <c r="AK298" s="136">
        <f t="shared" si="172"/>
        <v>17000000</v>
      </c>
      <c r="AL298" s="29">
        <f t="shared" si="177"/>
        <v>100</v>
      </c>
      <c r="AM298" s="26"/>
    </row>
    <row r="299" spans="1:39" ht="28.5" customHeight="1" x14ac:dyDescent="0.25">
      <c r="A299" s="26"/>
      <c r="B299" s="151"/>
      <c r="C299" s="151"/>
      <c r="D299" s="151"/>
      <c r="E299" s="151"/>
      <c r="F299" s="151"/>
      <c r="G299" s="151"/>
      <c r="H299" s="151"/>
      <c r="I299" s="152"/>
      <c r="J299" s="151" t="s">
        <v>343</v>
      </c>
      <c r="K299" s="27"/>
      <c r="L299" s="31"/>
      <c r="M299" s="563" t="s">
        <v>319</v>
      </c>
      <c r="N299" s="564"/>
      <c r="O299" s="35"/>
      <c r="P299" s="28"/>
      <c r="Q299" s="28">
        <v>32500000</v>
      </c>
      <c r="R299" s="29">
        <f t="shared" si="182"/>
        <v>10.967913285315246</v>
      </c>
      <c r="S299" s="29">
        <v>100</v>
      </c>
      <c r="T299" s="28">
        <f t="shared" si="175"/>
        <v>0</v>
      </c>
      <c r="U299" s="28">
        <f t="shared" si="184"/>
        <v>0</v>
      </c>
      <c r="V299" s="87">
        <f t="shared" si="181"/>
        <v>100</v>
      </c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>
        <v>0</v>
      </c>
      <c r="AJ299" s="29">
        <f t="shared" si="176"/>
        <v>0</v>
      </c>
      <c r="AK299" s="136">
        <f t="shared" ref="AK299:AK354" si="185">Q299-AI299</f>
        <v>32500000</v>
      </c>
      <c r="AL299" s="29">
        <f t="shared" si="177"/>
        <v>100</v>
      </c>
      <c r="AM299" s="26"/>
    </row>
    <row r="300" spans="1:39" ht="28.5" customHeight="1" x14ac:dyDescent="0.25">
      <c r="A300" s="26"/>
      <c r="B300" s="151"/>
      <c r="C300" s="151"/>
      <c r="D300" s="151"/>
      <c r="E300" s="151"/>
      <c r="F300" s="151"/>
      <c r="G300" s="151"/>
      <c r="H300" s="151"/>
      <c r="I300" s="152"/>
      <c r="J300" s="151" t="s">
        <v>280</v>
      </c>
      <c r="K300" s="27"/>
      <c r="L300" s="31"/>
      <c r="M300" s="563" t="s">
        <v>281</v>
      </c>
      <c r="N300" s="564"/>
      <c r="O300" s="35"/>
      <c r="P300" s="28"/>
      <c r="Q300" s="28">
        <v>6500000</v>
      </c>
      <c r="R300" s="29">
        <f t="shared" si="182"/>
        <v>2.1935826570630494</v>
      </c>
      <c r="S300" s="29">
        <v>100</v>
      </c>
      <c r="T300" s="28">
        <f t="shared" si="175"/>
        <v>0</v>
      </c>
      <c r="U300" s="28">
        <f t="shared" si="184"/>
        <v>0</v>
      </c>
      <c r="V300" s="87">
        <f t="shared" si="181"/>
        <v>100</v>
      </c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>
        <v>0</v>
      </c>
      <c r="AJ300" s="29">
        <f t="shared" si="176"/>
        <v>0</v>
      </c>
      <c r="AK300" s="136">
        <f t="shared" si="185"/>
        <v>6500000</v>
      </c>
      <c r="AL300" s="29">
        <f t="shared" si="177"/>
        <v>100</v>
      </c>
      <c r="AM300" s="26"/>
    </row>
    <row r="301" spans="1:39" ht="28.5" customHeight="1" x14ac:dyDescent="0.25">
      <c r="A301" s="26"/>
      <c r="B301" s="176"/>
      <c r="C301" s="176"/>
      <c r="D301" s="176"/>
      <c r="E301" s="176"/>
      <c r="F301" s="176"/>
      <c r="G301" s="176"/>
      <c r="H301" s="176"/>
      <c r="I301" s="177"/>
      <c r="J301" s="176"/>
      <c r="K301" s="27"/>
      <c r="L301" s="31"/>
      <c r="M301" s="563" t="s">
        <v>285</v>
      </c>
      <c r="N301" s="564"/>
      <c r="O301" s="35"/>
      <c r="P301" s="28"/>
      <c r="Q301" s="28">
        <v>660000</v>
      </c>
      <c r="R301" s="29">
        <f t="shared" si="182"/>
        <v>0.22273300825563269</v>
      </c>
      <c r="S301" s="29"/>
      <c r="T301" s="28">
        <f t="shared" si="175"/>
        <v>0</v>
      </c>
      <c r="U301" s="28">
        <f t="shared" si="184"/>
        <v>0</v>
      </c>
      <c r="V301" s="87">
        <f t="shared" ref="V301" si="186">S301-T301</f>
        <v>0</v>
      </c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>
        <v>0</v>
      </c>
      <c r="AJ301" s="29">
        <f t="shared" si="176"/>
        <v>0</v>
      </c>
      <c r="AK301" s="136">
        <f t="shared" si="185"/>
        <v>660000</v>
      </c>
      <c r="AL301" s="29">
        <f t="shared" si="177"/>
        <v>100</v>
      </c>
      <c r="AM301" s="26"/>
    </row>
    <row r="302" spans="1:39" ht="28.5" customHeight="1" x14ac:dyDescent="0.25">
      <c r="A302" s="26"/>
      <c r="B302" s="151"/>
      <c r="C302" s="151"/>
      <c r="D302" s="151"/>
      <c r="E302" s="151"/>
      <c r="F302" s="151"/>
      <c r="G302" s="151"/>
      <c r="H302" s="151"/>
      <c r="I302" s="152"/>
      <c r="J302" s="151" t="s">
        <v>282</v>
      </c>
      <c r="K302" s="27"/>
      <c r="L302" s="31"/>
      <c r="M302" s="563" t="s">
        <v>283</v>
      </c>
      <c r="N302" s="564"/>
      <c r="O302" s="35"/>
      <c r="P302" s="28"/>
      <c r="Q302" s="28">
        <v>53918900</v>
      </c>
      <c r="R302" s="29">
        <f t="shared" si="182"/>
        <v>18.1962406042949</v>
      </c>
      <c r="S302" s="29">
        <v>100</v>
      </c>
      <c r="T302" s="28">
        <f t="shared" si="175"/>
        <v>0</v>
      </c>
      <c r="U302" s="28">
        <f t="shared" si="184"/>
        <v>0</v>
      </c>
      <c r="V302" s="87">
        <f t="shared" si="181"/>
        <v>100</v>
      </c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>
        <v>0</v>
      </c>
      <c r="AJ302" s="29">
        <f t="shared" si="176"/>
        <v>0</v>
      </c>
      <c r="AK302" s="136">
        <f t="shared" si="185"/>
        <v>53918900</v>
      </c>
      <c r="AL302" s="29">
        <f t="shared" si="177"/>
        <v>100</v>
      </c>
      <c r="AM302" s="26"/>
    </row>
    <row r="303" spans="1:39" ht="28.5" customHeight="1" x14ac:dyDescent="0.25">
      <c r="A303" s="26"/>
      <c r="B303" s="151"/>
      <c r="C303" s="151"/>
      <c r="D303" s="151"/>
      <c r="E303" s="151"/>
      <c r="F303" s="151"/>
      <c r="G303" s="151"/>
      <c r="H303" s="151"/>
      <c r="I303" s="152"/>
      <c r="J303" s="151" t="s">
        <v>407</v>
      </c>
      <c r="K303" s="27"/>
      <c r="L303" s="31"/>
      <c r="M303" s="563" t="s">
        <v>414</v>
      </c>
      <c r="N303" s="564"/>
      <c r="O303" s="35"/>
      <c r="P303" s="28"/>
      <c r="Q303" s="28">
        <v>800000</v>
      </c>
      <c r="R303" s="29">
        <f t="shared" si="182"/>
        <v>0.26997940394622144</v>
      </c>
      <c r="S303" s="29">
        <v>100</v>
      </c>
      <c r="T303" s="28">
        <f t="shared" si="175"/>
        <v>0</v>
      </c>
      <c r="U303" s="28">
        <f t="shared" si="184"/>
        <v>0</v>
      </c>
      <c r="V303" s="87">
        <f t="shared" si="181"/>
        <v>100</v>
      </c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>
        <v>0</v>
      </c>
      <c r="AJ303" s="29">
        <f t="shared" si="176"/>
        <v>0</v>
      </c>
      <c r="AK303" s="136">
        <f t="shared" si="185"/>
        <v>800000</v>
      </c>
      <c r="AL303" s="29">
        <f t="shared" si="177"/>
        <v>100</v>
      </c>
      <c r="AM303" s="26"/>
    </row>
    <row r="304" spans="1:39" s="86" customFormat="1" ht="28.5" customHeight="1" x14ac:dyDescent="0.25">
      <c r="A304" s="21" t="e">
        <f>A292+1</f>
        <v>#REF!</v>
      </c>
      <c r="B304" s="543" t="s">
        <v>148</v>
      </c>
      <c r="C304" s="543"/>
      <c r="D304" s="543"/>
      <c r="E304" s="543"/>
      <c r="F304" s="543"/>
      <c r="G304" s="543"/>
      <c r="H304" s="543"/>
      <c r="I304" s="544"/>
      <c r="J304" s="122" t="s">
        <v>485</v>
      </c>
      <c r="K304" s="22"/>
      <c r="L304" s="72"/>
      <c r="M304" s="568" t="s">
        <v>44</v>
      </c>
      <c r="N304" s="568"/>
      <c r="O304" s="85">
        <v>100275000</v>
      </c>
      <c r="P304" s="23">
        <f>O304</f>
        <v>100275000</v>
      </c>
      <c r="Q304" s="23">
        <f>SUM(Q305:Q311)</f>
        <v>331985880</v>
      </c>
      <c r="R304" s="24" t="e">
        <f>Q304/Q$243*100</f>
        <v>#REF!</v>
      </c>
      <c r="S304" s="24">
        <v>100</v>
      </c>
      <c r="T304" s="23">
        <f t="shared" si="175"/>
        <v>0</v>
      </c>
      <c r="U304" s="23" t="e">
        <f t="shared" si="184"/>
        <v>#REF!</v>
      </c>
      <c r="V304" s="90">
        <f t="shared" si="181"/>
        <v>100</v>
      </c>
      <c r="W304" s="23"/>
      <c r="X304" s="23" t="e">
        <f>#REF!</f>
        <v>#REF!</v>
      </c>
      <c r="Y304" s="23" t="e">
        <f>#REF!</f>
        <v>#REF!</v>
      </c>
      <c r="Z304" s="23" t="e">
        <f>#REF!</f>
        <v>#REF!</v>
      </c>
      <c r="AA304" s="23" t="e">
        <f>#REF!</f>
        <v>#REF!</v>
      </c>
      <c r="AB304" s="23">
        <v>0</v>
      </c>
      <c r="AC304" s="23" t="e">
        <f>#REF!</f>
        <v>#REF!</v>
      </c>
      <c r="AD304" s="23" t="e">
        <f>#REF!</f>
        <v>#REF!</v>
      </c>
      <c r="AE304" s="23" t="e">
        <f>#REF!</f>
        <v>#REF!</v>
      </c>
      <c r="AF304" s="23" t="e">
        <f>[1]April!N60</f>
        <v>#REF!</v>
      </c>
      <c r="AG304" s="23" t="e">
        <f>[2]april!N60</f>
        <v>#REF!</v>
      </c>
      <c r="AH304" s="23">
        <f>'[3]DES SKPD'!$N60</f>
        <v>90196500</v>
      </c>
      <c r="AI304" s="23">
        <f>SUM(AI305:AI311)</f>
        <v>0</v>
      </c>
      <c r="AJ304" s="24">
        <f t="shared" si="176"/>
        <v>0</v>
      </c>
      <c r="AK304" s="134">
        <f t="shared" si="185"/>
        <v>331985880</v>
      </c>
      <c r="AL304" s="24">
        <f t="shared" si="177"/>
        <v>100</v>
      </c>
      <c r="AM304" s="21"/>
    </row>
    <row r="305" spans="1:39" ht="28.5" customHeight="1" x14ac:dyDescent="0.25">
      <c r="A305" s="26"/>
      <c r="B305" s="151"/>
      <c r="C305" s="151"/>
      <c r="D305" s="151"/>
      <c r="E305" s="151"/>
      <c r="F305" s="151"/>
      <c r="G305" s="151"/>
      <c r="H305" s="151"/>
      <c r="I305" s="152"/>
      <c r="J305" s="151" t="s">
        <v>326</v>
      </c>
      <c r="K305" s="27"/>
      <c r="L305" s="31"/>
      <c r="M305" s="563" t="s">
        <v>327</v>
      </c>
      <c r="N305" s="564"/>
      <c r="O305" s="35"/>
      <c r="P305" s="28"/>
      <c r="Q305" s="28">
        <v>280800000</v>
      </c>
      <c r="R305" s="29">
        <f t="shared" ref="R305:R311" si="187">Q305/Q$304*100</f>
        <v>84.581910531857559</v>
      </c>
      <c r="S305" s="29">
        <v>100</v>
      </c>
      <c r="T305" s="28">
        <f t="shared" si="175"/>
        <v>0</v>
      </c>
      <c r="U305" s="28">
        <f t="shared" si="184"/>
        <v>0</v>
      </c>
      <c r="V305" s="87">
        <f t="shared" si="181"/>
        <v>100</v>
      </c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>
        <v>0</v>
      </c>
      <c r="AJ305" s="29">
        <f t="shared" si="176"/>
        <v>0</v>
      </c>
      <c r="AK305" s="136">
        <f t="shared" si="185"/>
        <v>280800000</v>
      </c>
      <c r="AL305" s="29">
        <f t="shared" si="177"/>
        <v>100</v>
      </c>
      <c r="AM305" s="26"/>
    </row>
    <row r="306" spans="1:39" ht="28.5" customHeight="1" x14ac:dyDescent="0.25">
      <c r="A306" s="26"/>
      <c r="B306" s="176"/>
      <c r="C306" s="176"/>
      <c r="D306" s="176"/>
      <c r="E306" s="176"/>
      <c r="F306" s="176"/>
      <c r="G306" s="176"/>
      <c r="H306" s="176"/>
      <c r="I306" s="177"/>
      <c r="J306" s="176" t="s">
        <v>323</v>
      </c>
      <c r="K306" s="27"/>
      <c r="L306" s="31"/>
      <c r="M306" s="563" t="s">
        <v>324</v>
      </c>
      <c r="N306" s="564"/>
      <c r="O306" s="35"/>
      <c r="P306" s="28"/>
      <c r="Q306" s="28">
        <v>4000000</v>
      </c>
      <c r="R306" s="29">
        <f t="shared" ref="R306" si="188">Q306/Q$304*100</f>
        <v>1.2048705203968313</v>
      </c>
      <c r="S306" s="29">
        <v>100</v>
      </c>
      <c r="T306" s="28">
        <f t="shared" ref="T306" si="189">AJ306</f>
        <v>0</v>
      </c>
      <c r="U306" s="28">
        <f t="shared" ref="U306" si="190">R306*T306/100</f>
        <v>0</v>
      </c>
      <c r="V306" s="87">
        <f t="shared" ref="V306" si="191">S306-T306</f>
        <v>100</v>
      </c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>
        <v>0</v>
      </c>
      <c r="AJ306" s="29">
        <f t="shared" ref="AJ306" si="192">AI306/Q306*100</f>
        <v>0</v>
      </c>
      <c r="AK306" s="136">
        <f t="shared" ref="AK306" si="193">Q306-AI306</f>
        <v>4000000</v>
      </c>
      <c r="AL306" s="29">
        <f t="shared" ref="AL306" si="194">AK306/Q306*100</f>
        <v>100</v>
      </c>
      <c r="AM306" s="26"/>
    </row>
    <row r="307" spans="1:39" ht="28.5" customHeight="1" x14ac:dyDescent="0.25">
      <c r="A307" s="26"/>
      <c r="B307" s="151"/>
      <c r="C307" s="151"/>
      <c r="D307" s="151"/>
      <c r="E307" s="151"/>
      <c r="F307" s="151"/>
      <c r="G307" s="151"/>
      <c r="H307" s="151"/>
      <c r="I307" s="152"/>
      <c r="J307" s="151" t="s">
        <v>269</v>
      </c>
      <c r="K307" s="27"/>
      <c r="L307" s="31"/>
      <c r="M307" s="563" t="s">
        <v>270</v>
      </c>
      <c r="N307" s="564"/>
      <c r="O307" s="35"/>
      <c r="P307" s="28"/>
      <c r="Q307" s="28">
        <v>27680000</v>
      </c>
      <c r="R307" s="29">
        <f t="shared" si="187"/>
        <v>8.3377040011460739</v>
      </c>
      <c r="S307" s="29">
        <v>100</v>
      </c>
      <c r="T307" s="28">
        <f t="shared" si="175"/>
        <v>0</v>
      </c>
      <c r="U307" s="28">
        <f t="shared" si="184"/>
        <v>0</v>
      </c>
      <c r="V307" s="87">
        <f t="shared" si="181"/>
        <v>100</v>
      </c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>
        <v>0</v>
      </c>
      <c r="AJ307" s="29">
        <f t="shared" si="176"/>
        <v>0</v>
      </c>
      <c r="AK307" s="136">
        <f t="shared" si="185"/>
        <v>27680000</v>
      </c>
      <c r="AL307" s="29">
        <f t="shared" si="177"/>
        <v>100</v>
      </c>
      <c r="AM307" s="26"/>
    </row>
    <row r="308" spans="1:39" ht="28.5" customHeight="1" x14ac:dyDescent="0.25">
      <c r="A308" s="26"/>
      <c r="B308" s="151"/>
      <c r="C308" s="151"/>
      <c r="D308" s="151"/>
      <c r="E308" s="151"/>
      <c r="F308" s="151"/>
      <c r="G308" s="151"/>
      <c r="H308" s="151"/>
      <c r="I308" s="152"/>
      <c r="J308" s="151" t="s">
        <v>315</v>
      </c>
      <c r="K308" s="27"/>
      <c r="L308" s="31"/>
      <c r="M308" s="563" t="s">
        <v>271</v>
      </c>
      <c r="N308" s="564"/>
      <c r="O308" s="35"/>
      <c r="P308" s="28"/>
      <c r="Q308" s="28">
        <v>1000000</v>
      </c>
      <c r="R308" s="29">
        <f t="shared" si="187"/>
        <v>0.30121763009920782</v>
      </c>
      <c r="S308" s="29">
        <v>100</v>
      </c>
      <c r="T308" s="28">
        <f t="shared" si="175"/>
        <v>0</v>
      </c>
      <c r="U308" s="28">
        <f t="shared" si="184"/>
        <v>0</v>
      </c>
      <c r="V308" s="87">
        <f t="shared" si="181"/>
        <v>100</v>
      </c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>
        <v>0</v>
      </c>
      <c r="AJ308" s="29">
        <f t="shared" si="176"/>
        <v>0</v>
      </c>
      <c r="AK308" s="136">
        <f t="shared" si="185"/>
        <v>1000000</v>
      </c>
      <c r="AL308" s="29">
        <f t="shared" si="177"/>
        <v>100</v>
      </c>
      <c r="AM308" s="26"/>
    </row>
    <row r="309" spans="1:39" ht="28.5" customHeight="1" x14ac:dyDescent="0.25">
      <c r="A309" s="26"/>
      <c r="B309" s="176"/>
      <c r="C309" s="176"/>
      <c r="D309" s="176"/>
      <c r="E309" s="176"/>
      <c r="F309" s="176"/>
      <c r="G309" s="176"/>
      <c r="H309" s="176"/>
      <c r="I309" s="177"/>
      <c r="J309" s="176" t="s">
        <v>328</v>
      </c>
      <c r="K309" s="27"/>
      <c r="L309" s="31"/>
      <c r="M309" s="563" t="s">
        <v>329</v>
      </c>
      <c r="N309" s="564"/>
      <c r="O309" s="35"/>
      <c r="P309" s="28"/>
      <c r="Q309" s="28">
        <v>5105880</v>
      </c>
      <c r="R309" s="29">
        <f t="shared" ref="R309" si="195">Q309/Q$304*100</f>
        <v>1.5379810731709433</v>
      </c>
      <c r="S309" s="29">
        <v>100</v>
      </c>
      <c r="T309" s="28">
        <f t="shared" ref="T309" si="196">AJ309</f>
        <v>0</v>
      </c>
      <c r="U309" s="28">
        <f t="shared" ref="U309" si="197">R309*T309/100</f>
        <v>0</v>
      </c>
      <c r="V309" s="87">
        <f t="shared" ref="V309" si="198">S309-T309</f>
        <v>100</v>
      </c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>
        <v>0</v>
      </c>
      <c r="AJ309" s="29">
        <f t="shared" ref="AJ309" si="199">AI309/Q309*100</f>
        <v>0</v>
      </c>
      <c r="AK309" s="136">
        <f t="shared" ref="AK309" si="200">Q309-AI309</f>
        <v>5105880</v>
      </c>
      <c r="AL309" s="29">
        <f t="shared" ref="AL309" si="201">AK309/Q309*100</f>
        <v>100</v>
      </c>
      <c r="AM309" s="26"/>
    </row>
    <row r="310" spans="1:39" ht="28.5" customHeight="1" x14ac:dyDescent="0.25">
      <c r="A310" s="26"/>
      <c r="B310" s="151"/>
      <c r="C310" s="151"/>
      <c r="D310" s="151"/>
      <c r="E310" s="151"/>
      <c r="F310" s="151"/>
      <c r="G310" s="151"/>
      <c r="H310" s="151"/>
      <c r="I310" s="152"/>
      <c r="J310" s="151" t="s">
        <v>280</v>
      </c>
      <c r="K310" s="27"/>
      <c r="L310" s="31"/>
      <c r="M310" s="563" t="s">
        <v>281</v>
      </c>
      <c r="N310" s="564"/>
      <c r="O310" s="35"/>
      <c r="P310" s="28"/>
      <c r="Q310" s="28">
        <v>13000000</v>
      </c>
      <c r="R310" s="29">
        <f t="shared" si="187"/>
        <v>3.9158291912897019</v>
      </c>
      <c r="S310" s="29">
        <v>100</v>
      </c>
      <c r="T310" s="28">
        <f t="shared" si="175"/>
        <v>0</v>
      </c>
      <c r="U310" s="28">
        <f t="shared" si="184"/>
        <v>0</v>
      </c>
      <c r="V310" s="87">
        <f t="shared" si="181"/>
        <v>100</v>
      </c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>
        <v>0</v>
      </c>
      <c r="AJ310" s="29">
        <f t="shared" si="176"/>
        <v>0</v>
      </c>
      <c r="AK310" s="136">
        <f t="shared" si="185"/>
        <v>13000000</v>
      </c>
      <c r="AL310" s="29">
        <f t="shared" si="177"/>
        <v>100</v>
      </c>
      <c r="AM310" s="26"/>
    </row>
    <row r="311" spans="1:39" ht="28.5" customHeight="1" x14ac:dyDescent="0.25">
      <c r="A311" s="26"/>
      <c r="B311" s="151"/>
      <c r="C311" s="151"/>
      <c r="D311" s="151"/>
      <c r="E311" s="151"/>
      <c r="F311" s="151"/>
      <c r="G311" s="151"/>
      <c r="H311" s="151"/>
      <c r="I311" s="152"/>
      <c r="J311" s="151" t="s">
        <v>407</v>
      </c>
      <c r="K311" s="27"/>
      <c r="L311" s="31"/>
      <c r="M311" s="563" t="s">
        <v>414</v>
      </c>
      <c r="N311" s="564"/>
      <c r="O311" s="35"/>
      <c r="P311" s="28"/>
      <c r="Q311" s="28">
        <v>400000</v>
      </c>
      <c r="R311" s="29">
        <f t="shared" si="187"/>
        <v>0.12048705203968313</v>
      </c>
      <c r="S311" s="29">
        <v>100</v>
      </c>
      <c r="T311" s="28">
        <f t="shared" si="175"/>
        <v>0</v>
      </c>
      <c r="U311" s="28">
        <f t="shared" si="184"/>
        <v>0</v>
      </c>
      <c r="V311" s="87">
        <f t="shared" si="181"/>
        <v>100</v>
      </c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>
        <v>0</v>
      </c>
      <c r="AJ311" s="29">
        <f t="shared" si="176"/>
        <v>0</v>
      </c>
      <c r="AK311" s="136">
        <f t="shared" si="185"/>
        <v>400000</v>
      </c>
      <c r="AL311" s="29">
        <f t="shared" si="177"/>
        <v>100</v>
      </c>
      <c r="AM311" s="26"/>
    </row>
    <row r="312" spans="1:39" s="41" customFormat="1" ht="28.5" customHeight="1" x14ac:dyDescent="0.25">
      <c r="A312" s="21" t="e">
        <f>A304+1</f>
        <v>#REF!</v>
      </c>
      <c r="B312" s="543" t="s">
        <v>150</v>
      </c>
      <c r="C312" s="543"/>
      <c r="D312" s="543"/>
      <c r="E312" s="543"/>
      <c r="F312" s="543"/>
      <c r="G312" s="543"/>
      <c r="H312" s="543"/>
      <c r="I312" s="544"/>
      <c r="J312" s="122" t="s">
        <v>486</v>
      </c>
      <c r="K312" s="22"/>
      <c r="L312" s="72"/>
      <c r="M312" s="566" t="s">
        <v>45</v>
      </c>
      <c r="N312" s="566"/>
      <c r="O312" s="76">
        <v>803450000</v>
      </c>
      <c r="P312" s="23">
        <f>O312</f>
        <v>803450000</v>
      </c>
      <c r="Q312" s="23">
        <f>SUM(Q313:Q319)</f>
        <v>77953471</v>
      </c>
      <c r="R312" s="24" t="e">
        <f>Q312/Q$243*100</f>
        <v>#REF!</v>
      </c>
      <c r="S312" s="24">
        <v>100</v>
      </c>
      <c r="T312" s="23">
        <f t="shared" si="175"/>
        <v>0</v>
      </c>
      <c r="U312" s="23" t="e">
        <f t="shared" si="184"/>
        <v>#REF!</v>
      </c>
      <c r="V312" s="90">
        <f t="shared" si="181"/>
        <v>100</v>
      </c>
      <c r="W312" s="23"/>
      <c r="X312" s="23" t="e">
        <f>#REF!</f>
        <v>#REF!</v>
      </c>
      <c r="Y312" s="23" t="e">
        <f>#REF!</f>
        <v>#REF!</v>
      </c>
      <c r="Z312" s="23" t="e">
        <f>#REF!</f>
        <v>#REF!</v>
      </c>
      <c r="AA312" s="23" t="e">
        <f>#REF!</f>
        <v>#REF!</v>
      </c>
      <c r="AB312" s="23">
        <v>323021990</v>
      </c>
      <c r="AC312" s="23" t="e">
        <f>#REF!</f>
        <v>#REF!</v>
      </c>
      <c r="AD312" s="23" t="e">
        <f>#REF!</f>
        <v>#REF!</v>
      </c>
      <c r="AE312" s="23" t="e">
        <f>#REF!</f>
        <v>#REF!</v>
      </c>
      <c r="AF312" s="23" t="e">
        <f>[1]April!N61</f>
        <v>#REF!</v>
      </c>
      <c r="AG312" s="23" t="e">
        <f>[2]april!N61</f>
        <v>#REF!</v>
      </c>
      <c r="AH312" s="23">
        <f>'[3]DES SKPD'!$N61</f>
        <v>541082490</v>
      </c>
      <c r="AI312" s="23">
        <f>SUM(AI313:AI319)</f>
        <v>0</v>
      </c>
      <c r="AJ312" s="24">
        <f t="shared" si="176"/>
        <v>0</v>
      </c>
      <c r="AK312" s="134">
        <f t="shared" si="185"/>
        <v>77953471</v>
      </c>
      <c r="AL312" s="24">
        <f t="shared" si="177"/>
        <v>100</v>
      </c>
      <c r="AM312" s="21"/>
    </row>
    <row r="313" spans="1:39" ht="28.5" customHeight="1" x14ac:dyDescent="0.25">
      <c r="A313" s="26"/>
      <c r="B313" s="151"/>
      <c r="C313" s="151"/>
      <c r="D313" s="151"/>
      <c r="E313" s="151"/>
      <c r="F313" s="151"/>
      <c r="G313" s="151"/>
      <c r="H313" s="151"/>
      <c r="I313" s="152"/>
      <c r="J313" s="151" t="s">
        <v>326</v>
      </c>
      <c r="K313" s="27"/>
      <c r="L313" s="31"/>
      <c r="M313" s="563" t="s">
        <v>327</v>
      </c>
      <c r="N313" s="564"/>
      <c r="O313" s="35"/>
      <c r="P313" s="28"/>
      <c r="Q313" s="28">
        <v>33500000</v>
      </c>
      <c r="R313" s="29">
        <f t="shared" ref="R313:R319" si="202">Q313/Q$312*100</f>
        <v>42.974353252339462</v>
      </c>
      <c r="S313" s="29">
        <v>100</v>
      </c>
      <c r="T313" s="28">
        <f t="shared" si="175"/>
        <v>0</v>
      </c>
      <c r="U313" s="28">
        <f t="shared" si="184"/>
        <v>0</v>
      </c>
      <c r="V313" s="87">
        <f t="shared" si="181"/>
        <v>100</v>
      </c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>
        <v>0</v>
      </c>
      <c r="AJ313" s="29">
        <f t="shared" si="176"/>
        <v>0</v>
      </c>
      <c r="AK313" s="136">
        <f t="shared" si="185"/>
        <v>33500000</v>
      </c>
      <c r="AL313" s="29">
        <f t="shared" si="177"/>
        <v>100</v>
      </c>
      <c r="AM313" s="26"/>
    </row>
    <row r="314" spans="1:39" ht="28.5" customHeight="1" x14ac:dyDescent="0.25">
      <c r="A314" s="26"/>
      <c r="B314" s="151"/>
      <c r="C314" s="151"/>
      <c r="D314" s="151"/>
      <c r="E314" s="151"/>
      <c r="F314" s="151"/>
      <c r="G314" s="151"/>
      <c r="H314" s="151"/>
      <c r="I314" s="152"/>
      <c r="J314" s="151" t="s">
        <v>323</v>
      </c>
      <c r="K314" s="27"/>
      <c r="L314" s="31"/>
      <c r="M314" s="563" t="s">
        <v>324</v>
      </c>
      <c r="N314" s="564"/>
      <c r="O314" s="35"/>
      <c r="P314" s="28"/>
      <c r="Q314" s="28">
        <v>9642000</v>
      </c>
      <c r="R314" s="29">
        <f t="shared" si="202"/>
        <v>12.368916837583795</v>
      </c>
      <c r="S314" s="29">
        <v>100</v>
      </c>
      <c r="T314" s="28">
        <f t="shared" si="175"/>
        <v>0</v>
      </c>
      <c r="U314" s="28">
        <f t="shared" si="184"/>
        <v>0</v>
      </c>
      <c r="V314" s="87">
        <f t="shared" si="181"/>
        <v>100</v>
      </c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>
        <v>0</v>
      </c>
      <c r="AJ314" s="29">
        <f t="shared" si="176"/>
        <v>0</v>
      </c>
      <c r="AK314" s="136">
        <f t="shared" si="185"/>
        <v>9642000</v>
      </c>
      <c r="AL314" s="29">
        <f t="shared" si="177"/>
        <v>100</v>
      </c>
      <c r="AM314" s="26"/>
    </row>
    <row r="315" spans="1:39" ht="28.5" customHeight="1" x14ac:dyDescent="0.25">
      <c r="A315" s="26"/>
      <c r="B315" s="151"/>
      <c r="C315" s="151"/>
      <c r="D315" s="151"/>
      <c r="E315" s="151"/>
      <c r="F315" s="151"/>
      <c r="G315" s="151"/>
      <c r="H315" s="151"/>
      <c r="I315" s="152"/>
      <c r="J315" s="151" t="s">
        <v>269</v>
      </c>
      <c r="K315" s="27"/>
      <c r="L315" s="31"/>
      <c r="M315" s="563" t="s">
        <v>270</v>
      </c>
      <c r="N315" s="564"/>
      <c r="O315" s="35"/>
      <c r="P315" s="28"/>
      <c r="Q315" s="28">
        <v>1250000</v>
      </c>
      <c r="R315" s="29">
        <f t="shared" si="202"/>
        <v>1.6035206437440097</v>
      </c>
      <c r="S315" s="29">
        <v>100</v>
      </c>
      <c r="T315" s="28">
        <f t="shared" si="175"/>
        <v>0</v>
      </c>
      <c r="U315" s="28">
        <f t="shared" si="184"/>
        <v>0</v>
      </c>
      <c r="V315" s="87">
        <f t="shared" si="181"/>
        <v>100</v>
      </c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>
        <v>0</v>
      </c>
      <c r="AJ315" s="29">
        <f t="shared" si="176"/>
        <v>0</v>
      </c>
      <c r="AK315" s="136">
        <f t="shared" si="185"/>
        <v>1250000</v>
      </c>
      <c r="AL315" s="29">
        <f t="shared" si="177"/>
        <v>100</v>
      </c>
      <c r="AM315" s="26"/>
    </row>
    <row r="316" spans="1:39" ht="28.5" customHeight="1" x14ac:dyDescent="0.25">
      <c r="A316" s="26"/>
      <c r="B316" s="151"/>
      <c r="C316" s="151"/>
      <c r="D316" s="151"/>
      <c r="E316" s="151"/>
      <c r="F316" s="151"/>
      <c r="G316" s="151"/>
      <c r="H316" s="151"/>
      <c r="I316" s="152"/>
      <c r="J316" s="151" t="s">
        <v>315</v>
      </c>
      <c r="K316" s="27"/>
      <c r="L316" s="31"/>
      <c r="M316" s="563" t="s">
        <v>271</v>
      </c>
      <c r="N316" s="564"/>
      <c r="O316" s="35"/>
      <c r="P316" s="28"/>
      <c r="Q316" s="28">
        <v>17421471</v>
      </c>
      <c r="R316" s="29">
        <f t="shared" si="202"/>
        <v>22.348550714310079</v>
      </c>
      <c r="S316" s="29">
        <v>100</v>
      </c>
      <c r="T316" s="28">
        <f t="shared" si="175"/>
        <v>0</v>
      </c>
      <c r="U316" s="28">
        <f t="shared" si="184"/>
        <v>0</v>
      </c>
      <c r="V316" s="87">
        <f t="shared" si="181"/>
        <v>100</v>
      </c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>
        <v>0</v>
      </c>
      <c r="AJ316" s="29">
        <f t="shared" si="176"/>
        <v>0</v>
      </c>
      <c r="AK316" s="136">
        <f t="shared" si="185"/>
        <v>17421471</v>
      </c>
      <c r="AL316" s="29">
        <f t="shared" si="177"/>
        <v>100</v>
      </c>
      <c r="AM316" s="26"/>
    </row>
    <row r="317" spans="1:39" ht="28.5" customHeight="1" x14ac:dyDescent="0.25">
      <c r="A317" s="26"/>
      <c r="B317" s="151"/>
      <c r="C317" s="151"/>
      <c r="D317" s="151"/>
      <c r="E317" s="151"/>
      <c r="F317" s="151"/>
      <c r="G317" s="151"/>
      <c r="H317" s="151"/>
      <c r="I317" s="152"/>
      <c r="J317" s="151" t="s">
        <v>318</v>
      </c>
      <c r="K317" s="27"/>
      <c r="L317" s="31"/>
      <c r="M317" s="563" t="s">
        <v>281</v>
      </c>
      <c r="N317" s="564"/>
      <c r="O317" s="35"/>
      <c r="P317" s="28"/>
      <c r="Q317" s="28">
        <v>2250000</v>
      </c>
      <c r="R317" s="29">
        <f t="shared" si="202"/>
        <v>2.8863371587392175</v>
      </c>
      <c r="S317" s="29">
        <v>100</v>
      </c>
      <c r="T317" s="28">
        <f t="shared" si="175"/>
        <v>0</v>
      </c>
      <c r="U317" s="28">
        <f t="shared" si="184"/>
        <v>0</v>
      </c>
      <c r="V317" s="87">
        <f t="shared" si="181"/>
        <v>100</v>
      </c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>
        <v>0</v>
      </c>
      <c r="AJ317" s="29">
        <f t="shared" si="176"/>
        <v>0</v>
      </c>
      <c r="AK317" s="136">
        <f t="shared" si="185"/>
        <v>2250000</v>
      </c>
      <c r="AL317" s="29">
        <f t="shared" si="177"/>
        <v>100</v>
      </c>
      <c r="AM317" s="26"/>
    </row>
    <row r="318" spans="1:39" ht="28.5" customHeight="1" x14ac:dyDescent="0.25">
      <c r="A318" s="26"/>
      <c r="B318" s="151"/>
      <c r="C318" s="151"/>
      <c r="D318" s="151"/>
      <c r="E318" s="151"/>
      <c r="F318" s="151"/>
      <c r="G318" s="151"/>
      <c r="H318" s="151"/>
      <c r="I318" s="152"/>
      <c r="J318" s="151" t="s">
        <v>284</v>
      </c>
      <c r="K318" s="27"/>
      <c r="L318" s="31"/>
      <c r="M318" s="563" t="s">
        <v>285</v>
      </c>
      <c r="N318" s="564"/>
      <c r="O318" s="35"/>
      <c r="P318" s="28"/>
      <c r="Q318" s="28">
        <v>2640000</v>
      </c>
      <c r="R318" s="29">
        <f t="shared" si="202"/>
        <v>3.3866355995873487</v>
      </c>
      <c r="S318" s="29">
        <v>100</v>
      </c>
      <c r="T318" s="28">
        <f t="shared" si="175"/>
        <v>0</v>
      </c>
      <c r="U318" s="28">
        <f t="shared" si="184"/>
        <v>0</v>
      </c>
      <c r="V318" s="87">
        <f t="shared" si="181"/>
        <v>100</v>
      </c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>
        <v>0</v>
      </c>
      <c r="AJ318" s="29">
        <f t="shared" si="176"/>
        <v>0</v>
      </c>
      <c r="AK318" s="136">
        <f t="shared" si="185"/>
        <v>2640000</v>
      </c>
      <c r="AL318" s="29">
        <f t="shared" si="177"/>
        <v>100</v>
      </c>
      <c r="AM318" s="26"/>
    </row>
    <row r="319" spans="1:39" ht="28.5" customHeight="1" x14ac:dyDescent="0.25">
      <c r="A319" s="26"/>
      <c r="B319" s="151"/>
      <c r="C319" s="151"/>
      <c r="D319" s="151"/>
      <c r="E319" s="151"/>
      <c r="F319" s="151"/>
      <c r="G319" s="151"/>
      <c r="H319" s="151"/>
      <c r="I319" s="152"/>
      <c r="J319" s="151" t="s">
        <v>282</v>
      </c>
      <c r="K319" s="27"/>
      <c r="L319" s="31"/>
      <c r="M319" s="563" t="s">
        <v>283</v>
      </c>
      <c r="N319" s="564"/>
      <c r="O319" s="35"/>
      <c r="P319" s="28"/>
      <c r="Q319" s="28">
        <v>11250000</v>
      </c>
      <c r="R319" s="29">
        <f t="shared" si="202"/>
        <v>14.431685793696088</v>
      </c>
      <c r="S319" s="29">
        <v>100</v>
      </c>
      <c r="T319" s="28">
        <f t="shared" si="175"/>
        <v>0</v>
      </c>
      <c r="U319" s="28">
        <f t="shared" si="184"/>
        <v>0</v>
      </c>
      <c r="V319" s="87">
        <f t="shared" si="181"/>
        <v>100</v>
      </c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>
        <v>0</v>
      </c>
      <c r="AJ319" s="29">
        <f t="shared" si="176"/>
        <v>0</v>
      </c>
      <c r="AK319" s="136">
        <f t="shared" si="185"/>
        <v>11250000</v>
      </c>
      <c r="AL319" s="29">
        <f t="shared" si="177"/>
        <v>100</v>
      </c>
      <c r="AM319" s="26"/>
    </row>
    <row r="320" spans="1:39" s="41" customFormat="1" ht="47.25" customHeight="1" x14ac:dyDescent="0.25">
      <c r="A320" s="21" t="e">
        <f>A312+1</f>
        <v>#REF!</v>
      </c>
      <c r="B320" s="543" t="s">
        <v>151</v>
      </c>
      <c r="C320" s="543"/>
      <c r="D320" s="543"/>
      <c r="E320" s="543"/>
      <c r="F320" s="543"/>
      <c r="G320" s="543"/>
      <c r="H320" s="543"/>
      <c r="I320" s="544"/>
      <c r="J320" s="122" t="s">
        <v>487</v>
      </c>
      <c r="K320" s="22"/>
      <c r="L320" s="72"/>
      <c r="M320" s="566" t="s">
        <v>46</v>
      </c>
      <c r="N320" s="566"/>
      <c r="O320" s="76">
        <v>66400000</v>
      </c>
      <c r="P320" s="23">
        <f>O320</f>
        <v>66400000</v>
      </c>
      <c r="Q320" s="23">
        <f>SUM(Q321:Q326)</f>
        <v>38384665</v>
      </c>
      <c r="R320" s="24" t="e">
        <f>Q320/Q$243*100</f>
        <v>#REF!</v>
      </c>
      <c r="S320" s="24">
        <v>100</v>
      </c>
      <c r="T320" s="23">
        <f t="shared" si="175"/>
        <v>0</v>
      </c>
      <c r="U320" s="23" t="e">
        <f t="shared" si="184"/>
        <v>#REF!</v>
      </c>
      <c r="V320" s="90">
        <f t="shared" si="181"/>
        <v>100</v>
      </c>
      <c r="W320" s="23"/>
      <c r="X320" s="23" t="e">
        <f>#REF!</f>
        <v>#REF!</v>
      </c>
      <c r="Y320" s="23" t="e">
        <f>#REF!</f>
        <v>#REF!</v>
      </c>
      <c r="Z320" s="23" t="e">
        <f>#REF!</f>
        <v>#REF!</v>
      </c>
      <c r="AA320" s="23" t="e">
        <f>#REF!</f>
        <v>#REF!</v>
      </c>
      <c r="AB320" s="23">
        <v>323021990</v>
      </c>
      <c r="AC320" s="23" t="e">
        <f>#REF!</f>
        <v>#REF!</v>
      </c>
      <c r="AD320" s="23" t="e">
        <f>#REF!</f>
        <v>#REF!</v>
      </c>
      <c r="AE320" s="23" t="e">
        <f>#REF!</f>
        <v>#REF!</v>
      </c>
      <c r="AF320" s="23" t="e">
        <f>[1]April!N62</f>
        <v>#REF!</v>
      </c>
      <c r="AG320" s="23" t="e">
        <f>[2]april!N62</f>
        <v>#REF!</v>
      </c>
      <c r="AH320" s="23">
        <f>'[3]DES SKPD'!$N62</f>
        <v>58437000</v>
      </c>
      <c r="AI320" s="23">
        <f>SUM(AI321:AI325)</f>
        <v>0</v>
      </c>
      <c r="AJ320" s="24">
        <f t="shared" si="176"/>
        <v>0</v>
      </c>
      <c r="AK320" s="134">
        <f t="shared" si="185"/>
        <v>38384665</v>
      </c>
      <c r="AL320" s="24">
        <f t="shared" si="177"/>
        <v>100</v>
      </c>
      <c r="AM320" s="21"/>
    </row>
    <row r="321" spans="1:39" ht="28.5" customHeight="1" x14ac:dyDescent="0.25">
      <c r="A321" s="26"/>
      <c r="B321" s="151"/>
      <c r="C321" s="151"/>
      <c r="D321" s="151"/>
      <c r="E321" s="151"/>
      <c r="F321" s="151"/>
      <c r="G321" s="151"/>
      <c r="H321" s="151"/>
      <c r="I321" s="152"/>
      <c r="J321" s="151" t="s">
        <v>326</v>
      </c>
      <c r="K321" s="27"/>
      <c r="L321" s="31"/>
      <c r="M321" s="563" t="s">
        <v>327</v>
      </c>
      <c r="N321" s="564"/>
      <c r="O321" s="35"/>
      <c r="P321" s="28"/>
      <c r="Q321" s="28">
        <v>16750000</v>
      </c>
      <c r="R321" s="29">
        <f t="shared" ref="R321:R326" si="203">Q321/Q$320*100</f>
        <v>43.637218144277142</v>
      </c>
      <c r="S321" s="29">
        <v>100</v>
      </c>
      <c r="T321" s="28">
        <f t="shared" si="175"/>
        <v>0</v>
      </c>
      <c r="U321" s="28">
        <f t="shared" si="184"/>
        <v>0</v>
      </c>
      <c r="V321" s="87">
        <f t="shared" si="181"/>
        <v>100</v>
      </c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>
        <v>0</v>
      </c>
      <c r="AJ321" s="29">
        <f t="shared" si="176"/>
        <v>0</v>
      </c>
      <c r="AK321" s="136">
        <f t="shared" si="185"/>
        <v>16750000</v>
      </c>
      <c r="AL321" s="29">
        <f t="shared" si="177"/>
        <v>100</v>
      </c>
      <c r="AM321" s="26"/>
    </row>
    <row r="322" spans="1:39" ht="28.5" customHeight="1" x14ac:dyDescent="0.25">
      <c r="A322" s="26"/>
      <c r="B322" s="151"/>
      <c r="C322" s="151"/>
      <c r="D322" s="151"/>
      <c r="E322" s="151"/>
      <c r="F322" s="151"/>
      <c r="G322" s="151"/>
      <c r="H322" s="151"/>
      <c r="I322" s="152"/>
      <c r="J322" s="151" t="s">
        <v>323</v>
      </c>
      <c r="K322" s="27"/>
      <c r="L322" s="31"/>
      <c r="M322" s="563" t="s">
        <v>324</v>
      </c>
      <c r="N322" s="564"/>
      <c r="O322" s="35"/>
      <c r="P322" s="28"/>
      <c r="Q322" s="28">
        <v>5934000</v>
      </c>
      <c r="R322" s="29">
        <f t="shared" si="203"/>
        <v>15.459298654814363</v>
      </c>
      <c r="S322" s="29">
        <v>100</v>
      </c>
      <c r="T322" s="28">
        <f t="shared" si="175"/>
        <v>0</v>
      </c>
      <c r="U322" s="28">
        <f t="shared" si="184"/>
        <v>0</v>
      </c>
      <c r="V322" s="87">
        <f t="shared" si="181"/>
        <v>100</v>
      </c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>
        <v>0</v>
      </c>
      <c r="AJ322" s="29">
        <f t="shared" si="176"/>
        <v>0</v>
      </c>
      <c r="AK322" s="136">
        <f t="shared" si="185"/>
        <v>5934000</v>
      </c>
      <c r="AL322" s="29">
        <f t="shared" si="177"/>
        <v>100</v>
      </c>
      <c r="AM322" s="26"/>
    </row>
    <row r="323" spans="1:39" ht="28.5" customHeight="1" x14ac:dyDescent="0.25">
      <c r="A323" s="26"/>
      <c r="B323" s="151"/>
      <c r="C323" s="151"/>
      <c r="D323" s="151"/>
      <c r="E323" s="151"/>
      <c r="F323" s="151"/>
      <c r="G323" s="151"/>
      <c r="H323" s="151"/>
      <c r="I323" s="152"/>
      <c r="J323" s="151" t="s">
        <v>269</v>
      </c>
      <c r="K323" s="27"/>
      <c r="L323" s="31"/>
      <c r="M323" s="563" t="s">
        <v>270</v>
      </c>
      <c r="N323" s="564"/>
      <c r="O323" s="35"/>
      <c r="P323" s="28"/>
      <c r="Q323" s="28">
        <v>4000000</v>
      </c>
      <c r="R323" s="29">
        <f t="shared" si="203"/>
        <v>10.420828213558723</v>
      </c>
      <c r="S323" s="29">
        <v>100</v>
      </c>
      <c r="T323" s="28">
        <f t="shared" si="175"/>
        <v>0</v>
      </c>
      <c r="U323" s="28">
        <f t="shared" si="184"/>
        <v>0</v>
      </c>
      <c r="V323" s="87">
        <f t="shared" si="181"/>
        <v>100</v>
      </c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>
        <v>0</v>
      </c>
      <c r="AJ323" s="29">
        <f t="shared" si="176"/>
        <v>0</v>
      </c>
      <c r="AK323" s="136">
        <f t="shared" si="185"/>
        <v>4000000</v>
      </c>
      <c r="AL323" s="29">
        <f t="shared" si="177"/>
        <v>100</v>
      </c>
      <c r="AM323" s="26"/>
    </row>
    <row r="324" spans="1:39" ht="28.5" customHeight="1" x14ac:dyDescent="0.25">
      <c r="A324" s="26"/>
      <c r="B324" s="151"/>
      <c r="C324" s="151"/>
      <c r="D324" s="151"/>
      <c r="E324" s="151"/>
      <c r="F324" s="151"/>
      <c r="G324" s="151"/>
      <c r="H324" s="151"/>
      <c r="I324" s="152"/>
      <c r="J324" s="151" t="s">
        <v>315</v>
      </c>
      <c r="K324" s="27"/>
      <c r="L324" s="31"/>
      <c r="M324" s="563" t="s">
        <v>271</v>
      </c>
      <c r="N324" s="564"/>
      <c r="O324" s="35"/>
      <c r="P324" s="28"/>
      <c r="Q324" s="28">
        <v>6000000</v>
      </c>
      <c r="R324" s="29">
        <f t="shared" si="203"/>
        <v>15.631242320338082</v>
      </c>
      <c r="S324" s="29">
        <v>100</v>
      </c>
      <c r="T324" s="28">
        <f t="shared" si="175"/>
        <v>0</v>
      </c>
      <c r="U324" s="28">
        <f t="shared" si="184"/>
        <v>0</v>
      </c>
      <c r="V324" s="87">
        <f t="shared" si="181"/>
        <v>100</v>
      </c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>
        <v>0</v>
      </c>
      <c r="AJ324" s="29">
        <f t="shared" ref="AJ324:AJ383" si="204">AI324/Q324*100</f>
        <v>0</v>
      </c>
      <c r="AK324" s="136">
        <f t="shared" si="185"/>
        <v>6000000</v>
      </c>
      <c r="AL324" s="29">
        <f t="shared" ref="AL324:AL383" si="205">AK324/Q324*100</f>
        <v>100</v>
      </c>
      <c r="AM324" s="26"/>
    </row>
    <row r="325" spans="1:39" ht="28.5" customHeight="1" x14ac:dyDescent="0.25">
      <c r="A325" s="26"/>
      <c r="B325" s="151"/>
      <c r="C325" s="151"/>
      <c r="D325" s="151"/>
      <c r="E325" s="151"/>
      <c r="F325" s="151"/>
      <c r="G325" s="151"/>
      <c r="H325" s="151"/>
      <c r="I325" s="152"/>
      <c r="J325" s="151" t="s">
        <v>339</v>
      </c>
      <c r="K325" s="27"/>
      <c r="L325" s="31"/>
      <c r="M325" s="563" t="s">
        <v>340</v>
      </c>
      <c r="N325" s="564"/>
      <c r="O325" s="35"/>
      <c r="P325" s="28"/>
      <c r="Q325" s="28">
        <v>1500000</v>
      </c>
      <c r="R325" s="29">
        <f t="shared" si="203"/>
        <v>3.9078105800845204</v>
      </c>
      <c r="S325" s="29">
        <v>100</v>
      </c>
      <c r="T325" s="28">
        <f t="shared" ref="T325:T393" si="206">AJ325</f>
        <v>0</v>
      </c>
      <c r="U325" s="28">
        <f t="shared" si="184"/>
        <v>0</v>
      </c>
      <c r="V325" s="87">
        <f t="shared" si="181"/>
        <v>100</v>
      </c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>
        <v>0</v>
      </c>
      <c r="AJ325" s="29">
        <f t="shared" si="204"/>
        <v>0</v>
      </c>
      <c r="AK325" s="136">
        <f t="shared" si="185"/>
        <v>1500000</v>
      </c>
      <c r="AL325" s="29">
        <f t="shared" si="205"/>
        <v>100</v>
      </c>
      <c r="AM325" s="26"/>
    </row>
    <row r="326" spans="1:39" ht="28.5" customHeight="1" x14ac:dyDescent="0.25">
      <c r="A326" s="26"/>
      <c r="B326" s="176"/>
      <c r="C326" s="176"/>
      <c r="D326" s="176"/>
      <c r="E326" s="176"/>
      <c r="F326" s="176"/>
      <c r="G326" s="176"/>
      <c r="H326" s="176"/>
      <c r="I326" s="177"/>
      <c r="J326" s="176" t="s">
        <v>282</v>
      </c>
      <c r="K326" s="27"/>
      <c r="L326" s="31"/>
      <c r="M326" s="563" t="s">
        <v>590</v>
      </c>
      <c r="N326" s="564"/>
      <c r="O326" s="35"/>
      <c r="P326" s="28"/>
      <c r="Q326" s="28">
        <v>4200665</v>
      </c>
      <c r="R326" s="29">
        <f t="shared" si="203"/>
        <v>10.943602086927163</v>
      </c>
      <c r="S326" s="29">
        <v>100</v>
      </c>
      <c r="T326" s="28">
        <f t="shared" ref="T326" si="207">AJ326</f>
        <v>0</v>
      </c>
      <c r="U326" s="28">
        <f t="shared" ref="U326" si="208">R326*T326/100</f>
        <v>0</v>
      </c>
      <c r="V326" s="87">
        <f t="shared" ref="V326" si="209">S326-T326</f>
        <v>100</v>
      </c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>
        <v>0</v>
      </c>
      <c r="AJ326" s="29">
        <f t="shared" ref="AJ326" si="210">AI326/Q326*100</f>
        <v>0</v>
      </c>
      <c r="AK326" s="136">
        <f t="shared" ref="AK326" si="211">Q326-AI326</f>
        <v>4200665</v>
      </c>
      <c r="AL326" s="29">
        <f t="shared" ref="AL326" si="212">AK326/Q326*100</f>
        <v>100</v>
      </c>
      <c r="AM326" s="26"/>
    </row>
    <row r="327" spans="1:39" s="86" customFormat="1" ht="27.75" customHeight="1" x14ac:dyDescent="0.25">
      <c r="A327" s="21" t="e">
        <f>SUM(A320+1)</f>
        <v>#REF!</v>
      </c>
      <c r="B327" s="158"/>
      <c r="C327" s="158"/>
      <c r="D327" s="158"/>
      <c r="E327" s="158"/>
      <c r="F327" s="158"/>
      <c r="G327" s="158"/>
      <c r="H327" s="158"/>
      <c r="I327" s="159"/>
      <c r="J327" s="122" t="s">
        <v>488</v>
      </c>
      <c r="K327" s="22"/>
      <c r="L327" s="72"/>
      <c r="M327" s="568" t="s">
        <v>198</v>
      </c>
      <c r="N327" s="546"/>
      <c r="O327" s="85"/>
      <c r="P327" s="23"/>
      <c r="Q327" s="23">
        <f>SUM(Q328:Q333)</f>
        <v>139532300</v>
      </c>
      <c r="R327" s="24" t="e">
        <f>Q327/Q$243*100</f>
        <v>#REF!</v>
      </c>
      <c r="S327" s="24">
        <v>100</v>
      </c>
      <c r="T327" s="23">
        <f t="shared" si="206"/>
        <v>0</v>
      </c>
      <c r="U327" s="23" t="e">
        <f t="shared" si="184"/>
        <v>#REF!</v>
      </c>
      <c r="V327" s="90">
        <f t="shared" si="181"/>
        <v>100</v>
      </c>
      <c r="W327" s="23"/>
      <c r="X327" s="23" t="e">
        <f>#REF!</f>
        <v>#REF!</v>
      </c>
      <c r="Y327" s="23" t="e">
        <f>#REF!</f>
        <v>#REF!</v>
      </c>
      <c r="Z327" s="23" t="e">
        <f>#REF!</f>
        <v>#REF!</v>
      </c>
      <c r="AA327" s="23" t="e">
        <f>#REF!</f>
        <v>#REF!</v>
      </c>
      <c r="AB327" s="23">
        <v>323021990</v>
      </c>
      <c r="AC327" s="23" t="e">
        <f>#REF!</f>
        <v>#REF!</v>
      </c>
      <c r="AD327" s="23" t="e">
        <f>#REF!</f>
        <v>#REF!</v>
      </c>
      <c r="AE327" s="23" t="e">
        <f>#REF!</f>
        <v>#REF!</v>
      </c>
      <c r="AF327" s="23" t="e">
        <f>[1]April!N63</f>
        <v>#REF!</v>
      </c>
      <c r="AG327" s="23" t="e">
        <f>[2]april!N63</f>
        <v>#REF!</v>
      </c>
      <c r="AH327" s="23">
        <f>'[3]DES SKPD'!$N63</f>
        <v>174573000</v>
      </c>
      <c r="AI327" s="23">
        <f>SUM(AI328:AI333)</f>
        <v>0</v>
      </c>
      <c r="AJ327" s="24">
        <f t="shared" si="204"/>
        <v>0</v>
      </c>
      <c r="AK327" s="134">
        <f t="shared" si="185"/>
        <v>139532300</v>
      </c>
      <c r="AL327" s="24">
        <f t="shared" si="205"/>
        <v>100</v>
      </c>
      <c r="AM327" s="21"/>
    </row>
    <row r="328" spans="1:39" ht="27.75" customHeight="1" x14ac:dyDescent="0.25">
      <c r="A328" s="26"/>
      <c r="B328" s="151"/>
      <c r="C328" s="151"/>
      <c r="D328" s="151"/>
      <c r="E328" s="151"/>
      <c r="F328" s="151"/>
      <c r="G328" s="151"/>
      <c r="H328" s="151"/>
      <c r="I328" s="152"/>
      <c r="J328" s="151" t="s">
        <v>257</v>
      </c>
      <c r="K328" s="27"/>
      <c r="L328" s="31"/>
      <c r="M328" s="563" t="s">
        <v>428</v>
      </c>
      <c r="N328" s="564"/>
      <c r="O328" s="35"/>
      <c r="P328" s="28"/>
      <c r="Q328" s="28">
        <v>2000000</v>
      </c>
      <c r="R328" s="29">
        <f t="shared" ref="R328:R333" si="213">Q328/Q$327*100</f>
        <v>1.4333598743803406</v>
      </c>
      <c r="S328" s="29">
        <v>100</v>
      </c>
      <c r="T328" s="28">
        <f t="shared" si="206"/>
        <v>0</v>
      </c>
      <c r="U328" s="28">
        <f t="shared" si="184"/>
        <v>0</v>
      </c>
      <c r="V328" s="87">
        <f t="shared" si="181"/>
        <v>100</v>
      </c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>
        <v>0</v>
      </c>
      <c r="AJ328" s="29">
        <f t="shared" si="204"/>
        <v>0</v>
      </c>
      <c r="AK328" s="136">
        <f t="shared" si="185"/>
        <v>2000000</v>
      </c>
      <c r="AL328" s="29">
        <f t="shared" si="205"/>
        <v>100</v>
      </c>
      <c r="AM328" s="26"/>
    </row>
    <row r="329" spans="1:39" ht="27.75" customHeight="1" x14ac:dyDescent="0.25">
      <c r="A329" s="26"/>
      <c r="B329" s="151"/>
      <c r="C329" s="151"/>
      <c r="D329" s="151"/>
      <c r="E329" s="151"/>
      <c r="F329" s="151"/>
      <c r="G329" s="151"/>
      <c r="H329" s="151"/>
      <c r="I329" s="152"/>
      <c r="J329" s="151" t="s">
        <v>259</v>
      </c>
      <c r="K329" s="27"/>
      <c r="L329" s="31"/>
      <c r="M329" s="563" t="s">
        <v>340</v>
      </c>
      <c r="N329" s="564"/>
      <c r="O329" s="35"/>
      <c r="P329" s="28"/>
      <c r="Q329" s="28">
        <v>7500000</v>
      </c>
      <c r="R329" s="29">
        <f t="shared" si="213"/>
        <v>5.3750995289262775</v>
      </c>
      <c r="S329" s="29">
        <v>100</v>
      </c>
      <c r="T329" s="28">
        <f t="shared" si="206"/>
        <v>0</v>
      </c>
      <c r="U329" s="28">
        <f t="shared" si="184"/>
        <v>0</v>
      </c>
      <c r="V329" s="87">
        <f t="shared" si="181"/>
        <v>100</v>
      </c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>
        <v>0</v>
      </c>
      <c r="AJ329" s="29">
        <f t="shared" si="204"/>
        <v>0</v>
      </c>
      <c r="AK329" s="136">
        <f t="shared" si="185"/>
        <v>7500000</v>
      </c>
      <c r="AL329" s="29">
        <f t="shared" si="205"/>
        <v>100</v>
      </c>
      <c r="AM329" s="26"/>
    </row>
    <row r="330" spans="1:39" ht="27.75" customHeight="1" x14ac:dyDescent="0.25">
      <c r="A330" s="26"/>
      <c r="B330" s="151"/>
      <c r="C330" s="151"/>
      <c r="D330" s="151"/>
      <c r="E330" s="151"/>
      <c r="F330" s="151"/>
      <c r="G330" s="151"/>
      <c r="H330" s="151"/>
      <c r="I330" s="152"/>
      <c r="J330" s="151" t="s">
        <v>323</v>
      </c>
      <c r="K330" s="27"/>
      <c r="L330" s="31"/>
      <c r="M330" s="563" t="s">
        <v>605</v>
      </c>
      <c r="N330" s="564"/>
      <c r="O330" s="35"/>
      <c r="P330" s="28"/>
      <c r="Q330" s="28">
        <v>24232300</v>
      </c>
      <c r="R330" s="29">
        <f t="shared" si="213"/>
        <v>17.366803241973365</v>
      </c>
      <c r="S330" s="29">
        <v>100</v>
      </c>
      <c r="T330" s="28">
        <f t="shared" si="206"/>
        <v>0</v>
      </c>
      <c r="U330" s="28">
        <f t="shared" si="184"/>
        <v>0</v>
      </c>
      <c r="V330" s="87">
        <f t="shared" si="181"/>
        <v>100</v>
      </c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>
        <v>0</v>
      </c>
      <c r="AJ330" s="29">
        <f t="shared" si="204"/>
        <v>0</v>
      </c>
      <c r="AK330" s="136">
        <f t="shared" si="185"/>
        <v>24232300</v>
      </c>
      <c r="AL330" s="29">
        <f t="shared" si="205"/>
        <v>100</v>
      </c>
      <c r="AM330" s="26"/>
    </row>
    <row r="331" spans="1:39" ht="27.75" customHeight="1" x14ac:dyDescent="0.25">
      <c r="A331" s="26"/>
      <c r="B331" s="151"/>
      <c r="C331" s="151"/>
      <c r="D331" s="151"/>
      <c r="E331" s="151"/>
      <c r="F331" s="151"/>
      <c r="G331" s="151"/>
      <c r="H331" s="151"/>
      <c r="I331" s="152"/>
      <c r="J331" s="151" t="s">
        <v>315</v>
      </c>
      <c r="K331" s="27"/>
      <c r="L331" s="31"/>
      <c r="M331" s="563" t="s">
        <v>321</v>
      </c>
      <c r="N331" s="564"/>
      <c r="O331" s="35"/>
      <c r="P331" s="28"/>
      <c r="Q331" s="28">
        <v>3800000</v>
      </c>
      <c r="R331" s="29">
        <f t="shared" si="213"/>
        <v>2.7233837613226468</v>
      </c>
      <c r="S331" s="29">
        <v>100</v>
      </c>
      <c r="T331" s="28">
        <f t="shared" si="206"/>
        <v>0</v>
      </c>
      <c r="U331" s="28">
        <f t="shared" si="184"/>
        <v>0</v>
      </c>
      <c r="V331" s="87">
        <f t="shared" si="181"/>
        <v>100</v>
      </c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>
        <v>0</v>
      </c>
      <c r="AJ331" s="29">
        <f t="shared" si="204"/>
        <v>0</v>
      </c>
      <c r="AK331" s="136">
        <f t="shared" si="185"/>
        <v>3800000</v>
      </c>
      <c r="AL331" s="29">
        <f t="shared" si="205"/>
        <v>100</v>
      </c>
      <c r="AM331" s="26"/>
    </row>
    <row r="332" spans="1:39" ht="27.75" customHeight="1" x14ac:dyDescent="0.25">
      <c r="A332" s="26"/>
      <c r="B332" s="151"/>
      <c r="C332" s="151"/>
      <c r="D332" s="151"/>
      <c r="E332" s="151"/>
      <c r="F332" s="151"/>
      <c r="G332" s="151"/>
      <c r="H332" s="151"/>
      <c r="I332" s="152"/>
      <c r="J332" s="151" t="s">
        <v>282</v>
      </c>
      <c r="K332" s="27"/>
      <c r="L332" s="31"/>
      <c r="M332" s="563" t="s">
        <v>606</v>
      </c>
      <c r="N332" s="564"/>
      <c r="O332" s="35"/>
      <c r="P332" s="28"/>
      <c r="Q332" s="28">
        <v>100000000</v>
      </c>
      <c r="R332" s="29">
        <f t="shared" si="213"/>
        <v>71.667993719017034</v>
      </c>
      <c r="S332" s="29">
        <v>100</v>
      </c>
      <c r="T332" s="28">
        <f t="shared" si="206"/>
        <v>0</v>
      </c>
      <c r="U332" s="28">
        <f t="shared" si="184"/>
        <v>0</v>
      </c>
      <c r="V332" s="87">
        <f t="shared" si="181"/>
        <v>100</v>
      </c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>
        <v>0</v>
      </c>
      <c r="AJ332" s="29">
        <f t="shared" si="204"/>
        <v>0</v>
      </c>
      <c r="AK332" s="136">
        <f t="shared" si="185"/>
        <v>100000000</v>
      </c>
      <c r="AL332" s="29">
        <f t="shared" si="205"/>
        <v>100</v>
      </c>
      <c r="AM332" s="26"/>
    </row>
    <row r="333" spans="1:39" ht="27.75" customHeight="1" x14ac:dyDescent="0.25">
      <c r="A333" s="26"/>
      <c r="B333" s="151"/>
      <c r="C333" s="151"/>
      <c r="D333" s="151"/>
      <c r="E333" s="151"/>
      <c r="F333" s="151"/>
      <c r="G333" s="151"/>
      <c r="H333" s="151"/>
      <c r="I333" s="152"/>
      <c r="J333" s="151" t="s">
        <v>308</v>
      </c>
      <c r="K333" s="27"/>
      <c r="L333" s="31"/>
      <c r="M333" s="563" t="s">
        <v>607</v>
      </c>
      <c r="N333" s="564"/>
      <c r="O333" s="35"/>
      <c r="P333" s="28"/>
      <c r="Q333" s="28">
        <v>2000000</v>
      </c>
      <c r="R333" s="29">
        <f t="shared" si="213"/>
        <v>1.4333598743803406</v>
      </c>
      <c r="S333" s="29">
        <v>100</v>
      </c>
      <c r="T333" s="28">
        <f t="shared" si="206"/>
        <v>0</v>
      </c>
      <c r="U333" s="28">
        <f t="shared" si="184"/>
        <v>0</v>
      </c>
      <c r="V333" s="87">
        <f t="shared" si="181"/>
        <v>100</v>
      </c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>
        <v>0</v>
      </c>
      <c r="AJ333" s="29">
        <f t="shared" si="204"/>
        <v>0</v>
      </c>
      <c r="AK333" s="136">
        <f t="shared" si="185"/>
        <v>2000000</v>
      </c>
      <c r="AL333" s="29">
        <f t="shared" si="205"/>
        <v>100</v>
      </c>
      <c r="AM333" s="26"/>
    </row>
    <row r="334" spans="1:39" s="41" customFormat="1" ht="36" customHeight="1" x14ac:dyDescent="0.25">
      <c r="A334" s="21" t="e">
        <f>SUM(A327+1)</f>
        <v>#REF!</v>
      </c>
      <c r="B334" s="543" t="s">
        <v>152</v>
      </c>
      <c r="C334" s="543"/>
      <c r="D334" s="543"/>
      <c r="E334" s="543"/>
      <c r="F334" s="543"/>
      <c r="G334" s="543"/>
      <c r="H334" s="543"/>
      <c r="I334" s="544"/>
      <c r="J334" s="122" t="s">
        <v>489</v>
      </c>
      <c r="K334" s="22"/>
      <c r="L334" s="72"/>
      <c r="M334" s="566" t="s">
        <v>47</v>
      </c>
      <c r="N334" s="566"/>
      <c r="O334" s="76">
        <v>136000000</v>
      </c>
      <c r="P334" s="23">
        <f>O334</f>
        <v>136000000</v>
      </c>
      <c r="Q334" s="23">
        <f>SUM(Q335:Q344)</f>
        <v>341340000</v>
      </c>
      <c r="R334" s="24" t="e">
        <f>Q334/Q$243*100</f>
        <v>#REF!</v>
      </c>
      <c r="S334" s="24">
        <v>100</v>
      </c>
      <c r="T334" s="23">
        <f t="shared" si="206"/>
        <v>0</v>
      </c>
      <c r="U334" s="23" t="e">
        <f t="shared" si="184"/>
        <v>#REF!</v>
      </c>
      <c r="V334" s="90">
        <f t="shared" si="181"/>
        <v>100</v>
      </c>
      <c r="W334" s="23"/>
      <c r="X334" s="23" t="e">
        <f>#REF!</f>
        <v>#REF!</v>
      </c>
      <c r="Y334" s="23" t="e">
        <f>#REF!</f>
        <v>#REF!</v>
      </c>
      <c r="Z334" s="23" t="e">
        <f>#REF!</f>
        <v>#REF!</v>
      </c>
      <c r="AA334" s="23" t="e">
        <f>#REF!</f>
        <v>#REF!</v>
      </c>
      <c r="AB334" s="23">
        <v>88014000</v>
      </c>
      <c r="AC334" s="23" t="e">
        <f>#REF!</f>
        <v>#REF!</v>
      </c>
      <c r="AD334" s="23" t="e">
        <f>#REF!</f>
        <v>#REF!</v>
      </c>
      <c r="AE334" s="23" t="e">
        <f>#REF!</f>
        <v>#REF!</v>
      </c>
      <c r="AF334" s="23" t="e">
        <f>[1]April!N63</f>
        <v>#REF!</v>
      </c>
      <c r="AG334" s="23" t="e">
        <f>[2]april!N63</f>
        <v>#REF!</v>
      </c>
      <c r="AH334" s="23">
        <f>'[3]DES SKPD'!$N63</f>
        <v>174573000</v>
      </c>
      <c r="AI334" s="23">
        <f>SUM(AI335:AI344)</f>
        <v>0</v>
      </c>
      <c r="AJ334" s="24">
        <f t="shared" si="204"/>
        <v>0</v>
      </c>
      <c r="AK334" s="134">
        <f t="shared" si="185"/>
        <v>341340000</v>
      </c>
      <c r="AL334" s="24">
        <f t="shared" si="205"/>
        <v>100</v>
      </c>
      <c r="AM334" s="21"/>
    </row>
    <row r="335" spans="1:39" ht="29.25" customHeight="1" x14ac:dyDescent="0.25">
      <c r="A335" s="26"/>
      <c r="B335" s="151"/>
      <c r="C335" s="151"/>
      <c r="D335" s="151"/>
      <c r="E335" s="151"/>
      <c r="F335" s="151"/>
      <c r="G335" s="151"/>
      <c r="H335" s="151"/>
      <c r="I335" s="152"/>
      <c r="J335" s="151" t="s">
        <v>259</v>
      </c>
      <c r="K335" s="27"/>
      <c r="L335" s="31"/>
      <c r="M335" s="563" t="s">
        <v>260</v>
      </c>
      <c r="N335" s="564"/>
      <c r="O335" s="35"/>
      <c r="P335" s="28"/>
      <c r="Q335" s="28">
        <v>1600000</v>
      </c>
      <c r="R335" s="29">
        <f t="shared" ref="R335:R344" si="214">Q335/Q$334*100</f>
        <v>0.46874084490537299</v>
      </c>
      <c r="S335" s="29">
        <v>100</v>
      </c>
      <c r="T335" s="28">
        <f t="shared" si="206"/>
        <v>0</v>
      </c>
      <c r="U335" s="28">
        <f t="shared" si="184"/>
        <v>0</v>
      </c>
      <c r="V335" s="87">
        <f t="shared" si="181"/>
        <v>100</v>
      </c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>
        <v>0</v>
      </c>
      <c r="AJ335" s="29">
        <f t="shared" si="204"/>
        <v>0</v>
      </c>
      <c r="AK335" s="136">
        <f t="shared" si="185"/>
        <v>1600000</v>
      </c>
      <c r="AL335" s="29">
        <f t="shared" si="205"/>
        <v>100</v>
      </c>
      <c r="AM335" s="26"/>
    </row>
    <row r="336" spans="1:39" ht="29.25" customHeight="1" x14ac:dyDescent="0.25">
      <c r="A336" s="26"/>
      <c r="B336" s="151"/>
      <c r="C336" s="151"/>
      <c r="D336" s="151"/>
      <c r="E336" s="151"/>
      <c r="F336" s="151"/>
      <c r="G336" s="151"/>
      <c r="H336" s="151"/>
      <c r="I336" s="152"/>
      <c r="J336" s="151" t="s">
        <v>323</v>
      </c>
      <c r="K336" s="27"/>
      <c r="L336" s="31"/>
      <c r="M336" s="563" t="s">
        <v>324</v>
      </c>
      <c r="N336" s="564"/>
      <c r="O336" s="35"/>
      <c r="P336" s="28"/>
      <c r="Q336" s="28">
        <v>52980000</v>
      </c>
      <c r="R336" s="29">
        <f t="shared" si="214"/>
        <v>15.521181226929162</v>
      </c>
      <c r="S336" s="29">
        <v>100</v>
      </c>
      <c r="T336" s="28">
        <f t="shared" si="206"/>
        <v>0</v>
      </c>
      <c r="U336" s="28">
        <f t="shared" si="184"/>
        <v>0</v>
      </c>
      <c r="V336" s="87">
        <f t="shared" si="181"/>
        <v>100</v>
      </c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>
        <v>0</v>
      </c>
      <c r="AJ336" s="29">
        <f t="shared" si="204"/>
        <v>0</v>
      </c>
      <c r="AK336" s="136">
        <f t="shared" si="185"/>
        <v>52980000</v>
      </c>
      <c r="AL336" s="29">
        <f t="shared" si="205"/>
        <v>100</v>
      </c>
      <c r="AM336" s="26"/>
    </row>
    <row r="337" spans="1:39" ht="39.75" customHeight="1" x14ac:dyDescent="0.25">
      <c r="A337" s="26"/>
      <c r="B337" s="151"/>
      <c r="C337" s="151"/>
      <c r="D337" s="151"/>
      <c r="E337" s="151"/>
      <c r="F337" s="151"/>
      <c r="G337" s="151"/>
      <c r="H337" s="151"/>
      <c r="I337" s="152"/>
      <c r="J337" s="151" t="s">
        <v>315</v>
      </c>
      <c r="K337" s="27"/>
      <c r="L337" s="31"/>
      <c r="M337" s="563" t="s">
        <v>271</v>
      </c>
      <c r="N337" s="564"/>
      <c r="O337" s="35"/>
      <c r="P337" s="28"/>
      <c r="Q337" s="28">
        <v>1800000</v>
      </c>
      <c r="R337" s="29">
        <f t="shared" si="214"/>
        <v>0.52733345051854452</v>
      </c>
      <c r="S337" s="29">
        <v>100</v>
      </c>
      <c r="T337" s="28">
        <f t="shared" si="206"/>
        <v>0</v>
      </c>
      <c r="U337" s="28">
        <f t="shared" si="184"/>
        <v>0</v>
      </c>
      <c r="V337" s="87">
        <f t="shared" si="181"/>
        <v>100</v>
      </c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>
        <v>0</v>
      </c>
      <c r="AJ337" s="29">
        <f t="shared" si="204"/>
        <v>0</v>
      </c>
      <c r="AK337" s="136">
        <f t="shared" si="185"/>
        <v>1800000</v>
      </c>
      <c r="AL337" s="29">
        <f t="shared" si="205"/>
        <v>100</v>
      </c>
      <c r="AM337" s="26"/>
    </row>
    <row r="338" spans="1:39" ht="29.25" customHeight="1" x14ac:dyDescent="0.25">
      <c r="A338" s="26"/>
      <c r="B338" s="151"/>
      <c r="C338" s="151"/>
      <c r="D338" s="151"/>
      <c r="E338" s="151"/>
      <c r="F338" s="151"/>
      <c r="G338" s="151"/>
      <c r="H338" s="151"/>
      <c r="I338" s="152"/>
      <c r="J338" s="151" t="s">
        <v>316</v>
      </c>
      <c r="K338" s="27"/>
      <c r="L338" s="31"/>
      <c r="M338" s="563" t="s">
        <v>317</v>
      </c>
      <c r="N338" s="564"/>
      <c r="O338" s="35"/>
      <c r="P338" s="28"/>
      <c r="Q338" s="28">
        <v>600000</v>
      </c>
      <c r="R338" s="29">
        <f t="shared" si="214"/>
        <v>0.17577781683951485</v>
      </c>
      <c r="S338" s="29">
        <v>100</v>
      </c>
      <c r="T338" s="28">
        <f t="shared" si="206"/>
        <v>0</v>
      </c>
      <c r="U338" s="28">
        <f t="shared" si="184"/>
        <v>0</v>
      </c>
      <c r="V338" s="87">
        <f t="shared" si="181"/>
        <v>100</v>
      </c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>
        <v>0</v>
      </c>
      <c r="AJ338" s="29">
        <f t="shared" si="204"/>
        <v>0</v>
      </c>
      <c r="AK338" s="136">
        <f t="shared" si="185"/>
        <v>600000</v>
      </c>
      <c r="AL338" s="29">
        <f t="shared" si="205"/>
        <v>100</v>
      </c>
      <c r="AM338" s="26"/>
    </row>
    <row r="339" spans="1:39" ht="29.25" customHeight="1" x14ac:dyDescent="0.25">
      <c r="A339" s="26"/>
      <c r="B339" s="151"/>
      <c r="C339" s="151"/>
      <c r="D339" s="151"/>
      <c r="E339" s="151"/>
      <c r="F339" s="151"/>
      <c r="G339" s="151"/>
      <c r="H339" s="151"/>
      <c r="I339" s="152"/>
      <c r="J339" s="151" t="s">
        <v>318</v>
      </c>
      <c r="K339" s="27"/>
      <c r="L339" s="31"/>
      <c r="M339" s="563" t="s">
        <v>319</v>
      </c>
      <c r="N339" s="564"/>
      <c r="O339" s="35"/>
      <c r="P339" s="28"/>
      <c r="Q339" s="28">
        <v>97400000</v>
      </c>
      <c r="R339" s="29">
        <f t="shared" si="214"/>
        <v>28.534598933614578</v>
      </c>
      <c r="S339" s="29">
        <v>100</v>
      </c>
      <c r="T339" s="28">
        <f t="shared" si="206"/>
        <v>0</v>
      </c>
      <c r="U339" s="28">
        <f t="shared" si="184"/>
        <v>0</v>
      </c>
      <c r="V339" s="87">
        <f t="shared" si="181"/>
        <v>100</v>
      </c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>
        <v>0</v>
      </c>
      <c r="AJ339" s="29">
        <f t="shared" si="204"/>
        <v>0</v>
      </c>
      <c r="AK339" s="136">
        <f t="shared" si="185"/>
        <v>97400000</v>
      </c>
      <c r="AL339" s="29">
        <f t="shared" si="205"/>
        <v>100</v>
      </c>
      <c r="AM339" s="26"/>
    </row>
    <row r="340" spans="1:39" ht="29.25" customHeight="1" x14ac:dyDescent="0.25">
      <c r="A340" s="26"/>
      <c r="B340" s="151"/>
      <c r="C340" s="151"/>
      <c r="D340" s="151"/>
      <c r="E340" s="151"/>
      <c r="F340" s="151"/>
      <c r="G340" s="151"/>
      <c r="H340" s="151"/>
      <c r="I340" s="152"/>
      <c r="J340" s="151" t="s">
        <v>280</v>
      </c>
      <c r="K340" s="27"/>
      <c r="L340" s="31"/>
      <c r="M340" s="563" t="s">
        <v>281</v>
      </c>
      <c r="N340" s="564"/>
      <c r="O340" s="35"/>
      <c r="P340" s="28"/>
      <c r="Q340" s="28">
        <v>2000000</v>
      </c>
      <c r="R340" s="29">
        <f t="shared" si="214"/>
        <v>0.58592605613171622</v>
      </c>
      <c r="S340" s="29">
        <v>100</v>
      </c>
      <c r="T340" s="28">
        <f t="shared" si="206"/>
        <v>0</v>
      </c>
      <c r="U340" s="28">
        <f t="shared" si="184"/>
        <v>0</v>
      </c>
      <c r="V340" s="87">
        <f t="shared" si="181"/>
        <v>100</v>
      </c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>
        <v>0</v>
      </c>
      <c r="AJ340" s="29">
        <f t="shared" si="204"/>
        <v>0</v>
      </c>
      <c r="AK340" s="136">
        <f t="shared" si="185"/>
        <v>2000000</v>
      </c>
      <c r="AL340" s="29">
        <f t="shared" si="205"/>
        <v>100</v>
      </c>
      <c r="AM340" s="26"/>
    </row>
    <row r="341" spans="1:39" ht="29.25" customHeight="1" x14ac:dyDescent="0.25">
      <c r="A341" s="26"/>
      <c r="B341" s="151"/>
      <c r="C341" s="151"/>
      <c r="D341" s="151"/>
      <c r="E341" s="151"/>
      <c r="F341" s="151"/>
      <c r="G341" s="151"/>
      <c r="H341" s="151"/>
      <c r="I341" s="152"/>
      <c r="J341" s="151" t="s">
        <v>284</v>
      </c>
      <c r="K341" s="27"/>
      <c r="L341" s="31"/>
      <c r="M341" s="563" t="s">
        <v>285</v>
      </c>
      <c r="N341" s="564"/>
      <c r="O341" s="35"/>
      <c r="P341" s="28"/>
      <c r="Q341" s="28">
        <v>2200000</v>
      </c>
      <c r="R341" s="29">
        <f t="shared" si="214"/>
        <v>0.64451866174488781</v>
      </c>
      <c r="S341" s="29">
        <v>100</v>
      </c>
      <c r="T341" s="28">
        <f t="shared" si="206"/>
        <v>0</v>
      </c>
      <c r="U341" s="28">
        <f t="shared" si="184"/>
        <v>0</v>
      </c>
      <c r="V341" s="87">
        <f t="shared" si="181"/>
        <v>100</v>
      </c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>
        <v>0</v>
      </c>
      <c r="AJ341" s="29">
        <f t="shared" si="204"/>
        <v>0</v>
      </c>
      <c r="AK341" s="136">
        <f t="shared" si="185"/>
        <v>2200000</v>
      </c>
      <c r="AL341" s="29">
        <f t="shared" si="205"/>
        <v>100</v>
      </c>
      <c r="AM341" s="26"/>
    </row>
    <row r="342" spans="1:39" ht="29.25" customHeight="1" x14ac:dyDescent="0.25">
      <c r="A342" s="26"/>
      <c r="B342" s="151"/>
      <c r="C342" s="151"/>
      <c r="D342" s="151"/>
      <c r="E342" s="151"/>
      <c r="F342" s="151"/>
      <c r="G342" s="151"/>
      <c r="H342" s="151"/>
      <c r="I342" s="152"/>
      <c r="J342" s="151" t="s">
        <v>282</v>
      </c>
      <c r="K342" s="27"/>
      <c r="L342" s="31"/>
      <c r="M342" s="563" t="s">
        <v>283</v>
      </c>
      <c r="N342" s="564"/>
      <c r="O342" s="35"/>
      <c r="P342" s="28"/>
      <c r="Q342" s="28">
        <v>159060000</v>
      </c>
      <c r="R342" s="29">
        <f t="shared" si="214"/>
        <v>46.598699244155391</v>
      </c>
      <c r="S342" s="29">
        <v>100</v>
      </c>
      <c r="T342" s="28">
        <f t="shared" si="206"/>
        <v>0</v>
      </c>
      <c r="U342" s="28">
        <f t="shared" si="184"/>
        <v>0</v>
      </c>
      <c r="V342" s="87">
        <f t="shared" si="181"/>
        <v>100</v>
      </c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>
        <v>0</v>
      </c>
      <c r="AJ342" s="29">
        <f t="shared" si="204"/>
        <v>0</v>
      </c>
      <c r="AK342" s="136">
        <f t="shared" si="185"/>
        <v>159060000</v>
      </c>
      <c r="AL342" s="29">
        <f t="shared" si="205"/>
        <v>100</v>
      </c>
      <c r="AM342" s="26"/>
    </row>
    <row r="343" spans="1:39" ht="29.25" customHeight="1" x14ac:dyDescent="0.25">
      <c r="A343" s="26"/>
      <c r="B343" s="151"/>
      <c r="C343" s="151"/>
      <c r="D343" s="151"/>
      <c r="E343" s="151"/>
      <c r="F343" s="151"/>
      <c r="G343" s="151"/>
      <c r="H343" s="151"/>
      <c r="I343" s="152"/>
      <c r="J343" s="151" t="s">
        <v>320</v>
      </c>
      <c r="K343" s="27"/>
      <c r="L343" s="31"/>
      <c r="M343" s="563" t="s">
        <v>321</v>
      </c>
      <c r="N343" s="564"/>
      <c r="O343" s="35"/>
      <c r="P343" s="28"/>
      <c r="Q343" s="28">
        <v>14400000</v>
      </c>
      <c r="R343" s="29">
        <f t="shared" si="214"/>
        <v>4.2186676041483562</v>
      </c>
      <c r="S343" s="29">
        <v>100</v>
      </c>
      <c r="T343" s="28">
        <f t="shared" si="206"/>
        <v>0</v>
      </c>
      <c r="U343" s="28">
        <f t="shared" si="184"/>
        <v>0</v>
      </c>
      <c r="V343" s="87">
        <f t="shared" si="181"/>
        <v>100</v>
      </c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>
        <v>0</v>
      </c>
      <c r="AJ343" s="29">
        <f t="shared" si="204"/>
        <v>0</v>
      </c>
      <c r="AK343" s="136">
        <f t="shared" si="185"/>
        <v>14400000</v>
      </c>
      <c r="AL343" s="29">
        <f t="shared" si="205"/>
        <v>100</v>
      </c>
      <c r="AM343" s="26"/>
    </row>
    <row r="344" spans="1:39" ht="29.25" customHeight="1" x14ac:dyDescent="0.25">
      <c r="A344" s="26"/>
      <c r="B344" s="151"/>
      <c r="C344" s="151"/>
      <c r="D344" s="151"/>
      <c r="E344" s="151"/>
      <c r="F344" s="151"/>
      <c r="G344" s="151"/>
      <c r="H344" s="151"/>
      <c r="I344" s="152"/>
      <c r="J344" s="151" t="s">
        <v>407</v>
      </c>
      <c r="K344" s="27"/>
      <c r="L344" s="31"/>
      <c r="M344" s="563" t="s">
        <v>414</v>
      </c>
      <c r="N344" s="564"/>
      <c r="O344" s="35"/>
      <c r="P344" s="28"/>
      <c r="Q344" s="28">
        <v>9300000</v>
      </c>
      <c r="R344" s="29">
        <f t="shared" si="214"/>
        <v>2.7245561610124804</v>
      </c>
      <c r="S344" s="29"/>
      <c r="T344" s="28">
        <f t="shared" si="206"/>
        <v>0</v>
      </c>
      <c r="U344" s="28">
        <f t="shared" si="184"/>
        <v>0</v>
      </c>
      <c r="V344" s="87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>
        <v>0</v>
      </c>
      <c r="AJ344" s="29">
        <f t="shared" si="204"/>
        <v>0</v>
      </c>
      <c r="AK344" s="136">
        <f t="shared" si="185"/>
        <v>9300000</v>
      </c>
      <c r="AL344" s="29">
        <f t="shared" si="205"/>
        <v>100</v>
      </c>
      <c r="AM344" s="26"/>
    </row>
    <row r="345" spans="1:39" s="41" customFormat="1" ht="45" customHeight="1" x14ac:dyDescent="0.25">
      <c r="A345" s="21" t="e">
        <f>A334+1</f>
        <v>#REF!</v>
      </c>
      <c r="B345" s="543" t="s">
        <v>147</v>
      </c>
      <c r="C345" s="543"/>
      <c r="D345" s="543"/>
      <c r="E345" s="543"/>
      <c r="F345" s="543"/>
      <c r="G345" s="543"/>
      <c r="H345" s="543"/>
      <c r="I345" s="544"/>
      <c r="J345" s="122" t="s">
        <v>490</v>
      </c>
      <c r="K345" s="22"/>
      <c r="L345" s="72"/>
      <c r="M345" s="566" t="s">
        <v>48</v>
      </c>
      <c r="N345" s="566"/>
      <c r="O345" s="76">
        <v>606500000</v>
      </c>
      <c r="P345" s="23">
        <f>O345</f>
        <v>606500000</v>
      </c>
      <c r="Q345" s="23">
        <f>SUM(Q346:Q350)</f>
        <v>189188876</v>
      </c>
      <c r="R345" s="24" t="e">
        <f>Q345/Q$243*100</f>
        <v>#REF!</v>
      </c>
      <c r="S345" s="24">
        <v>100</v>
      </c>
      <c r="T345" s="23">
        <f t="shared" si="206"/>
        <v>0</v>
      </c>
      <c r="U345" s="23" t="e">
        <f t="shared" si="184"/>
        <v>#REF!</v>
      </c>
      <c r="V345" s="90">
        <f t="shared" si="181"/>
        <v>100</v>
      </c>
      <c r="W345" s="23"/>
      <c r="X345" s="23" t="e">
        <f>#REF!</f>
        <v>#REF!</v>
      </c>
      <c r="Y345" s="23" t="e">
        <f>#REF!</f>
        <v>#REF!</v>
      </c>
      <c r="Z345" s="23" t="e">
        <f>#REF!</f>
        <v>#REF!</v>
      </c>
      <c r="AA345" s="23" t="e">
        <f>#REF!</f>
        <v>#REF!</v>
      </c>
      <c r="AB345" s="23">
        <v>143751020</v>
      </c>
      <c r="AC345" s="23" t="e">
        <f>#REF!</f>
        <v>#REF!</v>
      </c>
      <c r="AD345" s="23" t="e">
        <f>#REF!</f>
        <v>#REF!</v>
      </c>
      <c r="AE345" s="23" t="e">
        <f>#REF!</f>
        <v>#REF!</v>
      </c>
      <c r="AF345" s="23" t="e">
        <f>[1]April!N64</f>
        <v>#REF!</v>
      </c>
      <c r="AG345" s="23" t="e">
        <f>[2]april!N64</f>
        <v>#REF!</v>
      </c>
      <c r="AH345" s="23">
        <f>'[3]DES SKPD'!$N64</f>
        <v>571546340</v>
      </c>
      <c r="AI345" s="23">
        <f>SUM(AI346:AI350)</f>
        <v>0</v>
      </c>
      <c r="AJ345" s="24">
        <f t="shared" si="204"/>
        <v>0</v>
      </c>
      <c r="AK345" s="134">
        <f t="shared" si="185"/>
        <v>189188876</v>
      </c>
      <c r="AL345" s="24">
        <f t="shared" si="205"/>
        <v>100</v>
      </c>
      <c r="AM345" s="21"/>
    </row>
    <row r="346" spans="1:39" ht="28.5" customHeight="1" x14ac:dyDescent="0.25">
      <c r="A346" s="26"/>
      <c r="B346" s="151"/>
      <c r="C346" s="151"/>
      <c r="D346" s="151"/>
      <c r="E346" s="151"/>
      <c r="F346" s="151"/>
      <c r="G346" s="151"/>
      <c r="H346" s="151"/>
      <c r="I346" s="152"/>
      <c r="J346" s="151" t="s">
        <v>257</v>
      </c>
      <c r="K346" s="27"/>
      <c r="L346" s="31"/>
      <c r="M346" s="563" t="s">
        <v>428</v>
      </c>
      <c r="N346" s="564"/>
      <c r="O346" s="35"/>
      <c r="P346" s="28"/>
      <c r="Q346" s="28">
        <v>10000000</v>
      </c>
      <c r="R346" s="29">
        <f>Q346/Q$345*100</f>
        <v>5.2857230358512197</v>
      </c>
      <c r="S346" s="29">
        <v>100</v>
      </c>
      <c r="T346" s="28">
        <f t="shared" si="206"/>
        <v>0</v>
      </c>
      <c r="U346" s="28">
        <f t="shared" si="184"/>
        <v>0</v>
      </c>
      <c r="V346" s="87">
        <f t="shared" si="181"/>
        <v>100</v>
      </c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>
        <v>0</v>
      </c>
      <c r="AJ346" s="29">
        <f t="shared" si="204"/>
        <v>0</v>
      </c>
      <c r="AK346" s="136">
        <f t="shared" si="185"/>
        <v>10000000</v>
      </c>
      <c r="AL346" s="29">
        <f t="shared" si="205"/>
        <v>100</v>
      </c>
      <c r="AM346" s="26"/>
    </row>
    <row r="347" spans="1:39" ht="28.5" customHeight="1" x14ac:dyDescent="0.25">
      <c r="A347" s="26"/>
      <c r="B347" s="151"/>
      <c r="C347" s="151"/>
      <c r="D347" s="151"/>
      <c r="E347" s="151"/>
      <c r="F347" s="151"/>
      <c r="G347" s="151"/>
      <c r="H347" s="151"/>
      <c r="I347" s="152"/>
      <c r="J347" s="151" t="s">
        <v>318</v>
      </c>
      <c r="K347" s="27"/>
      <c r="L347" s="31"/>
      <c r="M347" s="569" t="s">
        <v>319</v>
      </c>
      <c r="N347" s="516"/>
      <c r="O347" s="35"/>
      <c r="P347" s="28"/>
      <c r="Q347" s="28">
        <v>100000000</v>
      </c>
      <c r="R347" s="29">
        <f>Q347/Q$345*100</f>
        <v>52.857230358512197</v>
      </c>
      <c r="S347" s="29">
        <v>100</v>
      </c>
      <c r="T347" s="28">
        <f t="shared" si="206"/>
        <v>0</v>
      </c>
      <c r="U347" s="28">
        <f t="shared" si="184"/>
        <v>0</v>
      </c>
      <c r="V347" s="87">
        <f t="shared" si="181"/>
        <v>100</v>
      </c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>
        <v>0</v>
      </c>
      <c r="AJ347" s="29">
        <f t="shared" si="204"/>
        <v>0</v>
      </c>
      <c r="AK347" s="136">
        <f t="shared" si="185"/>
        <v>100000000</v>
      </c>
      <c r="AL347" s="29">
        <f t="shared" si="205"/>
        <v>100</v>
      </c>
      <c r="AM347" s="26"/>
    </row>
    <row r="348" spans="1:39" ht="28.5" customHeight="1" x14ac:dyDescent="0.25">
      <c r="A348" s="26"/>
      <c r="B348" s="151"/>
      <c r="C348" s="151"/>
      <c r="D348" s="151"/>
      <c r="E348" s="151"/>
      <c r="F348" s="151"/>
      <c r="G348" s="151"/>
      <c r="H348" s="151"/>
      <c r="I348" s="152"/>
      <c r="J348" s="151" t="s">
        <v>282</v>
      </c>
      <c r="K348" s="27"/>
      <c r="L348" s="31"/>
      <c r="M348" s="563" t="s">
        <v>603</v>
      </c>
      <c r="N348" s="564"/>
      <c r="O348" s="35"/>
      <c r="P348" s="28"/>
      <c r="Q348" s="28">
        <v>12388876</v>
      </c>
      <c r="R348" s="29">
        <f>Q348/Q$345*100</f>
        <v>6.5484167261504318</v>
      </c>
      <c r="S348" s="29">
        <v>100</v>
      </c>
      <c r="T348" s="28">
        <f t="shared" si="206"/>
        <v>0</v>
      </c>
      <c r="U348" s="28">
        <f t="shared" si="184"/>
        <v>0</v>
      </c>
      <c r="V348" s="87">
        <f t="shared" si="181"/>
        <v>100</v>
      </c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>
        <v>0</v>
      </c>
      <c r="AJ348" s="29">
        <f t="shared" si="204"/>
        <v>0</v>
      </c>
      <c r="AK348" s="136">
        <f t="shared" si="185"/>
        <v>12388876</v>
      </c>
      <c r="AL348" s="29">
        <f t="shared" si="205"/>
        <v>100</v>
      </c>
      <c r="AM348" s="26"/>
    </row>
    <row r="349" spans="1:39" ht="28.5" customHeight="1" x14ac:dyDescent="0.25">
      <c r="A349" s="26"/>
      <c r="B349" s="151"/>
      <c r="C349" s="151"/>
      <c r="D349" s="151"/>
      <c r="E349" s="151"/>
      <c r="F349" s="151"/>
      <c r="G349" s="151"/>
      <c r="H349" s="151"/>
      <c r="I349" s="152"/>
      <c r="J349" s="151" t="s">
        <v>320</v>
      </c>
      <c r="K349" s="27"/>
      <c r="L349" s="31"/>
      <c r="M349" s="563" t="s">
        <v>321</v>
      </c>
      <c r="N349" s="564"/>
      <c r="O349" s="35"/>
      <c r="P349" s="28"/>
      <c r="Q349" s="28">
        <v>57600000</v>
      </c>
      <c r="R349" s="29">
        <f>Q349/Q$345*100</f>
        <v>30.445764686503026</v>
      </c>
      <c r="S349" s="29">
        <v>100</v>
      </c>
      <c r="T349" s="28">
        <f t="shared" si="206"/>
        <v>0</v>
      </c>
      <c r="U349" s="28">
        <f t="shared" si="184"/>
        <v>0</v>
      </c>
      <c r="V349" s="87">
        <f t="shared" si="181"/>
        <v>100</v>
      </c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>
        <v>0</v>
      </c>
      <c r="AJ349" s="29">
        <f t="shared" si="204"/>
        <v>0</v>
      </c>
      <c r="AK349" s="136">
        <f t="shared" si="185"/>
        <v>57600000</v>
      </c>
      <c r="AL349" s="29">
        <f t="shared" si="205"/>
        <v>100</v>
      </c>
      <c r="AM349" s="26"/>
    </row>
    <row r="350" spans="1:39" ht="28.5" customHeight="1" x14ac:dyDescent="0.25">
      <c r="A350" s="26"/>
      <c r="B350" s="151"/>
      <c r="C350" s="151"/>
      <c r="D350" s="151"/>
      <c r="E350" s="151"/>
      <c r="F350" s="151"/>
      <c r="G350" s="151"/>
      <c r="H350" s="151"/>
      <c r="I350" s="152"/>
      <c r="J350" s="151" t="s">
        <v>309</v>
      </c>
      <c r="K350" s="27"/>
      <c r="L350" s="31"/>
      <c r="M350" s="563" t="s">
        <v>607</v>
      </c>
      <c r="N350" s="564"/>
      <c r="O350" s="35"/>
      <c r="P350" s="28"/>
      <c r="Q350" s="28">
        <v>9200000</v>
      </c>
      <c r="R350" s="29">
        <f>Q350/Q$345*100</f>
        <v>4.8628651929831221</v>
      </c>
      <c r="S350" s="29">
        <v>100</v>
      </c>
      <c r="T350" s="28">
        <f t="shared" si="206"/>
        <v>0</v>
      </c>
      <c r="U350" s="28">
        <f t="shared" si="184"/>
        <v>0</v>
      </c>
      <c r="V350" s="87">
        <f t="shared" si="181"/>
        <v>100</v>
      </c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>
        <v>0</v>
      </c>
      <c r="AJ350" s="29">
        <f t="shared" si="204"/>
        <v>0</v>
      </c>
      <c r="AK350" s="136">
        <f t="shared" si="185"/>
        <v>9200000</v>
      </c>
      <c r="AL350" s="29">
        <f t="shared" si="205"/>
        <v>100</v>
      </c>
      <c r="AM350" s="26"/>
    </row>
    <row r="351" spans="1:39" ht="28.5" customHeight="1" x14ac:dyDescent="0.25">
      <c r="A351" s="21">
        <v>43</v>
      </c>
      <c r="B351" s="151"/>
      <c r="C351" s="151"/>
      <c r="D351" s="151"/>
      <c r="E351" s="151"/>
      <c r="F351" s="151"/>
      <c r="G351" s="151"/>
      <c r="H351" s="151"/>
      <c r="I351" s="152"/>
      <c r="J351" s="122" t="s">
        <v>492</v>
      </c>
      <c r="K351" s="22"/>
      <c r="L351" s="72"/>
      <c r="M351" s="568" t="s">
        <v>493</v>
      </c>
      <c r="N351" s="568"/>
      <c r="O351" s="76">
        <v>558720000</v>
      </c>
      <c r="P351" s="23">
        <f>O351</f>
        <v>558720000</v>
      </c>
      <c r="Q351" s="23">
        <f>SUM(Q352:Q357)</f>
        <v>445894073</v>
      </c>
      <c r="R351" s="24" t="e">
        <f>Q351/Q$243*100</f>
        <v>#REF!</v>
      </c>
      <c r="S351" s="24">
        <v>100</v>
      </c>
      <c r="T351" s="23">
        <f t="shared" si="206"/>
        <v>0</v>
      </c>
      <c r="U351" s="23" t="e">
        <f t="shared" si="184"/>
        <v>#REF!</v>
      </c>
      <c r="V351" s="90">
        <f t="shared" si="181"/>
        <v>100</v>
      </c>
      <c r="W351" s="23"/>
      <c r="X351" s="23" t="e">
        <f>#REF!</f>
        <v>#REF!</v>
      </c>
      <c r="Y351" s="23" t="e">
        <f>#REF!</f>
        <v>#REF!</v>
      </c>
      <c r="Z351" s="23" t="e">
        <f>#REF!</f>
        <v>#REF!</v>
      </c>
      <c r="AA351" s="23" t="e">
        <f>#REF!</f>
        <v>#REF!</v>
      </c>
      <c r="AB351" s="23">
        <v>192786500</v>
      </c>
      <c r="AC351" s="23" t="e">
        <f>#REF!</f>
        <v>#REF!</v>
      </c>
      <c r="AD351" s="23" t="e">
        <f>#REF!</f>
        <v>#REF!</v>
      </c>
      <c r="AE351" s="23" t="e">
        <f>#REF!</f>
        <v>#REF!</v>
      </c>
      <c r="AF351" s="23" t="e">
        <f>[1]April!N54</f>
        <v>#REF!</v>
      </c>
      <c r="AG351" s="23" t="e">
        <f>[2]april!N54</f>
        <v>#REF!</v>
      </c>
      <c r="AH351" s="23">
        <f>'[3]DES SKPD'!$N54</f>
        <v>508172500</v>
      </c>
      <c r="AI351" s="23">
        <f>SUM(AI352:AI357)</f>
        <v>0</v>
      </c>
      <c r="AJ351" s="24">
        <f t="shared" si="204"/>
        <v>0</v>
      </c>
      <c r="AK351" s="134">
        <f t="shared" si="185"/>
        <v>445894073</v>
      </c>
      <c r="AL351" s="24">
        <f t="shared" si="205"/>
        <v>100</v>
      </c>
      <c r="AM351" s="26"/>
    </row>
    <row r="352" spans="1:39" ht="28.5" customHeight="1" x14ac:dyDescent="0.25">
      <c r="A352" s="26"/>
      <c r="B352" s="151"/>
      <c r="C352" s="151"/>
      <c r="D352" s="151"/>
      <c r="E352" s="151"/>
      <c r="F352" s="151"/>
      <c r="G352" s="151"/>
      <c r="H352" s="151"/>
      <c r="I352" s="152"/>
      <c r="J352" s="151" t="s">
        <v>315</v>
      </c>
      <c r="K352" s="27"/>
      <c r="L352" s="31"/>
      <c r="M352" s="563" t="s">
        <v>271</v>
      </c>
      <c r="N352" s="564"/>
      <c r="O352" s="35"/>
      <c r="P352" s="28"/>
      <c r="Q352" s="28">
        <v>20304000</v>
      </c>
      <c r="R352" s="29">
        <f t="shared" ref="R352:R358" si="215">Q352/Q$351*100</f>
        <v>4.5535478557482421</v>
      </c>
      <c r="S352" s="29">
        <v>100</v>
      </c>
      <c r="T352" s="28">
        <f t="shared" si="206"/>
        <v>0</v>
      </c>
      <c r="U352" s="28">
        <f t="shared" si="184"/>
        <v>0</v>
      </c>
      <c r="V352" s="87">
        <f t="shared" si="181"/>
        <v>100</v>
      </c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>
        <v>0</v>
      </c>
      <c r="AJ352" s="29">
        <f t="shared" si="204"/>
        <v>0</v>
      </c>
      <c r="AK352" s="136">
        <f t="shared" si="185"/>
        <v>20304000</v>
      </c>
      <c r="AL352" s="29">
        <f t="shared" si="205"/>
        <v>100</v>
      </c>
      <c r="AM352" s="26"/>
    </row>
    <row r="353" spans="1:39" ht="28.5" customHeight="1" x14ac:dyDescent="0.25">
      <c r="A353" s="26"/>
      <c r="B353" s="151"/>
      <c r="C353" s="151"/>
      <c r="D353" s="151"/>
      <c r="E353" s="151"/>
      <c r="F353" s="151"/>
      <c r="G353" s="151"/>
      <c r="H353" s="151"/>
      <c r="I353" s="152"/>
      <c r="J353" s="151" t="s">
        <v>328</v>
      </c>
      <c r="K353" s="27"/>
      <c r="L353" s="31"/>
      <c r="M353" s="563" t="s">
        <v>319</v>
      </c>
      <c r="N353" s="564"/>
      <c r="O353" s="35"/>
      <c r="P353" s="28"/>
      <c r="Q353" s="28">
        <v>231000000</v>
      </c>
      <c r="R353" s="29">
        <f t="shared" si="215"/>
        <v>51.806026136615635</v>
      </c>
      <c r="S353" s="29">
        <v>100</v>
      </c>
      <c r="T353" s="28">
        <f t="shared" si="206"/>
        <v>0</v>
      </c>
      <c r="U353" s="28">
        <f t="shared" si="184"/>
        <v>0</v>
      </c>
      <c r="V353" s="87">
        <f t="shared" si="181"/>
        <v>100</v>
      </c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>
        <v>0</v>
      </c>
      <c r="AJ353" s="29">
        <f t="shared" si="204"/>
        <v>0</v>
      </c>
      <c r="AK353" s="136">
        <f t="shared" si="185"/>
        <v>231000000</v>
      </c>
      <c r="AL353" s="29">
        <f t="shared" si="205"/>
        <v>100</v>
      </c>
      <c r="AM353" s="26"/>
    </row>
    <row r="354" spans="1:39" ht="28.5" customHeight="1" x14ac:dyDescent="0.25">
      <c r="A354" s="26"/>
      <c r="B354" s="151"/>
      <c r="C354" s="151"/>
      <c r="D354" s="151"/>
      <c r="E354" s="151"/>
      <c r="F354" s="151"/>
      <c r="G354" s="151"/>
      <c r="H354" s="151"/>
      <c r="I354" s="152"/>
      <c r="J354" s="128" t="s">
        <v>339</v>
      </c>
      <c r="M354" s="593" t="s">
        <v>608</v>
      </c>
      <c r="N354" s="594"/>
      <c r="O354" s="35"/>
      <c r="P354" s="28"/>
      <c r="Q354" s="28">
        <v>25200000</v>
      </c>
      <c r="R354" s="29">
        <f t="shared" si="215"/>
        <v>5.6515664876307961</v>
      </c>
      <c r="S354" s="29">
        <v>100</v>
      </c>
      <c r="T354" s="28">
        <f t="shared" si="206"/>
        <v>0</v>
      </c>
      <c r="U354" s="28">
        <f t="shared" ref="U354:U410" si="216">R354*T354/100</f>
        <v>0</v>
      </c>
      <c r="V354" s="87">
        <f t="shared" si="181"/>
        <v>100</v>
      </c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>
        <v>0</v>
      </c>
      <c r="AJ354" s="29">
        <f t="shared" si="204"/>
        <v>0</v>
      </c>
      <c r="AK354" s="136">
        <f t="shared" si="185"/>
        <v>25200000</v>
      </c>
      <c r="AL354" s="29">
        <f t="shared" si="205"/>
        <v>100</v>
      </c>
      <c r="AM354" s="26"/>
    </row>
    <row r="355" spans="1:39" ht="28.5" customHeight="1" x14ac:dyDescent="0.25">
      <c r="A355" s="26"/>
      <c r="B355" s="151"/>
      <c r="C355" s="151"/>
      <c r="D355" s="151"/>
      <c r="E355" s="151"/>
      <c r="F355" s="151"/>
      <c r="G355" s="151"/>
      <c r="H355" s="151"/>
      <c r="I355" s="152"/>
      <c r="J355" s="151" t="s">
        <v>284</v>
      </c>
      <c r="K355" s="27"/>
      <c r="L355" s="31"/>
      <c r="M355" s="563" t="s">
        <v>503</v>
      </c>
      <c r="N355" s="564"/>
      <c r="O355" s="35"/>
      <c r="P355" s="28"/>
      <c r="Q355" s="28">
        <v>152190073</v>
      </c>
      <c r="R355" s="29">
        <f t="shared" si="215"/>
        <v>34.131441123685896</v>
      </c>
      <c r="S355" s="29">
        <v>100</v>
      </c>
      <c r="T355" s="28">
        <f t="shared" si="206"/>
        <v>0</v>
      </c>
      <c r="U355" s="28">
        <f t="shared" si="216"/>
        <v>0</v>
      </c>
      <c r="V355" s="87">
        <f t="shared" si="181"/>
        <v>100</v>
      </c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>
        <v>0</v>
      </c>
      <c r="AJ355" s="29">
        <f>AI355/Q355*100</f>
        <v>0</v>
      </c>
      <c r="AK355" s="136">
        <f>Q355-AI355</f>
        <v>152190073</v>
      </c>
      <c r="AL355" s="29">
        <f>AK355/Q355*100</f>
        <v>100</v>
      </c>
      <c r="AM355" s="26"/>
    </row>
    <row r="356" spans="1:39" ht="28.5" customHeight="1" x14ac:dyDescent="0.25">
      <c r="A356" s="26"/>
      <c r="B356" s="151"/>
      <c r="C356" s="151"/>
      <c r="D356" s="151"/>
      <c r="E356" s="151"/>
      <c r="F356" s="151"/>
      <c r="G356" s="151"/>
      <c r="H356" s="151"/>
      <c r="I356" s="152"/>
      <c r="J356" s="151" t="s">
        <v>320</v>
      </c>
      <c r="K356" s="27"/>
      <c r="L356" s="31"/>
      <c r="M356" s="563" t="s">
        <v>321</v>
      </c>
      <c r="N356" s="564"/>
      <c r="O356" s="35"/>
      <c r="P356" s="28"/>
      <c r="Q356" s="28">
        <v>9200000</v>
      </c>
      <c r="R356" s="29">
        <f t="shared" si="215"/>
        <v>2.0632703050080683</v>
      </c>
      <c r="S356" s="29">
        <v>100</v>
      </c>
      <c r="T356" s="28">
        <f t="shared" si="206"/>
        <v>0</v>
      </c>
      <c r="U356" s="28">
        <f t="shared" si="216"/>
        <v>0</v>
      </c>
      <c r="V356" s="87">
        <f t="shared" si="181"/>
        <v>100</v>
      </c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>
        <v>0</v>
      </c>
      <c r="AJ356" s="29">
        <f t="shared" si="204"/>
        <v>0</v>
      </c>
      <c r="AK356" s="136">
        <f t="shared" ref="AK356:AK412" si="217">Q356-AI356</f>
        <v>9200000</v>
      </c>
      <c r="AL356" s="29">
        <f t="shared" si="205"/>
        <v>100</v>
      </c>
      <c r="AM356" s="26"/>
    </row>
    <row r="357" spans="1:39" ht="28.5" customHeight="1" x14ac:dyDescent="0.25">
      <c r="A357" s="26"/>
      <c r="B357" s="151"/>
      <c r="C357" s="151"/>
      <c r="D357" s="151"/>
      <c r="E357" s="151"/>
      <c r="F357" s="151"/>
      <c r="G357" s="151"/>
      <c r="H357" s="151"/>
      <c r="I357" s="152"/>
      <c r="J357" s="128" t="s">
        <v>407</v>
      </c>
      <c r="M357" s="570" t="s">
        <v>414</v>
      </c>
      <c r="N357" s="571"/>
      <c r="O357" s="35"/>
      <c r="P357" s="28"/>
      <c r="Q357" s="28">
        <v>8000000</v>
      </c>
      <c r="R357" s="29">
        <f t="shared" si="215"/>
        <v>1.7941480913113639</v>
      </c>
      <c r="S357" s="29">
        <v>100</v>
      </c>
      <c r="T357" s="28">
        <f t="shared" si="206"/>
        <v>0</v>
      </c>
      <c r="U357" s="28">
        <f t="shared" si="216"/>
        <v>0</v>
      </c>
      <c r="V357" s="87">
        <f t="shared" si="181"/>
        <v>100</v>
      </c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>
        <v>0</v>
      </c>
      <c r="AJ357" s="29">
        <f t="shared" si="204"/>
        <v>0</v>
      </c>
      <c r="AK357" s="136">
        <f t="shared" si="217"/>
        <v>8000000</v>
      </c>
      <c r="AL357" s="29">
        <f t="shared" si="205"/>
        <v>100</v>
      </c>
      <c r="AM357" s="26"/>
    </row>
    <row r="358" spans="1:39" ht="28.5" customHeight="1" x14ac:dyDescent="0.25">
      <c r="A358" s="26"/>
      <c r="B358" s="176"/>
      <c r="C358" s="176"/>
      <c r="D358" s="176"/>
      <c r="E358" s="176"/>
      <c r="F358" s="176"/>
      <c r="G358" s="176"/>
      <c r="H358" s="176"/>
      <c r="I358" s="177"/>
      <c r="J358" s="128" t="s">
        <v>551</v>
      </c>
      <c r="M358" s="570" t="s">
        <v>550</v>
      </c>
      <c r="N358" s="571"/>
      <c r="O358" s="35"/>
      <c r="P358" s="28"/>
      <c r="Q358" s="28">
        <v>96000000</v>
      </c>
      <c r="R358" s="29">
        <f t="shared" si="215"/>
        <v>21.529777095736367</v>
      </c>
      <c r="S358" s="29">
        <v>100</v>
      </c>
      <c r="T358" s="28">
        <f t="shared" ref="T358" si="218">AJ358</f>
        <v>0</v>
      </c>
      <c r="U358" s="28">
        <f t="shared" ref="U358" si="219">R358*T358/100</f>
        <v>0</v>
      </c>
      <c r="V358" s="87">
        <f t="shared" ref="V358" si="220">S358-T358</f>
        <v>100</v>
      </c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>
        <v>0</v>
      </c>
      <c r="AJ358" s="29">
        <f t="shared" ref="AJ358" si="221">AI358/Q358*100</f>
        <v>0</v>
      </c>
      <c r="AK358" s="136">
        <f t="shared" ref="AK358" si="222">Q358-AI358</f>
        <v>96000000</v>
      </c>
      <c r="AL358" s="29">
        <f t="shared" ref="AL358" si="223">AK358/Q358*100</f>
        <v>100</v>
      </c>
      <c r="AM358" s="26"/>
    </row>
    <row r="359" spans="1:39" s="41" customFormat="1" ht="29.25" customHeight="1" x14ac:dyDescent="0.25">
      <c r="A359" s="21">
        <f>SUM(A351+1)</f>
        <v>44</v>
      </c>
      <c r="B359" s="543" t="s">
        <v>150</v>
      </c>
      <c r="C359" s="543"/>
      <c r="D359" s="543"/>
      <c r="E359" s="543"/>
      <c r="F359" s="543"/>
      <c r="G359" s="543"/>
      <c r="H359" s="543"/>
      <c r="I359" s="544"/>
      <c r="J359" s="122" t="s">
        <v>491</v>
      </c>
      <c r="K359" s="22"/>
      <c r="L359" s="72"/>
      <c r="M359" s="568" t="s">
        <v>49</v>
      </c>
      <c r="N359" s="568"/>
      <c r="O359" s="76">
        <v>558720000</v>
      </c>
      <c r="P359" s="23">
        <f>O359</f>
        <v>558720000</v>
      </c>
      <c r="Q359" s="23">
        <f>SUM(Q360:Q371)</f>
        <v>412540000</v>
      </c>
      <c r="R359" s="24" t="e">
        <f>Q359/Q$243*100</f>
        <v>#REF!</v>
      </c>
      <c r="S359" s="24">
        <v>100</v>
      </c>
      <c r="T359" s="23">
        <f t="shared" si="206"/>
        <v>0</v>
      </c>
      <c r="U359" s="23" t="e">
        <f t="shared" si="216"/>
        <v>#REF!</v>
      </c>
      <c r="V359" s="90">
        <f t="shared" si="181"/>
        <v>100</v>
      </c>
      <c r="W359" s="23"/>
      <c r="X359" s="23" t="e">
        <f>#REF!</f>
        <v>#REF!</v>
      </c>
      <c r="Y359" s="23" t="e">
        <f>#REF!</f>
        <v>#REF!</v>
      </c>
      <c r="Z359" s="23" t="e">
        <f>#REF!</f>
        <v>#REF!</v>
      </c>
      <c r="AA359" s="23" t="e">
        <f>#REF!</f>
        <v>#REF!</v>
      </c>
      <c r="AB359" s="23">
        <v>192786500</v>
      </c>
      <c r="AC359" s="23" t="e">
        <f>#REF!</f>
        <v>#REF!</v>
      </c>
      <c r="AD359" s="23" t="e">
        <f>#REF!</f>
        <v>#REF!</v>
      </c>
      <c r="AE359" s="23" t="e">
        <f>#REF!</f>
        <v>#REF!</v>
      </c>
      <c r="AF359" s="23" t="e">
        <f>[1]April!N66</f>
        <v>#REF!</v>
      </c>
      <c r="AG359" s="23" t="e">
        <f>[2]april!N66</f>
        <v>#REF!</v>
      </c>
      <c r="AH359" s="23">
        <f>'[3]DES SKPD'!$N66</f>
        <v>558385000</v>
      </c>
      <c r="AI359" s="23">
        <f>SUM(AI360:AI371)</f>
        <v>0</v>
      </c>
      <c r="AJ359" s="24">
        <f t="shared" si="204"/>
        <v>0</v>
      </c>
      <c r="AK359" s="134">
        <f t="shared" si="217"/>
        <v>412540000</v>
      </c>
      <c r="AL359" s="24">
        <f t="shared" si="205"/>
        <v>100</v>
      </c>
      <c r="AM359" s="21"/>
    </row>
    <row r="360" spans="1:39" ht="29.25" customHeight="1" x14ac:dyDescent="0.25">
      <c r="A360" s="26"/>
      <c r="B360" s="151"/>
      <c r="C360" s="151"/>
      <c r="D360" s="151"/>
      <c r="E360" s="151"/>
      <c r="F360" s="151"/>
      <c r="G360" s="151"/>
      <c r="H360" s="151"/>
      <c r="I360" s="152"/>
      <c r="J360" s="151" t="s">
        <v>259</v>
      </c>
      <c r="K360" s="27"/>
      <c r="L360" s="31"/>
      <c r="M360" s="563" t="s">
        <v>260</v>
      </c>
      <c r="N360" s="564"/>
      <c r="O360" s="35"/>
      <c r="P360" s="28"/>
      <c r="Q360" s="28">
        <v>3080000</v>
      </c>
      <c r="R360" s="29">
        <f t="shared" ref="R360:R371" si="224">Q360/Q$359*100</f>
        <v>0.74659426964657971</v>
      </c>
      <c r="S360" s="29">
        <v>100</v>
      </c>
      <c r="T360" s="28">
        <f t="shared" si="206"/>
        <v>0</v>
      </c>
      <c r="U360" s="28">
        <f t="shared" si="216"/>
        <v>0</v>
      </c>
      <c r="V360" s="87">
        <f t="shared" si="181"/>
        <v>100</v>
      </c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>
        <v>0</v>
      </c>
      <c r="AJ360" s="29">
        <f t="shared" si="204"/>
        <v>0</v>
      </c>
      <c r="AK360" s="136">
        <f t="shared" si="217"/>
        <v>3080000</v>
      </c>
      <c r="AL360" s="29">
        <f t="shared" si="205"/>
        <v>100</v>
      </c>
      <c r="AM360" s="26"/>
    </row>
    <row r="361" spans="1:39" ht="29.25" customHeight="1" x14ac:dyDescent="0.25">
      <c r="A361" s="26"/>
      <c r="B361" s="151"/>
      <c r="C361" s="151"/>
      <c r="D361" s="151"/>
      <c r="E361" s="151"/>
      <c r="F361" s="151"/>
      <c r="G361" s="151"/>
      <c r="H361" s="151"/>
      <c r="I361" s="152"/>
      <c r="J361" s="151" t="s">
        <v>347</v>
      </c>
      <c r="K361" s="27"/>
      <c r="L361" s="31"/>
      <c r="M361" s="563" t="s">
        <v>348</v>
      </c>
      <c r="N361" s="564"/>
      <c r="O361" s="35"/>
      <c r="P361" s="28"/>
      <c r="Q361" s="28">
        <v>57400000</v>
      </c>
      <c r="R361" s="29">
        <f t="shared" si="224"/>
        <v>13.913802297958986</v>
      </c>
      <c r="S361" s="29">
        <v>100</v>
      </c>
      <c r="T361" s="28">
        <f t="shared" si="206"/>
        <v>0</v>
      </c>
      <c r="U361" s="28">
        <f t="shared" si="216"/>
        <v>0</v>
      </c>
      <c r="V361" s="87">
        <f t="shared" si="181"/>
        <v>100</v>
      </c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>
        <v>0</v>
      </c>
      <c r="AJ361" s="29">
        <f t="shared" si="204"/>
        <v>0</v>
      </c>
      <c r="AK361" s="136">
        <f t="shared" si="217"/>
        <v>57400000</v>
      </c>
      <c r="AL361" s="29">
        <f t="shared" si="205"/>
        <v>100</v>
      </c>
      <c r="AM361" s="26"/>
    </row>
    <row r="362" spans="1:39" ht="29.25" customHeight="1" x14ac:dyDescent="0.25">
      <c r="A362" s="26"/>
      <c r="B362" s="151"/>
      <c r="C362" s="151"/>
      <c r="D362" s="151"/>
      <c r="E362" s="151"/>
      <c r="F362" s="151"/>
      <c r="G362" s="151"/>
      <c r="H362" s="151"/>
      <c r="I362" s="152"/>
      <c r="J362" s="151" t="s">
        <v>323</v>
      </c>
      <c r="K362" s="27"/>
      <c r="L362" s="31"/>
      <c r="M362" s="563" t="s">
        <v>324</v>
      </c>
      <c r="N362" s="564"/>
      <c r="O362" s="35"/>
      <c r="P362" s="28"/>
      <c r="Q362" s="28">
        <v>24084000</v>
      </c>
      <c r="R362" s="29">
        <f t="shared" si="224"/>
        <v>5.8379793474572166</v>
      </c>
      <c r="S362" s="29">
        <v>100</v>
      </c>
      <c r="T362" s="28">
        <f t="shared" si="206"/>
        <v>0</v>
      </c>
      <c r="U362" s="28">
        <f t="shared" si="216"/>
        <v>0</v>
      </c>
      <c r="V362" s="87">
        <f t="shared" si="181"/>
        <v>100</v>
      </c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>
        <v>0</v>
      </c>
      <c r="AJ362" s="29">
        <f t="shared" si="204"/>
        <v>0</v>
      </c>
      <c r="AK362" s="136">
        <f t="shared" si="217"/>
        <v>24084000</v>
      </c>
      <c r="AL362" s="29">
        <f t="shared" si="205"/>
        <v>100</v>
      </c>
      <c r="AM362" s="26"/>
    </row>
    <row r="363" spans="1:39" ht="29.25" customHeight="1" x14ac:dyDescent="0.25">
      <c r="A363" s="26"/>
      <c r="B363" s="151"/>
      <c r="C363" s="151"/>
      <c r="D363" s="151"/>
      <c r="E363" s="151"/>
      <c r="F363" s="151"/>
      <c r="G363" s="151"/>
      <c r="H363" s="151"/>
      <c r="I363" s="152"/>
      <c r="J363" s="151" t="s">
        <v>269</v>
      </c>
      <c r="K363" s="27"/>
      <c r="L363" s="31"/>
      <c r="M363" s="563" t="s">
        <v>270</v>
      </c>
      <c r="N363" s="564"/>
      <c r="O363" s="35"/>
      <c r="P363" s="28"/>
      <c r="Q363" s="28">
        <v>1500000</v>
      </c>
      <c r="R363" s="29">
        <f t="shared" si="224"/>
        <v>0.36360110534736023</v>
      </c>
      <c r="S363" s="29">
        <v>100</v>
      </c>
      <c r="T363" s="28">
        <f t="shared" si="206"/>
        <v>0</v>
      </c>
      <c r="U363" s="28">
        <f t="shared" si="216"/>
        <v>0</v>
      </c>
      <c r="V363" s="87">
        <f t="shared" si="181"/>
        <v>100</v>
      </c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>
        <v>0</v>
      </c>
      <c r="AJ363" s="29">
        <f t="shared" si="204"/>
        <v>0</v>
      </c>
      <c r="AK363" s="136">
        <f t="shared" si="217"/>
        <v>1500000</v>
      </c>
      <c r="AL363" s="29">
        <f t="shared" si="205"/>
        <v>100</v>
      </c>
      <c r="AM363" s="26"/>
    </row>
    <row r="364" spans="1:39" ht="29.25" customHeight="1" x14ac:dyDescent="0.25">
      <c r="A364" s="26"/>
      <c r="B364" s="151"/>
      <c r="C364" s="151"/>
      <c r="D364" s="151"/>
      <c r="E364" s="151"/>
      <c r="F364" s="151"/>
      <c r="G364" s="151"/>
      <c r="H364" s="151"/>
      <c r="I364" s="152"/>
      <c r="J364" s="151" t="s">
        <v>315</v>
      </c>
      <c r="K364" s="27"/>
      <c r="L364" s="31"/>
      <c r="M364" s="563" t="s">
        <v>271</v>
      </c>
      <c r="N364" s="564"/>
      <c r="O364" s="35"/>
      <c r="P364" s="28"/>
      <c r="Q364" s="28">
        <v>3116000</v>
      </c>
      <c r="R364" s="29">
        <f t="shared" si="224"/>
        <v>0.75532069617491637</v>
      </c>
      <c r="S364" s="29">
        <v>100</v>
      </c>
      <c r="T364" s="28">
        <f t="shared" si="206"/>
        <v>0</v>
      </c>
      <c r="U364" s="28">
        <f t="shared" si="216"/>
        <v>0</v>
      </c>
      <c r="V364" s="87">
        <f t="shared" si="181"/>
        <v>100</v>
      </c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>
        <v>0</v>
      </c>
      <c r="AJ364" s="29">
        <f t="shared" si="204"/>
        <v>0</v>
      </c>
      <c r="AK364" s="136">
        <f t="shared" si="217"/>
        <v>3116000</v>
      </c>
      <c r="AL364" s="29">
        <f t="shared" si="205"/>
        <v>100</v>
      </c>
      <c r="AM364" s="26"/>
    </row>
    <row r="365" spans="1:39" ht="29.25" customHeight="1" x14ac:dyDescent="0.25">
      <c r="A365" s="26"/>
      <c r="B365" s="151"/>
      <c r="C365" s="151"/>
      <c r="D365" s="151"/>
      <c r="E365" s="151"/>
      <c r="F365" s="151"/>
      <c r="G365" s="151"/>
      <c r="H365" s="151"/>
      <c r="I365" s="152"/>
      <c r="J365" s="151" t="s">
        <v>316</v>
      </c>
      <c r="K365" s="27"/>
      <c r="L365" s="31"/>
      <c r="M365" s="563" t="s">
        <v>317</v>
      </c>
      <c r="N365" s="564"/>
      <c r="O365" s="35"/>
      <c r="P365" s="28"/>
      <c r="Q365" s="28">
        <v>2000000</v>
      </c>
      <c r="R365" s="29">
        <f t="shared" si="224"/>
        <v>0.48480147379648031</v>
      </c>
      <c r="S365" s="29">
        <v>100</v>
      </c>
      <c r="T365" s="28">
        <f t="shared" si="206"/>
        <v>0</v>
      </c>
      <c r="U365" s="28">
        <f t="shared" si="216"/>
        <v>0</v>
      </c>
      <c r="V365" s="87">
        <f t="shared" si="181"/>
        <v>100</v>
      </c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>
        <v>0</v>
      </c>
      <c r="AJ365" s="29">
        <f t="shared" si="204"/>
        <v>0</v>
      </c>
      <c r="AK365" s="136">
        <f t="shared" si="217"/>
        <v>2000000</v>
      </c>
      <c r="AL365" s="29">
        <f t="shared" si="205"/>
        <v>100</v>
      </c>
      <c r="AM365" s="26"/>
    </row>
    <row r="366" spans="1:39" ht="29.25" customHeight="1" x14ac:dyDescent="0.25">
      <c r="A366" s="26"/>
      <c r="B366" s="151"/>
      <c r="C366" s="151"/>
      <c r="D366" s="151"/>
      <c r="E366" s="151"/>
      <c r="F366" s="151"/>
      <c r="G366" s="151"/>
      <c r="H366" s="151"/>
      <c r="I366" s="152"/>
      <c r="J366" s="151" t="s">
        <v>318</v>
      </c>
      <c r="K366" s="27"/>
      <c r="L366" s="31"/>
      <c r="M366" s="563" t="s">
        <v>319</v>
      </c>
      <c r="N366" s="564"/>
      <c r="O366" s="35"/>
      <c r="P366" s="28"/>
      <c r="Q366" s="28">
        <v>105200000</v>
      </c>
      <c r="R366" s="29">
        <f t="shared" si="224"/>
        <v>25.500557521694866</v>
      </c>
      <c r="S366" s="29">
        <v>100</v>
      </c>
      <c r="T366" s="28">
        <f t="shared" si="206"/>
        <v>0</v>
      </c>
      <c r="U366" s="28">
        <f t="shared" si="216"/>
        <v>0</v>
      </c>
      <c r="V366" s="87">
        <f t="shared" si="181"/>
        <v>100</v>
      </c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>
        <v>0</v>
      </c>
      <c r="AJ366" s="29">
        <f t="shared" si="204"/>
        <v>0</v>
      </c>
      <c r="AK366" s="136">
        <f t="shared" si="217"/>
        <v>105200000</v>
      </c>
      <c r="AL366" s="29">
        <f t="shared" si="205"/>
        <v>100</v>
      </c>
      <c r="AM366" s="26"/>
    </row>
    <row r="367" spans="1:39" ht="29.25" customHeight="1" x14ac:dyDescent="0.25">
      <c r="A367" s="26"/>
      <c r="B367" s="151"/>
      <c r="C367" s="151"/>
      <c r="D367" s="151"/>
      <c r="E367" s="151"/>
      <c r="F367" s="151"/>
      <c r="G367" s="151"/>
      <c r="H367" s="151"/>
      <c r="I367" s="152"/>
      <c r="J367" s="151" t="s">
        <v>284</v>
      </c>
      <c r="K367" s="27"/>
      <c r="L367" s="31"/>
      <c r="M367" s="563" t="s">
        <v>285</v>
      </c>
      <c r="N367" s="564"/>
      <c r="O367" s="35"/>
      <c r="P367" s="28"/>
      <c r="Q367" s="28">
        <v>14740000</v>
      </c>
      <c r="R367" s="29">
        <f t="shared" si="224"/>
        <v>3.57298686188006</v>
      </c>
      <c r="S367" s="29">
        <v>100</v>
      </c>
      <c r="T367" s="28">
        <f t="shared" si="206"/>
        <v>0</v>
      </c>
      <c r="U367" s="28">
        <f t="shared" si="216"/>
        <v>0</v>
      </c>
      <c r="V367" s="87">
        <f t="shared" si="181"/>
        <v>100</v>
      </c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>
        <v>0</v>
      </c>
      <c r="AJ367" s="29">
        <f t="shared" si="204"/>
        <v>0</v>
      </c>
      <c r="AK367" s="136">
        <f t="shared" si="217"/>
        <v>14740000</v>
      </c>
      <c r="AL367" s="29">
        <f t="shared" si="205"/>
        <v>100</v>
      </c>
      <c r="AM367" s="26"/>
    </row>
    <row r="368" spans="1:39" ht="29.25" customHeight="1" x14ac:dyDescent="0.25">
      <c r="A368" s="26"/>
      <c r="B368" s="151"/>
      <c r="C368" s="151"/>
      <c r="D368" s="151"/>
      <c r="E368" s="151"/>
      <c r="F368" s="151"/>
      <c r="G368" s="151"/>
      <c r="H368" s="151"/>
      <c r="I368" s="152"/>
      <c r="J368" s="151" t="s">
        <v>282</v>
      </c>
      <c r="K368" s="27"/>
      <c r="L368" s="31"/>
      <c r="M368" s="563" t="s">
        <v>283</v>
      </c>
      <c r="N368" s="564"/>
      <c r="O368" s="35"/>
      <c r="P368" s="28"/>
      <c r="Q368" s="28">
        <v>88420000</v>
      </c>
      <c r="R368" s="29">
        <f t="shared" si="224"/>
        <v>21.433073156542395</v>
      </c>
      <c r="S368" s="29">
        <v>100</v>
      </c>
      <c r="T368" s="28">
        <f t="shared" si="206"/>
        <v>0</v>
      </c>
      <c r="U368" s="28">
        <f t="shared" si="216"/>
        <v>0</v>
      </c>
      <c r="V368" s="87">
        <f t="shared" si="181"/>
        <v>100</v>
      </c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>
        <v>0</v>
      </c>
      <c r="AJ368" s="29">
        <f t="shared" si="204"/>
        <v>0</v>
      </c>
      <c r="AK368" s="136">
        <f t="shared" si="217"/>
        <v>88420000</v>
      </c>
      <c r="AL368" s="29">
        <f t="shared" si="205"/>
        <v>100</v>
      </c>
      <c r="AM368" s="26"/>
    </row>
    <row r="369" spans="1:39" ht="29.25" customHeight="1" x14ac:dyDescent="0.25">
      <c r="A369" s="26"/>
      <c r="B369" s="151"/>
      <c r="C369" s="151"/>
      <c r="D369" s="151"/>
      <c r="E369" s="151"/>
      <c r="F369" s="151"/>
      <c r="G369" s="151"/>
      <c r="H369" s="151"/>
      <c r="I369" s="152"/>
      <c r="J369" s="151" t="s">
        <v>320</v>
      </c>
      <c r="K369" s="27"/>
      <c r="L369" s="31"/>
      <c r="M369" s="563" t="s">
        <v>321</v>
      </c>
      <c r="N369" s="564"/>
      <c r="O369" s="35"/>
      <c r="P369" s="28"/>
      <c r="Q369" s="28">
        <v>65600000</v>
      </c>
      <c r="R369" s="29">
        <f t="shared" si="224"/>
        <v>15.901488340524555</v>
      </c>
      <c r="S369" s="29">
        <v>100</v>
      </c>
      <c r="T369" s="28">
        <f t="shared" si="206"/>
        <v>0</v>
      </c>
      <c r="U369" s="28">
        <f t="shared" si="216"/>
        <v>0</v>
      </c>
      <c r="V369" s="87">
        <f t="shared" si="181"/>
        <v>100</v>
      </c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>
        <v>0</v>
      </c>
      <c r="AJ369" s="29">
        <f t="shared" si="204"/>
        <v>0</v>
      </c>
      <c r="AK369" s="136">
        <f t="shared" si="217"/>
        <v>65600000</v>
      </c>
      <c r="AL369" s="29">
        <f t="shared" si="205"/>
        <v>100</v>
      </c>
      <c r="AM369" s="26"/>
    </row>
    <row r="370" spans="1:39" ht="29.25" customHeight="1" x14ac:dyDescent="0.25">
      <c r="A370" s="26"/>
      <c r="B370" s="151"/>
      <c r="C370" s="151"/>
      <c r="D370" s="151"/>
      <c r="E370" s="151"/>
      <c r="F370" s="151"/>
      <c r="G370" s="151"/>
      <c r="H370" s="151"/>
      <c r="I370" s="152"/>
      <c r="J370" s="151" t="s">
        <v>320</v>
      </c>
      <c r="K370" s="27"/>
      <c r="L370" s="31"/>
      <c r="M370" s="563" t="s">
        <v>414</v>
      </c>
      <c r="N370" s="564"/>
      <c r="O370" s="35"/>
      <c r="P370" s="28"/>
      <c r="Q370" s="28">
        <v>18600000</v>
      </c>
      <c r="R370" s="29">
        <f t="shared" si="224"/>
        <v>4.5086537063072676</v>
      </c>
      <c r="S370" s="29">
        <v>100</v>
      </c>
      <c r="T370" s="28">
        <f t="shared" si="206"/>
        <v>0</v>
      </c>
      <c r="U370" s="28">
        <f t="shared" si="216"/>
        <v>0</v>
      </c>
      <c r="V370" s="87">
        <f t="shared" si="181"/>
        <v>100</v>
      </c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>
        <v>0</v>
      </c>
      <c r="AJ370" s="29">
        <f t="shared" si="204"/>
        <v>0</v>
      </c>
      <c r="AK370" s="136">
        <f t="shared" si="217"/>
        <v>18600000</v>
      </c>
      <c r="AL370" s="29">
        <f t="shared" si="205"/>
        <v>100</v>
      </c>
      <c r="AM370" s="26"/>
    </row>
    <row r="371" spans="1:39" ht="29.25" customHeight="1" x14ac:dyDescent="0.25">
      <c r="A371" s="26"/>
      <c r="B371" s="151"/>
      <c r="C371" s="151"/>
      <c r="D371" s="151"/>
      <c r="E371" s="151"/>
      <c r="F371" s="151"/>
      <c r="G371" s="151"/>
      <c r="H371" s="151"/>
      <c r="I371" s="152"/>
      <c r="J371" s="151" t="s">
        <v>350</v>
      </c>
      <c r="K371" s="27"/>
      <c r="L371" s="31"/>
      <c r="M371" s="563" t="s">
        <v>550</v>
      </c>
      <c r="N371" s="564"/>
      <c r="O371" s="35"/>
      <c r="P371" s="28"/>
      <c r="Q371" s="28">
        <v>28800000</v>
      </c>
      <c r="R371" s="29">
        <f t="shared" si="224"/>
        <v>6.9811412226693168</v>
      </c>
      <c r="S371" s="29">
        <v>100</v>
      </c>
      <c r="T371" s="28">
        <f t="shared" si="206"/>
        <v>0</v>
      </c>
      <c r="U371" s="28">
        <f t="shared" si="216"/>
        <v>0</v>
      </c>
      <c r="V371" s="87">
        <f t="shared" si="181"/>
        <v>100</v>
      </c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>
        <v>0</v>
      </c>
      <c r="AJ371" s="29">
        <f t="shared" si="204"/>
        <v>0</v>
      </c>
      <c r="AK371" s="136">
        <f t="shared" si="217"/>
        <v>28800000</v>
      </c>
      <c r="AL371" s="29">
        <f t="shared" si="205"/>
        <v>100</v>
      </c>
      <c r="AM371" s="26"/>
    </row>
    <row r="372" spans="1:39" s="41" customFormat="1" ht="24.75" customHeight="1" x14ac:dyDescent="0.25">
      <c r="A372" s="21">
        <f>SUM(A359+1)</f>
        <v>45</v>
      </c>
      <c r="B372" s="543" t="s">
        <v>147</v>
      </c>
      <c r="C372" s="543"/>
      <c r="D372" s="543"/>
      <c r="E372" s="543"/>
      <c r="F372" s="543"/>
      <c r="G372" s="543"/>
      <c r="H372" s="543"/>
      <c r="I372" s="544"/>
      <c r="J372" s="122" t="s">
        <v>495</v>
      </c>
      <c r="K372" s="22"/>
      <c r="L372" s="72"/>
      <c r="M372" s="561" t="s">
        <v>50</v>
      </c>
      <c r="N372" s="561"/>
      <c r="O372" s="76">
        <v>509540000</v>
      </c>
      <c r="P372" s="23">
        <f>O372</f>
        <v>509540000</v>
      </c>
      <c r="Q372" s="23">
        <f>SUM(Q373:Q381)</f>
        <v>351260000</v>
      </c>
      <c r="R372" s="24" t="e">
        <f>Q372/Q$243*100</f>
        <v>#REF!</v>
      </c>
      <c r="S372" s="24">
        <v>100</v>
      </c>
      <c r="T372" s="23">
        <f t="shared" si="206"/>
        <v>0</v>
      </c>
      <c r="U372" s="23" t="e">
        <f t="shared" si="216"/>
        <v>#REF!</v>
      </c>
      <c r="V372" s="90">
        <f t="shared" si="181"/>
        <v>100</v>
      </c>
      <c r="W372" s="23"/>
      <c r="X372" s="23" t="e">
        <f>#REF!</f>
        <v>#REF!</v>
      </c>
      <c r="Y372" s="23" t="e">
        <f>#REF!</f>
        <v>#REF!</v>
      </c>
      <c r="Z372" s="23" t="e">
        <f>#REF!</f>
        <v>#REF!</v>
      </c>
      <c r="AA372" s="23" t="e">
        <f>#REF!</f>
        <v>#REF!</v>
      </c>
      <c r="AB372" s="23">
        <v>227840500</v>
      </c>
      <c r="AC372" s="23" t="e">
        <f>#REF!</f>
        <v>#REF!</v>
      </c>
      <c r="AD372" s="23" t="e">
        <f>#REF!</f>
        <v>#REF!</v>
      </c>
      <c r="AE372" s="23" t="e">
        <f>#REF!</f>
        <v>#REF!</v>
      </c>
      <c r="AF372" s="23" t="e">
        <f>[1]April!N68</f>
        <v>#REF!</v>
      </c>
      <c r="AG372" s="23" t="e">
        <f>[2]april!N68</f>
        <v>#REF!</v>
      </c>
      <c r="AH372" s="23">
        <f>'[3]DES SKPD'!$N68</f>
        <v>375022000</v>
      </c>
      <c r="AI372" s="23">
        <f>SUM(AI373:AI381)</f>
        <v>0</v>
      </c>
      <c r="AJ372" s="24">
        <f t="shared" si="204"/>
        <v>0</v>
      </c>
      <c r="AK372" s="134">
        <f t="shared" si="217"/>
        <v>351260000</v>
      </c>
      <c r="AL372" s="24">
        <f t="shared" si="205"/>
        <v>100</v>
      </c>
      <c r="AM372" s="21"/>
    </row>
    <row r="373" spans="1:39" ht="24.75" customHeight="1" x14ac:dyDescent="0.25">
      <c r="A373" s="26"/>
      <c r="B373" s="151"/>
      <c r="C373" s="151"/>
      <c r="D373" s="151"/>
      <c r="E373" s="151"/>
      <c r="F373" s="151"/>
      <c r="G373" s="151"/>
      <c r="H373" s="151"/>
      <c r="I373" s="152"/>
      <c r="J373" s="151" t="s">
        <v>259</v>
      </c>
      <c r="K373" s="27"/>
      <c r="L373" s="31"/>
      <c r="M373" s="559" t="s">
        <v>260</v>
      </c>
      <c r="N373" s="560"/>
      <c r="O373" s="35"/>
      <c r="P373" s="28"/>
      <c r="Q373" s="28">
        <v>4620000</v>
      </c>
      <c r="R373" s="29">
        <f t="shared" ref="R373:R381" si="225">Q373/Q$372*100</f>
        <v>1.3152650458349939</v>
      </c>
      <c r="S373" s="29">
        <v>100</v>
      </c>
      <c r="T373" s="28">
        <f t="shared" si="206"/>
        <v>0</v>
      </c>
      <c r="U373" s="28">
        <f t="shared" si="216"/>
        <v>0</v>
      </c>
      <c r="V373" s="87">
        <f t="shared" si="181"/>
        <v>100</v>
      </c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>
        <v>0</v>
      </c>
      <c r="AJ373" s="29">
        <f t="shared" si="204"/>
        <v>0</v>
      </c>
      <c r="AK373" s="136">
        <f t="shared" si="217"/>
        <v>4620000</v>
      </c>
      <c r="AL373" s="29">
        <f t="shared" si="205"/>
        <v>100</v>
      </c>
      <c r="AM373" s="26"/>
    </row>
    <row r="374" spans="1:39" ht="24.75" customHeight="1" x14ac:dyDescent="0.25">
      <c r="A374" s="26"/>
      <c r="B374" s="151"/>
      <c r="C374" s="151"/>
      <c r="D374" s="151"/>
      <c r="E374" s="151"/>
      <c r="F374" s="151"/>
      <c r="G374" s="151"/>
      <c r="H374" s="151"/>
      <c r="I374" s="152"/>
      <c r="J374" s="151" t="s">
        <v>323</v>
      </c>
      <c r="K374" s="27"/>
      <c r="L374" s="31"/>
      <c r="M374" s="559" t="s">
        <v>609</v>
      </c>
      <c r="N374" s="560"/>
      <c r="O374" s="35"/>
      <c r="P374" s="28"/>
      <c r="Q374" s="28">
        <v>18900000</v>
      </c>
      <c r="R374" s="29">
        <f t="shared" si="225"/>
        <v>5.3806297329613395</v>
      </c>
      <c r="S374" s="29">
        <v>100</v>
      </c>
      <c r="T374" s="28">
        <f t="shared" si="206"/>
        <v>0</v>
      </c>
      <c r="U374" s="28">
        <f t="shared" si="216"/>
        <v>0</v>
      </c>
      <c r="V374" s="87">
        <f t="shared" si="181"/>
        <v>100</v>
      </c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>
        <v>0</v>
      </c>
      <c r="AJ374" s="29">
        <f t="shared" si="204"/>
        <v>0</v>
      </c>
      <c r="AK374" s="136">
        <f t="shared" si="217"/>
        <v>18900000</v>
      </c>
      <c r="AL374" s="29">
        <f t="shared" si="205"/>
        <v>100</v>
      </c>
      <c r="AM374" s="26"/>
    </row>
    <row r="375" spans="1:39" ht="24.75" customHeight="1" x14ac:dyDescent="0.25">
      <c r="A375" s="26"/>
      <c r="B375" s="151"/>
      <c r="C375" s="151"/>
      <c r="D375" s="151"/>
      <c r="E375" s="151"/>
      <c r="F375" s="151"/>
      <c r="G375" s="151"/>
      <c r="H375" s="151"/>
      <c r="I375" s="152"/>
      <c r="J375" s="151" t="s">
        <v>269</v>
      </c>
      <c r="K375" s="27"/>
      <c r="L375" s="31"/>
      <c r="M375" s="559" t="s">
        <v>352</v>
      </c>
      <c r="N375" s="560"/>
      <c r="O375" s="35"/>
      <c r="P375" s="28"/>
      <c r="Q375" s="28">
        <v>7500000</v>
      </c>
      <c r="R375" s="29">
        <f t="shared" si="225"/>
        <v>2.1351705289529126</v>
      </c>
      <c r="S375" s="29">
        <v>100</v>
      </c>
      <c r="T375" s="28">
        <f t="shared" si="206"/>
        <v>0</v>
      </c>
      <c r="U375" s="28">
        <f t="shared" si="216"/>
        <v>0</v>
      </c>
      <c r="V375" s="87">
        <f t="shared" si="181"/>
        <v>100</v>
      </c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>
        <v>0</v>
      </c>
      <c r="AJ375" s="29">
        <f t="shared" si="204"/>
        <v>0</v>
      </c>
      <c r="AK375" s="136">
        <f t="shared" si="217"/>
        <v>7500000</v>
      </c>
      <c r="AL375" s="29">
        <f t="shared" si="205"/>
        <v>100</v>
      </c>
      <c r="AM375" s="26"/>
    </row>
    <row r="376" spans="1:39" ht="24.75" customHeight="1" x14ac:dyDescent="0.25">
      <c r="A376" s="26"/>
      <c r="B376" s="151"/>
      <c r="C376" s="151"/>
      <c r="D376" s="151"/>
      <c r="E376" s="151"/>
      <c r="F376" s="151"/>
      <c r="G376" s="151"/>
      <c r="H376" s="151"/>
      <c r="I376" s="152"/>
      <c r="J376" s="151" t="s">
        <v>315</v>
      </c>
      <c r="K376" s="27"/>
      <c r="L376" s="31"/>
      <c r="M376" s="559" t="s">
        <v>271</v>
      </c>
      <c r="N376" s="560"/>
      <c r="O376" s="35"/>
      <c r="P376" s="28"/>
      <c r="Q376" s="28">
        <v>7560000</v>
      </c>
      <c r="R376" s="29">
        <f t="shared" si="225"/>
        <v>2.1522518931845354</v>
      </c>
      <c r="S376" s="29">
        <v>100</v>
      </c>
      <c r="T376" s="28">
        <f t="shared" si="206"/>
        <v>0</v>
      </c>
      <c r="U376" s="28">
        <f t="shared" si="216"/>
        <v>0</v>
      </c>
      <c r="V376" s="87">
        <f t="shared" si="181"/>
        <v>100</v>
      </c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>
        <v>0</v>
      </c>
      <c r="AJ376" s="29">
        <f t="shared" si="204"/>
        <v>0</v>
      </c>
      <c r="AK376" s="136">
        <f t="shared" si="217"/>
        <v>7560000</v>
      </c>
      <c r="AL376" s="29">
        <f t="shared" si="205"/>
        <v>100</v>
      </c>
      <c r="AM376" s="26"/>
    </row>
    <row r="377" spans="1:39" ht="24.75" customHeight="1" x14ac:dyDescent="0.25">
      <c r="A377" s="26"/>
      <c r="B377" s="151"/>
      <c r="C377" s="151"/>
      <c r="D377" s="151"/>
      <c r="E377" s="151"/>
      <c r="F377" s="151"/>
      <c r="G377" s="151"/>
      <c r="H377" s="151"/>
      <c r="I377" s="152"/>
      <c r="J377" s="151" t="s">
        <v>318</v>
      </c>
      <c r="K377" s="27"/>
      <c r="L377" s="31"/>
      <c r="M377" s="559" t="s">
        <v>319</v>
      </c>
      <c r="N377" s="560"/>
      <c r="O377" s="35"/>
      <c r="P377" s="28"/>
      <c r="Q377" s="28">
        <v>182850000</v>
      </c>
      <c r="R377" s="29">
        <f t="shared" si="225"/>
        <v>52.055457495872005</v>
      </c>
      <c r="S377" s="29">
        <v>100</v>
      </c>
      <c r="T377" s="28">
        <f t="shared" si="206"/>
        <v>0</v>
      </c>
      <c r="U377" s="28">
        <f t="shared" si="216"/>
        <v>0</v>
      </c>
      <c r="V377" s="87">
        <f t="shared" si="181"/>
        <v>100</v>
      </c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>
        <v>0</v>
      </c>
      <c r="AJ377" s="29">
        <f t="shared" si="204"/>
        <v>0</v>
      </c>
      <c r="AK377" s="136">
        <f t="shared" si="217"/>
        <v>182850000</v>
      </c>
      <c r="AL377" s="29">
        <f t="shared" si="205"/>
        <v>100</v>
      </c>
      <c r="AM377" s="26"/>
    </row>
    <row r="378" spans="1:39" ht="24.75" customHeight="1" x14ac:dyDescent="0.25">
      <c r="A378" s="26"/>
      <c r="B378" s="151"/>
      <c r="C378" s="151"/>
      <c r="D378" s="151"/>
      <c r="E378" s="151"/>
      <c r="F378" s="151"/>
      <c r="G378" s="151"/>
      <c r="H378" s="151"/>
      <c r="I378" s="152"/>
      <c r="J378" s="151" t="s">
        <v>284</v>
      </c>
      <c r="K378" s="27"/>
      <c r="L378" s="31"/>
      <c r="M378" s="559" t="s">
        <v>285</v>
      </c>
      <c r="N378" s="560"/>
      <c r="O378" s="35"/>
      <c r="P378" s="28"/>
      <c r="Q378" s="28">
        <v>1320000</v>
      </c>
      <c r="R378" s="29">
        <f t="shared" si="225"/>
        <v>0.37579001309571258</v>
      </c>
      <c r="S378" s="29">
        <v>100</v>
      </c>
      <c r="T378" s="28">
        <f t="shared" si="206"/>
        <v>0</v>
      </c>
      <c r="U378" s="28">
        <f t="shared" si="216"/>
        <v>0</v>
      </c>
      <c r="V378" s="87">
        <f t="shared" si="181"/>
        <v>100</v>
      </c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>
        <v>0</v>
      </c>
      <c r="AJ378" s="29">
        <f t="shared" si="204"/>
        <v>0</v>
      </c>
      <c r="AK378" s="136">
        <f t="shared" si="217"/>
        <v>1320000</v>
      </c>
      <c r="AL378" s="29">
        <f t="shared" si="205"/>
        <v>100</v>
      </c>
      <c r="AM378" s="26"/>
    </row>
    <row r="379" spans="1:39" ht="24.75" customHeight="1" x14ac:dyDescent="0.25">
      <c r="A379" s="26"/>
      <c r="B379" s="151"/>
      <c r="C379" s="151"/>
      <c r="D379" s="151"/>
      <c r="E379" s="151"/>
      <c r="F379" s="151"/>
      <c r="G379" s="151"/>
      <c r="H379" s="151"/>
      <c r="I379" s="152"/>
      <c r="J379" s="151" t="s">
        <v>282</v>
      </c>
      <c r="K379" s="27"/>
      <c r="L379" s="31"/>
      <c r="M379" s="559" t="s">
        <v>283</v>
      </c>
      <c r="N379" s="560"/>
      <c r="O379" s="35"/>
      <c r="P379" s="28"/>
      <c r="Q379" s="28">
        <v>108410000</v>
      </c>
      <c r="R379" s="29">
        <f t="shared" si="225"/>
        <v>30.863178272504697</v>
      </c>
      <c r="S379" s="29">
        <v>100</v>
      </c>
      <c r="T379" s="28">
        <f t="shared" si="206"/>
        <v>0</v>
      </c>
      <c r="U379" s="28">
        <f t="shared" si="216"/>
        <v>0</v>
      </c>
      <c r="V379" s="87">
        <f t="shared" si="181"/>
        <v>100</v>
      </c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>
        <v>0</v>
      </c>
      <c r="AJ379" s="29">
        <f t="shared" si="204"/>
        <v>0</v>
      </c>
      <c r="AK379" s="136">
        <f t="shared" si="217"/>
        <v>108410000</v>
      </c>
      <c r="AL379" s="29">
        <f t="shared" si="205"/>
        <v>100</v>
      </c>
      <c r="AM379" s="26"/>
    </row>
    <row r="380" spans="1:39" ht="24.75" customHeight="1" x14ac:dyDescent="0.25">
      <c r="A380" s="26"/>
      <c r="B380" s="151"/>
      <c r="C380" s="151"/>
      <c r="D380" s="151"/>
      <c r="E380" s="151"/>
      <c r="F380" s="151"/>
      <c r="G380" s="151"/>
      <c r="H380" s="151"/>
      <c r="I380" s="152"/>
      <c r="J380" s="151" t="s">
        <v>320</v>
      </c>
      <c r="K380" s="27"/>
      <c r="L380" s="31"/>
      <c r="M380" s="559" t="s">
        <v>321</v>
      </c>
      <c r="N380" s="560"/>
      <c r="O380" s="35"/>
      <c r="P380" s="28"/>
      <c r="Q380" s="28">
        <v>16800000</v>
      </c>
      <c r="R380" s="29">
        <f t="shared" si="225"/>
        <v>4.7827819848545232</v>
      </c>
      <c r="S380" s="29">
        <v>100</v>
      </c>
      <c r="T380" s="28">
        <f t="shared" si="206"/>
        <v>0</v>
      </c>
      <c r="U380" s="28">
        <f t="shared" si="216"/>
        <v>0</v>
      </c>
      <c r="V380" s="87">
        <f t="shared" si="181"/>
        <v>100</v>
      </c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>
        <v>0</v>
      </c>
      <c r="AJ380" s="29">
        <f t="shared" si="204"/>
        <v>0</v>
      </c>
      <c r="AK380" s="136">
        <f t="shared" si="217"/>
        <v>16800000</v>
      </c>
      <c r="AL380" s="29">
        <f t="shared" si="205"/>
        <v>100</v>
      </c>
      <c r="AM380" s="26"/>
    </row>
    <row r="381" spans="1:39" ht="24.75" customHeight="1" x14ac:dyDescent="0.25">
      <c r="A381" s="26"/>
      <c r="B381" s="151"/>
      <c r="C381" s="151"/>
      <c r="D381" s="151"/>
      <c r="E381" s="151"/>
      <c r="F381" s="151"/>
      <c r="G381" s="151"/>
      <c r="H381" s="151"/>
      <c r="I381" s="152"/>
      <c r="J381" s="151" t="s">
        <v>407</v>
      </c>
      <c r="K381" s="27"/>
      <c r="L381" s="31"/>
      <c r="M381" s="559" t="s">
        <v>414</v>
      </c>
      <c r="N381" s="560"/>
      <c r="O381" s="35"/>
      <c r="P381" s="28"/>
      <c r="Q381" s="28">
        <v>3300000</v>
      </c>
      <c r="R381" s="29">
        <f t="shared" si="225"/>
        <v>0.93947503273928146</v>
      </c>
      <c r="S381" s="29">
        <v>100</v>
      </c>
      <c r="T381" s="28">
        <f t="shared" si="206"/>
        <v>0</v>
      </c>
      <c r="U381" s="28">
        <f t="shared" si="216"/>
        <v>0</v>
      </c>
      <c r="V381" s="87">
        <f t="shared" si="181"/>
        <v>100</v>
      </c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>
        <v>0</v>
      </c>
      <c r="AJ381" s="29">
        <f t="shared" si="204"/>
        <v>0</v>
      </c>
      <c r="AK381" s="136">
        <f t="shared" si="217"/>
        <v>3300000</v>
      </c>
      <c r="AL381" s="29">
        <f t="shared" si="205"/>
        <v>100</v>
      </c>
      <c r="AM381" s="26"/>
    </row>
    <row r="382" spans="1:39" s="41" customFormat="1" ht="30.75" customHeight="1" x14ac:dyDescent="0.25">
      <c r="A382" s="21">
        <f>A372+1</f>
        <v>46</v>
      </c>
      <c r="B382" s="543" t="s">
        <v>148</v>
      </c>
      <c r="C382" s="543"/>
      <c r="D382" s="543"/>
      <c r="E382" s="543"/>
      <c r="F382" s="543"/>
      <c r="G382" s="543"/>
      <c r="H382" s="543"/>
      <c r="I382" s="544"/>
      <c r="J382" s="122" t="s">
        <v>496</v>
      </c>
      <c r="K382" s="22"/>
      <c r="L382" s="72"/>
      <c r="M382" s="561" t="s">
        <v>199</v>
      </c>
      <c r="N382" s="561"/>
      <c r="O382" s="76">
        <v>569155000</v>
      </c>
      <c r="P382" s="23">
        <f>O382</f>
        <v>569155000</v>
      </c>
      <c r="Q382" s="23">
        <f>SUM(Q383:Q394)</f>
        <v>303990300</v>
      </c>
      <c r="R382" s="24" t="e">
        <f>Q382/Q$243*100</f>
        <v>#REF!</v>
      </c>
      <c r="S382" s="24">
        <v>100</v>
      </c>
      <c r="T382" s="23">
        <f t="shared" si="206"/>
        <v>0</v>
      </c>
      <c r="U382" s="23" t="e">
        <f t="shared" si="216"/>
        <v>#REF!</v>
      </c>
      <c r="V382" s="90">
        <f t="shared" si="181"/>
        <v>100</v>
      </c>
      <c r="W382" s="23"/>
      <c r="X382" s="23" t="e">
        <f>#REF!</f>
        <v>#REF!</v>
      </c>
      <c r="Y382" s="23" t="e">
        <f>#REF!</f>
        <v>#REF!</v>
      </c>
      <c r="Z382" s="23" t="e">
        <f>#REF!</f>
        <v>#REF!</v>
      </c>
      <c r="AA382" s="23" t="e">
        <f>#REF!</f>
        <v>#REF!</v>
      </c>
      <c r="AB382" s="23">
        <v>286887000</v>
      </c>
      <c r="AC382" s="23" t="e">
        <f>#REF!</f>
        <v>#REF!</v>
      </c>
      <c r="AD382" s="23" t="e">
        <f>#REF!</f>
        <v>#REF!</v>
      </c>
      <c r="AE382" s="23" t="e">
        <f>#REF!</f>
        <v>#REF!</v>
      </c>
      <c r="AF382" s="23" t="e">
        <f>[1]April!N69</f>
        <v>#REF!</v>
      </c>
      <c r="AG382" s="23" t="e">
        <f>[2]april!N69</f>
        <v>#REF!</v>
      </c>
      <c r="AH382" s="23">
        <f>'[3]DES SKPD'!$N69</f>
        <v>642713500</v>
      </c>
      <c r="AI382" s="23">
        <f>SUM(AI383:AI394)</f>
        <v>0</v>
      </c>
      <c r="AJ382" s="24">
        <f t="shared" si="204"/>
        <v>0</v>
      </c>
      <c r="AK382" s="134">
        <f t="shared" si="217"/>
        <v>303990300</v>
      </c>
      <c r="AL382" s="24">
        <f t="shared" si="205"/>
        <v>100</v>
      </c>
      <c r="AM382" s="21"/>
    </row>
    <row r="383" spans="1:39" ht="24.75" customHeight="1" x14ac:dyDescent="0.25">
      <c r="A383" s="26"/>
      <c r="B383" s="151"/>
      <c r="C383" s="151"/>
      <c r="D383" s="151"/>
      <c r="E383" s="151"/>
      <c r="F383" s="151"/>
      <c r="G383" s="151"/>
      <c r="H383" s="151"/>
      <c r="I383" s="152"/>
      <c r="J383" s="151" t="s">
        <v>259</v>
      </c>
      <c r="K383" s="27"/>
      <c r="L383" s="31"/>
      <c r="M383" s="559" t="s">
        <v>260</v>
      </c>
      <c r="N383" s="560"/>
      <c r="O383" s="35"/>
      <c r="P383" s="28"/>
      <c r="Q383" s="28">
        <v>1540000</v>
      </c>
      <c r="R383" s="29">
        <f t="shared" ref="R383:R394" si="226">Q383/Q$382*100</f>
        <v>0.50659511175192107</v>
      </c>
      <c r="S383" s="29">
        <v>100</v>
      </c>
      <c r="T383" s="28">
        <f t="shared" si="206"/>
        <v>0</v>
      </c>
      <c r="U383" s="28">
        <f t="shared" si="216"/>
        <v>0</v>
      </c>
      <c r="V383" s="87">
        <f t="shared" si="181"/>
        <v>100</v>
      </c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>
        <v>0</v>
      </c>
      <c r="AJ383" s="29">
        <f t="shared" si="204"/>
        <v>0</v>
      </c>
      <c r="AK383" s="136">
        <f t="shared" si="217"/>
        <v>1540000</v>
      </c>
      <c r="AL383" s="29">
        <f t="shared" si="205"/>
        <v>100</v>
      </c>
      <c r="AM383" s="26"/>
    </row>
    <row r="384" spans="1:39" ht="24.75" customHeight="1" x14ac:dyDescent="0.25">
      <c r="A384" s="26"/>
      <c r="B384" s="151"/>
      <c r="C384" s="151"/>
      <c r="D384" s="151"/>
      <c r="E384" s="151"/>
      <c r="F384" s="151"/>
      <c r="G384" s="151"/>
      <c r="H384" s="151"/>
      <c r="I384" s="152"/>
      <c r="J384" s="151" t="s">
        <v>326</v>
      </c>
      <c r="K384" s="27"/>
      <c r="L384" s="31"/>
      <c r="M384" s="559" t="s">
        <v>327</v>
      </c>
      <c r="N384" s="560"/>
      <c r="O384" s="35"/>
      <c r="P384" s="28"/>
      <c r="Q384" s="28">
        <v>51150000</v>
      </c>
      <c r="R384" s="29">
        <f t="shared" si="226"/>
        <v>16.826194783188804</v>
      </c>
      <c r="S384" s="29">
        <v>100</v>
      </c>
      <c r="T384" s="28">
        <f t="shared" si="206"/>
        <v>0</v>
      </c>
      <c r="U384" s="28">
        <f t="shared" si="216"/>
        <v>0</v>
      </c>
      <c r="V384" s="87">
        <f t="shared" si="181"/>
        <v>100</v>
      </c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>
        <v>0</v>
      </c>
      <c r="AJ384" s="29">
        <f t="shared" ref="AJ384:AJ438" si="227">AI384/Q384*100</f>
        <v>0</v>
      </c>
      <c r="AK384" s="136">
        <f t="shared" si="217"/>
        <v>51150000</v>
      </c>
      <c r="AL384" s="29">
        <f t="shared" ref="AL384:AL438" si="228">AK384/Q384*100</f>
        <v>100</v>
      </c>
      <c r="AM384" s="26"/>
    </row>
    <row r="385" spans="1:39" ht="24.75" customHeight="1" x14ac:dyDescent="0.25">
      <c r="A385" s="26"/>
      <c r="B385" s="151"/>
      <c r="C385" s="151"/>
      <c r="D385" s="151"/>
      <c r="E385" s="151"/>
      <c r="F385" s="151"/>
      <c r="G385" s="151"/>
      <c r="H385" s="151"/>
      <c r="I385" s="152"/>
      <c r="J385" s="151" t="s">
        <v>323</v>
      </c>
      <c r="K385" s="27"/>
      <c r="L385" s="31"/>
      <c r="M385" s="559" t="s">
        <v>324</v>
      </c>
      <c r="N385" s="560"/>
      <c r="O385" s="35"/>
      <c r="P385" s="28"/>
      <c r="Q385" s="28">
        <v>5000000</v>
      </c>
      <c r="R385" s="29">
        <f t="shared" si="226"/>
        <v>1.6447893238698736</v>
      </c>
      <c r="S385" s="29">
        <v>100</v>
      </c>
      <c r="T385" s="28">
        <f t="shared" si="206"/>
        <v>0</v>
      </c>
      <c r="U385" s="28">
        <f t="shared" si="216"/>
        <v>0</v>
      </c>
      <c r="V385" s="87">
        <f t="shared" si="181"/>
        <v>100</v>
      </c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>
        <v>0</v>
      </c>
      <c r="AJ385" s="29">
        <f t="shared" si="227"/>
        <v>0</v>
      </c>
      <c r="AK385" s="136">
        <f t="shared" si="217"/>
        <v>5000000</v>
      </c>
      <c r="AL385" s="29">
        <f t="shared" si="228"/>
        <v>100</v>
      </c>
      <c r="AM385" s="26"/>
    </row>
    <row r="386" spans="1:39" ht="24.75" customHeight="1" x14ac:dyDescent="0.25">
      <c r="A386" s="26"/>
      <c r="B386" s="151"/>
      <c r="C386" s="151"/>
      <c r="D386" s="151"/>
      <c r="E386" s="151"/>
      <c r="F386" s="151"/>
      <c r="G386" s="151"/>
      <c r="H386" s="151"/>
      <c r="I386" s="152"/>
      <c r="J386" s="151" t="s">
        <v>269</v>
      </c>
      <c r="K386" s="27"/>
      <c r="L386" s="31"/>
      <c r="M386" s="559" t="s">
        <v>270</v>
      </c>
      <c r="N386" s="560"/>
      <c r="O386" s="35"/>
      <c r="P386" s="28"/>
      <c r="Q386" s="28">
        <v>22000000</v>
      </c>
      <c r="R386" s="29">
        <f t="shared" si="226"/>
        <v>7.2370730250274438</v>
      </c>
      <c r="S386" s="29">
        <v>100</v>
      </c>
      <c r="T386" s="28">
        <f t="shared" si="206"/>
        <v>0</v>
      </c>
      <c r="U386" s="28">
        <f t="shared" si="216"/>
        <v>0</v>
      </c>
      <c r="V386" s="87">
        <f t="shared" si="181"/>
        <v>100</v>
      </c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>
        <v>0</v>
      </c>
      <c r="AJ386" s="29">
        <f t="shared" si="227"/>
        <v>0</v>
      </c>
      <c r="AK386" s="136">
        <f t="shared" si="217"/>
        <v>22000000</v>
      </c>
      <c r="AL386" s="29">
        <f t="shared" si="228"/>
        <v>100</v>
      </c>
      <c r="AM386" s="26"/>
    </row>
    <row r="387" spans="1:39" ht="24.75" customHeight="1" x14ac:dyDescent="0.25">
      <c r="A387" s="26"/>
      <c r="B387" s="151"/>
      <c r="C387" s="151"/>
      <c r="D387" s="151"/>
      <c r="E387" s="151"/>
      <c r="F387" s="151"/>
      <c r="G387" s="151"/>
      <c r="H387" s="151"/>
      <c r="I387" s="152"/>
      <c r="J387" s="151" t="s">
        <v>315</v>
      </c>
      <c r="K387" s="27"/>
      <c r="L387" s="31"/>
      <c r="M387" s="559" t="s">
        <v>271</v>
      </c>
      <c r="N387" s="560"/>
      <c r="O387" s="35"/>
      <c r="P387" s="28"/>
      <c r="Q387" s="28">
        <v>3400300</v>
      </c>
      <c r="R387" s="29">
        <f t="shared" si="226"/>
        <v>1.1185554275909462</v>
      </c>
      <c r="S387" s="29">
        <v>100</v>
      </c>
      <c r="T387" s="28">
        <f t="shared" si="206"/>
        <v>0</v>
      </c>
      <c r="U387" s="28">
        <f t="shared" si="216"/>
        <v>0</v>
      </c>
      <c r="V387" s="87">
        <f t="shared" si="181"/>
        <v>100</v>
      </c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>
        <v>0</v>
      </c>
      <c r="AJ387" s="29">
        <f t="shared" si="227"/>
        <v>0</v>
      </c>
      <c r="AK387" s="136">
        <f t="shared" si="217"/>
        <v>3400300</v>
      </c>
      <c r="AL387" s="29">
        <f t="shared" si="228"/>
        <v>100</v>
      </c>
      <c r="AM387" s="26"/>
    </row>
    <row r="388" spans="1:39" ht="24.75" customHeight="1" x14ac:dyDescent="0.25">
      <c r="A388" s="26"/>
      <c r="B388" s="151"/>
      <c r="C388" s="151"/>
      <c r="D388" s="151"/>
      <c r="E388" s="151"/>
      <c r="F388" s="151"/>
      <c r="G388" s="151"/>
      <c r="H388" s="151"/>
      <c r="I388" s="152"/>
      <c r="J388" s="151" t="s">
        <v>328</v>
      </c>
      <c r="K388" s="27"/>
      <c r="L388" s="31"/>
      <c r="M388" s="559" t="s">
        <v>329</v>
      </c>
      <c r="N388" s="560"/>
      <c r="O388" s="35"/>
      <c r="P388" s="28"/>
      <c r="Q388" s="28">
        <v>15000000</v>
      </c>
      <c r="R388" s="29">
        <f t="shared" si="226"/>
        <v>4.9343679716096203</v>
      </c>
      <c r="S388" s="29">
        <v>100</v>
      </c>
      <c r="T388" s="28">
        <f t="shared" si="206"/>
        <v>0</v>
      </c>
      <c r="U388" s="28">
        <f t="shared" si="216"/>
        <v>0</v>
      </c>
      <c r="V388" s="87">
        <f t="shared" si="181"/>
        <v>100</v>
      </c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>
        <v>0</v>
      </c>
      <c r="AJ388" s="29">
        <f t="shared" si="227"/>
        <v>0</v>
      </c>
      <c r="AK388" s="136">
        <f t="shared" si="217"/>
        <v>15000000</v>
      </c>
      <c r="AL388" s="29">
        <f t="shared" si="228"/>
        <v>100</v>
      </c>
      <c r="AM388" s="26"/>
    </row>
    <row r="389" spans="1:39" ht="27.75" customHeight="1" x14ac:dyDescent="0.25">
      <c r="A389" s="26"/>
      <c r="B389" s="151"/>
      <c r="C389" s="151"/>
      <c r="D389" s="151"/>
      <c r="E389" s="151"/>
      <c r="F389" s="151"/>
      <c r="G389" s="151"/>
      <c r="H389" s="151"/>
      <c r="I389" s="152"/>
      <c r="J389" s="151" t="s">
        <v>318</v>
      </c>
      <c r="K389" s="27"/>
      <c r="L389" s="31"/>
      <c r="M389" s="559" t="s">
        <v>319</v>
      </c>
      <c r="N389" s="560"/>
      <c r="O389" s="35"/>
      <c r="P389" s="28"/>
      <c r="Q389" s="28">
        <v>91000000</v>
      </c>
      <c r="R389" s="29">
        <f t="shared" si="226"/>
        <v>29.935165694431699</v>
      </c>
      <c r="S389" s="29">
        <v>100</v>
      </c>
      <c r="T389" s="28">
        <f t="shared" si="206"/>
        <v>0</v>
      </c>
      <c r="U389" s="28">
        <f t="shared" si="216"/>
        <v>0</v>
      </c>
      <c r="V389" s="87">
        <f t="shared" si="181"/>
        <v>100</v>
      </c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>
        <v>0</v>
      </c>
      <c r="AJ389" s="29">
        <f t="shared" si="227"/>
        <v>0</v>
      </c>
      <c r="AK389" s="136">
        <f t="shared" si="217"/>
        <v>91000000</v>
      </c>
      <c r="AL389" s="29">
        <f t="shared" si="228"/>
        <v>100</v>
      </c>
      <c r="AM389" s="26"/>
    </row>
    <row r="390" spans="1:39" ht="24.75" customHeight="1" x14ac:dyDescent="0.25">
      <c r="A390" s="26"/>
      <c r="B390" s="151"/>
      <c r="C390" s="151"/>
      <c r="D390" s="151"/>
      <c r="E390" s="151"/>
      <c r="F390" s="151"/>
      <c r="G390" s="151"/>
      <c r="H390" s="151"/>
      <c r="I390" s="152"/>
      <c r="J390" s="151" t="s">
        <v>280</v>
      </c>
      <c r="K390" s="27"/>
      <c r="L390" s="31"/>
      <c r="M390" s="559" t="s">
        <v>281</v>
      </c>
      <c r="N390" s="560"/>
      <c r="O390" s="35"/>
      <c r="P390" s="28"/>
      <c r="Q390" s="28">
        <v>27500000</v>
      </c>
      <c r="R390" s="29">
        <f t="shared" si="226"/>
        <v>9.0463412812843043</v>
      </c>
      <c r="S390" s="29">
        <v>100</v>
      </c>
      <c r="T390" s="28">
        <f t="shared" si="206"/>
        <v>0</v>
      </c>
      <c r="U390" s="28">
        <f t="shared" si="216"/>
        <v>0</v>
      </c>
      <c r="V390" s="87">
        <f t="shared" si="181"/>
        <v>100</v>
      </c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>
        <v>0</v>
      </c>
      <c r="AJ390" s="29">
        <f t="shared" si="227"/>
        <v>0</v>
      </c>
      <c r="AK390" s="136">
        <f t="shared" si="217"/>
        <v>27500000</v>
      </c>
      <c r="AL390" s="29">
        <f t="shared" si="228"/>
        <v>100</v>
      </c>
      <c r="AM390" s="26"/>
    </row>
    <row r="391" spans="1:39" ht="24.75" customHeight="1" x14ac:dyDescent="0.25">
      <c r="A391" s="26"/>
      <c r="B391" s="151"/>
      <c r="C391" s="151"/>
      <c r="D391" s="151"/>
      <c r="E391" s="151"/>
      <c r="F391" s="151"/>
      <c r="G391" s="151"/>
      <c r="H391" s="151"/>
      <c r="I391" s="152"/>
      <c r="J391" s="151" t="s">
        <v>284</v>
      </c>
      <c r="K391" s="27"/>
      <c r="L391" s="31"/>
      <c r="M391" s="559" t="s">
        <v>285</v>
      </c>
      <c r="N391" s="560"/>
      <c r="O391" s="35"/>
      <c r="P391" s="28"/>
      <c r="Q391" s="28">
        <v>6600000</v>
      </c>
      <c r="R391" s="29">
        <f t="shared" si="226"/>
        <v>2.1711219075082329</v>
      </c>
      <c r="S391" s="29">
        <v>100</v>
      </c>
      <c r="T391" s="28">
        <f t="shared" si="206"/>
        <v>0</v>
      </c>
      <c r="U391" s="28">
        <f t="shared" si="216"/>
        <v>0</v>
      </c>
      <c r="V391" s="87">
        <f t="shared" si="181"/>
        <v>100</v>
      </c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>
        <v>0</v>
      </c>
      <c r="AJ391" s="29">
        <f t="shared" si="227"/>
        <v>0</v>
      </c>
      <c r="AK391" s="136">
        <f t="shared" si="217"/>
        <v>6600000</v>
      </c>
      <c r="AL391" s="29">
        <f t="shared" si="228"/>
        <v>100</v>
      </c>
      <c r="AM391" s="26"/>
    </row>
    <row r="392" spans="1:39" ht="24.75" customHeight="1" x14ac:dyDescent="0.25">
      <c r="A392" s="26"/>
      <c r="B392" s="151"/>
      <c r="C392" s="151"/>
      <c r="D392" s="151"/>
      <c r="E392" s="151"/>
      <c r="F392" s="151"/>
      <c r="G392" s="151"/>
      <c r="H392" s="151"/>
      <c r="I392" s="152"/>
      <c r="J392" s="151" t="s">
        <v>282</v>
      </c>
      <c r="K392" s="27"/>
      <c r="L392" s="31"/>
      <c r="M392" s="559" t="s">
        <v>283</v>
      </c>
      <c r="N392" s="560"/>
      <c r="O392" s="35"/>
      <c r="P392" s="28"/>
      <c r="Q392" s="28">
        <v>17400000</v>
      </c>
      <c r="R392" s="29">
        <f t="shared" si="226"/>
        <v>5.7238668470671596</v>
      </c>
      <c r="S392" s="29">
        <v>100</v>
      </c>
      <c r="T392" s="28">
        <f t="shared" si="206"/>
        <v>0</v>
      </c>
      <c r="U392" s="28">
        <f t="shared" si="216"/>
        <v>0</v>
      </c>
      <c r="V392" s="87">
        <f t="shared" si="181"/>
        <v>100</v>
      </c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>
        <v>0</v>
      </c>
      <c r="AJ392" s="29">
        <f t="shared" si="227"/>
        <v>0</v>
      </c>
      <c r="AK392" s="136">
        <f t="shared" si="217"/>
        <v>17400000</v>
      </c>
      <c r="AL392" s="29">
        <f t="shared" si="228"/>
        <v>100</v>
      </c>
      <c r="AM392" s="26"/>
    </row>
    <row r="393" spans="1:39" ht="24.75" customHeight="1" x14ac:dyDescent="0.25">
      <c r="A393" s="26"/>
      <c r="B393" s="151"/>
      <c r="C393" s="151"/>
      <c r="D393" s="151"/>
      <c r="E393" s="151"/>
      <c r="F393" s="151"/>
      <c r="G393" s="151"/>
      <c r="H393" s="151"/>
      <c r="I393" s="152"/>
      <c r="J393" s="151" t="s">
        <v>320</v>
      </c>
      <c r="K393" s="27"/>
      <c r="L393" s="31"/>
      <c r="M393" s="559" t="s">
        <v>321</v>
      </c>
      <c r="N393" s="560"/>
      <c r="O393" s="35"/>
      <c r="P393" s="28"/>
      <c r="Q393" s="28">
        <v>50400000</v>
      </c>
      <c r="R393" s="29">
        <f t="shared" si="226"/>
        <v>16.579476384608324</v>
      </c>
      <c r="S393" s="29">
        <v>100</v>
      </c>
      <c r="T393" s="28">
        <f t="shared" si="206"/>
        <v>0</v>
      </c>
      <c r="U393" s="28">
        <f t="shared" si="216"/>
        <v>0</v>
      </c>
      <c r="V393" s="87">
        <f t="shared" si="181"/>
        <v>100</v>
      </c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>
        <v>0</v>
      </c>
      <c r="AJ393" s="29">
        <f t="shared" si="227"/>
        <v>0</v>
      </c>
      <c r="AK393" s="136">
        <f t="shared" si="217"/>
        <v>50400000</v>
      </c>
      <c r="AL393" s="29">
        <f t="shared" si="228"/>
        <v>100</v>
      </c>
      <c r="AM393" s="26"/>
    </row>
    <row r="394" spans="1:39" ht="24.75" customHeight="1" x14ac:dyDescent="0.25">
      <c r="A394" s="26"/>
      <c r="B394" s="151"/>
      <c r="C394" s="151"/>
      <c r="D394" s="151"/>
      <c r="E394" s="151"/>
      <c r="F394" s="151"/>
      <c r="G394" s="151"/>
      <c r="H394" s="151"/>
      <c r="I394" s="152"/>
      <c r="J394" s="151" t="s">
        <v>407</v>
      </c>
      <c r="K394" s="27"/>
      <c r="L394" s="31"/>
      <c r="M394" s="575" t="s">
        <v>414</v>
      </c>
      <c r="N394" s="576"/>
      <c r="O394" s="35"/>
      <c r="P394" s="28"/>
      <c r="Q394" s="28">
        <v>13000000</v>
      </c>
      <c r="R394" s="29">
        <f t="shared" si="226"/>
        <v>4.2764522420616711</v>
      </c>
      <c r="S394" s="29"/>
      <c r="T394" s="28">
        <f t="shared" ref="T394:T603" si="229">AJ394</f>
        <v>0</v>
      </c>
      <c r="U394" s="28">
        <f t="shared" si="216"/>
        <v>0</v>
      </c>
      <c r="V394" s="87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>
        <v>0</v>
      </c>
      <c r="AJ394" s="29">
        <f t="shared" si="227"/>
        <v>0</v>
      </c>
      <c r="AK394" s="136">
        <f t="shared" si="217"/>
        <v>13000000</v>
      </c>
      <c r="AL394" s="29">
        <f t="shared" si="228"/>
        <v>100</v>
      </c>
      <c r="AM394" s="26"/>
    </row>
    <row r="395" spans="1:39" s="41" customFormat="1" ht="29.25" customHeight="1" x14ac:dyDescent="0.25">
      <c r="A395" s="21">
        <f>A382+1</f>
        <v>47</v>
      </c>
      <c r="B395" s="543" t="s">
        <v>150</v>
      </c>
      <c r="C395" s="543"/>
      <c r="D395" s="543"/>
      <c r="E395" s="543"/>
      <c r="F395" s="543"/>
      <c r="G395" s="543"/>
      <c r="H395" s="543"/>
      <c r="I395" s="544"/>
      <c r="J395" s="122" t="s">
        <v>497</v>
      </c>
      <c r="K395" s="22"/>
      <c r="L395" s="72"/>
      <c r="M395" s="566" t="s">
        <v>51</v>
      </c>
      <c r="N395" s="566"/>
      <c r="O395" s="76">
        <v>316240000</v>
      </c>
      <c r="P395" s="23">
        <f>O395</f>
        <v>316240000</v>
      </c>
      <c r="Q395" s="23">
        <f>SUM(Q396:Q400)</f>
        <v>64500000</v>
      </c>
      <c r="R395" s="24" t="e">
        <f>Q395/Q$243*100</f>
        <v>#REF!</v>
      </c>
      <c r="S395" s="24">
        <v>100</v>
      </c>
      <c r="T395" s="23">
        <f t="shared" si="229"/>
        <v>0</v>
      </c>
      <c r="U395" s="23" t="e">
        <f t="shared" si="216"/>
        <v>#REF!</v>
      </c>
      <c r="V395" s="90">
        <f t="shared" si="181"/>
        <v>100</v>
      </c>
      <c r="W395" s="23"/>
      <c r="X395" s="23" t="e">
        <f>#REF!</f>
        <v>#REF!</v>
      </c>
      <c r="Y395" s="23" t="e">
        <f>#REF!</f>
        <v>#REF!</v>
      </c>
      <c r="Z395" s="23" t="e">
        <f>#REF!</f>
        <v>#REF!</v>
      </c>
      <c r="AA395" s="23" t="e">
        <f>#REF!</f>
        <v>#REF!</v>
      </c>
      <c r="AB395" s="23">
        <v>13182000</v>
      </c>
      <c r="AC395" s="23" t="e">
        <f>#REF!</f>
        <v>#REF!</v>
      </c>
      <c r="AD395" s="23" t="e">
        <f>#REF!</f>
        <v>#REF!</v>
      </c>
      <c r="AE395" s="23" t="e">
        <f>#REF!</f>
        <v>#REF!</v>
      </c>
      <c r="AF395" s="23" t="e">
        <f>[1]April!N70</f>
        <v>#REF!</v>
      </c>
      <c r="AG395" s="23" t="e">
        <f>[2]april!N70</f>
        <v>#REF!</v>
      </c>
      <c r="AH395" s="23">
        <f>'[3]DES SKPD'!$N70</f>
        <v>293250450</v>
      </c>
      <c r="AI395" s="23">
        <f>SUM(AI396:AI400)</f>
        <v>0</v>
      </c>
      <c r="AJ395" s="24">
        <f t="shared" si="227"/>
        <v>0</v>
      </c>
      <c r="AK395" s="134">
        <f t="shared" si="217"/>
        <v>64500000</v>
      </c>
      <c r="AL395" s="24">
        <f t="shared" si="228"/>
        <v>100</v>
      </c>
      <c r="AM395" s="21"/>
    </row>
    <row r="396" spans="1:39" ht="29.25" customHeight="1" x14ac:dyDescent="0.25">
      <c r="A396" s="26"/>
      <c r="B396" s="151"/>
      <c r="C396" s="151"/>
      <c r="D396" s="151"/>
      <c r="E396" s="151"/>
      <c r="F396" s="151"/>
      <c r="G396" s="151"/>
      <c r="H396" s="151"/>
      <c r="I396" s="152"/>
      <c r="J396" s="151" t="s">
        <v>315</v>
      </c>
      <c r="K396" s="27"/>
      <c r="L396" s="31"/>
      <c r="M396" s="563" t="s">
        <v>271</v>
      </c>
      <c r="N396" s="564"/>
      <c r="O396" s="35"/>
      <c r="P396" s="28"/>
      <c r="Q396" s="28">
        <v>8000000</v>
      </c>
      <c r="R396" s="29">
        <f t="shared" ref="R396:R402" si="230">Q396/Q$395*100</f>
        <v>12.403100775193799</v>
      </c>
      <c r="S396" s="29">
        <v>100</v>
      </c>
      <c r="T396" s="28">
        <f t="shared" si="229"/>
        <v>0</v>
      </c>
      <c r="U396" s="28">
        <f t="shared" si="216"/>
        <v>0</v>
      </c>
      <c r="V396" s="87">
        <f t="shared" si="181"/>
        <v>100</v>
      </c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>
        <v>0</v>
      </c>
      <c r="AJ396" s="29">
        <f t="shared" si="227"/>
        <v>0</v>
      </c>
      <c r="AK396" s="136">
        <f t="shared" si="217"/>
        <v>8000000</v>
      </c>
      <c r="AL396" s="29">
        <f t="shared" si="228"/>
        <v>100</v>
      </c>
      <c r="AM396" s="26"/>
    </row>
    <row r="397" spans="1:39" ht="29.25" customHeight="1" x14ac:dyDescent="0.25">
      <c r="A397" s="26"/>
      <c r="B397" s="151"/>
      <c r="C397" s="151"/>
      <c r="D397" s="151"/>
      <c r="E397" s="151"/>
      <c r="F397" s="151"/>
      <c r="G397" s="151"/>
      <c r="H397" s="151"/>
      <c r="I397" s="152"/>
      <c r="J397" s="151" t="s">
        <v>284</v>
      </c>
      <c r="K397" s="27"/>
      <c r="L397" s="31"/>
      <c r="M397" s="563" t="s">
        <v>319</v>
      </c>
      <c r="N397" s="564"/>
      <c r="O397" s="35"/>
      <c r="P397" s="28"/>
      <c r="Q397" s="28">
        <v>27000000</v>
      </c>
      <c r="R397" s="29">
        <f t="shared" si="230"/>
        <v>41.860465116279073</v>
      </c>
      <c r="S397" s="29">
        <v>100</v>
      </c>
      <c r="T397" s="28">
        <f t="shared" si="229"/>
        <v>0</v>
      </c>
      <c r="U397" s="28">
        <f t="shared" si="216"/>
        <v>0</v>
      </c>
      <c r="V397" s="87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>
        <v>0</v>
      </c>
      <c r="AJ397" s="29">
        <f t="shared" si="227"/>
        <v>0</v>
      </c>
      <c r="AK397" s="136">
        <f t="shared" si="217"/>
        <v>27000000</v>
      </c>
      <c r="AL397" s="29">
        <f t="shared" si="228"/>
        <v>100</v>
      </c>
      <c r="AM397" s="26"/>
    </row>
    <row r="398" spans="1:39" ht="29.25" customHeight="1" x14ac:dyDescent="0.25">
      <c r="A398" s="26"/>
      <c r="B398" s="151"/>
      <c r="C398" s="151"/>
      <c r="D398" s="151"/>
      <c r="E398" s="151"/>
      <c r="F398" s="151"/>
      <c r="G398" s="151"/>
      <c r="H398" s="151"/>
      <c r="I398" s="152"/>
      <c r="J398" s="151" t="s">
        <v>282</v>
      </c>
      <c r="K398" s="27"/>
      <c r="L398" s="31"/>
      <c r="M398" s="563" t="s">
        <v>340</v>
      </c>
      <c r="N398" s="564"/>
      <c r="O398" s="35"/>
      <c r="P398" s="28"/>
      <c r="Q398" s="28">
        <v>5000000</v>
      </c>
      <c r="R398" s="29">
        <f t="shared" si="230"/>
        <v>7.7519379844961236</v>
      </c>
      <c r="S398" s="29">
        <v>100</v>
      </c>
      <c r="T398" s="28">
        <f t="shared" si="229"/>
        <v>0</v>
      </c>
      <c r="U398" s="28">
        <f t="shared" si="216"/>
        <v>0</v>
      </c>
      <c r="V398" s="87">
        <f t="shared" si="181"/>
        <v>100</v>
      </c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>
        <v>0</v>
      </c>
      <c r="AJ398" s="29">
        <f t="shared" si="227"/>
        <v>0</v>
      </c>
      <c r="AK398" s="136">
        <f t="shared" si="217"/>
        <v>5000000</v>
      </c>
      <c r="AL398" s="29">
        <f t="shared" si="228"/>
        <v>100</v>
      </c>
      <c r="AM398" s="26"/>
    </row>
    <row r="399" spans="1:39" ht="29.25" customHeight="1" x14ac:dyDescent="0.25">
      <c r="A399" s="26"/>
      <c r="B399" s="151"/>
      <c r="C399" s="151"/>
      <c r="D399" s="151"/>
      <c r="E399" s="151"/>
      <c r="F399" s="151"/>
      <c r="G399" s="151"/>
      <c r="H399" s="151"/>
      <c r="I399" s="152"/>
      <c r="J399" s="151" t="s">
        <v>308</v>
      </c>
      <c r="K399" s="27"/>
      <c r="L399" s="31"/>
      <c r="M399" s="563" t="s">
        <v>590</v>
      </c>
      <c r="N399" s="564"/>
      <c r="O399" s="35"/>
      <c r="P399" s="28"/>
      <c r="Q399" s="28">
        <v>15000000</v>
      </c>
      <c r="R399" s="29">
        <f t="shared" si="230"/>
        <v>23.255813953488371</v>
      </c>
      <c r="S399" s="29">
        <v>100</v>
      </c>
      <c r="T399" s="28">
        <f t="shared" si="229"/>
        <v>0</v>
      </c>
      <c r="U399" s="28">
        <f t="shared" si="216"/>
        <v>0</v>
      </c>
      <c r="V399" s="87">
        <f t="shared" si="181"/>
        <v>100</v>
      </c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>
        <v>0</v>
      </c>
      <c r="AJ399" s="29">
        <f t="shared" si="227"/>
        <v>0</v>
      </c>
      <c r="AK399" s="136">
        <f t="shared" si="217"/>
        <v>15000000</v>
      </c>
      <c r="AL399" s="29">
        <f t="shared" si="228"/>
        <v>100</v>
      </c>
      <c r="AM399" s="26"/>
    </row>
    <row r="400" spans="1:39" ht="29.25" customHeight="1" x14ac:dyDescent="0.25">
      <c r="A400" s="26"/>
      <c r="B400" s="151"/>
      <c r="C400" s="151"/>
      <c r="D400" s="151"/>
      <c r="E400" s="151"/>
      <c r="F400" s="151"/>
      <c r="G400" s="151"/>
      <c r="H400" s="151"/>
      <c r="I400" s="152"/>
      <c r="J400" s="151" t="s">
        <v>309</v>
      </c>
      <c r="K400" s="27"/>
      <c r="L400" s="31"/>
      <c r="M400" s="563" t="s">
        <v>321</v>
      </c>
      <c r="N400" s="564"/>
      <c r="O400" s="35"/>
      <c r="P400" s="28"/>
      <c r="Q400" s="28">
        <v>9500000</v>
      </c>
      <c r="R400" s="29">
        <f t="shared" si="230"/>
        <v>14.728682170542637</v>
      </c>
      <c r="S400" s="29">
        <v>100</v>
      </c>
      <c r="T400" s="28">
        <f t="shared" si="229"/>
        <v>0</v>
      </c>
      <c r="U400" s="28">
        <f t="shared" si="216"/>
        <v>0</v>
      </c>
      <c r="V400" s="87">
        <f t="shared" si="181"/>
        <v>100</v>
      </c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>
        <v>0</v>
      </c>
      <c r="AJ400" s="29">
        <f t="shared" si="227"/>
        <v>0</v>
      </c>
      <c r="AK400" s="136">
        <f t="shared" si="217"/>
        <v>9500000</v>
      </c>
      <c r="AL400" s="29">
        <f t="shared" si="228"/>
        <v>100</v>
      </c>
      <c r="AM400" s="26"/>
    </row>
    <row r="401" spans="1:39" ht="29.25" customHeight="1" x14ac:dyDescent="0.25">
      <c r="A401" s="26"/>
      <c r="B401" s="176"/>
      <c r="C401" s="176"/>
      <c r="D401" s="176"/>
      <c r="E401" s="176"/>
      <c r="F401" s="176"/>
      <c r="G401" s="176"/>
      <c r="H401" s="176"/>
      <c r="I401" s="177"/>
      <c r="J401" s="176" t="s">
        <v>309</v>
      </c>
      <c r="K401" s="27"/>
      <c r="L401" s="31"/>
      <c r="M401" s="563" t="s">
        <v>310</v>
      </c>
      <c r="N401" s="564"/>
      <c r="O401" s="35"/>
      <c r="P401" s="28"/>
      <c r="Q401" s="28">
        <v>200000000</v>
      </c>
      <c r="R401" s="29">
        <f t="shared" si="230"/>
        <v>310.077519379845</v>
      </c>
      <c r="S401" s="29">
        <v>100</v>
      </c>
      <c r="T401" s="28">
        <f t="shared" ref="T401" si="231">AJ401</f>
        <v>0</v>
      </c>
      <c r="U401" s="28">
        <f t="shared" ref="U401" si="232">R401*T401/100</f>
        <v>0</v>
      </c>
      <c r="V401" s="87">
        <f t="shared" ref="V401" si="233">S401-T401</f>
        <v>100</v>
      </c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>
        <v>0</v>
      </c>
      <c r="AJ401" s="29">
        <f t="shared" ref="AJ401" si="234">AI401/Q401*100</f>
        <v>0</v>
      </c>
      <c r="AK401" s="136">
        <f t="shared" ref="AK401" si="235">Q401-AI401</f>
        <v>200000000</v>
      </c>
      <c r="AL401" s="29">
        <f t="shared" ref="AL401" si="236">AK401/Q401*100</f>
        <v>100</v>
      </c>
      <c r="AM401" s="26"/>
    </row>
    <row r="402" spans="1:39" ht="29.25" customHeight="1" x14ac:dyDescent="0.25">
      <c r="A402" s="26"/>
      <c r="B402" s="176"/>
      <c r="C402" s="176"/>
      <c r="D402" s="176"/>
      <c r="E402" s="176"/>
      <c r="F402" s="176"/>
      <c r="G402" s="176"/>
      <c r="H402" s="176"/>
      <c r="I402" s="177"/>
      <c r="J402" s="176" t="s">
        <v>407</v>
      </c>
      <c r="K402" s="27"/>
      <c r="L402" s="31"/>
      <c r="M402" s="563" t="s">
        <v>610</v>
      </c>
      <c r="N402" s="564"/>
      <c r="O402" s="35"/>
      <c r="P402" s="28"/>
      <c r="Q402" s="28">
        <v>2000000</v>
      </c>
      <c r="R402" s="29">
        <f t="shared" si="230"/>
        <v>3.1007751937984498</v>
      </c>
      <c r="S402" s="29">
        <v>100</v>
      </c>
      <c r="T402" s="28">
        <f t="shared" ref="T402" si="237">AJ402</f>
        <v>0</v>
      </c>
      <c r="U402" s="28">
        <f t="shared" ref="U402" si="238">R402*T402/100</f>
        <v>0</v>
      </c>
      <c r="V402" s="87">
        <f t="shared" ref="V402" si="239">S402-T402</f>
        <v>100</v>
      </c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>
        <v>0</v>
      </c>
      <c r="AJ402" s="29">
        <f t="shared" ref="AJ402" si="240">AI402/Q402*100</f>
        <v>0</v>
      </c>
      <c r="AK402" s="136">
        <f t="shared" ref="AK402" si="241">Q402-AI402</f>
        <v>2000000</v>
      </c>
      <c r="AL402" s="29">
        <f t="shared" ref="AL402" si="242">AK402/Q402*100</f>
        <v>100</v>
      </c>
      <c r="AM402" s="26"/>
    </row>
    <row r="403" spans="1:39" s="41" customFormat="1" ht="30" customHeight="1" x14ac:dyDescent="0.25">
      <c r="A403" s="21">
        <f>A395+1</f>
        <v>48</v>
      </c>
      <c r="B403" s="543" t="s">
        <v>151</v>
      </c>
      <c r="C403" s="543"/>
      <c r="D403" s="543"/>
      <c r="E403" s="543"/>
      <c r="F403" s="543"/>
      <c r="G403" s="543"/>
      <c r="H403" s="543"/>
      <c r="I403" s="544"/>
      <c r="J403" s="122" t="s">
        <v>498</v>
      </c>
      <c r="K403" s="22"/>
      <c r="L403" s="72"/>
      <c r="M403" s="574" t="s">
        <v>52</v>
      </c>
      <c r="N403" s="574"/>
      <c r="O403" s="76">
        <v>252956000</v>
      </c>
      <c r="P403" s="23">
        <f>O403</f>
        <v>252956000</v>
      </c>
      <c r="Q403" s="23">
        <f>SUM(Q404:Q416)</f>
        <v>394282000</v>
      </c>
      <c r="R403" s="24" t="e">
        <f>Q403/Q$33*100</f>
        <v>#REF!</v>
      </c>
      <c r="S403" s="24">
        <v>100</v>
      </c>
      <c r="T403" s="23">
        <f t="shared" si="229"/>
        <v>0</v>
      </c>
      <c r="U403" s="23" t="e">
        <f t="shared" si="216"/>
        <v>#REF!</v>
      </c>
      <c r="V403" s="90">
        <f t="shared" si="181"/>
        <v>100</v>
      </c>
      <c r="W403" s="23"/>
      <c r="X403" s="23" t="e">
        <f>#REF!</f>
        <v>#REF!</v>
      </c>
      <c r="Y403" s="23" t="e">
        <f>#REF!</f>
        <v>#REF!</v>
      </c>
      <c r="Z403" s="23" t="e">
        <f>#REF!</f>
        <v>#REF!</v>
      </c>
      <c r="AA403" s="23" t="e">
        <f>#REF!</f>
        <v>#REF!</v>
      </c>
      <c r="AB403" s="23">
        <v>58582925</v>
      </c>
      <c r="AC403" s="23" t="e">
        <f>#REF!</f>
        <v>#REF!</v>
      </c>
      <c r="AD403" s="23" t="e">
        <f>#REF!</f>
        <v>#REF!</v>
      </c>
      <c r="AE403" s="23" t="e">
        <f>#REF!</f>
        <v>#REF!</v>
      </c>
      <c r="AF403" s="23" t="e">
        <f>[1]April!N71</f>
        <v>#REF!</v>
      </c>
      <c r="AG403" s="23" t="e">
        <f>[2]april!N71</f>
        <v>#REF!</v>
      </c>
      <c r="AH403" s="23">
        <f>'[3]DES SKPD'!$N71</f>
        <v>205056925</v>
      </c>
      <c r="AI403" s="23">
        <f>SUM(AI404:AI415)</f>
        <v>0</v>
      </c>
      <c r="AJ403" s="24">
        <f t="shared" si="227"/>
        <v>0</v>
      </c>
      <c r="AK403" s="134">
        <f t="shared" si="217"/>
        <v>394282000</v>
      </c>
      <c r="AL403" s="24">
        <f t="shared" si="228"/>
        <v>100</v>
      </c>
      <c r="AM403" s="21"/>
    </row>
    <row r="404" spans="1:39" ht="29.25" customHeight="1" x14ac:dyDescent="0.25">
      <c r="A404" s="26"/>
      <c r="B404" s="151"/>
      <c r="C404" s="151"/>
      <c r="D404" s="151"/>
      <c r="E404" s="151"/>
      <c r="F404" s="151"/>
      <c r="G404" s="151"/>
      <c r="H404" s="151"/>
      <c r="I404" s="152"/>
      <c r="J404" s="151" t="s">
        <v>415</v>
      </c>
      <c r="K404" s="27"/>
      <c r="L404" s="31"/>
      <c r="M404" s="577" t="s">
        <v>260</v>
      </c>
      <c r="N404" s="564"/>
      <c r="O404" s="35"/>
      <c r="P404" s="28"/>
      <c r="Q404" s="28">
        <v>2400000</v>
      </c>
      <c r="R404" s="29">
        <f>Q404/Q$403*100</f>
        <v>0.60870138631740733</v>
      </c>
      <c r="S404" s="29">
        <v>100</v>
      </c>
      <c r="T404" s="28">
        <f t="shared" si="229"/>
        <v>0</v>
      </c>
      <c r="U404" s="28">
        <f t="shared" si="216"/>
        <v>0</v>
      </c>
      <c r="V404" s="87">
        <f t="shared" si="181"/>
        <v>100</v>
      </c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>
        <v>0</v>
      </c>
      <c r="AJ404" s="29">
        <f t="shared" si="227"/>
        <v>0</v>
      </c>
      <c r="AK404" s="136">
        <f t="shared" si="217"/>
        <v>2400000</v>
      </c>
      <c r="AL404" s="29">
        <f t="shared" si="228"/>
        <v>100</v>
      </c>
      <c r="AM404" s="26"/>
    </row>
    <row r="405" spans="1:39" ht="29.25" customHeight="1" x14ac:dyDescent="0.25">
      <c r="A405" s="26"/>
      <c r="B405" s="151"/>
      <c r="C405" s="151"/>
      <c r="D405" s="151"/>
      <c r="E405" s="151"/>
      <c r="F405" s="151"/>
      <c r="G405" s="151"/>
      <c r="H405" s="151"/>
      <c r="I405" s="152"/>
      <c r="J405" s="176" t="s">
        <v>326</v>
      </c>
      <c r="K405" s="27"/>
      <c r="L405" s="31"/>
      <c r="M405" s="577" t="s">
        <v>327</v>
      </c>
      <c r="N405" s="564"/>
      <c r="O405" s="35"/>
      <c r="P405" s="28"/>
      <c r="Q405" s="28">
        <v>32800000</v>
      </c>
      <c r="R405" s="29">
        <f t="shared" ref="R405:R416" si="243">Q405/Q$403*100</f>
        <v>8.3189189463379005</v>
      </c>
      <c r="S405" s="29">
        <v>100</v>
      </c>
      <c r="T405" s="28">
        <f t="shared" si="229"/>
        <v>0</v>
      </c>
      <c r="U405" s="28">
        <f t="shared" si="216"/>
        <v>0</v>
      </c>
      <c r="V405" s="87">
        <f t="shared" si="181"/>
        <v>100</v>
      </c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>
        <v>0</v>
      </c>
      <c r="AJ405" s="29">
        <f t="shared" si="227"/>
        <v>0</v>
      </c>
      <c r="AK405" s="136">
        <f t="shared" si="217"/>
        <v>32800000</v>
      </c>
      <c r="AL405" s="29">
        <f t="shared" si="228"/>
        <v>100</v>
      </c>
      <c r="AM405" s="26"/>
    </row>
    <row r="406" spans="1:39" ht="29.25" customHeight="1" x14ac:dyDescent="0.25">
      <c r="A406" s="26"/>
      <c r="B406" s="176"/>
      <c r="C406" s="176"/>
      <c r="D406" s="176"/>
      <c r="E406" s="176"/>
      <c r="F406" s="176"/>
      <c r="G406" s="176"/>
      <c r="H406" s="176"/>
      <c r="I406" s="177"/>
      <c r="J406" s="176" t="s">
        <v>347</v>
      </c>
      <c r="K406" s="27"/>
      <c r="L406" s="31"/>
      <c r="M406" s="577" t="s">
        <v>348</v>
      </c>
      <c r="N406" s="564"/>
      <c r="O406" s="35"/>
      <c r="P406" s="28"/>
      <c r="Q406" s="28">
        <v>27800000</v>
      </c>
      <c r="R406" s="29">
        <f t="shared" ref="R406" si="244">Q406/Q$403*100</f>
        <v>7.0507910581766353</v>
      </c>
      <c r="S406" s="29">
        <v>100</v>
      </c>
      <c r="T406" s="28">
        <f t="shared" ref="T406" si="245">AJ406</f>
        <v>0</v>
      </c>
      <c r="U406" s="28">
        <f t="shared" ref="U406" si="246">R406*T406/100</f>
        <v>0</v>
      </c>
      <c r="V406" s="87">
        <f t="shared" ref="V406" si="247">S406-T406</f>
        <v>100</v>
      </c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>
        <v>0</v>
      </c>
      <c r="AJ406" s="29">
        <f t="shared" ref="AJ406" si="248">AI406/Q406*100</f>
        <v>0</v>
      </c>
      <c r="AK406" s="136">
        <f t="shared" ref="AK406" si="249">Q406-AI406</f>
        <v>27800000</v>
      </c>
      <c r="AL406" s="29">
        <f t="shared" ref="AL406" si="250">AK406/Q406*100</f>
        <v>100</v>
      </c>
      <c r="AM406" s="26"/>
    </row>
    <row r="407" spans="1:39" ht="29.25" customHeight="1" x14ac:dyDescent="0.25">
      <c r="A407" s="26"/>
      <c r="B407" s="151"/>
      <c r="C407" s="151"/>
      <c r="D407" s="151"/>
      <c r="E407" s="151"/>
      <c r="F407" s="151"/>
      <c r="G407" s="151"/>
      <c r="H407" s="151"/>
      <c r="I407" s="152"/>
      <c r="J407" s="151" t="s">
        <v>323</v>
      </c>
      <c r="K407" s="27"/>
      <c r="L407" s="31"/>
      <c r="M407" s="577" t="s">
        <v>324</v>
      </c>
      <c r="N407" s="564"/>
      <c r="O407" s="35"/>
      <c r="P407" s="28"/>
      <c r="Q407" s="28">
        <v>35352000</v>
      </c>
      <c r="R407" s="29">
        <f t="shared" si="243"/>
        <v>8.9661714204554102</v>
      </c>
      <c r="S407" s="29">
        <v>100</v>
      </c>
      <c r="T407" s="28">
        <f t="shared" si="229"/>
        <v>0</v>
      </c>
      <c r="U407" s="28">
        <f t="shared" si="216"/>
        <v>0</v>
      </c>
      <c r="V407" s="87">
        <f t="shared" si="181"/>
        <v>100</v>
      </c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>
        <v>0</v>
      </c>
      <c r="AJ407" s="29">
        <f t="shared" si="227"/>
        <v>0</v>
      </c>
      <c r="AK407" s="136">
        <f t="shared" si="217"/>
        <v>35352000</v>
      </c>
      <c r="AL407" s="29">
        <f t="shared" si="228"/>
        <v>100</v>
      </c>
      <c r="AM407" s="26"/>
    </row>
    <row r="408" spans="1:39" ht="29.25" customHeight="1" x14ac:dyDescent="0.25">
      <c r="A408" s="26"/>
      <c r="B408" s="151"/>
      <c r="C408" s="151"/>
      <c r="D408" s="151"/>
      <c r="E408" s="151"/>
      <c r="F408" s="151"/>
      <c r="G408" s="151"/>
      <c r="H408" s="151"/>
      <c r="I408" s="152"/>
      <c r="J408" s="151" t="s">
        <v>269</v>
      </c>
      <c r="K408" s="27"/>
      <c r="L408" s="31"/>
      <c r="M408" s="577" t="s">
        <v>270</v>
      </c>
      <c r="N408" s="564"/>
      <c r="O408" s="35"/>
      <c r="P408" s="28"/>
      <c r="Q408" s="28">
        <v>16330000</v>
      </c>
      <c r="R408" s="29">
        <f t="shared" si="243"/>
        <v>4.1417056827346919</v>
      </c>
      <c r="S408" s="29">
        <v>100</v>
      </c>
      <c r="T408" s="28">
        <f t="shared" si="229"/>
        <v>0</v>
      </c>
      <c r="U408" s="28">
        <f t="shared" si="216"/>
        <v>0</v>
      </c>
      <c r="V408" s="87">
        <f t="shared" si="181"/>
        <v>100</v>
      </c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>
        <v>0</v>
      </c>
      <c r="AJ408" s="29">
        <f t="shared" si="227"/>
        <v>0</v>
      </c>
      <c r="AK408" s="136">
        <f t="shared" si="217"/>
        <v>16330000</v>
      </c>
      <c r="AL408" s="29">
        <f t="shared" si="228"/>
        <v>100</v>
      </c>
      <c r="AM408" s="26"/>
    </row>
    <row r="409" spans="1:39" ht="29.25" customHeight="1" x14ac:dyDescent="0.25">
      <c r="A409" s="26"/>
      <c r="B409" s="151"/>
      <c r="C409" s="151"/>
      <c r="D409" s="151"/>
      <c r="E409" s="151"/>
      <c r="F409" s="151"/>
      <c r="G409" s="151"/>
      <c r="H409" s="151"/>
      <c r="I409" s="152"/>
      <c r="J409" s="151" t="s">
        <v>315</v>
      </c>
      <c r="K409" s="27"/>
      <c r="L409" s="31"/>
      <c r="M409" s="577" t="s">
        <v>271</v>
      </c>
      <c r="N409" s="564"/>
      <c r="O409" s="35"/>
      <c r="P409" s="28"/>
      <c r="Q409" s="28">
        <v>21000000</v>
      </c>
      <c r="R409" s="29">
        <f t="shared" si="243"/>
        <v>5.3261371302773144</v>
      </c>
      <c r="S409" s="29">
        <v>100</v>
      </c>
      <c r="T409" s="28">
        <f t="shared" si="229"/>
        <v>0</v>
      </c>
      <c r="U409" s="28">
        <f t="shared" si="216"/>
        <v>0</v>
      </c>
      <c r="V409" s="87">
        <f t="shared" si="181"/>
        <v>100</v>
      </c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>
        <v>0</v>
      </c>
      <c r="AJ409" s="29">
        <f t="shared" si="227"/>
        <v>0</v>
      </c>
      <c r="AK409" s="136">
        <f t="shared" si="217"/>
        <v>21000000</v>
      </c>
      <c r="AL409" s="29">
        <f t="shared" si="228"/>
        <v>100</v>
      </c>
      <c r="AM409" s="26"/>
    </row>
    <row r="410" spans="1:39" ht="29.25" customHeight="1" x14ac:dyDescent="0.25">
      <c r="A410" s="26"/>
      <c r="B410" s="151"/>
      <c r="C410" s="151"/>
      <c r="D410" s="151"/>
      <c r="E410" s="151"/>
      <c r="F410" s="151"/>
      <c r="G410" s="151"/>
      <c r="H410" s="151"/>
      <c r="I410" s="152"/>
      <c r="J410" s="151" t="s">
        <v>316</v>
      </c>
      <c r="K410" s="27"/>
      <c r="L410" s="31"/>
      <c r="M410" s="577" t="s">
        <v>317</v>
      </c>
      <c r="N410" s="564"/>
      <c r="O410" s="35"/>
      <c r="P410" s="28"/>
      <c r="Q410" s="28">
        <v>900000</v>
      </c>
      <c r="R410" s="29">
        <f t="shared" si="243"/>
        <v>0.22826301986902778</v>
      </c>
      <c r="S410" s="29">
        <v>100</v>
      </c>
      <c r="T410" s="28">
        <f t="shared" si="229"/>
        <v>0</v>
      </c>
      <c r="U410" s="28">
        <f t="shared" si="216"/>
        <v>0</v>
      </c>
      <c r="V410" s="87">
        <f t="shared" si="181"/>
        <v>100</v>
      </c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>
        <v>0</v>
      </c>
      <c r="AJ410" s="29">
        <f t="shared" si="227"/>
        <v>0</v>
      </c>
      <c r="AK410" s="136">
        <f t="shared" si="217"/>
        <v>900000</v>
      </c>
      <c r="AL410" s="29">
        <f t="shared" si="228"/>
        <v>100</v>
      </c>
      <c r="AM410" s="26"/>
    </row>
    <row r="411" spans="1:39" ht="29.25" customHeight="1" x14ac:dyDescent="0.25">
      <c r="A411" s="26"/>
      <c r="B411" s="151"/>
      <c r="C411" s="151"/>
      <c r="D411" s="151"/>
      <c r="E411" s="151"/>
      <c r="F411" s="151"/>
      <c r="G411" s="151"/>
      <c r="H411" s="151"/>
      <c r="I411" s="152"/>
      <c r="J411" s="151" t="s">
        <v>318</v>
      </c>
      <c r="K411" s="27"/>
      <c r="L411" s="31"/>
      <c r="M411" s="577" t="s">
        <v>319</v>
      </c>
      <c r="N411" s="564"/>
      <c r="O411" s="35"/>
      <c r="P411" s="28"/>
      <c r="Q411" s="28">
        <v>109500000</v>
      </c>
      <c r="R411" s="29">
        <f t="shared" si="243"/>
        <v>27.772000750731713</v>
      </c>
      <c r="S411" s="29">
        <v>100</v>
      </c>
      <c r="T411" s="28">
        <f t="shared" si="229"/>
        <v>0</v>
      </c>
      <c r="U411" s="28">
        <f t="shared" ref="U411:U637" si="251">R411*T411/100</f>
        <v>0</v>
      </c>
      <c r="V411" s="87">
        <f t="shared" si="181"/>
        <v>100</v>
      </c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>
        <v>0</v>
      </c>
      <c r="AJ411" s="29">
        <f t="shared" si="227"/>
        <v>0</v>
      </c>
      <c r="AK411" s="136">
        <f t="shared" si="217"/>
        <v>109500000</v>
      </c>
      <c r="AL411" s="29">
        <f t="shared" si="228"/>
        <v>100</v>
      </c>
      <c r="AM411" s="26"/>
    </row>
    <row r="412" spans="1:39" ht="29.25" customHeight="1" x14ac:dyDescent="0.25">
      <c r="A412" s="26"/>
      <c r="B412" s="151"/>
      <c r="C412" s="151"/>
      <c r="D412" s="151"/>
      <c r="E412" s="151"/>
      <c r="F412" s="151"/>
      <c r="G412" s="151"/>
      <c r="H412" s="151"/>
      <c r="I412" s="152"/>
      <c r="J412" s="151" t="s">
        <v>284</v>
      </c>
      <c r="K412" s="27"/>
      <c r="L412" s="31"/>
      <c r="M412" s="577" t="s">
        <v>285</v>
      </c>
      <c r="N412" s="564"/>
      <c r="O412" s="35"/>
      <c r="P412" s="28"/>
      <c r="Q412" s="28">
        <v>25000000</v>
      </c>
      <c r="R412" s="29">
        <f t="shared" si="243"/>
        <v>6.3406394408063269</v>
      </c>
      <c r="S412" s="29">
        <v>100</v>
      </c>
      <c r="T412" s="28">
        <f t="shared" si="229"/>
        <v>0</v>
      </c>
      <c r="U412" s="28">
        <f t="shared" si="251"/>
        <v>0</v>
      </c>
      <c r="V412" s="87">
        <f t="shared" si="181"/>
        <v>100</v>
      </c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>
        <v>0</v>
      </c>
      <c r="AJ412" s="29">
        <f t="shared" si="227"/>
        <v>0</v>
      </c>
      <c r="AK412" s="136">
        <f t="shared" si="217"/>
        <v>25000000</v>
      </c>
      <c r="AL412" s="29">
        <f t="shared" si="228"/>
        <v>100</v>
      </c>
      <c r="AM412" s="26"/>
    </row>
    <row r="413" spans="1:39" ht="29.25" customHeight="1" x14ac:dyDescent="0.25">
      <c r="A413" s="26"/>
      <c r="B413" s="151"/>
      <c r="C413" s="151"/>
      <c r="D413" s="151"/>
      <c r="E413" s="151"/>
      <c r="F413" s="151"/>
      <c r="G413" s="151"/>
      <c r="H413" s="151"/>
      <c r="I413" s="152"/>
      <c r="J413" s="151" t="s">
        <v>282</v>
      </c>
      <c r="K413" s="27"/>
      <c r="L413" s="31"/>
      <c r="M413" s="577" t="s">
        <v>283</v>
      </c>
      <c r="N413" s="564"/>
      <c r="O413" s="35"/>
      <c r="P413" s="28"/>
      <c r="Q413" s="28">
        <v>74100000</v>
      </c>
      <c r="R413" s="29">
        <f t="shared" si="243"/>
        <v>18.793655302549954</v>
      </c>
      <c r="S413" s="29">
        <v>100</v>
      </c>
      <c r="T413" s="28">
        <f t="shared" si="229"/>
        <v>0</v>
      </c>
      <c r="U413" s="28">
        <f t="shared" si="251"/>
        <v>0</v>
      </c>
      <c r="V413" s="87">
        <f t="shared" si="181"/>
        <v>100</v>
      </c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>
        <v>0</v>
      </c>
      <c r="AJ413" s="29">
        <f t="shared" si="227"/>
        <v>0</v>
      </c>
      <c r="AK413" s="136">
        <f t="shared" ref="AK413:AK466" si="252">Q413-AI413</f>
        <v>74100000</v>
      </c>
      <c r="AL413" s="29">
        <f t="shared" si="228"/>
        <v>100</v>
      </c>
      <c r="AM413" s="26"/>
    </row>
    <row r="414" spans="1:39" ht="29.25" customHeight="1" x14ac:dyDescent="0.25">
      <c r="A414" s="26"/>
      <c r="B414" s="151"/>
      <c r="C414" s="151"/>
      <c r="D414" s="151"/>
      <c r="E414" s="151"/>
      <c r="F414" s="151"/>
      <c r="G414" s="151"/>
      <c r="H414" s="151"/>
      <c r="I414" s="152"/>
      <c r="J414" s="151" t="s">
        <v>320</v>
      </c>
      <c r="K414" s="27"/>
      <c r="L414" s="31"/>
      <c r="M414" s="577" t="s">
        <v>321</v>
      </c>
      <c r="N414" s="564"/>
      <c r="O414" s="35"/>
      <c r="P414" s="28"/>
      <c r="Q414" s="28">
        <v>26600000</v>
      </c>
      <c r="R414" s="29">
        <f t="shared" si="243"/>
        <v>6.7464403650179321</v>
      </c>
      <c r="S414" s="29">
        <v>100</v>
      </c>
      <c r="T414" s="28">
        <f t="shared" si="229"/>
        <v>0</v>
      </c>
      <c r="U414" s="28">
        <f t="shared" si="251"/>
        <v>0</v>
      </c>
      <c r="V414" s="87">
        <f t="shared" si="181"/>
        <v>100</v>
      </c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>
        <v>0</v>
      </c>
      <c r="AJ414" s="29">
        <f t="shared" si="227"/>
        <v>0</v>
      </c>
      <c r="AK414" s="136">
        <f t="shared" si="252"/>
        <v>26600000</v>
      </c>
      <c r="AL414" s="29">
        <f t="shared" si="228"/>
        <v>100</v>
      </c>
      <c r="AM414" s="26"/>
    </row>
    <row r="415" spans="1:39" ht="29.25" customHeight="1" x14ac:dyDescent="0.25">
      <c r="A415" s="26"/>
      <c r="B415" s="151"/>
      <c r="C415" s="151"/>
      <c r="D415" s="151"/>
      <c r="E415" s="151"/>
      <c r="F415" s="151"/>
      <c r="G415" s="151"/>
      <c r="H415" s="151"/>
      <c r="I415" s="152"/>
      <c r="J415" s="151" t="s">
        <v>309</v>
      </c>
      <c r="K415" s="27"/>
      <c r="L415" s="31"/>
      <c r="M415" s="577" t="s">
        <v>611</v>
      </c>
      <c r="N415" s="564"/>
      <c r="O415" s="35"/>
      <c r="P415" s="28"/>
      <c r="Q415" s="28">
        <v>12900000</v>
      </c>
      <c r="R415" s="29">
        <f t="shared" si="243"/>
        <v>3.2717699514560645</v>
      </c>
      <c r="S415" s="29">
        <v>100</v>
      </c>
      <c r="T415" s="28">
        <f t="shared" si="229"/>
        <v>0</v>
      </c>
      <c r="U415" s="28">
        <f t="shared" si="251"/>
        <v>0</v>
      </c>
      <c r="V415" s="87">
        <f t="shared" si="181"/>
        <v>100</v>
      </c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>
        <v>0</v>
      </c>
      <c r="AJ415" s="29">
        <f t="shared" si="227"/>
        <v>0</v>
      </c>
      <c r="AK415" s="136">
        <f t="shared" si="252"/>
        <v>12900000</v>
      </c>
      <c r="AL415" s="29">
        <f t="shared" si="228"/>
        <v>100</v>
      </c>
      <c r="AM415" s="26"/>
    </row>
    <row r="416" spans="1:39" ht="29.25" customHeight="1" x14ac:dyDescent="0.25">
      <c r="A416" s="26"/>
      <c r="B416" s="151"/>
      <c r="C416" s="151"/>
      <c r="D416" s="151"/>
      <c r="E416" s="151"/>
      <c r="F416" s="151"/>
      <c r="G416" s="151"/>
      <c r="H416" s="151"/>
      <c r="I416" s="152"/>
      <c r="J416" s="176" t="s">
        <v>551</v>
      </c>
      <c r="K416" s="27"/>
      <c r="L416" s="31"/>
      <c r="M416" s="577" t="s">
        <v>550</v>
      </c>
      <c r="N416" s="564"/>
      <c r="O416" s="35"/>
      <c r="P416" s="28"/>
      <c r="Q416" s="28">
        <v>9600000</v>
      </c>
      <c r="R416" s="29">
        <f t="shared" si="243"/>
        <v>2.4348055452696293</v>
      </c>
      <c r="S416" s="29"/>
      <c r="T416" s="28">
        <f t="shared" si="229"/>
        <v>0</v>
      </c>
      <c r="U416" s="28">
        <f t="shared" si="251"/>
        <v>0</v>
      </c>
      <c r="V416" s="87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>
        <v>0</v>
      </c>
      <c r="AJ416" s="29">
        <f t="shared" si="227"/>
        <v>0</v>
      </c>
      <c r="AK416" s="136">
        <f t="shared" si="252"/>
        <v>9600000</v>
      </c>
      <c r="AL416" s="29">
        <f t="shared" si="228"/>
        <v>100</v>
      </c>
      <c r="AM416" s="26"/>
    </row>
    <row r="417" spans="1:39" ht="29.25" customHeight="1" x14ac:dyDescent="0.25">
      <c r="A417" s="21">
        <v>49</v>
      </c>
      <c r="B417" s="151"/>
      <c r="C417" s="151"/>
      <c r="D417" s="151"/>
      <c r="E417" s="151"/>
      <c r="F417" s="151"/>
      <c r="G417" s="151"/>
      <c r="H417" s="151"/>
      <c r="I417" s="152"/>
      <c r="J417" s="122" t="s">
        <v>499</v>
      </c>
      <c r="K417" s="22"/>
      <c r="L417" s="72"/>
      <c r="M417" s="574" t="s">
        <v>500</v>
      </c>
      <c r="N417" s="574"/>
      <c r="O417" s="76">
        <v>252956000</v>
      </c>
      <c r="P417" s="23">
        <f>O417</f>
        <v>252956000</v>
      </c>
      <c r="Q417" s="23">
        <f>SUM(Q418:Q419)</f>
        <v>418500000</v>
      </c>
      <c r="R417" s="24" t="e">
        <f>Q417/Q$243*100</f>
        <v>#REF!</v>
      </c>
      <c r="S417" s="24">
        <v>100</v>
      </c>
      <c r="T417" s="23">
        <f t="shared" si="229"/>
        <v>0</v>
      </c>
      <c r="U417" s="23" t="e">
        <f t="shared" si="251"/>
        <v>#REF!</v>
      </c>
      <c r="V417" s="90">
        <f t="shared" ref="V417:V419" si="253">S417-T417</f>
        <v>100</v>
      </c>
      <c r="W417" s="23"/>
      <c r="X417" s="23" t="e">
        <f>#REF!</f>
        <v>#REF!</v>
      </c>
      <c r="Y417" s="23" t="e">
        <f>#REF!</f>
        <v>#REF!</v>
      </c>
      <c r="Z417" s="23" t="e">
        <f>#REF!</f>
        <v>#REF!</v>
      </c>
      <c r="AA417" s="23" t="e">
        <f>#REF!</f>
        <v>#REF!</v>
      </c>
      <c r="AB417" s="23">
        <v>58582925</v>
      </c>
      <c r="AC417" s="23" t="e">
        <f>#REF!</f>
        <v>#REF!</v>
      </c>
      <c r="AD417" s="23" t="e">
        <f>#REF!</f>
        <v>#REF!</v>
      </c>
      <c r="AE417" s="23" t="e">
        <f>#REF!</f>
        <v>#REF!</v>
      </c>
      <c r="AF417" s="23" t="e">
        <f>[1]April!N86</f>
        <v>#REF!</v>
      </c>
      <c r="AG417" s="23" t="e">
        <f>[2]april!N86</f>
        <v>#REF!</v>
      </c>
      <c r="AH417" s="23">
        <f>'[3]DES SKPD'!$N86</f>
        <v>126710000</v>
      </c>
      <c r="AI417" s="23">
        <f>SUM(AI418:AI421)</f>
        <v>0</v>
      </c>
      <c r="AJ417" s="24">
        <f t="shared" si="227"/>
        <v>0</v>
      </c>
      <c r="AK417" s="134">
        <f t="shared" si="252"/>
        <v>418500000</v>
      </c>
      <c r="AL417" s="24">
        <f t="shared" si="228"/>
        <v>100</v>
      </c>
      <c r="AM417" s="26"/>
    </row>
    <row r="418" spans="1:39" ht="29.25" customHeight="1" x14ac:dyDescent="0.25">
      <c r="A418" s="26"/>
      <c r="B418" s="151"/>
      <c r="C418" s="151"/>
      <c r="D418" s="151"/>
      <c r="E418" s="151"/>
      <c r="F418" s="151"/>
      <c r="G418" s="151"/>
      <c r="H418" s="151"/>
      <c r="I418" s="152"/>
      <c r="J418" s="176" t="s">
        <v>537</v>
      </c>
      <c r="K418" s="27"/>
      <c r="L418" s="31"/>
      <c r="M418" s="577" t="s">
        <v>605</v>
      </c>
      <c r="N418" s="564"/>
      <c r="O418" s="35"/>
      <c r="P418" s="28"/>
      <c r="Q418" s="28">
        <v>38500000</v>
      </c>
      <c r="R418" s="29">
        <f t="shared" ref="R418:R419" si="254">Q418/Q$417*100</f>
        <v>9.1995221027479097</v>
      </c>
      <c r="S418" s="29">
        <v>100</v>
      </c>
      <c r="T418" s="28">
        <f t="shared" si="229"/>
        <v>0</v>
      </c>
      <c r="U418" s="28">
        <f t="shared" si="251"/>
        <v>0</v>
      </c>
      <c r="V418" s="87">
        <f t="shared" si="253"/>
        <v>100</v>
      </c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>
        <v>0</v>
      </c>
      <c r="AJ418" s="29">
        <f t="shared" si="227"/>
        <v>0</v>
      </c>
      <c r="AK418" s="136">
        <f t="shared" si="252"/>
        <v>38500000</v>
      </c>
      <c r="AL418" s="29">
        <f t="shared" si="228"/>
        <v>100</v>
      </c>
      <c r="AM418" s="26"/>
    </row>
    <row r="419" spans="1:39" ht="29.25" customHeight="1" x14ac:dyDescent="0.25">
      <c r="A419" s="26"/>
      <c r="B419" s="151"/>
      <c r="C419" s="151"/>
      <c r="D419" s="151"/>
      <c r="E419" s="151"/>
      <c r="F419" s="151"/>
      <c r="G419" s="151"/>
      <c r="H419" s="151"/>
      <c r="I419" s="152"/>
      <c r="J419" s="151" t="s">
        <v>415</v>
      </c>
      <c r="K419" s="27"/>
      <c r="L419" s="31"/>
      <c r="M419" s="577" t="s">
        <v>303</v>
      </c>
      <c r="N419" s="564"/>
      <c r="O419" s="35"/>
      <c r="P419" s="28"/>
      <c r="Q419" s="28">
        <v>380000000</v>
      </c>
      <c r="R419" s="29">
        <f t="shared" si="254"/>
        <v>90.80047789725208</v>
      </c>
      <c r="S419" s="29">
        <v>100</v>
      </c>
      <c r="T419" s="28">
        <f t="shared" si="229"/>
        <v>0</v>
      </c>
      <c r="U419" s="28">
        <f t="shared" si="251"/>
        <v>0</v>
      </c>
      <c r="V419" s="87">
        <f t="shared" si="253"/>
        <v>100</v>
      </c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>
        <v>0</v>
      </c>
      <c r="AJ419" s="29">
        <f t="shared" si="227"/>
        <v>0</v>
      </c>
      <c r="AK419" s="136">
        <f t="shared" si="252"/>
        <v>380000000</v>
      </c>
      <c r="AL419" s="29">
        <f t="shared" si="228"/>
        <v>100</v>
      </c>
      <c r="AM419" s="26"/>
    </row>
    <row r="420" spans="1:39" s="41" customFormat="1" ht="29.25" customHeight="1" x14ac:dyDescent="0.25">
      <c r="A420" s="21">
        <f>SUM(A417+1)</f>
        <v>50</v>
      </c>
      <c r="B420" s="543" t="s">
        <v>153</v>
      </c>
      <c r="C420" s="543"/>
      <c r="D420" s="543"/>
      <c r="E420" s="543"/>
      <c r="F420" s="543"/>
      <c r="G420" s="543"/>
      <c r="H420" s="543"/>
      <c r="I420" s="544"/>
      <c r="J420" s="122" t="s">
        <v>504</v>
      </c>
      <c r="K420" s="22"/>
      <c r="L420" s="72"/>
      <c r="M420" s="566" t="s">
        <v>53</v>
      </c>
      <c r="N420" s="566"/>
      <c r="O420" s="76">
        <v>420443450</v>
      </c>
      <c r="P420" s="23">
        <f>O420</f>
        <v>420443450</v>
      </c>
      <c r="Q420" s="23">
        <f>SUM(Q421:Q430)</f>
        <v>179508000</v>
      </c>
      <c r="R420" s="24" t="e">
        <f>Q420/Q$243*100</f>
        <v>#REF!</v>
      </c>
      <c r="S420" s="24">
        <v>100</v>
      </c>
      <c r="T420" s="23">
        <f t="shared" si="229"/>
        <v>0</v>
      </c>
      <c r="U420" s="23" t="e">
        <f t="shared" si="251"/>
        <v>#REF!</v>
      </c>
      <c r="V420" s="90">
        <f t="shared" si="181"/>
        <v>100</v>
      </c>
      <c r="W420" s="23"/>
      <c r="X420" s="23" t="e">
        <f>#REF!</f>
        <v>#REF!</v>
      </c>
      <c r="Y420" s="23" t="e">
        <f>#REF!</f>
        <v>#REF!</v>
      </c>
      <c r="Z420" s="23" t="e">
        <f>#REF!</f>
        <v>#REF!</v>
      </c>
      <c r="AA420" s="23" t="e">
        <f>#REF!</f>
        <v>#REF!</v>
      </c>
      <c r="AB420" s="23">
        <v>55843500</v>
      </c>
      <c r="AC420" s="23" t="e">
        <f>#REF!</f>
        <v>#REF!</v>
      </c>
      <c r="AD420" s="23" t="e">
        <f>#REF!</f>
        <v>#REF!</v>
      </c>
      <c r="AE420" s="23" t="e">
        <f>#REF!</f>
        <v>#REF!</v>
      </c>
      <c r="AF420" s="23" t="e">
        <f>[1]April!N73</f>
        <v>#REF!</v>
      </c>
      <c r="AG420" s="23" t="e">
        <f>[2]april!N73</f>
        <v>#REF!</v>
      </c>
      <c r="AH420" s="23">
        <f>'[3]DES SKPD'!$N73</f>
        <v>192051900</v>
      </c>
      <c r="AI420" s="23">
        <f>SUM(AI421:AI429)</f>
        <v>0</v>
      </c>
      <c r="AJ420" s="24">
        <f t="shared" si="227"/>
        <v>0</v>
      </c>
      <c r="AK420" s="134">
        <f t="shared" si="252"/>
        <v>179508000</v>
      </c>
      <c r="AL420" s="24">
        <f t="shared" si="228"/>
        <v>100</v>
      </c>
      <c r="AM420" s="21"/>
    </row>
    <row r="421" spans="1:39" ht="24.75" customHeight="1" x14ac:dyDescent="0.25">
      <c r="A421" s="26"/>
      <c r="B421" s="151"/>
      <c r="C421" s="151"/>
      <c r="D421" s="151"/>
      <c r="E421" s="151"/>
      <c r="F421" s="151"/>
      <c r="G421" s="151"/>
      <c r="H421" s="151"/>
      <c r="I421" s="152"/>
      <c r="J421" s="151" t="s">
        <v>273</v>
      </c>
      <c r="K421" s="27"/>
      <c r="L421" s="31"/>
      <c r="M421" s="563" t="s">
        <v>322</v>
      </c>
      <c r="N421" s="564"/>
      <c r="O421" s="35"/>
      <c r="P421" s="28"/>
      <c r="Q421" s="28">
        <v>20400000</v>
      </c>
      <c r="R421" s="29">
        <f t="shared" ref="R421:R430" si="255">Q421/Q$420*100</f>
        <v>11.364396015776455</v>
      </c>
      <c r="S421" s="29">
        <v>100</v>
      </c>
      <c r="T421" s="28">
        <f t="shared" si="229"/>
        <v>0</v>
      </c>
      <c r="U421" s="28">
        <f t="shared" si="251"/>
        <v>0</v>
      </c>
      <c r="V421" s="87">
        <f t="shared" si="181"/>
        <v>100</v>
      </c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>
        <v>0</v>
      </c>
      <c r="AJ421" s="29">
        <f t="shared" si="227"/>
        <v>0</v>
      </c>
      <c r="AK421" s="136">
        <f t="shared" si="252"/>
        <v>20400000</v>
      </c>
      <c r="AL421" s="29">
        <f t="shared" si="228"/>
        <v>100</v>
      </c>
      <c r="AM421" s="26"/>
    </row>
    <row r="422" spans="1:39" ht="24.75" customHeight="1" x14ac:dyDescent="0.25">
      <c r="A422" s="26"/>
      <c r="B422" s="151"/>
      <c r="C422" s="151"/>
      <c r="D422" s="151"/>
      <c r="E422" s="151"/>
      <c r="F422" s="151"/>
      <c r="G422" s="151"/>
      <c r="H422" s="151"/>
      <c r="I422" s="152"/>
      <c r="J422" s="151" t="s">
        <v>323</v>
      </c>
      <c r="K422" s="27"/>
      <c r="L422" s="31"/>
      <c r="M422" s="563" t="s">
        <v>324</v>
      </c>
      <c r="N422" s="564"/>
      <c r="O422" s="35"/>
      <c r="P422" s="28"/>
      <c r="Q422" s="28">
        <v>8408000</v>
      </c>
      <c r="R422" s="29">
        <f t="shared" si="255"/>
        <v>4.6839138088553156</v>
      </c>
      <c r="S422" s="29">
        <v>100</v>
      </c>
      <c r="T422" s="28">
        <f t="shared" si="229"/>
        <v>0</v>
      </c>
      <c r="U422" s="28">
        <f t="shared" si="251"/>
        <v>0</v>
      </c>
      <c r="V422" s="87">
        <f t="shared" si="181"/>
        <v>100</v>
      </c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>
        <v>0</v>
      </c>
      <c r="AJ422" s="29">
        <f t="shared" si="227"/>
        <v>0</v>
      </c>
      <c r="AK422" s="136">
        <f t="shared" si="252"/>
        <v>8408000</v>
      </c>
      <c r="AL422" s="29">
        <f t="shared" si="228"/>
        <v>100</v>
      </c>
      <c r="AM422" s="26"/>
    </row>
    <row r="423" spans="1:39" ht="24.75" customHeight="1" x14ac:dyDescent="0.25">
      <c r="A423" s="26"/>
      <c r="B423" s="151"/>
      <c r="C423" s="151"/>
      <c r="D423" s="151"/>
      <c r="E423" s="151"/>
      <c r="F423" s="151"/>
      <c r="G423" s="151"/>
      <c r="H423" s="151"/>
      <c r="I423" s="152"/>
      <c r="J423" s="151" t="s">
        <v>417</v>
      </c>
      <c r="K423" s="27"/>
      <c r="L423" s="31"/>
      <c r="M423" s="563" t="s">
        <v>408</v>
      </c>
      <c r="N423" s="564"/>
      <c r="O423" s="35"/>
      <c r="P423" s="28"/>
      <c r="Q423" s="28">
        <v>3000000</v>
      </c>
      <c r="R423" s="29">
        <f t="shared" si="255"/>
        <v>1.6712347082024199</v>
      </c>
      <c r="S423" s="29">
        <v>101</v>
      </c>
      <c r="T423" s="28">
        <f t="shared" si="229"/>
        <v>0</v>
      </c>
      <c r="U423" s="28">
        <f t="shared" si="251"/>
        <v>0</v>
      </c>
      <c r="V423" s="87">
        <f t="shared" si="181"/>
        <v>101</v>
      </c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>
        <v>0</v>
      </c>
      <c r="AJ423" s="29">
        <f t="shared" si="227"/>
        <v>0</v>
      </c>
      <c r="AK423" s="136">
        <f t="shared" si="252"/>
        <v>3000000</v>
      </c>
      <c r="AL423" s="29">
        <f t="shared" si="228"/>
        <v>100</v>
      </c>
      <c r="AM423" s="26"/>
    </row>
    <row r="424" spans="1:39" ht="24.75" customHeight="1" x14ac:dyDescent="0.25">
      <c r="A424" s="26"/>
      <c r="B424" s="151"/>
      <c r="C424" s="151"/>
      <c r="D424" s="151"/>
      <c r="E424" s="151"/>
      <c r="F424" s="151"/>
      <c r="G424" s="151"/>
      <c r="H424" s="151"/>
      <c r="I424" s="152"/>
      <c r="J424" s="151" t="s">
        <v>315</v>
      </c>
      <c r="K424" s="27"/>
      <c r="L424" s="31"/>
      <c r="M424" s="563" t="s">
        <v>271</v>
      </c>
      <c r="N424" s="564"/>
      <c r="O424" s="35"/>
      <c r="P424" s="28"/>
      <c r="Q424" s="28">
        <v>4000000</v>
      </c>
      <c r="R424" s="29">
        <f t="shared" si="255"/>
        <v>2.2283129442698932</v>
      </c>
      <c r="S424" s="29">
        <v>100</v>
      </c>
      <c r="T424" s="28">
        <f t="shared" si="229"/>
        <v>0</v>
      </c>
      <c r="U424" s="28">
        <f t="shared" si="251"/>
        <v>0</v>
      </c>
      <c r="V424" s="87">
        <f t="shared" si="181"/>
        <v>100</v>
      </c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>
        <v>0</v>
      </c>
      <c r="AJ424" s="29">
        <f t="shared" si="227"/>
        <v>0</v>
      </c>
      <c r="AK424" s="136">
        <f t="shared" si="252"/>
        <v>4000000</v>
      </c>
      <c r="AL424" s="29">
        <f t="shared" si="228"/>
        <v>100</v>
      </c>
      <c r="AM424" s="26"/>
    </row>
    <row r="425" spans="1:39" ht="29.25" customHeight="1" x14ac:dyDescent="0.25">
      <c r="A425" s="26"/>
      <c r="B425" s="151"/>
      <c r="C425" s="151"/>
      <c r="D425" s="151"/>
      <c r="E425" s="151"/>
      <c r="F425" s="151"/>
      <c r="G425" s="151"/>
      <c r="H425" s="151"/>
      <c r="I425" s="152"/>
      <c r="J425" s="151" t="s">
        <v>328</v>
      </c>
      <c r="K425" s="27"/>
      <c r="L425" s="31"/>
      <c r="M425" s="563" t="s">
        <v>329</v>
      </c>
      <c r="N425" s="564"/>
      <c r="O425" s="35"/>
      <c r="P425" s="28"/>
      <c r="Q425" s="28">
        <v>26000000</v>
      </c>
      <c r="R425" s="29">
        <f t="shared" si="255"/>
        <v>14.484034137754307</v>
      </c>
      <c r="S425" s="29">
        <v>100</v>
      </c>
      <c r="T425" s="28">
        <f t="shared" si="229"/>
        <v>0</v>
      </c>
      <c r="U425" s="28">
        <f t="shared" si="251"/>
        <v>0</v>
      </c>
      <c r="V425" s="87">
        <f t="shared" si="181"/>
        <v>100</v>
      </c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>
        <v>0</v>
      </c>
      <c r="AJ425" s="29">
        <f t="shared" si="227"/>
        <v>0</v>
      </c>
      <c r="AK425" s="136">
        <f t="shared" si="252"/>
        <v>26000000</v>
      </c>
      <c r="AL425" s="29">
        <f t="shared" si="228"/>
        <v>100</v>
      </c>
      <c r="AM425" s="26"/>
    </row>
    <row r="426" spans="1:39" ht="24.75" customHeight="1" x14ac:dyDescent="0.25">
      <c r="A426" s="26"/>
      <c r="B426" s="151"/>
      <c r="C426" s="151"/>
      <c r="D426" s="151"/>
      <c r="E426" s="151"/>
      <c r="F426" s="151"/>
      <c r="G426" s="151"/>
      <c r="H426" s="151"/>
      <c r="I426" s="152"/>
      <c r="J426" s="151" t="s">
        <v>280</v>
      </c>
      <c r="K426" s="27"/>
      <c r="L426" s="31"/>
      <c r="M426" s="563" t="s">
        <v>281</v>
      </c>
      <c r="N426" s="564"/>
      <c r="O426" s="35"/>
      <c r="P426" s="28"/>
      <c r="Q426" s="28">
        <v>48500000</v>
      </c>
      <c r="R426" s="29">
        <f t="shared" si="255"/>
        <v>27.018294449272457</v>
      </c>
      <c r="S426" s="29">
        <v>100</v>
      </c>
      <c r="T426" s="28">
        <f t="shared" si="229"/>
        <v>0</v>
      </c>
      <c r="U426" s="28">
        <f t="shared" si="251"/>
        <v>0</v>
      </c>
      <c r="V426" s="87">
        <f t="shared" si="181"/>
        <v>100</v>
      </c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>
        <v>0</v>
      </c>
      <c r="AJ426" s="29">
        <f t="shared" si="227"/>
        <v>0</v>
      </c>
      <c r="AK426" s="136">
        <f t="shared" si="252"/>
        <v>48500000</v>
      </c>
      <c r="AL426" s="29">
        <f t="shared" si="228"/>
        <v>100</v>
      </c>
      <c r="AM426" s="26"/>
    </row>
    <row r="427" spans="1:39" ht="24.75" customHeight="1" x14ac:dyDescent="0.25">
      <c r="A427" s="26"/>
      <c r="B427" s="151"/>
      <c r="C427" s="151"/>
      <c r="D427" s="151"/>
      <c r="E427" s="151"/>
      <c r="F427" s="151"/>
      <c r="G427" s="151"/>
      <c r="H427" s="151"/>
      <c r="I427" s="152"/>
      <c r="J427" s="151" t="s">
        <v>284</v>
      </c>
      <c r="K427" s="27"/>
      <c r="L427" s="31"/>
      <c r="M427" s="563" t="s">
        <v>285</v>
      </c>
      <c r="N427" s="564"/>
      <c r="O427" s="35"/>
      <c r="P427" s="28"/>
      <c r="Q427" s="28">
        <v>10000000</v>
      </c>
      <c r="R427" s="29">
        <f t="shared" si="255"/>
        <v>5.5707823606747331</v>
      </c>
      <c r="S427" s="29">
        <v>100</v>
      </c>
      <c r="T427" s="28">
        <f t="shared" si="229"/>
        <v>0</v>
      </c>
      <c r="U427" s="28">
        <f t="shared" si="251"/>
        <v>0</v>
      </c>
      <c r="V427" s="87">
        <f t="shared" si="181"/>
        <v>100</v>
      </c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>
        <v>0</v>
      </c>
      <c r="AJ427" s="29">
        <f t="shared" si="227"/>
        <v>0</v>
      </c>
      <c r="AK427" s="136">
        <f t="shared" si="252"/>
        <v>10000000</v>
      </c>
      <c r="AL427" s="29">
        <f t="shared" si="228"/>
        <v>100</v>
      </c>
      <c r="AM427" s="26"/>
    </row>
    <row r="428" spans="1:39" ht="24.75" customHeight="1" x14ac:dyDescent="0.25">
      <c r="A428" s="26"/>
      <c r="B428" s="151"/>
      <c r="C428" s="151"/>
      <c r="D428" s="151"/>
      <c r="E428" s="151"/>
      <c r="F428" s="151"/>
      <c r="G428" s="151"/>
      <c r="H428" s="151"/>
      <c r="I428" s="152"/>
      <c r="J428" s="151" t="s">
        <v>282</v>
      </c>
      <c r="K428" s="27"/>
      <c r="L428" s="31"/>
      <c r="M428" s="563" t="s">
        <v>283</v>
      </c>
      <c r="N428" s="564"/>
      <c r="O428" s="35"/>
      <c r="P428" s="28"/>
      <c r="Q428" s="28">
        <v>10000000</v>
      </c>
      <c r="R428" s="29">
        <f t="shared" si="255"/>
        <v>5.5707823606747331</v>
      </c>
      <c r="S428" s="29">
        <v>100</v>
      </c>
      <c r="T428" s="28">
        <f t="shared" si="229"/>
        <v>0</v>
      </c>
      <c r="U428" s="28">
        <f t="shared" si="251"/>
        <v>0</v>
      </c>
      <c r="V428" s="87">
        <f t="shared" si="181"/>
        <v>100</v>
      </c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>
        <v>0</v>
      </c>
      <c r="AJ428" s="29">
        <f t="shared" si="227"/>
        <v>0</v>
      </c>
      <c r="AK428" s="136">
        <f t="shared" si="252"/>
        <v>10000000</v>
      </c>
      <c r="AL428" s="29">
        <f t="shared" si="228"/>
        <v>100</v>
      </c>
      <c r="AM428" s="26"/>
    </row>
    <row r="429" spans="1:39" ht="24.75" customHeight="1" x14ac:dyDescent="0.25">
      <c r="A429" s="26"/>
      <c r="B429" s="151"/>
      <c r="C429" s="151"/>
      <c r="D429" s="151"/>
      <c r="E429" s="151"/>
      <c r="F429" s="151"/>
      <c r="G429" s="151"/>
      <c r="H429" s="151"/>
      <c r="I429" s="152"/>
      <c r="J429" s="151" t="s">
        <v>309</v>
      </c>
      <c r="K429" s="27"/>
      <c r="L429" s="31"/>
      <c r="M429" s="563" t="s">
        <v>321</v>
      </c>
      <c r="N429" s="564"/>
      <c r="O429" s="35"/>
      <c r="P429" s="28"/>
      <c r="Q429" s="28">
        <v>39600000</v>
      </c>
      <c r="R429" s="29">
        <f t="shared" si="255"/>
        <v>22.060298148271944</v>
      </c>
      <c r="S429" s="29">
        <v>100</v>
      </c>
      <c r="T429" s="28">
        <f t="shared" si="229"/>
        <v>0</v>
      </c>
      <c r="U429" s="28">
        <f t="shared" si="251"/>
        <v>0</v>
      </c>
      <c r="V429" s="87">
        <f t="shared" si="181"/>
        <v>100</v>
      </c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>
        <v>0</v>
      </c>
      <c r="AJ429" s="29">
        <f t="shared" si="227"/>
        <v>0</v>
      </c>
      <c r="AK429" s="136">
        <f t="shared" si="252"/>
        <v>39600000</v>
      </c>
      <c r="AL429" s="29">
        <f t="shared" si="228"/>
        <v>100</v>
      </c>
      <c r="AM429" s="26"/>
    </row>
    <row r="430" spans="1:39" ht="24.75" customHeight="1" x14ac:dyDescent="0.25">
      <c r="A430" s="26"/>
      <c r="B430" s="151"/>
      <c r="C430" s="151"/>
      <c r="D430" s="151"/>
      <c r="E430" s="151"/>
      <c r="F430" s="151"/>
      <c r="G430" s="151"/>
      <c r="H430" s="151"/>
      <c r="I430" s="152"/>
      <c r="J430" s="151" t="s">
        <v>407</v>
      </c>
      <c r="K430" s="27"/>
      <c r="L430" s="31"/>
      <c r="M430" s="563" t="s">
        <v>414</v>
      </c>
      <c r="N430" s="564"/>
      <c r="O430" s="35"/>
      <c r="P430" s="28"/>
      <c r="Q430" s="28">
        <v>9600000</v>
      </c>
      <c r="R430" s="29">
        <f t="shared" si="255"/>
        <v>5.3479510662477434</v>
      </c>
      <c r="S430" s="29"/>
      <c r="T430" s="28">
        <f t="shared" si="229"/>
        <v>0</v>
      </c>
      <c r="U430" s="28">
        <f t="shared" si="251"/>
        <v>0</v>
      </c>
      <c r="V430" s="87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>
        <v>0</v>
      </c>
      <c r="AJ430" s="29">
        <f t="shared" si="227"/>
        <v>0</v>
      </c>
      <c r="AK430" s="136">
        <f t="shared" si="252"/>
        <v>9600000</v>
      </c>
      <c r="AL430" s="29">
        <f t="shared" si="228"/>
        <v>100</v>
      </c>
      <c r="AM430" s="26"/>
    </row>
    <row r="431" spans="1:39" s="41" customFormat="1" ht="24.75" customHeight="1" x14ac:dyDescent="0.25">
      <c r="A431" s="21">
        <f>A420+1</f>
        <v>51</v>
      </c>
      <c r="B431" s="543" t="s">
        <v>154</v>
      </c>
      <c r="C431" s="543"/>
      <c r="D431" s="543"/>
      <c r="E431" s="543"/>
      <c r="F431" s="543"/>
      <c r="G431" s="543"/>
      <c r="H431" s="543"/>
      <c r="I431" s="544"/>
      <c r="J431" s="122" t="s">
        <v>505</v>
      </c>
      <c r="K431" s="22"/>
      <c r="L431" s="72"/>
      <c r="M431" s="561" t="s">
        <v>54</v>
      </c>
      <c r="N431" s="561"/>
      <c r="O431" s="76">
        <v>255497500</v>
      </c>
      <c r="P431" s="23">
        <f>O431</f>
        <v>255497500</v>
      </c>
      <c r="Q431" s="23">
        <f>SUM(Q432:Q441)</f>
        <v>106707000</v>
      </c>
      <c r="R431" s="24" t="e">
        <f>Q431/Q$33*100</f>
        <v>#REF!</v>
      </c>
      <c r="S431" s="24">
        <v>100</v>
      </c>
      <c r="T431" s="23">
        <f t="shared" si="229"/>
        <v>0</v>
      </c>
      <c r="U431" s="23" t="e">
        <f t="shared" si="251"/>
        <v>#REF!</v>
      </c>
      <c r="V431" s="90">
        <f t="shared" si="181"/>
        <v>100</v>
      </c>
      <c r="W431" s="23"/>
      <c r="X431" s="23" t="e">
        <f>#REF!</f>
        <v>#REF!</v>
      </c>
      <c r="Y431" s="23" t="e">
        <f>#REF!</f>
        <v>#REF!</v>
      </c>
      <c r="Z431" s="23" t="e">
        <f>#REF!</f>
        <v>#REF!</v>
      </c>
      <c r="AA431" s="23" t="e">
        <f>#REF!</f>
        <v>#REF!</v>
      </c>
      <c r="AB431" s="23">
        <v>62640000</v>
      </c>
      <c r="AC431" s="23" t="e">
        <f>#REF!</f>
        <v>#REF!</v>
      </c>
      <c r="AD431" s="23" t="e">
        <f>#REF!</f>
        <v>#REF!</v>
      </c>
      <c r="AE431" s="23" t="e">
        <f>#REF!</f>
        <v>#REF!</v>
      </c>
      <c r="AF431" s="23" t="e">
        <f>[1]April!N74</f>
        <v>#REF!</v>
      </c>
      <c r="AG431" s="23" t="e">
        <f>[2]april!N74</f>
        <v>#REF!</v>
      </c>
      <c r="AH431" s="23">
        <f>'[3]DES SKPD'!$N74</f>
        <v>327019800</v>
      </c>
      <c r="AI431" s="23">
        <f>SUM(AI432:AI438)</f>
        <v>0</v>
      </c>
      <c r="AJ431" s="24">
        <f t="shared" si="227"/>
        <v>0</v>
      </c>
      <c r="AK431" s="134">
        <f t="shared" si="252"/>
        <v>106707000</v>
      </c>
      <c r="AL431" s="24">
        <f t="shared" si="228"/>
        <v>100</v>
      </c>
      <c r="AM431" s="21"/>
    </row>
    <row r="432" spans="1:39" ht="24.75" customHeight="1" x14ac:dyDescent="0.25">
      <c r="A432" s="26"/>
      <c r="B432" s="151"/>
      <c r="C432" s="151"/>
      <c r="D432" s="151"/>
      <c r="E432" s="151"/>
      <c r="F432" s="151"/>
      <c r="G432" s="151"/>
      <c r="H432" s="151"/>
      <c r="I432" s="152"/>
      <c r="J432" s="151" t="s">
        <v>257</v>
      </c>
      <c r="K432" s="27"/>
      <c r="L432" s="31"/>
      <c r="M432" s="559" t="s">
        <v>324</v>
      </c>
      <c r="N432" s="560"/>
      <c r="O432" s="35"/>
      <c r="P432" s="28"/>
      <c r="Q432" s="28">
        <v>27357000</v>
      </c>
      <c r="R432" s="29">
        <f>Q432/Q$431*100</f>
        <v>25.637493322837301</v>
      </c>
      <c r="S432" s="29">
        <v>100</v>
      </c>
      <c r="T432" s="28">
        <f t="shared" si="229"/>
        <v>0</v>
      </c>
      <c r="U432" s="28">
        <f t="shared" si="251"/>
        <v>0</v>
      </c>
      <c r="V432" s="87">
        <f t="shared" si="181"/>
        <v>100</v>
      </c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>
        <v>0</v>
      </c>
      <c r="AJ432" s="29">
        <f t="shared" si="227"/>
        <v>0</v>
      </c>
      <c r="AK432" s="136">
        <f t="shared" si="252"/>
        <v>27357000</v>
      </c>
      <c r="AL432" s="29">
        <f t="shared" si="228"/>
        <v>100</v>
      </c>
      <c r="AM432" s="26"/>
    </row>
    <row r="433" spans="1:39" ht="24.75" customHeight="1" x14ac:dyDescent="0.25">
      <c r="A433" s="26"/>
      <c r="B433" s="151"/>
      <c r="C433" s="151"/>
      <c r="D433" s="151"/>
      <c r="E433" s="151"/>
      <c r="F433" s="151"/>
      <c r="G433" s="151"/>
      <c r="H433" s="151"/>
      <c r="I433" s="152"/>
      <c r="J433" s="151" t="s">
        <v>269</v>
      </c>
      <c r="K433" s="27"/>
      <c r="L433" s="31"/>
      <c r="M433" s="559" t="s">
        <v>270</v>
      </c>
      <c r="N433" s="560"/>
      <c r="O433" s="35"/>
      <c r="P433" s="28"/>
      <c r="Q433" s="28">
        <v>4500000</v>
      </c>
      <c r="R433" s="29">
        <f t="shared" ref="R433:R441" si="256">Q433/Q$431*100</f>
        <v>4.2171553881188677</v>
      </c>
      <c r="S433" s="29">
        <v>100</v>
      </c>
      <c r="T433" s="28">
        <f t="shared" si="229"/>
        <v>0</v>
      </c>
      <c r="U433" s="28">
        <f t="shared" si="251"/>
        <v>0</v>
      </c>
      <c r="V433" s="87">
        <f t="shared" si="181"/>
        <v>100</v>
      </c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>
        <v>0</v>
      </c>
      <c r="AJ433" s="29">
        <f t="shared" si="227"/>
        <v>0</v>
      </c>
      <c r="AK433" s="136">
        <f t="shared" si="252"/>
        <v>4500000</v>
      </c>
      <c r="AL433" s="29">
        <f t="shared" si="228"/>
        <v>100</v>
      </c>
      <c r="AM433" s="26"/>
    </row>
    <row r="434" spans="1:39" ht="24.75" customHeight="1" x14ac:dyDescent="0.25">
      <c r="A434" s="26"/>
      <c r="B434" s="151"/>
      <c r="C434" s="151"/>
      <c r="D434" s="151"/>
      <c r="E434" s="151"/>
      <c r="F434" s="151"/>
      <c r="G434" s="151"/>
      <c r="H434" s="151"/>
      <c r="I434" s="152"/>
      <c r="J434" s="151" t="s">
        <v>315</v>
      </c>
      <c r="K434" s="27"/>
      <c r="L434" s="31"/>
      <c r="M434" s="559" t="s">
        <v>271</v>
      </c>
      <c r="N434" s="560"/>
      <c r="O434" s="35"/>
      <c r="P434" s="28"/>
      <c r="Q434" s="28">
        <v>1850000</v>
      </c>
      <c r="R434" s="29">
        <f t="shared" si="256"/>
        <v>1.7337194373377565</v>
      </c>
      <c r="S434" s="29">
        <v>100</v>
      </c>
      <c r="T434" s="28">
        <f t="shared" si="229"/>
        <v>0</v>
      </c>
      <c r="U434" s="28">
        <f t="shared" si="251"/>
        <v>0</v>
      </c>
      <c r="V434" s="87">
        <f t="shared" si="181"/>
        <v>100</v>
      </c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>
        <v>0</v>
      </c>
      <c r="AJ434" s="29">
        <f t="shared" si="227"/>
        <v>0</v>
      </c>
      <c r="AK434" s="136">
        <f t="shared" si="252"/>
        <v>1850000</v>
      </c>
      <c r="AL434" s="29">
        <f t="shared" si="228"/>
        <v>100</v>
      </c>
      <c r="AM434" s="26"/>
    </row>
    <row r="435" spans="1:39" ht="24.75" customHeight="1" x14ac:dyDescent="0.25">
      <c r="A435" s="26"/>
      <c r="B435" s="151"/>
      <c r="C435" s="151"/>
      <c r="D435" s="151"/>
      <c r="E435" s="151"/>
      <c r="F435" s="151"/>
      <c r="G435" s="151"/>
      <c r="H435" s="151"/>
      <c r="I435" s="152"/>
      <c r="J435" s="151" t="s">
        <v>328</v>
      </c>
      <c r="K435" s="27"/>
      <c r="L435" s="31"/>
      <c r="M435" s="559" t="s">
        <v>612</v>
      </c>
      <c r="N435" s="560"/>
      <c r="O435" s="35"/>
      <c r="P435" s="28"/>
      <c r="Q435" s="28">
        <v>500000</v>
      </c>
      <c r="R435" s="29">
        <f t="shared" si="256"/>
        <v>0.4685728209020964</v>
      </c>
      <c r="S435" s="29">
        <v>100</v>
      </c>
      <c r="T435" s="28">
        <f t="shared" si="229"/>
        <v>0</v>
      </c>
      <c r="U435" s="28">
        <f t="shared" si="251"/>
        <v>0</v>
      </c>
      <c r="V435" s="87">
        <f t="shared" si="181"/>
        <v>100</v>
      </c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>
        <v>0</v>
      </c>
      <c r="AJ435" s="29">
        <f t="shared" si="227"/>
        <v>0</v>
      </c>
      <c r="AK435" s="136">
        <f t="shared" si="252"/>
        <v>500000</v>
      </c>
      <c r="AL435" s="29">
        <f t="shared" si="228"/>
        <v>100</v>
      </c>
      <c r="AM435" s="26"/>
    </row>
    <row r="436" spans="1:39" ht="29.25" customHeight="1" x14ac:dyDescent="0.25">
      <c r="A436" s="26"/>
      <c r="B436" s="151"/>
      <c r="C436" s="151"/>
      <c r="D436" s="151"/>
      <c r="E436" s="151"/>
      <c r="F436" s="151"/>
      <c r="G436" s="151"/>
      <c r="H436" s="151"/>
      <c r="I436" s="152"/>
      <c r="J436" s="151" t="s">
        <v>339</v>
      </c>
      <c r="K436" s="27"/>
      <c r="L436" s="31"/>
      <c r="M436" s="559" t="s">
        <v>613</v>
      </c>
      <c r="N436" s="560"/>
      <c r="O436" s="35"/>
      <c r="P436" s="28"/>
      <c r="Q436" s="28">
        <v>9400000</v>
      </c>
      <c r="R436" s="29">
        <f t="shared" si="256"/>
        <v>8.8091690329594119</v>
      </c>
      <c r="S436" s="29">
        <v>100</v>
      </c>
      <c r="T436" s="28">
        <f t="shared" si="229"/>
        <v>0</v>
      </c>
      <c r="U436" s="28">
        <f t="shared" si="251"/>
        <v>0</v>
      </c>
      <c r="V436" s="87">
        <f t="shared" si="181"/>
        <v>100</v>
      </c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>
        <v>0</v>
      </c>
      <c r="AJ436" s="29">
        <f t="shared" si="227"/>
        <v>0</v>
      </c>
      <c r="AK436" s="136">
        <f t="shared" si="252"/>
        <v>9400000</v>
      </c>
      <c r="AL436" s="29">
        <f t="shared" si="228"/>
        <v>100</v>
      </c>
      <c r="AM436" s="26"/>
    </row>
    <row r="437" spans="1:39" ht="24.75" customHeight="1" x14ac:dyDescent="0.25">
      <c r="A437" s="26"/>
      <c r="B437" s="151"/>
      <c r="C437" s="151"/>
      <c r="D437" s="151"/>
      <c r="E437" s="151"/>
      <c r="F437" s="151"/>
      <c r="G437" s="151"/>
      <c r="H437" s="151"/>
      <c r="I437" s="152"/>
      <c r="J437" s="151" t="s">
        <v>284</v>
      </c>
      <c r="K437" s="27"/>
      <c r="L437" s="31"/>
      <c r="M437" s="559" t="s">
        <v>319</v>
      </c>
      <c r="N437" s="560"/>
      <c r="O437" s="35"/>
      <c r="P437" s="28"/>
      <c r="Q437" s="28">
        <v>24500000</v>
      </c>
      <c r="R437" s="29">
        <f t="shared" si="256"/>
        <v>22.960068224202722</v>
      </c>
      <c r="S437" s="29">
        <v>100</v>
      </c>
      <c r="T437" s="28">
        <f t="shared" si="229"/>
        <v>0</v>
      </c>
      <c r="U437" s="28">
        <f t="shared" si="251"/>
        <v>0</v>
      </c>
      <c r="V437" s="87">
        <f t="shared" si="181"/>
        <v>100</v>
      </c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>
        <v>0</v>
      </c>
      <c r="AJ437" s="29">
        <f t="shared" si="227"/>
        <v>0</v>
      </c>
      <c r="AK437" s="136">
        <f t="shared" si="252"/>
        <v>24500000</v>
      </c>
      <c r="AL437" s="29">
        <f t="shared" si="228"/>
        <v>100</v>
      </c>
      <c r="AM437" s="26"/>
    </row>
    <row r="438" spans="1:39" ht="24.75" customHeight="1" x14ac:dyDescent="0.25">
      <c r="A438" s="26"/>
      <c r="B438" s="151"/>
      <c r="C438" s="151"/>
      <c r="D438" s="151"/>
      <c r="E438" s="151"/>
      <c r="F438" s="151"/>
      <c r="G438" s="151"/>
      <c r="H438" s="151"/>
      <c r="I438" s="152"/>
      <c r="J438" s="151" t="s">
        <v>282</v>
      </c>
      <c r="K438" s="27"/>
      <c r="L438" s="31"/>
      <c r="M438" s="559" t="s">
        <v>585</v>
      </c>
      <c r="N438" s="560"/>
      <c r="O438" s="35"/>
      <c r="P438" s="28"/>
      <c r="Q438" s="28">
        <v>2500000</v>
      </c>
      <c r="R438" s="29">
        <f t="shared" si="256"/>
        <v>2.3428641045104821</v>
      </c>
      <c r="S438" s="29">
        <v>100</v>
      </c>
      <c r="T438" s="28">
        <f t="shared" si="229"/>
        <v>0</v>
      </c>
      <c r="U438" s="28">
        <f t="shared" si="251"/>
        <v>0</v>
      </c>
      <c r="V438" s="87">
        <f t="shared" si="181"/>
        <v>100</v>
      </c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>
        <v>0</v>
      </c>
      <c r="AJ438" s="29">
        <f t="shared" si="227"/>
        <v>0</v>
      </c>
      <c r="AK438" s="136">
        <f t="shared" si="252"/>
        <v>2500000</v>
      </c>
      <c r="AL438" s="29">
        <f t="shared" si="228"/>
        <v>100</v>
      </c>
      <c r="AM438" s="26"/>
    </row>
    <row r="439" spans="1:39" ht="24.75" customHeight="1" x14ac:dyDescent="0.25">
      <c r="A439" s="26"/>
      <c r="B439" s="176"/>
      <c r="C439" s="176"/>
      <c r="D439" s="176"/>
      <c r="E439" s="176"/>
      <c r="F439" s="176"/>
      <c r="G439" s="176"/>
      <c r="H439" s="176"/>
      <c r="I439" s="177"/>
      <c r="J439" s="176" t="s">
        <v>282</v>
      </c>
      <c r="K439" s="27"/>
      <c r="L439" s="31"/>
      <c r="M439" s="559" t="s">
        <v>503</v>
      </c>
      <c r="N439" s="560"/>
      <c r="O439" s="35"/>
      <c r="P439" s="28"/>
      <c r="Q439" s="28">
        <v>23900000</v>
      </c>
      <c r="R439" s="29">
        <f t="shared" si="256"/>
        <v>22.397780839120209</v>
      </c>
      <c r="S439" s="29">
        <v>100</v>
      </c>
      <c r="T439" s="28">
        <f t="shared" ref="T439" si="257">AJ439</f>
        <v>0</v>
      </c>
      <c r="U439" s="28">
        <f t="shared" ref="U439" si="258">R439*T439/100</f>
        <v>0</v>
      </c>
      <c r="V439" s="87">
        <f t="shared" ref="V439" si="259">S439-T439</f>
        <v>100</v>
      </c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>
        <v>0</v>
      </c>
      <c r="AJ439" s="29">
        <f t="shared" ref="AJ439" si="260">AI439/Q439*100</f>
        <v>0</v>
      </c>
      <c r="AK439" s="136">
        <f t="shared" ref="AK439" si="261">Q439-AI439</f>
        <v>23900000</v>
      </c>
      <c r="AL439" s="29">
        <f t="shared" ref="AL439" si="262">AK439/Q439*100</f>
        <v>100</v>
      </c>
      <c r="AM439" s="26"/>
    </row>
    <row r="440" spans="1:39" ht="24.75" customHeight="1" x14ac:dyDescent="0.25">
      <c r="A440" s="26"/>
      <c r="B440" s="176"/>
      <c r="C440" s="176"/>
      <c r="D440" s="176"/>
      <c r="E440" s="176"/>
      <c r="F440" s="176"/>
      <c r="G440" s="176"/>
      <c r="H440" s="176"/>
      <c r="I440" s="177"/>
      <c r="J440" s="176" t="s">
        <v>320</v>
      </c>
      <c r="K440" s="27"/>
      <c r="L440" s="31"/>
      <c r="M440" s="559" t="s">
        <v>321</v>
      </c>
      <c r="N440" s="560"/>
      <c r="O440" s="35"/>
      <c r="P440" s="28"/>
      <c r="Q440" s="28">
        <v>7400000</v>
      </c>
      <c r="R440" s="29">
        <f t="shared" si="256"/>
        <v>6.9348777493510259</v>
      </c>
      <c r="S440" s="29">
        <v>100</v>
      </c>
      <c r="T440" s="28">
        <f t="shared" ref="T440" si="263">AJ440</f>
        <v>0</v>
      </c>
      <c r="U440" s="28">
        <f t="shared" ref="U440" si="264">R440*T440/100</f>
        <v>0</v>
      </c>
      <c r="V440" s="87">
        <f t="shared" ref="V440" si="265">S440-T440</f>
        <v>100</v>
      </c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>
        <v>0</v>
      </c>
      <c r="AJ440" s="29">
        <f t="shared" ref="AJ440" si="266">AI440/Q440*100</f>
        <v>0</v>
      </c>
      <c r="AK440" s="136">
        <f t="shared" ref="AK440" si="267">Q440-AI440</f>
        <v>7400000</v>
      </c>
      <c r="AL440" s="29">
        <f t="shared" ref="AL440" si="268">AK440/Q440*100</f>
        <v>100</v>
      </c>
      <c r="AM440" s="26"/>
    </row>
    <row r="441" spans="1:39" ht="24.75" customHeight="1" x14ac:dyDescent="0.25">
      <c r="A441" s="26"/>
      <c r="B441" s="176"/>
      <c r="C441" s="176"/>
      <c r="D441" s="176"/>
      <c r="E441" s="176"/>
      <c r="F441" s="176"/>
      <c r="G441" s="176"/>
      <c r="H441" s="176"/>
      <c r="I441" s="177"/>
      <c r="J441" s="176" t="s">
        <v>407</v>
      </c>
      <c r="K441" s="27"/>
      <c r="L441" s="31"/>
      <c r="M441" s="559" t="s">
        <v>614</v>
      </c>
      <c r="N441" s="560"/>
      <c r="O441" s="35"/>
      <c r="P441" s="28"/>
      <c r="Q441" s="28">
        <v>4800000</v>
      </c>
      <c r="R441" s="29">
        <f t="shared" si="256"/>
        <v>4.4982990806601251</v>
      </c>
      <c r="S441" s="29">
        <v>100</v>
      </c>
      <c r="T441" s="28">
        <f t="shared" ref="T441" si="269">AJ441</f>
        <v>0</v>
      </c>
      <c r="U441" s="28">
        <f t="shared" ref="U441" si="270">R441*T441/100</f>
        <v>0</v>
      </c>
      <c r="V441" s="87">
        <f t="shared" ref="V441" si="271">S441-T441</f>
        <v>100</v>
      </c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>
        <v>0</v>
      </c>
      <c r="AJ441" s="29">
        <f t="shared" ref="AJ441" si="272">AI441/Q441*100</f>
        <v>0</v>
      </c>
      <c r="AK441" s="136">
        <f t="shared" ref="AK441" si="273">Q441-AI441</f>
        <v>4800000</v>
      </c>
      <c r="AL441" s="29">
        <f t="shared" ref="AL441" si="274">AK441/Q441*100</f>
        <v>100</v>
      </c>
      <c r="AM441" s="26"/>
    </row>
    <row r="442" spans="1:39" s="41" customFormat="1" ht="28.5" customHeight="1" x14ac:dyDescent="0.25">
      <c r="A442" s="21">
        <f>A431+1</f>
        <v>52</v>
      </c>
      <c r="B442" s="590" t="s">
        <v>155</v>
      </c>
      <c r="C442" s="543"/>
      <c r="D442" s="543"/>
      <c r="E442" s="543"/>
      <c r="F442" s="543"/>
      <c r="G442" s="543"/>
      <c r="H442" s="543"/>
      <c r="I442" s="544"/>
      <c r="J442" s="122" t="s">
        <v>506</v>
      </c>
      <c r="K442" s="22"/>
      <c r="L442" s="72"/>
      <c r="M442" s="566" t="s">
        <v>55</v>
      </c>
      <c r="N442" s="567"/>
      <c r="O442" s="76">
        <v>589234000</v>
      </c>
      <c r="P442" s="23">
        <f>O442</f>
        <v>589234000</v>
      </c>
      <c r="Q442" s="23">
        <f>SUM(Q443:Q451)</f>
        <v>131960000</v>
      </c>
      <c r="R442" s="24" t="e">
        <f>Q442/Q$243*100</f>
        <v>#REF!</v>
      </c>
      <c r="S442" s="24">
        <v>100</v>
      </c>
      <c r="T442" s="23">
        <f t="shared" si="229"/>
        <v>0</v>
      </c>
      <c r="U442" s="23" t="e">
        <f t="shared" si="251"/>
        <v>#REF!</v>
      </c>
      <c r="V442" s="90">
        <f t="shared" si="181"/>
        <v>100</v>
      </c>
      <c r="W442" s="23"/>
      <c r="X442" s="23" t="e">
        <f>#REF!</f>
        <v>#REF!</v>
      </c>
      <c r="Y442" s="23" t="e">
        <f>#REF!</f>
        <v>#REF!</v>
      </c>
      <c r="Z442" s="23" t="e">
        <f>#REF!</f>
        <v>#REF!</v>
      </c>
      <c r="AA442" s="23" t="e">
        <f>#REF!</f>
        <v>#REF!</v>
      </c>
      <c r="AB442" s="23">
        <v>371113894</v>
      </c>
      <c r="AC442" s="23" t="e">
        <f>#REF!</f>
        <v>#REF!</v>
      </c>
      <c r="AD442" s="23" t="e">
        <f>#REF!</f>
        <v>#REF!</v>
      </c>
      <c r="AE442" s="23" t="e">
        <f>#REF!</f>
        <v>#REF!</v>
      </c>
      <c r="AF442" s="23" t="e">
        <f>[1]April!N75</f>
        <v>#REF!</v>
      </c>
      <c r="AG442" s="23" t="e">
        <f>[2]april!N75</f>
        <v>#REF!</v>
      </c>
      <c r="AH442" s="23">
        <f>'[3]DES SKPD'!$N75</f>
        <v>574563894</v>
      </c>
      <c r="AI442" s="23">
        <f>SUM(AI443:AI450)</f>
        <v>0</v>
      </c>
      <c r="AJ442" s="24">
        <f t="shared" ref="AJ442:AJ492" si="275">AI442/Q442*100</f>
        <v>0</v>
      </c>
      <c r="AK442" s="134">
        <f t="shared" si="252"/>
        <v>131960000</v>
      </c>
      <c r="AL442" s="24">
        <f t="shared" ref="AL442:AL466" si="276">AK442/Q442*100</f>
        <v>100</v>
      </c>
      <c r="AM442" s="21"/>
    </row>
    <row r="443" spans="1:39" ht="24.75" customHeight="1" x14ac:dyDescent="0.25">
      <c r="A443" s="26"/>
      <c r="B443" s="151"/>
      <c r="C443" s="151"/>
      <c r="D443" s="151"/>
      <c r="E443" s="151"/>
      <c r="F443" s="151"/>
      <c r="G443" s="151"/>
      <c r="H443" s="151"/>
      <c r="I443" s="152"/>
      <c r="J443" s="151" t="s">
        <v>259</v>
      </c>
      <c r="K443" s="27"/>
      <c r="L443" s="31"/>
      <c r="M443" s="563" t="s">
        <v>260</v>
      </c>
      <c r="N443" s="564"/>
      <c r="O443" s="35"/>
      <c r="P443" s="28"/>
      <c r="Q443" s="28">
        <v>1540000</v>
      </c>
      <c r="R443" s="29">
        <f t="shared" ref="R443:R451" si="277">Q443/Q$442*100</f>
        <v>1.1670203091846014</v>
      </c>
      <c r="S443" s="29">
        <v>100</v>
      </c>
      <c r="T443" s="28">
        <f t="shared" si="229"/>
        <v>0</v>
      </c>
      <c r="U443" s="28">
        <f t="shared" si="251"/>
        <v>0</v>
      </c>
      <c r="V443" s="87">
        <f t="shared" si="181"/>
        <v>100</v>
      </c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>
        <v>0</v>
      </c>
      <c r="AJ443" s="29">
        <f t="shared" si="275"/>
        <v>0</v>
      </c>
      <c r="AK443" s="136">
        <f t="shared" si="252"/>
        <v>1540000</v>
      </c>
      <c r="AL443" s="29">
        <f t="shared" si="276"/>
        <v>100</v>
      </c>
      <c r="AM443" s="26"/>
    </row>
    <row r="444" spans="1:39" ht="39" customHeight="1" x14ac:dyDescent="0.25">
      <c r="A444" s="26"/>
      <c r="B444" s="151"/>
      <c r="C444" s="151"/>
      <c r="D444" s="151"/>
      <c r="E444" s="151"/>
      <c r="F444" s="151"/>
      <c r="G444" s="151"/>
      <c r="H444" s="151"/>
      <c r="I444" s="152"/>
      <c r="J444" s="151" t="s">
        <v>345</v>
      </c>
      <c r="K444" s="27"/>
      <c r="L444" s="31"/>
      <c r="M444" s="563" t="s">
        <v>346</v>
      </c>
      <c r="N444" s="564"/>
      <c r="O444" s="35"/>
      <c r="P444" s="28"/>
      <c r="Q444" s="28">
        <v>1400000</v>
      </c>
      <c r="R444" s="29">
        <f t="shared" si="277"/>
        <v>1.0609275538041831</v>
      </c>
      <c r="S444" s="29">
        <v>100</v>
      </c>
      <c r="T444" s="28">
        <f t="shared" si="229"/>
        <v>0</v>
      </c>
      <c r="U444" s="28">
        <f t="shared" si="251"/>
        <v>0</v>
      </c>
      <c r="V444" s="87">
        <f t="shared" si="181"/>
        <v>100</v>
      </c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>
        <v>0</v>
      </c>
      <c r="AJ444" s="29">
        <f t="shared" si="275"/>
        <v>0</v>
      </c>
      <c r="AK444" s="136">
        <f t="shared" si="252"/>
        <v>1400000</v>
      </c>
      <c r="AL444" s="29">
        <f t="shared" si="276"/>
        <v>100</v>
      </c>
      <c r="AM444" s="26"/>
    </row>
    <row r="445" spans="1:39" ht="24.75" customHeight="1" x14ac:dyDescent="0.25">
      <c r="A445" s="26"/>
      <c r="B445" s="151"/>
      <c r="C445" s="151"/>
      <c r="D445" s="151"/>
      <c r="E445" s="151"/>
      <c r="F445" s="151"/>
      <c r="G445" s="151"/>
      <c r="H445" s="151"/>
      <c r="I445" s="152"/>
      <c r="J445" s="151" t="s">
        <v>315</v>
      </c>
      <c r="K445" s="27"/>
      <c r="L445" s="31"/>
      <c r="M445" s="563" t="s">
        <v>271</v>
      </c>
      <c r="N445" s="564"/>
      <c r="O445" s="35"/>
      <c r="P445" s="28"/>
      <c r="Q445" s="28">
        <v>3400000</v>
      </c>
      <c r="R445" s="29">
        <f t="shared" si="277"/>
        <v>2.5765383449530157</v>
      </c>
      <c r="S445" s="29">
        <v>100</v>
      </c>
      <c r="T445" s="28">
        <f t="shared" si="229"/>
        <v>0</v>
      </c>
      <c r="U445" s="28">
        <f t="shared" si="251"/>
        <v>0</v>
      </c>
      <c r="V445" s="87">
        <f t="shared" si="181"/>
        <v>100</v>
      </c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>
        <v>0</v>
      </c>
      <c r="AJ445" s="29">
        <f t="shared" si="275"/>
        <v>0</v>
      </c>
      <c r="AK445" s="136">
        <f t="shared" si="252"/>
        <v>3400000</v>
      </c>
      <c r="AL445" s="29">
        <f t="shared" si="276"/>
        <v>100</v>
      </c>
      <c r="AM445" s="26"/>
    </row>
    <row r="446" spans="1:39" ht="27.75" customHeight="1" x14ac:dyDescent="0.25">
      <c r="A446" s="26"/>
      <c r="B446" s="151"/>
      <c r="C446" s="151"/>
      <c r="D446" s="151"/>
      <c r="E446" s="151"/>
      <c r="F446" s="151"/>
      <c r="G446" s="151"/>
      <c r="H446" s="151"/>
      <c r="I446" s="152"/>
      <c r="J446" s="151" t="s">
        <v>318</v>
      </c>
      <c r="K446" s="27"/>
      <c r="L446" s="31"/>
      <c r="M446" s="563" t="s">
        <v>319</v>
      </c>
      <c r="N446" s="564"/>
      <c r="O446" s="35"/>
      <c r="P446" s="28"/>
      <c r="Q446" s="28">
        <v>64800000</v>
      </c>
      <c r="R446" s="29">
        <f t="shared" si="277"/>
        <v>49.105789633222194</v>
      </c>
      <c r="S446" s="29">
        <v>100</v>
      </c>
      <c r="T446" s="28">
        <f t="shared" si="229"/>
        <v>0</v>
      </c>
      <c r="U446" s="28">
        <f t="shared" si="251"/>
        <v>0</v>
      </c>
      <c r="V446" s="87">
        <f t="shared" si="181"/>
        <v>100</v>
      </c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>
        <v>0</v>
      </c>
      <c r="AJ446" s="29">
        <f t="shared" si="275"/>
        <v>0</v>
      </c>
      <c r="AK446" s="136">
        <f t="shared" si="252"/>
        <v>64800000</v>
      </c>
      <c r="AL446" s="29">
        <f t="shared" si="276"/>
        <v>100</v>
      </c>
      <c r="AM446" s="26"/>
    </row>
    <row r="447" spans="1:39" ht="24.75" customHeight="1" x14ac:dyDescent="0.25">
      <c r="A447" s="26"/>
      <c r="B447" s="151"/>
      <c r="C447" s="151"/>
      <c r="D447" s="151"/>
      <c r="E447" s="151"/>
      <c r="F447" s="151"/>
      <c r="G447" s="151"/>
      <c r="H447" s="151"/>
      <c r="I447" s="152"/>
      <c r="J447" s="151" t="s">
        <v>330</v>
      </c>
      <c r="K447" s="27"/>
      <c r="L447" s="31"/>
      <c r="M447" s="563" t="s">
        <v>331</v>
      </c>
      <c r="N447" s="564"/>
      <c r="O447" s="35"/>
      <c r="P447" s="28"/>
      <c r="Q447" s="28">
        <v>12000000</v>
      </c>
      <c r="R447" s="29">
        <f t="shared" si="277"/>
        <v>9.0936647468929976</v>
      </c>
      <c r="S447" s="29">
        <v>100</v>
      </c>
      <c r="T447" s="28">
        <f t="shared" si="229"/>
        <v>0</v>
      </c>
      <c r="U447" s="28">
        <f t="shared" si="251"/>
        <v>0</v>
      </c>
      <c r="V447" s="87">
        <f t="shared" si="181"/>
        <v>100</v>
      </c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>
        <v>0</v>
      </c>
      <c r="AJ447" s="29">
        <f t="shared" si="275"/>
        <v>0</v>
      </c>
      <c r="AK447" s="136">
        <f t="shared" si="252"/>
        <v>12000000</v>
      </c>
      <c r="AL447" s="29">
        <f t="shared" si="276"/>
        <v>100</v>
      </c>
      <c r="AM447" s="26"/>
    </row>
    <row r="448" spans="1:39" ht="24.75" customHeight="1" x14ac:dyDescent="0.25">
      <c r="A448" s="26"/>
      <c r="B448" s="151"/>
      <c r="C448" s="151"/>
      <c r="D448" s="151"/>
      <c r="E448" s="151"/>
      <c r="F448" s="151"/>
      <c r="G448" s="151"/>
      <c r="H448" s="151"/>
      <c r="I448" s="152"/>
      <c r="J448" s="176" t="s">
        <v>284</v>
      </c>
      <c r="K448" s="27"/>
      <c r="L448" s="31"/>
      <c r="M448" s="563" t="s">
        <v>585</v>
      </c>
      <c r="N448" s="564"/>
      <c r="O448" s="35"/>
      <c r="P448" s="28"/>
      <c r="Q448" s="28">
        <v>300000</v>
      </c>
      <c r="R448" s="29">
        <f t="shared" si="277"/>
        <v>0.22734161867232497</v>
      </c>
      <c r="S448" s="29">
        <v>100</v>
      </c>
      <c r="T448" s="28">
        <f t="shared" si="229"/>
        <v>0</v>
      </c>
      <c r="U448" s="28">
        <f t="shared" si="251"/>
        <v>0</v>
      </c>
      <c r="V448" s="87">
        <f t="shared" si="181"/>
        <v>100</v>
      </c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>
        <v>0</v>
      </c>
      <c r="AJ448" s="29">
        <f t="shared" si="275"/>
        <v>0</v>
      </c>
      <c r="AK448" s="136">
        <f t="shared" si="252"/>
        <v>300000</v>
      </c>
      <c r="AL448" s="29">
        <f t="shared" si="276"/>
        <v>100</v>
      </c>
      <c r="AM448" s="26"/>
    </row>
    <row r="449" spans="1:39" ht="24.75" customHeight="1" x14ac:dyDescent="0.25">
      <c r="A449" s="26"/>
      <c r="B449" s="176"/>
      <c r="C449" s="176"/>
      <c r="D449" s="176"/>
      <c r="E449" s="176"/>
      <c r="F449" s="176"/>
      <c r="G449" s="176"/>
      <c r="H449" s="176"/>
      <c r="I449" s="177"/>
      <c r="J449" s="176" t="s">
        <v>282</v>
      </c>
      <c r="K449" s="27"/>
      <c r="L449" s="31"/>
      <c r="M449" s="563" t="s">
        <v>503</v>
      </c>
      <c r="N449" s="564"/>
      <c r="O449" s="35"/>
      <c r="P449" s="28"/>
      <c r="Q449" s="28">
        <v>26720000</v>
      </c>
      <c r="R449" s="29">
        <f t="shared" si="277"/>
        <v>20.248560169748409</v>
      </c>
      <c r="S449" s="29">
        <v>100</v>
      </c>
      <c r="T449" s="28">
        <f t="shared" ref="T449" si="278">AJ449</f>
        <v>0</v>
      </c>
      <c r="U449" s="28">
        <f t="shared" ref="U449" si="279">R449*T449/100</f>
        <v>0</v>
      </c>
      <c r="V449" s="87">
        <f t="shared" ref="V449" si="280">S449-T449</f>
        <v>100</v>
      </c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>
        <v>0</v>
      </c>
      <c r="AJ449" s="29">
        <f t="shared" ref="AJ449" si="281">AI449/Q449*100</f>
        <v>0</v>
      </c>
      <c r="AK449" s="136">
        <f t="shared" ref="AK449" si="282">Q449-AI449</f>
        <v>26720000</v>
      </c>
      <c r="AL449" s="29">
        <f t="shared" ref="AL449" si="283">AK449/Q449*100</f>
        <v>100</v>
      </c>
      <c r="AM449" s="26"/>
    </row>
    <row r="450" spans="1:39" ht="24.75" customHeight="1" x14ac:dyDescent="0.25">
      <c r="A450" s="26"/>
      <c r="B450" s="151"/>
      <c r="C450" s="151"/>
      <c r="D450" s="151"/>
      <c r="E450" s="151"/>
      <c r="F450" s="151"/>
      <c r="G450" s="151"/>
      <c r="H450" s="151"/>
      <c r="I450" s="152"/>
      <c r="J450" s="151" t="s">
        <v>320</v>
      </c>
      <c r="K450" s="27"/>
      <c r="L450" s="31"/>
      <c r="M450" s="563" t="s">
        <v>321</v>
      </c>
      <c r="N450" s="564"/>
      <c r="O450" s="35"/>
      <c r="P450" s="28"/>
      <c r="Q450" s="28">
        <v>13800000</v>
      </c>
      <c r="R450" s="29">
        <f t="shared" si="277"/>
        <v>10.457714458926947</v>
      </c>
      <c r="S450" s="29">
        <v>100</v>
      </c>
      <c r="T450" s="28">
        <f t="shared" si="229"/>
        <v>0</v>
      </c>
      <c r="U450" s="28">
        <f t="shared" si="251"/>
        <v>0</v>
      </c>
      <c r="V450" s="87">
        <f t="shared" si="181"/>
        <v>100</v>
      </c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>
        <v>0</v>
      </c>
      <c r="AJ450" s="29">
        <f t="shared" si="275"/>
        <v>0</v>
      </c>
      <c r="AK450" s="136">
        <f t="shared" si="252"/>
        <v>13800000</v>
      </c>
      <c r="AL450" s="29">
        <f t="shared" si="276"/>
        <v>100</v>
      </c>
      <c r="AM450" s="26"/>
    </row>
    <row r="451" spans="1:39" ht="24.75" customHeight="1" x14ac:dyDescent="0.25">
      <c r="A451" s="26"/>
      <c r="B451" s="151"/>
      <c r="C451" s="151"/>
      <c r="D451" s="151"/>
      <c r="E451" s="151"/>
      <c r="F451" s="151"/>
      <c r="G451" s="151"/>
      <c r="H451" s="151"/>
      <c r="I451" s="152"/>
      <c r="J451" s="151" t="s">
        <v>407</v>
      </c>
      <c r="K451" s="27"/>
      <c r="L451" s="31"/>
      <c r="M451" s="563" t="s">
        <v>414</v>
      </c>
      <c r="N451" s="564"/>
      <c r="O451" s="35"/>
      <c r="P451" s="28"/>
      <c r="Q451" s="28">
        <v>8000000</v>
      </c>
      <c r="R451" s="29">
        <f t="shared" si="277"/>
        <v>6.0624431645953321</v>
      </c>
      <c r="S451" s="29"/>
      <c r="T451" s="28">
        <f t="shared" si="229"/>
        <v>0</v>
      </c>
      <c r="U451" s="28">
        <f t="shared" si="251"/>
        <v>0</v>
      </c>
      <c r="V451" s="87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>
        <v>0</v>
      </c>
      <c r="AJ451" s="29">
        <f t="shared" si="275"/>
        <v>0</v>
      </c>
      <c r="AK451" s="136">
        <f t="shared" si="252"/>
        <v>8000000</v>
      </c>
      <c r="AL451" s="29">
        <f t="shared" si="276"/>
        <v>100</v>
      </c>
      <c r="AM451" s="26"/>
    </row>
    <row r="452" spans="1:39" s="41" customFormat="1" ht="30" customHeight="1" x14ac:dyDescent="0.25">
      <c r="A452" s="21">
        <f>A442+1</f>
        <v>53</v>
      </c>
      <c r="B452" s="543" t="s">
        <v>156</v>
      </c>
      <c r="C452" s="543"/>
      <c r="D452" s="543"/>
      <c r="E452" s="543"/>
      <c r="F452" s="543"/>
      <c r="G452" s="543"/>
      <c r="H452" s="543"/>
      <c r="I452" s="544"/>
      <c r="J452" s="122" t="s">
        <v>507</v>
      </c>
      <c r="K452" s="22"/>
      <c r="L452" s="72"/>
      <c r="M452" s="566" t="s">
        <v>157</v>
      </c>
      <c r="N452" s="566"/>
      <c r="O452" s="76">
        <v>1493981000</v>
      </c>
      <c r="P452" s="23">
        <f>O452</f>
        <v>1493981000</v>
      </c>
      <c r="Q452" s="23">
        <f>SUM(Q453:Q459)</f>
        <v>759011476</v>
      </c>
      <c r="R452" s="24" t="e">
        <f>Q452/Q$243*100</f>
        <v>#REF!</v>
      </c>
      <c r="S452" s="24">
        <v>100</v>
      </c>
      <c r="T452" s="23">
        <f t="shared" si="229"/>
        <v>0</v>
      </c>
      <c r="U452" s="23" t="e">
        <f t="shared" si="251"/>
        <v>#REF!</v>
      </c>
      <c r="V452" s="90">
        <f t="shared" si="181"/>
        <v>100</v>
      </c>
      <c r="W452" s="23"/>
      <c r="X452" s="23" t="e">
        <f>#REF!</f>
        <v>#REF!</v>
      </c>
      <c r="Y452" s="23" t="e">
        <f>#REF!</f>
        <v>#REF!</v>
      </c>
      <c r="Z452" s="23" t="e">
        <f>#REF!</f>
        <v>#REF!</v>
      </c>
      <c r="AA452" s="23" t="e">
        <f>#REF!</f>
        <v>#REF!</v>
      </c>
      <c r="AB452" s="23">
        <v>366754000</v>
      </c>
      <c r="AC452" s="23" t="e">
        <f>#REF!</f>
        <v>#REF!</v>
      </c>
      <c r="AD452" s="23" t="e">
        <f>#REF!</f>
        <v>#REF!</v>
      </c>
      <c r="AE452" s="23" t="e">
        <f>#REF!</f>
        <v>#REF!</v>
      </c>
      <c r="AF452" s="23" t="e">
        <f>[1]April!N76</f>
        <v>#REF!</v>
      </c>
      <c r="AG452" s="23" t="e">
        <f>[2]april!N76</f>
        <v>#REF!</v>
      </c>
      <c r="AH452" s="23">
        <f>'[3]DES SKPD'!$N76</f>
        <v>1083037500</v>
      </c>
      <c r="AI452" s="23">
        <f>SUM(AI453:AI457)</f>
        <v>0</v>
      </c>
      <c r="AJ452" s="24">
        <f t="shared" si="275"/>
        <v>0</v>
      </c>
      <c r="AK452" s="134">
        <f t="shared" si="252"/>
        <v>759011476</v>
      </c>
      <c r="AL452" s="24">
        <f t="shared" si="276"/>
        <v>100</v>
      </c>
      <c r="AM452" s="21"/>
    </row>
    <row r="453" spans="1:39" ht="30" customHeight="1" x14ac:dyDescent="0.25">
      <c r="A453" s="26"/>
      <c r="B453" s="151"/>
      <c r="C453" s="151"/>
      <c r="D453" s="151"/>
      <c r="E453" s="151"/>
      <c r="F453" s="151"/>
      <c r="G453" s="151"/>
      <c r="H453" s="151"/>
      <c r="I453" s="152"/>
      <c r="J453" s="176" t="s">
        <v>259</v>
      </c>
      <c r="K453" s="27"/>
      <c r="L453" s="31"/>
      <c r="M453" s="563" t="s">
        <v>615</v>
      </c>
      <c r="N453" s="564"/>
      <c r="O453" s="35"/>
      <c r="P453" s="28"/>
      <c r="Q453" s="28">
        <v>3850000</v>
      </c>
      <c r="R453" s="29">
        <f t="shared" ref="R453:R459" si="284">Q453/Q$452*100</f>
        <v>0.5072387074158019</v>
      </c>
      <c r="S453" s="29">
        <v>100</v>
      </c>
      <c r="T453" s="28">
        <f t="shared" si="229"/>
        <v>0</v>
      </c>
      <c r="U453" s="28">
        <f t="shared" si="251"/>
        <v>0</v>
      </c>
      <c r="V453" s="87">
        <f t="shared" si="181"/>
        <v>100</v>
      </c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>
        <v>0</v>
      </c>
      <c r="AJ453" s="29">
        <f t="shared" si="275"/>
        <v>0</v>
      </c>
      <c r="AK453" s="136">
        <f t="shared" si="252"/>
        <v>3850000</v>
      </c>
      <c r="AL453" s="29">
        <f t="shared" si="276"/>
        <v>100</v>
      </c>
      <c r="AM453" s="26"/>
    </row>
    <row r="454" spans="1:39" ht="30" customHeight="1" x14ac:dyDescent="0.25">
      <c r="A454" s="26"/>
      <c r="B454" s="151"/>
      <c r="C454" s="151"/>
      <c r="D454" s="151"/>
      <c r="E454" s="151"/>
      <c r="F454" s="151"/>
      <c r="G454" s="151"/>
      <c r="H454" s="151"/>
      <c r="I454" s="152"/>
      <c r="J454" s="151" t="s">
        <v>269</v>
      </c>
      <c r="K454" s="27"/>
      <c r="L454" s="31"/>
      <c r="M454" s="563" t="s">
        <v>354</v>
      </c>
      <c r="N454" s="564"/>
      <c r="O454" s="35"/>
      <c r="P454" s="28"/>
      <c r="Q454" s="28">
        <v>155506476</v>
      </c>
      <c r="R454" s="29">
        <f t="shared" si="284"/>
        <v>20.488026982084786</v>
      </c>
      <c r="S454" s="29">
        <v>100</v>
      </c>
      <c r="T454" s="28">
        <f t="shared" si="229"/>
        <v>0</v>
      </c>
      <c r="U454" s="28">
        <f t="shared" si="251"/>
        <v>0</v>
      </c>
      <c r="V454" s="87">
        <f t="shared" si="181"/>
        <v>100</v>
      </c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>
        <v>0</v>
      </c>
      <c r="AJ454" s="29">
        <f t="shared" si="275"/>
        <v>0</v>
      </c>
      <c r="AK454" s="136">
        <f t="shared" si="252"/>
        <v>155506476</v>
      </c>
      <c r="AL454" s="29">
        <f t="shared" si="276"/>
        <v>100</v>
      </c>
      <c r="AM454" s="26"/>
    </row>
    <row r="455" spans="1:39" ht="30" customHeight="1" x14ac:dyDescent="0.25">
      <c r="A455" s="26"/>
      <c r="B455" s="151"/>
      <c r="C455" s="151"/>
      <c r="D455" s="151"/>
      <c r="E455" s="151"/>
      <c r="F455" s="151"/>
      <c r="G455" s="151"/>
      <c r="H455" s="151"/>
      <c r="I455" s="152"/>
      <c r="J455" s="151" t="s">
        <v>306</v>
      </c>
      <c r="K455" s="27"/>
      <c r="L455" s="31"/>
      <c r="M455" s="563" t="s">
        <v>352</v>
      </c>
      <c r="N455" s="564"/>
      <c r="O455" s="35"/>
      <c r="P455" s="28"/>
      <c r="Q455" s="28">
        <v>47955000</v>
      </c>
      <c r="R455" s="29">
        <f t="shared" si="284"/>
        <v>6.3180862893830607</v>
      </c>
      <c r="S455" s="29">
        <v>100</v>
      </c>
      <c r="T455" s="28">
        <f t="shared" si="229"/>
        <v>0</v>
      </c>
      <c r="U455" s="28">
        <f t="shared" si="251"/>
        <v>0</v>
      </c>
      <c r="V455" s="87">
        <f t="shared" si="181"/>
        <v>100</v>
      </c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>
        <v>0</v>
      </c>
      <c r="AJ455" s="29">
        <f t="shared" si="275"/>
        <v>0</v>
      </c>
      <c r="AK455" s="136">
        <f t="shared" si="252"/>
        <v>47955000</v>
      </c>
      <c r="AL455" s="29">
        <f t="shared" si="276"/>
        <v>100</v>
      </c>
      <c r="AM455" s="26"/>
    </row>
    <row r="456" spans="1:39" ht="30" customHeight="1" x14ac:dyDescent="0.25">
      <c r="A456" s="26"/>
      <c r="B456" s="151"/>
      <c r="C456" s="151"/>
      <c r="D456" s="151"/>
      <c r="E456" s="151"/>
      <c r="F456" s="151"/>
      <c r="G456" s="151"/>
      <c r="H456" s="151"/>
      <c r="I456" s="152"/>
      <c r="J456" s="151" t="s">
        <v>308</v>
      </c>
      <c r="K456" s="27"/>
      <c r="L456" s="31"/>
      <c r="M456" s="563" t="s">
        <v>612</v>
      </c>
      <c r="N456" s="564"/>
      <c r="O456" s="35"/>
      <c r="P456" s="28"/>
      <c r="Q456" s="28">
        <v>5000000</v>
      </c>
      <c r="R456" s="29">
        <f t="shared" si="284"/>
        <v>0.65875156807247004</v>
      </c>
      <c r="S456" s="29">
        <v>100</v>
      </c>
      <c r="T456" s="28">
        <f t="shared" si="229"/>
        <v>0</v>
      </c>
      <c r="U456" s="28">
        <f t="shared" si="251"/>
        <v>0</v>
      </c>
      <c r="V456" s="87">
        <f t="shared" si="181"/>
        <v>100</v>
      </c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>
        <v>0</v>
      </c>
      <c r="AJ456" s="29">
        <f t="shared" si="275"/>
        <v>0</v>
      </c>
      <c r="AK456" s="136">
        <f t="shared" si="252"/>
        <v>5000000</v>
      </c>
      <c r="AL456" s="29">
        <f t="shared" si="276"/>
        <v>100</v>
      </c>
      <c r="AM456" s="26"/>
    </row>
    <row r="457" spans="1:39" ht="30" customHeight="1" x14ac:dyDescent="0.25">
      <c r="A457" s="26"/>
      <c r="B457" s="151"/>
      <c r="C457" s="151"/>
      <c r="D457" s="151"/>
      <c r="E457" s="151"/>
      <c r="F457" s="151"/>
      <c r="G457" s="151"/>
      <c r="H457" s="151"/>
      <c r="I457" s="152"/>
      <c r="J457" s="176" t="s">
        <v>282</v>
      </c>
      <c r="K457" s="27"/>
      <c r="L457" s="31"/>
      <c r="M457" s="563" t="s">
        <v>616</v>
      </c>
      <c r="N457" s="564"/>
      <c r="O457" s="35"/>
      <c r="P457" s="28"/>
      <c r="Q457" s="28">
        <v>63700000</v>
      </c>
      <c r="R457" s="29">
        <f t="shared" si="284"/>
        <v>8.3924949772432687</v>
      </c>
      <c r="S457" s="29">
        <v>100</v>
      </c>
      <c r="T457" s="28">
        <f t="shared" si="229"/>
        <v>0</v>
      </c>
      <c r="U457" s="28">
        <f t="shared" si="251"/>
        <v>0</v>
      </c>
      <c r="V457" s="87">
        <f t="shared" si="181"/>
        <v>100</v>
      </c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>
        <v>0</v>
      </c>
      <c r="AJ457" s="29">
        <f t="shared" si="275"/>
        <v>0</v>
      </c>
      <c r="AK457" s="136">
        <f t="shared" si="252"/>
        <v>63700000</v>
      </c>
      <c r="AL457" s="29">
        <f t="shared" si="276"/>
        <v>100</v>
      </c>
      <c r="AM457" s="26"/>
    </row>
    <row r="458" spans="1:39" ht="30" customHeight="1" x14ac:dyDescent="0.25">
      <c r="A458" s="26"/>
      <c r="B458" s="176"/>
      <c r="C458" s="176"/>
      <c r="D458" s="176"/>
      <c r="E458" s="176"/>
      <c r="F458" s="176"/>
      <c r="G458" s="176"/>
      <c r="H458" s="176"/>
      <c r="I458" s="177"/>
      <c r="J458" s="176" t="s">
        <v>308</v>
      </c>
      <c r="K458" s="27"/>
      <c r="L458" s="31"/>
      <c r="M458" s="563" t="s">
        <v>601</v>
      </c>
      <c r="N458" s="564"/>
      <c r="O458" s="35"/>
      <c r="P458" s="28"/>
      <c r="Q458" s="28">
        <v>225000000</v>
      </c>
      <c r="R458" s="29">
        <f t="shared" si="284"/>
        <v>29.643820563261151</v>
      </c>
      <c r="S458" s="29">
        <v>100</v>
      </c>
      <c r="T458" s="28">
        <f t="shared" ref="T458" si="285">AJ458</f>
        <v>0</v>
      </c>
      <c r="U458" s="28">
        <f t="shared" ref="U458" si="286">R458*T458/100</f>
        <v>0</v>
      </c>
      <c r="V458" s="87">
        <f t="shared" ref="V458" si="287">S458-T458</f>
        <v>100</v>
      </c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>
        <v>0</v>
      </c>
      <c r="AJ458" s="29">
        <f t="shared" ref="AJ458" si="288">AI458/Q458*100</f>
        <v>0</v>
      </c>
      <c r="AK458" s="136">
        <f t="shared" ref="AK458" si="289">Q458-AI458</f>
        <v>225000000</v>
      </c>
      <c r="AL458" s="29">
        <f t="shared" ref="AL458" si="290">AK458/Q458*100</f>
        <v>100</v>
      </c>
      <c r="AM458" s="26"/>
    </row>
    <row r="459" spans="1:39" ht="30" customHeight="1" x14ac:dyDescent="0.25">
      <c r="A459" s="26"/>
      <c r="B459" s="176"/>
      <c r="C459" s="176"/>
      <c r="D459" s="176"/>
      <c r="E459" s="176"/>
      <c r="F459" s="176"/>
      <c r="G459" s="176"/>
      <c r="H459" s="176"/>
      <c r="I459" s="177"/>
      <c r="J459" s="176" t="s">
        <v>309</v>
      </c>
      <c r="K459" s="27"/>
      <c r="L459" s="31"/>
      <c r="M459" s="563" t="s">
        <v>310</v>
      </c>
      <c r="N459" s="564"/>
      <c r="O459" s="35"/>
      <c r="P459" s="28"/>
      <c r="Q459" s="28">
        <v>258000000</v>
      </c>
      <c r="R459" s="29">
        <f t="shared" si="284"/>
        <v>33.991580912539455</v>
      </c>
      <c r="S459" s="29">
        <v>100</v>
      </c>
      <c r="T459" s="28">
        <f t="shared" ref="T459" si="291">AJ459</f>
        <v>0</v>
      </c>
      <c r="U459" s="28">
        <f t="shared" ref="U459" si="292">R459*T459/100</f>
        <v>0</v>
      </c>
      <c r="V459" s="87">
        <f t="shared" ref="V459" si="293">S459-T459</f>
        <v>100</v>
      </c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>
        <v>0</v>
      </c>
      <c r="AJ459" s="29">
        <f t="shared" ref="AJ459" si="294">AI459/Q459*100</f>
        <v>0</v>
      </c>
      <c r="AK459" s="136">
        <f t="shared" ref="AK459" si="295">Q459-AI459</f>
        <v>258000000</v>
      </c>
      <c r="AL459" s="29">
        <f t="shared" ref="AL459" si="296">AK459/Q459*100</f>
        <v>100</v>
      </c>
      <c r="AM459" s="26"/>
    </row>
    <row r="460" spans="1:39" s="41" customFormat="1" ht="31.5" customHeight="1" x14ac:dyDescent="0.25">
      <c r="A460" s="21">
        <f>A452+1</f>
        <v>54</v>
      </c>
      <c r="B460" s="543" t="s">
        <v>158</v>
      </c>
      <c r="C460" s="543"/>
      <c r="D460" s="543"/>
      <c r="E460" s="543"/>
      <c r="F460" s="543"/>
      <c r="G460" s="543"/>
      <c r="H460" s="543"/>
      <c r="I460" s="544"/>
      <c r="J460" s="122" t="s">
        <v>508</v>
      </c>
      <c r="K460" s="22"/>
      <c r="L460" s="72"/>
      <c r="M460" s="568" t="s">
        <v>159</v>
      </c>
      <c r="N460" s="568"/>
      <c r="O460" s="76">
        <v>355300000</v>
      </c>
      <c r="P460" s="23">
        <f>O460</f>
        <v>355300000</v>
      </c>
      <c r="Q460" s="23">
        <f>SUM(Q461:Q469)</f>
        <v>83400000</v>
      </c>
      <c r="R460" s="24" t="e">
        <f>Q460/Q$33*100</f>
        <v>#REF!</v>
      </c>
      <c r="S460" s="24">
        <v>100</v>
      </c>
      <c r="T460" s="23">
        <f t="shared" si="229"/>
        <v>0</v>
      </c>
      <c r="U460" s="23" t="e">
        <f t="shared" si="251"/>
        <v>#REF!</v>
      </c>
      <c r="V460" s="90">
        <f t="shared" si="181"/>
        <v>100</v>
      </c>
      <c r="W460" s="23"/>
      <c r="X460" s="23" t="e">
        <f>#REF!</f>
        <v>#REF!</v>
      </c>
      <c r="Y460" s="23" t="e">
        <f>#REF!</f>
        <v>#REF!</v>
      </c>
      <c r="Z460" s="23" t="e">
        <f>#REF!</f>
        <v>#REF!</v>
      </c>
      <c r="AA460" s="23" t="e">
        <f>#REF!</f>
        <v>#REF!</v>
      </c>
      <c r="AB460" s="23">
        <v>131395500</v>
      </c>
      <c r="AC460" s="23" t="e">
        <f>#REF!</f>
        <v>#REF!</v>
      </c>
      <c r="AD460" s="23" t="e">
        <f>#REF!</f>
        <v>#REF!</v>
      </c>
      <c r="AE460" s="23" t="e">
        <f>#REF!</f>
        <v>#REF!</v>
      </c>
      <c r="AF460" s="23" t="e">
        <f>[1]April!N67</f>
        <v>#REF!</v>
      </c>
      <c r="AG460" s="23" t="e">
        <f>[2]april!N77</f>
        <v>#REF!</v>
      </c>
      <c r="AH460" s="23">
        <f>'[3]DES SKPD'!$N77</f>
        <v>318242454</v>
      </c>
      <c r="AI460" s="23">
        <f>SUM(AI461:AI469)</f>
        <v>0</v>
      </c>
      <c r="AJ460" s="24">
        <f t="shared" si="275"/>
        <v>0</v>
      </c>
      <c r="AK460" s="134">
        <f t="shared" si="252"/>
        <v>83400000</v>
      </c>
      <c r="AL460" s="24">
        <f t="shared" si="276"/>
        <v>100</v>
      </c>
      <c r="AM460" s="21"/>
    </row>
    <row r="461" spans="1:39" ht="24.75" customHeight="1" x14ac:dyDescent="0.25">
      <c r="A461" s="26"/>
      <c r="B461" s="151"/>
      <c r="C461" s="151"/>
      <c r="D461" s="151"/>
      <c r="E461" s="151"/>
      <c r="F461" s="151"/>
      <c r="G461" s="151"/>
      <c r="H461" s="151"/>
      <c r="I461" s="152"/>
      <c r="J461" s="151" t="s">
        <v>257</v>
      </c>
      <c r="K461" s="27"/>
      <c r="L461" s="31"/>
      <c r="M461" s="563" t="s">
        <v>258</v>
      </c>
      <c r="N461" s="564"/>
      <c r="O461" s="35"/>
      <c r="P461" s="28"/>
      <c r="Q461" s="28">
        <v>2600000</v>
      </c>
      <c r="R461" s="29">
        <f>Q461/Q$460*100</f>
        <v>3.1175059952038371</v>
      </c>
      <c r="S461" s="29">
        <v>100</v>
      </c>
      <c r="T461" s="28">
        <f t="shared" si="229"/>
        <v>0</v>
      </c>
      <c r="U461" s="28">
        <f t="shared" si="251"/>
        <v>0</v>
      </c>
      <c r="V461" s="87">
        <f t="shared" si="181"/>
        <v>100</v>
      </c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>
        <v>0</v>
      </c>
      <c r="AJ461" s="29">
        <f t="shared" si="275"/>
        <v>0</v>
      </c>
      <c r="AK461" s="136">
        <f t="shared" si="252"/>
        <v>2600000</v>
      </c>
      <c r="AL461" s="29">
        <f t="shared" si="276"/>
        <v>100</v>
      </c>
      <c r="AM461" s="26"/>
    </row>
    <row r="462" spans="1:39" ht="24.75" customHeight="1" x14ac:dyDescent="0.25">
      <c r="A462" s="26"/>
      <c r="B462" s="151"/>
      <c r="C462" s="151"/>
      <c r="D462" s="151"/>
      <c r="E462" s="151"/>
      <c r="F462" s="151"/>
      <c r="G462" s="151"/>
      <c r="H462" s="151"/>
      <c r="I462" s="152"/>
      <c r="J462" s="151" t="s">
        <v>269</v>
      </c>
      <c r="K462" s="27"/>
      <c r="L462" s="31"/>
      <c r="M462" s="563" t="s">
        <v>352</v>
      </c>
      <c r="N462" s="564"/>
      <c r="O462" s="35"/>
      <c r="P462" s="28"/>
      <c r="Q462" s="28">
        <v>3000000</v>
      </c>
      <c r="R462" s="29">
        <f t="shared" ref="R462:R469" si="297">Q462/Q$460*100</f>
        <v>3.5971223021582732</v>
      </c>
      <c r="S462" s="29">
        <v>100</v>
      </c>
      <c r="T462" s="28">
        <f t="shared" si="229"/>
        <v>0</v>
      </c>
      <c r="U462" s="28">
        <f t="shared" si="251"/>
        <v>0</v>
      </c>
      <c r="V462" s="87">
        <f t="shared" si="181"/>
        <v>100</v>
      </c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>
        <v>0</v>
      </c>
      <c r="AJ462" s="29">
        <f t="shared" si="275"/>
        <v>0</v>
      </c>
      <c r="AK462" s="136">
        <f t="shared" si="252"/>
        <v>3000000</v>
      </c>
      <c r="AL462" s="29">
        <f t="shared" si="276"/>
        <v>100</v>
      </c>
      <c r="AM462" s="26"/>
    </row>
    <row r="463" spans="1:39" ht="24.75" customHeight="1" x14ac:dyDescent="0.25">
      <c r="A463" s="26"/>
      <c r="B463" s="151"/>
      <c r="C463" s="151"/>
      <c r="D463" s="151"/>
      <c r="E463" s="151"/>
      <c r="F463" s="151"/>
      <c r="G463" s="151"/>
      <c r="H463" s="151"/>
      <c r="I463" s="152"/>
      <c r="J463" s="151" t="s">
        <v>315</v>
      </c>
      <c r="K463" s="27"/>
      <c r="L463" s="31"/>
      <c r="M463" s="563" t="s">
        <v>271</v>
      </c>
      <c r="N463" s="564"/>
      <c r="O463" s="35"/>
      <c r="P463" s="28"/>
      <c r="Q463" s="28">
        <v>1400000</v>
      </c>
      <c r="R463" s="29">
        <f t="shared" si="297"/>
        <v>1.6786570743405276</v>
      </c>
      <c r="S463" s="29">
        <v>100</v>
      </c>
      <c r="T463" s="28">
        <f t="shared" si="229"/>
        <v>0</v>
      </c>
      <c r="U463" s="28">
        <f t="shared" si="251"/>
        <v>0</v>
      </c>
      <c r="V463" s="87">
        <f t="shared" si="181"/>
        <v>100</v>
      </c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>
        <v>0</v>
      </c>
      <c r="AJ463" s="29">
        <f t="shared" si="275"/>
        <v>0</v>
      </c>
      <c r="AK463" s="136">
        <f t="shared" si="252"/>
        <v>1400000</v>
      </c>
      <c r="AL463" s="29">
        <f t="shared" si="276"/>
        <v>100</v>
      </c>
      <c r="AM463" s="26"/>
    </row>
    <row r="464" spans="1:39" ht="24.75" customHeight="1" x14ac:dyDescent="0.25">
      <c r="A464" s="26"/>
      <c r="B464" s="176"/>
      <c r="C464" s="176"/>
      <c r="D464" s="176"/>
      <c r="E464" s="176"/>
      <c r="F464" s="176"/>
      <c r="G464" s="176"/>
      <c r="H464" s="176"/>
      <c r="I464" s="177"/>
      <c r="J464" s="176"/>
      <c r="K464" s="27"/>
      <c r="L464" s="31"/>
      <c r="M464" s="563" t="s">
        <v>612</v>
      </c>
      <c r="N464" s="564"/>
      <c r="O464" s="35"/>
      <c r="P464" s="28"/>
      <c r="Q464" s="28">
        <v>1200000</v>
      </c>
      <c r="R464" s="29"/>
      <c r="S464" s="29"/>
      <c r="T464" s="28"/>
      <c r="U464" s="28"/>
      <c r="V464" s="87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9"/>
      <c r="AK464" s="136"/>
      <c r="AL464" s="29"/>
      <c r="AM464" s="26"/>
    </row>
    <row r="465" spans="1:39" ht="33" customHeight="1" x14ac:dyDescent="0.25">
      <c r="A465" s="26"/>
      <c r="B465" s="151"/>
      <c r="C465" s="151"/>
      <c r="D465" s="151"/>
      <c r="E465" s="151"/>
      <c r="F465" s="151"/>
      <c r="G465" s="151"/>
      <c r="H465" s="151"/>
      <c r="I465" s="152"/>
      <c r="J465" s="151" t="s">
        <v>318</v>
      </c>
      <c r="K465" s="27"/>
      <c r="L465" s="31"/>
      <c r="M465" s="563" t="s">
        <v>319</v>
      </c>
      <c r="N465" s="564"/>
      <c r="O465" s="35"/>
      <c r="P465" s="28"/>
      <c r="Q465" s="28">
        <v>36000000</v>
      </c>
      <c r="R465" s="29">
        <f t="shared" si="297"/>
        <v>43.165467625899282</v>
      </c>
      <c r="S465" s="29">
        <v>100</v>
      </c>
      <c r="T465" s="28">
        <f t="shared" si="229"/>
        <v>0</v>
      </c>
      <c r="U465" s="28">
        <f t="shared" si="251"/>
        <v>0</v>
      </c>
      <c r="V465" s="87">
        <f t="shared" si="181"/>
        <v>100</v>
      </c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>
        <v>0</v>
      </c>
      <c r="AJ465" s="29">
        <f t="shared" si="275"/>
        <v>0</v>
      </c>
      <c r="AK465" s="136">
        <f t="shared" si="252"/>
        <v>36000000</v>
      </c>
      <c r="AL465" s="29">
        <f t="shared" si="276"/>
        <v>100</v>
      </c>
      <c r="AM465" s="26"/>
    </row>
    <row r="466" spans="1:39" ht="24.75" customHeight="1" x14ac:dyDescent="0.25">
      <c r="A466" s="26"/>
      <c r="B466" s="151"/>
      <c r="C466" s="151"/>
      <c r="D466" s="151"/>
      <c r="E466" s="151"/>
      <c r="F466" s="151"/>
      <c r="G466" s="151"/>
      <c r="H466" s="151"/>
      <c r="I466" s="152"/>
      <c r="J466" s="151" t="s">
        <v>284</v>
      </c>
      <c r="K466" s="27"/>
      <c r="L466" s="31"/>
      <c r="M466" s="563" t="s">
        <v>285</v>
      </c>
      <c r="N466" s="564"/>
      <c r="O466" s="35"/>
      <c r="P466" s="28"/>
      <c r="Q466" s="28">
        <v>10000000</v>
      </c>
      <c r="R466" s="29">
        <f t="shared" si="297"/>
        <v>11.990407673860911</v>
      </c>
      <c r="S466" s="29">
        <v>100</v>
      </c>
      <c r="T466" s="28">
        <f t="shared" si="229"/>
        <v>0</v>
      </c>
      <c r="U466" s="28">
        <f t="shared" si="251"/>
        <v>0</v>
      </c>
      <c r="V466" s="87">
        <f t="shared" si="181"/>
        <v>100</v>
      </c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>
        <v>0</v>
      </c>
      <c r="AJ466" s="29">
        <f t="shared" si="275"/>
        <v>0</v>
      </c>
      <c r="AK466" s="136">
        <f t="shared" si="252"/>
        <v>10000000</v>
      </c>
      <c r="AL466" s="29">
        <f t="shared" si="276"/>
        <v>100</v>
      </c>
      <c r="AM466" s="26"/>
    </row>
    <row r="467" spans="1:39" ht="24.75" customHeight="1" x14ac:dyDescent="0.25">
      <c r="A467" s="26"/>
      <c r="B467" s="176"/>
      <c r="C467" s="176"/>
      <c r="D467" s="176"/>
      <c r="E467" s="176"/>
      <c r="F467" s="176"/>
      <c r="G467" s="176"/>
      <c r="H467" s="176"/>
      <c r="I467" s="177"/>
      <c r="J467" s="176"/>
      <c r="K467" s="27"/>
      <c r="L467" s="31"/>
      <c r="M467" s="563" t="s">
        <v>503</v>
      </c>
      <c r="N467" s="564"/>
      <c r="O467" s="35"/>
      <c r="P467" s="28"/>
      <c r="Q467" s="28">
        <v>12000000</v>
      </c>
      <c r="R467" s="29">
        <f t="shared" si="297"/>
        <v>14.388489208633093</v>
      </c>
      <c r="S467" s="29"/>
      <c r="T467" s="28"/>
      <c r="U467" s="28"/>
      <c r="V467" s="87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9"/>
      <c r="AK467" s="136"/>
      <c r="AL467" s="29"/>
      <c r="AM467" s="26"/>
    </row>
    <row r="468" spans="1:39" ht="24.75" customHeight="1" x14ac:dyDescent="0.25">
      <c r="A468" s="26"/>
      <c r="B468" s="151"/>
      <c r="C468" s="151"/>
      <c r="D468" s="151"/>
      <c r="E468" s="151"/>
      <c r="F468" s="151"/>
      <c r="G468" s="151"/>
      <c r="H468" s="151"/>
      <c r="I468" s="152"/>
      <c r="J468" s="151" t="s">
        <v>320</v>
      </c>
      <c r="K468" s="27"/>
      <c r="L468" s="31"/>
      <c r="M468" s="569" t="s">
        <v>321</v>
      </c>
      <c r="N468" s="516"/>
      <c r="O468" s="35"/>
      <c r="P468" s="28"/>
      <c r="Q468" s="28">
        <v>11600000</v>
      </c>
      <c r="R468" s="29">
        <f t="shared" si="297"/>
        <v>13.908872901678656</v>
      </c>
      <c r="S468" s="29">
        <v>100</v>
      </c>
      <c r="T468" s="28">
        <f t="shared" si="229"/>
        <v>0</v>
      </c>
      <c r="U468" s="28">
        <f t="shared" si="251"/>
        <v>0</v>
      </c>
      <c r="V468" s="87">
        <f t="shared" si="181"/>
        <v>100</v>
      </c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>
        <v>0</v>
      </c>
      <c r="AJ468" s="29">
        <f t="shared" si="275"/>
        <v>0</v>
      </c>
      <c r="AK468" s="136">
        <f t="shared" ref="AK468:AK483" si="298">Q468-AI468</f>
        <v>11600000</v>
      </c>
      <c r="AL468" s="29">
        <f t="shared" ref="AL468:AL505" si="299">AK468/Q468*100</f>
        <v>100</v>
      </c>
      <c r="AM468" s="26"/>
    </row>
    <row r="469" spans="1:39" ht="24.75" customHeight="1" x14ac:dyDescent="0.25">
      <c r="A469" s="26"/>
      <c r="B469" s="151"/>
      <c r="C469" s="151"/>
      <c r="D469" s="151"/>
      <c r="E469" s="151"/>
      <c r="F469" s="151"/>
      <c r="G469" s="151"/>
      <c r="H469" s="151"/>
      <c r="I469" s="152"/>
      <c r="J469" s="151" t="s">
        <v>407</v>
      </c>
      <c r="K469" s="27"/>
      <c r="L469" s="31"/>
      <c r="M469" s="563" t="s">
        <v>414</v>
      </c>
      <c r="N469" s="564"/>
      <c r="O469" s="35"/>
      <c r="P469" s="28"/>
      <c r="Q469" s="28">
        <v>5600000</v>
      </c>
      <c r="R469" s="29">
        <f t="shared" si="297"/>
        <v>6.7146282973621103</v>
      </c>
      <c r="S469" s="29">
        <v>100</v>
      </c>
      <c r="T469" s="28">
        <f t="shared" si="229"/>
        <v>0</v>
      </c>
      <c r="U469" s="28">
        <f t="shared" si="251"/>
        <v>0</v>
      </c>
      <c r="V469" s="87">
        <f t="shared" si="181"/>
        <v>100</v>
      </c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>
        <v>0</v>
      </c>
      <c r="AJ469" s="29">
        <f t="shared" si="275"/>
        <v>0</v>
      </c>
      <c r="AK469" s="136">
        <f t="shared" si="298"/>
        <v>5600000</v>
      </c>
      <c r="AL469" s="29">
        <f t="shared" si="299"/>
        <v>100</v>
      </c>
      <c r="AM469" s="26"/>
    </row>
    <row r="470" spans="1:39" ht="33.75" customHeight="1" x14ac:dyDescent="0.25">
      <c r="A470" s="21">
        <v>55</v>
      </c>
      <c r="B470" s="151"/>
      <c r="C470" s="151"/>
      <c r="D470" s="151"/>
      <c r="E470" s="151"/>
      <c r="F470" s="151"/>
      <c r="G470" s="151"/>
      <c r="H470" s="151"/>
      <c r="I470" s="152"/>
      <c r="J470" s="122" t="s">
        <v>511</v>
      </c>
      <c r="K470" s="22"/>
      <c r="L470" s="72"/>
      <c r="M470" s="568" t="s">
        <v>512</v>
      </c>
      <c r="N470" s="568"/>
      <c r="O470" s="76">
        <v>355300000</v>
      </c>
      <c r="P470" s="23">
        <f>O470</f>
        <v>355300000</v>
      </c>
      <c r="Q470" s="23">
        <f>SUM(Q471:Q476)</f>
        <v>14850000</v>
      </c>
      <c r="R470" s="24" t="e">
        <f>Q470/Q$243*100</f>
        <v>#REF!</v>
      </c>
      <c r="S470" s="24">
        <v>100</v>
      </c>
      <c r="T470" s="23">
        <f t="shared" si="229"/>
        <v>0</v>
      </c>
      <c r="U470" s="23" t="e">
        <f t="shared" si="251"/>
        <v>#REF!</v>
      </c>
      <c r="V470" s="90">
        <f t="shared" si="181"/>
        <v>100</v>
      </c>
      <c r="W470" s="23"/>
      <c r="X470" s="23" t="e">
        <f>#REF!</f>
        <v>#REF!</v>
      </c>
      <c r="Y470" s="23" t="e">
        <f>#REF!</f>
        <v>#REF!</v>
      </c>
      <c r="Z470" s="23" t="e">
        <f>#REF!</f>
        <v>#REF!</v>
      </c>
      <c r="AA470" s="23" t="e">
        <f>#REF!</f>
        <v>#REF!</v>
      </c>
      <c r="AB470" s="23">
        <v>131395500</v>
      </c>
      <c r="AC470" s="23" t="e">
        <f>#REF!</f>
        <v>#REF!</v>
      </c>
      <c r="AD470" s="23" t="e">
        <f>#REF!</f>
        <v>#REF!</v>
      </c>
      <c r="AE470" s="23" t="e">
        <f>#REF!</f>
        <v>#REF!</v>
      </c>
      <c r="AF470" s="23" t="e">
        <f>[1]April!N80</f>
        <v>#REF!</v>
      </c>
      <c r="AG470" s="23" t="e">
        <f>[2]april!N90</f>
        <v>#REF!</v>
      </c>
      <c r="AH470" s="23" t="e">
        <f>'[3]DES SKPD'!$N90</f>
        <v>#REF!</v>
      </c>
      <c r="AI470" s="23">
        <f>SUM(AI471:AI476)</f>
        <v>0</v>
      </c>
      <c r="AJ470" s="24">
        <f t="shared" si="275"/>
        <v>0</v>
      </c>
      <c r="AK470" s="134">
        <f t="shared" si="298"/>
        <v>14850000</v>
      </c>
      <c r="AL470" s="24">
        <f t="shared" si="299"/>
        <v>100</v>
      </c>
      <c r="AM470" s="21"/>
    </row>
    <row r="471" spans="1:39" ht="24.75" customHeight="1" x14ac:dyDescent="0.25">
      <c r="A471" s="26"/>
      <c r="B471" s="151"/>
      <c r="C471" s="151"/>
      <c r="D471" s="151"/>
      <c r="E471" s="151"/>
      <c r="F471" s="151"/>
      <c r="G471" s="151"/>
      <c r="H471" s="151"/>
      <c r="I471" s="152"/>
      <c r="J471" s="151" t="s">
        <v>257</v>
      </c>
      <c r="K471" s="27"/>
      <c r="L471" s="31"/>
      <c r="M471" s="563" t="s">
        <v>260</v>
      </c>
      <c r="N471" s="564"/>
      <c r="O471" s="35"/>
      <c r="P471" s="28"/>
      <c r="Q471" s="28">
        <v>650000</v>
      </c>
      <c r="R471" s="29">
        <f t="shared" ref="R471:R476" si="300">Q471/Q$470*100</f>
        <v>4.3771043771043772</v>
      </c>
      <c r="S471" s="29">
        <v>100</v>
      </c>
      <c r="T471" s="28">
        <f t="shared" si="229"/>
        <v>0</v>
      </c>
      <c r="U471" s="28">
        <f t="shared" si="251"/>
        <v>0</v>
      </c>
      <c r="V471" s="87">
        <f t="shared" si="181"/>
        <v>100</v>
      </c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>
        <v>0</v>
      </c>
      <c r="AJ471" s="29">
        <f t="shared" si="275"/>
        <v>0</v>
      </c>
      <c r="AK471" s="136">
        <f t="shared" si="298"/>
        <v>650000</v>
      </c>
      <c r="AL471" s="29">
        <f t="shared" si="299"/>
        <v>100</v>
      </c>
      <c r="AM471" s="26"/>
    </row>
    <row r="472" spans="1:39" ht="24.75" customHeight="1" x14ac:dyDescent="0.25">
      <c r="A472" s="26"/>
      <c r="B472" s="151"/>
      <c r="C472" s="151"/>
      <c r="D472" s="151"/>
      <c r="E472" s="151"/>
      <c r="F472" s="151"/>
      <c r="G472" s="151"/>
      <c r="H472" s="151"/>
      <c r="I472" s="152"/>
      <c r="J472" s="151" t="s">
        <v>326</v>
      </c>
      <c r="K472" s="27"/>
      <c r="L472" s="31"/>
      <c r="M472" s="563" t="s">
        <v>351</v>
      </c>
      <c r="N472" s="564"/>
      <c r="O472" s="35"/>
      <c r="P472" s="28"/>
      <c r="Q472" s="28">
        <v>250000</v>
      </c>
      <c r="R472" s="29">
        <f t="shared" si="300"/>
        <v>1.6835016835016834</v>
      </c>
      <c r="S472" s="29">
        <v>100</v>
      </c>
      <c r="T472" s="28">
        <f t="shared" si="229"/>
        <v>0</v>
      </c>
      <c r="U472" s="28">
        <f t="shared" si="251"/>
        <v>0</v>
      </c>
      <c r="V472" s="87">
        <f t="shared" si="181"/>
        <v>100</v>
      </c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>
        <v>0</v>
      </c>
      <c r="AJ472" s="29">
        <f t="shared" si="275"/>
        <v>0</v>
      </c>
      <c r="AK472" s="136">
        <f t="shared" si="298"/>
        <v>250000</v>
      </c>
      <c r="AL472" s="29">
        <f t="shared" si="299"/>
        <v>100</v>
      </c>
      <c r="AM472" s="26"/>
    </row>
    <row r="473" spans="1:39" ht="24.75" customHeight="1" x14ac:dyDescent="0.25">
      <c r="A473" s="26"/>
      <c r="B473" s="151"/>
      <c r="C473" s="151"/>
      <c r="D473" s="151"/>
      <c r="E473" s="151"/>
      <c r="F473" s="151"/>
      <c r="G473" s="151"/>
      <c r="H473" s="151"/>
      <c r="I473" s="152"/>
      <c r="J473" s="151" t="s">
        <v>315</v>
      </c>
      <c r="K473" s="27"/>
      <c r="L473" s="31"/>
      <c r="M473" s="563" t="s">
        <v>271</v>
      </c>
      <c r="N473" s="564"/>
      <c r="O473" s="35"/>
      <c r="P473" s="28"/>
      <c r="Q473" s="28">
        <v>250000</v>
      </c>
      <c r="R473" s="29">
        <f t="shared" si="300"/>
        <v>1.6835016835016834</v>
      </c>
      <c r="S473" s="29">
        <v>100</v>
      </c>
      <c r="T473" s="28">
        <f t="shared" si="229"/>
        <v>0</v>
      </c>
      <c r="U473" s="28">
        <f t="shared" si="251"/>
        <v>0</v>
      </c>
      <c r="V473" s="87">
        <f t="shared" si="181"/>
        <v>100</v>
      </c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>
        <v>0</v>
      </c>
      <c r="AJ473" s="29">
        <f t="shared" si="275"/>
        <v>0</v>
      </c>
      <c r="AK473" s="136">
        <f t="shared" si="298"/>
        <v>250000</v>
      </c>
      <c r="AL473" s="29">
        <f t="shared" si="299"/>
        <v>100</v>
      </c>
      <c r="AM473" s="26"/>
    </row>
    <row r="474" spans="1:39" ht="29.25" customHeight="1" x14ac:dyDescent="0.25">
      <c r="A474" s="26"/>
      <c r="B474" s="151"/>
      <c r="C474" s="151"/>
      <c r="D474" s="151"/>
      <c r="E474" s="151"/>
      <c r="F474" s="151"/>
      <c r="G474" s="151"/>
      <c r="H474" s="151"/>
      <c r="I474" s="152"/>
      <c r="J474" s="151" t="s">
        <v>318</v>
      </c>
      <c r="K474" s="27"/>
      <c r="L474" s="31"/>
      <c r="M474" s="563" t="s">
        <v>329</v>
      </c>
      <c r="N474" s="564"/>
      <c r="O474" s="35"/>
      <c r="P474" s="28"/>
      <c r="Q474" s="28">
        <v>5000000</v>
      </c>
      <c r="R474" s="29">
        <f t="shared" si="300"/>
        <v>33.670033670033675</v>
      </c>
      <c r="S474" s="29">
        <v>100</v>
      </c>
      <c r="T474" s="28">
        <f t="shared" si="229"/>
        <v>0</v>
      </c>
      <c r="U474" s="28">
        <f t="shared" si="251"/>
        <v>0</v>
      </c>
      <c r="V474" s="87">
        <f t="shared" si="181"/>
        <v>100</v>
      </c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>
        <v>0</v>
      </c>
      <c r="AJ474" s="29">
        <f t="shared" si="275"/>
        <v>0</v>
      </c>
      <c r="AK474" s="136">
        <f t="shared" si="298"/>
        <v>5000000</v>
      </c>
      <c r="AL474" s="29">
        <f t="shared" si="299"/>
        <v>100</v>
      </c>
      <c r="AM474" s="26"/>
    </row>
    <row r="475" spans="1:39" ht="29.25" customHeight="1" x14ac:dyDescent="0.25">
      <c r="A475" s="26"/>
      <c r="B475" s="176"/>
      <c r="C475" s="176"/>
      <c r="D475" s="176"/>
      <c r="E475" s="176"/>
      <c r="F475" s="176"/>
      <c r="G475" s="176"/>
      <c r="H475" s="176"/>
      <c r="I475" s="177"/>
      <c r="J475" s="176" t="s">
        <v>284</v>
      </c>
      <c r="K475" s="27"/>
      <c r="L475" s="31"/>
      <c r="M475" s="563" t="s">
        <v>285</v>
      </c>
      <c r="N475" s="564"/>
      <c r="O475" s="35"/>
      <c r="P475" s="28"/>
      <c r="Q475" s="28">
        <v>2200000</v>
      </c>
      <c r="R475" s="29">
        <f t="shared" si="300"/>
        <v>14.814814814814813</v>
      </c>
      <c r="S475" s="29">
        <v>100</v>
      </c>
      <c r="T475" s="28">
        <f t="shared" ref="T475" si="301">AJ475</f>
        <v>0</v>
      </c>
      <c r="U475" s="28">
        <f t="shared" ref="U475" si="302">R475*T475/100</f>
        <v>0</v>
      </c>
      <c r="V475" s="87">
        <f t="shared" ref="V475" si="303">S475-T475</f>
        <v>100</v>
      </c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>
        <v>0</v>
      </c>
      <c r="AJ475" s="29">
        <f t="shared" ref="AJ475" si="304">AI475/Q475*100</f>
        <v>0</v>
      </c>
      <c r="AK475" s="136">
        <f t="shared" ref="AK475" si="305">Q475-AI475</f>
        <v>2200000</v>
      </c>
      <c r="AL475" s="29">
        <f t="shared" ref="AL475" si="306">AK475/Q475*100</f>
        <v>100</v>
      </c>
      <c r="AM475" s="26"/>
    </row>
    <row r="476" spans="1:39" ht="24.75" customHeight="1" x14ac:dyDescent="0.25">
      <c r="A476" s="26"/>
      <c r="B476" s="151"/>
      <c r="C476" s="151"/>
      <c r="D476" s="151"/>
      <c r="E476" s="151"/>
      <c r="F476" s="151"/>
      <c r="G476" s="151"/>
      <c r="H476" s="151"/>
      <c r="I476" s="152"/>
      <c r="J476" s="151" t="s">
        <v>282</v>
      </c>
      <c r="K476" s="27"/>
      <c r="L476" s="31"/>
      <c r="M476" s="570" t="s">
        <v>418</v>
      </c>
      <c r="N476" s="571"/>
      <c r="O476" s="35"/>
      <c r="P476" s="28"/>
      <c r="Q476" s="28">
        <v>6500000</v>
      </c>
      <c r="R476" s="29">
        <f t="shared" si="300"/>
        <v>43.771043771043772</v>
      </c>
      <c r="S476" s="29">
        <v>100</v>
      </c>
      <c r="T476" s="28">
        <f t="shared" si="229"/>
        <v>0</v>
      </c>
      <c r="U476" s="28">
        <f t="shared" si="251"/>
        <v>0</v>
      </c>
      <c r="V476" s="87">
        <f t="shared" si="181"/>
        <v>100</v>
      </c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>
        <v>0</v>
      </c>
      <c r="AJ476" s="29">
        <f t="shared" si="275"/>
        <v>0</v>
      </c>
      <c r="AK476" s="136">
        <f t="shared" si="298"/>
        <v>6500000</v>
      </c>
      <c r="AL476" s="29">
        <f t="shared" si="299"/>
        <v>100</v>
      </c>
      <c r="AM476" s="26"/>
    </row>
    <row r="477" spans="1:39" ht="30.75" customHeight="1" x14ac:dyDescent="0.25">
      <c r="A477" s="21">
        <v>56</v>
      </c>
      <c r="B477" s="151"/>
      <c r="C477" s="151"/>
      <c r="D477" s="151"/>
      <c r="E477" s="151"/>
      <c r="F477" s="151"/>
      <c r="G477" s="151"/>
      <c r="H477" s="151"/>
      <c r="I477" s="152"/>
      <c r="J477" s="122" t="s">
        <v>513</v>
      </c>
      <c r="M477" s="568" t="s">
        <v>160</v>
      </c>
      <c r="N477" s="568"/>
      <c r="O477" s="76">
        <v>355300000</v>
      </c>
      <c r="P477" s="23">
        <f>O477</f>
        <v>355300000</v>
      </c>
      <c r="Q477" s="23">
        <f>SUM(Q478:Q483)</f>
        <v>241740393</v>
      </c>
      <c r="R477" s="24" t="e">
        <f>Q477/Q$243*100</f>
        <v>#REF!</v>
      </c>
      <c r="S477" s="24">
        <v>100</v>
      </c>
      <c r="T477" s="23">
        <f t="shared" si="229"/>
        <v>0</v>
      </c>
      <c r="U477" s="23" t="e">
        <f t="shared" si="251"/>
        <v>#REF!</v>
      </c>
      <c r="V477" s="90">
        <f t="shared" si="181"/>
        <v>100</v>
      </c>
      <c r="W477" s="23"/>
      <c r="X477" s="23" t="e">
        <f>#REF!</f>
        <v>#REF!</v>
      </c>
      <c r="Y477" s="23" t="e">
        <f>#REF!</f>
        <v>#REF!</v>
      </c>
      <c r="Z477" s="23" t="e">
        <f>#REF!</f>
        <v>#REF!</v>
      </c>
      <c r="AA477" s="23" t="e">
        <f>#REF!</f>
        <v>#REF!</v>
      </c>
      <c r="AB477" s="23">
        <v>131395500</v>
      </c>
      <c r="AC477" s="23" t="e">
        <f>#REF!</f>
        <v>#REF!</v>
      </c>
      <c r="AD477" s="23" t="e">
        <f>#REF!</f>
        <v>#REF!</v>
      </c>
      <c r="AE477" s="23" t="e">
        <f>#REF!</f>
        <v>#REF!</v>
      </c>
      <c r="AF477" s="23" t="e">
        <f>[1]April!N89</f>
        <v>#REF!</v>
      </c>
      <c r="AG477" s="23" t="e">
        <f>[2]april!N99</f>
        <v>#REF!</v>
      </c>
      <c r="AH477" s="23" t="e">
        <f>'[3]DES SKPD'!$N99</f>
        <v>#REF!</v>
      </c>
      <c r="AI477" s="23">
        <f>SUM(AI478:AI483)</f>
        <v>0</v>
      </c>
      <c r="AJ477" s="24">
        <f t="shared" si="275"/>
        <v>0</v>
      </c>
      <c r="AK477" s="134">
        <f>Q477-AI477</f>
        <v>241740393</v>
      </c>
      <c r="AL477" s="24">
        <f>AK477/Q477*100</f>
        <v>100</v>
      </c>
      <c r="AM477" s="26"/>
    </row>
    <row r="478" spans="1:39" ht="24.75" customHeight="1" x14ac:dyDescent="0.25">
      <c r="A478" s="26"/>
      <c r="B478" s="151"/>
      <c r="C478" s="151"/>
      <c r="D478" s="151"/>
      <c r="E478" s="151"/>
      <c r="F478" s="151"/>
      <c r="G478" s="151"/>
      <c r="H478" s="151"/>
      <c r="I478" s="152"/>
      <c r="J478" s="151" t="s">
        <v>257</v>
      </c>
      <c r="K478" s="27"/>
      <c r="L478" s="31"/>
      <c r="M478" s="563" t="s">
        <v>324</v>
      </c>
      <c r="N478" s="564"/>
      <c r="O478" s="35"/>
      <c r="P478" s="28"/>
      <c r="Q478" s="28">
        <v>15000000</v>
      </c>
      <c r="R478" s="29">
        <f>Q478/Q477*100</f>
        <v>6.2050035634714966</v>
      </c>
      <c r="S478" s="29">
        <v>100</v>
      </c>
      <c r="T478" s="28">
        <f t="shared" si="229"/>
        <v>0</v>
      </c>
      <c r="U478" s="28">
        <f t="shared" si="251"/>
        <v>0</v>
      </c>
      <c r="V478" s="87">
        <f t="shared" si="181"/>
        <v>100</v>
      </c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>
        <v>0</v>
      </c>
      <c r="AJ478" s="29">
        <f t="shared" si="275"/>
        <v>0</v>
      </c>
      <c r="AK478" s="136">
        <f t="shared" si="298"/>
        <v>15000000</v>
      </c>
      <c r="AL478" s="29">
        <f t="shared" si="299"/>
        <v>100</v>
      </c>
      <c r="AM478" s="26"/>
    </row>
    <row r="479" spans="1:39" ht="24.75" customHeight="1" x14ac:dyDescent="0.25">
      <c r="A479" s="26"/>
      <c r="B479" s="151"/>
      <c r="C479" s="151"/>
      <c r="D479" s="151"/>
      <c r="E479" s="151"/>
      <c r="F479" s="151"/>
      <c r="G479" s="151"/>
      <c r="H479" s="151"/>
      <c r="I479" s="152"/>
      <c r="J479" s="151" t="s">
        <v>326</v>
      </c>
      <c r="K479" s="27"/>
      <c r="L479" s="31"/>
      <c r="M479" s="563" t="s">
        <v>428</v>
      </c>
      <c r="N479" s="564"/>
      <c r="O479" s="35"/>
      <c r="P479" s="28"/>
      <c r="Q479" s="28">
        <v>8000000</v>
      </c>
      <c r="R479" s="29">
        <f>Q479/Q477*100</f>
        <v>3.3093352338514648</v>
      </c>
      <c r="S479" s="29">
        <v>100</v>
      </c>
      <c r="T479" s="28">
        <f t="shared" si="229"/>
        <v>0</v>
      </c>
      <c r="U479" s="28">
        <f t="shared" si="251"/>
        <v>0</v>
      </c>
      <c r="V479" s="87">
        <f t="shared" si="181"/>
        <v>100</v>
      </c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>
        <v>0</v>
      </c>
      <c r="AJ479" s="29">
        <f t="shared" si="275"/>
        <v>0</v>
      </c>
      <c r="AK479" s="136">
        <f t="shared" si="298"/>
        <v>8000000</v>
      </c>
      <c r="AL479" s="29">
        <f t="shared" si="299"/>
        <v>100</v>
      </c>
      <c r="AM479" s="26"/>
    </row>
    <row r="480" spans="1:39" ht="24.75" customHeight="1" x14ac:dyDescent="0.25">
      <c r="A480" s="26"/>
      <c r="B480" s="151"/>
      <c r="C480" s="151"/>
      <c r="D480" s="151"/>
      <c r="E480" s="151"/>
      <c r="F480" s="151"/>
      <c r="G480" s="151"/>
      <c r="H480" s="151"/>
      <c r="I480" s="152"/>
      <c r="J480" s="151" t="s">
        <v>315</v>
      </c>
      <c r="K480" s="27"/>
      <c r="L480" s="31"/>
      <c r="M480" s="563" t="s">
        <v>329</v>
      </c>
      <c r="N480" s="564"/>
      <c r="O480" s="35"/>
      <c r="P480" s="28"/>
      <c r="Q480" s="28">
        <v>24000000</v>
      </c>
      <c r="R480" s="29">
        <f>Q480/Q477*100</f>
        <v>9.9280057015543939</v>
      </c>
      <c r="S480" s="29">
        <v>100</v>
      </c>
      <c r="T480" s="28">
        <f t="shared" si="229"/>
        <v>0</v>
      </c>
      <c r="U480" s="28">
        <f t="shared" si="251"/>
        <v>0</v>
      </c>
      <c r="V480" s="87">
        <f t="shared" si="181"/>
        <v>100</v>
      </c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>
        <v>0</v>
      </c>
      <c r="AJ480" s="29">
        <f t="shared" si="275"/>
        <v>0</v>
      </c>
      <c r="AK480" s="136">
        <f t="shared" si="298"/>
        <v>24000000</v>
      </c>
      <c r="AL480" s="29">
        <f t="shared" si="299"/>
        <v>100</v>
      </c>
      <c r="AM480" s="26"/>
    </row>
    <row r="481" spans="1:39" ht="24.75" customHeight="1" x14ac:dyDescent="0.25">
      <c r="A481" s="26"/>
      <c r="B481" s="151"/>
      <c r="C481" s="151"/>
      <c r="D481" s="151"/>
      <c r="E481" s="151"/>
      <c r="F481" s="151"/>
      <c r="G481" s="151"/>
      <c r="H481" s="151"/>
      <c r="I481" s="152"/>
      <c r="J481" s="151" t="s">
        <v>280</v>
      </c>
      <c r="K481" s="27"/>
      <c r="L481" s="31"/>
      <c r="M481" s="563" t="s">
        <v>585</v>
      </c>
      <c r="N481" s="564"/>
      <c r="O481" s="35"/>
      <c r="P481" s="28"/>
      <c r="Q481" s="28">
        <v>15000000</v>
      </c>
      <c r="R481" s="29">
        <f>Q481/Q477*100</f>
        <v>6.2050035634714966</v>
      </c>
      <c r="S481" s="29">
        <v>100</v>
      </c>
      <c r="T481" s="28">
        <f t="shared" si="229"/>
        <v>0</v>
      </c>
      <c r="U481" s="28">
        <f t="shared" si="251"/>
        <v>0</v>
      </c>
      <c r="V481" s="87">
        <f t="shared" si="181"/>
        <v>100</v>
      </c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>
        <v>0</v>
      </c>
      <c r="AJ481" s="29">
        <f t="shared" si="275"/>
        <v>0</v>
      </c>
      <c r="AK481" s="136">
        <f t="shared" si="298"/>
        <v>15000000</v>
      </c>
      <c r="AL481" s="29">
        <f t="shared" si="299"/>
        <v>100</v>
      </c>
      <c r="AM481" s="26"/>
    </row>
    <row r="482" spans="1:39" ht="24.75" customHeight="1" x14ac:dyDescent="0.25">
      <c r="A482" s="26"/>
      <c r="B482" s="151"/>
      <c r="C482" s="151"/>
      <c r="D482" s="151"/>
      <c r="E482" s="151"/>
      <c r="F482" s="151"/>
      <c r="G482" s="151"/>
      <c r="H482" s="151"/>
      <c r="I482" s="152"/>
      <c r="J482" s="151" t="s">
        <v>284</v>
      </c>
      <c r="K482" s="27"/>
      <c r="L482" s="31"/>
      <c r="M482" s="563" t="s">
        <v>503</v>
      </c>
      <c r="N482" s="564"/>
      <c r="O482" s="35"/>
      <c r="P482" s="28"/>
      <c r="Q482" s="28">
        <v>29740393</v>
      </c>
      <c r="R482" s="29">
        <f>Q482/Q477*100</f>
        <v>12.302616302936183</v>
      </c>
      <c r="S482" s="29">
        <v>100</v>
      </c>
      <c r="T482" s="28">
        <f t="shared" si="229"/>
        <v>0</v>
      </c>
      <c r="U482" s="28">
        <f t="shared" si="251"/>
        <v>0</v>
      </c>
      <c r="V482" s="87">
        <f t="shared" si="181"/>
        <v>100</v>
      </c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>
        <v>0</v>
      </c>
      <c r="AJ482" s="29">
        <f t="shared" si="275"/>
        <v>0</v>
      </c>
      <c r="AK482" s="136">
        <f t="shared" si="298"/>
        <v>29740393</v>
      </c>
      <c r="AL482" s="29">
        <f t="shared" si="299"/>
        <v>100</v>
      </c>
      <c r="AM482" s="26"/>
    </row>
    <row r="483" spans="1:39" ht="24.75" customHeight="1" x14ac:dyDescent="0.25">
      <c r="A483" s="26"/>
      <c r="B483" s="151"/>
      <c r="C483" s="151"/>
      <c r="D483" s="151"/>
      <c r="E483" s="151"/>
      <c r="F483" s="151"/>
      <c r="G483" s="151"/>
      <c r="H483" s="151"/>
      <c r="I483" s="152"/>
      <c r="J483" s="151" t="s">
        <v>282</v>
      </c>
      <c r="K483" s="27"/>
      <c r="L483" s="31"/>
      <c r="M483" s="563" t="s">
        <v>591</v>
      </c>
      <c r="N483" s="564"/>
      <c r="O483" s="35"/>
      <c r="P483" s="28"/>
      <c r="Q483" s="28">
        <v>150000000</v>
      </c>
      <c r="R483" s="29">
        <f>Q483/Q477*100</f>
        <v>62.050035634714959</v>
      </c>
      <c r="S483" s="29">
        <v>100</v>
      </c>
      <c r="T483" s="28">
        <f t="shared" si="229"/>
        <v>0</v>
      </c>
      <c r="U483" s="28">
        <f t="shared" si="251"/>
        <v>0</v>
      </c>
      <c r="V483" s="87">
        <f t="shared" si="181"/>
        <v>100</v>
      </c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>
        <v>0</v>
      </c>
      <c r="AJ483" s="29">
        <f t="shared" si="275"/>
        <v>0</v>
      </c>
      <c r="AK483" s="136">
        <f t="shared" si="298"/>
        <v>150000000</v>
      </c>
      <c r="AL483" s="29">
        <f t="shared" si="299"/>
        <v>100</v>
      </c>
      <c r="AM483" s="26"/>
    </row>
    <row r="484" spans="1:39" s="41" customFormat="1" ht="27.75" customHeight="1" x14ac:dyDescent="0.25">
      <c r="A484" s="21" t="e">
        <f>SUM(#REF!+1)</f>
        <v>#REF!</v>
      </c>
      <c r="B484" s="158"/>
      <c r="C484" s="158"/>
      <c r="D484" s="158"/>
      <c r="E484" s="158"/>
      <c r="F484" s="158"/>
      <c r="G484" s="158"/>
      <c r="H484" s="158"/>
      <c r="I484" s="159"/>
      <c r="J484" s="122" t="s">
        <v>514</v>
      </c>
      <c r="K484" s="22"/>
      <c r="L484" s="72"/>
      <c r="M484" s="566" t="s">
        <v>200</v>
      </c>
      <c r="N484" s="567"/>
      <c r="O484" s="76"/>
      <c r="P484" s="23"/>
      <c r="Q484" s="23">
        <f>SUM(Q485:Q488)</f>
        <v>395380000</v>
      </c>
      <c r="R484" s="24" t="e">
        <f>Q484/Q$243*100</f>
        <v>#REF!</v>
      </c>
      <c r="S484" s="24">
        <v>100</v>
      </c>
      <c r="T484" s="23">
        <f t="shared" si="229"/>
        <v>0</v>
      </c>
      <c r="U484" s="23" t="e">
        <f t="shared" si="251"/>
        <v>#REF!</v>
      </c>
      <c r="V484" s="90">
        <f t="shared" si="181"/>
        <v>100</v>
      </c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>
        <f>SUM(AI485:AI487)</f>
        <v>0</v>
      </c>
      <c r="AJ484" s="24">
        <f t="shared" si="275"/>
        <v>0</v>
      </c>
      <c r="AK484" s="134">
        <f t="shared" ref="AK484:AK489" si="307">Q484-AI484</f>
        <v>395380000</v>
      </c>
      <c r="AL484" s="24">
        <f t="shared" si="299"/>
        <v>100</v>
      </c>
      <c r="AM484" s="21"/>
    </row>
    <row r="485" spans="1:39" ht="29.25" customHeight="1" x14ac:dyDescent="0.25">
      <c r="A485" s="26"/>
      <c r="B485" s="151"/>
      <c r="C485" s="151"/>
      <c r="D485" s="151"/>
      <c r="E485" s="151"/>
      <c r="F485" s="151"/>
      <c r="G485" s="151"/>
      <c r="H485" s="151"/>
      <c r="I485" s="152"/>
      <c r="J485" s="151" t="s">
        <v>315</v>
      </c>
      <c r="K485" s="27"/>
      <c r="L485" s="31"/>
      <c r="M485" s="563" t="s">
        <v>271</v>
      </c>
      <c r="N485" s="564"/>
      <c r="O485" s="35"/>
      <c r="P485" s="28"/>
      <c r="Q485" s="28">
        <v>20295000</v>
      </c>
      <c r="R485" s="29">
        <f>Q485/Q$484*100</f>
        <v>5.1330365724113509</v>
      </c>
      <c r="S485" s="29">
        <v>100</v>
      </c>
      <c r="T485" s="28">
        <f t="shared" si="229"/>
        <v>0</v>
      </c>
      <c r="U485" s="28">
        <f t="shared" si="251"/>
        <v>0</v>
      </c>
      <c r="V485" s="87">
        <f t="shared" si="181"/>
        <v>100</v>
      </c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>
        <v>0</v>
      </c>
      <c r="AJ485" s="29">
        <f t="shared" si="275"/>
        <v>0</v>
      </c>
      <c r="AK485" s="136">
        <f t="shared" si="307"/>
        <v>20295000</v>
      </c>
      <c r="AL485" s="29">
        <f t="shared" si="299"/>
        <v>100</v>
      </c>
      <c r="AM485" s="26"/>
    </row>
    <row r="486" spans="1:39" ht="24.75" customHeight="1" x14ac:dyDescent="0.25">
      <c r="A486" s="26"/>
      <c r="B486" s="151"/>
      <c r="C486" s="151"/>
      <c r="D486" s="151"/>
      <c r="E486" s="151"/>
      <c r="F486" s="151"/>
      <c r="G486" s="151"/>
      <c r="H486" s="151"/>
      <c r="I486" s="152"/>
      <c r="J486" s="151" t="s">
        <v>284</v>
      </c>
      <c r="K486" s="27"/>
      <c r="L486" s="31"/>
      <c r="M486" s="563" t="s">
        <v>285</v>
      </c>
      <c r="N486" s="564"/>
      <c r="O486" s="35"/>
      <c r="P486" s="28"/>
      <c r="Q486" s="28">
        <v>5000000</v>
      </c>
      <c r="R486" s="29">
        <f>Q486/Q$484*100</f>
        <v>1.2646062016288129</v>
      </c>
      <c r="S486" s="29">
        <v>100</v>
      </c>
      <c r="T486" s="28">
        <f t="shared" si="229"/>
        <v>0</v>
      </c>
      <c r="U486" s="28">
        <f t="shared" si="251"/>
        <v>0</v>
      </c>
      <c r="V486" s="87">
        <f t="shared" si="181"/>
        <v>100</v>
      </c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>
        <v>0</v>
      </c>
      <c r="AJ486" s="29">
        <f t="shared" si="275"/>
        <v>0</v>
      </c>
      <c r="AK486" s="136">
        <f t="shared" si="307"/>
        <v>5000000</v>
      </c>
      <c r="AL486" s="29">
        <f t="shared" si="299"/>
        <v>100</v>
      </c>
      <c r="AM486" s="26"/>
    </row>
    <row r="487" spans="1:39" ht="24.75" customHeight="1" x14ac:dyDescent="0.25">
      <c r="A487" s="26"/>
      <c r="B487" s="151"/>
      <c r="C487" s="151"/>
      <c r="D487" s="151"/>
      <c r="E487" s="151"/>
      <c r="F487" s="151"/>
      <c r="G487" s="151"/>
      <c r="H487" s="151"/>
      <c r="I487" s="152"/>
      <c r="J487" s="151" t="s">
        <v>309</v>
      </c>
      <c r="K487" s="27"/>
      <c r="L487" s="31"/>
      <c r="M487" s="563" t="s">
        <v>310</v>
      </c>
      <c r="N487" s="564"/>
      <c r="O487" s="35"/>
      <c r="P487" s="28"/>
      <c r="Q487" s="28">
        <v>219362000</v>
      </c>
      <c r="R487" s="29">
        <f>Q487/Q$484*100</f>
        <v>55.48130912033993</v>
      </c>
      <c r="S487" s="29">
        <v>100</v>
      </c>
      <c r="T487" s="28">
        <f t="shared" si="229"/>
        <v>0</v>
      </c>
      <c r="U487" s="28">
        <f t="shared" si="251"/>
        <v>0</v>
      </c>
      <c r="V487" s="87">
        <f t="shared" si="181"/>
        <v>100</v>
      </c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>
        <v>0</v>
      </c>
      <c r="AJ487" s="29">
        <f t="shared" si="275"/>
        <v>0</v>
      </c>
      <c r="AK487" s="136">
        <f t="shared" si="307"/>
        <v>219362000</v>
      </c>
      <c r="AL487" s="29">
        <f t="shared" si="299"/>
        <v>100</v>
      </c>
      <c r="AM487" s="26"/>
    </row>
    <row r="488" spans="1:39" ht="24.75" customHeight="1" x14ac:dyDescent="0.25">
      <c r="A488" s="26"/>
      <c r="B488" s="176"/>
      <c r="C488" s="176"/>
      <c r="D488" s="176"/>
      <c r="E488" s="176"/>
      <c r="F488" s="176"/>
      <c r="G488" s="176"/>
      <c r="H488" s="176"/>
      <c r="I488" s="177"/>
      <c r="J488" s="176" t="s">
        <v>342</v>
      </c>
      <c r="K488" s="27"/>
      <c r="L488" s="31"/>
      <c r="M488" s="563" t="s">
        <v>617</v>
      </c>
      <c r="N488" s="564"/>
      <c r="O488" s="35"/>
      <c r="P488" s="28"/>
      <c r="Q488" s="28">
        <v>150723000</v>
      </c>
      <c r="R488" s="29">
        <f>Q488/Q$484*100</f>
        <v>38.121048105619906</v>
      </c>
      <c r="S488" s="29">
        <v>100</v>
      </c>
      <c r="T488" s="28">
        <f t="shared" ref="T488" si="308">AJ488</f>
        <v>0</v>
      </c>
      <c r="U488" s="28">
        <f t="shared" ref="U488" si="309">R488*T488/100</f>
        <v>0</v>
      </c>
      <c r="V488" s="87">
        <f t="shared" ref="V488" si="310">S488-T488</f>
        <v>100</v>
      </c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>
        <v>0</v>
      </c>
      <c r="AJ488" s="29">
        <f t="shared" ref="AJ488" si="311">AI488/Q488*100</f>
        <v>0</v>
      </c>
      <c r="AK488" s="136">
        <f t="shared" si="307"/>
        <v>150723000</v>
      </c>
      <c r="AL488" s="29">
        <f t="shared" ref="AL488" si="312">AK488/Q488*100</f>
        <v>100</v>
      </c>
      <c r="AM488" s="26"/>
    </row>
    <row r="489" spans="1:39" s="41" customFormat="1" ht="29.25" customHeight="1" x14ac:dyDescent="0.25">
      <c r="A489" s="21" t="e">
        <f>SUM(A484+1)</f>
        <v>#REF!</v>
      </c>
      <c r="B489" s="543" t="s">
        <v>158</v>
      </c>
      <c r="C489" s="543"/>
      <c r="D489" s="543"/>
      <c r="E489" s="543"/>
      <c r="F489" s="543"/>
      <c r="G489" s="543"/>
      <c r="H489" s="543"/>
      <c r="I489" s="544"/>
      <c r="J489" s="122" t="s">
        <v>515</v>
      </c>
      <c r="K489" s="22"/>
      <c r="L489" s="72"/>
      <c r="M489" s="566" t="s">
        <v>161</v>
      </c>
      <c r="N489" s="566"/>
      <c r="O489" s="76">
        <v>355300000</v>
      </c>
      <c r="P489" s="23">
        <v>0</v>
      </c>
      <c r="Q489" s="23">
        <f>SUM(Q490:Q497)</f>
        <v>20233874</v>
      </c>
      <c r="R489" s="24" t="e">
        <f>Q489/Q$243*100</f>
        <v>#REF!</v>
      </c>
      <c r="S489" s="24">
        <v>100</v>
      </c>
      <c r="T489" s="23">
        <f t="shared" si="229"/>
        <v>0</v>
      </c>
      <c r="U489" s="23" t="e">
        <f t="shared" si="251"/>
        <v>#REF!</v>
      </c>
      <c r="V489" s="90">
        <f t="shared" si="181"/>
        <v>100</v>
      </c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 t="e">
        <f>[2]april!N82</f>
        <v>#REF!</v>
      </c>
      <c r="AH489" s="23">
        <f>'[3]DES SKPD'!$N82</f>
        <v>34370000</v>
      </c>
      <c r="AI489" s="23">
        <f>SUM(AI490:AI497)</f>
        <v>0</v>
      </c>
      <c r="AJ489" s="24">
        <f t="shared" si="275"/>
        <v>0</v>
      </c>
      <c r="AK489" s="134">
        <f t="shared" si="307"/>
        <v>20233874</v>
      </c>
      <c r="AL489" s="24">
        <f t="shared" si="299"/>
        <v>100</v>
      </c>
      <c r="AM489" s="21"/>
    </row>
    <row r="490" spans="1:39" ht="29.25" customHeight="1" x14ac:dyDescent="0.25">
      <c r="A490" s="26"/>
      <c r="B490" s="151"/>
      <c r="C490" s="151"/>
      <c r="D490" s="151"/>
      <c r="E490" s="151"/>
      <c r="F490" s="151"/>
      <c r="G490" s="151"/>
      <c r="H490" s="151"/>
      <c r="I490" s="152"/>
      <c r="J490" s="151" t="s">
        <v>257</v>
      </c>
      <c r="K490" s="27"/>
      <c r="L490" s="31"/>
      <c r="M490" s="563" t="s">
        <v>260</v>
      </c>
      <c r="N490" s="564"/>
      <c r="O490" s="35"/>
      <c r="P490" s="28"/>
      <c r="Q490" s="28">
        <v>650000</v>
      </c>
      <c r="R490" s="29">
        <f>Q490/Q$489*100</f>
        <v>3.2124347517435363</v>
      </c>
      <c r="S490" s="29">
        <v>100</v>
      </c>
      <c r="T490" s="28">
        <f t="shared" si="229"/>
        <v>0</v>
      </c>
      <c r="U490" s="28">
        <f t="shared" si="251"/>
        <v>0</v>
      </c>
      <c r="V490" s="87">
        <f t="shared" si="181"/>
        <v>100</v>
      </c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>
        <v>0</v>
      </c>
      <c r="AJ490" s="29">
        <f t="shared" si="275"/>
        <v>0</v>
      </c>
      <c r="AK490" s="28">
        <f>SUM(Q490-AI490)</f>
        <v>650000</v>
      </c>
      <c r="AL490" s="29">
        <f t="shared" si="299"/>
        <v>100</v>
      </c>
      <c r="AM490" s="26"/>
    </row>
    <row r="491" spans="1:39" ht="42" customHeight="1" x14ac:dyDescent="0.25">
      <c r="A491" s="26"/>
      <c r="B491" s="151"/>
      <c r="C491" s="151"/>
      <c r="D491" s="151"/>
      <c r="E491" s="151"/>
      <c r="F491" s="151"/>
      <c r="G491" s="151"/>
      <c r="H491" s="151"/>
      <c r="I491" s="152"/>
      <c r="J491" s="178" t="s">
        <v>345</v>
      </c>
      <c r="K491" s="27"/>
      <c r="L491" s="31"/>
      <c r="M491" s="591" t="s">
        <v>351</v>
      </c>
      <c r="N491" s="592"/>
      <c r="O491" s="179"/>
      <c r="P491" s="180"/>
      <c r="Q491" s="180">
        <v>250000</v>
      </c>
      <c r="R491" s="181">
        <f t="shared" ref="R491:R497" si="313">Q491/Q$489*100</f>
        <v>1.2355518275936679</v>
      </c>
      <c r="S491" s="181">
        <v>100</v>
      </c>
      <c r="T491" s="180">
        <f t="shared" si="229"/>
        <v>0</v>
      </c>
      <c r="U491" s="180">
        <f t="shared" si="251"/>
        <v>0</v>
      </c>
      <c r="V491" s="182">
        <f t="shared" si="181"/>
        <v>100</v>
      </c>
      <c r="W491" s="180"/>
      <c r="X491" s="180"/>
      <c r="Y491" s="180"/>
      <c r="Z491" s="180"/>
      <c r="AA491" s="180"/>
      <c r="AB491" s="180"/>
      <c r="AC491" s="180"/>
      <c r="AD491" s="180"/>
      <c r="AE491" s="180"/>
      <c r="AF491" s="180"/>
      <c r="AG491" s="180"/>
      <c r="AH491" s="180"/>
      <c r="AI491" s="180">
        <v>0</v>
      </c>
      <c r="AJ491" s="181">
        <f t="shared" si="275"/>
        <v>0</v>
      </c>
      <c r="AK491" s="180">
        <f t="shared" ref="AK491:AK497" si="314">SUM(Q491-AI491)</f>
        <v>250000</v>
      </c>
      <c r="AL491" s="181">
        <f t="shared" si="299"/>
        <v>100</v>
      </c>
      <c r="AM491" s="26"/>
    </row>
    <row r="492" spans="1:39" ht="29.25" customHeight="1" x14ac:dyDescent="0.25">
      <c r="A492" s="26"/>
      <c r="B492" s="151"/>
      <c r="C492" s="151"/>
      <c r="D492" s="151"/>
      <c r="E492" s="151"/>
      <c r="F492" s="151"/>
      <c r="G492" s="151"/>
      <c r="H492" s="151"/>
      <c r="I492" s="152"/>
      <c r="J492" s="151" t="s">
        <v>315</v>
      </c>
      <c r="K492" s="27"/>
      <c r="L492" s="31"/>
      <c r="M492" s="563" t="s">
        <v>271</v>
      </c>
      <c r="N492" s="564"/>
      <c r="O492" s="35"/>
      <c r="P492" s="28"/>
      <c r="Q492" s="28">
        <v>250000</v>
      </c>
      <c r="R492" s="29">
        <f t="shared" si="313"/>
        <v>1.2355518275936679</v>
      </c>
      <c r="S492" s="29">
        <v>100</v>
      </c>
      <c r="T492" s="28">
        <f t="shared" si="229"/>
        <v>0</v>
      </c>
      <c r="U492" s="28">
        <f t="shared" si="251"/>
        <v>0</v>
      </c>
      <c r="V492" s="87">
        <f t="shared" si="181"/>
        <v>100</v>
      </c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>
        <v>0</v>
      </c>
      <c r="AJ492" s="29">
        <f t="shared" si="275"/>
        <v>0</v>
      </c>
      <c r="AK492" s="28">
        <f t="shared" si="314"/>
        <v>250000</v>
      </c>
      <c r="AL492" s="29">
        <f t="shared" si="299"/>
        <v>100</v>
      </c>
      <c r="AM492" s="26"/>
    </row>
    <row r="493" spans="1:39" ht="29.25" customHeight="1" x14ac:dyDescent="0.25">
      <c r="A493" s="26"/>
      <c r="B493" s="151"/>
      <c r="C493" s="151"/>
      <c r="D493" s="151"/>
      <c r="E493" s="151"/>
      <c r="F493" s="151"/>
      <c r="G493" s="151"/>
      <c r="H493" s="151"/>
      <c r="I493" s="152"/>
      <c r="J493" s="151" t="s">
        <v>342</v>
      </c>
      <c r="K493" s="27"/>
      <c r="L493" s="31"/>
      <c r="M493" s="563" t="s">
        <v>612</v>
      </c>
      <c r="N493" s="564"/>
      <c r="O493" s="35"/>
      <c r="P493" s="28"/>
      <c r="Q493" s="28">
        <v>250000</v>
      </c>
      <c r="R493" s="29">
        <f t="shared" si="313"/>
        <v>1.2355518275936679</v>
      </c>
      <c r="S493" s="29">
        <v>100</v>
      </c>
      <c r="T493" s="28">
        <f t="shared" si="229"/>
        <v>0</v>
      </c>
      <c r="U493" s="28">
        <f t="shared" si="251"/>
        <v>0</v>
      </c>
      <c r="V493" s="87">
        <f t="shared" si="181"/>
        <v>100</v>
      </c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>
        <v>0</v>
      </c>
      <c r="AJ493" s="29">
        <f t="shared" ref="AJ493:AJ559" si="315">AI493/Q493*100</f>
        <v>0</v>
      </c>
      <c r="AK493" s="28">
        <f t="shared" si="314"/>
        <v>250000</v>
      </c>
      <c r="AL493" s="29">
        <f t="shared" si="299"/>
        <v>100</v>
      </c>
      <c r="AM493" s="26"/>
    </row>
    <row r="494" spans="1:39" ht="29.25" customHeight="1" x14ac:dyDescent="0.25">
      <c r="A494" s="26"/>
      <c r="B494" s="176"/>
      <c r="C494" s="176"/>
      <c r="D494" s="176"/>
      <c r="E494" s="176"/>
      <c r="F494" s="176"/>
      <c r="G494" s="176"/>
      <c r="H494" s="176"/>
      <c r="I494" s="177"/>
      <c r="J494" s="176" t="s">
        <v>318</v>
      </c>
      <c r="K494" s="27"/>
      <c r="L494" s="31"/>
      <c r="M494" s="563" t="s">
        <v>319</v>
      </c>
      <c r="N494" s="564"/>
      <c r="O494" s="35"/>
      <c r="P494" s="28"/>
      <c r="Q494" s="28">
        <v>10500000</v>
      </c>
      <c r="R494" s="29">
        <f t="shared" si="313"/>
        <v>51.893176758934054</v>
      </c>
      <c r="S494" s="29">
        <v>100</v>
      </c>
      <c r="T494" s="28">
        <f t="shared" ref="T494" si="316">AJ494</f>
        <v>0</v>
      </c>
      <c r="U494" s="28">
        <f t="shared" ref="U494" si="317">R494*T494/100</f>
        <v>0</v>
      </c>
      <c r="V494" s="87">
        <f t="shared" ref="V494" si="318">S494-T494</f>
        <v>100</v>
      </c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>
        <v>0</v>
      </c>
      <c r="AJ494" s="29">
        <f t="shared" ref="AJ494" si="319">AI494/Q494*100</f>
        <v>0</v>
      </c>
      <c r="AK494" s="28">
        <f t="shared" ref="AK494" si="320">SUM(Q494-AI494)</f>
        <v>10500000</v>
      </c>
      <c r="AL494" s="29">
        <f t="shared" ref="AL494" si="321">AK494/Q494*100</f>
        <v>100</v>
      </c>
      <c r="AM494" s="26"/>
    </row>
    <row r="495" spans="1:39" ht="29.25" customHeight="1" x14ac:dyDescent="0.25">
      <c r="A495" s="26"/>
      <c r="B495" s="151"/>
      <c r="C495" s="151"/>
      <c r="D495" s="151"/>
      <c r="E495" s="151"/>
      <c r="F495" s="151"/>
      <c r="G495" s="151"/>
      <c r="H495" s="151"/>
      <c r="I495" s="152"/>
      <c r="J495" s="151" t="s">
        <v>284</v>
      </c>
      <c r="K495" s="27"/>
      <c r="L495" s="31"/>
      <c r="M495" s="563" t="s">
        <v>285</v>
      </c>
      <c r="N495" s="564"/>
      <c r="O495" s="35"/>
      <c r="P495" s="28"/>
      <c r="Q495" s="28">
        <v>2890000</v>
      </c>
      <c r="R495" s="29">
        <f t="shared" si="313"/>
        <v>14.2829791269828</v>
      </c>
      <c r="S495" s="29">
        <v>100</v>
      </c>
      <c r="T495" s="28">
        <f t="shared" si="229"/>
        <v>0</v>
      </c>
      <c r="U495" s="28">
        <f t="shared" si="251"/>
        <v>0</v>
      </c>
      <c r="V495" s="87">
        <f t="shared" si="181"/>
        <v>100</v>
      </c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>
        <v>0</v>
      </c>
      <c r="AJ495" s="29">
        <f t="shared" si="315"/>
        <v>0</v>
      </c>
      <c r="AK495" s="28">
        <f t="shared" si="314"/>
        <v>2890000</v>
      </c>
      <c r="AL495" s="29">
        <f t="shared" si="299"/>
        <v>100</v>
      </c>
      <c r="AM495" s="26"/>
    </row>
    <row r="496" spans="1:39" ht="29.25" customHeight="1" x14ac:dyDescent="0.25">
      <c r="A496" s="26"/>
      <c r="B496" s="151"/>
      <c r="C496" s="151"/>
      <c r="D496" s="151"/>
      <c r="E496" s="151"/>
      <c r="F496" s="151"/>
      <c r="G496" s="151"/>
      <c r="H496" s="151"/>
      <c r="I496" s="152"/>
      <c r="J496" s="151" t="s">
        <v>282</v>
      </c>
      <c r="K496" s="27"/>
      <c r="L496" s="31"/>
      <c r="M496" s="563" t="s">
        <v>283</v>
      </c>
      <c r="N496" s="564"/>
      <c r="O496" s="35"/>
      <c r="P496" s="28"/>
      <c r="Q496" s="28">
        <v>2943874</v>
      </c>
      <c r="R496" s="29">
        <f t="shared" si="313"/>
        <v>14.549235603621927</v>
      </c>
      <c r="S496" s="29">
        <v>100</v>
      </c>
      <c r="T496" s="28">
        <f t="shared" si="229"/>
        <v>0</v>
      </c>
      <c r="U496" s="28">
        <f t="shared" si="251"/>
        <v>0</v>
      </c>
      <c r="V496" s="87">
        <f t="shared" si="181"/>
        <v>100</v>
      </c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>
        <v>0</v>
      </c>
      <c r="AJ496" s="29">
        <f t="shared" si="315"/>
        <v>0</v>
      </c>
      <c r="AK496" s="28">
        <f t="shared" si="314"/>
        <v>2943874</v>
      </c>
      <c r="AL496" s="29">
        <f t="shared" si="299"/>
        <v>100</v>
      </c>
      <c r="AM496" s="26"/>
    </row>
    <row r="497" spans="1:39" ht="29.25" customHeight="1" x14ac:dyDescent="0.25">
      <c r="A497" s="26"/>
      <c r="B497" s="151"/>
      <c r="C497" s="151"/>
      <c r="D497" s="151"/>
      <c r="E497" s="151"/>
      <c r="F497" s="151"/>
      <c r="G497" s="151"/>
      <c r="H497" s="151"/>
      <c r="I497" s="152"/>
      <c r="J497" s="151" t="s">
        <v>320</v>
      </c>
      <c r="K497" s="27"/>
      <c r="L497" s="31"/>
      <c r="M497" s="563" t="s">
        <v>321</v>
      </c>
      <c r="N497" s="564"/>
      <c r="O497" s="35"/>
      <c r="P497" s="28"/>
      <c r="Q497" s="28">
        <v>2500000</v>
      </c>
      <c r="R497" s="29">
        <f t="shared" si="313"/>
        <v>12.35551827593668</v>
      </c>
      <c r="S497" s="29">
        <v>100</v>
      </c>
      <c r="T497" s="28">
        <f t="shared" si="229"/>
        <v>0</v>
      </c>
      <c r="U497" s="28">
        <f t="shared" si="251"/>
        <v>0</v>
      </c>
      <c r="V497" s="87">
        <f t="shared" si="181"/>
        <v>100</v>
      </c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>
        <v>0</v>
      </c>
      <c r="AJ497" s="29">
        <f t="shared" si="315"/>
        <v>0</v>
      </c>
      <c r="AK497" s="28">
        <f t="shared" si="314"/>
        <v>2500000</v>
      </c>
      <c r="AL497" s="29">
        <f t="shared" si="299"/>
        <v>100</v>
      </c>
      <c r="AM497" s="26"/>
    </row>
    <row r="498" spans="1:39" s="41" customFormat="1" ht="29.25" customHeight="1" x14ac:dyDescent="0.25">
      <c r="A498" s="21" t="e">
        <f>A489+1</f>
        <v>#REF!</v>
      </c>
      <c r="B498" s="543" t="s">
        <v>158</v>
      </c>
      <c r="C498" s="543"/>
      <c r="D498" s="543"/>
      <c r="E498" s="543"/>
      <c r="F498" s="543"/>
      <c r="G498" s="543"/>
      <c r="H498" s="543"/>
      <c r="I498" s="544"/>
      <c r="J498" s="122" t="s">
        <v>516</v>
      </c>
      <c r="K498" s="22"/>
      <c r="L498" s="72"/>
      <c r="M498" s="566" t="s">
        <v>162</v>
      </c>
      <c r="N498" s="566"/>
      <c r="O498" s="76">
        <v>355300000</v>
      </c>
      <c r="P498" s="23">
        <v>0</v>
      </c>
      <c r="Q498" s="23">
        <f>SUM(Q499:Q504)</f>
        <v>381500000</v>
      </c>
      <c r="R498" s="24" t="e">
        <f>Q498/Q$243*100</f>
        <v>#REF!</v>
      </c>
      <c r="S498" s="24">
        <v>100</v>
      </c>
      <c r="T498" s="23">
        <f t="shared" si="229"/>
        <v>0</v>
      </c>
      <c r="U498" s="23" t="e">
        <f t="shared" si="251"/>
        <v>#REF!</v>
      </c>
      <c r="V498" s="90">
        <f t="shared" si="181"/>
        <v>100</v>
      </c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 t="e">
        <f>[2]april!N83</f>
        <v>#REF!</v>
      </c>
      <c r="AH498" s="23">
        <f>'[3]DES SKPD'!$N83</f>
        <v>33663000</v>
      </c>
      <c r="AI498" s="23">
        <f>SUM(AI499:AI503)</f>
        <v>0</v>
      </c>
      <c r="AJ498" s="24">
        <f t="shared" si="315"/>
        <v>0</v>
      </c>
      <c r="AK498" s="134">
        <f>Q498-AI498</f>
        <v>381500000</v>
      </c>
      <c r="AL498" s="24">
        <f t="shared" si="299"/>
        <v>100</v>
      </c>
      <c r="AM498" s="21"/>
    </row>
    <row r="499" spans="1:39" ht="29.25" customHeight="1" x14ac:dyDescent="0.25">
      <c r="A499" s="26"/>
      <c r="B499" s="151"/>
      <c r="C499" s="151"/>
      <c r="D499" s="151"/>
      <c r="E499" s="151"/>
      <c r="F499" s="151"/>
      <c r="G499" s="151"/>
      <c r="H499" s="151"/>
      <c r="I499" s="152"/>
      <c r="J499" s="151" t="s">
        <v>332</v>
      </c>
      <c r="K499" s="27"/>
      <c r="L499" s="31"/>
      <c r="M499" s="563" t="s">
        <v>351</v>
      </c>
      <c r="N499" s="564"/>
      <c r="O499" s="35"/>
      <c r="P499" s="28"/>
      <c r="Q499" s="28">
        <v>500000</v>
      </c>
      <c r="R499" s="29">
        <f t="shared" ref="R499:R504" si="322">Q499/Q$498*100</f>
        <v>0.13106159895150721</v>
      </c>
      <c r="S499" s="29">
        <v>100</v>
      </c>
      <c r="T499" s="28">
        <f t="shared" si="229"/>
        <v>0</v>
      </c>
      <c r="U499" s="28">
        <f t="shared" si="251"/>
        <v>0</v>
      </c>
      <c r="V499" s="87">
        <f t="shared" si="181"/>
        <v>100</v>
      </c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>
        <v>0</v>
      </c>
      <c r="AJ499" s="29">
        <f t="shared" si="315"/>
        <v>0</v>
      </c>
      <c r="AK499" s="28">
        <f t="shared" ref="AK499:AK503" si="323">SUM(Q499-AI499)</f>
        <v>500000</v>
      </c>
      <c r="AL499" s="29">
        <f t="shared" si="299"/>
        <v>100</v>
      </c>
      <c r="AM499" s="26"/>
    </row>
    <row r="500" spans="1:39" ht="29.25" customHeight="1" x14ac:dyDescent="0.25">
      <c r="A500" s="26"/>
      <c r="B500" s="151"/>
      <c r="C500" s="151"/>
      <c r="D500" s="151"/>
      <c r="E500" s="151"/>
      <c r="F500" s="151"/>
      <c r="G500" s="151"/>
      <c r="H500" s="151"/>
      <c r="I500" s="152"/>
      <c r="J500" s="151" t="s">
        <v>269</v>
      </c>
      <c r="K500" s="27"/>
      <c r="L500" s="31"/>
      <c r="M500" s="563" t="s">
        <v>270</v>
      </c>
      <c r="N500" s="564"/>
      <c r="O500" s="35"/>
      <c r="P500" s="28"/>
      <c r="Q500" s="28">
        <v>30000000</v>
      </c>
      <c r="R500" s="29">
        <f t="shared" si="322"/>
        <v>7.8636959370904327</v>
      </c>
      <c r="S500" s="29">
        <v>100</v>
      </c>
      <c r="T500" s="28">
        <f t="shared" si="229"/>
        <v>0</v>
      </c>
      <c r="U500" s="28">
        <f t="shared" si="251"/>
        <v>0</v>
      </c>
      <c r="V500" s="87">
        <f t="shared" si="181"/>
        <v>100</v>
      </c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>
        <v>0</v>
      </c>
      <c r="AJ500" s="29">
        <f t="shared" si="315"/>
        <v>0</v>
      </c>
      <c r="AK500" s="28">
        <f t="shared" si="323"/>
        <v>30000000</v>
      </c>
      <c r="AL500" s="29">
        <f t="shared" si="299"/>
        <v>100</v>
      </c>
      <c r="AM500" s="26"/>
    </row>
    <row r="501" spans="1:39" ht="29.25" customHeight="1" x14ac:dyDescent="0.25">
      <c r="A501" s="26"/>
      <c r="B501" s="151"/>
      <c r="C501" s="151"/>
      <c r="D501" s="151"/>
      <c r="E501" s="151"/>
      <c r="F501" s="151"/>
      <c r="G501" s="151"/>
      <c r="H501" s="151"/>
      <c r="I501" s="152"/>
      <c r="J501" s="151" t="s">
        <v>315</v>
      </c>
      <c r="K501" s="27"/>
      <c r="L501" s="31"/>
      <c r="M501" s="563" t="s">
        <v>271</v>
      </c>
      <c r="N501" s="564"/>
      <c r="O501" s="35"/>
      <c r="P501" s="28"/>
      <c r="Q501" s="28">
        <v>2500000</v>
      </c>
      <c r="R501" s="29">
        <f t="shared" si="322"/>
        <v>0.65530799475753598</v>
      </c>
      <c r="S501" s="29">
        <v>100</v>
      </c>
      <c r="T501" s="28">
        <f t="shared" si="229"/>
        <v>0</v>
      </c>
      <c r="U501" s="28">
        <f t="shared" si="251"/>
        <v>0</v>
      </c>
      <c r="V501" s="87">
        <f t="shared" si="181"/>
        <v>100</v>
      </c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>
        <v>0</v>
      </c>
      <c r="AJ501" s="29">
        <f t="shared" si="315"/>
        <v>0</v>
      </c>
      <c r="AK501" s="28">
        <f t="shared" si="323"/>
        <v>2500000</v>
      </c>
      <c r="AL501" s="29">
        <f t="shared" si="299"/>
        <v>100</v>
      </c>
      <c r="AM501" s="26"/>
    </row>
    <row r="502" spans="1:39" ht="29.25" customHeight="1" x14ac:dyDescent="0.25">
      <c r="A502" s="26"/>
      <c r="B502" s="151"/>
      <c r="C502" s="151"/>
      <c r="D502" s="151"/>
      <c r="E502" s="151"/>
      <c r="F502" s="151"/>
      <c r="G502" s="151"/>
      <c r="H502" s="151"/>
      <c r="I502" s="152"/>
      <c r="J502" s="151" t="s">
        <v>284</v>
      </c>
      <c r="K502" s="27"/>
      <c r="L502" s="31"/>
      <c r="M502" s="563" t="s">
        <v>285</v>
      </c>
      <c r="N502" s="564"/>
      <c r="O502" s="35"/>
      <c r="P502" s="28"/>
      <c r="Q502" s="28">
        <v>15400000</v>
      </c>
      <c r="R502" s="29">
        <f t="shared" si="322"/>
        <v>4.0366972477064227</v>
      </c>
      <c r="S502" s="29">
        <v>100</v>
      </c>
      <c r="T502" s="28">
        <f t="shared" si="229"/>
        <v>0</v>
      </c>
      <c r="U502" s="28">
        <f t="shared" si="251"/>
        <v>0</v>
      </c>
      <c r="V502" s="87">
        <f t="shared" si="181"/>
        <v>100</v>
      </c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>
        <v>0</v>
      </c>
      <c r="AJ502" s="29">
        <f t="shared" si="315"/>
        <v>0</v>
      </c>
      <c r="AK502" s="28">
        <f t="shared" si="323"/>
        <v>15400000</v>
      </c>
      <c r="AL502" s="29">
        <f t="shared" si="299"/>
        <v>100</v>
      </c>
      <c r="AM502" s="26"/>
    </row>
    <row r="503" spans="1:39" ht="29.25" customHeight="1" x14ac:dyDescent="0.25">
      <c r="A503" s="26"/>
      <c r="B503" s="151"/>
      <c r="C503" s="151"/>
      <c r="D503" s="151"/>
      <c r="E503" s="151"/>
      <c r="F503" s="151"/>
      <c r="G503" s="151"/>
      <c r="H503" s="151"/>
      <c r="I503" s="152"/>
      <c r="J503" s="151" t="s">
        <v>282</v>
      </c>
      <c r="K503" s="27"/>
      <c r="L503" s="31"/>
      <c r="M503" s="563" t="s">
        <v>283</v>
      </c>
      <c r="N503" s="564"/>
      <c r="O503" s="35"/>
      <c r="P503" s="28"/>
      <c r="Q503" s="28">
        <v>18700000</v>
      </c>
      <c r="R503" s="29">
        <f t="shared" si="322"/>
        <v>4.9017038007863691</v>
      </c>
      <c r="S503" s="29">
        <v>100</v>
      </c>
      <c r="T503" s="28">
        <f t="shared" si="229"/>
        <v>0</v>
      </c>
      <c r="U503" s="28">
        <f t="shared" si="251"/>
        <v>0</v>
      </c>
      <c r="V503" s="87">
        <f t="shared" si="181"/>
        <v>100</v>
      </c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>
        <v>0</v>
      </c>
      <c r="AJ503" s="29">
        <f t="shared" si="315"/>
        <v>0</v>
      </c>
      <c r="AK503" s="28">
        <f t="shared" si="323"/>
        <v>18700000</v>
      </c>
      <c r="AL503" s="29">
        <f t="shared" si="299"/>
        <v>100</v>
      </c>
      <c r="AM503" s="26"/>
    </row>
    <row r="504" spans="1:39" ht="29.25" customHeight="1" x14ac:dyDescent="0.25">
      <c r="A504" s="26"/>
      <c r="B504" s="176"/>
      <c r="C504" s="176"/>
      <c r="D504" s="176"/>
      <c r="E504" s="176"/>
      <c r="F504" s="176"/>
      <c r="G504" s="176"/>
      <c r="H504" s="176"/>
      <c r="I504" s="177"/>
      <c r="J504" s="176" t="s">
        <v>551</v>
      </c>
      <c r="K504" s="27"/>
      <c r="L504" s="31"/>
      <c r="M504" s="563" t="s">
        <v>550</v>
      </c>
      <c r="N504" s="564"/>
      <c r="O504" s="35"/>
      <c r="P504" s="28"/>
      <c r="Q504" s="28">
        <v>314400000</v>
      </c>
      <c r="R504" s="29">
        <f t="shared" si="322"/>
        <v>82.411533420707727</v>
      </c>
      <c r="S504" s="29">
        <v>100</v>
      </c>
      <c r="T504" s="28">
        <f t="shared" ref="T504" si="324">AJ504</f>
        <v>0</v>
      </c>
      <c r="U504" s="28">
        <f t="shared" ref="U504" si="325">R504*T504/100</f>
        <v>0</v>
      </c>
      <c r="V504" s="87">
        <f t="shared" ref="V504" si="326">S504-T504</f>
        <v>100</v>
      </c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>
        <v>0</v>
      </c>
      <c r="AJ504" s="29">
        <f t="shared" ref="AJ504" si="327">AI504/Q504*100</f>
        <v>0</v>
      </c>
      <c r="AK504" s="28">
        <f t="shared" ref="AK504" si="328">SUM(Q504-AI504)</f>
        <v>314400000</v>
      </c>
      <c r="AL504" s="29">
        <f t="shared" ref="AL504" si="329">AK504/Q504*100</f>
        <v>100</v>
      </c>
      <c r="AM504" s="26"/>
    </row>
    <row r="505" spans="1:39" s="41" customFormat="1" ht="29.25" customHeight="1" x14ac:dyDescent="0.25">
      <c r="A505" s="21" t="e">
        <f>SUM(A498+1)</f>
        <v>#REF!</v>
      </c>
      <c r="B505" s="158"/>
      <c r="C505" s="158"/>
      <c r="D505" s="158"/>
      <c r="E505" s="158"/>
      <c r="F505" s="158"/>
      <c r="G505" s="158"/>
      <c r="H505" s="158"/>
      <c r="I505" s="159"/>
      <c r="J505" s="122" t="s">
        <v>517</v>
      </c>
      <c r="K505" s="22"/>
      <c r="L505" s="72"/>
      <c r="M505" s="566" t="s">
        <v>369</v>
      </c>
      <c r="N505" s="567"/>
      <c r="O505" s="76"/>
      <c r="P505" s="23"/>
      <c r="Q505" s="23">
        <f>SUM(Q506:Q515)</f>
        <v>834946970</v>
      </c>
      <c r="R505" s="24" t="e">
        <f>Q505/Q$243*100</f>
        <v>#REF!</v>
      </c>
      <c r="S505" s="24">
        <v>100</v>
      </c>
      <c r="T505" s="23">
        <f t="shared" si="229"/>
        <v>0</v>
      </c>
      <c r="U505" s="23" t="e">
        <f t="shared" si="251"/>
        <v>#REF!</v>
      </c>
      <c r="V505" s="90">
        <f t="shared" si="181"/>
        <v>100</v>
      </c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 t="e">
        <f>[2]april!N91</f>
        <v>#REF!</v>
      </c>
      <c r="AH505" s="23" t="e">
        <f>'[3]DES SKPD'!$N91</f>
        <v>#REF!</v>
      </c>
      <c r="AI505" s="23">
        <f>SUM(AI507:AI515)</f>
        <v>0</v>
      </c>
      <c r="AJ505" s="24">
        <f t="shared" si="315"/>
        <v>0</v>
      </c>
      <c r="AK505" s="134">
        <f>Q505-AI505</f>
        <v>834946970</v>
      </c>
      <c r="AL505" s="24">
        <f t="shared" si="299"/>
        <v>100</v>
      </c>
      <c r="AM505" s="21"/>
    </row>
    <row r="506" spans="1:39" s="41" customFormat="1" ht="29.25" customHeight="1" x14ac:dyDescent="0.25">
      <c r="A506" s="21"/>
      <c r="B506" s="158"/>
      <c r="C506" s="158"/>
      <c r="D506" s="158"/>
      <c r="E506" s="158"/>
      <c r="F506" s="158"/>
      <c r="G506" s="158"/>
      <c r="H506" s="158"/>
      <c r="I506" s="159"/>
      <c r="J506" s="158" t="s">
        <v>421</v>
      </c>
      <c r="K506" s="22"/>
      <c r="L506" s="72"/>
      <c r="M506" s="563" t="s">
        <v>324</v>
      </c>
      <c r="N506" s="564"/>
      <c r="O506" s="76"/>
      <c r="P506" s="23"/>
      <c r="Q506" s="28">
        <v>10814970</v>
      </c>
      <c r="R506" s="29">
        <f>Q506/Q$505*100</f>
        <v>1.2952882504621821</v>
      </c>
      <c r="S506" s="29">
        <v>100</v>
      </c>
      <c r="T506" s="28">
        <f t="shared" si="229"/>
        <v>0</v>
      </c>
      <c r="U506" s="28">
        <f t="shared" si="251"/>
        <v>0</v>
      </c>
      <c r="V506" s="87">
        <f t="shared" si="181"/>
        <v>100</v>
      </c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>
        <v>0</v>
      </c>
      <c r="AJ506" s="29">
        <f t="shared" si="315"/>
        <v>0</v>
      </c>
      <c r="AK506" s="28">
        <f>SUM(Q506-AI506)</f>
        <v>10814970</v>
      </c>
      <c r="AL506" s="24"/>
      <c r="AM506" s="21"/>
    </row>
    <row r="507" spans="1:39" ht="29.25" customHeight="1" x14ac:dyDescent="0.25">
      <c r="A507" s="26"/>
      <c r="B507" s="151"/>
      <c r="C507" s="151"/>
      <c r="D507" s="151"/>
      <c r="E507" s="151"/>
      <c r="F507" s="151"/>
      <c r="G507" s="151"/>
      <c r="H507" s="151"/>
      <c r="I507" s="152"/>
      <c r="J507" s="151" t="s">
        <v>315</v>
      </c>
      <c r="K507" s="27"/>
      <c r="L507" s="31"/>
      <c r="M507" s="563" t="s">
        <v>271</v>
      </c>
      <c r="N507" s="564"/>
      <c r="O507" s="35"/>
      <c r="P507" s="28"/>
      <c r="Q507" s="28">
        <v>12500000</v>
      </c>
      <c r="R507" s="29">
        <f>Q507/Q$505*100</f>
        <v>1.4971010673887468</v>
      </c>
      <c r="S507" s="29">
        <v>100</v>
      </c>
      <c r="T507" s="28">
        <f t="shared" si="229"/>
        <v>0</v>
      </c>
      <c r="U507" s="28">
        <f t="shared" si="251"/>
        <v>0</v>
      </c>
      <c r="V507" s="87">
        <f t="shared" si="181"/>
        <v>100</v>
      </c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>
        <v>0</v>
      </c>
      <c r="AJ507" s="29">
        <f t="shared" si="315"/>
        <v>0</v>
      </c>
      <c r="AK507" s="28">
        <f t="shared" ref="AK507:AK515" si="330">SUM(Q507-AI507)</f>
        <v>12500000</v>
      </c>
      <c r="AL507" s="29">
        <f t="shared" ref="AL507:AL543" si="331">AK507/Q507*100</f>
        <v>100</v>
      </c>
      <c r="AM507" s="26"/>
    </row>
    <row r="508" spans="1:39" ht="29.25" customHeight="1" x14ac:dyDescent="0.25">
      <c r="A508" s="26"/>
      <c r="B508" s="151"/>
      <c r="C508" s="151"/>
      <c r="D508" s="151"/>
      <c r="E508" s="151"/>
      <c r="F508" s="151"/>
      <c r="G508" s="151"/>
      <c r="H508" s="151"/>
      <c r="I508" s="152"/>
      <c r="J508" s="151" t="s">
        <v>328</v>
      </c>
      <c r="K508" s="27"/>
      <c r="L508" s="31"/>
      <c r="M508" s="563" t="s">
        <v>329</v>
      </c>
      <c r="N508" s="564"/>
      <c r="O508" s="35"/>
      <c r="P508" s="28"/>
      <c r="Q508" s="28">
        <v>5000000</v>
      </c>
      <c r="R508" s="29">
        <f>Q508/Q$505*100</f>
        <v>0.59884042695549877</v>
      </c>
      <c r="S508" s="29">
        <v>100</v>
      </c>
      <c r="T508" s="28">
        <f t="shared" si="229"/>
        <v>0</v>
      </c>
      <c r="U508" s="28">
        <f t="shared" si="251"/>
        <v>0</v>
      </c>
      <c r="V508" s="87">
        <f t="shared" si="181"/>
        <v>100</v>
      </c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>
        <v>0</v>
      </c>
      <c r="AJ508" s="29">
        <f t="shared" si="315"/>
        <v>0</v>
      </c>
      <c r="AK508" s="28">
        <f t="shared" si="330"/>
        <v>5000000</v>
      </c>
      <c r="AL508" s="29">
        <f t="shared" si="331"/>
        <v>100</v>
      </c>
      <c r="AM508" s="26"/>
    </row>
    <row r="509" spans="1:39" ht="29.25" customHeight="1" x14ac:dyDescent="0.25">
      <c r="A509" s="26"/>
      <c r="B509" s="151"/>
      <c r="C509" s="151"/>
      <c r="D509" s="151"/>
      <c r="E509" s="151"/>
      <c r="F509" s="151"/>
      <c r="G509" s="151"/>
      <c r="H509" s="151"/>
      <c r="I509" s="152"/>
      <c r="J509" s="151" t="s">
        <v>370</v>
      </c>
      <c r="K509" s="27"/>
      <c r="L509" s="31"/>
      <c r="M509" s="563" t="s">
        <v>371</v>
      </c>
      <c r="N509" s="564"/>
      <c r="O509" s="35"/>
      <c r="P509" s="28"/>
      <c r="Q509" s="28">
        <v>47450000</v>
      </c>
      <c r="R509" s="29">
        <f t="shared" ref="R509:R516" si="332">Q509/Q$505*100</f>
        <v>5.6829956518076834</v>
      </c>
      <c r="S509" s="29">
        <v>100</v>
      </c>
      <c r="T509" s="28">
        <f t="shared" si="229"/>
        <v>0</v>
      </c>
      <c r="U509" s="28">
        <f t="shared" si="251"/>
        <v>0</v>
      </c>
      <c r="V509" s="87">
        <f t="shared" si="181"/>
        <v>100</v>
      </c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>
        <v>0</v>
      </c>
      <c r="AJ509" s="29">
        <f t="shared" si="315"/>
        <v>0</v>
      </c>
      <c r="AK509" s="28">
        <f t="shared" si="330"/>
        <v>47450000</v>
      </c>
      <c r="AL509" s="29">
        <f t="shared" si="331"/>
        <v>100</v>
      </c>
      <c r="AM509" s="26"/>
    </row>
    <row r="510" spans="1:39" ht="29.25" customHeight="1" x14ac:dyDescent="0.25">
      <c r="A510" s="26"/>
      <c r="B510" s="151"/>
      <c r="C510" s="151"/>
      <c r="D510" s="151"/>
      <c r="E510" s="151"/>
      <c r="F510" s="151"/>
      <c r="G510" s="151"/>
      <c r="H510" s="151"/>
      <c r="I510" s="152"/>
      <c r="J510" s="151" t="s">
        <v>280</v>
      </c>
      <c r="K510" s="27"/>
      <c r="L510" s="31"/>
      <c r="M510" s="563" t="s">
        <v>422</v>
      </c>
      <c r="N510" s="564"/>
      <c r="O510" s="35"/>
      <c r="P510" s="28"/>
      <c r="Q510" s="28">
        <v>2000000</v>
      </c>
      <c r="R510" s="29">
        <f t="shared" si="332"/>
        <v>0.23953617078219949</v>
      </c>
      <c r="S510" s="29">
        <v>100</v>
      </c>
      <c r="T510" s="28">
        <f t="shared" si="229"/>
        <v>0</v>
      </c>
      <c r="U510" s="28">
        <f t="shared" si="251"/>
        <v>0</v>
      </c>
      <c r="V510" s="87">
        <f t="shared" si="181"/>
        <v>100</v>
      </c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>
        <v>0</v>
      </c>
      <c r="AJ510" s="29">
        <f t="shared" si="315"/>
        <v>0</v>
      </c>
      <c r="AK510" s="28">
        <f t="shared" si="330"/>
        <v>2000000</v>
      </c>
      <c r="AL510" s="29">
        <f t="shared" si="331"/>
        <v>100</v>
      </c>
      <c r="AM510" s="26"/>
    </row>
    <row r="511" spans="1:39" ht="29.25" customHeight="1" x14ac:dyDescent="0.25">
      <c r="A511" s="26"/>
      <c r="B511" s="151"/>
      <c r="C511" s="151"/>
      <c r="D511" s="151"/>
      <c r="E511" s="151"/>
      <c r="F511" s="151"/>
      <c r="G511" s="151"/>
      <c r="H511" s="151"/>
      <c r="I511" s="152"/>
      <c r="J511" s="151" t="s">
        <v>339</v>
      </c>
      <c r="K511" s="27"/>
      <c r="L511" s="31"/>
      <c r="M511" s="563" t="s">
        <v>340</v>
      </c>
      <c r="N511" s="564"/>
      <c r="O511" s="35"/>
      <c r="P511" s="28"/>
      <c r="Q511" s="28">
        <v>71500000</v>
      </c>
      <c r="R511" s="29">
        <f t="shared" si="332"/>
        <v>8.5634181054636329</v>
      </c>
      <c r="S511" s="29">
        <v>100</v>
      </c>
      <c r="T511" s="28">
        <f t="shared" si="229"/>
        <v>0</v>
      </c>
      <c r="U511" s="28">
        <f t="shared" si="251"/>
        <v>0</v>
      </c>
      <c r="V511" s="87">
        <f t="shared" si="181"/>
        <v>100</v>
      </c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>
        <v>0</v>
      </c>
      <c r="AJ511" s="29">
        <f t="shared" si="315"/>
        <v>0</v>
      </c>
      <c r="AK511" s="28">
        <f t="shared" si="330"/>
        <v>71500000</v>
      </c>
      <c r="AL511" s="29">
        <f t="shared" si="331"/>
        <v>100</v>
      </c>
      <c r="AM511" s="26"/>
    </row>
    <row r="512" spans="1:39" ht="29.25" customHeight="1" x14ac:dyDescent="0.25">
      <c r="A512" s="26"/>
      <c r="B512" s="151"/>
      <c r="C512" s="151"/>
      <c r="D512" s="151"/>
      <c r="E512" s="151"/>
      <c r="F512" s="151"/>
      <c r="G512" s="151"/>
      <c r="H512" s="151"/>
      <c r="I512" s="152"/>
      <c r="J512" s="151" t="s">
        <v>284</v>
      </c>
      <c r="K512" s="27"/>
      <c r="L512" s="31"/>
      <c r="M512" s="563" t="s">
        <v>285</v>
      </c>
      <c r="N512" s="564"/>
      <c r="O512" s="35"/>
      <c r="P512" s="28"/>
      <c r="Q512" s="28">
        <v>8900000</v>
      </c>
      <c r="R512" s="29">
        <f t="shared" si="332"/>
        <v>1.0659359599807878</v>
      </c>
      <c r="S512" s="29">
        <v>100</v>
      </c>
      <c r="T512" s="28">
        <f t="shared" si="229"/>
        <v>0</v>
      </c>
      <c r="U512" s="28">
        <f t="shared" si="251"/>
        <v>0</v>
      </c>
      <c r="V512" s="87">
        <f t="shared" si="181"/>
        <v>100</v>
      </c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>
        <v>0</v>
      </c>
      <c r="AJ512" s="29">
        <f t="shared" si="315"/>
        <v>0</v>
      </c>
      <c r="AK512" s="28">
        <f t="shared" si="330"/>
        <v>8900000</v>
      </c>
      <c r="AL512" s="29">
        <f t="shared" si="331"/>
        <v>100</v>
      </c>
      <c r="AM512" s="26"/>
    </row>
    <row r="513" spans="1:39" ht="29.25" customHeight="1" x14ac:dyDescent="0.25">
      <c r="A513" s="26"/>
      <c r="B513" s="176"/>
      <c r="C513" s="176"/>
      <c r="D513" s="176"/>
      <c r="E513" s="176"/>
      <c r="F513" s="176"/>
      <c r="G513" s="176"/>
      <c r="H513" s="176"/>
      <c r="I513" s="177"/>
      <c r="J513" s="176"/>
      <c r="K513" s="27"/>
      <c r="L513" s="31"/>
      <c r="M513" s="563" t="s">
        <v>503</v>
      </c>
      <c r="N513" s="564"/>
      <c r="O513" s="35"/>
      <c r="P513" s="28"/>
      <c r="Q513" s="28">
        <v>48070000</v>
      </c>
      <c r="R513" s="29">
        <f t="shared" si="332"/>
        <v>5.7572518647501649</v>
      </c>
      <c r="S513" s="29">
        <v>100</v>
      </c>
      <c r="T513" s="28">
        <f t="shared" ref="T513" si="333">AJ513</f>
        <v>0</v>
      </c>
      <c r="U513" s="28">
        <f t="shared" ref="U513" si="334">R513*T513/100</f>
        <v>0</v>
      </c>
      <c r="V513" s="87">
        <f t="shared" ref="V513" si="335">S513-T513</f>
        <v>100</v>
      </c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>
        <v>0</v>
      </c>
      <c r="AJ513" s="29">
        <f t="shared" ref="AJ513" si="336">AI513/Q513*100</f>
        <v>0</v>
      </c>
      <c r="AK513" s="28">
        <f t="shared" ref="AK513" si="337">SUM(Q513-AI513)</f>
        <v>48070000</v>
      </c>
      <c r="AL513" s="29">
        <f t="shared" ref="AL513" si="338">AK513/Q513*100</f>
        <v>100</v>
      </c>
      <c r="AM513" s="26"/>
    </row>
    <row r="514" spans="1:39" ht="29.25" customHeight="1" x14ac:dyDescent="0.25">
      <c r="A514" s="26"/>
      <c r="B514" s="151"/>
      <c r="C514" s="151"/>
      <c r="D514" s="151"/>
      <c r="E514" s="151"/>
      <c r="F514" s="151"/>
      <c r="G514" s="151"/>
      <c r="H514" s="151"/>
      <c r="I514" s="152"/>
      <c r="J514" s="151" t="s">
        <v>309</v>
      </c>
      <c r="K514" s="27"/>
      <c r="L514" s="31"/>
      <c r="M514" s="563" t="s">
        <v>310</v>
      </c>
      <c r="N514" s="564"/>
      <c r="O514" s="35"/>
      <c r="P514" s="28"/>
      <c r="Q514" s="28">
        <v>485712000</v>
      </c>
      <c r="R514" s="29">
        <f t="shared" si="332"/>
        <v>58.172796291481845</v>
      </c>
      <c r="S514" s="29">
        <v>100</v>
      </c>
      <c r="T514" s="28">
        <f t="shared" si="229"/>
        <v>0</v>
      </c>
      <c r="U514" s="28">
        <f t="shared" si="251"/>
        <v>0</v>
      </c>
      <c r="V514" s="87">
        <f t="shared" si="181"/>
        <v>100</v>
      </c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>
        <v>0</v>
      </c>
      <c r="AJ514" s="29">
        <f t="shared" si="315"/>
        <v>0</v>
      </c>
      <c r="AK514" s="28">
        <f t="shared" si="330"/>
        <v>485712000</v>
      </c>
      <c r="AL514" s="29">
        <f t="shared" si="331"/>
        <v>100</v>
      </c>
      <c r="AM514" s="26"/>
    </row>
    <row r="515" spans="1:39" ht="29.25" customHeight="1" x14ac:dyDescent="0.25">
      <c r="A515" s="26"/>
      <c r="B515" s="151"/>
      <c r="C515" s="151"/>
      <c r="D515" s="151"/>
      <c r="E515" s="151"/>
      <c r="F515" s="151"/>
      <c r="G515" s="151"/>
      <c r="H515" s="151"/>
      <c r="I515" s="152"/>
      <c r="J515" s="151" t="s">
        <v>372</v>
      </c>
      <c r="K515" s="27"/>
      <c r="L515" s="31"/>
      <c r="M515" s="563" t="s">
        <v>373</v>
      </c>
      <c r="N515" s="564"/>
      <c r="O515" s="35"/>
      <c r="P515" s="28"/>
      <c r="Q515" s="28">
        <v>143000000</v>
      </c>
      <c r="R515" s="29">
        <f t="shared" si="332"/>
        <v>17.126836210927266</v>
      </c>
      <c r="S515" s="29">
        <v>100</v>
      </c>
      <c r="T515" s="28">
        <f t="shared" si="229"/>
        <v>0</v>
      </c>
      <c r="U515" s="28">
        <f t="shared" si="251"/>
        <v>0</v>
      </c>
      <c r="V515" s="87">
        <f t="shared" si="181"/>
        <v>100</v>
      </c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>
        <v>0</v>
      </c>
      <c r="AJ515" s="29">
        <f t="shared" si="315"/>
        <v>0</v>
      </c>
      <c r="AK515" s="28">
        <f t="shared" si="330"/>
        <v>143000000</v>
      </c>
      <c r="AL515" s="29">
        <f t="shared" si="331"/>
        <v>100</v>
      </c>
      <c r="AM515" s="26"/>
    </row>
    <row r="516" spans="1:39" ht="29.25" customHeight="1" x14ac:dyDescent="0.25">
      <c r="A516" s="26"/>
      <c r="B516" s="176"/>
      <c r="C516" s="176"/>
      <c r="D516" s="176"/>
      <c r="E516" s="176"/>
      <c r="F516" s="176"/>
      <c r="G516" s="176"/>
      <c r="H516" s="176"/>
      <c r="I516" s="177"/>
      <c r="J516" s="176" t="s">
        <v>551</v>
      </c>
      <c r="K516" s="27"/>
      <c r="L516" s="31"/>
      <c r="M516" s="563" t="s">
        <v>550</v>
      </c>
      <c r="N516" s="564"/>
      <c r="O516" s="35"/>
      <c r="P516" s="28"/>
      <c r="Q516" s="28">
        <v>175264000</v>
      </c>
      <c r="R516" s="29">
        <f t="shared" si="332"/>
        <v>20.991033717985708</v>
      </c>
      <c r="S516" s="29">
        <v>100</v>
      </c>
      <c r="T516" s="28">
        <f t="shared" ref="T516" si="339">AJ516</f>
        <v>0</v>
      </c>
      <c r="U516" s="28">
        <f t="shared" ref="U516" si="340">R516*T516/100</f>
        <v>0</v>
      </c>
      <c r="V516" s="87">
        <f t="shared" ref="V516" si="341">S516-T516</f>
        <v>100</v>
      </c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>
        <v>0</v>
      </c>
      <c r="AJ516" s="29">
        <f t="shared" ref="AJ516" si="342">AI516/Q516*100</f>
        <v>0</v>
      </c>
      <c r="AK516" s="28">
        <f t="shared" ref="AK516" si="343">SUM(Q516-AI516)</f>
        <v>175264000</v>
      </c>
      <c r="AL516" s="29">
        <f t="shared" ref="AL516" si="344">AK516/Q516*100</f>
        <v>100</v>
      </c>
      <c r="AM516" s="26"/>
    </row>
    <row r="517" spans="1:39" s="41" customFormat="1" ht="28.5" customHeight="1" x14ac:dyDescent="0.25">
      <c r="A517" s="21" t="e">
        <f>A505+1</f>
        <v>#REF!</v>
      </c>
      <c r="B517" s="543" t="s">
        <v>158</v>
      </c>
      <c r="C517" s="543"/>
      <c r="D517" s="543"/>
      <c r="E517" s="543"/>
      <c r="F517" s="543"/>
      <c r="G517" s="543"/>
      <c r="H517" s="543"/>
      <c r="I517" s="544"/>
      <c r="J517" s="122" t="s">
        <v>518</v>
      </c>
      <c r="K517" s="22"/>
      <c r="L517" s="72"/>
      <c r="M517" s="566" t="s">
        <v>163</v>
      </c>
      <c r="N517" s="566"/>
      <c r="O517" s="76">
        <v>355300000</v>
      </c>
      <c r="P517" s="23">
        <v>0</v>
      </c>
      <c r="Q517" s="23">
        <f>SUM(Q518:Q523)</f>
        <v>130200000</v>
      </c>
      <c r="R517" s="24" t="e">
        <f>Q517/Q$243*100</f>
        <v>#REF!</v>
      </c>
      <c r="S517" s="24">
        <v>100</v>
      </c>
      <c r="T517" s="23">
        <f t="shared" si="229"/>
        <v>0</v>
      </c>
      <c r="U517" s="23" t="e">
        <f t="shared" si="251"/>
        <v>#REF!</v>
      </c>
      <c r="V517" s="90">
        <f t="shared" si="181"/>
        <v>100</v>
      </c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 t="e">
        <f>[2]april!N84</f>
        <v>#REF!</v>
      </c>
      <c r="AH517" s="23">
        <f>'[3]DES SKPD'!$N84</f>
        <v>52275000</v>
      </c>
      <c r="AI517" s="23">
        <f>SUM(AI519:AI523)</f>
        <v>0</v>
      </c>
      <c r="AJ517" s="24">
        <f t="shared" si="315"/>
        <v>0</v>
      </c>
      <c r="AK517" s="134">
        <f t="shared" ref="AK517:AK524" si="345">Q517-AI517</f>
        <v>130200000</v>
      </c>
      <c r="AL517" s="24">
        <f t="shared" si="331"/>
        <v>100</v>
      </c>
      <c r="AM517" s="21"/>
    </row>
    <row r="518" spans="1:39" s="41" customFormat="1" ht="28.5" customHeight="1" x14ac:dyDescent="0.25">
      <c r="A518" s="21"/>
      <c r="B518" s="158"/>
      <c r="C518" s="158"/>
      <c r="D518" s="158"/>
      <c r="E518" s="158"/>
      <c r="F518" s="158"/>
      <c r="G518" s="158"/>
      <c r="H518" s="158"/>
      <c r="I518" s="159"/>
      <c r="J518" s="151" t="s">
        <v>323</v>
      </c>
      <c r="K518" s="22"/>
      <c r="L518" s="72"/>
      <c r="M518" s="563" t="s">
        <v>324</v>
      </c>
      <c r="N518" s="564"/>
      <c r="O518" s="76"/>
      <c r="P518" s="23"/>
      <c r="Q518" s="28">
        <v>6000000</v>
      </c>
      <c r="R518" s="29">
        <f t="shared" ref="R518:R523" si="346">Q518/Q$517*100</f>
        <v>4.6082949308755765</v>
      </c>
      <c r="S518" s="29">
        <v>100</v>
      </c>
      <c r="T518" s="28">
        <f t="shared" si="229"/>
        <v>0</v>
      </c>
      <c r="U518" s="28">
        <f t="shared" si="251"/>
        <v>0</v>
      </c>
      <c r="V518" s="87">
        <f t="shared" si="181"/>
        <v>100</v>
      </c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>
        <v>0</v>
      </c>
      <c r="AJ518" s="29">
        <f t="shared" si="315"/>
        <v>0</v>
      </c>
      <c r="AK518" s="136">
        <f t="shared" si="345"/>
        <v>6000000</v>
      </c>
      <c r="AL518" s="29">
        <f t="shared" si="331"/>
        <v>100</v>
      </c>
      <c r="AM518" s="21"/>
    </row>
    <row r="519" spans="1:39" s="93" customFormat="1" ht="24.75" customHeight="1" x14ac:dyDescent="0.25">
      <c r="A519" s="26"/>
      <c r="B519" s="151"/>
      <c r="C519" s="151"/>
      <c r="D519" s="151"/>
      <c r="E519" s="151"/>
      <c r="F519" s="151"/>
      <c r="G519" s="151"/>
      <c r="H519" s="151"/>
      <c r="I519" s="152"/>
      <c r="J519" s="151" t="s">
        <v>315</v>
      </c>
      <c r="K519" s="27"/>
      <c r="L519" s="31"/>
      <c r="M519" s="563" t="s">
        <v>271</v>
      </c>
      <c r="N519" s="564"/>
      <c r="O519" s="35"/>
      <c r="P519" s="28"/>
      <c r="Q519" s="28">
        <v>4000000</v>
      </c>
      <c r="R519" s="29">
        <f t="shared" si="346"/>
        <v>3.0721966205837172</v>
      </c>
      <c r="S519" s="29">
        <v>100</v>
      </c>
      <c r="T519" s="28">
        <f t="shared" si="229"/>
        <v>0</v>
      </c>
      <c r="U519" s="28">
        <f t="shared" si="251"/>
        <v>0</v>
      </c>
      <c r="V519" s="87">
        <f t="shared" si="181"/>
        <v>100</v>
      </c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>
        <v>0</v>
      </c>
      <c r="AJ519" s="29">
        <f t="shared" si="315"/>
        <v>0</v>
      </c>
      <c r="AK519" s="136">
        <f t="shared" si="345"/>
        <v>4000000</v>
      </c>
      <c r="AL519" s="29">
        <f t="shared" si="331"/>
        <v>100</v>
      </c>
      <c r="AM519" s="26"/>
    </row>
    <row r="520" spans="1:39" s="93" customFormat="1" ht="24.75" customHeight="1" x14ac:dyDescent="0.25">
      <c r="A520" s="26"/>
      <c r="B520" s="151"/>
      <c r="C520" s="151"/>
      <c r="D520" s="151"/>
      <c r="E520" s="151"/>
      <c r="F520" s="151"/>
      <c r="G520" s="151"/>
      <c r="H520" s="151"/>
      <c r="I520" s="152"/>
      <c r="J520" s="151" t="s">
        <v>280</v>
      </c>
      <c r="K520" s="27"/>
      <c r="L520" s="31"/>
      <c r="M520" s="563" t="s">
        <v>423</v>
      </c>
      <c r="N520" s="564"/>
      <c r="O520" s="35"/>
      <c r="P520" s="28"/>
      <c r="Q520" s="28">
        <v>1000000</v>
      </c>
      <c r="R520" s="29">
        <f t="shared" si="346"/>
        <v>0.76804915514592931</v>
      </c>
      <c r="S520" s="29">
        <v>100</v>
      </c>
      <c r="T520" s="28">
        <f t="shared" si="229"/>
        <v>0</v>
      </c>
      <c r="U520" s="28">
        <f t="shared" si="251"/>
        <v>0</v>
      </c>
      <c r="V520" s="87">
        <f t="shared" si="181"/>
        <v>100</v>
      </c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>
        <v>0</v>
      </c>
      <c r="AJ520" s="29">
        <f t="shared" si="315"/>
        <v>0</v>
      </c>
      <c r="AK520" s="136">
        <f t="shared" si="345"/>
        <v>1000000</v>
      </c>
      <c r="AL520" s="29">
        <f t="shared" si="331"/>
        <v>100</v>
      </c>
      <c r="AM520" s="26"/>
    </row>
    <row r="521" spans="1:39" s="93" customFormat="1" ht="24.75" customHeight="1" x14ac:dyDescent="0.25">
      <c r="A521" s="26"/>
      <c r="B521" s="151"/>
      <c r="C521" s="151"/>
      <c r="D521" s="151"/>
      <c r="E521" s="151"/>
      <c r="F521" s="151"/>
      <c r="G521" s="151"/>
      <c r="H521" s="151"/>
      <c r="I521" s="152"/>
      <c r="J521" s="151" t="s">
        <v>284</v>
      </c>
      <c r="K521" s="27"/>
      <c r="L521" s="31"/>
      <c r="M521" s="563" t="s">
        <v>285</v>
      </c>
      <c r="N521" s="564"/>
      <c r="O521" s="35"/>
      <c r="P521" s="28"/>
      <c r="Q521" s="28">
        <v>5000000</v>
      </c>
      <c r="R521" s="29">
        <f t="shared" si="346"/>
        <v>3.8402457757296471</v>
      </c>
      <c r="S521" s="29">
        <v>100</v>
      </c>
      <c r="T521" s="28">
        <f t="shared" si="229"/>
        <v>0</v>
      </c>
      <c r="U521" s="28">
        <f t="shared" si="251"/>
        <v>0</v>
      </c>
      <c r="V521" s="87">
        <f t="shared" si="181"/>
        <v>100</v>
      </c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>
        <v>0</v>
      </c>
      <c r="AJ521" s="29">
        <f t="shared" si="315"/>
        <v>0</v>
      </c>
      <c r="AK521" s="136">
        <f t="shared" si="345"/>
        <v>5000000</v>
      </c>
      <c r="AL521" s="29">
        <f t="shared" si="331"/>
        <v>100</v>
      </c>
      <c r="AM521" s="26"/>
    </row>
    <row r="522" spans="1:39" s="93" customFormat="1" ht="24.75" customHeight="1" x14ac:dyDescent="0.25">
      <c r="A522" s="26"/>
      <c r="B522" s="176"/>
      <c r="C522" s="176"/>
      <c r="D522" s="176"/>
      <c r="E522" s="176"/>
      <c r="F522" s="176"/>
      <c r="G522" s="176"/>
      <c r="H522" s="176"/>
      <c r="I522" s="177"/>
      <c r="J522" s="176"/>
      <c r="K522" s="27"/>
      <c r="L522" s="31"/>
      <c r="M522" s="563" t="s">
        <v>503</v>
      </c>
      <c r="N522" s="564"/>
      <c r="O522" s="35"/>
      <c r="P522" s="28"/>
      <c r="Q522" s="28">
        <v>10000000</v>
      </c>
      <c r="R522" s="29">
        <f t="shared" si="346"/>
        <v>7.6804915514592942</v>
      </c>
      <c r="S522" s="29">
        <v>100</v>
      </c>
      <c r="T522" s="28">
        <f t="shared" ref="T522" si="347">AJ522</f>
        <v>0</v>
      </c>
      <c r="U522" s="28">
        <f t="shared" ref="U522" si="348">R522*T522/100</f>
        <v>0</v>
      </c>
      <c r="V522" s="87">
        <f t="shared" ref="V522" si="349">S522-T522</f>
        <v>100</v>
      </c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>
        <v>0</v>
      </c>
      <c r="AJ522" s="29">
        <f t="shared" ref="AJ522" si="350">AI522/Q522*100</f>
        <v>0</v>
      </c>
      <c r="AK522" s="136">
        <f t="shared" ref="AK522" si="351">Q522-AI522</f>
        <v>10000000</v>
      </c>
      <c r="AL522" s="29">
        <f t="shared" ref="AL522" si="352">AK522/Q522*100</f>
        <v>100</v>
      </c>
      <c r="AM522" s="26"/>
    </row>
    <row r="523" spans="1:39" ht="24.75" customHeight="1" x14ac:dyDescent="0.25">
      <c r="A523" s="26"/>
      <c r="B523" s="151"/>
      <c r="C523" s="151"/>
      <c r="D523" s="151"/>
      <c r="E523" s="151"/>
      <c r="F523" s="151"/>
      <c r="G523" s="151"/>
      <c r="H523" s="151"/>
      <c r="I523" s="152"/>
      <c r="J523" s="151" t="s">
        <v>309</v>
      </c>
      <c r="K523" s="27"/>
      <c r="L523" s="31"/>
      <c r="M523" s="563" t="s">
        <v>310</v>
      </c>
      <c r="N523" s="564"/>
      <c r="O523" s="35"/>
      <c r="P523" s="28"/>
      <c r="Q523" s="28">
        <v>104200000</v>
      </c>
      <c r="R523" s="29">
        <f t="shared" si="346"/>
        <v>80.030721966205846</v>
      </c>
      <c r="S523" s="29">
        <v>100</v>
      </c>
      <c r="T523" s="28">
        <f t="shared" si="229"/>
        <v>0</v>
      </c>
      <c r="U523" s="28">
        <f t="shared" si="251"/>
        <v>0</v>
      </c>
      <c r="V523" s="87">
        <f t="shared" si="181"/>
        <v>100</v>
      </c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>
        <v>0</v>
      </c>
      <c r="AJ523" s="29">
        <f t="shared" si="315"/>
        <v>0</v>
      </c>
      <c r="AK523" s="136">
        <f t="shared" si="345"/>
        <v>104200000</v>
      </c>
      <c r="AL523" s="29">
        <f t="shared" si="331"/>
        <v>100</v>
      </c>
      <c r="AM523" s="26"/>
    </row>
    <row r="524" spans="1:39" s="41" customFormat="1" ht="29.25" customHeight="1" x14ac:dyDescent="0.25">
      <c r="A524" s="21" t="e">
        <f>A517+1</f>
        <v>#REF!</v>
      </c>
      <c r="B524" s="543" t="s">
        <v>158</v>
      </c>
      <c r="C524" s="543"/>
      <c r="D524" s="543"/>
      <c r="E524" s="543"/>
      <c r="F524" s="543"/>
      <c r="G524" s="543"/>
      <c r="H524" s="543"/>
      <c r="I524" s="544"/>
      <c r="J524" s="122" t="s">
        <v>519</v>
      </c>
      <c r="K524" s="22"/>
      <c r="L524" s="72"/>
      <c r="M524" s="566" t="s">
        <v>164</v>
      </c>
      <c r="N524" s="566"/>
      <c r="O524" s="76">
        <v>355300000</v>
      </c>
      <c r="P524" s="23">
        <v>0</v>
      </c>
      <c r="Q524" s="23">
        <f>SUM(Q525:Q535)</f>
        <v>154081000</v>
      </c>
      <c r="R524" s="24" t="e">
        <f>Q524/Q$243*100</f>
        <v>#REF!</v>
      </c>
      <c r="S524" s="24">
        <v>100</v>
      </c>
      <c r="T524" s="23">
        <f t="shared" si="229"/>
        <v>0</v>
      </c>
      <c r="U524" s="23" t="e">
        <f t="shared" si="251"/>
        <v>#REF!</v>
      </c>
      <c r="V524" s="90">
        <f t="shared" si="181"/>
        <v>100</v>
      </c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 t="e">
        <f>[2]april!N85</f>
        <v>#REF!</v>
      </c>
      <c r="AH524" s="23">
        <f>'[3]DES SKPD'!$N85</f>
        <v>78380000</v>
      </c>
      <c r="AI524" s="23">
        <f>SUM(AI525:AI534)</f>
        <v>0</v>
      </c>
      <c r="AJ524" s="24">
        <f t="shared" si="315"/>
        <v>0</v>
      </c>
      <c r="AK524" s="134">
        <f t="shared" si="345"/>
        <v>154081000</v>
      </c>
      <c r="AL524" s="24">
        <f t="shared" si="331"/>
        <v>100</v>
      </c>
      <c r="AM524" s="21"/>
    </row>
    <row r="525" spans="1:39" ht="29.25" customHeight="1" x14ac:dyDescent="0.25">
      <c r="A525" s="26"/>
      <c r="B525" s="151"/>
      <c r="C525" s="151"/>
      <c r="D525" s="151"/>
      <c r="E525" s="151"/>
      <c r="F525" s="151"/>
      <c r="G525" s="151"/>
      <c r="H525" s="151"/>
      <c r="I525" s="152"/>
      <c r="J525" s="176" t="s">
        <v>259</v>
      </c>
      <c r="K525" s="27"/>
      <c r="L525" s="31"/>
      <c r="M525" s="563" t="s">
        <v>619</v>
      </c>
      <c r="N525" s="564"/>
      <c r="O525" s="35"/>
      <c r="P525" s="28"/>
      <c r="Q525" s="28">
        <v>1300000</v>
      </c>
      <c r="R525" s="29">
        <f>Q525/Q$524*100</f>
        <v>0.84371207351977218</v>
      </c>
      <c r="S525" s="29">
        <v>100</v>
      </c>
      <c r="T525" s="28">
        <f t="shared" si="229"/>
        <v>0</v>
      </c>
      <c r="U525" s="28">
        <f t="shared" si="251"/>
        <v>0</v>
      </c>
      <c r="V525" s="87">
        <f t="shared" si="181"/>
        <v>100</v>
      </c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>
        <v>0</v>
      </c>
      <c r="AJ525" s="29">
        <f t="shared" si="315"/>
        <v>0</v>
      </c>
      <c r="AK525" s="28">
        <f>SUM(Q525-AI525)</f>
        <v>1300000</v>
      </c>
      <c r="AL525" s="29">
        <f t="shared" si="331"/>
        <v>100</v>
      </c>
      <c r="AM525" s="26"/>
    </row>
    <row r="526" spans="1:39" ht="29.25" customHeight="1" x14ac:dyDescent="0.25">
      <c r="A526" s="26"/>
      <c r="B526" s="151"/>
      <c r="C526" s="151"/>
      <c r="D526" s="151"/>
      <c r="E526" s="151"/>
      <c r="F526" s="151"/>
      <c r="G526" s="151"/>
      <c r="H526" s="151"/>
      <c r="I526" s="152"/>
      <c r="J526" s="176" t="s">
        <v>618</v>
      </c>
      <c r="K526" s="27"/>
      <c r="L526" s="31"/>
      <c r="M526" s="563" t="s">
        <v>351</v>
      </c>
      <c r="N526" s="564"/>
      <c r="O526" s="35"/>
      <c r="P526" s="28"/>
      <c r="Q526" s="28">
        <v>986000</v>
      </c>
      <c r="R526" s="29">
        <f t="shared" ref="R526:R535" si="353">Q526/Q$524*100</f>
        <v>0.63992315730038096</v>
      </c>
      <c r="S526" s="29">
        <v>100</v>
      </c>
      <c r="T526" s="28">
        <f t="shared" si="229"/>
        <v>0</v>
      </c>
      <c r="U526" s="28">
        <f t="shared" si="251"/>
        <v>0</v>
      </c>
      <c r="V526" s="87">
        <f t="shared" si="181"/>
        <v>100</v>
      </c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>
        <v>0</v>
      </c>
      <c r="AJ526" s="29">
        <f t="shared" si="315"/>
        <v>0</v>
      </c>
      <c r="AK526" s="28">
        <f t="shared" ref="AK526:AK535" si="354">SUM(Q526-AI526)</f>
        <v>986000</v>
      </c>
      <c r="AL526" s="29">
        <f t="shared" si="331"/>
        <v>100</v>
      </c>
      <c r="AM526" s="26"/>
    </row>
    <row r="527" spans="1:39" ht="29.25" customHeight="1" x14ac:dyDescent="0.25">
      <c r="A527" s="26"/>
      <c r="B527" s="151"/>
      <c r="C527" s="151"/>
      <c r="D527" s="151"/>
      <c r="E527" s="151"/>
      <c r="F527" s="151"/>
      <c r="G527" s="151"/>
      <c r="H527" s="151"/>
      <c r="I527" s="152"/>
      <c r="J527" s="151" t="s">
        <v>332</v>
      </c>
      <c r="K527" s="27"/>
      <c r="L527" s="31"/>
      <c r="M527" s="563" t="s">
        <v>354</v>
      </c>
      <c r="N527" s="564"/>
      <c r="O527" s="35"/>
      <c r="P527" s="28"/>
      <c r="Q527" s="28">
        <v>75000000</v>
      </c>
      <c r="R527" s="29">
        <f t="shared" si="353"/>
        <v>48.675696549217619</v>
      </c>
      <c r="S527" s="29">
        <v>100</v>
      </c>
      <c r="T527" s="28">
        <f t="shared" si="229"/>
        <v>0</v>
      </c>
      <c r="U527" s="28">
        <f t="shared" si="251"/>
        <v>0</v>
      </c>
      <c r="V527" s="87">
        <f t="shared" si="181"/>
        <v>100</v>
      </c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>
        <v>0</v>
      </c>
      <c r="AJ527" s="29">
        <f t="shared" si="315"/>
        <v>0</v>
      </c>
      <c r="AK527" s="28">
        <f t="shared" si="354"/>
        <v>75000000</v>
      </c>
      <c r="AL527" s="29">
        <f t="shared" si="331"/>
        <v>100</v>
      </c>
      <c r="AM527" s="26"/>
    </row>
    <row r="528" spans="1:39" ht="29.25" customHeight="1" x14ac:dyDescent="0.25">
      <c r="A528" s="26"/>
      <c r="B528" s="151"/>
      <c r="C528" s="151"/>
      <c r="D528" s="151"/>
      <c r="E528" s="151"/>
      <c r="F528" s="151"/>
      <c r="G528" s="151"/>
      <c r="H528" s="151"/>
      <c r="I528" s="152"/>
      <c r="J528" s="151" t="s">
        <v>374</v>
      </c>
      <c r="K528" s="27"/>
      <c r="L528" s="31"/>
      <c r="M528" s="563" t="s">
        <v>428</v>
      </c>
      <c r="N528" s="564"/>
      <c r="O528" s="35"/>
      <c r="P528" s="28"/>
      <c r="Q528" s="28">
        <v>500000</v>
      </c>
      <c r="R528" s="29">
        <f t="shared" si="353"/>
        <v>0.32450464366145082</v>
      </c>
      <c r="S528" s="29">
        <v>100</v>
      </c>
      <c r="T528" s="28">
        <f t="shared" si="229"/>
        <v>0</v>
      </c>
      <c r="U528" s="28">
        <f t="shared" si="251"/>
        <v>0</v>
      </c>
      <c r="V528" s="87">
        <f t="shared" si="181"/>
        <v>100</v>
      </c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>
        <v>0</v>
      </c>
      <c r="AJ528" s="29">
        <f t="shared" si="315"/>
        <v>0</v>
      </c>
      <c r="AK528" s="28">
        <f t="shared" si="354"/>
        <v>500000</v>
      </c>
      <c r="AL528" s="29">
        <f t="shared" si="331"/>
        <v>100</v>
      </c>
      <c r="AM528" s="26"/>
    </row>
    <row r="529" spans="1:39" ht="29.25" customHeight="1" x14ac:dyDescent="0.25">
      <c r="A529" s="26"/>
      <c r="B529" s="151"/>
      <c r="C529" s="151"/>
      <c r="D529" s="151"/>
      <c r="E529" s="151"/>
      <c r="F529" s="151"/>
      <c r="G529" s="151"/>
      <c r="H529" s="151"/>
      <c r="I529" s="152"/>
      <c r="J529" s="151" t="s">
        <v>316</v>
      </c>
      <c r="K529" s="27"/>
      <c r="L529" s="31"/>
      <c r="M529" s="563" t="s">
        <v>317</v>
      </c>
      <c r="N529" s="564"/>
      <c r="O529" s="35"/>
      <c r="P529" s="28"/>
      <c r="Q529" s="28">
        <v>17300000</v>
      </c>
      <c r="R529" s="29">
        <f t="shared" si="353"/>
        <v>11.227860670686198</v>
      </c>
      <c r="S529" s="29">
        <v>100</v>
      </c>
      <c r="T529" s="28">
        <f t="shared" si="229"/>
        <v>0</v>
      </c>
      <c r="U529" s="28">
        <f t="shared" si="251"/>
        <v>0</v>
      </c>
      <c r="V529" s="87">
        <f t="shared" si="181"/>
        <v>100</v>
      </c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>
        <v>0</v>
      </c>
      <c r="AJ529" s="29">
        <f t="shared" si="315"/>
        <v>0</v>
      </c>
      <c r="AK529" s="28">
        <f t="shared" si="354"/>
        <v>17300000</v>
      </c>
      <c r="AL529" s="29">
        <f t="shared" si="331"/>
        <v>100</v>
      </c>
      <c r="AM529" s="26"/>
    </row>
    <row r="530" spans="1:39" ht="29.25" customHeight="1" x14ac:dyDescent="0.25">
      <c r="A530" s="26"/>
      <c r="B530" s="151"/>
      <c r="C530" s="151"/>
      <c r="D530" s="151"/>
      <c r="E530" s="151"/>
      <c r="F530" s="151"/>
      <c r="G530" s="151"/>
      <c r="H530" s="151"/>
      <c r="I530" s="152"/>
      <c r="J530" s="151" t="s">
        <v>318</v>
      </c>
      <c r="K530" s="27"/>
      <c r="L530" s="31"/>
      <c r="M530" s="563" t="s">
        <v>319</v>
      </c>
      <c r="N530" s="564"/>
      <c r="O530" s="35"/>
      <c r="P530" s="28"/>
      <c r="Q530" s="28">
        <v>26250000</v>
      </c>
      <c r="R530" s="29">
        <f t="shared" si="353"/>
        <v>17.036493792226167</v>
      </c>
      <c r="S530" s="29">
        <v>100</v>
      </c>
      <c r="T530" s="28">
        <f t="shared" si="229"/>
        <v>0</v>
      </c>
      <c r="U530" s="28">
        <f t="shared" si="251"/>
        <v>0</v>
      </c>
      <c r="V530" s="87">
        <f t="shared" si="181"/>
        <v>100</v>
      </c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>
        <v>0</v>
      </c>
      <c r="AJ530" s="29">
        <f t="shared" si="315"/>
        <v>0</v>
      </c>
      <c r="AK530" s="28">
        <f t="shared" si="354"/>
        <v>26250000</v>
      </c>
      <c r="AL530" s="29">
        <f t="shared" si="331"/>
        <v>100</v>
      </c>
      <c r="AM530" s="26"/>
    </row>
    <row r="531" spans="1:39" ht="29.25" customHeight="1" x14ac:dyDescent="0.25">
      <c r="A531" s="26"/>
      <c r="B531" s="151"/>
      <c r="C531" s="151"/>
      <c r="D531" s="151"/>
      <c r="E531" s="151"/>
      <c r="F531" s="151"/>
      <c r="G531" s="151"/>
      <c r="H531" s="151"/>
      <c r="I531" s="152"/>
      <c r="J531" s="151" t="s">
        <v>284</v>
      </c>
      <c r="K531" s="27"/>
      <c r="L531" s="31"/>
      <c r="M531" s="563" t="s">
        <v>285</v>
      </c>
      <c r="N531" s="564"/>
      <c r="O531" s="35"/>
      <c r="P531" s="28"/>
      <c r="Q531" s="28">
        <v>3000000</v>
      </c>
      <c r="R531" s="29">
        <f t="shared" si="353"/>
        <v>1.9470278619687049</v>
      </c>
      <c r="S531" s="29">
        <v>100</v>
      </c>
      <c r="T531" s="28">
        <f t="shared" si="229"/>
        <v>0</v>
      </c>
      <c r="U531" s="28">
        <f t="shared" si="251"/>
        <v>0</v>
      </c>
      <c r="V531" s="87">
        <f t="shared" ref="V531:V657" si="355">S531-T531</f>
        <v>100</v>
      </c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>
        <v>0</v>
      </c>
      <c r="AJ531" s="29">
        <f t="shared" si="315"/>
        <v>0</v>
      </c>
      <c r="AK531" s="28">
        <f t="shared" si="354"/>
        <v>3000000</v>
      </c>
      <c r="AL531" s="29">
        <f t="shared" si="331"/>
        <v>100</v>
      </c>
      <c r="AM531" s="26"/>
    </row>
    <row r="532" spans="1:39" ht="29.25" customHeight="1" x14ac:dyDescent="0.25">
      <c r="A532" s="26"/>
      <c r="B532" s="151"/>
      <c r="C532" s="151"/>
      <c r="D532" s="151"/>
      <c r="E532" s="151"/>
      <c r="F532" s="151"/>
      <c r="G532" s="151"/>
      <c r="H532" s="151"/>
      <c r="I532" s="152"/>
      <c r="J532" s="151" t="s">
        <v>282</v>
      </c>
      <c r="K532" s="27"/>
      <c r="L532" s="31"/>
      <c r="M532" s="563" t="s">
        <v>283</v>
      </c>
      <c r="N532" s="564"/>
      <c r="O532" s="35"/>
      <c r="P532" s="28"/>
      <c r="Q532" s="28">
        <v>10245000</v>
      </c>
      <c r="R532" s="29">
        <f t="shared" si="353"/>
        <v>6.6491001486231269</v>
      </c>
      <c r="S532" s="29">
        <v>100</v>
      </c>
      <c r="T532" s="28">
        <f t="shared" si="229"/>
        <v>0</v>
      </c>
      <c r="U532" s="28">
        <f t="shared" si="251"/>
        <v>0</v>
      </c>
      <c r="V532" s="87">
        <f t="shared" si="355"/>
        <v>100</v>
      </c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>
        <v>0</v>
      </c>
      <c r="AJ532" s="29">
        <f t="shared" si="315"/>
        <v>0</v>
      </c>
      <c r="AK532" s="28">
        <f t="shared" si="354"/>
        <v>10245000</v>
      </c>
      <c r="AL532" s="29">
        <f t="shared" si="331"/>
        <v>100</v>
      </c>
      <c r="AM532" s="26"/>
    </row>
    <row r="533" spans="1:39" ht="29.25" customHeight="1" x14ac:dyDescent="0.25">
      <c r="A533" s="26"/>
      <c r="B533" s="151"/>
      <c r="C533" s="151"/>
      <c r="D533" s="151"/>
      <c r="E533" s="151"/>
      <c r="F533" s="151"/>
      <c r="G533" s="151"/>
      <c r="H533" s="151"/>
      <c r="I533" s="152"/>
      <c r="J533" s="151" t="s">
        <v>320</v>
      </c>
      <c r="K533" s="27"/>
      <c r="L533" s="31"/>
      <c r="M533" s="563" t="s">
        <v>321</v>
      </c>
      <c r="N533" s="564"/>
      <c r="O533" s="35"/>
      <c r="P533" s="28"/>
      <c r="Q533" s="28">
        <v>5800000</v>
      </c>
      <c r="R533" s="29">
        <f t="shared" si="353"/>
        <v>3.7642538664728291</v>
      </c>
      <c r="S533" s="29">
        <v>100</v>
      </c>
      <c r="T533" s="28">
        <f t="shared" si="229"/>
        <v>0</v>
      </c>
      <c r="U533" s="28">
        <f t="shared" si="251"/>
        <v>0</v>
      </c>
      <c r="V533" s="87">
        <f t="shared" si="355"/>
        <v>100</v>
      </c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>
        <v>0</v>
      </c>
      <c r="AJ533" s="29">
        <f t="shared" si="315"/>
        <v>0</v>
      </c>
      <c r="AK533" s="28">
        <f t="shared" si="354"/>
        <v>5800000</v>
      </c>
      <c r="AL533" s="29">
        <f t="shared" si="331"/>
        <v>100</v>
      </c>
      <c r="AM533" s="26"/>
    </row>
    <row r="534" spans="1:39" ht="29.25" customHeight="1" x14ac:dyDescent="0.25">
      <c r="A534" s="26"/>
      <c r="B534" s="151"/>
      <c r="C534" s="151"/>
      <c r="D534" s="151"/>
      <c r="E534" s="151"/>
      <c r="F534" s="151"/>
      <c r="G534" s="151"/>
      <c r="H534" s="151"/>
      <c r="I534" s="152"/>
      <c r="J534" s="151" t="s">
        <v>309</v>
      </c>
      <c r="K534" s="27"/>
      <c r="L534" s="31"/>
      <c r="M534" s="563" t="s">
        <v>607</v>
      </c>
      <c r="N534" s="564"/>
      <c r="O534" s="35"/>
      <c r="P534" s="28"/>
      <c r="Q534" s="28">
        <v>2450000</v>
      </c>
      <c r="R534" s="29">
        <f t="shared" si="353"/>
        <v>1.5900727539411088</v>
      </c>
      <c r="S534" s="29">
        <v>100</v>
      </c>
      <c r="T534" s="28">
        <f t="shared" si="229"/>
        <v>0</v>
      </c>
      <c r="U534" s="28">
        <f t="shared" si="251"/>
        <v>0</v>
      </c>
      <c r="V534" s="87">
        <f t="shared" si="355"/>
        <v>100</v>
      </c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>
        <v>0</v>
      </c>
      <c r="AJ534" s="29">
        <f t="shared" si="315"/>
        <v>0</v>
      </c>
      <c r="AK534" s="28">
        <f t="shared" si="354"/>
        <v>2450000</v>
      </c>
      <c r="AL534" s="29">
        <f t="shared" si="331"/>
        <v>100</v>
      </c>
      <c r="AM534" s="26"/>
    </row>
    <row r="535" spans="1:39" ht="29.25" customHeight="1" x14ac:dyDescent="0.25">
      <c r="A535" s="26"/>
      <c r="B535" s="151"/>
      <c r="C535" s="151"/>
      <c r="D535" s="151"/>
      <c r="E535" s="151"/>
      <c r="F535" s="151"/>
      <c r="G535" s="151"/>
      <c r="H535" s="151"/>
      <c r="I535" s="152"/>
      <c r="J535" s="151" t="s">
        <v>372</v>
      </c>
      <c r="K535" s="27"/>
      <c r="L535" s="31"/>
      <c r="M535" s="563" t="s">
        <v>373</v>
      </c>
      <c r="N535" s="564"/>
      <c r="O535" s="35"/>
      <c r="P535" s="28"/>
      <c r="Q535" s="28">
        <v>11250000</v>
      </c>
      <c r="R535" s="29">
        <f t="shared" si="353"/>
        <v>7.3013544823826422</v>
      </c>
      <c r="S535" s="29"/>
      <c r="T535" s="28">
        <f t="shared" si="229"/>
        <v>0</v>
      </c>
      <c r="U535" s="28">
        <f t="shared" si="251"/>
        <v>0</v>
      </c>
      <c r="V535" s="87">
        <f t="shared" si="355"/>
        <v>0</v>
      </c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>
        <v>0</v>
      </c>
      <c r="AJ535" s="29">
        <f t="shared" si="315"/>
        <v>0</v>
      </c>
      <c r="AK535" s="28">
        <f t="shared" si="354"/>
        <v>11250000</v>
      </c>
      <c r="AL535" s="29">
        <f t="shared" si="331"/>
        <v>100</v>
      </c>
      <c r="AM535" s="26"/>
    </row>
    <row r="536" spans="1:39" s="41" customFormat="1" ht="31.5" customHeight="1" x14ac:dyDescent="0.25">
      <c r="A536" s="21" t="e">
        <f>A524+1</f>
        <v>#REF!</v>
      </c>
      <c r="B536" s="543" t="s">
        <v>158</v>
      </c>
      <c r="C536" s="543"/>
      <c r="D536" s="543"/>
      <c r="E536" s="543"/>
      <c r="F536" s="543"/>
      <c r="G536" s="543"/>
      <c r="H536" s="543"/>
      <c r="I536" s="544"/>
      <c r="J536" s="122" t="s">
        <v>520</v>
      </c>
      <c r="K536" s="22"/>
      <c r="L536" s="72"/>
      <c r="M536" s="566" t="s">
        <v>165</v>
      </c>
      <c r="N536" s="566"/>
      <c r="O536" s="76">
        <v>355300000</v>
      </c>
      <c r="P536" s="23">
        <v>0</v>
      </c>
      <c r="Q536" s="23">
        <f>SUM(Q537:Q546)</f>
        <v>237999131</v>
      </c>
      <c r="R536" s="24" t="e">
        <f>Q536/Q$243*100</f>
        <v>#REF!</v>
      </c>
      <c r="S536" s="24">
        <v>100</v>
      </c>
      <c r="T536" s="23">
        <f t="shared" si="229"/>
        <v>0</v>
      </c>
      <c r="U536" s="23" t="e">
        <f t="shared" si="251"/>
        <v>#REF!</v>
      </c>
      <c r="V536" s="90">
        <f t="shared" si="355"/>
        <v>100</v>
      </c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 t="e">
        <f>[2]april!N86</f>
        <v>#REF!</v>
      </c>
      <c r="AH536" s="23">
        <f>'[3]DES SKPD'!$N86</f>
        <v>126710000</v>
      </c>
      <c r="AI536" s="23">
        <f>SUM(AI537:AI546)</f>
        <v>0</v>
      </c>
      <c r="AJ536" s="24">
        <f t="shared" si="315"/>
        <v>0</v>
      </c>
      <c r="AK536" s="134">
        <f>Q536-AI536</f>
        <v>237999131</v>
      </c>
      <c r="AL536" s="24">
        <f t="shared" si="331"/>
        <v>100</v>
      </c>
      <c r="AM536" s="21"/>
    </row>
    <row r="537" spans="1:39" ht="42.75" customHeight="1" x14ac:dyDescent="0.25">
      <c r="A537" s="26"/>
      <c r="B537" s="151"/>
      <c r="C537" s="151"/>
      <c r="D537" s="151"/>
      <c r="E537" s="151"/>
      <c r="F537" s="151"/>
      <c r="G537" s="151"/>
      <c r="H537" s="151"/>
      <c r="I537" s="152"/>
      <c r="J537" s="176" t="s">
        <v>251</v>
      </c>
      <c r="K537" s="27"/>
      <c r="L537" s="31"/>
      <c r="M537" s="591" t="s">
        <v>324</v>
      </c>
      <c r="N537" s="592"/>
      <c r="O537" s="35"/>
      <c r="P537" s="28"/>
      <c r="Q537" s="28">
        <v>3199131</v>
      </c>
      <c r="R537" s="29">
        <f>Q537/Q$536*100</f>
        <v>1.3441775970182008</v>
      </c>
      <c r="S537" s="29">
        <v>100</v>
      </c>
      <c r="T537" s="28">
        <f t="shared" si="229"/>
        <v>0</v>
      </c>
      <c r="U537" s="28">
        <f t="shared" si="251"/>
        <v>0</v>
      </c>
      <c r="V537" s="87">
        <f t="shared" si="355"/>
        <v>100</v>
      </c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>
        <v>0</v>
      </c>
      <c r="AJ537" s="29">
        <f t="shared" si="315"/>
        <v>0</v>
      </c>
      <c r="AK537" s="136">
        <f>SUM(Q537-AI537)</f>
        <v>3199131</v>
      </c>
      <c r="AL537" s="29">
        <f t="shared" si="331"/>
        <v>100</v>
      </c>
      <c r="AM537" s="26"/>
    </row>
    <row r="538" spans="1:39" ht="42.75" customHeight="1" x14ac:dyDescent="0.25">
      <c r="A538" s="26"/>
      <c r="B538" s="176"/>
      <c r="C538" s="176"/>
      <c r="D538" s="176"/>
      <c r="E538" s="176"/>
      <c r="F538" s="176"/>
      <c r="G538" s="176"/>
      <c r="H538" s="176"/>
      <c r="I538" s="177"/>
      <c r="J538" s="176"/>
      <c r="K538" s="27"/>
      <c r="L538" s="31"/>
      <c r="M538" s="563" t="s">
        <v>346</v>
      </c>
      <c r="N538" s="564"/>
      <c r="O538" s="35"/>
      <c r="P538" s="28"/>
      <c r="Q538" s="28">
        <v>16500000</v>
      </c>
      <c r="R538" s="29">
        <f>Q538/Q$536*100</f>
        <v>6.9327984226967621</v>
      </c>
      <c r="S538" s="29">
        <v>100</v>
      </c>
      <c r="T538" s="28">
        <f t="shared" ref="T538" si="356">AJ538</f>
        <v>0</v>
      </c>
      <c r="U538" s="28">
        <f t="shared" ref="U538" si="357">R538*T538/100</f>
        <v>0</v>
      </c>
      <c r="V538" s="87">
        <f t="shared" ref="V538" si="358">S538-T538</f>
        <v>100</v>
      </c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>
        <v>0</v>
      </c>
      <c r="AJ538" s="29">
        <f t="shared" ref="AJ538" si="359">AI538/Q538*100</f>
        <v>0</v>
      </c>
      <c r="AK538" s="136">
        <f>SUM(Q538-AI538)</f>
        <v>16500000</v>
      </c>
      <c r="AL538" s="29">
        <f t="shared" ref="AL538" si="360">AK538/Q538*100</f>
        <v>100</v>
      </c>
      <c r="AM538" s="26"/>
    </row>
    <row r="539" spans="1:39" ht="24.75" customHeight="1" x14ac:dyDescent="0.25">
      <c r="A539" s="26"/>
      <c r="B539" s="151"/>
      <c r="C539" s="151"/>
      <c r="D539" s="151"/>
      <c r="E539" s="151"/>
      <c r="F539" s="151"/>
      <c r="G539" s="151"/>
      <c r="H539" s="151"/>
      <c r="I539" s="152"/>
      <c r="J539" s="151" t="s">
        <v>315</v>
      </c>
      <c r="K539" s="27"/>
      <c r="L539" s="31"/>
      <c r="M539" s="563" t="s">
        <v>271</v>
      </c>
      <c r="N539" s="564"/>
      <c r="O539" s="35"/>
      <c r="P539" s="28"/>
      <c r="Q539" s="28">
        <v>4000000</v>
      </c>
      <c r="R539" s="29">
        <f t="shared" ref="R539:R546" si="361">Q539/Q$536*100</f>
        <v>1.6806784055022455</v>
      </c>
      <c r="S539" s="29">
        <v>100</v>
      </c>
      <c r="T539" s="28">
        <f t="shared" si="229"/>
        <v>0</v>
      </c>
      <c r="U539" s="28">
        <f t="shared" si="251"/>
        <v>0</v>
      </c>
      <c r="V539" s="87">
        <f t="shared" si="355"/>
        <v>100</v>
      </c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>
        <v>0</v>
      </c>
      <c r="AJ539" s="29">
        <f t="shared" si="315"/>
        <v>0</v>
      </c>
      <c r="AK539" s="136">
        <f t="shared" ref="AK539:AK546" si="362">SUM(Q539-AI539)</f>
        <v>4000000</v>
      </c>
      <c r="AL539" s="29">
        <f t="shared" si="331"/>
        <v>100</v>
      </c>
      <c r="AM539" s="26"/>
    </row>
    <row r="540" spans="1:39" ht="24.75" customHeight="1" x14ac:dyDescent="0.25">
      <c r="A540" s="26"/>
      <c r="B540" s="151"/>
      <c r="C540" s="151"/>
      <c r="D540" s="151"/>
      <c r="E540" s="151"/>
      <c r="F540" s="151"/>
      <c r="G540" s="151"/>
      <c r="H540" s="151"/>
      <c r="I540" s="152"/>
      <c r="J540" s="151" t="s">
        <v>316</v>
      </c>
      <c r="K540" s="27"/>
      <c r="L540" s="31"/>
      <c r="M540" s="563" t="s">
        <v>317</v>
      </c>
      <c r="N540" s="564"/>
      <c r="O540" s="35"/>
      <c r="P540" s="28"/>
      <c r="Q540" s="28">
        <v>3600000</v>
      </c>
      <c r="R540" s="29">
        <f t="shared" si="361"/>
        <v>1.5126105649520207</v>
      </c>
      <c r="S540" s="29">
        <v>100</v>
      </c>
      <c r="T540" s="28">
        <f t="shared" si="229"/>
        <v>0</v>
      </c>
      <c r="U540" s="28">
        <f t="shared" si="251"/>
        <v>0</v>
      </c>
      <c r="V540" s="87">
        <f t="shared" si="355"/>
        <v>100</v>
      </c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>
        <v>0</v>
      </c>
      <c r="AJ540" s="29">
        <f t="shared" si="315"/>
        <v>0</v>
      </c>
      <c r="AK540" s="136">
        <f t="shared" si="362"/>
        <v>3600000</v>
      </c>
      <c r="AL540" s="29">
        <f t="shared" si="331"/>
        <v>100</v>
      </c>
      <c r="AM540" s="26"/>
    </row>
    <row r="541" spans="1:39" ht="24.75" customHeight="1" x14ac:dyDescent="0.25">
      <c r="A541" s="26"/>
      <c r="B541" s="151"/>
      <c r="C541" s="151"/>
      <c r="D541" s="151"/>
      <c r="E541" s="151"/>
      <c r="F541" s="151"/>
      <c r="G541" s="151"/>
      <c r="H541" s="151"/>
      <c r="I541" s="152"/>
      <c r="J541" s="151" t="s">
        <v>370</v>
      </c>
      <c r="K541" s="27"/>
      <c r="L541" s="31"/>
      <c r="M541" s="563" t="s">
        <v>371</v>
      </c>
      <c r="N541" s="564"/>
      <c r="O541" s="35"/>
      <c r="P541" s="28"/>
      <c r="Q541" s="28">
        <v>27000000</v>
      </c>
      <c r="R541" s="29">
        <f t="shared" si="361"/>
        <v>11.344579237140156</v>
      </c>
      <c r="S541" s="29">
        <v>100</v>
      </c>
      <c r="T541" s="28">
        <f t="shared" si="229"/>
        <v>0</v>
      </c>
      <c r="U541" s="28">
        <f t="shared" si="251"/>
        <v>0</v>
      </c>
      <c r="V541" s="87">
        <f t="shared" si="355"/>
        <v>100</v>
      </c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>
        <v>0</v>
      </c>
      <c r="AJ541" s="29">
        <f t="shared" si="315"/>
        <v>0</v>
      </c>
      <c r="AK541" s="136">
        <f t="shared" si="362"/>
        <v>27000000</v>
      </c>
      <c r="AL541" s="29">
        <f t="shared" si="331"/>
        <v>100</v>
      </c>
      <c r="AM541" s="26"/>
    </row>
    <row r="542" spans="1:39" ht="30" customHeight="1" x14ac:dyDescent="0.25">
      <c r="A542" s="26"/>
      <c r="B542" s="151"/>
      <c r="C542" s="151"/>
      <c r="D542" s="151"/>
      <c r="E542" s="151"/>
      <c r="F542" s="151"/>
      <c r="G542" s="151"/>
      <c r="H542" s="151"/>
      <c r="I542" s="152"/>
      <c r="J542" s="151" t="s">
        <v>339</v>
      </c>
      <c r="K542" s="27"/>
      <c r="L542" s="31"/>
      <c r="M542" s="563" t="s">
        <v>340</v>
      </c>
      <c r="N542" s="564"/>
      <c r="O542" s="35"/>
      <c r="P542" s="28"/>
      <c r="Q542" s="28">
        <v>41000000</v>
      </c>
      <c r="R542" s="29">
        <f t="shared" si="361"/>
        <v>17.226953656398013</v>
      </c>
      <c r="S542" s="29">
        <v>100</v>
      </c>
      <c r="T542" s="28">
        <f t="shared" si="229"/>
        <v>0</v>
      </c>
      <c r="U542" s="28">
        <f t="shared" si="251"/>
        <v>0</v>
      </c>
      <c r="V542" s="87">
        <f t="shared" si="355"/>
        <v>100</v>
      </c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>
        <v>0</v>
      </c>
      <c r="AJ542" s="29">
        <f t="shared" si="315"/>
        <v>0</v>
      </c>
      <c r="AK542" s="136">
        <f t="shared" si="362"/>
        <v>41000000</v>
      </c>
      <c r="AL542" s="29">
        <f t="shared" si="331"/>
        <v>100</v>
      </c>
      <c r="AM542" s="26"/>
    </row>
    <row r="543" spans="1:39" ht="24.75" customHeight="1" x14ac:dyDescent="0.25">
      <c r="A543" s="26"/>
      <c r="B543" s="151"/>
      <c r="C543" s="151"/>
      <c r="D543" s="151"/>
      <c r="E543" s="151"/>
      <c r="F543" s="151"/>
      <c r="G543" s="151"/>
      <c r="H543" s="151"/>
      <c r="I543" s="152"/>
      <c r="J543" s="176" t="s">
        <v>284</v>
      </c>
      <c r="K543" s="27"/>
      <c r="L543" s="31"/>
      <c r="M543" s="563" t="s">
        <v>285</v>
      </c>
      <c r="N543" s="564"/>
      <c r="O543" s="35"/>
      <c r="P543" s="28"/>
      <c r="Q543" s="28">
        <v>4400000</v>
      </c>
      <c r="R543" s="29">
        <f t="shared" si="361"/>
        <v>1.8487462460524697</v>
      </c>
      <c r="S543" s="29">
        <v>100</v>
      </c>
      <c r="T543" s="28">
        <f t="shared" si="229"/>
        <v>0</v>
      </c>
      <c r="U543" s="28">
        <f t="shared" si="251"/>
        <v>0</v>
      </c>
      <c r="V543" s="87">
        <f t="shared" si="355"/>
        <v>100</v>
      </c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>
        <v>0</v>
      </c>
      <c r="AJ543" s="29">
        <f t="shared" si="315"/>
        <v>0</v>
      </c>
      <c r="AK543" s="136">
        <f t="shared" si="362"/>
        <v>4400000</v>
      </c>
      <c r="AL543" s="29">
        <f t="shared" si="331"/>
        <v>100</v>
      </c>
      <c r="AM543" s="26"/>
    </row>
    <row r="544" spans="1:39" ht="24.75" customHeight="1" x14ac:dyDescent="0.25">
      <c r="A544" s="26"/>
      <c r="B544" s="176"/>
      <c r="C544" s="176"/>
      <c r="D544" s="176"/>
      <c r="E544" s="176"/>
      <c r="F544" s="176"/>
      <c r="G544" s="176"/>
      <c r="H544" s="176"/>
      <c r="I544" s="177"/>
      <c r="J544" s="176" t="s">
        <v>320</v>
      </c>
      <c r="K544" s="27"/>
      <c r="L544" s="31"/>
      <c r="M544" s="563" t="s">
        <v>321</v>
      </c>
      <c r="N544" s="564"/>
      <c r="O544" s="35"/>
      <c r="P544" s="28"/>
      <c r="Q544" s="28">
        <v>33600000</v>
      </c>
      <c r="R544" s="29">
        <f t="shared" si="361"/>
        <v>14.117698606218859</v>
      </c>
      <c r="S544" s="29">
        <v>100</v>
      </c>
      <c r="T544" s="28">
        <f t="shared" ref="T544" si="363">AJ544</f>
        <v>0</v>
      </c>
      <c r="U544" s="28">
        <f t="shared" ref="U544" si="364">R544*T544/100</f>
        <v>0</v>
      </c>
      <c r="V544" s="87">
        <f t="shared" ref="V544" si="365">S544-T544</f>
        <v>100</v>
      </c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>
        <v>0</v>
      </c>
      <c r="AJ544" s="29">
        <f t="shared" ref="AJ544" si="366">AI544/Q544*100</f>
        <v>0</v>
      </c>
      <c r="AK544" s="136">
        <f t="shared" ref="AK544" si="367">SUM(Q544-AI544)</f>
        <v>33600000</v>
      </c>
      <c r="AL544" s="29">
        <f t="shared" ref="AL544" si="368">AK544/Q544*100</f>
        <v>100</v>
      </c>
      <c r="AM544" s="26"/>
    </row>
    <row r="545" spans="1:39" ht="24.75" customHeight="1" x14ac:dyDescent="0.25">
      <c r="A545" s="26"/>
      <c r="B545" s="151"/>
      <c r="C545" s="151"/>
      <c r="D545" s="151"/>
      <c r="E545" s="151"/>
      <c r="F545" s="151"/>
      <c r="G545" s="151"/>
      <c r="H545" s="151"/>
      <c r="I545" s="152"/>
      <c r="J545" s="151" t="s">
        <v>407</v>
      </c>
      <c r="K545" s="27"/>
      <c r="L545" s="31"/>
      <c r="M545" s="563" t="s">
        <v>414</v>
      </c>
      <c r="N545" s="564"/>
      <c r="O545" s="35"/>
      <c r="P545" s="28"/>
      <c r="Q545" s="28">
        <v>2700000</v>
      </c>
      <c r="R545" s="29">
        <f t="shared" si="361"/>
        <v>1.1344579237140155</v>
      </c>
      <c r="S545" s="29"/>
      <c r="T545" s="28">
        <f t="shared" si="229"/>
        <v>0</v>
      </c>
      <c r="U545" s="28">
        <f t="shared" si="251"/>
        <v>0</v>
      </c>
      <c r="V545" s="87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>
        <v>0</v>
      </c>
      <c r="AJ545" s="29">
        <f t="shared" si="315"/>
        <v>0</v>
      </c>
      <c r="AK545" s="136">
        <f t="shared" si="362"/>
        <v>2700000</v>
      </c>
      <c r="AL545" s="29"/>
      <c r="AM545" s="26"/>
    </row>
    <row r="546" spans="1:39" ht="24.75" customHeight="1" x14ac:dyDescent="0.25">
      <c r="A546" s="26"/>
      <c r="B546" s="151"/>
      <c r="C546" s="151"/>
      <c r="D546" s="151"/>
      <c r="E546" s="151"/>
      <c r="F546" s="151"/>
      <c r="G546" s="151"/>
      <c r="H546" s="151"/>
      <c r="I546" s="152"/>
      <c r="J546" s="151" t="s">
        <v>372</v>
      </c>
      <c r="K546" s="27"/>
      <c r="L546" s="31"/>
      <c r="M546" s="563" t="s">
        <v>373</v>
      </c>
      <c r="N546" s="564"/>
      <c r="O546" s="35"/>
      <c r="P546" s="28"/>
      <c r="Q546" s="28">
        <v>102000000</v>
      </c>
      <c r="R546" s="29">
        <f t="shared" si="361"/>
        <v>42.85729934030725</v>
      </c>
      <c r="S546" s="29">
        <v>100</v>
      </c>
      <c r="T546" s="28">
        <f t="shared" si="229"/>
        <v>0</v>
      </c>
      <c r="U546" s="28">
        <f t="shared" si="251"/>
        <v>0</v>
      </c>
      <c r="V546" s="87">
        <f t="shared" si="355"/>
        <v>100</v>
      </c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>
        <v>0</v>
      </c>
      <c r="AJ546" s="29">
        <f t="shared" si="315"/>
        <v>0</v>
      </c>
      <c r="AK546" s="136">
        <f t="shared" si="362"/>
        <v>102000000</v>
      </c>
      <c r="AL546" s="29">
        <f t="shared" ref="AL546:AL552" si="369">AK546/Q546*100</f>
        <v>100</v>
      </c>
      <c r="AM546" s="26"/>
    </row>
    <row r="547" spans="1:39" s="41" customFormat="1" ht="29.25" customHeight="1" x14ac:dyDescent="0.25">
      <c r="A547" s="21" t="e">
        <f>SUM(A536+1)</f>
        <v>#REF!</v>
      </c>
      <c r="B547" s="158"/>
      <c r="C547" s="158"/>
      <c r="D547" s="158"/>
      <c r="E547" s="158"/>
      <c r="F547" s="158"/>
      <c r="G547" s="158"/>
      <c r="H547" s="158"/>
      <c r="I547" s="159"/>
      <c r="J547" s="122" t="s">
        <v>521</v>
      </c>
      <c r="K547" s="22"/>
      <c r="L547" s="72"/>
      <c r="M547" s="568" t="s">
        <v>201</v>
      </c>
      <c r="N547" s="546"/>
      <c r="O547" s="76"/>
      <c r="P547" s="23"/>
      <c r="Q547" s="23">
        <f>SUM(Q548:Q554)</f>
        <v>168812754</v>
      </c>
      <c r="R547" s="24" t="e">
        <f>Q547/Q$243*100</f>
        <v>#REF!</v>
      </c>
      <c r="S547" s="24">
        <v>100</v>
      </c>
      <c r="T547" s="23">
        <f t="shared" si="229"/>
        <v>0</v>
      </c>
      <c r="U547" s="23" t="e">
        <f t="shared" si="251"/>
        <v>#REF!</v>
      </c>
      <c r="V547" s="90">
        <f t="shared" si="355"/>
        <v>100</v>
      </c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>
        <f>SUM(AI548:AI554)</f>
        <v>0</v>
      </c>
      <c r="AJ547" s="24">
        <f t="shared" si="315"/>
        <v>0</v>
      </c>
      <c r="AK547" s="134">
        <f>Q547-AI547</f>
        <v>168812754</v>
      </c>
      <c r="AL547" s="24">
        <f t="shared" si="369"/>
        <v>100</v>
      </c>
      <c r="AM547" s="21"/>
    </row>
    <row r="548" spans="1:39" ht="27" customHeight="1" x14ac:dyDescent="0.25">
      <c r="A548" s="26"/>
      <c r="B548" s="151"/>
      <c r="C548" s="151"/>
      <c r="D548" s="151"/>
      <c r="E548" s="151"/>
      <c r="F548" s="151"/>
      <c r="G548" s="151"/>
      <c r="H548" s="151"/>
      <c r="I548" s="152"/>
      <c r="J548" s="151" t="s">
        <v>257</v>
      </c>
      <c r="K548" s="27"/>
      <c r="L548" s="31"/>
      <c r="M548" s="563" t="s">
        <v>324</v>
      </c>
      <c r="N548" s="564"/>
      <c r="O548" s="35"/>
      <c r="P548" s="28"/>
      <c r="Q548" s="28">
        <v>3000000</v>
      </c>
      <c r="R548" s="29">
        <f>Q548/Q$547*100</f>
        <v>1.7771169114390493</v>
      </c>
      <c r="S548" s="29">
        <v>100</v>
      </c>
      <c r="T548" s="28">
        <f t="shared" si="229"/>
        <v>0</v>
      </c>
      <c r="U548" s="28">
        <f t="shared" si="251"/>
        <v>0</v>
      </c>
      <c r="V548" s="87">
        <f t="shared" si="355"/>
        <v>100</v>
      </c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>
        <v>0</v>
      </c>
      <c r="AJ548" s="29">
        <f t="shared" si="315"/>
        <v>0</v>
      </c>
      <c r="AK548" s="136">
        <f>SUM(Q548-AI548)</f>
        <v>3000000</v>
      </c>
      <c r="AL548" s="29">
        <f t="shared" si="369"/>
        <v>100</v>
      </c>
      <c r="AM548" s="26"/>
    </row>
    <row r="549" spans="1:39" ht="24.75" customHeight="1" x14ac:dyDescent="0.25">
      <c r="A549" s="26"/>
      <c r="B549" s="151"/>
      <c r="C549" s="151"/>
      <c r="D549" s="151"/>
      <c r="E549" s="151"/>
      <c r="F549" s="151"/>
      <c r="G549" s="151"/>
      <c r="H549" s="151"/>
      <c r="I549" s="152"/>
      <c r="J549" s="151" t="s">
        <v>315</v>
      </c>
      <c r="K549" s="27"/>
      <c r="L549" s="31"/>
      <c r="M549" s="563" t="s">
        <v>271</v>
      </c>
      <c r="N549" s="564"/>
      <c r="O549" s="35"/>
      <c r="P549" s="28"/>
      <c r="Q549" s="28">
        <v>8120000</v>
      </c>
      <c r="R549" s="29">
        <f t="shared" ref="R549:R555" si="370">Q549/Q$547*100</f>
        <v>4.8100631069616933</v>
      </c>
      <c r="S549" s="29">
        <v>100</v>
      </c>
      <c r="T549" s="28">
        <f t="shared" si="229"/>
        <v>0</v>
      </c>
      <c r="U549" s="28">
        <f t="shared" si="251"/>
        <v>0</v>
      </c>
      <c r="V549" s="87">
        <f t="shared" si="355"/>
        <v>100</v>
      </c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>
        <v>0</v>
      </c>
      <c r="AJ549" s="29">
        <f t="shared" si="315"/>
        <v>0</v>
      </c>
      <c r="AK549" s="136">
        <f t="shared" ref="AK549:AK554" si="371">SUM(Q549-AI549)</f>
        <v>8120000</v>
      </c>
      <c r="AL549" s="29">
        <f t="shared" si="369"/>
        <v>100</v>
      </c>
      <c r="AM549" s="26"/>
    </row>
    <row r="550" spans="1:39" ht="24.75" customHeight="1" x14ac:dyDescent="0.25">
      <c r="A550" s="26"/>
      <c r="B550" s="151"/>
      <c r="C550" s="151"/>
      <c r="D550" s="151"/>
      <c r="E550" s="151"/>
      <c r="F550" s="151"/>
      <c r="G550" s="151"/>
      <c r="H550" s="151"/>
      <c r="I550" s="152"/>
      <c r="J550" s="151" t="s">
        <v>316</v>
      </c>
      <c r="K550" s="27"/>
      <c r="L550" s="31"/>
      <c r="M550" s="563" t="s">
        <v>317</v>
      </c>
      <c r="N550" s="564"/>
      <c r="O550" s="35"/>
      <c r="P550" s="28"/>
      <c r="Q550" s="28">
        <v>5700000</v>
      </c>
      <c r="R550" s="29">
        <f t="shared" si="370"/>
        <v>3.3765221317341934</v>
      </c>
      <c r="S550" s="29">
        <v>100</v>
      </c>
      <c r="T550" s="28">
        <f t="shared" si="229"/>
        <v>0</v>
      </c>
      <c r="U550" s="28">
        <f t="shared" si="251"/>
        <v>0</v>
      </c>
      <c r="V550" s="87">
        <f t="shared" si="355"/>
        <v>100</v>
      </c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>
        <v>0</v>
      </c>
      <c r="AJ550" s="29">
        <f t="shared" si="315"/>
        <v>0</v>
      </c>
      <c r="AK550" s="136">
        <f t="shared" si="371"/>
        <v>5700000</v>
      </c>
      <c r="AL550" s="29">
        <f t="shared" si="369"/>
        <v>100</v>
      </c>
      <c r="AM550" s="26"/>
    </row>
    <row r="551" spans="1:39" ht="24.75" customHeight="1" x14ac:dyDescent="0.25">
      <c r="A551" s="26"/>
      <c r="B551" s="151"/>
      <c r="C551" s="151"/>
      <c r="D551" s="151"/>
      <c r="E551" s="151"/>
      <c r="F551" s="151"/>
      <c r="G551" s="151"/>
      <c r="H551" s="151"/>
      <c r="I551" s="152"/>
      <c r="J551" s="151" t="s">
        <v>339</v>
      </c>
      <c r="K551" s="27"/>
      <c r="L551" s="31"/>
      <c r="M551" s="563" t="s">
        <v>329</v>
      </c>
      <c r="N551" s="564"/>
      <c r="O551" s="35"/>
      <c r="P551" s="28"/>
      <c r="Q551" s="28">
        <v>35000000</v>
      </c>
      <c r="R551" s="29">
        <f t="shared" si="370"/>
        <v>20.733030633455574</v>
      </c>
      <c r="S551" s="29">
        <v>100</v>
      </c>
      <c r="T551" s="28">
        <f t="shared" si="229"/>
        <v>0</v>
      </c>
      <c r="U551" s="28">
        <f t="shared" si="251"/>
        <v>0</v>
      </c>
      <c r="V551" s="87">
        <f t="shared" si="355"/>
        <v>100</v>
      </c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>
        <v>0</v>
      </c>
      <c r="AJ551" s="29">
        <f t="shared" si="315"/>
        <v>0</v>
      </c>
      <c r="AK551" s="136">
        <f t="shared" si="371"/>
        <v>35000000</v>
      </c>
      <c r="AL551" s="29">
        <f t="shared" si="369"/>
        <v>100</v>
      </c>
      <c r="AM551" s="26"/>
    </row>
    <row r="552" spans="1:39" ht="24.75" customHeight="1" x14ac:dyDescent="0.25">
      <c r="A552" s="26"/>
      <c r="B552" s="151"/>
      <c r="C552" s="151"/>
      <c r="D552" s="151"/>
      <c r="E552" s="151"/>
      <c r="F552" s="151"/>
      <c r="G552" s="151"/>
      <c r="H552" s="151"/>
      <c r="I552" s="152"/>
      <c r="J552" s="151" t="s">
        <v>284</v>
      </c>
      <c r="K552" s="27"/>
      <c r="L552" s="31"/>
      <c r="M552" s="563" t="s">
        <v>620</v>
      </c>
      <c r="N552" s="564"/>
      <c r="O552" s="35"/>
      <c r="P552" s="28"/>
      <c r="Q552" s="28">
        <v>36000000</v>
      </c>
      <c r="R552" s="29">
        <f t="shared" si="370"/>
        <v>21.325402937268588</v>
      </c>
      <c r="S552" s="29"/>
      <c r="T552" s="28">
        <f t="shared" si="229"/>
        <v>0</v>
      </c>
      <c r="U552" s="28">
        <f t="shared" si="251"/>
        <v>0</v>
      </c>
      <c r="V552" s="87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>
        <v>0</v>
      </c>
      <c r="AJ552" s="29">
        <f t="shared" si="315"/>
        <v>0</v>
      </c>
      <c r="AK552" s="136">
        <f t="shared" si="371"/>
        <v>36000000</v>
      </c>
      <c r="AL552" s="29">
        <f t="shared" si="369"/>
        <v>100</v>
      </c>
      <c r="AM552" s="26"/>
    </row>
    <row r="553" spans="1:39" ht="24.75" customHeight="1" x14ac:dyDescent="0.25">
      <c r="A553" s="26"/>
      <c r="B553" s="151"/>
      <c r="C553" s="151"/>
      <c r="D553" s="151"/>
      <c r="E553" s="151"/>
      <c r="F553" s="151"/>
      <c r="G553" s="151"/>
      <c r="H553" s="151"/>
      <c r="I553" s="152"/>
      <c r="J553" s="151" t="s">
        <v>320</v>
      </c>
      <c r="K553" s="27"/>
      <c r="L553" s="31"/>
      <c r="M553" s="563" t="s">
        <v>621</v>
      </c>
      <c r="N553" s="564"/>
      <c r="O553" s="35"/>
      <c r="P553" s="28"/>
      <c r="Q553" s="28">
        <v>10592754</v>
      </c>
      <c r="R553" s="29">
        <f t="shared" si="370"/>
        <v>6.2748540907045447</v>
      </c>
      <c r="S553" s="29">
        <v>100</v>
      </c>
      <c r="T553" s="28">
        <f t="shared" si="229"/>
        <v>0</v>
      </c>
      <c r="U553" s="28">
        <f t="shared" si="251"/>
        <v>0</v>
      </c>
      <c r="V553" s="87">
        <f t="shared" si="355"/>
        <v>100</v>
      </c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>
        <v>0</v>
      </c>
      <c r="AJ553" s="29">
        <f t="shared" si="315"/>
        <v>0</v>
      </c>
      <c r="AK553" s="136">
        <f t="shared" si="371"/>
        <v>10592754</v>
      </c>
      <c r="AL553" s="29">
        <f t="shared" ref="AL553:AL608" si="372">AK553/Q553*100</f>
        <v>100</v>
      </c>
      <c r="AM553" s="26"/>
    </row>
    <row r="554" spans="1:39" ht="24.75" customHeight="1" x14ac:dyDescent="0.25">
      <c r="A554" s="26"/>
      <c r="B554" s="151"/>
      <c r="C554" s="151"/>
      <c r="D554" s="151"/>
      <c r="E554" s="151"/>
      <c r="F554" s="151"/>
      <c r="G554" s="151"/>
      <c r="H554" s="151"/>
      <c r="I554" s="152"/>
      <c r="J554" s="151" t="s">
        <v>407</v>
      </c>
      <c r="K554" s="27"/>
      <c r="L554" s="31"/>
      <c r="M554" s="563" t="s">
        <v>321</v>
      </c>
      <c r="N554" s="564"/>
      <c r="O554" s="35"/>
      <c r="P554" s="28"/>
      <c r="Q554" s="28">
        <v>70400000</v>
      </c>
      <c r="R554" s="29">
        <f t="shared" si="370"/>
        <v>41.703010188436359</v>
      </c>
      <c r="S554" s="29">
        <v>100</v>
      </c>
      <c r="T554" s="28">
        <f t="shared" si="229"/>
        <v>0</v>
      </c>
      <c r="U554" s="28">
        <f t="shared" si="251"/>
        <v>0</v>
      </c>
      <c r="V554" s="87">
        <f t="shared" si="355"/>
        <v>100</v>
      </c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>
        <v>0</v>
      </c>
      <c r="AJ554" s="29">
        <f t="shared" si="315"/>
        <v>0</v>
      </c>
      <c r="AK554" s="136">
        <f t="shared" si="371"/>
        <v>70400000</v>
      </c>
      <c r="AL554" s="29">
        <f t="shared" si="372"/>
        <v>100</v>
      </c>
      <c r="AM554" s="26"/>
    </row>
    <row r="555" spans="1:39" ht="24.75" customHeight="1" x14ac:dyDescent="0.25">
      <c r="A555" s="26"/>
      <c r="B555" s="176"/>
      <c r="C555" s="176"/>
      <c r="D555" s="176"/>
      <c r="E555" s="176"/>
      <c r="F555" s="176"/>
      <c r="G555" s="176"/>
      <c r="H555" s="176"/>
      <c r="I555" s="177"/>
      <c r="J555" s="176" t="s">
        <v>343</v>
      </c>
      <c r="K555" s="27"/>
      <c r="L555" s="31"/>
      <c r="M555" s="563" t="s">
        <v>414</v>
      </c>
      <c r="N555" s="564"/>
      <c r="O555" s="35"/>
      <c r="P555" s="28"/>
      <c r="Q555" s="28">
        <v>10200000</v>
      </c>
      <c r="R555" s="29">
        <f t="shared" si="370"/>
        <v>6.0421974988927669</v>
      </c>
      <c r="S555" s="29">
        <v>100</v>
      </c>
      <c r="T555" s="28">
        <f t="shared" ref="T555" si="373">AJ555</f>
        <v>0</v>
      </c>
      <c r="U555" s="28">
        <f t="shared" ref="U555" si="374">R555*T555/100</f>
        <v>0</v>
      </c>
      <c r="V555" s="87">
        <f t="shared" ref="V555" si="375">S555-T555</f>
        <v>100</v>
      </c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>
        <v>0</v>
      </c>
      <c r="AJ555" s="29">
        <f t="shared" ref="AJ555" si="376">AI555/Q555*100</f>
        <v>0</v>
      </c>
      <c r="AK555" s="136">
        <f t="shared" ref="AK555" si="377">SUM(Q555-AI555)</f>
        <v>10200000</v>
      </c>
      <c r="AL555" s="29">
        <f t="shared" ref="AL555" si="378">AK555/Q555*100</f>
        <v>100</v>
      </c>
      <c r="AM555" s="26"/>
    </row>
    <row r="556" spans="1:39" s="41" customFormat="1" ht="24.75" customHeight="1" x14ac:dyDescent="0.25">
      <c r="A556" s="21" t="e">
        <f>SUM(A547+1)</f>
        <v>#REF!</v>
      </c>
      <c r="B556" s="158"/>
      <c r="C556" s="158"/>
      <c r="D556" s="158"/>
      <c r="E556" s="158"/>
      <c r="F556" s="158"/>
      <c r="G556" s="158"/>
      <c r="H556" s="158"/>
      <c r="I556" s="159"/>
      <c r="J556" s="122" t="s">
        <v>522</v>
      </c>
      <c r="K556" s="22"/>
      <c r="L556" s="72"/>
      <c r="M556" s="566" t="s">
        <v>202</v>
      </c>
      <c r="N556" s="567"/>
      <c r="O556" s="76"/>
      <c r="P556" s="23"/>
      <c r="Q556" s="23">
        <f>SUM(Q557:Q565)</f>
        <v>311010000</v>
      </c>
      <c r="R556" s="24" t="e">
        <f>Q556/Q$243*100</f>
        <v>#REF!</v>
      </c>
      <c r="S556" s="24">
        <v>100</v>
      </c>
      <c r="T556" s="23">
        <f t="shared" si="229"/>
        <v>0</v>
      </c>
      <c r="U556" s="23" t="e">
        <f t="shared" si="251"/>
        <v>#REF!</v>
      </c>
      <c r="V556" s="90">
        <f t="shared" si="355"/>
        <v>100</v>
      </c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>
        <f>SUM(AI557:AI565)</f>
        <v>0</v>
      </c>
      <c r="AJ556" s="24">
        <f t="shared" si="315"/>
        <v>0</v>
      </c>
      <c r="AK556" s="134">
        <f>Q556-AI556</f>
        <v>311010000</v>
      </c>
      <c r="AL556" s="24">
        <f t="shared" si="372"/>
        <v>100</v>
      </c>
      <c r="AM556" s="21"/>
    </row>
    <row r="557" spans="1:39" ht="24.75" customHeight="1" x14ac:dyDescent="0.25">
      <c r="A557" s="26"/>
      <c r="B557" s="151"/>
      <c r="C557" s="151"/>
      <c r="D557" s="151"/>
      <c r="E557" s="151"/>
      <c r="F557" s="151"/>
      <c r="G557" s="151"/>
      <c r="H557" s="151"/>
      <c r="I557" s="152"/>
      <c r="J557" s="151" t="s">
        <v>259</v>
      </c>
      <c r="K557" s="27"/>
      <c r="L557" s="31"/>
      <c r="M557" s="563" t="s">
        <v>260</v>
      </c>
      <c r="N557" s="564"/>
      <c r="O557" s="35"/>
      <c r="P557" s="28"/>
      <c r="Q557" s="28">
        <v>2220000</v>
      </c>
      <c r="R557" s="29">
        <f t="shared" ref="R557:R564" si="379">Q557/Q$556*100</f>
        <v>0.71380341468120001</v>
      </c>
      <c r="S557" s="29">
        <v>100</v>
      </c>
      <c r="T557" s="28">
        <f t="shared" si="229"/>
        <v>0</v>
      </c>
      <c r="U557" s="28">
        <f t="shared" si="251"/>
        <v>0</v>
      </c>
      <c r="V557" s="87">
        <f t="shared" si="355"/>
        <v>100</v>
      </c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>
        <v>0</v>
      </c>
      <c r="AJ557" s="29">
        <f t="shared" si="315"/>
        <v>0</v>
      </c>
      <c r="AK557" s="136">
        <f t="shared" ref="AK557:AK564" si="380">SUM(Q557-AI557)</f>
        <v>2220000</v>
      </c>
      <c r="AL557" s="29">
        <f t="shared" si="372"/>
        <v>100</v>
      </c>
      <c r="AM557" s="26"/>
    </row>
    <row r="558" spans="1:39" ht="24.75" customHeight="1" x14ac:dyDescent="0.25">
      <c r="A558" s="26"/>
      <c r="B558" s="151"/>
      <c r="C558" s="151"/>
      <c r="D558" s="151"/>
      <c r="E558" s="151"/>
      <c r="F558" s="151"/>
      <c r="G558" s="151"/>
      <c r="H558" s="151"/>
      <c r="I558" s="152"/>
      <c r="J558" s="151" t="s">
        <v>347</v>
      </c>
      <c r="K558" s="27"/>
      <c r="L558" s="31"/>
      <c r="M558" s="563" t="s">
        <v>622</v>
      </c>
      <c r="N558" s="564"/>
      <c r="O558" s="35"/>
      <c r="P558" s="28"/>
      <c r="Q558" s="28">
        <v>44250000</v>
      </c>
      <c r="R558" s="29">
        <f t="shared" si="379"/>
        <v>14.227838333172565</v>
      </c>
      <c r="S558" s="29">
        <v>100</v>
      </c>
      <c r="T558" s="28">
        <f t="shared" si="229"/>
        <v>0</v>
      </c>
      <c r="U558" s="28"/>
      <c r="V558" s="87">
        <f t="shared" si="355"/>
        <v>100</v>
      </c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>
        <v>0</v>
      </c>
      <c r="AJ558" s="29">
        <f t="shared" si="315"/>
        <v>0</v>
      </c>
      <c r="AK558" s="136">
        <f t="shared" si="380"/>
        <v>44250000</v>
      </c>
      <c r="AL558" s="29">
        <f t="shared" si="372"/>
        <v>100</v>
      </c>
      <c r="AM558" s="26"/>
    </row>
    <row r="559" spans="1:39" ht="24.75" customHeight="1" x14ac:dyDescent="0.25">
      <c r="A559" s="26"/>
      <c r="B559" s="151"/>
      <c r="C559" s="151"/>
      <c r="D559" s="151"/>
      <c r="E559" s="151"/>
      <c r="F559" s="151"/>
      <c r="G559" s="151"/>
      <c r="H559" s="151"/>
      <c r="I559" s="152"/>
      <c r="J559" s="151" t="s">
        <v>269</v>
      </c>
      <c r="K559" s="27"/>
      <c r="L559" s="31"/>
      <c r="M559" s="563" t="s">
        <v>270</v>
      </c>
      <c r="N559" s="564"/>
      <c r="O559" s="35"/>
      <c r="P559" s="28"/>
      <c r="Q559" s="28">
        <v>15000000</v>
      </c>
      <c r="R559" s="29">
        <f t="shared" si="379"/>
        <v>4.8229960451432428</v>
      </c>
      <c r="S559" s="29">
        <v>100</v>
      </c>
      <c r="T559" s="28">
        <f t="shared" si="229"/>
        <v>0</v>
      </c>
      <c r="U559" s="28">
        <f t="shared" si="251"/>
        <v>0</v>
      </c>
      <c r="V559" s="87">
        <f t="shared" si="355"/>
        <v>100</v>
      </c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>
        <v>0</v>
      </c>
      <c r="AJ559" s="29">
        <f t="shared" si="315"/>
        <v>0</v>
      </c>
      <c r="AK559" s="136">
        <f t="shared" si="380"/>
        <v>15000000</v>
      </c>
      <c r="AL559" s="29">
        <f t="shared" si="372"/>
        <v>100</v>
      </c>
      <c r="AM559" s="26"/>
    </row>
    <row r="560" spans="1:39" ht="24.75" customHeight="1" x14ac:dyDescent="0.25">
      <c r="A560" s="26"/>
      <c r="B560" s="151"/>
      <c r="C560" s="151"/>
      <c r="D560" s="151"/>
      <c r="E560" s="151"/>
      <c r="F560" s="151"/>
      <c r="G560" s="151"/>
      <c r="H560" s="151"/>
      <c r="I560" s="152"/>
      <c r="J560" s="151" t="s">
        <v>315</v>
      </c>
      <c r="K560" s="27"/>
      <c r="L560" s="31"/>
      <c r="M560" s="563" t="s">
        <v>271</v>
      </c>
      <c r="N560" s="564"/>
      <c r="O560" s="35"/>
      <c r="P560" s="28"/>
      <c r="Q560" s="28">
        <v>10710000</v>
      </c>
      <c r="R560" s="29">
        <f t="shared" si="379"/>
        <v>3.443619176232275</v>
      </c>
      <c r="S560" s="29">
        <v>100</v>
      </c>
      <c r="T560" s="28">
        <f t="shared" si="229"/>
        <v>0</v>
      </c>
      <c r="U560" s="28">
        <f t="shared" si="251"/>
        <v>0</v>
      </c>
      <c r="V560" s="87">
        <f t="shared" si="355"/>
        <v>100</v>
      </c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>
        <v>0</v>
      </c>
      <c r="AJ560" s="29">
        <f t="shared" ref="AJ560:AJ615" si="381">AI560/Q560*100</f>
        <v>0</v>
      </c>
      <c r="AK560" s="136">
        <f t="shared" si="380"/>
        <v>10710000</v>
      </c>
      <c r="AL560" s="29">
        <f t="shared" si="372"/>
        <v>100</v>
      </c>
      <c r="AM560" s="26"/>
    </row>
    <row r="561" spans="1:39" ht="24.75" customHeight="1" x14ac:dyDescent="0.25">
      <c r="A561" s="26"/>
      <c r="B561" s="151"/>
      <c r="C561" s="151"/>
      <c r="D561" s="151"/>
      <c r="E561" s="151"/>
      <c r="F561" s="151"/>
      <c r="G561" s="151"/>
      <c r="H561" s="151"/>
      <c r="I561" s="152"/>
      <c r="J561" s="151" t="s">
        <v>318</v>
      </c>
      <c r="K561" s="27"/>
      <c r="L561" s="31"/>
      <c r="M561" s="563" t="s">
        <v>319</v>
      </c>
      <c r="N561" s="564"/>
      <c r="O561" s="35"/>
      <c r="P561" s="28"/>
      <c r="Q561" s="28">
        <v>179970000</v>
      </c>
      <c r="R561" s="29">
        <f t="shared" si="379"/>
        <v>57.866306549628632</v>
      </c>
      <c r="S561" s="29">
        <v>100</v>
      </c>
      <c r="T561" s="28">
        <f t="shared" si="229"/>
        <v>0</v>
      </c>
      <c r="U561" s="28">
        <f t="shared" si="251"/>
        <v>0</v>
      </c>
      <c r="V561" s="87">
        <f t="shared" si="355"/>
        <v>100</v>
      </c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>
        <v>0</v>
      </c>
      <c r="AJ561" s="29">
        <f t="shared" si="381"/>
        <v>0</v>
      </c>
      <c r="AK561" s="136">
        <f t="shared" si="380"/>
        <v>179970000</v>
      </c>
      <c r="AL561" s="29">
        <f t="shared" si="372"/>
        <v>100</v>
      </c>
      <c r="AM561" s="26"/>
    </row>
    <row r="562" spans="1:39" ht="24.75" customHeight="1" x14ac:dyDescent="0.25">
      <c r="A562" s="26"/>
      <c r="B562" s="151"/>
      <c r="C562" s="151"/>
      <c r="D562" s="151"/>
      <c r="E562" s="151"/>
      <c r="F562" s="151"/>
      <c r="G562" s="151"/>
      <c r="H562" s="151"/>
      <c r="I562" s="152"/>
      <c r="J562" s="151" t="s">
        <v>284</v>
      </c>
      <c r="K562" s="27"/>
      <c r="L562" s="31"/>
      <c r="M562" s="563" t="s">
        <v>285</v>
      </c>
      <c r="N562" s="564"/>
      <c r="O562" s="35"/>
      <c r="P562" s="28"/>
      <c r="Q562" s="28">
        <v>1320000</v>
      </c>
      <c r="R562" s="29">
        <f t="shared" si="379"/>
        <v>0.4244236519726054</v>
      </c>
      <c r="S562" s="29">
        <v>100</v>
      </c>
      <c r="T562" s="28">
        <f t="shared" si="229"/>
        <v>0</v>
      </c>
      <c r="U562" s="28">
        <f t="shared" si="251"/>
        <v>0</v>
      </c>
      <c r="V562" s="87">
        <f t="shared" si="355"/>
        <v>100</v>
      </c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>
        <v>0</v>
      </c>
      <c r="AJ562" s="29">
        <f t="shared" si="381"/>
        <v>0</v>
      </c>
      <c r="AK562" s="136">
        <f t="shared" si="380"/>
        <v>1320000</v>
      </c>
      <c r="AL562" s="29">
        <f t="shared" si="372"/>
        <v>100</v>
      </c>
      <c r="AM562" s="26"/>
    </row>
    <row r="563" spans="1:39" ht="24.75" customHeight="1" x14ac:dyDescent="0.25">
      <c r="A563" s="26"/>
      <c r="B563" s="151"/>
      <c r="C563" s="151"/>
      <c r="D563" s="151"/>
      <c r="E563" s="151"/>
      <c r="F563" s="151"/>
      <c r="G563" s="151"/>
      <c r="H563" s="151"/>
      <c r="I563" s="152"/>
      <c r="J563" s="151" t="s">
        <v>282</v>
      </c>
      <c r="K563" s="27"/>
      <c r="L563" s="31"/>
      <c r="M563" s="563" t="s">
        <v>283</v>
      </c>
      <c r="N563" s="564"/>
      <c r="O563" s="35"/>
      <c r="P563" s="28"/>
      <c r="Q563" s="28">
        <v>39540000</v>
      </c>
      <c r="R563" s="29">
        <f t="shared" si="379"/>
        <v>12.713417574997587</v>
      </c>
      <c r="S563" s="29">
        <v>100</v>
      </c>
      <c r="T563" s="28">
        <f t="shared" si="229"/>
        <v>0</v>
      </c>
      <c r="U563" s="28">
        <f t="shared" si="251"/>
        <v>0</v>
      </c>
      <c r="V563" s="87">
        <f t="shared" si="355"/>
        <v>100</v>
      </c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>
        <v>0</v>
      </c>
      <c r="AJ563" s="29">
        <f t="shared" si="381"/>
        <v>0</v>
      </c>
      <c r="AK563" s="136">
        <f t="shared" si="380"/>
        <v>39540000</v>
      </c>
      <c r="AL563" s="29">
        <f t="shared" si="372"/>
        <v>100</v>
      </c>
      <c r="AM563" s="26"/>
    </row>
    <row r="564" spans="1:39" ht="24.75" customHeight="1" x14ac:dyDescent="0.25">
      <c r="A564" s="26"/>
      <c r="B564" s="151"/>
      <c r="C564" s="151"/>
      <c r="D564" s="151"/>
      <c r="E564" s="151"/>
      <c r="F564" s="151"/>
      <c r="G564" s="151"/>
      <c r="H564" s="151"/>
      <c r="I564" s="152"/>
      <c r="J564" s="151" t="s">
        <v>320</v>
      </c>
      <c r="K564" s="27"/>
      <c r="L564" s="31"/>
      <c r="M564" s="563" t="s">
        <v>321</v>
      </c>
      <c r="N564" s="564"/>
      <c r="O564" s="35"/>
      <c r="P564" s="28"/>
      <c r="Q564" s="28">
        <v>16200000</v>
      </c>
      <c r="R564" s="29">
        <f t="shared" si="379"/>
        <v>5.2088357287547025</v>
      </c>
      <c r="S564" s="29">
        <v>100</v>
      </c>
      <c r="T564" s="28">
        <f t="shared" si="229"/>
        <v>0</v>
      </c>
      <c r="U564" s="28">
        <f t="shared" si="251"/>
        <v>0</v>
      </c>
      <c r="V564" s="87">
        <f t="shared" si="355"/>
        <v>100</v>
      </c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>
        <v>0</v>
      </c>
      <c r="AJ564" s="29">
        <f t="shared" si="381"/>
        <v>0</v>
      </c>
      <c r="AK564" s="136">
        <f t="shared" si="380"/>
        <v>16200000</v>
      </c>
      <c r="AL564" s="29">
        <f t="shared" si="372"/>
        <v>100</v>
      </c>
      <c r="AM564" s="26"/>
    </row>
    <row r="565" spans="1:39" ht="24.75" customHeight="1" x14ac:dyDescent="0.25">
      <c r="A565" s="26"/>
      <c r="B565" s="151"/>
      <c r="C565" s="151"/>
      <c r="D565" s="151"/>
      <c r="E565" s="151"/>
      <c r="F565" s="151"/>
      <c r="G565" s="151"/>
      <c r="H565" s="151"/>
      <c r="I565" s="152"/>
      <c r="J565" s="151" t="s">
        <v>407</v>
      </c>
      <c r="K565" s="27"/>
      <c r="L565" s="31"/>
      <c r="M565" s="563" t="s">
        <v>414</v>
      </c>
      <c r="N565" s="564"/>
      <c r="O565" s="35"/>
      <c r="P565" s="28"/>
      <c r="Q565" s="28">
        <v>1800000</v>
      </c>
      <c r="R565" s="29">
        <f>Q565/Q$556*100</f>
        <v>0.57875952541718911</v>
      </c>
      <c r="S565" s="29">
        <v>100</v>
      </c>
      <c r="T565" s="28">
        <f t="shared" si="229"/>
        <v>0</v>
      </c>
      <c r="U565" s="28">
        <f t="shared" si="251"/>
        <v>0</v>
      </c>
      <c r="V565" s="87">
        <f t="shared" si="355"/>
        <v>100</v>
      </c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>
        <v>0</v>
      </c>
      <c r="AJ565" s="29">
        <f t="shared" si="381"/>
        <v>0</v>
      </c>
      <c r="AK565" s="136">
        <f t="shared" ref="AK565:AK622" si="382">Q565-AI565</f>
        <v>1800000</v>
      </c>
      <c r="AL565" s="29">
        <f t="shared" si="372"/>
        <v>100</v>
      </c>
      <c r="AM565" s="26"/>
    </row>
    <row r="566" spans="1:39" s="86" customFormat="1" ht="24.75" customHeight="1" x14ac:dyDescent="0.25">
      <c r="A566" s="21" t="e">
        <f>SUM(A556+1)</f>
        <v>#REF!</v>
      </c>
      <c r="B566" s="158"/>
      <c r="C566" s="158"/>
      <c r="D566" s="158"/>
      <c r="E566" s="158"/>
      <c r="F566" s="158"/>
      <c r="G566" s="158"/>
      <c r="H566" s="158"/>
      <c r="I566" s="159"/>
      <c r="J566" s="122" t="s">
        <v>523</v>
      </c>
      <c r="K566" s="22"/>
      <c r="L566" s="72"/>
      <c r="M566" s="568" t="s">
        <v>203</v>
      </c>
      <c r="N566" s="546"/>
      <c r="O566" s="85"/>
      <c r="P566" s="23"/>
      <c r="Q566" s="23">
        <f>SUM(Q567:Q578)</f>
        <v>363103120</v>
      </c>
      <c r="R566" s="24" t="e">
        <f>Q566/Q$243*100</f>
        <v>#REF!</v>
      </c>
      <c r="S566" s="24">
        <v>100</v>
      </c>
      <c r="T566" s="23">
        <f t="shared" si="229"/>
        <v>0</v>
      </c>
      <c r="U566" s="23" t="e">
        <f t="shared" si="251"/>
        <v>#REF!</v>
      </c>
      <c r="V566" s="90">
        <f t="shared" si="355"/>
        <v>100</v>
      </c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>
        <v>0</v>
      </c>
      <c r="AJ566" s="24">
        <f t="shared" si="381"/>
        <v>0</v>
      </c>
      <c r="AK566" s="134">
        <f t="shared" si="382"/>
        <v>363103120</v>
      </c>
      <c r="AL566" s="24">
        <f t="shared" si="372"/>
        <v>100</v>
      </c>
      <c r="AM566" s="21"/>
    </row>
    <row r="567" spans="1:39" ht="24.75" customHeight="1" x14ac:dyDescent="0.25">
      <c r="A567" s="26"/>
      <c r="B567" s="151"/>
      <c r="C567" s="151"/>
      <c r="D567" s="151"/>
      <c r="E567" s="151"/>
      <c r="F567" s="151"/>
      <c r="G567" s="151"/>
      <c r="H567" s="151"/>
      <c r="I567" s="152"/>
      <c r="J567" s="151" t="s">
        <v>259</v>
      </c>
      <c r="K567" s="27"/>
      <c r="L567" s="31"/>
      <c r="M567" s="563" t="s">
        <v>260</v>
      </c>
      <c r="N567" s="564"/>
      <c r="O567" s="35"/>
      <c r="P567" s="28"/>
      <c r="Q567" s="28">
        <v>2310000</v>
      </c>
      <c r="R567" s="29">
        <f t="shared" ref="R567:R578" si="383">Q567/Q$566*100</f>
        <v>0.63618291134485438</v>
      </c>
      <c r="S567" s="29">
        <v>100</v>
      </c>
      <c r="T567" s="28">
        <f t="shared" si="229"/>
        <v>0</v>
      </c>
      <c r="U567" s="28">
        <f t="shared" si="251"/>
        <v>0</v>
      </c>
      <c r="V567" s="87">
        <f t="shared" si="355"/>
        <v>100</v>
      </c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>
        <v>0</v>
      </c>
      <c r="AJ567" s="29">
        <f t="shared" si="381"/>
        <v>0</v>
      </c>
      <c r="AK567" s="136">
        <f t="shared" si="382"/>
        <v>2310000</v>
      </c>
      <c r="AL567" s="29">
        <f t="shared" si="372"/>
        <v>100</v>
      </c>
      <c r="AM567" s="26"/>
    </row>
    <row r="568" spans="1:39" ht="24.75" customHeight="1" x14ac:dyDescent="0.25">
      <c r="A568" s="26"/>
      <c r="B568" s="151"/>
      <c r="C568" s="151"/>
      <c r="D568" s="151"/>
      <c r="E568" s="151"/>
      <c r="F568" s="151"/>
      <c r="G568" s="151"/>
      <c r="H568" s="151"/>
      <c r="I568" s="152"/>
      <c r="J568" s="151" t="s">
        <v>326</v>
      </c>
      <c r="K568" s="27"/>
      <c r="L568" s="31"/>
      <c r="M568" s="563" t="s">
        <v>327</v>
      </c>
      <c r="N568" s="564"/>
      <c r="O568" s="35"/>
      <c r="P568" s="28"/>
      <c r="Q568" s="28">
        <v>140400000</v>
      </c>
      <c r="R568" s="29">
        <f t="shared" si="383"/>
        <v>38.666701624596342</v>
      </c>
      <c r="S568" s="29">
        <v>100</v>
      </c>
      <c r="T568" s="28">
        <f t="shared" si="229"/>
        <v>0</v>
      </c>
      <c r="U568" s="28">
        <f t="shared" si="251"/>
        <v>0</v>
      </c>
      <c r="V568" s="87">
        <f t="shared" si="355"/>
        <v>100</v>
      </c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>
        <v>0</v>
      </c>
      <c r="AJ568" s="29">
        <f t="shared" si="381"/>
        <v>0</v>
      </c>
      <c r="AK568" s="136">
        <f t="shared" si="382"/>
        <v>140400000</v>
      </c>
      <c r="AL568" s="29">
        <f t="shared" si="372"/>
        <v>100</v>
      </c>
      <c r="AM568" s="26"/>
    </row>
    <row r="569" spans="1:39" ht="24.75" customHeight="1" x14ac:dyDescent="0.25">
      <c r="A569" s="26"/>
      <c r="B569" s="151"/>
      <c r="C569" s="151"/>
      <c r="D569" s="151"/>
      <c r="E569" s="151"/>
      <c r="F569" s="151"/>
      <c r="G569" s="151"/>
      <c r="H569" s="151"/>
      <c r="I569" s="152"/>
      <c r="J569" s="151" t="s">
        <v>269</v>
      </c>
      <c r="K569" s="27"/>
      <c r="L569" s="31"/>
      <c r="M569" s="563" t="s">
        <v>270</v>
      </c>
      <c r="N569" s="564"/>
      <c r="O569" s="35"/>
      <c r="P569" s="28"/>
      <c r="Q569" s="28">
        <v>22000000</v>
      </c>
      <c r="R569" s="29">
        <f t="shared" si="383"/>
        <v>6.0588848699509938</v>
      </c>
      <c r="S569" s="29">
        <v>100</v>
      </c>
      <c r="T569" s="28">
        <f t="shared" si="229"/>
        <v>0</v>
      </c>
      <c r="U569" s="28">
        <f t="shared" si="251"/>
        <v>0</v>
      </c>
      <c r="V569" s="87">
        <f t="shared" si="355"/>
        <v>100</v>
      </c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>
        <v>0</v>
      </c>
      <c r="AJ569" s="29">
        <f t="shared" si="381"/>
        <v>0</v>
      </c>
      <c r="AK569" s="136">
        <f t="shared" si="382"/>
        <v>22000000</v>
      </c>
      <c r="AL569" s="29">
        <f t="shared" si="372"/>
        <v>100</v>
      </c>
      <c r="AM569" s="26"/>
    </row>
    <row r="570" spans="1:39" ht="24.75" customHeight="1" x14ac:dyDescent="0.25">
      <c r="A570" s="26"/>
      <c r="B570" s="151"/>
      <c r="C570" s="151"/>
      <c r="D570" s="151"/>
      <c r="E570" s="151"/>
      <c r="F570" s="151"/>
      <c r="G570" s="151"/>
      <c r="H570" s="151"/>
      <c r="I570" s="152"/>
      <c r="J570" s="151" t="s">
        <v>315</v>
      </c>
      <c r="K570" s="27"/>
      <c r="L570" s="31"/>
      <c r="M570" s="563" t="s">
        <v>271</v>
      </c>
      <c r="N570" s="564"/>
      <c r="O570" s="35"/>
      <c r="P570" s="28"/>
      <c r="Q570" s="28">
        <v>4500000</v>
      </c>
      <c r="R570" s="29">
        <f t="shared" si="383"/>
        <v>1.2393173597627032</v>
      </c>
      <c r="S570" s="29">
        <v>100</v>
      </c>
      <c r="T570" s="28">
        <f t="shared" si="229"/>
        <v>0</v>
      </c>
      <c r="U570" s="28">
        <f t="shared" si="251"/>
        <v>0</v>
      </c>
      <c r="V570" s="87">
        <f t="shared" si="355"/>
        <v>100</v>
      </c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>
        <v>0</v>
      </c>
      <c r="AJ570" s="29">
        <f t="shared" si="381"/>
        <v>0</v>
      </c>
      <c r="AK570" s="136">
        <f t="shared" si="382"/>
        <v>4500000</v>
      </c>
      <c r="AL570" s="29">
        <f t="shared" si="372"/>
        <v>100</v>
      </c>
      <c r="AM570" s="26"/>
    </row>
    <row r="571" spans="1:39" ht="24.75" customHeight="1" x14ac:dyDescent="0.25">
      <c r="A571" s="26"/>
      <c r="B571" s="151"/>
      <c r="C571" s="151"/>
      <c r="D571" s="151"/>
      <c r="E571" s="151"/>
      <c r="F571" s="151"/>
      <c r="G571" s="151"/>
      <c r="H571" s="151"/>
      <c r="I571" s="152"/>
      <c r="J571" s="151" t="s">
        <v>316</v>
      </c>
      <c r="K571" s="27"/>
      <c r="L571" s="31"/>
      <c r="M571" s="563" t="s">
        <v>317</v>
      </c>
      <c r="N571" s="564"/>
      <c r="O571" s="35"/>
      <c r="P571" s="28"/>
      <c r="Q571" s="28">
        <v>600000</v>
      </c>
      <c r="R571" s="29">
        <f t="shared" si="383"/>
        <v>0.16524231463502709</v>
      </c>
      <c r="S571" s="29">
        <v>100</v>
      </c>
      <c r="T571" s="28">
        <f t="shared" si="229"/>
        <v>0</v>
      </c>
      <c r="U571" s="28">
        <f t="shared" si="251"/>
        <v>0</v>
      </c>
      <c r="V571" s="87">
        <f t="shared" si="355"/>
        <v>100</v>
      </c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>
        <v>0</v>
      </c>
      <c r="AJ571" s="29">
        <f t="shared" si="381"/>
        <v>0</v>
      </c>
      <c r="AK571" s="136">
        <f t="shared" si="382"/>
        <v>600000</v>
      </c>
      <c r="AL571" s="29">
        <f t="shared" si="372"/>
        <v>100</v>
      </c>
      <c r="AM571" s="26"/>
    </row>
    <row r="572" spans="1:39" ht="24.75" customHeight="1" x14ac:dyDescent="0.25">
      <c r="A572" s="26"/>
      <c r="B572" s="151"/>
      <c r="C572" s="151"/>
      <c r="D572" s="151"/>
      <c r="E572" s="151"/>
      <c r="F572" s="151"/>
      <c r="G572" s="151"/>
      <c r="H572" s="151"/>
      <c r="I572" s="152"/>
      <c r="J572" s="151" t="s">
        <v>328</v>
      </c>
      <c r="K572" s="27"/>
      <c r="L572" s="31"/>
      <c r="M572" s="563" t="s">
        <v>329</v>
      </c>
      <c r="N572" s="564"/>
      <c r="O572" s="35"/>
      <c r="P572" s="28"/>
      <c r="Q572" s="28">
        <v>8250000</v>
      </c>
      <c r="R572" s="29">
        <f t="shared" si="383"/>
        <v>2.2720818262316222</v>
      </c>
      <c r="S572" s="29">
        <v>100</v>
      </c>
      <c r="T572" s="28">
        <f t="shared" si="229"/>
        <v>0</v>
      </c>
      <c r="U572" s="28">
        <f t="shared" si="251"/>
        <v>0</v>
      </c>
      <c r="V572" s="87">
        <f t="shared" si="355"/>
        <v>100</v>
      </c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>
        <v>0</v>
      </c>
      <c r="AJ572" s="29">
        <f t="shared" si="381"/>
        <v>0</v>
      </c>
      <c r="AK572" s="136">
        <f t="shared" si="382"/>
        <v>8250000</v>
      </c>
      <c r="AL572" s="29">
        <f t="shared" si="372"/>
        <v>100</v>
      </c>
      <c r="AM572" s="26"/>
    </row>
    <row r="573" spans="1:39" ht="24.75" customHeight="1" x14ac:dyDescent="0.25">
      <c r="A573" s="26"/>
      <c r="B573" s="151"/>
      <c r="C573" s="151"/>
      <c r="D573" s="151"/>
      <c r="E573" s="151"/>
      <c r="F573" s="151"/>
      <c r="G573" s="151"/>
      <c r="H573" s="151"/>
      <c r="I573" s="152"/>
      <c r="J573" s="151" t="s">
        <v>318</v>
      </c>
      <c r="K573" s="27"/>
      <c r="L573" s="31"/>
      <c r="M573" s="563" t="s">
        <v>319</v>
      </c>
      <c r="N573" s="564"/>
      <c r="O573" s="35"/>
      <c r="P573" s="28"/>
      <c r="Q573" s="28">
        <v>100000000</v>
      </c>
      <c r="R573" s="29">
        <f t="shared" si="383"/>
        <v>27.540385772504518</v>
      </c>
      <c r="S573" s="29">
        <v>100</v>
      </c>
      <c r="T573" s="28">
        <f t="shared" si="229"/>
        <v>0</v>
      </c>
      <c r="U573" s="28">
        <f t="shared" si="251"/>
        <v>0</v>
      </c>
      <c r="V573" s="87">
        <v>100</v>
      </c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>
        <v>0</v>
      </c>
      <c r="AJ573" s="29">
        <f t="shared" si="381"/>
        <v>0</v>
      </c>
      <c r="AK573" s="136">
        <f t="shared" si="382"/>
        <v>100000000</v>
      </c>
      <c r="AL573" s="29">
        <f t="shared" si="372"/>
        <v>100</v>
      </c>
      <c r="AM573" s="26"/>
    </row>
    <row r="574" spans="1:39" ht="24.75" customHeight="1" x14ac:dyDescent="0.25">
      <c r="A574" s="26"/>
      <c r="B574" s="151"/>
      <c r="C574" s="151"/>
      <c r="D574" s="151"/>
      <c r="E574" s="151"/>
      <c r="F574" s="151"/>
      <c r="G574" s="151"/>
      <c r="H574" s="151"/>
      <c r="I574" s="152"/>
      <c r="J574" s="151" t="s">
        <v>280</v>
      </c>
      <c r="K574" s="27"/>
      <c r="L574" s="31"/>
      <c r="M574" s="563" t="s">
        <v>281</v>
      </c>
      <c r="N574" s="564"/>
      <c r="O574" s="35"/>
      <c r="P574" s="28"/>
      <c r="Q574" s="28">
        <v>9500000</v>
      </c>
      <c r="R574" s="29">
        <f t="shared" si="383"/>
        <v>2.6163366483879291</v>
      </c>
      <c r="S574" s="29">
        <v>100</v>
      </c>
      <c r="T574" s="28">
        <f t="shared" si="229"/>
        <v>0</v>
      </c>
      <c r="U574" s="28">
        <f t="shared" si="251"/>
        <v>0</v>
      </c>
      <c r="V574" s="87">
        <f t="shared" si="355"/>
        <v>100</v>
      </c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>
        <v>0</v>
      </c>
      <c r="AJ574" s="29">
        <f t="shared" si="381"/>
        <v>0</v>
      </c>
      <c r="AK574" s="136">
        <f t="shared" si="382"/>
        <v>9500000</v>
      </c>
      <c r="AL574" s="29">
        <f t="shared" si="372"/>
        <v>100</v>
      </c>
      <c r="AM574" s="26"/>
    </row>
    <row r="575" spans="1:39" ht="24.75" customHeight="1" x14ac:dyDescent="0.25">
      <c r="A575" s="26"/>
      <c r="B575" s="151"/>
      <c r="C575" s="151"/>
      <c r="D575" s="151"/>
      <c r="E575" s="151"/>
      <c r="F575" s="151"/>
      <c r="G575" s="151"/>
      <c r="H575" s="151"/>
      <c r="I575" s="152"/>
      <c r="J575" s="151" t="s">
        <v>284</v>
      </c>
      <c r="K575" s="27"/>
      <c r="L575" s="31"/>
      <c r="M575" s="563" t="s">
        <v>285</v>
      </c>
      <c r="N575" s="564"/>
      <c r="O575" s="35"/>
      <c r="P575" s="28"/>
      <c r="Q575" s="28">
        <v>3000000</v>
      </c>
      <c r="R575" s="29">
        <f t="shared" si="383"/>
        <v>0.82621157317513538</v>
      </c>
      <c r="S575" s="29">
        <v>100</v>
      </c>
      <c r="T575" s="28">
        <f t="shared" si="229"/>
        <v>0</v>
      </c>
      <c r="U575" s="28">
        <f t="shared" si="251"/>
        <v>0</v>
      </c>
      <c r="V575" s="87">
        <f t="shared" si="355"/>
        <v>100</v>
      </c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>
        <v>0</v>
      </c>
      <c r="AJ575" s="29">
        <f t="shared" si="381"/>
        <v>0</v>
      </c>
      <c r="AK575" s="136">
        <f t="shared" si="382"/>
        <v>3000000</v>
      </c>
      <c r="AL575" s="29">
        <f t="shared" si="372"/>
        <v>100</v>
      </c>
      <c r="AM575" s="26"/>
    </row>
    <row r="576" spans="1:39" ht="24.75" customHeight="1" x14ac:dyDescent="0.25">
      <c r="A576" s="26"/>
      <c r="B576" s="151"/>
      <c r="C576" s="151"/>
      <c r="D576" s="151"/>
      <c r="E576" s="151"/>
      <c r="F576" s="151"/>
      <c r="G576" s="151"/>
      <c r="H576" s="151"/>
      <c r="I576" s="152"/>
      <c r="J576" s="151" t="s">
        <v>282</v>
      </c>
      <c r="K576" s="27"/>
      <c r="L576" s="31"/>
      <c r="M576" s="563" t="s">
        <v>283</v>
      </c>
      <c r="N576" s="564"/>
      <c r="O576" s="35"/>
      <c r="P576" s="28"/>
      <c r="Q576" s="28">
        <v>32443120</v>
      </c>
      <c r="R576" s="29">
        <f t="shared" si="383"/>
        <v>8.934960404636568</v>
      </c>
      <c r="S576" s="29">
        <v>100</v>
      </c>
      <c r="T576" s="28">
        <f t="shared" si="229"/>
        <v>0</v>
      </c>
      <c r="U576" s="28">
        <f t="shared" si="251"/>
        <v>0</v>
      </c>
      <c r="V576" s="87">
        <f t="shared" si="355"/>
        <v>100</v>
      </c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>
        <v>0</v>
      </c>
      <c r="AJ576" s="29">
        <f t="shared" si="381"/>
        <v>0</v>
      </c>
      <c r="AK576" s="136">
        <f t="shared" si="382"/>
        <v>32443120</v>
      </c>
      <c r="AL576" s="29">
        <f t="shared" si="372"/>
        <v>100</v>
      </c>
      <c r="AM576" s="26"/>
    </row>
    <row r="577" spans="1:39" ht="24.75" customHeight="1" x14ac:dyDescent="0.25">
      <c r="A577" s="26"/>
      <c r="B577" s="151"/>
      <c r="C577" s="151"/>
      <c r="D577" s="151"/>
      <c r="E577" s="151"/>
      <c r="F577" s="151"/>
      <c r="G577" s="151"/>
      <c r="H577" s="151"/>
      <c r="I577" s="152"/>
      <c r="J577" s="151" t="s">
        <v>320</v>
      </c>
      <c r="K577" s="27"/>
      <c r="L577" s="31"/>
      <c r="M577" s="563" t="s">
        <v>321</v>
      </c>
      <c r="N577" s="564"/>
      <c r="O577" s="35"/>
      <c r="P577" s="28"/>
      <c r="Q577" s="28">
        <v>20000000</v>
      </c>
      <c r="R577" s="29">
        <f t="shared" si="383"/>
        <v>5.5080771545009029</v>
      </c>
      <c r="S577" s="29">
        <v>100</v>
      </c>
      <c r="T577" s="28">
        <f t="shared" si="229"/>
        <v>0</v>
      </c>
      <c r="U577" s="28">
        <f t="shared" si="251"/>
        <v>0</v>
      </c>
      <c r="V577" s="87">
        <f t="shared" si="355"/>
        <v>100</v>
      </c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>
        <v>0</v>
      </c>
      <c r="AJ577" s="29">
        <f t="shared" si="381"/>
        <v>0</v>
      </c>
      <c r="AK577" s="136">
        <f t="shared" si="382"/>
        <v>20000000</v>
      </c>
      <c r="AL577" s="29">
        <f t="shared" si="372"/>
        <v>100</v>
      </c>
      <c r="AM577" s="26"/>
    </row>
    <row r="578" spans="1:39" ht="24.75" customHeight="1" x14ac:dyDescent="0.25">
      <c r="A578" s="26"/>
      <c r="B578" s="151"/>
      <c r="C578" s="151"/>
      <c r="D578" s="151"/>
      <c r="E578" s="151"/>
      <c r="F578" s="151"/>
      <c r="G578" s="151"/>
      <c r="H578" s="151"/>
      <c r="I578" s="152"/>
      <c r="J578" s="151" t="s">
        <v>407</v>
      </c>
      <c r="K578" s="27"/>
      <c r="L578" s="31"/>
      <c r="M578" s="563" t="s">
        <v>414</v>
      </c>
      <c r="N578" s="564"/>
      <c r="O578" s="35"/>
      <c r="P578" s="28"/>
      <c r="Q578" s="28">
        <v>20100000</v>
      </c>
      <c r="R578" s="29">
        <f t="shared" si="383"/>
        <v>5.5356175402734076</v>
      </c>
      <c r="S578" s="29">
        <v>100</v>
      </c>
      <c r="T578" s="28">
        <f t="shared" si="229"/>
        <v>0</v>
      </c>
      <c r="U578" s="28">
        <f t="shared" si="251"/>
        <v>0</v>
      </c>
      <c r="V578" s="87">
        <v>100</v>
      </c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>
        <v>0</v>
      </c>
      <c r="AJ578" s="29">
        <f t="shared" si="381"/>
        <v>0</v>
      </c>
      <c r="AK578" s="136">
        <f t="shared" si="382"/>
        <v>20100000</v>
      </c>
      <c r="AL578" s="29">
        <f t="shared" si="372"/>
        <v>100</v>
      </c>
      <c r="AM578" s="26"/>
    </row>
    <row r="579" spans="1:39" s="86" customFormat="1" ht="24.75" customHeight="1" x14ac:dyDescent="0.25">
      <c r="A579" s="21" t="e">
        <f>SUM(A566+1)</f>
        <v>#REF!</v>
      </c>
      <c r="B579" s="158"/>
      <c r="C579" s="158"/>
      <c r="D579" s="158"/>
      <c r="E579" s="158"/>
      <c r="F579" s="158"/>
      <c r="G579" s="158"/>
      <c r="H579" s="158"/>
      <c r="I579" s="159"/>
      <c r="J579" s="122" t="s">
        <v>524</v>
      </c>
      <c r="K579" s="22"/>
      <c r="L579" s="72"/>
      <c r="M579" s="568" t="s">
        <v>204</v>
      </c>
      <c r="N579" s="546"/>
      <c r="O579" s="85"/>
      <c r="P579" s="23"/>
      <c r="Q579" s="23">
        <f>SUM(Q580:Q586)</f>
        <v>161972105</v>
      </c>
      <c r="R579" s="24" t="e">
        <f>Q579/Q$243*100</f>
        <v>#REF!</v>
      </c>
      <c r="S579" s="24">
        <v>100</v>
      </c>
      <c r="T579" s="23">
        <f t="shared" si="229"/>
        <v>0</v>
      </c>
      <c r="U579" s="23" t="e">
        <f t="shared" si="251"/>
        <v>#REF!</v>
      </c>
      <c r="V579" s="90">
        <f t="shared" si="355"/>
        <v>100</v>
      </c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>
        <f>SUM(AI580:AI586)</f>
        <v>0</v>
      </c>
      <c r="AJ579" s="24">
        <f t="shared" si="381"/>
        <v>0</v>
      </c>
      <c r="AK579" s="134">
        <f t="shared" si="382"/>
        <v>161972105</v>
      </c>
      <c r="AL579" s="24">
        <f t="shared" si="372"/>
        <v>100</v>
      </c>
      <c r="AM579" s="21"/>
    </row>
    <row r="580" spans="1:39" ht="24.75" customHeight="1" x14ac:dyDescent="0.25">
      <c r="A580" s="26"/>
      <c r="B580" s="151"/>
      <c r="C580" s="151"/>
      <c r="D580" s="151"/>
      <c r="E580" s="151"/>
      <c r="F580" s="151"/>
      <c r="G580" s="151"/>
      <c r="H580" s="151"/>
      <c r="I580" s="152"/>
      <c r="J580" s="151" t="s">
        <v>257</v>
      </c>
      <c r="K580" s="27"/>
      <c r="L580" s="31"/>
      <c r="M580" s="563" t="s">
        <v>260</v>
      </c>
      <c r="N580" s="564"/>
      <c r="O580" s="35"/>
      <c r="P580" s="28"/>
      <c r="Q580" s="28">
        <v>1540000</v>
      </c>
      <c r="R580" s="29">
        <f>Q580/Q$579*100</f>
        <v>0.95078100022222956</v>
      </c>
      <c r="S580" s="29">
        <v>100</v>
      </c>
      <c r="T580" s="28">
        <f t="shared" si="229"/>
        <v>0</v>
      </c>
      <c r="U580" s="28">
        <f t="shared" si="251"/>
        <v>0</v>
      </c>
      <c r="V580" s="87">
        <f t="shared" si="355"/>
        <v>100</v>
      </c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>
        <v>0</v>
      </c>
      <c r="AJ580" s="29">
        <f t="shared" si="381"/>
        <v>0</v>
      </c>
      <c r="AK580" s="136">
        <f t="shared" si="382"/>
        <v>1540000</v>
      </c>
      <c r="AL580" s="29">
        <f t="shared" si="372"/>
        <v>100</v>
      </c>
      <c r="AM580" s="26"/>
    </row>
    <row r="581" spans="1:39" ht="24.75" customHeight="1" x14ac:dyDescent="0.25">
      <c r="A581" s="26"/>
      <c r="B581" s="151"/>
      <c r="C581" s="151"/>
      <c r="D581" s="151"/>
      <c r="E581" s="151"/>
      <c r="F581" s="151"/>
      <c r="G581" s="151"/>
      <c r="H581" s="151"/>
      <c r="I581" s="152"/>
      <c r="J581" s="151" t="s">
        <v>315</v>
      </c>
      <c r="K581" s="27"/>
      <c r="L581" s="31"/>
      <c r="M581" s="563" t="s">
        <v>271</v>
      </c>
      <c r="N581" s="564"/>
      <c r="O581" s="35"/>
      <c r="P581" s="28"/>
      <c r="Q581" s="28">
        <v>2000000</v>
      </c>
      <c r="R581" s="29">
        <f t="shared" ref="R581:R586" si="384">Q581/Q$579*100</f>
        <v>1.2347805197691293</v>
      </c>
      <c r="S581" s="29">
        <v>100</v>
      </c>
      <c r="T581" s="28">
        <f t="shared" si="229"/>
        <v>0</v>
      </c>
      <c r="U581" s="28">
        <f t="shared" si="251"/>
        <v>0</v>
      </c>
      <c r="V581" s="87">
        <f t="shared" si="355"/>
        <v>100</v>
      </c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>
        <v>0</v>
      </c>
      <c r="AJ581" s="29">
        <f t="shared" si="381"/>
        <v>0</v>
      </c>
      <c r="AK581" s="136">
        <f t="shared" si="382"/>
        <v>2000000</v>
      </c>
      <c r="AL581" s="29">
        <f t="shared" si="372"/>
        <v>100</v>
      </c>
      <c r="AM581" s="26"/>
    </row>
    <row r="582" spans="1:39" ht="30" customHeight="1" x14ac:dyDescent="0.25">
      <c r="A582" s="26"/>
      <c r="B582" s="151"/>
      <c r="C582" s="151"/>
      <c r="D582" s="151"/>
      <c r="E582" s="151"/>
      <c r="F582" s="151"/>
      <c r="G582" s="151"/>
      <c r="H582" s="151"/>
      <c r="I582" s="152"/>
      <c r="J582" s="151" t="s">
        <v>318</v>
      </c>
      <c r="K582" s="27"/>
      <c r="L582" s="31"/>
      <c r="M582" s="563" t="s">
        <v>319</v>
      </c>
      <c r="N582" s="564"/>
      <c r="O582" s="35"/>
      <c r="P582" s="28"/>
      <c r="Q582" s="28">
        <v>74250000</v>
      </c>
      <c r="R582" s="29">
        <f t="shared" si="384"/>
        <v>45.841226796428927</v>
      </c>
      <c r="S582" s="29">
        <v>100</v>
      </c>
      <c r="T582" s="28">
        <f t="shared" si="229"/>
        <v>0</v>
      </c>
      <c r="U582" s="28">
        <f t="shared" si="251"/>
        <v>0</v>
      </c>
      <c r="V582" s="87">
        <f t="shared" si="355"/>
        <v>100</v>
      </c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>
        <v>0</v>
      </c>
      <c r="AJ582" s="29">
        <f t="shared" si="381"/>
        <v>0</v>
      </c>
      <c r="AK582" s="136">
        <f t="shared" si="382"/>
        <v>74250000</v>
      </c>
      <c r="AL582" s="29">
        <f t="shared" si="372"/>
        <v>100</v>
      </c>
      <c r="AM582" s="26"/>
    </row>
    <row r="583" spans="1:39" ht="24.75" customHeight="1" x14ac:dyDescent="0.25">
      <c r="A583" s="26"/>
      <c r="B583" s="151"/>
      <c r="C583" s="151"/>
      <c r="D583" s="151"/>
      <c r="E583" s="151"/>
      <c r="F583" s="151"/>
      <c r="G583" s="151"/>
      <c r="H583" s="151"/>
      <c r="I583" s="152"/>
      <c r="J583" s="151" t="s">
        <v>280</v>
      </c>
      <c r="K583" s="27"/>
      <c r="L583" s="31"/>
      <c r="M583" s="563" t="s">
        <v>281</v>
      </c>
      <c r="N583" s="564"/>
      <c r="O583" s="35"/>
      <c r="P583" s="28"/>
      <c r="Q583" s="28">
        <v>2925000</v>
      </c>
      <c r="R583" s="29">
        <f t="shared" si="384"/>
        <v>1.8058665101623517</v>
      </c>
      <c r="S583" s="29">
        <v>100</v>
      </c>
      <c r="T583" s="28">
        <f t="shared" si="229"/>
        <v>0</v>
      </c>
      <c r="U583" s="28">
        <f t="shared" si="251"/>
        <v>0</v>
      </c>
      <c r="V583" s="87">
        <f t="shared" si="355"/>
        <v>100</v>
      </c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>
        <v>0</v>
      </c>
      <c r="AJ583" s="29">
        <f t="shared" si="381"/>
        <v>0</v>
      </c>
      <c r="AK583" s="136">
        <f t="shared" si="382"/>
        <v>2925000</v>
      </c>
      <c r="AL583" s="29">
        <f t="shared" si="372"/>
        <v>100</v>
      </c>
      <c r="AM583" s="26"/>
    </row>
    <row r="584" spans="1:39" ht="24.75" customHeight="1" x14ac:dyDescent="0.25">
      <c r="A584" s="26"/>
      <c r="B584" s="151"/>
      <c r="C584" s="151"/>
      <c r="D584" s="151"/>
      <c r="E584" s="151"/>
      <c r="F584" s="151"/>
      <c r="G584" s="151"/>
      <c r="H584" s="151"/>
      <c r="I584" s="152"/>
      <c r="J584" s="151" t="s">
        <v>284</v>
      </c>
      <c r="K584" s="27"/>
      <c r="L584" s="31"/>
      <c r="M584" s="563" t="s">
        <v>285</v>
      </c>
      <c r="N584" s="564"/>
      <c r="O584" s="35"/>
      <c r="P584" s="28"/>
      <c r="Q584" s="28">
        <v>2000000</v>
      </c>
      <c r="R584" s="29">
        <f t="shared" si="384"/>
        <v>1.2347805197691293</v>
      </c>
      <c r="S584" s="29">
        <v>100</v>
      </c>
      <c r="T584" s="28">
        <f t="shared" si="229"/>
        <v>0</v>
      </c>
      <c r="U584" s="28">
        <f t="shared" si="251"/>
        <v>0</v>
      </c>
      <c r="V584" s="87">
        <f t="shared" si="355"/>
        <v>100</v>
      </c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>
        <v>0</v>
      </c>
      <c r="AJ584" s="29">
        <f t="shared" si="381"/>
        <v>0</v>
      </c>
      <c r="AK584" s="136">
        <f t="shared" si="382"/>
        <v>2000000</v>
      </c>
      <c r="AL584" s="29">
        <f t="shared" si="372"/>
        <v>100</v>
      </c>
      <c r="AM584" s="26"/>
    </row>
    <row r="585" spans="1:39" ht="24.75" customHeight="1" x14ac:dyDescent="0.25">
      <c r="A585" s="26"/>
      <c r="B585" s="151"/>
      <c r="C585" s="151"/>
      <c r="D585" s="151"/>
      <c r="E585" s="151"/>
      <c r="F585" s="151"/>
      <c r="G585" s="151"/>
      <c r="H585" s="151"/>
      <c r="I585" s="152"/>
      <c r="J585" s="151" t="s">
        <v>282</v>
      </c>
      <c r="K585" s="27"/>
      <c r="L585" s="31"/>
      <c r="M585" s="563" t="s">
        <v>283</v>
      </c>
      <c r="N585" s="564"/>
      <c r="O585" s="35"/>
      <c r="P585" s="28"/>
      <c r="Q585" s="28">
        <v>73857105</v>
      </c>
      <c r="R585" s="29">
        <f t="shared" si="384"/>
        <v>45.598657250271586</v>
      </c>
      <c r="S585" s="29">
        <v>100</v>
      </c>
      <c r="T585" s="28">
        <f t="shared" si="229"/>
        <v>0</v>
      </c>
      <c r="U585" s="28">
        <f t="shared" si="251"/>
        <v>0</v>
      </c>
      <c r="V585" s="87">
        <f t="shared" si="355"/>
        <v>100</v>
      </c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>
        <v>0</v>
      </c>
      <c r="AJ585" s="29">
        <f t="shared" si="381"/>
        <v>0</v>
      </c>
      <c r="AK585" s="136">
        <f t="shared" si="382"/>
        <v>73857105</v>
      </c>
      <c r="AL585" s="29">
        <f t="shared" si="372"/>
        <v>100</v>
      </c>
      <c r="AM585" s="26"/>
    </row>
    <row r="586" spans="1:39" ht="24.75" customHeight="1" x14ac:dyDescent="0.25">
      <c r="A586" s="26"/>
      <c r="B586" s="151"/>
      <c r="C586" s="151"/>
      <c r="D586" s="151"/>
      <c r="E586" s="151"/>
      <c r="F586" s="151"/>
      <c r="G586" s="151"/>
      <c r="H586" s="151"/>
      <c r="I586" s="152"/>
      <c r="J586" s="151" t="s">
        <v>407</v>
      </c>
      <c r="K586" s="27"/>
      <c r="L586" s="31"/>
      <c r="M586" s="563" t="s">
        <v>414</v>
      </c>
      <c r="N586" s="564"/>
      <c r="O586" s="35"/>
      <c r="P586" s="28"/>
      <c r="Q586" s="28">
        <v>5400000</v>
      </c>
      <c r="R586" s="29">
        <f t="shared" si="384"/>
        <v>3.3339074033766494</v>
      </c>
      <c r="S586" s="29">
        <v>100</v>
      </c>
      <c r="T586" s="28">
        <f t="shared" si="229"/>
        <v>0</v>
      </c>
      <c r="U586" s="28">
        <f t="shared" si="251"/>
        <v>0</v>
      </c>
      <c r="V586" s="87">
        <v>100</v>
      </c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>
        <v>0</v>
      </c>
      <c r="AJ586" s="29">
        <f t="shared" si="381"/>
        <v>0</v>
      </c>
      <c r="AK586" s="136">
        <f t="shared" si="382"/>
        <v>5400000</v>
      </c>
      <c r="AL586" s="29">
        <f t="shared" si="372"/>
        <v>100</v>
      </c>
      <c r="AM586" s="26"/>
    </row>
    <row r="587" spans="1:39" s="41" customFormat="1" ht="24.75" customHeight="1" x14ac:dyDescent="0.25">
      <c r="A587" s="21" t="e">
        <f>SUM(A579+1)</f>
        <v>#REF!</v>
      </c>
      <c r="B587" s="158"/>
      <c r="C587" s="158"/>
      <c r="D587" s="158"/>
      <c r="E587" s="158"/>
      <c r="F587" s="158"/>
      <c r="G587" s="158"/>
      <c r="H587" s="158"/>
      <c r="I587" s="159"/>
      <c r="J587" s="122" t="s">
        <v>525</v>
      </c>
      <c r="K587" s="22"/>
      <c r="L587" s="72"/>
      <c r="M587" s="566" t="s">
        <v>205</v>
      </c>
      <c r="N587" s="567"/>
      <c r="O587" s="76"/>
      <c r="P587" s="23"/>
      <c r="Q587" s="23">
        <f>SUM(Q588:Q600)</f>
        <v>420363277</v>
      </c>
      <c r="R587" s="24" t="e">
        <f>Q587/Q$243*100</f>
        <v>#REF!</v>
      </c>
      <c r="S587" s="24">
        <v>100</v>
      </c>
      <c r="T587" s="23">
        <f t="shared" si="229"/>
        <v>0</v>
      </c>
      <c r="U587" s="23" t="e">
        <f t="shared" si="251"/>
        <v>#REF!</v>
      </c>
      <c r="V587" s="90">
        <f t="shared" si="355"/>
        <v>100</v>
      </c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>
        <f>SUM(AI588:AI599)</f>
        <v>0</v>
      </c>
      <c r="AJ587" s="24">
        <f t="shared" si="381"/>
        <v>0</v>
      </c>
      <c r="AK587" s="134">
        <f t="shared" si="382"/>
        <v>420363277</v>
      </c>
      <c r="AL587" s="24">
        <f t="shared" si="372"/>
        <v>100</v>
      </c>
      <c r="AM587" s="21"/>
    </row>
    <row r="588" spans="1:39" ht="24.75" customHeight="1" x14ac:dyDescent="0.25">
      <c r="A588" s="26"/>
      <c r="B588" s="151"/>
      <c r="C588" s="151"/>
      <c r="D588" s="151"/>
      <c r="E588" s="151"/>
      <c r="F588" s="151"/>
      <c r="G588" s="151"/>
      <c r="H588" s="151"/>
      <c r="I588" s="152"/>
      <c r="J588" s="151" t="s">
        <v>259</v>
      </c>
      <c r="K588" s="27"/>
      <c r="L588" s="31"/>
      <c r="M588" s="563" t="s">
        <v>260</v>
      </c>
      <c r="N588" s="564"/>
      <c r="O588" s="35"/>
      <c r="P588" s="28"/>
      <c r="Q588" s="28">
        <v>2400000</v>
      </c>
      <c r="R588" s="29">
        <f t="shared" ref="R588:R600" si="385">Q588/Q$587*100</f>
        <v>0.57093474414036416</v>
      </c>
      <c r="S588" s="29">
        <v>100</v>
      </c>
      <c r="T588" s="28">
        <f t="shared" si="229"/>
        <v>0</v>
      </c>
      <c r="U588" s="28">
        <f t="shared" si="251"/>
        <v>0</v>
      </c>
      <c r="V588" s="87">
        <f t="shared" si="355"/>
        <v>100</v>
      </c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>
        <v>0</v>
      </c>
      <c r="AJ588" s="29">
        <f t="shared" si="381"/>
        <v>0</v>
      </c>
      <c r="AK588" s="136">
        <f t="shared" si="382"/>
        <v>2400000</v>
      </c>
      <c r="AL588" s="29">
        <f t="shared" si="372"/>
        <v>100</v>
      </c>
      <c r="AM588" s="26"/>
    </row>
    <row r="589" spans="1:39" ht="24.75" customHeight="1" x14ac:dyDescent="0.25">
      <c r="A589" s="26"/>
      <c r="B589" s="151"/>
      <c r="C589" s="151"/>
      <c r="D589" s="151"/>
      <c r="E589" s="151"/>
      <c r="F589" s="151"/>
      <c r="G589" s="151"/>
      <c r="H589" s="151"/>
      <c r="I589" s="152"/>
      <c r="J589" s="151" t="s">
        <v>273</v>
      </c>
      <c r="K589" s="27"/>
      <c r="L589" s="31"/>
      <c r="M589" s="563" t="s">
        <v>322</v>
      </c>
      <c r="N589" s="564"/>
      <c r="O589" s="35"/>
      <c r="P589" s="28"/>
      <c r="Q589" s="28">
        <v>22500000</v>
      </c>
      <c r="R589" s="29">
        <f t="shared" si="385"/>
        <v>5.3525132263159136</v>
      </c>
      <c r="S589" s="29">
        <v>100</v>
      </c>
      <c r="T589" s="28">
        <f t="shared" si="229"/>
        <v>0</v>
      </c>
      <c r="U589" s="28">
        <f t="shared" si="251"/>
        <v>0</v>
      </c>
      <c r="V589" s="87">
        <f t="shared" si="355"/>
        <v>100</v>
      </c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>
        <v>0</v>
      </c>
      <c r="AJ589" s="29">
        <f t="shared" si="381"/>
        <v>0</v>
      </c>
      <c r="AK589" s="136">
        <f t="shared" si="382"/>
        <v>22500000</v>
      </c>
      <c r="AL589" s="29">
        <f t="shared" si="372"/>
        <v>100</v>
      </c>
      <c r="AM589" s="26"/>
    </row>
    <row r="590" spans="1:39" ht="24.75" customHeight="1" x14ac:dyDescent="0.25">
      <c r="A590" s="26"/>
      <c r="B590" s="151"/>
      <c r="C590" s="151"/>
      <c r="D590" s="151"/>
      <c r="E590" s="151"/>
      <c r="F590" s="151"/>
      <c r="G590" s="151"/>
      <c r="H590" s="151"/>
      <c r="I590" s="152"/>
      <c r="J590" s="151" t="s">
        <v>326</v>
      </c>
      <c r="K590" s="27"/>
      <c r="L590" s="31"/>
      <c r="M590" s="563" t="s">
        <v>327</v>
      </c>
      <c r="N590" s="564"/>
      <c r="O590" s="35"/>
      <c r="P590" s="28"/>
      <c r="Q590" s="28">
        <v>50250000</v>
      </c>
      <c r="R590" s="29">
        <f t="shared" si="385"/>
        <v>11.953946205438873</v>
      </c>
      <c r="S590" s="29">
        <v>100</v>
      </c>
      <c r="T590" s="28">
        <f t="shared" si="229"/>
        <v>0</v>
      </c>
      <c r="U590" s="28">
        <f t="shared" si="251"/>
        <v>0</v>
      </c>
      <c r="V590" s="87">
        <f t="shared" si="355"/>
        <v>100</v>
      </c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>
        <v>0</v>
      </c>
      <c r="AJ590" s="29">
        <f t="shared" si="381"/>
        <v>0</v>
      </c>
      <c r="AK590" s="136">
        <f t="shared" si="382"/>
        <v>50250000</v>
      </c>
      <c r="AL590" s="29">
        <f t="shared" si="372"/>
        <v>100</v>
      </c>
      <c r="AM590" s="26"/>
    </row>
    <row r="591" spans="1:39" ht="24.75" customHeight="1" x14ac:dyDescent="0.25">
      <c r="A591" s="26"/>
      <c r="B591" s="151"/>
      <c r="C591" s="151"/>
      <c r="D591" s="151"/>
      <c r="E591" s="151"/>
      <c r="F591" s="151"/>
      <c r="G591" s="151"/>
      <c r="H591" s="151"/>
      <c r="I591" s="152"/>
      <c r="J591" s="151" t="s">
        <v>323</v>
      </c>
      <c r="K591" s="27"/>
      <c r="L591" s="31"/>
      <c r="M591" s="563" t="s">
        <v>324</v>
      </c>
      <c r="N591" s="564"/>
      <c r="O591" s="35"/>
      <c r="P591" s="28"/>
      <c r="Q591" s="28">
        <v>18165000</v>
      </c>
      <c r="R591" s="29">
        <f t="shared" si="385"/>
        <v>4.3212623447123812</v>
      </c>
      <c r="S591" s="29">
        <v>100</v>
      </c>
      <c r="T591" s="28">
        <f t="shared" si="229"/>
        <v>0</v>
      </c>
      <c r="U591" s="28">
        <f t="shared" si="251"/>
        <v>0</v>
      </c>
      <c r="V591" s="87">
        <f t="shared" si="355"/>
        <v>100</v>
      </c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>
        <v>0</v>
      </c>
      <c r="AJ591" s="29">
        <f t="shared" si="381"/>
        <v>0</v>
      </c>
      <c r="AK591" s="136">
        <f t="shared" si="382"/>
        <v>18165000</v>
      </c>
      <c r="AL591" s="29">
        <f t="shared" si="372"/>
        <v>100</v>
      </c>
      <c r="AM591" s="26"/>
    </row>
    <row r="592" spans="1:39" ht="24.75" customHeight="1" x14ac:dyDescent="0.25">
      <c r="A592" s="26"/>
      <c r="B592" s="151"/>
      <c r="C592" s="151"/>
      <c r="D592" s="151"/>
      <c r="E592" s="151"/>
      <c r="F592" s="151"/>
      <c r="G592" s="151"/>
      <c r="H592" s="151"/>
      <c r="I592" s="152"/>
      <c r="J592" s="151" t="s">
        <v>269</v>
      </c>
      <c r="K592" s="27"/>
      <c r="L592" s="31"/>
      <c r="M592" s="563" t="s">
        <v>270</v>
      </c>
      <c r="N592" s="564"/>
      <c r="O592" s="35"/>
      <c r="P592" s="28"/>
      <c r="Q592" s="28">
        <v>7500000</v>
      </c>
      <c r="R592" s="29">
        <f t="shared" si="385"/>
        <v>1.7841710754386377</v>
      </c>
      <c r="S592" s="29">
        <v>100</v>
      </c>
      <c r="T592" s="28">
        <f t="shared" si="229"/>
        <v>0</v>
      </c>
      <c r="U592" s="28">
        <f t="shared" si="251"/>
        <v>0</v>
      </c>
      <c r="V592" s="87">
        <f t="shared" si="355"/>
        <v>100</v>
      </c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>
        <v>0</v>
      </c>
      <c r="AJ592" s="29">
        <f t="shared" si="381"/>
        <v>0</v>
      </c>
      <c r="AK592" s="136">
        <f t="shared" si="382"/>
        <v>7500000</v>
      </c>
      <c r="AL592" s="29">
        <f t="shared" si="372"/>
        <v>100</v>
      </c>
      <c r="AM592" s="26"/>
    </row>
    <row r="593" spans="1:39" ht="24.75" customHeight="1" x14ac:dyDescent="0.25">
      <c r="A593" s="26"/>
      <c r="B593" s="151"/>
      <c r="C593" s="151"/>
      <c r="D593" s="151"/>
      <c r="E593" s="151"/>
      <c r="F593" s="151"/>
      <c r="G593" s="151"/>
      <c r="H593" s="151"/>
      <c r="I593" s="152"/>
      <c r="J593" s="151" t="s">
        <v>315</v>
      </c>
      <c r="K593" s="27"/>
      <c r="L593" s="31"/>
      <c r="M593" s="563" t="s">
        <v>271</v>
      </c>
      <c r="N593" s="564"/>
      <c r="O593" s="35"/>
      <c r="P593" s="28"/>
      <c r="Q593" s="28">
        <v>9928277</v>
      </c>
      <c r="R593" s="29">
        <f t="shared" si="385"/>
        <v>2.361832620312359</v>
      </c>
      <c r="S593" s="29">
        <v>100</v>
      </c>
      <c r="T593" s="28">
        <f t="shared" si="229"/>
        <v>0</v>
      </c>
      <c r="U593" s="28">
        <f t="shared" si="251"/>
        <v>0</v>
      </c>
      <c r="V593" s="87">
        <f t="shared" si="355"/>
        <v>100</v>
      </c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>
        <v>0</v>
      </c>
      <c r="AJ593" s="29">
        <f t="shared" si="381"/>
        <v>0</v>
      </c>
      <c r="AK593" s="136">
        <f t="shared" si="382"/>
        <v>9928277</v>
      </c>
      <c r="AL593" s="29">
        <f t="shared" si="372"/>
        <v>100</v>
      </c>
      <c r="AM593" s="26"/>
    </row>
    <row r="594" spans="1:39" ht="24.75" customHeight="1" x14ac:dyDescent="0.25">
      <c r="A594" s="26"/>
      <c r="B594" s="151"/>
      <c r="C594" s="151"/>
      <c r="D594" s="151"/>
      <c r="E594" s="151"/>
      <c r="F594" s="151"/>
      <c r="G594" s="151"/>
      <c r="H594" s="151"/>
      <c r="I594" s="152"/>
      <c r="J594" s="151" t="s">
        <v>328</v>
      </c>
      <c r="K594" s="27"/>
      <c r="L594" s="31"/>
      <c r="M594" s="563" t="s">
        <v>329</v>
      </c>
      <c r="N594" s="564"/>
      <c r="O594" s="35"/>
      <c r="P594" s="28"/>
      <c r="Q594" s="28">
        <v>149600000</v>
      </c>
      <c r="R594" s="29">
        <f t="shared" si="385"/>
        <v>35.588265718082695</v>
      </c>
      <c r="S594" s="29">
        <v>100</v>
      </c>
      <c r="T594" s="28">
        <f t="shared" si="229"/>
        <v>0</v>
      </c>
      <c r="U594" s="28">
        <f t="shared" si="251"/>
        <v>0</v>
      </c>
      <c r="V594" s="87">
        <f t="shared" si="355"/>
        <v>100</v>
      </c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>
        <v>0</v>
      </c>
      <c r="AJ594" s="29">
        <f t="shared" si="381"/>
        <v>0</v>
      </c>
      <c r="AK594" s="136">
        <f t="shared" si="382"/>
        <v>149600000</v>
      </c>
      <c r="AL594" s="29">
        <f t="shared" si="372"/>
        <v>100</v>
      </c>
      <c r="AM594" s="26"/>
    </row>
    <row r="595" spans="1:39" ht="24.75" customHeight="1" x14ac:dyDescent="0.25">
      <c r="A595" s="26"/>
      <c r="B595" s="151"/>
      <c r="C595" s="151"/>
      <c r="D595" s="151"/>
      <c r="E595" s="151"/>
      <c r="F595" s="151"/>
      <c r="G595" s="151"/>
      <c r="H595" s="151"/>
      <c r="I595" s="152"/>
      <c r="J595" s="151" t="s">
        <v>280</v>
      </c>
      <c r="K595" s="27"/>
      <c r="L595" s="31"/>
      <c r="M595" s="563" t="s">
        <v>281</v>
      </c>
      <c r="N595" s="564"/>
      <c r="O595" s="35"/>
      <c r="P595" s="28"/>
      <c r="Q595" s="28">
        <v>22500000</v>
      </c>
      <c r="R595" s="29">
        <f t="shared" si="385"/>
        <v>5.3525132263159136</v>
      </c>
      <c r="S595" s="29">
        <v>100</v>
      </c>
      <c r="T595" s="28">
        <f t="shared" si="229"/>
        <v>0</v>
      </c>
      <c r="U595" s="28">
        <f t="shared" si="251"/>
        <v>0</v>
      </c>
      <c r="V595" s="87">
        <f t="shared" si="355"/>
        <v>100</v>
      </c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>
        <v>0</v>
      </c>
      <c r="AJ595" s="29">
        <f t="shared" si="381"/>
        <v>0</v>
      </c>
      <c r="AK595" s="136">
        <f t="shared" si="382"/>
        <v>22500000</v>
      </c>
      <c r="AL595" s="29">
        <f t="shared" si="372"/>
        <v>100</v>
      </c>
      <c r="AM595" s="26"/>
    </row>
    <row r="596" spans="1:39" ht="24.75" customHeight="1" x14ac:dyDescent="0.25">
      <c r="A596" s="26"/>
      <c r="B596" s="151"/>
      <c r="C596" s="151"/>
      <c r="D596" s="151"/>
      <c r="E596" s="151"/>
      <c r="F596" s="151"/>
      <c r="G596" s="151"/>
      <c r="H596" s="151"/>
      <c r="I596" s="152"/>
      <c r="J596" s="151" t="s">
        <v>284</v>
      </c>
      <c r="K596" s="27"/>
      <c r="L596" s="31"/>
      <c r="M596" s="563" t="s">
        <v>285</v>
      </c>
      <c r="N596" s="564"/>
      <c r="O596" s="35"/>
      <c r="P596" s="28"/>
      <c r="Q596" s="28">
        <v>22520000</v>
      </c>
      <c r="R596" s="29">
        <f t="shared" si="385"/>
        <v>5.357271015850416</v>
      </c>
      <c r="S596" s="29">
        <v>100</v>
      </c>
      <c r="T596" s="28">
        <f t="shared" si="229"/>
        <v>0</v>
      </c>
      <c r="U596" s="28">
        <f t="shared" si="251"/>
        <v>0</v>
      </c>
      <c r="V596" s="87">
        <f t="shared" si="355"/>
        <v>100</v>
      </c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>
        <v>0</v>
      </c>
      <c r="AJ596" s="29">
        <f t="shared" si="381"/>
        <v>0</v>
      </c>
      <c r="AK596" s="136">
        <f t="shared" si="382"/>
        <v>22520000</v>
      </c>
      <c r="AL596" s="29">
        <f t="shared" si="372"/>
        <v>100</v>
      </c>
      <c r="AM596" s="26"/>
    </row>
    <row r="597" spans="1:39" ht="24.75" customHeight="1" x14ac:dyDescent="0.25">
      <c r="A597" s="26"/>
      <c r="B597" s="151"/>
      <c r="C597" s="151"/>
      <c r="D597" s="151"/>
      <c r="E597" s="151"/>
      <c r="F597" s="151"/>
      <c r="G597" s="151"/>
      <c r="H597" s="151"/>
      <c r="I597" s="152"/>
      <c r="J597" s="151" t="s">
        <v>282</v>
      </c>
      <c r="K597" s="27"/>
      <c r="L597" s="31"/>
      <c r="M597" s="563" t="s">
        <v>283</v>
      </c>
      <c r="N597" s="564"/>
      <c r="O597" s="35"/>
      <c r="P597" s="28"/>
      <c r="Q597" s="28">
        <v>19800000</v>
      </c>
      <c r="R597" s="29">
        <f t="shared" si="385"/>
        <v>4.710211639158004</v>
      </c>
      <c r="S597" s="29">
        <v>100</v>
      </c>
      <c r="T597" s="28">
        <f t="shared" si="229"/>
        <v>0</v>
      </c>
      <c r="U597" s="28">
        <f t="shared" si="251"/>
        <v>0</v>
      </c>
      <c r="V597" s="87">
        <f t="shared" si="355"/>
        <v>100</v>
      </c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>
        <v>0</v>
      </c>
      <c r="AJ597" s="29">
        <f t="shared" si="381"/>
        <v>0</v>
      </c>
      <c r="AK597" s="136">
        <f t="shared" si="382"/>
        <v>19800000</v>
      </c>
      <c r="AL597" s="29">
        <f t="shared" si="372"/>
        <v>100</v>
      </c>
      <c r="AM597" s="26"/>
    </row>
    <row r="598" spans="1:39" ht="24.75" customHeight="1" x14ac:dyDescent="0.25">
      <c r="A598" s="26"/>
      <c r="B598" s="151"/>
      <c r="C598" s="151"/>
      <c r="D598" s="151"/>
      <c r="E598" s="151"/>
      <c r="F598" s="151"/>
      <c r="G598" s="151"/>
      <c r="H598" s="151"/>
      <c r="I598" s="152"/>
      <c r="J598" s="151" t="s">
        <v>320</v>
      </c>
      <c r="K598" s="27"/>
      <c r="L598" s="31"/>
      <c r="M598" s="563" t="s">
        <v>321</v>
      </c>
      <c r="N598" s="564"/>
      <c r="O598" s="35"/>
      <c r="P598" s="28"/>
      <c r="Q598" s="28">
        <v>10800000</v>
      </c>
      <c r="R598" s="29">
        <f t="shared" si="385"/>
        <v>2.5692063486316385</v>
      </c>
      <c r="S598" s="29">
        <v>100</v>
      </c>
      <c r="T598" s="28">
        <f t="shared" si="229"/>
        <v>0</v>
      </c>
      <c r="U598" s="28">
        <f t="shared" si="251"/>
        <v>0</v>
      </c>
      <c r="V598" s="87">
        <f t="shared" si="355"/>
        <v>100</v>
      </c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>
        <v>0</v>
      </c>
      <c r="AJ598" s="29">
        <f t="shared" si="381"/>
        <v>0</v>
      </c>
      <c r="AK598" s="136">
        <f t="shared" si="382"/>
        <v>10800000</v>
      </c>
      <c r="AL598" s="29">
        <f t="shared" si="372"/>
        <v>100</v>
      </c>
      <c r="AM598" s="26"/>
    </row>
    <row r="599" spans="1:39" ht="24.75" customHeight="1" x14ac:dyDescent="0.25">
      <c r="A599" s="26"/>
      <c r="B599" s="151"/>
      <c r="C599" s="151"/>
      <c r="D599" s="151"/>
      <c r="E599" s="151"/>
      <c r="F599" s="151"/>
      <c r="G599" s="151"/>
      <c r="H599" s="151"/>
      <c r="I599" s="152"/>
      <c r="J599" s="151" t="s">
        <v>309</v>
      </c>
      <c r="K599" s="27"/>
      <c r="L599" s="31"/>
      <c r="M599" s="563" t="s">
        <v>310</v>
      </c>
      <c r="N599" s="564"/>
      <c r="O599" s="35"/>
      <c r="P599" s="28"/>
      <c r="Q599" s="28">
        <v>75000000</v>
      </c>
      <c r="R599" s="29">
        <f t="shared" si="385"/>
        <v>17.841710754386376</v>
      </c>
      <c r="S599" s="29">
        <v>100</v>
      </c>
      <c r="T599" s="28">
        <f t="shared" si="229"/>
        <v>0</v>
      </c>
      <c r="U599" s="28">
        <f t="shared" si="251"/>
        <v>0</v>
      </c>
      <c r="V599" s="87">
        <f t="shared" si="355"/>
        <v>100</v>
      </c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>
        <v>0</v>
      </c>
      <c r="AJ599" s="29">
        <f t="shared" si="381"/>
        <v>0</v>
      </c>
      <c r="AK599" s="136">
        <f t="shared" si="382"/>
        <v>75000000</v>
      </c>
      <c r="AL599" s="29">
        <f t="shared" si="372"/>
        <v>100</v>
      </c>
      <c r="AM599" s="26"/>
    </row>
    <row r="600" spans="1:39" ht="24.75" customHeight="1" x14ac:dyDescent="0.25">
      <c r="A600" s="26"/>
      <c r="B600" s="176"/>
      <c r="C600" s="176"/>
      <c r="D600" s="176"/>
      <c r="E600" s="176"/>
      <c r="F600" s="176"/>
      <c r="G600" s="176"/>
      <c r="H600" s="176"/>
      <c r="I600" s="177"/>
      <c r="J600" s="176" t="s">
        <v>407</v>
      </c>
      <c r="K600" s="27"/>
      <c r="L600" s="31"/>
      <c r="M600" s="563" t="s">
        <v>607</v>
      </c>
      <c r="N600" s="564"/>
      <c r="O600" s="35"/>
      <c r="P600" s="28"/>
      <c r="Q600" s="28">
        <v>9400000</v>
      </c>
      <c r="R600" s="29">
        <f t="shared" si="385"/>
        <v>2.2361610812164261</v>
      </c>
      <c r="S600" s="29">
        <v>100</v>
      </c>
      <c r="T600" s="28">
        <f t="shared" ref="T600" si="386">AJ600</f>
        <v>0</v>
      </c>
      <c r="U600" s="28">
        <f t="shared" ref="U600" si="387">R600*T600/100</f>
        <v>0</v>
      </c>
      <c r="V600" s="87">
        <f t="shared" ref="V600" si="388">S600-T600</f>
        <v>100</v>
      </c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>
        <v>0</v>
      </c>
      <c r="AJ600" s="29">
        <f t="shared" ref="AJ600" si="389">AI600/Q600*100</f>
        <v>0</v>
      </c>
      <c r="AK600" s="136">
        <f t="shared" ref="AK600" si="390">Q600-AI600</f>
        <v>9400000</v>
      </c>
      <c r="AL600" s="29">
        <f t="shared" ref="AL600" si="391">AK600/Q600*100</f>
        <v>100</v>
      </c>
      <c r="AM600" s="26"/>
    </row>
    <row r="601" spans="1:39" s="41" customFormat="1" ht="31.5" customHeight="1" x14ac:dyDescent="0.25">
      <c r="A601" s="21" t="e">
        <f>SUM(A587+1)</f>
        <v>#REF!</v>
      </c>
      <c r="B601" s="158"/>
      <c r="C601" s="158"/>
      <c r="D601" s="158"/>
      <c r="E601" s="158"/>
      <c r="F601" s="158"/>
      <c r="G601" s="158"/>
      <c r="H601" s="158"/>
      <c r="I601" s="159"/>
      <c r="J601" s="122" t="s">
        <v>526</v>
      </c>
      <c r="K601" s="22"/>
      <c r="L601" s="72"/>
      <c r="M601" s="566" t="s">
        <v>206</v>
      </c>
      <c r="N601" s="567"/>
      <c r="O601" s="76"/>
      <c r="P601" s="23"/>
      <c r="Q601" s="23">
        <f>SUM(Q602:Q610)</f>
        <v>252438140</v>
      </c>
      <c r="R601" s="24" t="e">
        <f>Q601/Q$243*100</f>
        <v>#REF!</v>
      </c>
      <c r="S601" s="24">
        <v>100</v>
      </c>
      <c r="T601" s="23">
        <f t="shared" si="229"/>
        <v>0</v>
      </c>
      <c r="U601" s="23" t="e">
        <f t="shared" si="251"/>
        <v>#REF!</v>
      </c>
      <c r="V601" s="90">
        <f t="shared" si="355"/>
        <v>100</v>
      </c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>
        <f>SUM(AI602:AI610)</f>
        <v>0</v>
      </c>
      <c r="AJ601" s="24">
        <f t="shared" si="381"/>
        <v>0</v>
      </c>
      <c r="AK601" s="134">
        <f t="shared" si="382"/>
        <v>252438140</v>
      </c>
      <c r="AL601" s="24">
        <f t="shared" si="372"/>
        <v>100</v>
      </c>
      <c r="AM601" s="21"/>
    </row>
    <row r="602" spans="1:39" ht="31.5" customHeight="1" x14ac:dyDescent="0.25">
      <c r="A602" s="26"/>
      <c r="B602" s="151"/>
      <c r="C602" s="151"/>
      <c r="D602" s="151"/>
      <c r="E602" s="151"/>
      <c r="F602" s="151"/>
      <c r="G602" s="151"/>
      <c r="H602" s="151"/>
      <c r="I602" s="152"/>
      <c r="J602" s="151" t="s">
        <v>257</v>
      </c>
      <c r="K602" s="27"/>
      <c r="L602" s="31"/>
      <c r="M602" s="563" t="s">
        <v>260</v>
      </c>
      <c r="N602" s="564"/>
      <c r="O602" s="35"/>
      <c r="P602" s="28"/>
      <c r="Q602" s="28">
        <v>2300000</v>
      </c>
      <c r="R602" s="29">
        <f>Q602/Q$601*100</f>
        <v>0.91111430309223485</v>
      </c>
      <c r="S602" s="29">
        <v>100</v>
      </c>
      <c r="T602" s="28">
        <f t="shared" si="229"/>
        <v>0</v>
      </c>
      <c r="U602" s="28">
        <f t="shared" si="251"/>
        <v>0</v>
      </c>
      <c r="V602" s="87">
        <f t="shared" si="355"/>
        <v>100</v>
      </c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>
        <v>0</v>
      </c>
      <c r="AJ602" s="29">
        <f t="shared" si="381"/>
        <v>0</v>
      </c>
      <c r="AK602" s="136">
        <f t="shared" si="382"/>
        <v>2300000</v>
      </c>
      <c r="AL602" s="29">
        <f t="shared" si="372"/>
        <v>100</v>
      </c>
      <c r="AM602" s="26"/>
    </row>
    <row r="603" spans="1:39" ht="31.5" customHeight="1" x14ac:dyDescent="0.25">
      <c r="A603" s="26"/>
      <c r="B603" s="151"/>
      <c r="C603" s="151"/>
      <c r="D603" s="151"/>
      <c r="E603" s="151"/>
      <c r="F603" s="151"/>
      <c r="G603" s="151"/>
      <c r="H603" s="151"/>
      <c r="I603" s="152"/>
      <c r="J603" s="151" t="s">
        <v>273</v>
      </c>
      <c r="K603" s="27"/>
      <c r="L603" s="31"/>
      <c r="M603" s="563" t="s">
        <v>322</v>
      </c>
      <c r="N603" s="564"/>
      <c r="O603" s="35"/>
      <c r="P603" s="28"/>
      <c r="Q603" s="28">
        <v>20400000</v>
      </c>
      <c r="R603" s="29">
        <f t="shared" ref="R603:R609" si="392">Q603/Q$601*100</f>
        <v>8.0811877317746035</v>
      </c>
      <c r="S603" s="29">
        <v>100</v>
      </c>
      <c r="T603" s="28">
        <f t="shared" si="229"/>
        <v>0</v>
      </c>
      <c r="U603" s="28">
        <f t="shared" si="251"/>
        <v>0</v>
      </c>
      <c r="V603" s="87">
        <f t="shared" si="355"/>
        <v>100</v>
      </c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>
        <v>0</v>
      </c>
      <c r="AJ603" s="29">
        <f t="shared" si="381"/>
        <v>0</v>
      </c>
      <c r="AK603" s="136">
        <f t="shared" si="382"/>
        <v>20400000</v>
      </c>
      <c r="AL603" s="29">
        <f t="shared" si="372"/>
        <v>100</v>
      </c>
      <c r="AM603" s="26"/>
    </row>
    <row r="604" spans="1:39" ht="31.5" customHeight="1" x14ac:dyDescent="0.25">
      <c r="A604" s="26"/>
      <c r="B604" s="151"/>
      <c r="C604" s="151"/>
      <c r="D604" s="151"/>
      <c r="E604" s="151"/>
      <c r="F604" s="151"/>
      <c r="G604" s="151"/>
      <c r="H604" s="151"/>
      <c r="I604" s="152"/>
      <c r="J604" s="151" t="s">
        <v>323</v>
      </c>
      <c r="K604" s="27"/>
      <c r="L604" s="31"/>
      <c r="M604" s="563" t="s">
        <v>324</v>
      </c>
      <c r="N604" s="564"/>
      <c r="O604" s="35"/>
      <c r="P604" s="28"/>
      <c r="Q604" s="28">
        <v>33513000</v>
      </c>
      <c r="R604" s="29">
        <f t="shared" si="392"/>
        <v>13.275727669360899</v>
      </c>
      <c r="S604" s="29">
        <v>100</v>
      </c>
      <c r="T604" s="28">
        <f t="shared" ref="T604:T657" si="393">AJ604</f>
        <v>0</v>
      </c>
      <c r="U604" s="28">
        <f t="shared" si="251"/>
        <v>0</v>
      </c>
      <c r="V604" s="87">
        <f t="shared" si="355"/>
        <v>100</v>
      </c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>
        <v>0</v>
      </c>
      <c r="AJ604" s="29">
        <f t="shared" si="381"/>
        <v>0</v>
      </c>
      <c r="AK604" s="136">
        <f t="shared" si="382"/>
        <v>33513000</v>
      </c>
      <c r="AL604" s="29">
        <f t="shared" si="372"/>
        <v>100</v>
      </c>
      <c r="AM604" s="26"/>
    </row>
    <row r="605" spans="1:39" ht="31.5" customHeight="1" x14ac:dyDescent="0.25">
      <c r="A605" s="26"/>
      <c r="B605" s="151"/>
      <c r="C605" s="151"/>
      <c r="D605" s="151"/>
      <c r="E605" s="151"/>
      <c r="F605" s="151"/>
      <c r="G605" s="151"/>
      <c r="H605" s="151"/>
      <c r="I605" s="152"/>
      <c r="J605" s="151" t="s">
        <v>269</v>
      </c>
      <c r="K605" s="27"/>
      <c r="L605" s="31"/>
      <c r="M605" s="563" t="s">
        <v>270</v>
      </c>
      <c r="N605" s="564"/>
      <c r="O605" s="35"/>
      <c r="P605" s="28"/>
      <c r="Q605" s="28">
        <v>24000000</v>
      </c>
      <c r="R605" s="29">
        <f t="shared" si="392"/>
        <v>9.5072796844407108</v>
      </c>
      <c r="S605" s="29">
        <v>100</v>
      </c>
      <c r="T605" s="28">
        <f t="shared" si="393"/>
        <v>0</v>
      </c>
      <c r="U605" s="28">
        <f t="shared" si="251"/>
        <v>0</v>
      </c>
      <c r="V605" s="87">
        <f t="shared" si="355"/>
        <v>100</v>
      </c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>
        <v>0</v>
      </c>
      <c r="AJ605" s="29">
        <f t="shared" si="381"/>
        <v>0</v>
      </c>
      <c r="AK605" s="136">
        <f t="shared" si="382"/>
        <v>24000000</v>
      </c>
      <c r="AL605" s="29">
        <f t="shared" si="372"/>
        <v>100</v>
      </c>
      <c r="AM605" s="26"/>
    </row>
    <row r="606" spans="1:39" ht="31.5" customHeight="1" x14ac:dyDescent="0.25">
      <c r="A606" s="26"/>
      <c r="B606" s="151"/>
      <c r="C606" s="151"/>
      <c r="D606" s="151"/>
      <c r="E606" s="151"/>
      <c r="F606" s="151"/>
      <c r="G606" s="151"/>
      <c r="H606" s="151"/>
      <c r="I606" s="152"/>
      <c r="J606" s="151" t="s">
        <v>315</v>
      </c>
      <c r="K606" s="27"/>
      <c r="L606" s="31"/>
      <c r="M606" s="563" t="s">
        <v>271</v>
      </c>
      <c r="N606" s="564"/>
      <c r="O606" s="35"/>
      <c r="P606" s="28"/>
      <c r="Q606" s="28">
        <v>1965000</v>
      </c>
      <c r="R606" s="29">
        <f t="shared" si="392"/>
        <v>0.77840852416358319</v>
      </c>
      <c r="S606" s="29">
        <v>100</v>
      </c>
      <c r="T606" s="28">
        <f t="shared" si="393"/>
        <v>0</v>
      </c>
      <c r="U606" s="28">
        <f t="shared" si="251"/>
        <v>0</v>
      </c>
      <c r="V606" s="87">
        <f t="shared" si="355"/>
        <v>100</v>
      </c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>
        <v>0</v>
      </c>
      <c r="AJ606" s="29">
        <f t="shared" si="381"/>
        <v>0</v>
      </c>
      <c r="AK606" s="136">
        <f t="shared" si="382"/>
        <v>1965000</v>
      </c>
      <c r="AL606" s="29">
        <f t="shared" si="372"/>
        <v>100</v>
      </c>
      <c r="AM606" s="26"/>
    </row>
    <row r="607" spans="1:39" ht="31.5" customHeight="1" x14ac:dyDescent="0.25">
      <c r="A607" s="26"/>
      <c r="B607" s="151"/>
      <c r="C607" s="151"/>
      <c r="D607" s="151"/>
      <c r="E607" s="151"/>
      <c r="F607" s="151"/>
      <c r="G607" s="151"/>
      <c r="H607" s="151"/>
      <c r="I607" s="152"/>
      <c r="J607" s="151" t="s">
        <v>328</v>
      </c>
      <c r="K607" s="27"/>
      <c r="L607" s="31"/>
      <c r="M607" s="563" t="s">
        <v>329</v>
      </c>
      <c r="N607" s="564"/>
      <c r="O607" s="35"/>
      <c r="P607" s="28"/>
      <c r="Q607" s="28">
        <v>107000000</v>
      </c>
      <c r="R607" s="29">
        <f t="shared" si="392"/>
        <v>42.386621926464834</v>
      </c>
      <c r="S607" s="29">
        <v>100</v>
      </c>
      <c r="T607" s="28">
        <f t="shared" si="393"/>
        <v>0</v>
      </c>
      <c r="U607" s="28">
        <f t="shared" si="251"/>
        <v>0</v>
      </c>
      <c r="V607" s="87">
        <f t="shared" si="355"/>
        <v>100</v>
      </c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>
        <v>0</v>
      </c>
      <c r="AJ607" s="29">
        <f t="shared" si="381"/>
        <v>0</v>
      </c>
      <c r="AK607" s="136">
        <f t="shared" si="382"/>
        <v>107000000</v>
      </c>
      <c r="AL607" s="29">
        <f t="shared" si="372"/>
        <v>100</v>
      </c>
      <c r="AM607" s="26"/>
    </row>
    <row r="608" spans="1:39" ht="31.5" customHeight="1" x14ac:dyDescent="0.25">
      <c r="A608" s="26"/>
      <c r="B608" s="151"/>
      <c r="C608" s="151"/>
      <c r="D608" s="151"/>
      <c r="E608" s="151"/>
      <c r="F608" s="151"/>
      <c r="G608" s="151"/>
      <c r="H608" s="151"/>
      <c r="I608" s="152"/>
      <c r="J608" s="151" t="s">
        <v>339</v>
      </c>
      <c r="K608" s="27"/>
      <c r="L608" s="31"/>
      <c r="M608" s="563" t="s">
        <v>340</v>
      </c>
      <c r="N608" s="564"/>
      <c r="O608" s="35"/>
      <c r="P608" s="28"/>
      <c r="Q608" s="28">
        <v>37200000</v>
      </c>
      <c r="R608" s="29">
        <f t="shared" si="392"/>
        <v>14.736283510883103</v>
      </c>
      <c r="S608" s="29">
        <v>100</v>
      </c>
      <c r="T608" s="28">
        <f t="shared" si="393"/>
        <v>0</v>
      </c>
      <c r="U608" s="28">
        <f t="shared" si="251"/>
        <v>0</v>
      </c>
      <c r="V608" s="87">
        <f t="shared" si="355"/>
        <v>100</v>
      </c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>
        <v>0</v>
      </c>
      <c r="AJ608" s="29">
        <f t="shared" si="381"/>
        <v>0</v>
      </c>
      <c r="AK608" s="136">
        <f t="shared" si="382"/>
        <v>37200000</v>
      </c>
      <c r="AL608" s="29">
        <f t="shared" si="372"/>
        <v>100</v>
      </c>
      <c r="AM608" s="26"/>
    </row>
    <row r="609" spans="1:39" ht="31.5" customHeight="1" x14ac:dyDescent="0.25">
      <c r="A609" s="26"/>
      <c r="B609" s="151"/>
      <c r="C609" s="151"/>
      <c r="D609" s="151"/>
      <c r="E609" s="151"/>
      <c r="F609" s="151"/>
      <c r="G609" s="151"/>
      <c r="H609" s="151"/>
      <c r="I609" s="152"/>
      <c r="J609" s="151" t="s">
        <v>284</v>
      </c>
      <c r="K609" s="27"/>
      <c r="L609" s="31"/>
      <c r="M609" s="563" t="s">
        <v>285</v>
      </c>
      <c r="N609" s="564"/>
      <c r="O609" s="35"/>
      <c r="P609" s="28"/>
      <c r="Q609" s="28">
        <v>7560000</v>
      </c>
      <c r="R609" s="29">
        <f t="shared" si="392"/>
        <v>2.994793100598824</v>
      </c>
      <c r="S609" s="29">
        <v>100</v>
      </c>
      <c r="T609" s="28">
        <f t="shared" si="393"/>
        <v>0</v>
      </c>
      <c r="U609" s="28">
        <f t="shared" si="251"/>
        <v>0</v>
      </c>
      <c r="V609" s="87">
        <f t="shared" si="355"/>
        <v>100</v>
      </c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>
        <v>0</v>
      </c>
      <c r="AJ609" s="29">
        <f t="shared" si="381"/>
        <v>0</v>
      </c>
      <c r="AK609" s="136">
        <f t="shared" si="382"/>
        <v>7560000</v>
      </c>
      <c r="AL609" s="29">
        <f t="shared" ref="AL609:AL665" si="394">AK609/Q609*100</f>
        <v>100</v>
      </c>
      <c r="AM609" s="26"/>
    </row>
    <row r="610" spans="1:39" ht="31.5" customHeight="1" x14ac:dyDescent="0.25">
      <c r="A610" s="26"/>
      <c r="B610" s="151"/>
      <c r="C610" s="151"/>
      <c r="D610" s="151"/>
      <c r="E610" s="151"/>
      <c r="F610" s="151"/>
      <c r="G610" s="151"/>
      <c r="H610" s="151"/>
      <c r="I610" s="152"/>
      <c r="J610" s="151" t="s">
        <v>282</v>
      </c>
      <c r="K610" s="27"/>
      <c r="L610" s="31"/>
      <c r="M610" s="563" t="s">
        <v>283</v>
      </c>
      <c r="N610" s="564"/>
      <c r="O610" s="35"/>
      <c r="P610" s="28"/>
      <c r="Q610" s="28">
        <v>18500140</v>
      </c>
      <c r="R610" s="29">
        <f>Q610/Q$601*100</f>
        <v>7.3285835492212072</v>
      </c>
      <c r="S610" s="29">
        <v>100</v>
      </c>
      <c r="T610" s="28">
        <f t="shared" si="393"/>
        <v>0</v>
      </c>
      <c r="U610" s="28">
        <f t="shared" si="251"/>
        <v>0</v>
      </c>
      <c r="V610" s="87">
        <f t="shared" si="355"/>
        <v>100</v>
      </c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>
        <v>0</v>
      </c>
      <c r="AJ610" s="29">
        <f t="shared" si="381"/>
        <v>0</v>
      </c>
      <c r="AK610" s="136">
        <f t="shared" si="382"/>
        <v>18500140</v>
      </c>
      <c r="AL610" s="29">
        <f t="shared" si="394"/>
        <v>100</v>
      </c>
      <c r="AM610" s="26"/>
    </row>
    <row r="611" spans="1:39" s="41" customFormat="1" ht="28.5" customHeight="1" x14ac:dyDescent="0.25">
      <c r="A611" s="21" t="e">
        <f>SUM(A601+1)</f>
        <v>#REF!</v>
      </c>
      <c r="B611" s="158"/>
      <c r="C611" s="158"/>
      <c r="D611" s="158"/>
      <c r="E611" s="158"/>
      <c r="F611" s="158"/>
      <c r="G611" s="158"/>
      <c r="H611" s="158"/>
      <c r="I611" s="159"/>
      <c r="J611" s="122" t="s">
        <v>527</v>
      </c>
      <c r="K611" s="22"/>
      <c r="L611" s="72"/>
      <c r="M611" s="568" t="s">
        <v>207</v>
      </c>
      <c r="N611" s="546"/>
      <c r="O611" s="76"/>
      <c r="P611" s="23"/>
      <c r="Q611" s="23">
        <f>SUM(Q612:Q619)</f>
        <v>195716927</v>
      </c>
      <c r="R611" s="24">
        <f>Q611/Q$601*100</f>
        <v>77.530648498677735</v>
      </c>
      <c r="S611" s="24">
        <v>100</v>
      </c>
      <c r="T611" s="23">
        <f t="shared" si="393"/>
        <v>0</v>
      </c>
      <c r="U611" s="23">
        <f t="shared" si="251"/>
        <v>0</v>
      </c>
      <c r="V611" s="90">
        <f t="shared" si="355"/>
        <v>100</v>
      </c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>
        <f>SUM(AI612:AI619)</f>
        <v>0</v>
      </c>
      <c r="AJ611" s="24">
        <f t="shared" si="381"/>
        <v>0</v>
      </c>
      <c r="AK611" s="134">
        <f t="shared" si="382"/>
        <v>195716927</v>
      </c>
      <c r="AL611" s="24">
        <f t="shared" si="394"/>
        <v>100</v>
      </c>
      <c r="AM611" s="21"/>
    </row>
    <row r="612" spans="1:39" ht="28.5" customHeight="1" x14ac:dyDescent="0.25">
      <c r="A612" s="26"/>
      <c r="B612" s="151"/>
      <c r="C612" s="151"/>
      <c r="D612" s="151"/>
      <c r="E612" s="151"/>
      <c r="F612" s="151"/>
      <c r="G612" s="151"/>
      <c r="H612" s="151"/>
      <c r="I612" s="152"/>
      <c r="J612" s="151" t="s">
        <v>273</v>
      </c>
      <c r="K612" s="27"/>
      <c r="L612" s="31"/>
      <c r="M612" s="563" t="s">
        <v>322</v>
      </c>
      <c r="N612" s="564"/>
      <c r="O612" s="35"/>
      <c r="P612" s="28"/>
      <c r="Q612" s="28">
        <v>25200000</v>
      </c>
      <c r="R612" s="29">
        <f t="shared" ref="R612:R619" si="395">Q612/Q$611*100</f>
        <v>12.875738642677545</v>
      </c>
      <c r="S612" s="29">
        <v>100</v>
      </c>
      <c r="T612" s="28">
        <f t="shared" si="393"/>
        <v>0</v>
      </c>
      <c r="U612" s="28">
        <f t="shared" si="251"/>
        <v>0</v>
      </c>
      <c r="V612" s="87">
        <f t="shared" si="355"/>
        <v>100</v>
      </c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>
        <v>0</v>
      </c>
      <c r="AJ612" s="29">
        <f t="shared" si="381"/>
        <v>0</v>
      </c>
      <c r="AK612" s="136">
        <f t="shared" si="382"/>
        <v>25200000</v>
      </c>
      <c r="AL612" s="29">
        <f t="shared" si="394"/>
        <v>100</v>
      </c>
      <c r="AM612" s="26"/>
    </row>
    <row r="613" spans="1:39" ht="28.5" customHeight="1" x14ac:dyDescent="0.25">
      <c r="A613" s="26"/>
      <c r="B613" s="151"/>
      <c r="C613" s="151"/>
      <c r="D613" s="151"/>
      <c r="E613" s="151"/>
      <c r="F613" s="151"/>
      <c r="G613" s="151"/>
      <c r="H613" s="151"/>
      <c r="I613" s="152"/>
      <c r="J613" s="151" t="s">
        <v>323</v>
      </c>
      <c r="K613" s="27"/>
      <c r="L613" s="31"/>
      <c r="M613" s="563" t="s">
        <v>324</v>
      </c>
      <c r="N613" s="564"/>
      <c r="O613" s="35"/>
      <c r="P613" s="28"/>
      <c r="Q613" s="28">
        <v>33468000</v>
      </c>
      <c r="R613" s="29">
        <f t="shared" si="395"/>
        <v>17.100207178298891</v>
      </c>
      <c r="S613" s="29">
        <v>100</v>
      </c>
      <c r="T613" s="28">
        <f t="shared" si="393"/>
        <v>0</v>
      </c>
      <c r="U613" s="28">
        <f t="shared" si="251"/>
        <v>0</v>
      </c>
      <c r="V613" s="87">
        <f t="shared" si="355"/>
        <v>100</v>
      </c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>
        <v>0</v>
      </c>
      <c r="AJ613" s="29">
        <f t="shared" si="381"/>
        <v>0</v>
      </c>
      <c r="AK613" s="136">
        <f t="shared" si="382"/>
        <v>33468000</v>
      </c>
      <c r="AL613" s="29">
        <f t="shared" si="394"/>
        <v>100</v>
      </c>
      <c r="AM613" s="26"/>
    </row>
    <row r="614" spans="1:39" ht="28.5" customHeight="1" x14ac:dyDescent="0.25">
      <c r="A614" s="26"/>
      <c r="B614" s="151"/>
      <c r="C614" s="151"/>
      <c r="D614" s="151"/>
      <c r="E614" s="151"/>
      <c r="F614" s="151"/>
      <c r="G614" s="151"/>
      <c r="H614" s="151"/>
      <c r="I614" s="152"/>
      <c r="J614" s="151" t="s">
        <v>269</v>
      </c>
      <c r="K614" s="27"/>
      <c r="L614" s="31"/>
      <c r="M614" s="563" t="s">
        <v>270</v>
      </c>
      <c r="N614" s="564"/>
      <c r="O614" s="35"/>
      <c r="P614" s="28"/>
      <c r="Q614" s="28">
        <v>5400000</v>
      </c>
      <c r="R614" s="29">
        <f t="shared" si="395"/>
        <v>2.7590868520023308</v>
      </c>
      <c r="S614" s="29">
        <v>100</v>
      </c>
      <c r="T614" s="28">
        <f t="shared" si="393"/>
        <v>0</v>
      </c>
      <c r="U614" s="28">
        <f t="shared" si="251"/>
        <v>0</v>
      </c>
      <c r="V614" s="87">
        <f t="shared" si="355"/>
        <v>100</v>
      </c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>
        <v>0</v>
      </c>
      <c r="AJ614" s="29">
        <f t="shared" si="381"/>
        <v>0</v>
      </c>
      <c r="AK614" s="136">
        <f t="shared" si="382"/>
        <v>5400000</v>
      </c>
      <c r="AL614" s="29">
        <f t="shared" si="394"/>
        <v>100</v>
      </c>
      <c r="AM614" s="26"/>
    </row>
    <row r="615" spans="1:39" ht="28.5" customHeight="1" x14ac:dyDescent="0.25">
      <c r="A615" s="26"/>
      <c r="B615" s="151"/>
      <c r="C615" s="151"/>
      <c r="D615" s="151"/>
      <c r="E615" s="151"/>
      <c r="F615" s="151"/>
      <c r="G615" s="151"/>
      <c r="H615" s="151"/>
      <c r="I615" s="152"/>
      <c r="J615" s="151" t="s">
        <v>315</v>
      </c>
      <c r="K615" s="27"/>
      <c r="L615" s="31"/>
      <c r="M615" s="563" t="s">
        <v>271</v>
      </c>
      <c r="N615" s="564"/>
      <c r="O615" s="35"/>
      <c r="P615" s="28"/>
      <c r="Q615" s="28">
        <v>9600000</v>
      </c>
      <c r="R615" s="29">
        <f t="shared" si="395"/>
        <v>4.9050432924485881</v>
      </c>
      <c r="S615" s="29">
        <v>100</v>
      </c>
      <c r="T615" s="28">
        <f t="shared" si="393"/>
        <v>0</v>
      </c>
      <c r="U615" s="28">
        <f t="shared" si="251"/>
        <v>0</v>
      </c>
      <c r="V615" s="87">
        <f t="shared" si="355"/>
        <v>100</v>
      </c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>
        <v>0</v>
      </c>
      <c r="AJ615" s="29">
        <f t="shared" si="381"/>
        <v>0</v>
      </c>
      <c r="AK615" s="136">
        <f t="shared" si="382"/>
        <v>9600000</v>
      </c>
      <c r="AL615" s="29">
        <f t="shared" si="394"/>
        <v>100</v>
      </c>
      <c r="AM615" s="26"/>
    </row>
    <row r="616" spans="1:39" ht="28.5" customHeight="1" x14ac:dyDescent="0.25">
      <c r="A616" s="26"/>
      <c r="B616" s="151"/>
      <c r="C616" s="151"/>
      <c r="D616" s="151"/>
      <c r="E616" s="151"/>
      <c r="F616" s="151"/>
      <c r="G616" s="151"/>
      <c r="H616" s="151"/>
      <c r="I616" s="152"/>
      <c r="J616" s="151" t="s">
        <v>280</v>
      </c>
      <c r="K616" s="27"/>
      <c r="L616" s="31"/>
      <c r="M616" s="563" t="s">
        <v>281</v>
      </c>
      <c r="N616" s="564"/>
      <c r="O616" s="35"/>
      <c r="P616" s="28"/>
      <c r="Q616" s="28">
        <v>48000000</v>
      </c>
      <c r="R616" s="29">
        <f t="shared" si="395"/>
        <v>24.525216462242941</v>
      </c>
      <c r="S616" s="29">
        <v>100</v>
      </c>
      <c r="T616" s="28">
        <f t="shared" si="393"/>
        <v>0</v>
      </c>
      <c r="U616" s="28">
        <f t="shared" si="251"/>
        <v>0</v>
      </c>
      <c r="V616" s="87">
        <f t="shared" si="355"/>
        <v>100</v>
      </c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>
        <v>0</v>
      </c>
      <c r="AJ616" s="29">
        <f t="shared" ref="AJ616:AJ665" si="396">AI616/Q616*100</f>
        <v>0</v>
      </c>
      <c r="AK616" s="136">
        <f t="shared" si="382"/>
        <v>48000000</v>
      </c>
      <c r="AL616" s="29">
        <f t="shared" si="394"/>
        <v>100</v>
      </c>
      <c r="AM616" s="26"/>
    </row>
    <row r="617" spans="1:39" ht="28.5" customHeight="1" x14ac:dyDescent="0.25">
      <c r="A617" s="26"/>
      <c r="B617" s="151"/>
      <c r="C617" s="151"/>
      <c r="D617" s="151"/>
      <c r="E617" s="151"/>
      <c r="F617" s="151"/>
      <c r="G617" s="151"/>
      <c r="H617" s="151"/>
      <c r="I617" s="152"/>
      <c r="J617" s="151" t="s">
        <v>284</v>
      </c>
      <c r="K617" s="27"/>
      <c r="L617" s="31"/>
      <c r="M617" s="563" t="s">
        <v>285</v>
      </c>
      <c r="N617" s="564"/>
      <c r="O617" s="35"/>
      <c r="P617" s="28"/>
      <c r="Q617" s="28">
        <v>4658927</v>
      </c>
      <c r="R617" s="29">
        <f t="shared" si="395"/>
        <v>2.3804415240997527</v>
      </c>
      <c r="S617" s="29">
        <v>100</v>
      </c>
      <c r="T617" s="28">
        <f t="shared" si="393"/>
        <v>0</v>
      </c>
      <c r="U617" s="28">
        <f t="shared" si="251"/>
        <v>0</v>
      </c>
      <c r="V617" s="87">
        <f t="shared" si="355"/>
        <v>100</v>
      </c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>
        <v>0</v>
      </c>
      <c r="AJ617" s="29">
        <f t="shared" si="396"/>
        <v>0</v>
      </c>
      <c r="AK617" s="136">
        <f t="shared" si="382"/>
        <v>4658927</v>
      </c>
      <c r="AL617" s="29">
        <f t="shared" si="394"/>
        <v>100</v>
      </c>
      <c r="AM617" s="26"/>
    </row>
    <row r="618" spans="1:39" ht="28.5" customHeight="1" x14ac:dyDescent="0.25">
      <c r="A618" s="26"/>
      <c r="B618" s="151"/>
      <c r="C618" s="151"/>
      <c r="D618" s="151"/>
      <c r="E618" s="151"/>
      <c r="F618" s="151"/>
      <c r="G618" s="151"/>
      <c r="H618" s="151"/>
      <c r="I618" s="152"/>
      <c r="J618" s="151" t="s">
        <v>282</v>
      </c>
      <c r="K618" s="27"/>
      <c r="L618" s="31"/>
      <c r="M618" s="563" t="s">
        <v>283</v>
      </c>
      <c r="N618" s="564"/>
      <c r="O618" s="35"/>
      <c r="P618" s="28"/>
      <c r="Q618" s="28">
        <v>59790000</v>
      </c>
      <c r="R618" s="29">
        <f t="shared" si="395"/>
        <v>30.549222755781365</v>
      </c>
      <c r="S618" s="29">
        <v>100</v>
      </c>
      <c r="T618" s="28">
        <f t="shared" si="393"/>
        <v>0</v>
      </c>
      <c r="U618" s="28">
        <f t="shared" si="251"/>
        <v>0</v>
      </c>
      <c r="V618" s="87">
        <f t="shared" si="355"/>
        <v>100</v>
      </c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>
        <v>0</v>
      </c>
      <c r="AJ618" s="29">
        <f t="shared" si="396"/>
        <v>0</v>
      </c>
      <c r="AK618" s="136">
        <f t="shared" si="382"/>
        <v>59790000</v>
      </c>
      <c r="AL618" s="29">
        <f t="shared" si="394"/>
        <v>100</v>
      </c>
      <c r="AM618" s="26"/>
    </row>
    <row r="619" spans="1:39" ht="28.5" customHeight="1" x14ac:dyDescent="0.25">
      <c r="A619" s="26"/>
      <c r="B619" s="151"/>
      <c r="C619" s="151"/>
      <c r="D619" s="151"/>
      <c r="E619" s="151"/>
      <c r="F619" s="151"/>
      <c r="G619" s="151"/>
      <c r="H619" s="151"/>
      <c r="I619" s="152"/>
      <c r="J619" s="176" t="s">
        <v>551</v>
      </c>
      <c r="K619" s="27"/>
      <c r="L619" s="31"/>
      <c r="M619" s="563" t="s">
        <v>550</v>
      </c>
      <c r="N619" s="564"/>
      <c r="O619" s="35"/>
      <c r="P619" s="28"/>
      <c r="Q619" s="28">
        <v>9600000</v>
      </c>
      <c r="R619" s="29">
        <f t="shared" si="395"/>
        <v>4.9050432924485881</v>
      </c>
      <c r="S619" s="29">
        <v>100</v>
      </c>
      <c r="T619" s="28">
        <f t="shared" si="393"/>
        <v>0</v>
      </c>
      <c r="U619" s="28">
        <f t="shared" si="251"/>
        <v>0</v>
      </c>
      <c r="V619" s="87">
        <f t="shared" si="355"/>
        <v>100</v>
      </c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>
        <v>0</v>
      </c>
      <c r="AJ619" s="29">
        <f t="shared" si="396"/>
        <v>0</v>
      </c>
      <c r="AK619" s="136">
        <f t="shared" si="382"/>
        <v>9600000</v>
      </c>
      <c r="AL619" s="29">
        <f t="shared" si="394"/>
        <v>100</v>
      </c>
      <c r="AM619" s="26"/>
    </row>
    <row r="620" spans="1:39" s="41" customFormat="1" ht="24.75" customHeight="1" x14ac:dyDescent="0.25">
      <c r="A620" s="21" t="e">
        <f>SUM(A611+1)</f>
        <v>#REF!</v>
      </c>
      <c r="B620" s="158"/>
      <c r="C620" s="158"/>
      <c r="D620" s="158"/>
      <c r="E620" s="158"/>
      <c r="F620" s="158"/>
      <c r="G620" s="158"/>
      <c r="H620" s="158"/>
      <c r="I620" s="159"/>
      <c r="J620" s="122" t="s">
        <v>528</v>
      </c>
      <c r="K620" s="22"/>
      <c r="L620" s="72"/>
      <c r="M620" s="574" t="s">
        <v>208</v>
      </c>
      <c r="N620" s="567"/>
      <c r="O620" s="76"/>
      <c r="P620" s="23"/>
      <c r="Q620" s="23">
        <f>SUM(Q621:Q629)</f>
        <v>148625471</v>
      </c>
      <c r="R620" s="24" t="e">
        <f>Q620/Q$243*100</f>
        <v>#REF!</v>
      </c>
      <c r="S620" s="24">
        <v>100</v>
      </c>
      <c r="T620" s="23">
        <f t="shared" si="393"/>
        <v>0</v>
      </c>
      <c r="U620" s="23" t="e">
        <f t="shared" si="251"/>
        <v>#REF!</v>
      </c>
      <c r="V620" s="90">
        <f t="shared" si="355"/>
        <v>100</v>
      </c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>
        <f>SUM(AI621:AI627)</f>
        <v>0</v>
      </c>
      <c r="AJ620" s="24">
        <f t="shared" si="396"/>
        <v>0</v>
      </c>
      <c r="AK620" s="134">
        <f t="shared" si="382"/>
        <v>148625471</v>
      </c>
      <c r="AL620" s="24">
        <f t="shared" si="394"/>
        <v>100</v>
      </c>
      <c r="AM620" s="21"/>
    </row>
    <row r="621" spans="1:39" ht="24.75" customHeight="1" x14ac:dyDescent="0.25">
      <c r="A621" s="26"/>
      <c r="B621" s="151"/>
      <c r="C621" s="151"/>
      <c r="D621" s="151"/>
      <c r="E621" s="151"/>
      <c r="F621" s="151"/>
      <c r="G621" s="151"/>
      <c r="H621" s="151"/>
      <c r="I621" s="152"/>
      <c r="J621" s="151" t="s">
        <v>257</v>
      </c>
      <c r="K621" s="27"/>
      <c r="L621" s="31"/>
      <c r="M621" s="577" t="s">
        <v>260</v>
      </c>
      <c r="N621" s="564"/>
      <c r="O621" s="35"/>
      <c r="P621" s="28"/>
      <c r="Q621" s="28">
        <v>800000</v>
      </c>
      <c r="R621" s="29">
        <f>Q621/Q$620*100</f>
        <v>0.53826574584917553</v>
      </c>
      <c r="S621" s="29">
        <v>100</v>
      </c>
      <c r="T621" s="28">
        <f t="shared" si="393"/>
        <v>0</v>
      </c>
      <c r="U621" s="28">
        <f t="shared" si="251"/>
        <v>0</v>
      </c>
      <c r="V621" s="87">
        <f t="shared" si="355"/>
        <v>100</v>
      </c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>
        <v>0</v>
      </c>
      <c r="AJ621" s="29">
        <f t="shared" si="396"/>
        <v>0</v>
      </c>
      <c r="AK621" s="136">
        <f t="shared" si="382"/>
        <v>800000</v>
      </c>
      <c r="AL621" s="29">
        <f t="shared" si="394"/>
        <v>100</v>
      </c>
      <c r="AM621" s="26"/>
    </row>
    <row r="622" spans="1:39" ht="24.75" customHeight="1" x14ac:dyDescent="0.25">
      <c r="A622" s="26"/>
      <c r="B622" s="151"/>
      <c r="C622" s="151"/>
      <c r="D622" s="151"/>
      <c r="E622" s="151"/>
      <c r="F622" s="151"/>
      <c r="G622" s="151"/>
      <c r="H622" s="151"/>
      <c r="I622" s="152"/>
      <c r="J622" s="151" t="s">
        <v>315</v>
      </c>
      <c r="K622" s="27"/>
      <c r="L622" s="31"/>
      <c r="M622" s="577" t="s">
        <v>271</v>
      </c>
      <c r="N622" s="564"/>
      <c r="O622" s="35"/>
      <c r="P622" s="28"/>
      <c r="Q622" s="28">
        <v>10500000</v>
      </c>
      <c r="R622" s="29">
        <f>Q622/Q$620*100</f>
        <v>7.0647379142704274</v>
      </c>
      <c r="S622" s="29">
        <v>100</v>
      </c>
      <c r="T622" s="28">
        <f t="shared" si="393"/>
        <v>0</v>
      </c>
      <c r="U622" s="28">
        <f t="shared" si="251"/>
        <v>0</v>
      </c>
      <c r="V622" s="87">
        <f t="shared" si="355"/>
        <v>100</v>
      </c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>
        <v>0</v>
      </c>
      <c r="AJ622" s="29">
        <f t="shared" si="396"/>
        <v>0</v>
      </c>
      <c r="AK622" s="136">
        <f t="shared" si="382"/>
        <v>10500000</v>
      </c>
      <c r="AL622" s="29">
        <f t="shared" si="394"/>
        <v>100</v>
      </c>
      <c r="AM622" s="26"/>
    </row>
    <row r="623" spans="1:39" ht="24.75" customHeight="1" x14ac:dyDescent="0.25">
      <c r="A623" s="26"/>
      <c r="B623" s="151"/>
      <c r="C623" s="151"/>
      <c r="D623" s="151"/>
      <c r="E623" s="151"/>
      <c r="F623" s="151"/>
      <c r="G623" s="151"/>
      <c r="H623" s="151"/>
      <c r="I623" s="152"/>
      <c r="J623" s="151" t="s">
        <v>316</v>
      </c>
      <c r="K623" s="27"/>
      <c r="L623" s="31"/>
      <c r="M623" s="577" t="s">
        <v>317</v>
      </c>
      <c r="N623" s="564"/>
      <c r="O623" s="35"/>
      <c r="P623" s="28"/>
      <c r="Q623" s="28">
        <v>500000</v>
      </c>
      <c r="R623" s="29">
        <f t="shared" ref="R623:R629" si="397">Q623/Q$620*100</f>
        <v>0.33641609115573468</v>
      </c>
      <c r="S623" s="29">
        <v>100</v>
      </c>
      <c r="T623" s="28">
        <f t="shared" si="393"/>
        <v>0</v>
      </c>
      <c r="U623" s="28">
        <f t="shared" si="251"/>
        <v>0</v>
      </c>
      <c r="V623" s="87">
        <f t="shared" si="355"/>
        <v>100</v>
      </c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>
        <v>0</v>
      </c>
      <c r="AJ623" s="29">
        <f t="shared" si="396"/>
        <v>0</v>
      </c>
      <c r="AK623" s="136">
        <f t="shared" ref="AK623:AK665" si="398">Q623-AI623</f>
        <v>500000</v>
      </c>
      <c r="AL623" s="29">
        <f t="shared" si="394"/>
        <v>100</v>
      </c>
      <c r="AM623" s="26"/>
    </row>
    <row r="624" spans="1:39" ht="24.75" customHeight="1" x14ac:dyDescent="0.25">
      <c r="A624" s="26"/>
      <c r="B624" s="151"/>
      <c r="C624" s="151"/>
      <c r="D624" s="151"/>
      <c r="E624" s="151"/>
      <c r="F624" s="151"/>
      <c r="G624" s="151"/>
      <c r="H624" s="151"/>
      <c r="I624" s="152"/>
      <c r="J624" s="151" t="s">
        <v>328</v>
      </c>
      <c r="K624" s="27"/>
      <c r="L624" s="31"/>
      <c r="M624" s="577" t="s">
        <v>319</v>
      </c>
      <c r="N624" s="564"/>
      <c r="O624" s="35"/>
      <c r="P624" s="28"/>
      <c r="Q624" s="28">
        <v>65000000</v>
      </c>
      <c r="R624" s="29">
        <f t="shared" si="397"/>
        <v>43.734091850245512</v>
      </c>
      <c r="S624" s="29">
        <v>100</v>
      </c>
      <c r="T624" s="28">
        <f t="shared" si="393"/>
        <v>0</v>
      </c>
      <c r="U624" s="28">
        <f t="shared" si="251"/>
        <v>0</v>
      </c>
      <c r="V624" s="87">
        <f t="shared" si="355"/>
        <v>100</v>
      </c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>
        <v>0</v>
      </c>
      <c r="AJ624" s="29">
        <f t="shared" si="396"/>
        <v>0</v>
      </c>
      <c r="AK624" s="136">
        <f t="shared" si="398"/>
        <v>65000000</v>
      </c>
      <c r="AL624" s="29">
        <f t="shared" si="394"/>
        <v>100</v>
      </c>
      <c r="AM624" s="26"/>
    </row>
    <row r="625" spans="1:39" ht="24.75" customHeight="1" x14ac:dyDescent="0.25">
      <c r="A625" s="26"/>
      <c r="B625" s="151"/>
      <c r="C625" s="151"/>
      <c r="D625" s="151"/>
      <c r="E625" s="151"/>
      <c r="F625" s="151"/>
      <c r="G625" s="151"/>
      <c r="H625" s="151"/>
      <c r="I625" s="152"/>
      <c r="J625" s="151" t="s">
        <v>284</v>
      </c>
      <c r="K625" s="27"/>
      <c r="L625" s="31"/>
      <c r="M625" s="577" t="s">
        <v>285</v>
      </c>
      <c r="N625" s="564"/>
      <c r="O625" s="35"/>
      <c r="P625" s="28"/>
      <c r="Q625" s="28">
        <v>10000000</v>
      </c>
      <c r="R625" s="29">
        <f t="shared" si="397"/>
        <v>6.728321823114694</v>
      </c>
      <c r="S625" s="29">
        <v>100</v>
      </c>
      <c r="T625" s="28">
        <f t="shared" si="393"/>
        <v>0</v>
      </c>
      <c r="U625" s="28">
        <f t="shared" si="251"/>
        <v>0</v>
      </c>
      <c r="V625" s="87">
        <f t="shared" si="355"/>
        <v>100</v>
      </c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>
        <v>0</v>
      </c>
      <c r="AJ625" s="29">
        <f t="shared" si="396"/>
        <v>0</v>
      </c>
      <c r="AK625" s="136">
        <f t="shared" si="398"/>
        <v>10000000</v>
      </c>
      <c r="AL625" s="29">
        <f t="shared" si="394"/>
        <v>100</v>
      </c>
      <c r="AM625" s="26"/>
    </row>
    <row r="626" spans="1:39" ht="24.75" customHeight="1" x14ac:dyDescent="0.25">
      <c r="A626" s="26"/>
      <c r="B626" s="151"/>
      <c r="C626" s="151"/>
      <c r="D626" s="151"/>
      <c r="E626" s="151"/>
      <c r="F626" s="151"/>
      <c r="G626" s="151"/>
      <c r="H626" s="151"/>
      <c r="I626" s="152"/>
      <c r="J626" s="151" t="s">
        <v>282</v>
      </c>
      <c r="K626" s="27"/>
      <c r="L626" s="31"/>
      <c r="M626" s="577" t="s">
        <v>283</v>
      </c>
      <c r="N626" s="564"/>
      <c r="O626" s="35"/>
      <c r="P626" s="28"/>
      <c r="Q626" s="28">
        <v>34125471</v>
      </c>
      <c r="R626" s="29">
        <f t="shared" si="397"/>
        <v>22.960715125336762</v>
      </c>
      <c r="S626" s="29">
        <v>100</v>
      </c>
      <c r="T626" s="28">
        <f t="shared" si="393"/>
        <v>0</v>
      </c>
      <c r="U626" s="28">
        <f t="shared" si="251"/>
        <v>0</v>
      </c>
      <c r="V626" s="87">
        <f t="shared" si="355"/>
        <v>100</v>
      </c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>
        <v>0</v>
      </c>
      <c r="AJ626" s="29">
        <f t="shared" si="396"/>
        <v>0</v>
      </c>
      <c r="AK626" s="136">
        <f t="shared" si="398"/>
        <v>34125471</v>
      </c>
      <c r="AL626" s="29">
        <f t="shared" si="394"/>
        <v>100</v>
      </c>
      <c r="AM626" s="26"/>
    </row>
    <row r="627" spans="1:39" ht="24.75" customHeight="1" x14ac:dyDescent="0.25">
      <c r="A627" s="26"/>
      <c r="B627" s="151"/>
      <c r="C627" s="151"/>
      <c r="D627" s="151"/>
      <c r="E627" s="151"/>
      <c r="F627" s="151"/>
      <c r="G627" s="151"/>
      <c r="H627" s="151"/>
      <c r="I627" s="152"/>
      <c r="J627" s="151" t="s">
        <v>320</v>
      </c>
      <c r="K627" s="27"/>
      <c r="L627" s="31"/>
      <c r="M627" s="577" t="s">
        <v>321</v>
      </c>
      <c r="N627" s="564"/>
      <c r="O627" s="35"/>
      <c r="P627" s="28"/>
      <c r="Q627" s="28">
        <v>9800000</v>
      </c>
      <c r="R627" s="29">
        <f t="shared" si="397"/>
        <v>6.5937553866524006</v>
      </c>
      <c r="S627" s="29">
        <v>100</v>
      </c>
      <c r="T627" s="28">
        <f t="shared" si="393"/>
        <v>0</v>
      </c>
      <c r="U627" s="28">
        <f t="shared" si="251"/>
        <v>0</v>
      </c>
      <c r="V627" s="87">
        <f t="shared" si="355"/>
        <v>100</v>
      </c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>
        <v>0</v>
      </c>
      <c r="AJ627" s="29">
        <f t="shared" si="396"/>
        <v>0</v>
      </c>
      <c r="AK627" s="136">
        <f t="shared" si="398"/>
        <v>9800000</v>
      </c>
      <c r="AL627" s="29">
        <f t="shared" si="394"/>
        <v>100</v>
      </c>
      <c r="AM627" s="26"/>
    </row>
    <row r="628" spans="1:39" ht="24.75" customHeight="1" x14ac:dyDescent="0.25">
      <c r="A628" s="26"/>
      <c r="B628" s="176"/>
      <c r="C628" s="176"/>
      <c r="D628" s="176"/>
      <c r="E628" s="176"/>
      <c r="F628" s="176"/>
      <c r="G628" s="176"/>
      <c r="H628" s="176"/>
      <c r="I628" s="177"/>
      <c r="J628" s="176" t="s">
        <v>407</v>
      </c>
      <c r="K628" s="27"/>
      <c r="L628" s="31"/>
      <c r="M628" s="577" t="s">
        <v>623</v>
      </c>
      <c r="N628" s="564"/>
      <c r="O628" s="35"/>
      <c r="P628" s="28"/>
      <c r="Q628" s="28">
        <v>2900000</v>
      </c>
      <c r="R628" s="29">
        <f t="shared" si="397"/>
        <v>1.9512133287032611</v>
      </c>
      <c r="S628" s="29">
        <v>100</v>
      </c>
      <c r="T628" s="28">
        <f t="shared" ref="T628" si="399">AJ628</f>
        <v>0</v>
      </c>
      <c r="U628" s="28">
        <f t="shared" ref="U628" si="400">R628*T628/100</f>
        <v>0</v>
      </c>
      <c r="V628" s="87">
        <f t="shared" ref="V628" si="401">S628-T628</f>
        <v>100</v>
      </c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>
        <v>0</v>
      </c>
      <c r="AJ628" s="29">
        <f t="shared" ref="AJ628" si="402">AI628/Q628*100</f>
        <v>0</v>
      </c>
      <c r="AK628" s="136">
        <f t="shared" ref="AK628" si="403">Q628-AI628</f>
        <v>2900000</v>
      </c>
      <c r="AL628" s="29">
        <f t="shared" ref="AL628" si="404">AK628/Q628*100</f>
        <v>100</v>
      </c>
      <c r="AM628" s="26"/>
    </row>
    <row r="629" spans="1:39" ht="24.75" customHeight="1" x14ac:dyDescent="0.25">
      <c r="A629" s="26"/>
      <c r="B629" s="151"/>
      <c r="C629" s="151"/>
      <c r="D629" s="151"/>
      <c r="E629" s="151"/>
      <c r="F629" s="151"/>
      <c r="G629" s="151"/>
      <c r="H629" s="151"/>
      <c r="I629" s="152"/>
      <c r="J629" s="151" t="s">
        <v>372</v>
      </c>
      <c r="K629" s="27"/>
      <c r="L629" s="31"/>
      <c r="M629" s="577" t="s">
        <v>373</v>
      </c>
      <c r="N629" s="564"/>
      <c r="O629" s="35"/>
      <c r="P629" s="28"/>
      <c r="Q629" s="28">
        <v>15000000</v>
      </c>
      <c r="R629" s="29">
        <f t="shared" si="397"/>
        <v>10.092482734672039</v>
      </c>
      <c r="S629" s="29">
        <v>100</v>
      </c>
      <c r="T629" s="28">
        <f t="shared" si="393"/>
        <v>0</v>
      </c>
      <c r="U629" s="28">
        <f t="shared" si="251"/>
        <v>0</v>
      </c>
      <c r="V629" s="87">
        <v>100</v>
      </c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>
        <v>0</v>
      </c>
      <c r="AJ629" s="29">
        <f t="shared" si="396"/>
        <v>0</v>
      </c>
      <c r="AK629" s="136">
        <f t="shared" si="398"/>
        <v>15000000</v>
      </c>
      <c r="AL629" s="29">
        <f t="shared" si="394"/>
        <v>100</v>
      </c>
      <c r="AM629" s="26"/>
    </row>
    <row r="630" spans="1:39" s="41" customFormat="1" ht="31.5" customHeight="1" x14ac:dyDescent="0.25">
      <c r="A630" s="21" t="e">
        <f>SUM(A620+1)</f>
        <v>#REF!</v>
      </c>
      <c r="B630" s="158"/>
      <c r="C630" s="158"/>
      <c r="D630" s="158"/>
      <c r="E630" s="158"/>
      <c r="F630" s="158"/>
      <c r="G630" s="158"/>
      <c r="H630" s="158"/>
      <c r="I630" s="159"/>
      <c r="J630" s="122" t="s">
        <v>529</v>
      </c>
      <c r="K630" s="22"/>
      <c r="L630" s="72"/>
      <c r="M630" s="566" t="s">
        <v>209</v>
      </c>
      <c r="N630" s="567"/>
      <c r="O630" s="76"/>
      <c r="P630" s="23"/>
      <c r="Q630" s="23">
        <f>SUM(Q631:Q636)</f>
        <v>60110918</v>
      </c>
      <c r="R630" s="24" t="e">
        <f>Q630/Q$243*100</f>
        <v>#REF!</v>
      </c>
      <c r="S630" s="24">
        <v>100</v>
      </c>
      <c r="T630" s="23">
        <f t="shared" si="393"/>
        <v>0</v>
      </c>
      <c r="U630" s="23" t="e">
        <f t="shared" si="251"/>
        <v>#REF!</v>
      </c>
      <c r="V630" s="90">
        <f t="shared" si="355"/>
        <v>100</v>
      </c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>
        <f>SUM(AI631:AI634)</f>
        <v>0</v>
      </c>
      <c r="AJ630" s="24">
        <f t="shared" si="396"/>
        <v>0</v>
      </c>
      <c r="AK630" s="134">
        <f t="shared" si="398"/>
        <v>60110918</v>
      </c>
      <c r="AL630" s="24">
        <f t="shared" si="394"/>
        <v>100</v>
      </c>
      <c r="AM630" s="21"/>
    </row>
    <row r="631" spans="1:39" ht="24.75" customHeight="1" x14ac:dyDescent="0.25">
      <c r="A631" s="26"/>
      <c r="B631" s="151"/>
      <c r="C631" s="151"/>
      <c r="D631" s="151"/>
      <c r="E631" s="151"/>
      <c r="F631" s="151"/>
      <c r="G631" s="151"/>
      <c r="H631" s="151"/>
      <c r="I631" s="152"/>
      <c r="J631" s="151" t="s">
        <v>347</v>
      </c>
      <c r="K631" s="27"/>
      <c r="L631" s="31"/>
      <c r="M631" s="563" t="s">
        <v>348</v>
      </c>
      <c r="N631" s="564"/>
      <c r="O631" s="35"/>
      <c r="P631" s="28"/>
      <c r="Q631" s="28">
        <v>13900000</v>
      </c>
      <c r="R631" s="29">
        <f t="shared" ref="R631:R636" si="405">Q631/Q$630*100</f>
        <v>23.123919019170529</v>
      </c>
      <c r="S631" s="29">
        <v>100</v>
      </c>
      <c r="T631" s="28">
        <f t="shared" si="393"/>
        <v>0</v>
      </c>
      <c r="U631" s="28">
        <f t="shared" si="251"/>
        <v>0</v>
      </c>
      <c r="V631" s="87">
        <f t="shared" si="355"/>
        <v>100</v>
      </c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>
        <v>0</v>
      </c>
      <c r="AJ631" s="29">
        <f t="shared" si="396"/>
        <v>0</v>
      </c>
      <c r="AK631" s="136">
        <f t="shared" si="398"/>
        <v>13900000</v>
      </c>
      <c r="AL631" s="29">
        <f t="shared" si="394"/>
        <v>100</v>
      </c>
      <c r="AM631" s="26"/>
    </row>
    <row r="632" spans="1:39" ht="24.75" customHeight="1" x14ac:dyDescent="0.25">
      <c r="A632" s="26"/>
      <c r="B632" s="151"/>
      <c r="C632" s="151"/>
      <c r="D632" s="151"/>
      <c r="E632" s="151"/>
      <c r="F632" s="151"/>
      <c r="G632" s="151"/>
      <c r="H632" s="151"/>
      <c r="I632" s="152"/>
      <c r="J632" s="176" t="s">
        <v>251</v>
      </c>
      <c r="K632" s="27"/>
      <c r="L632" s="31"/>
      <c r="M632" s="563" t="s">
        <v>324</v>
      </c>
      <c r="N632" s="564"/>
      <c r="O632" s="35"/>
      <c r="P632" s="28"/>
      <c r="Q632" s="28">
        <v>5710918</v>
      </c>
      <c r="R632" s="29">
        <f t="shared" si="405"/>
        <v>9.5006334789297355</v>
      </c>
      <c r="S632" s="29">
        <v>100</v>
      </c>
      <c r="T632" s="28">
        <f t="shared" si="393"/>
        <v>0</v>
      </c>
      <c r="U632" s="28">
        <f t="shared" si="251"/>
        <v>0</v>
      </c>
      <c r="V632" s="87">
        <f t="shared" si="355"/>
        <v>100</v>
      </c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>
        <v>0</v>
      </c>
      <c r="AJ632" s="29">
        <f t="shared" si="396"/>
        <v>0</v>
      </c>
      <c r="AK632" s="136">
        <f t="shared" si="398"/>
        <v>5710918</v>
      </c>
      <c r="AL632" s="29">
        <f t="shared" si="394"/>
        <v>100</v>
      </c>
      <c r="AM632" s="26"/>
    </row>
    <row r="633" spans="1:39" ht="33" customHeight="1" x14ac:dyDescent="0.25">
      <c r="A633" s="26"/>
      <c r="B633" s="151"/>
      <c r="C633" s="151"/>
      <c r="D633" s="151"/>
      <c r="E633" s="151"/>
      <c r="F633" s="151"/>
      <c r="G633" s="151"/>
      <c r="H633" s="151"/>
      <c r="I633" s="152"/>
      <c r="J633" s="151" t="s">
        <v>318</v>
      </c>
      <c r="K633" s="27"/>
      <c r="L633" s="31"/>
      <c r="M633" s="563" t="s">
        <v>352</v>
      </c>
      <c r="N633" s="564"/>
      <c r="O633" s="35"/>
      <c r="P633" s="28"/>
      <c r="Q633" s="28">
        <v>12000000</v>
      </c>
      <c r="R633" s="29">
        <f t="shared" si="405"/>
        <v>19.963095556118439</v>
      </c>
      <c r="S633" s="29">
        <v>100</v>
      </c>
      <c r="T633" s="28">
        <f t="shared" si="393"/>
        <v>0</v>
      </c>
      <c r="U633" s="28">
        <f t="shared" si="251"/>
        <v>0</v>
      </c>
      <c r="V633" s="87">
        <f t="shared" si="355"/>
        <v>100</v>
      </c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>
        <v>0</v>
      </c>
      <c r="AJ633" s="29">
        <f t="shared" si="396"/>
        <v>0</v>
      </c>
      <c r="AK633" s="136">
        <f t="shared" si="398"/>
        <v>12000000</v>
      </c>
      <c r="AL633" s="29">
        <f t="shared" si="394"/>
        <v>100</v>
      </c>
      <c r="AM633" s="26"/>
    </row>
    <row r="634" spans="1:39" ht="24.75" customHeight="1" x14ac:dyDescent="0.25">
      <c r="A634" s="26"/>
      <c r="B634" s="151"/>
      <c r="C634" s="151"/>
      <c r="D634" s="151"/>
      <c r="E634" s="151"/>
      <c r="F634" s="151"/>
      <c r="G634" s="151"/>
      <c r="H634" s="151"/>
      <c r="I634" s="152"/>
      <c r="J634" s="176" t="s">
        <v>315</v>
      </c>
      <c r="K634" s="27"/>
      <c r="L634" s="31"/>
      <c r="M634" s="563" t="s">
        <v>428</v>
      </c>
      <c r="N634" s="564"/>
      <c r="O634" s="35"/>
      <c r="P634" s="28"/>
      <c r="Q634" s="28">
        <v>6000000</v>
      </c>
      <c r="R634" s="29">
        <f t="shared" si="405"/>
        <v>9.9815477780592197</v>
      </c>
      <c r="S634" s="29">
        <v>100</v>
      </c>
      <c r="T634" s="28">
        <f t="shared" si="393"/>
        <v>0</v>
      </c>
      <c r="U634" s="28">
        <f t="shared" si="251"/>
        <v>0</v>
      </c>
      <c r="V634" s="87">
        <f t="shared" si="355"/>
        <v>100</v>
      </c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>
        <v>0</v>
      </c>
      <c r="AJ634" s="29">
        <f t="shared" si="396"/>
        <v>0</v>
      </c>
      <c r="AK634" s="136">
        <f t="shared" si="398"/>
        <v>6000000</v>
      </c>
      <c r="AL634" s="29">
        <f t="shared" si="394"/>
        <v>100</v>
      </c>
      <c r="AM634" s="26"/>
    </row>
    <row r="635" spans="1:39" ht="24.75" customHeight="1" x14ac:dyDescent="0.25">
      <c r="A635" s="26"/>
      <c r="B635" s="176"/>
      <c r="C635" s="176"/>
      <c r="D635" s="176"/>
      <c r="E635" s="176"/>
      <c r="F635" s="176"/>
      <c r="G635" s="176"/>
      <c r="H635" s="176"/>
      <c r="I635" s="177"/>
      <c r="J635" s="176" t="s">
        <v>318</v>
      </c>
      <c r="K635" s="27"/>
      <c r="L635" s="31"/>
      <c r="M635" s="563" t="s">
        <v>319</v>
      </c>
      <c r="N635" s="564"/>
      <c r="O635" s="35"/>
      <c r="P635" s="28"/>
      <c r="Q635" s="28">
        <v>10500000</v>
      </c>
      <c r="R635" s="29">
        <f t="shared" si="405"/>
        <v>17.467708611603637</v>
      </c>
      <c r="S635" s="29">
        <v>100</v>
      </c>
      <c r="T635" s="28">
        <f t="shared" ref="T635" si="406">AJ635</f>
        <v>0</v>
      </c>
      <c r="U635" s="28">
        <f t="shared" ref="U635" si="407">R635*T635/100</f>
        <v>0</v>
      </c>
      <c r="V635" s="87">
        <f t="shared" ref="V635" si="408">S635-T635</f>
        <v>100</v>
      </c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>
        <v>0</v>
      </c>
      <c r="AJ635" s="29">
        <f t="shared" ref="AJ635" si="409">AI635/Q635*100</f>
        <v>0</v>
      </c>
      <c r="AK635" s="136">
        <f t="shared" ref="AK635" si="410">Q635-AI635</f>
        <v>10500000</v>
      </c>
      <c r="AL635" s="29">
        <f t="shared" ref="AL635" si="411">AK635/Q635*100</f>
        <v>100</v>
      </c>
      <c r="AM635" s="26"/>
    </row>
    <row r="636" spans="1:39" ht="24.75" customHeight="1" x14ac:dyDescent="0.25">
      <c r="A636" s="26"/>
      <c r="B636" s="176"/>
      <c r="C636" s="176"/>
      <c r="D636" s="176"/>
      <c r="E636" s="176"/>
      <c r="F636" s="176"/>
      <c r="G636" s="176"/>
      <c r="H636" s="176"/>
      <c r="I636" s="177"/>
      <c r="J636" s="176" t="s">
        <v>624</v>
      </c>
      <c r="K636" s="27"/>
      <c r="L636" s="31"/>
      <c r="M636" s="563" t="s">
        <v>281</v>
      </c>
      <c r="N636" s="564"/>
      <c r="O636" s="35"/>
      <c r="P636" s="28"/>
      <c r="Q636" s="28">
        <v>12000000</v>
      </c>
      <c r="R636" s="29">
        <f t="shared" si="405"/>
        <v>19.963095556118439</v>
      </c>
      <c r="S636" s="29">
        <v>100</v>
      </c>
      <c r="T636" s="28">
        <f t="shared" ref="T636" si="412">AJ636</f>
        <v>0</v>
      </c>
      <c r="U636" s="28">
        <f t="shared" ref="U636" si="413">R636*T636/100</f>
        <v>0</v>
      </c>
      <c r="V636" s="87">
        <f t="shared" ref="V636" si="414">S636-T636</f>
        <v>100</v>
      </c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>
        <v>0</v>
      </c>
      <c r="AJ636" s="29">
        <f t="shared" ref="AJ636" si="415">AI636/Q636*100</f>
        <v>0</v>
      </c>
      <c r="AK636" s="136">
        <f t="shared" ref="AK636" si="416">Q636-AI636</f>
        <v>12000000</v>
      </c>
      <c r="AL636" s="29">
        <f t="shared" ref="AL636" si="417">AK636/Q636*100</f>
        <v>100</v>
      </c>
      <c r="AM636" s="26"/>
    </row>
    <row r="637" spans="1:39" s="41" customFormat="1" ht="28.5" customHeight="1" x14ac:dyDescent="0.25">
      <c r="A637" s="21" t="e">
        <f>SUM(A630+1)</f>
        <v>#REF!</v>
      </c>
      <c r="B637" s="158"/>
      <c r="C637" s="158"/>
      <c r="D637" s="158"/>
      <c r="E637" s="158"/>
      <c r="F637" s="158"/>
      <c r="G637" s="158"/>
      <c r="H637" s="158"/>
      <c r="I637" s="159"/>
      <c r="J637" s="122" t="s">
        <v>530</v>
      </c>
      <c r="K637" s="22"/>
      <c r="L637" s="72"/>
      <c r="M637" s="566" t="s">
        <v>210</v>
      </c>
      <c r="N637" s="566"/>
      <c r="O637" s="76"/>
      <c r="P637" s="23"/>
      <c r="Q637" s="23">
        <f>SUM(Q638:Q650)</f>
        <v>221952061</v>
      </c>
      <c r="R637" s="24" t="e">
        <f>Q637/Q$33*100</f>
        <v>#REF!</v>
      </c>
      <c r="S637" s="24">
        <v>100</v>
      </c>
      <c r="T637" s="23">
        <f t="shared" si="393"/>
        <v>0</v>
      </c>
      <c r="U637" s="23" t="e">
        <f t="shared" si="251"/>
        <v>#REF!</v>
      </c>
      <c r="V637" s="90">
        <f t="shared" si="355"/>
        <v>100</v>
      </c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>
        <f>SUM(AI638:AI649)</f>
        <v>0</v>
      </c>
      <c r="AJ637" s="24">
        <f t="shared" si="396"/>
        <v>0</v>
      </c>
      <c r="AK637" s="134">
        <f t="shared" si="398"/>
        <v>221952061</v>
      </c>
      <c r="AL637" s="24">
        <f t="shared" si="394"/>
        <v>100</v>
      </c>
      <c r="AM637" s="21"/>
    </row>
    <row r="638" spans="1:39" ht="28.5" customHeight="1" x14ac:dyDescent="0.25">
      <c r="A638" s="26"/>
      <c r="B638" s="151"/>
      <c r="C638" s="151"/>
      <c r="D638" s="151"/>
      <c r="E638" s="151"/>
      <c r="F638" s="151"/>
      <c r="G638" s="151"/>
      <c r="H638" s="151"/>
      <c r="I638" s="152"/>
      <c r="J638" s="151" t="s">
        <v>259</v>
      </c>
      <c r="K638" s="27"/>
      <c r="L638" s="31"/>
      <c r="M638" s="563" t="s">
        <v>260</v>
      </c>
      <c r="N638" s="564"/>
      <c r="O638" s="35"/>
      <c r="P638" s="28"/>
      <c r="Q638" s="28">
        <v>650000</v>
      </c>
      <c r="R638" s="29">
        <f t="shared" ref="R638:R650" si="418">Q638/Q$637*100</f>
        <v>0.29285603254659576</v>
      </c>
      <c r="S638" s="29">
        <v>100</v>
      </c>
      <c r="T638" s="28">
        <f t="shared" si="393"/>
        <v>0</v>
      </c>
      <c r="U638" s="28">
        <f t="shared" ref="U638:U650" si="419">R638*T638/100</f>
        <v>0</v>
      </c>
      <c r="V638" s="87">
        <f t="shared" si="355"/>
        <v>100</v>
      </c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>
        <v>0</v>
      </c>
      <c r="AJ638" s="29">
        <f t="shared" si="396"/>
        <v>0</v>
      </c>
      <c r="AK638" s="136">
        <f t="shared" si="398"/>
        <v>650000</v>
      </c>
      <c r="AL638" s="29">
        <f t="shared" si="394"/>
        <v>100</v>
      </c>
      <c r="AM638" s="26"/>
    </row>
    <row r="639" spans="1:39" ht="28.5" customHeight="1" x14ac:dyDescent="0.25">
      <c r="A639" s="26"/>
      <c r="B639" s="151"/>
      <c r="C639" s="151"/>
      <c r="D639" s="151"/>
      <c r="E639" s="151"/>
      <c r="F639" s="151"/>
      <c r="G639" s="151"/>
      <c r="H639" s="151"/>
      <c r="I639" s="152"/>
      <c r="J639" s="151" t="s">
        <v>375</v>
      </c>
      <c r="K639" s="27"/>
      <c r="L639" s="31"/>
      <c r="M639" s="569" t="s">
        <v>376</v>
      </c>
      <c r="N639" s="516"/>
      <c r="O639" s="35"/>
      <c r="P639" s="28"/>
      <c r="Q639" s="28">
        <v>124500000</v>
      </c>
      <c r="R639" s="29">
        <f t="shared" si="418"/>
        <v>56.093193926232566</v>
      </c>
      <c r="S639" s="29">
        <v>100</v>
      </c>
      <c r="T639" s="28">
        <f t="shared" si="393"/>
        <v>0</v>
      </c>
      <c r="U639" s="28">
        <f t="shared" si="419"/>
        <v>0</v>
      </c>
      <c r="V639" s="87">
        <f t="shared" si="355"/>
        <v>100</v>
      </c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>
        <v>0</v>
      </c>
      <c r="AJ639" s="29">
        <f t="shared" si="396"/>
        <v>0</v>
      </c>
      <c r="AK639" s="136">
        <f t="shared" si="398"/>
        <v>124500000</v>
      </c>
      <c r="AL639" s="29">
        <f t="shared" si="394"/>
        <v>100</v>
      </c>
      <c r="AM639" s="26"/>
    </row>
    <row r="640" spans="1:39" ht="28.5" customHeight="1" x14ac:dyDescent="0.25">
      <c r="A640" s="26"/>
      <c r="B640" s="151"/>
      <c r="C640" s="151"/>
      <c r="D640" s="151"/>
      <c r="E640" s="151"/>
      <c r="F640" s="151"/>
      <c r="G640" s="151"/>
      <c r="H640" s="151"/>
      <c r="I640" s="152"/>
      <c r="J640" s="151" t="s">
        <v>267</v>
      </c>
      <c r="K640" s="27"/>
      <c r="L640" s="31"/>
      <c r="M640" s="563" t="s">
        <v>268</v>
      </c>
      <c r="N640" s="564"/>
      <c r="O640" s="35"/>
      <c r="P640" s="28"/>
      <c r="Q640" s="28">
        <v>12500000</v>
      </c>
      <c r="R640" s="29">
        <f t="shared" si="418"/>
        <v>5.6318467797422258</v>
      </c>
      <c r="S640" s="29">
        <v>100</v>
      </c>
      <c r="T640" s="28">
        <f t="shared" si="393"/>
        <v>0</v>
      </c>
      <c r="U640" s="28">
        <f t="shared" si="419"/>
        <v>0</v>
      </c>
      <c r="V640" s="87">
        <f t="shared" si="355"/>
        <v>100</v>
      </c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>
        <v>0</v>
      </c>
      <c r="AJ640" s="29">
        <f t="shared" si="396"/>
        <v>0</v>
      </c>
      <c r="AK640" s="136">
        <f t="shared" si="398"/>
        <v>12500000</v>
      </c>
      <c r="AL640" s="29">
        <f t="shared" si="394"/>
        <v>100</v>
      </c>
      <c r="AM640" s="26"/>
    </row>
    <row r="641" spans="1:39" ht="28.5" customHeight="1" x14ac:dyDescent="0.25">
      <c r="A641" s="26"/>
      <c r="B641" s="151"/>
      <c r="C641" s="151"/>
      <c r="D641" s="151"/>
      <c r="E641" s="151"/>
      <c r="F641" s="151"/>
      <c r="G641" s="151"/>
      <c r="H641" s="151"/>
      <c r="I641" s="152"/>
      <c r="J641" s="151" t="s">
        <v>332</v>
      </c>
      <c r="K641" s="27"/>
      <c r="L641" s="31"/>
      <c r="M641" s="563" t="s">
        <v>351</v>
      </c>
      <c r="N641" s="564"/>
      <c r="O641" s="35"/>
      <c r="P641" s="28"/>
      <c r="Q641" s="28">
        <v>500000</v>
      </c>
      <c r="R641" s="29">
        <f t="shared" si="418"/>
        <v>0.22527387118968903</v>
      </c>
      <c r="S641" s="29">
        <v>100</v>
      </c>
      <c r="T641" s="28">
        <f t="shared" si="393"/>
        <v>0</v>
      </c>
      <c r="U641" s="28">
        <f t="shared" si="419"/>
        <v>0</v>
      </c>
      <c r="V641" s="87">
        <f t="shared" si="355"/>
        <v>100</v>
      </c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>
        <v>0</v>
      </c>
      <c r="AJ641" s="29">
        <f t="shared" si="396"/>
        <v>0</v>
      </c>
      <c r="AK641" s="136">
        <f t="shared" si="398"/>
        <v>500000</v>
      </c>
      <c r="AL641" s="29">
        <f t="shared" si="394"/>
        <v>100</v>
      </c>
      <c r="AM641" s="26"/>
    </row>
    <row r="642" spans="1:39" ht="28.5" customHeight="1" x14ac:dyDescent="0.25">
      <c r="A642" s="26"/>
      <c r="B642" s="151"/>
      <c r="C642" s="151"/>
      <c r="D642" s="151"/>
      <c r="E642" s="151"/>
      <c r="F642" s="151"/>
      <c r="G642" s="151"/>
      <c r="H642" s="151"/>
      <c r="I642" s="152"/>
      <c r="J642" s="151" t="s">
        <v>315</v>
      </c>
      <c r="K642" s="27"/>
      <c r="L642" s="31"/>
      <c r="M642" s="563" t="s">
        <v>271</v>
      </c>
      <c r="N642" s="564"/>
      <c r="O642" s="35"/>
      <c r="P642" s="28"/>
      <c r="Q642" s="28">
        <v>977061</v>
      </c>
      <c r="R642" s="29">
        <f t="shared" si="418"/>
        <v>0.44021262771693753</v>
      </c>
      <c r="S642" s="29">
        <v>100</v>
      </c>
      <c r="T642" s="28">
        <f t="shared" si="393"/>
        <v>0</v>
      </c>
      <c r="U642" s="28">
        <f t="shared" si="419"/>
        <v>0</v>
      </c>
      <c r="V642" s="87">
        <f t="shared" si="355"/>
        <v>100</v>
      </c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>
        <v>0</v>
      </c>
      <c r="AJ642" s="29">
        <f t="shared" si="396"/>
        <v>0</v>
      </c>
      <c r="AK642" s="136">
        <f t="shared" si="398"/>
        <v>977061</v>
      </c>
      <c r="AL642" s="29">
        <f t="shared" si="394"/>
        <v>100</v>
      </c>
      <c r="AM642" s="26"/>
    </row>
    <row r="643" spans="1:39" ht="28.5" customHeight="1" x14ac:dyDescent="0.25">
      <c r="A643" s="26"/>
      <c r="B643" s="151"/>
      <c r="C643" s="151"/>
      <c r="D643" s="151"/>
      <c r="E643" s="151"/>
      <c r="F643" s="151"/>
      <c r="G643" s="151"/>
      <c r="H643" s="151"/>
      <c r="I643" s="152"/>
      <c r="J643" s="151" t="s">
        <v>316</v>
      </c>
      <c r="K643" s="27"/>
      <c r="L643" s="31"/>
      <c r="M643" s="563" t="s">
        <v>317</v>
      </c>
      <c r="N643" s="564"/>
      <c r="O643" s="35"/>
      <c r="P643" s="28"/>
      <c r="Q643" s="28">
        <v>400000</v>
      </c>
      <c r="R643" s="29">
        <f t="shared" si="418"/>
        <v>0.18021909695175123</v>
      </c>
      <c r="S643" s="29">
        <v>100</v>
      </c>
      <c r="T643" s="28">
        <f t="shared" si="393"/>
        <v>0</v>
      </c>
      <c r="U643" s="28">
        <f t="shared" si="419"/>
        <v>0</v>
      </c>
      <c r="V643" s="87">
        <f t="shared" si="355"/>
        <v>100</v>
      </c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>
        <v>0</v>
      </c>
      <c r="AJ643" s="29">
        <f t="shared" si="396"/>
        <v>0</v>
      </c>
      <c r="AK643" s="136">
        <f t="shared" si="398"/>
        <v>400000</v>
      </c>
      <c r="AL643" s="29">
        <f t="shared" si="394"/>
        <v>100</v>
      </c>
      <c r="AM643" s="26"/>
    </row>
    <row r="644" spans="1:39" ht="28.5" customHeight="1" x14ac:dyDescent="0.25">
      <c r="A644" s="26"/>
      <c r="B644" s="151"/>
      <c r="C644" s="151"/>
      <c r="D644" s="151"/>
      <c r="E644" s="151"/>
      <c r="F644" s="151"/>
      <c r="G644" s="151"/>
      <c r="H644" s="151"/>
      <c r="I644" s="152"/>
      <c r="J644" s="151" t="s">
        <v>318</v>
      </c>
      <c r="K644" s="27"/>
      <c r="L644" s="31"/>
      <c r="M644" s="563" t="s">
        <v>319</v>
      </c>
      <c r="N644" s="564"/>
      <c r="O644" s="35"/>
      <c r="P644" s="28"/>
      <c r="Q644" s="28">
        <v>35000000</v>
      </c>
      <c r="R644" s="29">
        <f t="shared" si="418"/>
        <v>15.769170983278229</v>
      </c>
      <c r="S644" s="29">
        <v>100</v>
      </c>
      <c r="T644" s="28">
        <f t="shared" si="393"/>
        <v>0</v>
      </c>
      <c r="U644" s="28">
        <f t="shared" si="419"/>
        <v>0</v>
      </c>
      <c r="V644" s="87">
        <f t="shared" si="355"/>
        <v>100</v>
      </c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>
        <v>0</v>
      </c>
      <c r="AJ644" s="29">
        <f t="shared" si="396"/>
        <v>0</v>
      </c>
      <c r="AK644" s="136">
        <f t="shared" si="398"/>
        <v>35000000</v>
      </c>
      <c r="AL644" s="29">
        <f t="shared" si="394"/>
        <v>100</v>
      </c>
      <c r="AM644" s="26"/>
    </row>
    <row r="645" spans="1:39" ht="28.5" customHeight="1" x14ac:dyDescent="0.25">
      <c r="A645" s="26"/>
      <c r="B645" s="151"/>
      <c r="C645" s="151"/>
      <c r="D645" s="151"/>
      <c r="E645" s="151"/>
      <c r="F645" s="151"/>
      <c r="G645" s="151"/>
      <c r="H645" s="151"/>
      <c r="I645" s="152"/>
      <c r="J645" s="151" t="s">
        <v>280</v>
      </c>
      <c r="K645" s="27"/>
      <c r="L645" s="31"/>
      <c r="M645" s="563" t="s">
        <v>281</v>
      </c>
      <c r="N645" s="564"/>
      <c r="O645" s="35"/>
      <c r="P645" s="28"/>
      <c r="Q645" s="28">
        <v>1250000</v>
      </c>
      <c r="R645" s="29">
        <f t="shared" si="418"/>
        <v>0.56318467797422256</v>
      </c>
      <c r="S645" s="29">
        <v>100</v>
      </c>
      <c r="T645" s="28">
        <f t="shared" si="393"/>
        <v>0</v>
      </c>
      <c r="U645" s="28">
        <f t="shared" si="419"/>
        <v>0</v>
      </c>
      <c r="V645" s="87">
        <f t="shared" si="355"/>
        <v>100</v>
      </c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>
        <v>0</v>
      </c>
      <c r="AJ645" s="29">
        <f t="shared" si="396"/>
        <v>0</v>
      </c>
      <c r="AK645" s="136">
        <f t="shared" si="398"/>
        <v>1250000</v>
      </c>
      <c r="AL645" s="29">
        <f t="shared" si="394"/>
        <v>100</v>
      </c>
      <c r="AM645" s="26"/>
    </row>
    <row r="646" spans="1:39" ht="28.5" customHeight="1" x14ac:dyDescent="0.25">
      <c r="A646" s="26"/>
      <c r="B646" s="151"/>
      <c r="C646" s="151"/>
      <c r="D646" s="151"/>
      <c r="E646" s="151"/>
      <c r="F646" s="151"/>
      <c r="G646" s="151"/>
      <c r="H646" s="151"/>
      <c r="I646" s="152"/>
      <c r="J646" s="151" t="s">
        <v>284</v>
      </c>
      <c r="K646" s="27"/>
      <c r="L646" s="31"/>
      <c r="M646" s="563" t="s">
        <v>285</v>
      </c>
      <c r="N646" s="564"/>
      <c r="O646" s="35"/>
      <c r="P646" s="28"/>
      <c r="Q646" s="28">
        <v>2925000</v>
      </c>
      <c r="R646" s="29">
        <f t="shared" si="418"/>
        <v>1.3178521464596809</v>
      </c>
      <c r="S646" s="29">
        <v>100</v>
      </c>
      <c r="T646" s="28">
        <f t="shared" si="393"/>
        <v>0</v>
      </c>
      <c r="U646" s="28">
        <f t="shared" si="419"/>
        <v>0</v>
      </c>
      <c r="V646" s="87">
        <f t="shared" si="355"/>
        <v>100</v>
      </c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>
        <v>0</v>
      </c>
      <c r="AJ646" s="29">
        <f t="shared" si="396"/>
        <v>0</v>
      </c>
      <c r="AK646" s="136">
        <f t="shared" si="398"/>
        <v>2925000</v>
      </c>
      <c r="AL646" s="29">
        <f t="shared" si="394"/>
        <v>100</v>
      </c>
      <c r="AM646" s="26"/>
    </row>
    <row r="647" spans="1:39" ht="28.5" customHeight="1" x14ac:dyDescent="0.25">
      <c r="A647" s="26"/>
      <c r="B647" s="151"/>
      <c r="C647" s="151"/>
      <c r="D647" s="151"/>
      <c r="E647" s="151"/>
      <c r="F647" s="151"/>
      <c r="G647" s="151"/>
      <c r="H647" s="151"/>
      <c r="I647" s="152"/>
      <c r="J647" s="151" t="s">
        <v>282</v>
      </c>
      <c r="K647" s="27"/>
      <c r="L647" s="31"/>
      <c r="M647" s="563" t="s">
        <v>283</v>
      </c>
      <c r="N647" s="564"/>
      <c r="O647" s="35"/>
      <c r="P647" s="28"/>
      <c r="Q647" s="28">
        <v>21300000</v>
      </c>
      <c r="R647" s="29">
        <f t="shared" si="418"/>
        <v>9.5966669126807531</v>
      </c>
      <c r="S647" s="29">
        <v>100</v>
      </c>
      <c r="T647" s="28">
        <f t="shared" si="393"/>
        <v>0</v>
      </c>
      <c r="U647" s="28">
        <f t="shared" si="419"/>
        <v>0</v>
      </c>
      <c r="V647" s="87">
        <f t="shared" si="355"/>
        <v>100</v>
      </c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>
        <v>0</v>
      </c>
      <c r="AJ647" s="29">
        <f t="shared" si="396"/>
        <v>0</v>
      </c>
      <c r="AK647" s="136">
        <f t="shared" si="398"/>
        <v>21300000</v>
      </c>
      <c r="AL647" s="29">
        <f t="shared" si="394"/>
        <v>100</v>
      </c>
      <c r="AM647" s="26"/>
    </row>
    <row r="648" spans="1:39" ht="28.5" customHeight="1" x14ac:dyDescent="0.25">
      <c r="A648" s="26"/>
      <c r="B648" s="151"/>
      <c r="C648" s="151"/>
      <c r="D648" s="151"/>
      <c r="E648" s="151"/>
      <c r="F648" s="151"/>
      <c r="G648" s="151"/>
      <c r="H648" s="151"/>
      <c r="I648" s="152"/>
      <c r="J648" s="151" t="s">
        <v>320</v>
      </c>
      <c r="K648" s="27"/>
      <c r="L648" s="31"/>
      <c r="M648" s="563" t="s">
        <v>321</v>
      </c>
      <c r="N648" s="564"/>
      <c r="O648" s="35"/>
      <c r="P648" s="28"/>
      <c r="Q648" s="28">
        <v>4300000</v>
      </c>
      <c r="R648" s="29">
        <f t="shared" si="418"/>
        <v>1.9373552922313255</v>
      </c>
      <c r="S648" s="29">
        <v>100</v>
      </c>
      <c r="T648" s="28">
        <f t="shared" si="393"/>
        <v>0</v>
      </c>
      <c r="U648" s="28">
        <f t="shared" si="419"/>
        <v>0</v>
      </c>
      <c r="V648" s="87">
        <f t="shared" si="355"/>
        <v>100</v>
      </c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>
        <v>0</v>
      </c>
      <c r="AJ648" s="29">
        <f t="shared" si="396"/>
        <v>0</v>
      </c>
      <c r="AK648" s="136">
        <f t="shared" si="398"/>
        <v>4300000</v>
      </c>
      <c r="AL648" s="29">
        <f t="shared" si="394"/>
        <v>100</v>
      </c>
      <c r="AM648" s="26"/>
    </row>
    <row r="649" spans="1:39" ht="28.5" customHeight="1" x14ac:dyDescent="0.25">
      <c r="A649" s="26"/>
      <c r="B649" s="151"/>
      <c r="C649" s="151"/>
      <c r="D649" s="151"/>
      <c r="E649" s="151"/>
      <c r="F649" s="151"/>
      <c r="G649" s="151"/>
      <c r="H649" s="151"/>
      <c r="I649" s="152"/>
      <c r="J649" s="176" t="s">
        <v>407</v>
      </c>
      <c r="K649" s="27"/>
      <c r="L649" s="31"/>
      <c r="M649" s="563" t="s">
        <v>607</v>
      </c>
      <c r="N649" s="564"/>
      <c r="O649" s="35"/>
      <c r="P649" s="28"/>
      <c r="Q649" s="28">
        <v>2650000</v>
      </c>
      <c r="R649" s="29">
        <f t="shared" si="418"/>
        <v>1.1939515173053519</v>
      </c>
      <c r="S649" s="29">
        <v>100</v>
      </c>
      <c r="T649" s="28">
        <f t="shared" si="393"/>
        <v>0</v>
      </c>
      <c r="U649" s="28">
        <f t="shared" si="419"/>
        <v>0</v>
      </c>
      <c r="V649" s="87">
        <f t="shared" si="355"/>
        <v>100</v>
      </c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>
        <v>0</v>
      </c>
      <c r="AJ649" s="29">
        <f t="shared" si="396"/>
        <v>0</v>
      </c>
      <c r="AK649" s="136">
        <f t="shared" si="398"/>
        <v>2650000</v>
      </c>
      <c r="AL649" s="29">
        <f t="shared" si="394"/>
        <v>100</v>
      </c>
      <c r="AM649" s="26"/>
    </row>
    <row r="650" spans="1:39" ht="28.5" customHeight="1" x14ac:dyDescent="0.25">
      <c r="A650" s="26"/>
      <c r="B650" s="151"/>
      <c r="C650" s="151"/>
      <c r="D650" s="151"/>
      <c r="E650" s="151"/>
      <c r="F650" s="151"/>
      <c r="G650" s="151"/>
      <c r="H650" s="151"/>
      <c r="I650" s="152"/>
      <c r="J650" s="176" t="s">
        <v>372</v>
      </c>
      <c r="K650" s="27"/>
      <c r="L650" s="31"/>
      <c r="M650" s="563" t="s">
        <v>373</v>
      </c>
      <c r="N650" s="564"/>
      <c r="O650" s="35"/>
      <c r="P650" s="28"/>
      <c r="Q650" s="28">
        <v>15000000</v>
      </c>
      <c r="R650" s="29">
        <f t="shared" si="418"/>
        <v>6.7582161356906703</v>
      </c>
      <c r="S650" s="29">
        <v>100</v>
      </c>
      <c r="T650" s="28">
        <f t="shared" si="393"/>
        <v>0</v>
      </c>
      <c r="U650" s="28">
        <f t="shared" si="419"/>
        <v>0</v>
      </c>
      <c r="V650" s="87">
        <v>100</v>
      </c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>
        <v>0</v>
      </c>
      <c r="AJ650" s="29">
        <f t="shared" si="396"/>
        <v>0</v>
      </c>
      <c r="AK650" s="136">
        <f t="shared" si="398"/>
        <v>15000000</v>
      </c>
      <c r="AL650" s="29">
        <f t="shared" si="394"/>
        <v>100</v>
      </c>
      <c r="AM650" s="26"/>
    </row>
    <row r="651" spans="1:39" s="41" customFormat="1" ht="28.5" customHeight="1" x14ac:dyDescent="0.25">
      <c r="A651" s="21" t="e">
        <f>SUM(A637+1)</f>
        <v>#REF!</v>
      </c>
      <c r="B651" s="158"/>
      <c r="C651" s="158"/>
      <c r="D651" s="158"/>
      <c r="E651" s="158"/>
      <c r="F651" s="158"/>
      <c r="G651" s="158"/>
      <c r="H651" s="158"/>
      <c r="I651" s="159"/>
      <c r="J651" s="158" t="s">
        <v>377</v>
      </c>
      <c r="K651" s="22"/>
      <c r="L651" s="72"/>
      <c r="M651" s="566" t="s">
        <v>378</v>
      </c>
      <c r="N651" s="566"/>
      <c r="O651" s="76">
        <v>355300000</v>
      </c>
      <c r="P651" s="23">
        <v>0</v>
      </c>
      <c r="Q651" s="23">
        <f>SUM(Q652:Q656)</f>
        <v>88840644</v>
      </c>
      <c r="R651" s="24" t="e">
        <f>Q651/Q$33*100</f>
        <v>#REF!</v>
      </c>
      <c r="S651" s="24">
        <v>100</v>
      </c>
      <c r="T651" s="23">
        <f t="shared" si="393"/>
        <v>0</v>
      </c>
      <c r="U651" s="23" t="e">
        <f>R651*T651/100</f>
        <v>#REF!</v>
      </c>
      <c r="V651" s="90">
        <f t="shared" si="355"/>
        <v>100</v>
      </c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 t="e">
        <f>[2]april!N78</f>
        <v>#REF!</v>
      </c>
      <c r="AH651" s="23">
        <f>'[3]DES SKPD'!$N78</f>
        <v>0</v>
      </c>
      <c r="AI651" s="23">
        <f>SUM(AI652:AI656)</f>
        <v>0</v>
      </c>
      <c r="AJ651" s="24">
        <f t="shared" si="396"/>
        <v>0</v>
      </c>
      <c r="AK651" s="134">
        <f t="shared" si="398"/>
        <v>88840644</v>
      </c>
      <c r="AL651" s="24">
        <f t="shared" si="394"/>
        <v>100</v>
      </c>
      <c r="AM651" s="21"/>
    </row>
    <row r="652" spans="1:39" ht="28.5" customHeight="1" x14ac:dyDescent="0.25">
      <c r="A652" s="26"/>
      <c r="B652" s="151"/>
      <c r="C652" s="151"/>
      <c r="D652" s="151"/>
      <c r="E652" s="151"/>
      <c r="F652" s="151"/>
      <c r="G652" s="151"/>
      <c r="H652" s="151"/>
      <c r="I652" s="152"/>
      <c r="J652" s="176" t="s">
        <v>323</v>
      </c>
      <c r="K652" s="27"/>
      <c r="L652" s="31"/>
      <c r="M652" s="563" t="s">
        <v>324</v>
      </c>
      <c r="N652" s="564"/>
      <c r="O652" s="35"/>
      <c r="P652" s="28"/>
      <c r="Q652" s="28">
        <v>25000000</v>
      </c>
      <c r="R652" s="29">
        <f>Q652/Q$651*100</f>
        <v>28.140273274020842</v>
      </c>
      <c r="S652" s="29">
        <v>100</v>
      </c>
      <c r="T652" s="28">
        <f t="shared" si="393"/>
        <v>0</v>
      </c>
      <c r="U652" s="28">
        <f t="shared" ref="U652:U657" si="420">R652*T652/100</f>
        <v>0</v>
      </c>
      <c r="V652" s="87">
        <f t="shared" si="355"/>
        <v>100</v>
      </c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>
        <v>0</v>
      </c>
      <c r="AJ652" s="29">
        <f t="shared" si="396"/>
        <v>0</v>
      </c>
      <c r="AK652" s="136">
        <f t="shared" si="398"/>
        <v>25000000</v>
      </c>
      <c r="AL652" s="29">
        <f t="shared" si="394"/>
        <v>100</v>
      </c>
      <c r="AM652" s="26"/>
    </row>
    <row r="653" spans="1:39" ht="28.5" customHeight="1" x14ac:dyDescent="0.25">
      <c r="A653" s="26"/>
      <c r="B653" s="151"/>
      <c r="C653" s="151"/>
      <c r="D653" s="151"/>
      <c r="E653" s="151"/>
      <c r="F653" s="151"/>
      <c r="G653" s="151"/>
      <c r="H653" s="151"/>
      <c r="I653" s="152"/>
      <c r="J653" s="151" t="s">
        <v>315</v>
      </c>
      <c r="K653" s="27"/>
      <c r="L653" s="31"/>
      <c r="M653" s="563" t="s">
        <v>271</v>
      </c>
      <c r="N653" s="564"/>
      <c r="O653" s="35"/>
      <c r="P653" s="28"/>
      <c r="Q653" s="28">
        <v>2000000</v>
      </c>
      <c r="R653" s="29">
        <f t="shared" ref="R653:R656" si="421">Q653/Q$651*100</f>
        <v>2.2512218619216671</v>
      </c>
      <c r="S653" s="29">
        <v>100</v>
      </c>
      <c r="T653" s="28">
        <f t="shared" si="393"/>
        <v>0</v>
      </c>
      <c r="U653" s="28">
        <f t="shared" si="420"/>
        <v>0</v>
      </c>
      <c r="V653" s="87">
        <f t="shared" si="355"/>
        <v>100</v>
      </c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>
        <v>0</v>
      </c>
      <c r="AJ653" s="29">
        <f t="shared" si="396"/>
        <v>0</v>
      </c>
      <c r="AK653" s="136">
        <f t="shared" si="398"/>
        <v>2000000</v>
      </c>
      <c r="AL653" s="29">
        <f t="shared" si="394"/>
        <v>100</v>
      </c>
      <c r="AM653" s="26"/>
    </row>
    <row r="654" spans="1:39" ht="28.5" customHeight="1" x14ac:dyDescent="0.25">
      <c r="A654" s="26"/>
      <c r="B654" s="151"/>
      <c r="C654" s="151"/>
      <c r="D654" s="151"/>
      <c r="E654" s="151"/>
      <c r="F654" s="151"/>
      <c r="G654" s="151"/>
      <c r="H654" s="151"/>
      <c r="I654" s="152"/>
      <c r="J654" s="151" t="s">
        <v>280</v>
      </c>
      <c r="K654" s="27"/>
      <c r="L654" s="31"/>
      <c r="M654" s="563" t="s">
        <v>425</v>
      </c>
      <c r="N654" s="564"/>
      <c r="O654" s="35"/>
      <c r="P654" s="28"/>
      <c r="Q654" s="28">
        <v>7500000</v>
      </c>
      <c r="R654" s="29">
        <f t="shared" si="421"/>
        <v>8.4420819822062523</v>
      </c>
      <c r="S654" s="29">
        <v>100</v>
      </c>
      <c r="T654" s="28">
        <f t="shared" si="393"/>
        <v>0</v>
      </c>
      <c r="U654" s="28">
        <f t="shared" si="420"/>
        <v>0</v>
      </c>
      <c r="V654" s="87">
        <f t="shared" si="355"/>
        <v>100</v>
      </c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>
        <v>0</v>
      </c>
      <c r="AJ654" s="29">
        <f t="shared" si="396"/>
        <v>0</v>
      </c>
      <c r="AK654" s="136">
        <f t="shared" si="398"/>
        <v>7500000</v>
      </c>
      <c r="AL654" s="29">
        <f t="shared" si="394"/>
        <v>100</v>
      </c>
      <c r="AM654" s="26"/>
    </row>
    <row r="655" spans="1:39" ht="28.5" customHeight="1" x14ac:dyDescent="0.25">
      <c r="A655" s="26"/>
      <c r="B655" s="151"/>
      <c r="C655" s="151"/>
      <c r="D655" s="151"/>
      <c r="E655" s="151"/>
      <c r="F655" s="151"/>
      <c r="G655" s="151"/>
      <c r="H655" s="151"/>
      <c r="I655" s="152"/>
      <c r="J655" s="151" t="s">
        <v>284</v>
      </c>
      <c r="K655" s="27"/>
      <c r="L655" s="31"/>
      <c r="M655" s="563" t="s">
        <v>285</v>
      </c>
      <c r="N655" s="564"/>
      <c r="O655" s="35"/>
      <c r="P655" s="28"/>
      <c r="Q655" s="28">
        <v>24500000</v>
      </c>
      <c r="R655" s="29">
        <f t="shared" si="421"/>
        <v>27.577467808540423</v>
      </c>
      <c r="S655" s="29">
        <v>100</v>
      </c>
      <c r="T655" s="28">
        <f t="shared" si="393"/>
        <v>0</v>
      </c>
      <c r="U655" s="28">
        <f t="shared" si="420"/>
        <v>0</v>
      </c>
      <c r="V655" s="87">
        <f t="shared" si="355"/>
        <v>100</v>
      </c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>
        <v>0</v>
      </c>
      <c r="AJ655" s="29">
        <f t="shared" si="396"/>
        <v>0</v>
      </c>
      <c r="AK655" s="136">
        <f t="shared" si="398"/>
        <v>24500000</v>
      </c>
      <c r="AL655" s="29">
        <f t="shared" si="394"/>
        <v>100</v>
      </c>
      <c r="AM655" s="26"/>
    </row>
    <row r="656" spans="1:39" ht="28.5" customHeight="1" x14ac:dyDescent="0.25">
      <c r="A656" s="26"/>
      <c r="B656" s="151"/>
      <c r="C656" s="151"/>
      <c r="D656" s="151"/>
      <c r="E656" s="151"/>
      <c r="F656" s="151"/>
      <c r="G656" s="151"/>
      <c r="H656" s="151"/>
      <c r="I656" s="152"/>
      <c r="J656" s="151" t="s">
        <v>282</v>
      </c>
      <c r="K656" s="27"/>
      <c r="L656" s="31"/>
      <c r="M656" s="563" t="s">
        <v>283</v>
      </c>
      <c r="N656" s="564"/>
      <c r="O656" s="35"/>
      <c r="P656" s="28"/>
      <c r="Q656" s="28">
        <v>29840644</v>
      </c>
      <c r="R656" s="29">
        <f t="shared" si="421"/>
        <v>33.588955073310814</v>
      </c>
      <c r="S656" s="29">
        <v>100</v>
      </c>
      <c r="T656" s="28">
        <f t="shared" si="393"/>
        <v>0</v>
      </c>
      <c r="U656" s="28">
        <f t="shared" si="420"/>
        <v>0</v>
      </c>
      <c r="V656" s="87">
        <f t="shared" si="355"/>
        <v>100</v>
      </c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>
        <v>0</v>
      </c>
      <c r="AJ656" s="29">
        <f t="shared" si="396"/>
        <v>0</v>
      </c>
      <c r="AK656" s="136">
        <f t="shared" si="398"/>
        <v>29840644</v>
      </c>
      <c r="AL656" s="29">
        <f t="shared" si="394"/>
        <v>100</v>
      </c>
      <c r="AM656" s="26"/>
    </row>
    <row r="657" spans="1:83" ht="28.5" customHeight="1" x14ac:dyDescent="0.25">
      <c r="A657" s="51" t="s">
        <v>38</v>
      </c>
      <c r="B657" s="547" t="s">
        <v>145</v>
      </c>
      <c r="C657" s="547"/>
      <c r="D657" s="547"/>
      <c r="E657" s="547"/>
      <c r="F657" s="547"/>
      <c r="G657" s="547"/>
      <c r="H657" s="547"/>
      <c r="I657" s="548"/>
      <c r="J657" s="163" t="s">
        <v>531</v>
      </c>
      <c r="K657" s="52"/>
      <c r="L657" s="549" t="s">
        <v>532</v>
      </c>
      <c r="M657" s="549"/>
      <c r="N657" s="550"/>
      <c r="O657" s="55" t="e">
        <f>SUM(O658:O1132)</f>
        <v>#REF!</v>
      </c>
      <c r="P657" s="55" t="e">
        <f>SUM(P658:P1132)</f>
        <v>#REF!</v>
      </c>
      <c r="Q657" s="55">
        <f>SUM(Q658)</f>
        <v>649500000</v>
      </c>
      <c r="R657" s="57" t="e">
        <f>Q657/Q$53*100</f>
        <v>#REF!</v>
      </c>
      <c r="S657" s="57">
        <v>100</v>
      </c>
      <c r="T657" s="55">
        <f t="shared" si="393"/>
        <v>0</v>
      </c>
      <c r="U657" s="127" t="e">
        <f t="shared" si="420"/>
        <v>#REF!</v>
      </c>
      <c r="V657" s="117">
        <f t="shared" si="355"/>
        <v>100</v>
      </c>
      <c r="W657" s="55">
        <f t="shared" ref="W657:AH657" si="422">SUM(W658:W1132)</f>
        <v>0</v>
      </c>
      <c r="X657" s="55">
        <f t="shared" si="422"/>
        <v>0</v>
      </c>
      <c r="Y657" s="55">
        <f t="shared" si="422"/>
        <v>0</v>
      </c>
      <c r="Z657" s="55">
        <f t="shared" si="422"/>
        <v>0</v>
      </c>
      <c r="AA657" s="55">
        <f t="shared" si="422"/>
        <v>0</v>
      </c>
      <c r="AB657" s="55">
        <f t="shared" si="422"/>
        <v>0</v>
      </c>
      <c r="AC657" s="55">
        <f t="shared" si="422"/>
        <v>0</v>
      </c>
      <c r="AD657" s="55">
        <f t="shared" si="422"/>
        <v>0</v>
      </c>
      <c r="AE657" s="55">
        <f t="shared" si="422"/>
        <v>0</v>
      </c>
      <c r="AF657" s="55">
        <f t="shared" si="422"/>
        <v>0</v>
      </c>
      <c r="AG657" s="55" t="e">
        <f t="shared" si="422"/>
        <v>#REF!</v>
      </c>
      <c r="AH657" s="55">
        <f t="shared" si="422"/>
        <v>0</v>
      </c>
      <c r="AI657" s="55">
        <f>SUM(AI658)</f>
        <v>0</v>
      </c>
      <c r="AJ657" s="57">
        <f t="shared" si="396"/>
        <v>0</v>
      </c>
      <c r="AK657" s="137">
        <f>SUM(Q657-AI657)</f>
        <v>649500000</v>
      </c>
      <c r="AL657" s="57">
        <f t="shared" si="394"/>
        <v>100</v>
      </c>
      <c r="AM657" s="51"/>
    </row>
    <row r="658" spans="1:83" s="41" customFormat="1" ht="28.5" customHeight="1" x14ac:dyDescent="0.25">
      <c r="A658" s="21" t="e">
        <f>SUM(A651+1)</f>
        <v>#REF!</v>
      </c>
      <c r="B658" s="158"/>
      <c r="C658" s="158"/>
      <c r="D658" s="158"/>
      <c r="E658" s="158"/>
      <c r="F658" s="158"/>
      <c r="G658" s="158"/>
      <c r="H658" s="158"/>
      <c r="I658" s="159"/>
      <c r="J658" s="158" t="s">
        <v>381</v>
      </c>
      <c r="K658" s="22"/>
      <c r="L658" s="72"/>
      <c r="M658" s="568" t="s">
        <v>533</v>
      </c>
      <c r="N658" s="568"/>
      <c r="O658" s="76">
        <v>355300000</v>
      </c>
      <c r="P658" s="23">
        <v>0</v>
      </c>
      <c r="Q658" s="23">
        <f>SUM(Q659:Q665)</f>
        <v>649500000</v>
      </c>
      <c r="R658" s="24" t="e">
        <f>Q658/Q$33*100</f>
        <v>#REF!</v>
      </c>
      <c r="S658" s="24">
        <v>100</v>
      </c>
      <c r="T658" s="23">
        <f>AJ658</f>
        <v>0</v>
      </c>
      <c r="U658" s="23" t="e">
        <f>R658*T658/100</f>
        <v>#REF!</v>
      </c>
      <c r="V658" s="90">
        <f>S658-T658</f>
        <v>100</v>
      </c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 t="e">
        <f>[2]april!N87</f>
        <v>#REF!</v>
      </c>
      <c r="AH658" s="23">
        <f>'[3]DES SKPD'!$N87</f>
        <v>0</v>
      </c>
      <c r="AI658" s="23">
        <f>SUM(AI659:AI665)</f>
        <v>0</v>
      </c>
      <c r="AJ658" s="29">
        <f t="shared" si="396"/>
        <v>0</v>
      </c>
      <c r="AK658" s="134">
        <f t="shared" si="398"/>
        <v>649500000</v>
      </c>
      <c r="AL658" s="24">
        <f t="shared" si="394"/>
        <v>100</v>
      </c>
      <c r="AM658" s="21"/>
    </row>
    <row r="659" spans="1:83" ht="28.5" customHeight="1" x14ac:dyDescent="0.25">
      <c r="A659" s="26"/>
      <c r="B659" s="151"/>
      <c r="C659" s="151"/>
      <c r="D659" s="151"/>
      <c r="E659" s="151"/>
      <c r="F659" s="151"/>
      <c r="G659" s="151"/>
      <c r="H659" s="151"/>
      <c r="I659" s="152"/>
      <c r="J659" s="151" t="s">
        <v>536</v>
      </c>
      <c r="K659" s="27"/>
      <c r="L659" s="31"/>
      <c r="M659" s="577" t="s">
        <v>271</v>
      </c>
      <c r="N659" s="564"/>
      <c r="O659" s="35"/>
      <c r="P659" s="28"/>
      <c r="Q659" s="28">
        <v>14900000</v>
      </c>
      <c r="R659" s="29">
        <f t="shared" ref="R659:R665" si="423">Q659/Q$658*100</f>
        <v>2.2940723633564279</v>
      </c>
      <c r="S659" s="29">
        <v>100</v>
      </c>
      <c r="T659" s="28">
        <f t="shared" ref="T659:T665" si="424">AJ659</f>
        <v>0</v>
      </c>
      <c r="U659" s="28">
        <f t="shared" ref="U659:U665" si="425">R659*T659/100</f>
        <v>0</v>
      </c>
      <c r="V659" s="87">
        <f t="shared" ref="V659:V665" si="426">S659-T659</f>
        <v>100</v>
      </c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>
        <v>0</v>
      </c>
      <c r="AJ659" s="29">
        <f t="shared" si="396"/>
        <v>0</v>
      </c>
      <c r="AK659" s="136">
        <f t="shared" si="398"/>
        <v>14900000</v>
      </c>
      <c r="AL659" s="29">
        <f t="shared" si="394"/>
        <v>100</v>
      </c>
      <c r="AM659" s="26"/>
    </row>
    <row r="660" spans="1:83" ht="28.5" customHeight="1" x14ac:dyDescent="0.25">
      <c r="A660" s="26"/>
      <c r="B660" s="151"/>
      <c r="C660" s="151"/>
      <c r="D660" s="151"/>
      <c r="E660" s="151"/>
      <c r="F660" s="151"/>
      <c r="G660" s="151"/>
      <c r="H660" s="151"/>
      <c r="I660" s="152"/>
      <c r="J660" s="151" t="s">
        <v>502</v>
      </c>
      <c r="K660" s="27"/>
      <c r="L660" s="31"/>
      <c r="M660" s="577" t="s">
        <v>319</v>
      </c>
      <c r="N660" s="564"/>
      <c r="O660" s="35"/>
      <c r="P660" s="28"/>
      <c r="Q660" s="28">
        <v>200200000</v>
      </c>
      <c r="R660" s="29">
        <f>Q660/Q$658*100</f>
        <v>30.82371054657429</v>
      </c>
      <c r="S660" s="29">
        <v>100</v>
      </c>
      <c r="T660" s="28">
        <f t="shared" si="424"/>
        <v>0</v>
      </c>
      <c r="U660" s="28">
        <f t="shared" si="425"/>
        <v>0</v>
      </c>
      <c r="V660" s="87">
        <f t="shared" si="426"/>
        <v>100</v>
      </c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>
        <v>0</v>
      </c>
      <c r="AJ660" s="29">
        <f t="shared" si="396"/>
        <v>0</v>
      </c>
      <c r="AK660" s="136">
        <f t="shared" si="398"/>
        <v>200200000</v>
      </c>
      <c r="AL660" s="29">
        <f t="shared" si="394"/>
        <v>100</v>
      </c>
      <c r="AM660" s="26"/>
    </row>
    <row r="661" spans="1:83" ht="28.5" customHeight="1" x14ac:dyDescent="0.25">
      <c r="A661" s="26"/>
      <c r="B661" s="176"/>
      <c r="C661" s="176"/>
      <c r="D661" s="176"/>
      <c r="E661" s="176"/>
      <c r="F661" s="176"/>
      <c r="G661" s="176"/>
      <c r="H661" s="176"/>
      <c r="I661" s="177"/>
      <c r="J661" s="176" t="s">
        <v>625</v>
      </c>
      <c r="K661" s="27"/>
      <c r="L661" s="31"/>
      <c r="M661" s="577" t="s">
        <v>281</v>
      </c>
      <c r="N661" s="564"/>
      <c r="O661" s="35"/>
      <c r="P661" s="28"/>
      <c r="Q661" s="28">
        <v>25200000</v>
      </c>
      <c r="R661" s="29">
        <f>Q661/Q$658*100</f>
        <v>3.8799076212471131</v>
      </c>
      <c r="S661" s="29">
        <v>100</v>
      </c>
      <c r="T661" s="28">
        <f t="shared" ref="T661" si="427">AJ661</f>
        <v>0</v>
      </c>
      <c r="U661" s="28">
        <f t="shared" ref="U661" si="428">R661*T661/100</f>
        <v>0</v>
      </c>
      <c r="V661" s="87">
        <f t="shared" ref="V661" si="429">S661-T661</f>
        <v>100</v>
      </c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>
        <v>0</v>
      </c>
      <c r="AJ661" s="29">
        <f t="shared" ref="AJ661" si="430">AI661/Q661*100</f>
        <v>0</v>
      </c>
      <c r="AK661" s="136">
        <f t="shared" ref="AK661" si="431">Q661-AI661</f>
        <v>25200000</v>
      </c>
      <c r="AL661" s="29">
        <f t="shared" ref="AL661" si="432">AK661/Q661*100</f>
        <v>100</v>
      </c>
      <c r="AM661" s="26"/>
    </row>
    <row r="662" spans="1:83" ht="28.5" customHeight="1" x14ac:dyDescent="0.25">
      <c r="A662" s="26"/>
      <c r="B662" s="151"/>
      <c r="C662" s="151"/>
      <c r="D662" s="151"/>
      <c r="E662" s="151"/>
      <c r="F662" s="151"/>
      <c r="G662" s="151"/>
      <c r="H662" s="151"/>
      <c r="I662" s="152"/>
      <c r="J662" s="151" t="s">
        <v>538</v>
      </c>
      <c r="K662" s="27"/>
      <c r="L662" s="31"/>
      <c r="M662" s="586" t="s">
        <v>626</v>
      </c>
      <c r="N662" s="587"/>
      <c r="O662" s="35"/>
      <c r="P662" s="28"/>
      <c r="Q662" s="28">
        <v>92000000</v>
      </c>
      <c r="R662" s="29">
        <f t="shared" si="423"/>
        <v>14.164742109314856</v>
      </c>
      <c r="S662" s="29">
        <v>100</v>
      </c>
      <c r="T662" s="28">
        <f t="shared" si="424"/>
        <v>0</v>
      </c>
      <c r="U662" s="28">
        <f t="shared" si="425"/>
        <v>0</v>
      </c>
      <c r="V662" s="87">
        <f t="shared" si="426"/>
        <v>100</v>
      </c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>
        <v>0</v>
      </c>
      <c r="AJ662" s="29">
        <f t="shared" si="396"/>
        <v>0</v>
      </c>
      <c r="AK662" s="136">
        <f t="shared" si="398"/>
        <v>92000000</v>
      </c>
      <c r="AL662" s="29">
        <f t="shared" si="394"/>
        <v>100</v>
      </c>
      <c r="AM662" s="26"/>
    </row>
    <row r="663" spans="1:83" ht="28.5" customHeight="1" x14ac:dyDescent="0.25">
      <c r="A663" s="26"/>
      <c r="B663" s="176"/>
      <c r="C663" s="176"/>
      <c r="D663" s="176"/>
      <c r="E663" s="176"/>
      <c r="F663" s="176"/>
      <c r="G663" s="176"/>
      <c r="H663" s="176"/>
      <c r="I663" s="177"/>
      <c r="J663" s="176" t="s">
        <v>629</v>
      </c>
      <c r="K663" s="27"/>
      <c r="L663" s="31"/>
      <c r="M663" s="586" t="s">
        <v>321</v>
      </c>
      <c r="N663" s="587"/>
      <c r="O663" s="35"/>
      <c r="P663" s="28"/>
      <c r="Q663" s="28">
        <v>9200000</v>
      </c>
      <c r="R663" s="29">
        <f t="shared" ref="R663" si="433">Q663/Q$658*100</f>
        <v>1.4164742109314856</v>
      </c>
      <c r="S663" s="29">
        <v>100</v>
      </c>
      <c r="T663" s="28">
        <f t="shared" ref="T663" si="434">AJ663</f>
        <v>0</v>
      </c>
      <c r="U663" s="28">
        <f t="shared" ref="U663" si="435">R663*T663/100</f>
        <v>0</v>
      </c>
      <c r="V663" s="87">
        <f t="shared" ref="V663" si="436">S663-T663</f>
        <v>100</v>
      </c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>
        <v>0</v>
      </c>
      <c r="AJ663" s="29">
        <f t="shared" ref="AJ663" si="437">AI663/Q663*100</f>
        <v>0</v>
      </c>
      <c r="AK663" s="136">
        <f t="shared" ref="AK663" si="438">Q663-AI663</f>
        <v>9200000</v>
      </c>
      <c r="AL663" s="29">
        <f t="shared" ref="AL663" si="439">AK663/Q663*100</f>
        <v>100</v>
      </c>
      <c r="AM663" s="26"/>
    </row>
    <row r="664" spans="1:83" ht="28.5" customHeight="1" x14ac:dyDescent="0.25">
      <c r="A664" s="26"/>
      <c r="B664" s="176"/>
      <c r="C664" s="176"/>
      <c r="D664" s="176"/>
      <c r="E664" s="176"/>
      <c r="F664" s="176"/>
      <c r="G664" s="176"/>
      <c r="H664" s="176"/>
      <c r="I664" s="177"/>
      <c r="J664" s="176" t="s">
        <v>628</v>
      </c>
      <c r="K664" s="27"/>
      <c r="L664" s="31"/>
      <c r="M664" s="586" t="s">
        <v>310</v>
      </c>
      <c r="N664" s="587"/>
      <c r="O664" s="35"/>
      <c r="P664" s="28"/>
      <c r="Q664" s="28">
        <v>300000000</v>
      </c>
      <c r="R664" s="29">
        <f t="shared" ref="R664" si="440">Q664/Q$658*100</f>
        <v>46.189376443418013</v>
      </c>
      <c r="S664" s="29">
        <v>100</v>
      </c>
      <c r="T664" s="28">
        <f t="shared" ref="T664" si="441">AJ664</f>
        <v>0</v>
      </c>
      <c r="U664" s="28">
        <f t="shared" ref="U664" si="442">R664*T664/100</f>
        <v>0</v>
      </c>
      <c r="V664" s="87">
        <f t="shared" ref="V664" si="443">S664-T664</f>
        <v>100</v>
      </c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>
        <v>0</v>
      </c>
      <c r="AJ664" s="29">
        <f t="shared" ref="AJ664" si="444">AI664/Q664*100</f>
        <v>0</v>
      </c>
      <c r="AK664" s="136">
        <f t="shared" ref="AK664" si="445">Q664-AI664</f>
        <v>300000000</v>
      </c>
      <c r="AL664" s="29">
        <f t="shared" ref="AL664" si="446">AK664/Q664*100</f>
        <v>100</v>
      </c>
      <c r="AM664" s="26"/>
    </row>
    <row r="665" spans="1:83" ht="24.75" customHeight="1" x14ac:dyDescent="0.25">
      <c r="A665" s="26"/>
      <c r="B665" s="513" t="s">
        <v>158</v>
      </c>
      <c r="C665" s="513"/>
      <c r="D665" s="513"/>
      <c r="E665" s="513"/>
      <c r="F665" s="513"/>
      <c r="G665" s="513"/>
      <c r="H665" s="513"/>
      <c r="I665" s="514"/>
      <c r="J665" s="176" t="s">
        <v>627</v>
      </c>
      <c r="K665" s="78"/>
      <c r="L665" s="79"/>
      <c r="M665" s="588" t="s">
        <v>607</v>
      </c>
      <c r="N665" s="589"/>
      <c r="O665" s="77"/>
      <c r="P665" s="77"/>
      <c r="Q665" s="80">
        <v>8000000</v>
      </c>
      <c r="R665" s="29">
        <f t="shared" si="423"/>
        <v>1.2317167051578137</v>
      </c>
      <c r="S665" s="29">
        <v>100</v>
      </c>
      <c r="T665" s="28">
        <f t="shared" si="424"/>
        <v>0</v>
      </c>
      <c r="U665" s="28">
        <f t="shared" si="425"/>
        <v>0</v>
      </c>
      <c r="V665" s="87">
        <f t="shared" si="426"/>
        <v>100</v>
      </c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28">
        <v>0</v>
      </c>
      <c r="AJ665" s="29">
        <f t="shared" si="396"/>
        <v>0</v>
      </c>
      <c r="AK665" s="136">
        <f t="shared" si="398"/>
        <v>8000000</v>
      </c>
      <c r="AL665" s="29">
        <f t="shared" si="394"/>
        <v>100</v>
      </c>
      <c r="AM665" s="26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</row>
    <row r="666" spans="1:83" s="16" customFormat="1" ht="24" customHeight="1" x14ac:dyDescent="0.25">
      <c r="B666" s="580" t="s">
        <v>166</v>
      </c>
      <c r="C666" s="580"/>
      <c r="D666" s="580"/>
      <c r="E666" s="580"/>
      <c r="F666" s="580"/>
      <c r="G666" s="580"/>
      <c r="H666" s="580"/>
      <c r="I666" s="580"/>
      <c r="J666" s="164"/>
      <c r="L666" s="581"/>
      <c r="M666" s="581"/>
      <c r="N666" s="581"/>
      <c r="O666" s="17" t="e">
        <f>SUM(#REF!)</f>
        <v>#REF!</v>
      </c>
      <c r="P666" s="17" t="e">
        <f>SUM(#REF!)</f>
        <v>#REF!</v>
      </c>
      <c r="Q666" s="17"/>
      <c r="R666" s="18"/>
      <c r="S666" s="18"/>
      <c r="T666" s="17"/>
      <c r="U666" s="17"/>
      <c r="V666" s="118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8"/>
      <c r="AK666" s="139"/>
      <c r="AL666" s="18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19"/>
      <c r="CD666" s="19"/>
      <c r="CE666" s="19"/>
    </row>
    <row r="667" spans="1:83" s="19" customFormat="1" ht="24" customHeight="1" x14ac:dyDescent="0.2">
      <c r="B667" s="44"/>
      <c r="C667" s="44"/>
      <c r="D667" s="44"/>
      <c r="E667" s="44"/>
      <c r="F667" s="44"/>
      <c r="G667" s="44"/>
      <c r="H667" s="44"/>
      <c r="I667" s="44"/>
      <c r="J667" s="44"/>
      <c r="L667" s="45"/>
      <c r="M667" s="45"/>
      <c r="N667" s="45"/>
      <c r="O667" s="42"/>
      <c r="P667" s="42"/>
      <c r="Q667" s="42"/>
      <c r="R667" s="43"/>
      <c r="S667" s="43"/>
      <c r="T667" s="42"/>
      <c r="U667" s="42"/>
      <c r="V667" s="119"/>
      <c r="W667" s="42"/>
      <c r="X667" s="42"/>
      <c r="Y667" s="42"/>
      <c r="Z667" s="42"/>
      <c r="AA667" s="42"/>
      <c r="AB667" s="42"/>
      <c r="AC667" s="42"/>
      <c r="AD667" s="42"/>
      <c r="AE667" s="42"/>
      <c r="AF667" s="42"/>
      <c r="AG667" s="42"/>
      <c r="AH667" s="42"/>
      <c r="AI667" s="582" t="s">
        <v>542</v>
      </c>
      <c r="AJ667" s="582"/>
      <c r="AK667" s="582"/>
      <c r="AL667" s="582"/>
    </row>
    <row r="668" spans="1:83" s="19" customFormat="1" ht="24" customHeight="1" x14ac:dyDescent="0.25">
      <c r="B668" s="44"/>
      <c r="C668" s="44"/>
      <c r="D668" s="44"/>
      <c r="E668" s="44"/>
      <c r="F668" s="44"/>
      <c r="G668" s="44"/>
      <c r="H668" s="44"/>
      <c r="I668" s="44"/>
      <c r="J668" s="44"/>
      <c r="L668" s="45"/>
      <c r="M668" s="45"/>
      <c r="N668" s="45"/>
      <c r="O668" s="42"/>
      <c r="P668" s="42"/>
      <c r="Q668" s="42"/>
      <c r="R668" s="43"/>
      <c r="S668" s="43"/>
      <c r="T668" s="42"/>
      <c r="U668" s="42"/>
      <c r="V668" s="119"/>
      <c r="W668" s="42"/>
      <c r="X668" s="42"/>
      <c r="Y668" s="42"/>
      <c r="Z668" s="42"/>
      <c r="AA668" s="42"/>
      <c r="AB668" s="42"/>
      <c r="AC668" s="42"/>
      <c r="AD668" s="42"/>
      <c r="AE668" s="42"/>
      <c r="AF668" s="42"/>
      <c r="AG668" s="42"/>
      <c r="AH668" s="42"/>
      <c r="AI668" s="583" t="s">
        <v>543</v>
      </c>
      <c r="AJ668" s="583"/>
      <c r="AK668" s="583"/>
      <c r="AL668" s="583"/>
    </row>
    <row r="669" spans="1:83" s="19" customFormat="1" ht="24" customHeight="1" x14ac:dyDescent="0.25">
      <c r="B669" s="44"/>
      <c r="C669" s="44"/>
      <c r="D669" s="44"/>
      <c r="E669" s="44"/>
      <c r="F669" s="44"/>
      <c r="G669" s="44"/>
      <c r="H669" s="44"/>
      <c r="I669" s="44"/>
      <c r="J669" s="44"/>
      <c r="L669" s="45"/>
      <c r="M669" s="45"/>
      <c r="N669" s="45"/>
      <c r="O669" s="42"/>
      <c r="P669" s="42"/>
      <c r="Q669" s="42"/>
      <c r="R669" s="43"/>
      <c r="S669" s="43"/>
      <c r="T669" s="42"/>
      <c r="U669" s="42"/>
      <c r="V669" s="119"/>
      <c r="W669" s="42"/>
      <c r="X669" s="42"/>
      <c r="Y669" s="42"/>
      <c r="Z669" s="42"/>
      <c r="AA669" s="42"/>
      <c r="AB669" s="42"/>
      <c r="AC669" s="42"/>
      <c r="AD669" s="42"/>
      <c r="AE669" s="42"/>
      <c r="AF669" s="42"/>
      <c r="AG669" s="42"/>
      <c r="AH669" s="42"/>
      <c r="AI669" s="86"/>
      <c r="AJ669" s="41"/>
      <c r="AK669" s="140"/>
      <c r="AL669" s="43"/>
    </row>
    <row r="670" spans="1:83" ht="13.5" customHeight="1" x14ac:dyDescent="0.25">
      <c r="AI670" s="86"/>
      <c r="AJ670" s="41"/>
      <c r="AK670" s="140"/>
    </row>
    <row r="671" spans="1:83" ht="13.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11"/>
      <c r="O671" s="2"/>
      <c r="P671" s="2"/>
      <c r="Q671" s="2"/>
      <c r="R671" s="2"/>
      <c r="S671" s="2"/>
      <c r="T671" s="2"/>
      <c r="U671" s="2"/>
      <c r="V671" s="13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86"/>
      <c r="AJ671" s="41"/>
      <c r="AK671" s="140"/>
      <c r="AL671" s="2"/>
      <c r="AM671" s="2"/>
    </row>
    <row r="672" spans="1:83" ht="13.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13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86"/>
      <c r="AJ672" s="41"/>
      <c r="AK672" s="140"/>
      <c r="AL672" s="2"/>
      <c r="AM672" s="2"/>
    </row>
    <row r="673" spans="1:38" ht="13.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AI673" s="584" t="s">
        <v>216</v>
      </c>
      <c r="AJ673" s="584"/>
      <c r="AK673" s="584"/>
      <c r="AL673" s="584"/>
    </row>
    <row r="674" spans="1:38" ht="13.5" customHeight="1" x14ac:dyDescent="0.25">
      <c r="A674" s="1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AI674" s="585" t="s">
        <v>217</v>
      </c>
      <c r="AJ674" s="585"/>
      <c r="AK674" s="585"/>
      <c r="AL674" s="585"/>
    </row>
    <row r="675" spans="1:38" ht="13.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38" ht="13.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38" ht="13.5" customHeight="1" x14ac:dyDescent="0.25">
      <c r="A677" s="10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38" ht="13.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38" ht="13.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38" ht="13.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38" ht="13.5" customHeight="1" x14ac:dyDescent="0.25">
      <c r="A681" s="10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38" ht="13.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38" ht="13.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38" ht="13.5" customHeight="1" x14ac:dyDescent="0.25">
      <c r="A684" s="1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38" ht="13.5" customHeight="1" x14ac:dyDescent="0.25">
      <c r="A685" s="13"/>
      <c r="B685" s="14"/>
      <c r="C685" s="14"/>
      <c r="D685" s="14"/>
      <c r="E685" s="14"/>
      <c r="F685" s="14"/>
      <c r="G685" s="14"/>
      <c r="H685" s="14"/>
      <c r="I685" s="14"/>
      <c r="J685" s="14"/>
      <c r="K685" s="13"/>
      <c r="L685" s="2"/>
      <c r="M685" s="2"/>
      <c r="N685" s="2"/>
    </row>
    <row r="686" spans="1:38" ht="13.5" customHeight="1" x14ac:dyDescent="0.25">
      <c r="A686" s="13">
        <v>0</v>
      </c>
      <c r="B686" s="14"/>
      <c r="C686" s="14"/>
      <c r="D686" s="14"/>
      <c r="E686" s="14"/>
      <c r="F686" s="14"/>
      <c r="G686" s="14"/>
      <c r="H686" s="14"/>
      <c r="I686" s="14"/>
      <c r="J686" s="14"/>
      <c r="K686" s="13" t="s">
        <v>190</v>
      </c>
      <c r="L686" s="2"/>
      <c r="M686" s="2"/>
      <c r="N686" s="2"/>
    </row>
    <row r="687" spans="1:38" ht="13.5" customHeight="1" x14ac:dyDescent="0.25">
      <c r="A687" s="13">
        <f>A685-A686</f>
        <v>0</v>
      </c>
      <c r="B687" s="14"/>
      <c r="C687" s="14"/>
      <c r="D687" s="14"/>
      <c r="E687" s="14"/>
      <c r="F687" s="14"/>
      <c r="G687" s="14"/>
      <c r="H687" s="14"/>
      <c r="I687" s="14"/>
      <c r="J687" s="14"/>
      <c r="K687" s="13" t="s">
        <v>191</v>
      </c>
      <c r="L687" s="2"/>
      <c r="M687" s="2"/>
      <c r="N687" s="2"/>
    </row>
    <row r="688" spans="1:38" ht="13.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37" ht="13.5" customHeight="1" x14ac:dyDescent="0.25">
      <c r="A689" s="2">
        <v>7</v>
      </c>
      <c r="B689" s="2"/>
      <c r="C689" s="2"/>
      <c r="D689" s="2"/>
      <c r="E689" s="2"/>
      <c r="F689" s="2"/>
      <c r="G689" s="2"/>
      <c r="H689" s="2"/>
      <c r="I689" s="2"/>
      <c r="J689" s="2"/>
      <c r="K689" s="2" t="s">
        <v>168</v>
      </c>
      <c r="L689" s="2"/>
      <c r="M689" s="2"/>
      <c r="N689" s="11" t="s">
        <v>169</v>
      </c>
      <c r="O689" s="2"/>
      <c r="P689" s="2"/>
      <c r="Q689" s="2"/>
      <c r="R689" s="2"/>
      <c r="S689" s="2"/>
      <c r="T689" s="2"/>
      <c r="U689" s="2"/>
    </row>
    <row r="690" spans="1:37" ht="13.5" customHeight="1" x14ac:dyDescent="0.25">
      <c r="A690" s="2" t="e">
        <f>#REF!</f>
        <v>#REF!</v>
      </c>
      <c r="B690" s="2"/>
      <c r="C690" s="2"/>
      <c r="D690" s="2"/>
      <c r="E690" s="2"/>
      <c r="F690" s="2"/>
      <c r="G690" s="2"/>
      <c r="H690" s="2"/>
      <c r="I690" s="2"/>
      <c r="J690" s="2"/>
      <c r="K690" s="2" t="s">
        <v>170</v>
      </c>
      <c r="L690" s="2"/>
      <c r="M690" s="2"/>
      <c r="N690" s="2" t="s">
        <v>171</v>
      </c>
      <c r="O690" s="2"/>
      <c r="P690" s="2"/>
      <c r="Q690" s="2"/>
      <c r="R690" s="2"/>
      <c r="S690" s="2"/>
      <c r="T690" s="2"/>
      <c r="U690" s="2"/>
      <c r="V690"/>
      <c r="AI690"/>
      <c r="AK690"/>
    </row>
    <row r="691" spans="1:37" ht="13.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 t="s">
        <v>172</v>
      </c>
      <c r="V691"/>
      <c r="AI691"/>
      <c r="AK691"/>
    </row>
    <row r="692" spans="1:37" ht="13.5" customHeight="1" x14ac:dyDescent="0.25">
      <c r="A692" s="12">
        <f>COUNTIF(T139:T684,"&gt;=95")</f>
        <v>0</v>
      </c>
      <c r="B692" s="2"/>
      <c r="C692" s="2"/>
      <c r="D692" s="2"/>
      <c r="E692" s="2"/>
      <c r="F692" s="2"/>
      <c r="G692" s="2"/>
      <c r="H692" s="2"/>
      <c r="I692" s="2"/>
      <c r="J692" s="2"/>
      <c r="K692" s="2" t="s">
        <v>173</v>
      </c>
      <c r="L692" s="2"/>
      <c r="M692" s="2"/>
      <c r="N692" s="2" t="s">
        <v>174</v>
      </c>
      <c r="V692"/>
      <c r="AI692"/>
      <c r="AK692"/>
    </row>
    <row r="693" spans="1:37" ht="13.5" customHeight="1" x14ac:dyDescent="0.25">
      <c r="A693" s="2" t="e">
        <f>A690-A692</f>
        <v>#REF!</v>
      </c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 t="s">
        <v>175</v>
      </c>
      <c r="V693"/>
      <c r="AI693"/>
      <c r="AK693"/>
    </row>
    <row r="694" spans="1:37" ht="13.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 t="s">
        <v>176</v>
      </c>
      <c r="V694"/>
      <c r="AI694"/>
      <c r="AK694"/>
    </row>
    <row r="695" spans="1:37" ht="13.5" customHeight="1" x14ac:dyDescent="0.25">
      <c r="A695" s="10">
        <v>2</v>
      </c>
      <c r="B695" s="2"/>
      <c r="C695" s="2"/>
      <c r="D695" s="2"/>
      <c r="E695" s="2"/>
      <c r="F695" s="2"/>
      <c r="G695" s="2"/>
      <c r="H695" s="2"/>
      <c r="I695" s="2"/>
      <c r="J695" s="2"/>
      <c r="K695" s="2" t="s">
        <v>177</v>
      </c>
      <c r="L695" s="2"/>
      <c r="M695" s="2"/>
      <c r="N695" s="2" t="s">
        <v>178</v>
      </c>
      <c r="V695"/>
      <c r="AI695"/>
      <c r="AK695"/>
    </row>
    <row r="696" spans="1:37" ht="13.5" customHeight="1" x14ac:dyDescent="0.25">
      <c r="A696" s="2">
        <f>A689-A695</f>
        <v>5</v>
      </c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 t="s">
        <v>179</v>
      </c>
      <c r="V696"/>
      <c r="AI696"/>
      <c r="AK696"/>
    </row>
    <row r="697" spans="1:37" ht="13.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 t="s">
        <v>180</v>
      </c>
      <c r="V697"/>
      <c r="AI697"/>
      <c r="AK697"/>
    </row>
    <row r="698" spans="1:37" ht="13.5" customHeight="1" x14ac:dyDescent="0.25">
      <c r="A698" s="2">
        <v>7</v>
      </c>
      <c r="B698" s="2"/>
      <c r="C698" s="2"/>
      <c r="D698" s="2"/>
      <c r="E698" s="2"/>
      <c r="F698" s="2"/>
      <c r="G698" s="2"/>
      <c r="H698" s="2"/>
      <c r="I698" s="2"/>
      <c r="J698" s="2"/>
      <c r="K698" s="2" t="s">
        <v>181</v>
      </c>
      <c r="L698" s="2"/>
      <c r="M698" s="2"/>
      <c r="N698" s="2" t="s">
        <v>182</v>
      </c>
      <c r="V698"/>
      <c r="AI698"/>
      <c r="AK698"/>
    </row>
    <row r="699" spans="1:37" ht="13.5" customHeight="1" x14ac:dyDescent="0.25">
      <c r="A699" s="10">
        <v>3</v>
      </c>
      <c r="B699" s="2"/>
      <c r="C699" s="2"/>
      <c r="D699" s="2"/>
      <c r="E699" s="2"/>
      <c r="F699" s="2"/>
      <c r="G699" s="2"/>
      <c r="H699" s="2"/>
      <c r="I699" s="2"/>
      <c r="J699" s="2"/>
      <c r="K699" s="2" t="s">
        <v>183</v>
      </c>
      <c r="L699" s="2"/>
      <c r="M699" s="2"/>
      <c r="N699" s="2" t="s">
        <v>184</v>
      </c>
      <c r="V699"/>
      <c r="AI699"/>
      <c r="AK699"/>
    </row>
    <row r="700" spans="1:37" ht="13.5" customHeight="1" x14ac:dyDescent="0.25">
      <c r="A700" s="2">
        <f>A698-A699</f>
        <v>4</v>
      </c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 t="s">
        <v>185</v>
      </c>
      <c r="V700"/>
      <c r="AI700"/>
      <c r="AK700"/>
    </row>
    <row r="701" spans="1:37" ht="13.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 t="s">
        <v>186</v>
      </c>
      <c r="V701"/>
      <c r="AI701"/>
      <c r="AK701"/>
    </row>
    <row r="702" spans="1:37" ht="13.5" customHeight="1" x14ac:dyDescent="0.25">
      <c r="A702" s="12">
        <f>COUNTIF(T139:T684,"0")</f>
        <v>523</v>
      </c>
      <c r="B702" s="2"/>
      <c r="C702" s="2"/>
      <c r="D702" s="2"/>
      <c r="E702" s="2"/>
      <c r="F702" s="2"/>
      <c r="G702" s="2"/>
      <c r="H702" s="2"/>
      <c r="I702" s="2"/>
      <c r="J702" s="2"/>
      <c r="K702" s="2" t="s">
        <v>187</v>
      </c>
      <c r="L702" s="2"/>
      <c r="M702" s="2"/>
      <c r="N702" s="2" t="s">
        <v>188</v>
      </c>
      <c r="V702"/>
      <c r="AI702"/>
      <c r="AK702"/>
    </row>
    <row r="703" spans="1:37" ht="13.5" customHeight="1" x14ac:dyDescent="0.25">
      <c r="A703" s="13" t="e">
        <f>A690-(A692+A702)</f>
        <v>#REF!</v>
      </c>
      <c r="B703" s="14"/>
      <c r="C703" s="14"/>
      <c r="D703" s="14"/>
      <c r="E703" s="14"/>
      <c r="F703" s="14"/>
      <c r="G703" s="14"/>
      <c r="H703" s="14"/>
      <c r="I703" s="14"/>
      <c r="J703" s="14"/>
      <c r="K703" s="13" t="s">
        <v>189</v>
      </c>
      <c r="L703" s="2"/>
      <c r="M703" s="2"/>
      <c r="N703" s="2"/>
      <c r="V703"/>
      <c r="AI703"/>
      <c r="AK703"/>
    </row>
  </sheetData>
  <autoFilter ref="A1:A703" xr:uid="{00000000-0009-0000-0000-000001000000}"/>
  <mergeCells count="778">
    <mergeCell ref="M121:N121"/>
    <mergeCell ref="M127:N127"/>
    <mergeCell ref="M111:N111"/>
    <mergeCell ref="M112:N112"/>
    <mergeCell ref="M113:N113"/>
    <mergeCell ref="M114:N114"/>
    <mergeCell ref="M115:N115"/>
    <mergeCell ref="M116:N116"/>
    <mergeCell ref="M117:N117"/>
    <mergeCell ref="M118:N118"/>
    <mergeCell ref="M126:N126"/>
    <mergeCell ref="B105:I105"/>
    <mergeCell ref="M105:N105"/>
    <mergeCell ref="M106:N106"/>
    <mergeCell ref="M107:N107"/>
    <mergeCell ref="M108:N108"/>
    <mergeCell ref="M109:N109"/>
    <mergeCell ref="M110:N110"/>
    <mergeCell ref="B120:I120"/>
    <mergeCell ref="M120:N120"/>
    <mergeCell ref="B1:AM1"/>
    <mergeCell ref="A2:AM2"/>
    <mergeCell ref="A3:AO3"/>
    <mergeCell ref="A5:A7"/>
    <mergeCell ref="B5:I7"/>
    <mergeCell ref="J5:J7"/>
    <mergeCell ref="K5:N7"/>
    <mergeCell ref="O5:O7"/>
    <mergeCell ref="P5:P7"/>
    <mergeCell ref="Q5:Q7"/>
    <mergeCell ref="AO5:AO7"/>
    <mergeCell ref="AP5:AP7"/>
    <mergeCell ref="T6:U6"/>
    <mergeCell ref="V6:V7"/>
    <mergeCell ref="W6:W7"/>
    <mergeCell ref="X6:X7"/>
    <mergeCell ref="Y6:Y7"/>
    <mergeCell ref="Z6:Z7"/>
    <mergeCell ref="R5:R7"/>
    <mergeCell ref="S5:S7"/>
    <mergeCell ref="T5:AI5"/>
    <mergeCell ref="AJ5:AJ7"/>
    <mergeCell ref="AK5:AK7"/>
    <mergeCell ref="AL5:AL7"/>
    <mergeCell ref="AA6:AA7"/>
    <mergeCell ref="AB6:AB7"/>
    <mergeCell ref="AC6:AC7"/>
    <mergeCell ref="AD6:AD7"/>
    <mergeCell ref="AE6:AE7"/>
    <mergeCell ref="AF6:AF7"/>
    <mergeCell ref="AG6:AG7"/>
    <mergeCell ref="AH6:AH7"/>
    <mergeCell ref="AI6:AI7"/>
    <mergeCell ref="B8:I8"/>
    <mergeCell ref="K8:N8"/>
    <mergeCell ref="AM5:AM7"/>
    <mergeCell ref="AN5:AN7"/>
    <mergeCell ref="B15:I15"/>
    <mergeCell ref="L15:N15"/>
    <mergeCell ref="B16:I16"/>
    <mergeCell ref="L16:N16"/>
    <mergeCell ref="B17:I17"/>
    <mergeCell ref="L17:N17"/>
    <mergeCell ref="B10:I10"/>
    <mergeCell ref="L10:N10"/>
    <mergeCell ref="B12:I12"/>
    <mergeCell ref="L12:N12"/>
    <mergeCell ref="B14:I14"/>
    <mergeCell ref="L14:N14"/>
    <mergeCell ref="B21:I21"/>
    <mergeCell ref="L21:N21"/>
    <mergeCell ref="B22:I22"/>
    <mergeCell ref="L22:N22"/>
    <mergeCell ref="B23:I23"/>
    <mergeCell ref="L23:N23"/>
    <mergeCell ref="B18:I18"/>
    <mergeCell ref="L18:N18"/>
    <mergeCell ref="B19:I19"/>
    <mergeCell ref="L19:N19"/>
    <mergeCell ref="B20:I20"/>
    <mergeCell ref="L20:N20"/>
    <mergeCell ref="B27:I27"/>
    <mergeCell ref="L27:N27"/>
    <mergeCell ref="B28:I28"/>
    <mergeCell ref="L28:N28"/>
    <mergeCell ref="B29:I29"/>
    <mergeCell ref="L29:N29"/>
    <mergeCell ref="B24:I24"/>
    <mergeCell ref="L24:N24"/>
    <mergeCell ref="B25:I25"/>
    <mergeCell ref="L25:N25"/>
    <mergeCell ref="B26:I26"/>
    <mergeCell ref="L26:N26"/>
    <mergeCell ref="B35:I35"/>
    <mergeCell ref="L35:N35"/>
    <mergeCell ref="L36:N36"/>
    <mergeCell ref="L37:N37"/>
    <mergeCell ref="L38:N38"/>
    <mergeCell ref="L39:N39"/>
    <mergeCell ref="B30:I30"/>
    <mergeCell ref="L30:N30"/>
    <mergeCell ref="L31:N31"/>
    <mergeCell ref="B32:I32"/>
    <mergeCell ref="L32:N32"/>
    <mergeCell ref="L33:N33"/>
    <mergeCell ref="L46:N46"/>
    <mergeCell ref="L47:N47"/>
    <mergeCell ref="L48:N48"/>
    <mergeCell ref="L49:N49"/>
    <mergeCell ref="L50:N50"/>
    <mergeCell ref="L51:N51"/>
    <mergeCell ref="L40:N40"/>
    <mergeCell ref="L41:N41"/>
    <mergeCell ref="L42:N42"/>
    <mergeCell ref="L43:N43"/>
    <mergeCell ref="L44:N44"/>
    <mergeCell ref="L45:N45"/>
    <mergeCell ref="M56:N56"/>
    <mergeCell ref="B57:I57"/>
    <mergeCell ref="M57:N57"/>
    <mergeCell ref="M58:N58"/>
    <mergeCell ref="M59:N59"/>
    <mergeCell ref="M60:N60"/>
    <mergeCell ref="B53:I53"/>
    <mergeCell ref="L53:N53"/>
    <mergeCell ref="B54:I54"/>
    <mergeCell ref="L54:N54"/>
    <mergeCell ref="B55:I55"/>
    <mergeCell ref="M55:N55"/>
    <mergeCell ref="M64:N64"/>
    <mergeCell ref="M65:N65"/>
    <mergeCell ref="M66:N66"/>
    <mergeCell ref="B67:I67"/>
    <mergeCell ref="M67:N67"/>
    <mergeCell ref="B61:I61"/>
    <mergeCell ref="M61:N61"/>
    <mergeCell ref="M62:N62"/>
    <mergeCell ref="B63:I63"/>
    <mergeCell ref="M63:N63"/>
    <mergeCell ref="M72:N72"/>
    <mergeCell ref="M73:N73"/>
    <mergeCell ref="M74:N74"/>
    <mergeCell ref="B76:I76"/>
    <mergeCell ref="M76:N76"/>
    <mergeCell ref="M68:N68"/>
    <mergeCell ref="M69:N69"/>
    <mergeCell ref="B70:I70"/>
    <mergeCell ref="M70:N70"/>
    <mergeCell ref="M71:N71"/>
    <mergeCell ref="M75:N75"/>
    <mergeCell ref="M82:N82"/>
    <mergeCell ref="M83:N83"/>
    <mergeCell ref="B84:I84"/>
    <mergeCell ref="M84:N84"/>
    <mergeCell ref="M77:N77"/>
    <mergeCell ref="M78:N78"/>
    <mergeCell ref="M79:N79"/>
    <mergeCell ref="M80:N80"/>
    <mergeCell ref="B81:I81"/>
    <mergeCell ref="M81:N81"/>
    <mergeCell ref="M85:N85"/>
    <mergeCell ref="M86:N86"/>
    <mergeCell ref="B87:I87"/>
    <mergeCell ref="M87:N87"/>
    <mergeCell ref="M88:N88"/>
    <mergeCell ref="B91:I91"/>
    <mergeCell ref="M91:N91"/>
    <mergeCell ref="M92:N92"/>
    <mergeCell ref="M93:N93"/>
    <mergeCell ref="B122:I122"/>
    <mergeCell ref="M122:N122"/>
    <mergeCell ref="M123:N123"/>
    <mergeCell ref="M124:N124"/>
    <mergeCell ref="M125:N125"/>
    <mergeCell ref="M131:N131"/>
    <mergeCell ref="M132:N132"/>
    <mergeCell ref="M133:N133"/>
    <mergeCell ref="B89:I89"/>
    <mergeCell ref="M89:N89"/>
    <mergeCell ref="M90:N90"/>
    <mergeCell ref="B119:I119"/>
    <mergeCell ref="L119:N119"/>
    <mergeCell ref="M94:N94"/>
    <mergeCell ref="M95:N95"/>
    <mergeCell ref="M96:N96"/>
    <mergeCell ref="M97:N97"/>
    <mergeCell ref="M98:N98"/>
    <mergeCell ref="M99:N99"/>
    <mergeCell ref="M100:N100"/>
    <mergeCell ref="M101:N101"/>
    <mergeCell ref="M102:N102"/>
    <mergeCell ref="M103:N103"/>
    <mergeCell ref="M104:N104"/>
    <mergeCell ref="M137:N137"/>
    <mergeCell ref="M138:N138"/>
    <mergeCell ref="B139:I139"/>
    <mergeCell ref="M139:N139"/>
    <mergeCell ref="M140:N140"/>
    <mergeCell ref="M135:N135"/>
    <mergeCell ref="B136:I136"/>
    <mergeCell ref="M136:N136"/>
    <mergeCell ref="M128:N128"/>
    <mergeCell ref="M129:N129"/>
    <mergeCell ref="M130:N130"/>
    <mergeCell ref="B134:I134"/>
    <mergeCell ref="M134:N134"/>
    <mergeCell ref="M145:N145"/>
    <mergeCell ref="M146:N146"/>
    <mergeCell ref="M147:N147"/>
    <mergeCell ref="M148:N148"/>
    <mergeCell ref="M149:N149"/>
    <mergeCell ref="B150:I150"/>
    <mergeCell ref="M150:N150"/>
    <mergeCell ref="M141:N141"/>
    <mergeCell ref="M142:N142"/>
    <mergeCell ref="B143:I143"/>
    <mergeCell ref="M143:N143"/>
    <mergeCell ref="M144:N144"/>
    <mergeCell ref="M157:N157"/>
    <mergeCell ref="M158:N158"/>
    <mergeCell ref="M159:N159"/>
    <mergeCell ref="B160:I160"/>
    <mergeCell ref="M160:N160"/>
    <mergeCell ref="M151:N151"/>
    <mergeCell ref="M152:N152"/>
    <mergeCell ref="M153:N153"/>
    <mergeCell ref="B156:I156"/>
    <mergeCell ref="L156:N156"/>
    <mergeCell ref="M154:N154"/>
    <mergeCell ref="M155:N155"/>
    <mergeCell ref="M165:N165"/>
    <mergeCell ref="B166:I166"/>
    <mergeCell ref="M166:N166"/>
    <mergeCell ref="M161:N161"/>
    <mergeCell ref="M162:N162"/>
    <mergeCell ref="B163:I163"/>
    <mergeCell ref="L163:N163"/>
    <mergeCell ref="B164:I164"/>
    <mergeCell ref="M164:N164"/>
    <mergeCell ref="M174:N174"/>
    <mergeCell ref="B175:I175"/>
    <mergeCell ref="L175:N175"/>
    <mergeCell ref="B176:I176"/>
    <mergeCell ref="M176:N176"/>
    <mergeCell ref="M167:N167"/>
    <mergeCell ref="M168:N168"/>
    <mergeCell ref="M169:N169"/>
    <mergeCell ref="M170:N170"/>
    <mergeCell ref="M171:N171"/>
    <mergeCell ref="M172:N172"/>
    <mergeCell ref="M173:N173"/>
    <mergeCell ref="M184:N184"/>
    <mergeCell ref="M185:N185"/>
    <mergeCell ref="M186:N186"/>
    <mergeCell ref="B188:I188"/>
    <mergeCell ref="M188:N188"/>
    <mergeCell ref="M177:N177"/>
    <mergeCell ref="M178:N178"/>
    <mergeCell ref="M180:N180"/>
    <mergeCell ref="M181:N181"/>
    <mergeCell ref="M182:N182"/>
    <mergeCell ref="M183:N183"/>
    <mergeCell ref="M179:N179"/>
    <mergeCell ref="M187:N187"/>
    <mergeCell ref="M195:N195"/>
    <mergeCell ref="M196:N196"/>
    <mergeCell ref="M197:N197"/>
    <mergeCell ref="M198:N198"/>
    <mergeCell ref="M199:N199"/>
    <mergeCell ref="M189:N189"/>
    <mergeCell ref="M190:N190"/>
    <mergeCell ref="M191:N191"/>
    <mergeCell ref="M192:N192"/>
    <mergeCell ref="M193:N193"/>
    <mergeCell ref="M194:N194"/>
    <mergeCell ref="M205:N205"/>
    <mergeCell ref="M206:N206"/>
    <mergeCell ref="M207:N207"/>
    <mergeCell ref="M209:N209"/>
    <mergeCell ref="M210:N210"/>
    <mergeCell ref="B211:I211"/>
    <mergeCell ref="M211:N211"/>
    <mergeCell ref="M200:N200"/>
    <mergeCell ref="M202:N202"/>
    <mergeCell ref="M203:N203"/>
    <mergeCell ref="B204:I204"/>
    <mergeCell ref="M204:N204"/>
    <mergeCell ref="M201:N201"/>
    <mergeCell ref="M208:N208"/>
    <mergeCell ref="M218:N218"/>
    <mergeCell ref="M219:N219"/>
    <mergeCell ref="M220:N220"/>
    <mergeCell ref="M221:N221"/>
    <mergeCell ref="M222:N222"/>
    <mergeCell ref="M223:N223"/>
    <mergeCell ref="M212:N212"/>
    <mergeCell ref="M213:N213"/>
    <mergeCell ref="M214:N214"/>
    <mergeCell ref="M215:N215"/>
    <mergeCell ref="M217:N217"/>
    <mergeCell ref="M216:N216"/>
    <mergeCell ref="B243:I243"/>
    <mergeCell ref="L243:N243"/>
    <mergeCell ref="B244:I244"/>
    <mergeCell ref="M244:N244"/>
    <mergeCell ref="B225:I225"/>
    <mergeCell ref="M225:N225"/>
    <mergeCell ref="M226:N226"/>
    <mergeCell ref="M227:N227"/>
    <mergeCell ref="M228:N228"/>
    <mergeCell ref="B236:I236"/>
    <mergeCell ref="M245:N245"/>
    <mergeCell ref="M246:N246"/>
    <mergeCell ref="M247:N247"/>
    <mergeCell ref="M248:N248"/>
    <mergeCell ref="M249:N249"/>
    <mergeCell ref="M229:N229"/>
    <mergeCell ref="M231:N231"/>
    <mergeCell ref="M232:N232"/>
    <mergeCell ref="M240:N240"/>
    <mergeCell ref="M241:N241"/>
    <mergeCell ref="M242:N242"/>
    <mergeCell ref="M256:N256"/>
    <mergeCell ref="M257:N257"/>
    <mergeCell ref="M258:N258"/>
    <mergeCell ref="M259:N259"/>
    <mergeCell ref="M260:N260"/>
    <mergeCell ref="M250:N250"/>
    <mergeCell ref="M251:N251"/>
    <mergeCell ref="M252:N252"/>
    <mergeCell ref="M253:N253"/>
    <mergeCell ref="M254:N254"/>
    <mergeCell ref="M255:N255"/>
    <mergeCell ref="B270:I270"/>
    <mergeCell ref="M270:N270"/>
    <mergeCell ref="M271:N271"/>
    <mergeCell ref="M272:N272"/>
    <mergeCell ref="M273:N273"/>
    <mergeCell ref="M261:N261"/>
    <mergeCell ref="M262:N262"/>
    <mergeCell ref="M263:N263"/>
    <mergeCell ref="M267:N267"/>
    <mergeCell ref="M268:N268"/>
    <mergeCell ref="M269:N269"/>
    <mergeCell ref="M264:N264"/>
    <mergeCell ref="M265:N265"/>
    <mergeCell ref="M266:N266"/>
    <mergeCell ref="M279:N279"/>
    <mergeCell ref="M280:N280"/>
    <mergeCell ref="M281:N281"/>
    <mergeCell ref="B282:I282"/>
    <mergeCell ref="M282:N282"/>
    <mergeCell ref="M283:N283"/>
    <mergeCell ref="M274:N274"/>
    <mergeCell ref="M275:N275"/>
    <mergeCell ref="M276:N276"/>
    <mergeCell ref="M277:N277"/>
    <mergeCell ref="M278:N278"/>
    <mergeCell ref="M284:N284"/>
    <mergeCell ref="M286:N286"/>
    <mergeCell ref="M287:N287"/>
    <mergeCell ref="M289:N289"/>
    <mergeCell ref="M291:N291"/>
    <mergeCell ref="M285:N285"/>
    <mergeCell ref="M288:N288"/>
    <mergeCell ref="M290:N290"/>
    <mergeCell ref="M295:N295"/>
    <mergeCell ref="M298:N298"/>
    <mergeCell ref="M299:N299"/>
    <mergeCell ref="M300:N300"/>
    <mergeCell ref="M301:N301"/>
    <mergeCell ref="M303:N303"/>
    <mergeCell ref="M302:N302"/>
    <mergeCell ref="M306:N306"/>
    <mergeCell ref="B292:I292"/>
    <mergeCell ref="M292:N292"/>
    <mergeCell ref="M293:N293"/>
    <mergeCell ref="M294:N294"/>
    <mergeCell ref="M296:N296"/>
    <mergeCell ref="M297:N297"/>
    <mergeCell ref="M310:N310"/>
    <mergeCell ref="M311:N311"/>
    <mergeCell ref="B312:I312"/>
    <mergeCell ref="M312:N312"/>
    <mergeCell ref="M313:N313"/>
    <mergeCell ref="B304:I304"/>
    <mergeCell ref="M304:N304"/>
    <mergeCell ref="M305:N305"/>
    <mergeCell ref="M307:N307"/>
    <mergeCell ref="M308:N308"/>
    <mergeCell ref="M319:N319"/>
    <mergeCell ref="B320:I320"/>
    <mergeCell ref="M320:N320"/>
    <mergeCell ref="M321:N321"/>
    <mergeCell ref="M314:N314"/>
    <mergeCell ref="M315:N315"/>
    <mergeCell ref="M316:N316"/>
    <mergeCell ref="M317:N317"/>
    <mergeCell ref="M318:N318"/>
    <mergeCell ref="M329:N329"/>
    <mergeCell ref="M330:N330"/>
    <mergeCell ref="M331:N331"/>
    <mergeCell ref="M332:N332"/>
    <mergeCell ref="M333:N333"/>
    <mergeCell ref="B334:I334"/>
    <mergeCell ref="M334:N334"/>
    <mergeCell ref="M322:N322"/>
    <mergeCell ref="M323:N323"/>
    <mergeCell ref="M324:N324"/>
    <mergeCell ref="M325:N325"/>
    <mergeCell ref="M327:N327"/>
    <mergeCell ref="M328:N328"/>
    <mergeCell ref="M340:N340"/>
    <mergeCell ref="M341:N341"/>
    <mergeCell ref="M342:N342"/>
    <mergeCell ref="M343:N343"/>
    <mergeCell ref="M344:N344"/>
    <mergeCell ref="M335:N335"/>
    <mergeCell ref="M336:N336"/>
    <mergeCell ref="M337:N337"/>
    <mergeCell ref="M338:N338"/>
    <mergeCell ref="M339:N339"/>
    <mergeCell ref="M353:N353"/>
    <mergeCell ref="M354:N354"/>
    <mergeCell ref="M355:N355"/>
    <mergeCell ref="M356:N356"/>
    <mergeCell ref="M350:N350"/>
    <mergeCell ref="M351:N351"/>
    <mergeCell ref="M352:N352"/>
    <mergeCell ref="B345:I345"/>
    <mergeCell ref="M345:N345"/>
    <mergeCell ref="M346:N346"/>
    <mergeCell ref="M347:N347"/>
    <mergeCell ref="M348:N348"/>
    <mergeCell ref="M349:N349"/>
    <mergeCell ref="B372:I372"/>
    <mergeCell ref="M372:N372"/>
    <mergeCell ref="M362:N362"/>
    <mergeCell ref="M363:N363"/>
    <mergeCell ref="M364:N364"/>
    <mergeCell ref="M365:N365"/>
    <mergeCell ref="M366:N366"/>
    <mergeCell ref="M367:N367"/>
    <mergeCell ref="M357:N357"/>
    <mergeCell ref="B359:I359"/>
    <mergeCell ref="M359:N359"/>
    <mergeCell ref="M360:N360"/>
    <mergeCell ref="M361:N361"/>
    <mergeCell ref="M373:N373"/>
    <mergeCell ref="M374:N374"/>
    <mergeCell ref="M375:N375"/>
    <mergeCell ref="M376:N376"/>
    <mergeCell ref="M377:N377"/>
    <mergeCell ref="M368:N368"/>
    <mergeCell ref="M369:N369"/>
    <mergeCell ref="M370:N370"/>
    <mergeCell ref="M371:N371"/>
    <mergeCell ref="M383:N383"/>
    <mergeCell ref="M384:N384"/>
    <mergeCell ref="M385:N385"/>
    <mergeCell ref="M386:N386"/>
    <mergeCell ref="M378:N378"/>
    <mergeCell ref="M379:N379"/>
    <mergeCell ref="M380:N380"/>
    <mergeCell ref="M381:N381"/>
    <mergeCell ref="B382:I382"/>
    <mergeCell ref="M382:N382"/>
    <mergeCell ref="M393:N393"/>
    <mergeCell ref="M394:N394"/>
    <mergeCell ref="B395:I395"/>
    <mergeCell ref="M395:N395"/>
    <mergeCell ref="M387:N387"/>
    <mergeCell ref="M388:N388"/>
    <mergeCell ref="M389:N389"/>
    <mergeCell ref="M390:N390"/>
    <mergeCell ref="M391:N391"/>
    <mergeCell ref="M392:N392"/>
    <mergeCell ref="B403:I403"/>
    <mergeCell ref="M403:N403"/>
    <mergeCell ref="M404:N404"/>
    <mergeCell ref="M405:N405"/>
    <mergeCell ref="M407:N407"/>
    <mergeCell ref="M396:N396"/>
    <mergeCell ref="M397:N397"/>
    <mergeCell ref="M398:N398"/>
    <mergeCell ref="M399:N399"/>
    <mergeCell ref="M400:N400"/>
    <mergeCell ref="M419:N419"/>
    <mergeCell ref="M413:N413"/>
    <mergeCell ref="M414:N414"/>
    <mergeCell ref="M415:N415"/>
    <mergeCell ref="M416:N416"/>
    <mergeCell ref="M417:N417"/>
    <mergeCell ref="M418:N418"/>
    <mergeCell ref="M408:N408"/>
    <mergeCell ref="M409:N409"/>
    <mergeCell ref="M410:N410"/>
    <mergeCell ref="M411:N411"/>
    <mergeCell ref="M412:N412"/>
    <mergeCell ref="M443:N443"/>
    <mergeCell ref="M432:N432"/>
    <mergeCell ref="M433:N433"/>
    <mergeCell ref="M434:N434"/>
    <mergeCell ref="M435:N435"/>
    <mergeCell ref="M436:N436"/>
    <mergeCell ref="M426:N426"/>
    <mergeCell ref="M427:N427"/>
    <mergeCell ref="M428:N428"/>
    <mergeCell ref="M429:N429"/>
    <mergeCell ref="M430:N430"/>
    <mergeCell ref="M431:N431"/>
    <mergeCell ref="B460:I460"/>
    <mergeCell ref="M460:N460"/>
    <mergeCell ref="M450:N450"/>
    <mergeCell ref="M451:N451"/>
    <mergeCell ref="B452:I452"/>
    <mergeCell ref="M452:N452"/>
    <mergeCell ref="M444:N444"/>
    <mergeCell ref="M445:N445"/>
    <mergeCell ref="M446:N446"/>
    <mergeCell ref="M447:N447"/>
    <mergeCell ref="M448:N448"/>
    <mergeCell ref="M449:N449"/>
    <mergeCell ref="M461:N461"/>
    <mergeCell ref="M462:N462"/>
    <mergeCell ref="M463:N463"/>
    <mergeCell ref="M465:N465"/>
    <mergeCell ref="M453:N453"/>
    <mergeCell ref="M454:N454"/>
    <mergeCell ref="M455:N455"/>
    <mergeCell ref="M456:N456"/>
    <mergeCell ref="M457:N457"/>
    <mergeCell ref="M458:N458"/>
    <mergeCell ref="M459:N459"/>
    <mergeCell ref="M464:N464"/>
    <mergeCell ref="M470:N470"/>
    <mergeCell ref="M471:N471"/>
    <mergeCell ref="M472:N472"/>
    <mergeCell ref="M473:N473"/>
    <mergeCell ref="M474:N474"/>
    <mergeCell ref="M476:N476"/>
    <mergeCell ref="M466:N466"/>
    <mergeCell ref="M467:N467"/>
    <mergeCell ref="M468:N468"/>
    <mergeCell ref="M469:N469"/>
    <mergeCell ref="M475:N475"/>
    <mergeCell ref="M484:N484"/>
    <mergeCell ref="M485:N485"/>
    <mergeCell ref="M488:N488"/>
    <mergeCell ref="M480:N480"/>
    <mergeCell ref="M481:N481"/>
    <mergeCell ref="M482:N482"/>
    <mergeCell ref="M483:N483"/>
    <mergeCell ref="M477:N477"/>
    <mergeCell ref="M478:N478"/>
    <mergeCell ref="M479:N479"/>
    <mergeCell ref="M492:N492"/>
    <mergeCell ref="M493:N493"/>
    <mergeCell ref="M495:N495"/>
    <mergeCell ref="M496:N496"/>
    <mergeCell ref="M497:N497"/>
    <mergeCell ref="B498:I498"/>
    <mergeCell ref="M498:N498"/>
    <mergeCell ref="M486:N486"/>
    <mergeCell ref="M487:N487"/>
    <mergeCell ref="B489:I489"/>
    <mergeCell ref="M489:N489"/>
    <mergeCell ref="M490:N490"/>
    <mergeCell ref="M491:N491"/>
    <mergeCell ref="M494:N494"/>
    <mergeCell ref="M505:N505"/>
    <mergeCell ref="M506:N506"/>
    <mergeCell ref="M507:N507"/>
    <mergeCell ref="M508:N508"/>
    <mergeCell ref="M509:N509"/>
    <mergeCell ref="M499:N499"/>
    <mergeCell ref="M500:N500"/>
    <mergeCell ref="M501:N501"/>
    <mergeCell ref="M502:N502"/>
    <mergeCell ref="M503:N503"/>
    <mergeCell ref="M504:N504"/>
    <mergeCell ref="M518:N518"/>
    <mergeCell ref="M519:N519"/>
    <mergeCell ref="M520:N520"/>
    <mergeCell ref="M521:N521"/>
    <mergeCell ref="M523:N523"/>
    <mergeCell ref="M522:N522"/>
    <mergeCell ref="B524:I524"/>
    <mergeCell ref="M524:N524"/>
    <mergeCell ref="M510:N510"/>
    <mergeCell ref="M511:N511"/>
    <mergeCell ref="M512:N512"/>
    <mergeCell ref="M514:N514"/>
    <mergeCell ref="M515:N515"/>
    <mergeCell ref="B517:I517"/>
    <mergeCell ref="M517:N517"/>
    <mergeCell ref="M513:N513"/>
    <mergeCell ref="M516:N516"/>
    <mergeCell ref="M531:N531"/>
    <mergeCell ref="M532:N532"/>
    <mergeCell ref="M533:N533"/>
    <mergeCell ref="M534:N534"/>
    <mergeCell ref="M535:N535"/>
    <mergeCell ref="M538:N538"/>
    <mergeCell ref="M525:N525"/>
    <mergeCell ref="M526:N526"/>
    <mergeCell ref="M527:N527"/>
    <mergeCell ref="M528:N528"/>
    <mergeCell ref="M529:N529"/>
    <mergeCell ref="M530:N530"/>
    <mergeCell ref="M542:N542"/>
    <mergeCell ref="M543:N543"/>
    <mergeCell ref="M545:N545"/>
    <mergeCell ref="M546:N546"/>
    <mergeCell ref="M547:N547"/>
    <mergeCell ref="M548:N548"/>
    <mergeCell ref="M544:N544"/>
    <mergeCell ref="B536:I536"/>
    <mergeCell ref="M536:N536"/>
    <mergeCell ref="M537:N537"/>
    <mergeCell ref="M539:N539"/>
    <mergeCell ref="M540:N540"/>
    <mergeCell ref="M541:N541"/>
    <mergeCell ref="M556:N556"/>
    <mergeCell ref="M557:N557"/>
    <mergeCell ref="M558:N558"/>
    <mergeCell ref="M559:N559"/>
    <mergeCell ref="M549:N549"/>
    <mergeCell ref="M550:N550"/>
    <mergeCell ref="M551:N551"/>
    <mergeCell ref="M552:N552"/>
    <mergeCell ref="M553:N553"/>
    <mergeCell ref="M554:N554"/>
    <mergeCell ref="M555:N555"/>
    <mergeCell ref="M565:N565"/>
    <mergeCell ref="M566:N566"/>
    <mergeCell ref="M567:N567"/>
    <mergeCell ref="M568:N568"/>
    <mergeCell ref="M560:N560"/>
    <mergeCell ref="M561:N561"/>
    <mergeCell ref="M562:N562"/>
    <mergeCell ref="M563:N563"/>
    <mergeCell ref="M564:N564"/>
    <mergeCell ref="M575:N575"/>
    <mergeCell ref="M576:N576"/>
    <mergeCell ref="M577:N577"/>
    <mergeCell ref="M578:N578"/>
    <mergeCell ref="M579:N579"/>
    <mergeCell ref="M580:N580"/>
    <mergeCell ref="M569:N569"/>
    <mergeCell ref="M570:N570"/>
    <mergeCell ref="M571:N571"/>
    <mergeCell ref="M572:N572"/>
    <mergeCell ref="M573:N573"/>
    <mergeCell ref="M574:N574"/>
    <mergeCell ref="M585:N585"/>
    <mergeCell ref="M586:N586"/>
    <mergeCell ref="M587:N587"/>
    <mergeCell ref="M588:N588"/>
    <mergeCell ref="M589:N589"/>
    <mergeCell ref="M581:N581"/>
    <mergeCell ref="M582:N582"/>
    <mergeCell ref="M583:N583"/>
    <mergeCell ref="M584:N584"/>
    <mergeCell ref="M595:N595"/>
    <mergeCell ref="M596:N596"/>
    <mergeCell ref="M597:N597"/>
    <mergeCell ref="M598:N598"/>
    <mergeCell ref="M599:N599"/>
    <mergeCell ref="M590:N590"/>
    <mergeCell ref="M591:N591"/>
    <mergeCell ref="M592:N592"/>
    <mergeCell ref="M593:N593"/>
    <mergeCell ref="M594:N594"/>
    <mergeCell ref="M607:N607"/>
    <mergeCell ref="M608:N608"/>
    <mergeCell ref="M609:N609"/>
    <mergeCell ref="M610:N610"/>
    <mergeCell ref="M611:N611"/>
    <mergeCell ref="M601:N601"/>
    <mergeCell ref="M602:N602"/>
    <mergeCell ref="M603:N603"/>
    <mergeCell ref="M604:N604"/>
    <mergeCell ref="M605:N605"/>
    <mergeCell ref="M606:N606"/>
    <mergeCell ref="M618:N618"/>
    <mergeCell ref="M619:N619"/>
    <mergeCell ref="M620:N620"/>
    <mergeCell ref="M621:N621"/>
    <mergeCell ref="M622:N622"/>
    <mergeCell ref="M623:N623"/>
    <mergeCell ref="M612:N612"/>
    <mergeCell ref="M613:N613"/>
    <mergeCell ref="M614:N614"/>
    <mergeCell ref="M615:N615"/>
    <mergeCell ref="M616:N616"/>
    <mergeCell ref="M617:N617"/>
    <mergeCell ref="M632:N632"/>
    <mergeCell ref="M633:N633"/>
    <mergeCell ref="M634:N634"/>
    <mergeCell ref="M637:N637"/>
    <mergeCell ref="M624:N624"/>
    <mergeCell ref="M625:N625"/>
    <mergeCell ref="M626:N626"/>
    <mergeCell ref="M627:N627"/>
    <mergeCell ref="M628:N628"/>
    <mergeCell ref="M629:N629"/>
    <mergeCell ref="B657:I657"/>
    <mergeCell ref="L657:N657"/>
    <mergeCell ref="M658:N658"/>
    <mergeCell ref="M653:N653"/>
    <mergeCell ref="M654:N654"/>
    <mergeCell ref="M655:N655"/>
    <mergeCell ref="M656:N656"/>
    <mergeCell ref="M648:N648"/>
    <mergeCell ref="M649:N649"/>
    <mergeCell ref="M650:N650"/>
    <mergeCell ref="M651:N651"/>
    <mergeCell ref="M652:N652"/>
    <mergeCell ref="B666:I666"/>
    <mergeCell ref="L666:N666"/>
    <mergeCell ref="AI667:AL667"/>
    <mergeCell ref="AI668:AL668"/>
    <mergeCell ref="AI673:AL673"/>
    <mergeCell ref="AI674:AL674"/>
    <mergeCell ref="M659:N659"/>
    <mergeCell ref="M660:N660"/>
    <mergeCell ref="M662:N662"/>
    <mergeCell ref="B665:I665"/>
    <mergeCell ref="M665:N665"/>
    <mergeCell ref="B442:I442"/>
    <mergeCell ref="M439:N439"/>
    <mergeCell ref="M440:N440"/>
    <mergeCell ref="M441:N441"/>
    <mergeCell ref="M224:N224"/>
    <mergeCell ref="M230:N230"/>
    <mergeCell ref="M233:N233"/>
    <mergeCell ref="M234:N234"/>
    <mergeCell ref="M235:N235"/>
    <mergeCell ref="M236:N236"/>
    <mergeCell ref="M237:N237"/>
    <mergeCell ref="M238:N238"/>
    <mergeCell ref="M239:N239"/>
    <mergeCell ref="M437:N437"/>
    <mergeCell ref="M438:N438"/>
    <mergeCell ref="M442:N442"/>
    <mergeCell ref="B431:I431"/>
    <mergeCell ref="M421:N421"/>
    <mergeCell ref="M422:N422"/>
    <mergeCell ref="M423:N423"/>
    <mergeCell ref="M424:N424"/>
    <mergeCell ref="M425:N425"/>
    <mergeCell ref="B420:I420"/>
    <mergeCell ref="M420:N420"/>
    <mergeCell ref="M600:N600"/>
    <mergeCell ref="M635:N635"/>
    <mergeCell ref="M636:N636"/>
    <mergeCell ref="M661:N661"/>
    <mergeCell ref="M663:N663"/>
    <mergeCell ref="M664:N664"/>
    <mergeCell ref="M309:N309"/>
    <mergeCell ref="M326:N326"/>
    <mergeCell ref="M358:N358"/>
    <mergeCell ref="M401:N401"/>
    <mergeCell ref="M402:N402"/>
    <mergeCell ref="M406:N406"/>
    <mergeCell ref="M642:N642"/>
    <mergeCell ref="M643:N643"/>
    <mergeCell ref="M644:N644"/>
    <mergeCell ref="M645:N645"/>
    <mergeCell ref="M646:N646"/>
    <mergeCell ref="M647:N647"/>
    <mergeCell ref="M638:N638"/>
    <mergeCell ref="M639:N639"/>
    <mergeCell ref="M640:N640"/>
    <mergeCell ref="M641:N641"/>
    <mergeCell ref="M630:N630"/>
    <mergeCell ref="M631:N631"/>
  </mergeCells>
  <printOptions horizontalCentered="1"/>
  <pageMargins left="0.23622047244094491" right="0.11811023622047245" top="0.51181102362204722" bottom="0.43307086614173229" header="0.35433070866141736" footer="0.35433070866141736"/>
  <pageSetup paperSize="258" scale="75" fitToWidth="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outlinePr summaryBelow="0" summaryRight="0"/>
    <pageSetUpPr autoPageBreaks="0"/>
  </sheetPr>
  <dimension ref="A1:CE703"/>
  <sheetViews>
    <sheetView showOutlineSymbols="0" zoomScale="85" zoomScaleNormal="85" workbookViewId="0">
      <pane ySplit="8" topLeftCell="A14" activePane="bottomLeft" state="frozen"/>
      <selection activeCell="Q553" sqref="Q553"/>
      <selection pane="bottomLeft" activeCell="AI22" sqref="AI22"/>
    </sheetView>
  </sheetViews>
  <sheetFormatPr defaultRowHeight="13.5" customHeight="1" x14ac:dyDescent="0.25"/>
  <cols>
    <col min="1" max="1" width="5" style="205" customWidth="1"/>
    <col min="2" max="2" width="1.140625" style="205" hidden="1" customWidth="1"/>
    <col min="3" max="3" width="1.7109375" style="205" hidden="1" customWidth="1"/>
    <col min="4" max="5" width="1.140625" style="205" hidden="1" customWidth="1"/>
    <col min="6" max="6" width="1.7109375" style="205" hidden="1" customWidth="1"/>
    <col min="7" max="7" width="2" style="205" hidden="1" customWidth="1"/>
    <col min="8" max="8" width="8.5703125" style="205" hidden="1" customWidth="1"/>
    <col min="9" max="9" width="1.140625" style="205" hidden="1" customWidth="1"/>
    <col min="10" max="10" width="22.5703125" style="205" customWidth="1"/>
    <col min="11" max="11" width="2.28515625" style="205" customWidth="1"/>
    <col min="12" max="12" width="1.7109375" style="205" customWidth="1"/>
    <col min="13" max="13" width="5.85546875" style="205" customWidth="1"/>
    <col min="14" max="14" width="30.7109375" style="205" customWidth="1"/>
    <col min="15" max="16" width="16.42578125" style="205" hidden="1" customWidth="1"/>
    <col min="17" max="17" width="21.85546875" style="205" customWidth="1"/>
    <col min="18" max="18" width="8.28515625" style="205" customWidth="1"/>
    <col min="19" max="19" width="8" style="205" customWidth="1"/>
    <col min="20" max="20" width="11" style="205" bestFit="1" customWidth="1"/>
    <col min="21" max="21" width="11" style="205" customWidth="1"/>
    <col min="22" max="22" width="11" style="331" customWidth="1"/>
    <col min="23" max="31" width="15.85546875" style="205" hidden="1" customWidth="1"/>
    <col min="32" max="32" width="18.28515625" style="205" hidden="1" customWidth="1"/>
    <col min="33" max="34" width="15.85546875" style="205" hidden="1" customWidth="1"/>
    <col min="35" max="35" width="22.42578125" style="335" customWidth="1"/>
    <col min="36" max="36" width="8" style="205" customWidth="1"/>
    <col min="37" max="37" width="24.28515625" style="336" customWidth="1"/>
    <col min="38" max="38" width="9.5703125" style="205" customWidth="1"/>
    <col min="39" max="39" width="6.85546875" style="205" customWidth="1"/>
    <col min="40" max="42" width="0" style="205" hidden="1" customWidth="1"/>
    <col min="43" max="43" width="9.140625" style="205"/>
    <col min="44" max="44" width="20.140625" style="205" bestFit="1" customWidth="1"/>
    <col min="45" max="45" width="15.85546875" style="205" bestFit="1" customWidth="1"/>
    <col min="46" max="16384" width="9.140625" style="205"/>
  </cols>
  <sheetData>
    <row r="1" spans="1:45" ht="13.5" customHeight="1" x14ac:dyDescent="0.25">
      <c r="A1" s="203"/>
      <c r="B1" s="646" t="s">
        <v>0</v>
      </c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C1" s="646"/>
      <c r="AD1" s="646"/>
      <c r="AE1" s="646"/>
      <c r="AF1" s="646"/>
      <c r="AG1" s="646"/>
      <c r="AH1" s="646"/>
      <c r="AI1" s="646"/>
      <c r="AJ1" s="646"/>
      <c r="AK1" s="646"/>
      <c r="AL1" s="646"/>
      <c r="AM1" s="646"/>
      <c r="AN1" s="204"/>
      <c r="AO1" s="204"/>
      <c r="AP1" s="204"/>
    </row>
    <row r="2" spans="1:45" s="206" customFormat="1" ht="13.5" customHeight="1" x14ac:dyDescent="0.25">
      <c r="A2" s="646" t="s">
        <v>541</v>
      </c>
      <c r="B2" s="646"/>
      <c r="C2" s="646"/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C2" s="646"/>
      <c r="AD2" s="646"/>
      <c r="AE2" s="646"/>
      <c r="AF2" s="646"/>
      <c r="AG2" s="646"/>
      <c r="AH2" s="646"/>
      <c r="AI2" s="646"/>
      <c r="AJ2" s="646"/>
      <c r="AK2" s="646"/>
      <c r="AL2" s="646"/>
      <c r="AM2" s="646"/>
    </row>
    <row r="3" spans="1:45" ht="13.5" customHeight="1" x14ac:dyDescent="0.25">
      <c r="A3" s="646" t="s">
        <v>545</v>
      </c>
      <c r="B3" s="646"/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C3" s="646"/>
      <c r="AD3" s="646"/>
      <c r="AE3" s="646"/>
      <c r="AF3" s="646"/>
      <c r="AG3" s="646"/>
      <c r="AH3" s="646"/>
      <c r="AI3" s="646"/>
      <c r="AJ3" s="646"/>
      <c r="AK3" s="646"/>
      <c r="AL3" s="646"/>
      <c r="AM3" s="646"/>
      <c r="AN3" s="646"/>
      <c r="AO3" s="646"/>
      <c r="AP3" s="204"/>
    </row>
    <row r="4" spans="1:45" ht="13.5" customHeight="1" x14ac:dyDescent="0.25">
      <c r="A4" s="203" t="s">
        <v>426</v>
      </c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7"/>
      <c r="O4" s="204"/>
      <c r="P4" s="204"/>
      <c r="Q4" s="204"/>
      <c r="R4" s="203"/>
      <c r="S4" s="203"/>
      <c r="T4" s="204"/>
      <c r="U4" s="204"/>
      <c r="V4" s="208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9"/>
      <c r="AL4" s="204"/>
      <c r="AM4" s="204"/>
      <c r="AN4" s="204"/>
      <c r="AO4" s="204"/>
      <c r="AP4" s="204"/>
    </row>
    <row r="5" spans="1:45" ht="13.5" customHeight="1" x14ac:dyDescent="0.25">
      <c r="A5" s="497" t="s">
        <v>1</v>
      </c>
      <c r="B5" s="497" t="s">
        <v>56</v>
      </c>
      <c r="C5" s="497"/>
      <c r="D5" s="497"/>
      <c r="E5" s="497"/>
      <c r="F5" s="497"/>
      <c r="G5" s="497"/>
      <c r="H5" s="497"/>
      <c r="I5" s="497"/>
      <c r="J5" s="498" t="s">
        <v>192</v>
      </c>
      <c r="K5" s="497" t="s">
        <v>2</v>
      </c>
      <c r="L5" s="497"/>
      <c r="M5" s="497"/>
      <c r="N5" s="497"/>
      <c r="O5" s="497" t="s">
        <v>57</v>
      </c>
      <c r="P5" s="498" t="s">
        <v>58</v>
      </c>
      <c r="Q5" s="497" t="s">
        <v>3</v>
      </c>
      <c r="R5" s="497" t="s">
        <v>4</v>
      </c>
      <c r="S5" s="497" t="s">
        <v>59</v>
      </c>
      <c r="T5" s="505" t="s">
        <v>60</v>
      </c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0"/>
      <c r="AI5" s="506"/>
      <c r="AJ5" s="497" t="s">
        <v>5</v>
      </c>
      <c r="AK5" s="511" t="s">
        <v>61</v>
      </c>
      <c r="AL5" s="497" t="s">
        <v>5</v>
      </c>
      <c r="AM5" s="497" t="s">
        <v>62</v>
      </c>
      <c r="AN5" s="497" t="s">
        <v>63</v>
      </c>
      <c r="AO5" s="497" t="s">
        <v>64</v>
      </c>
      <c r="AP5" s="497" t="s">
        <v>62</v>
      </c>
    </row>
    <row r="6" spans="1:45" ht="13.5" customHeight="1" x14ac:dyDescent="0.25">
      <c r="A6" s="497"/>
      <c r="B6" s="497"/>
      <c r="C6" s="497"/>
      <c r="D6" s="497"/>
      <c r="E6" s="497"/>
      <c r="F6" s="497"/>
      <c r="G6" s="497"/>
      <c r="H6" s="497"/>
      <c r="I6" s="497"/>
      <c r="J6" s="499"/>
      <c r="K6" s="497"/>
      <c r="L6" s="497"/>
      <c r="M6" s="497"/>
      <c r="N6" s="497"/>
      <c r="O6" s="497"/>
      <c r="P6" s="499"/>
      <c r="Q6" s="497"/>
      <c r="R6" s="497"/>
      <c r="S6" s="497"/>
      <c r="T6" s="505" t="s">
        <v>65</v>
      </c>
      <c r="U6" s="506"/>
      <c r="V6" s="507" t="s">
        <v>66</v>
      </c>
      <c r="W6" s="498" t="s">
        <v>67</v>
      </c>
      <c r="X6" s="498" t="s">
        <v>68</v>
      </c>
      <c r="Y6" s="498" t="s">
        <v>69</v>
      </c>
      <c r="Z6" s="498" t="s">
        <v>70</v>
      </c>
      <c r="AA6" s="498" t="s">
        <v>71</v>
      </c>
      <c r="AB6" s="498" t="s">
        <v>72</v>
      </c>
      <c r="AC6" s="498" t="s">
        <v>73</v>
      </c>
      <c r="AD6" s="498" t="s">
        <v>74</v>
      </c>
      <c r="AE6" s="498" t="s">
        <v>75</v>
      </c>
      <c r="AF6" s="498" t="s">
        <v>76</v>
      </c>
      <c r="AG6" s="498" t="s">
        <v>77</v>
      </c>
      <c r="AH6" s="498" t="s">
        <v>78</v>
      </c>
      <c r="AI6" s="498" t="s">
        <v>79</v>
      </c>
      <c r="AJ6" s="497"/>
      <c r="AK6" s="511"/>
      <c r="AL6" s="497"/>
      <c r="AM6" s="497"/>
      <c r="AN6" s="497"/>
      <c r="AO6" s="497"/>
      <c r="AP6" s="497"/>
    </row>
    <row r="7" spans="1:45" ht="34.5" customHeight="1" x14ac:dyDescent="0.25">
      <c r="A7" s="497"/>
      <c r="B7" s="497"/>
      <c r="C7" s="497"/>
      <c r="D7" s="497"/>
      <c r="E7" s="497"/>
      <c r="F7" s="497"/>
      <c r="G7" s="497"/>
      <c r="H7" s="497"/>
      <c r="I7" s="497"/>
      <c r="J7" s="500"/>
      <c r="K7" s="497"/>
      <c r="L7" s="497"/>
      <c r="M7" s="497"/>
      <c r="N7" s="497"/>
      <c r="O7" s="497"/>
      <c r="P7" s="500"/>
      <c r="Q7" s="497"/>
      <c r="R7" s="497"/>
      <c r="S7" s="497"/>
      <c r="T7" s="183" t="s">
        <v>80</v>
      </c>
      <c r="U7" s="183" t="s">
        <v>6</v>
      </c>
      <c r="V7" s="508"/>
      <c r="W7" s="500"/>
      <c r="X7" s="500"/>
      <c r="Y7" s="500"/>
      <c r="Z7" s="500"/>
      <c r="AA7" s="500"/>
      <c r="AB7" s="500"/>
      <c r="AC7" s="500"/>
      <c r="AD7" s="500"/>
      <c r="AE7" s="500"/>
      <c r="AF7" s="500"/>
      <c r="AG7" s="500"/>
      <c r="AH7" s="500"/>
      <c r="AI7" s="500"/>
      <c r="AJ7" s="497"/>
      <c r="AK7" s="511"/>
      <c r="AL7" s="497"/>
      <c r="AM7" s="497"/>
      <c r="AN7" s="497"/>
      <c r="AO7" s="497"/>
      <c r="AP7" s="497"/>
    </row>
    <row r="8" spans="1:45" s="210" customFormat="1" ht="13.5" customHeight="1" x14ac:dyDescent="0.25">
      <c r="A8" s="184">
        <v>1</v>
      </c>
      <c r="B8" s="509">
        <v>2</v>
      </c>
      <c r="C8" s="509"/>
      <c r="D8" s="509"/>
      <c r="E8" s="509"/>
      <c r="F8" s="509"/>
      <c r="G8" s="509"/>
      <c r="H8" s="509"/>
      <c r="I8" s="509"/>
      <c r="J8" s="184"/>
      <c r="K8" s="509">
        <v>2</v>
      </c>
      <c r="L8" s="509"/>
      <c r="M8" s="509"/>
      <c r="N8" s="509"/>
      <c r="O8" s="184">
        <v>3</v>
      </c>
      <c r="P8" s="184">
        <v>3</v>
      </c>
      <c r="Q8" s="184">
        <v>4</v>
      </c>
      <c r="R8" s="184">
        <v>5</v>
      </c>
      <c r="S8" s="184">
        <v>6</v>
      </c>
      <c r="T8" s="184">
        <v>7</v>
      </c>
      <c r="U8" s="184" t="s">
        <v>81</v>
      </c>
      <c r="V8" s="107" t="s">
        <v>82</v>
      </c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>
        <v>10</v>
      </c>
      <c r="AJ8" s="184" t="s">
        <v>83</v>
      </c>
      <c r="AK8" s="131" t="s">
        <v>84</v>
      </c>
      <c r="AL8" s="184" t="s">
        <v>85</v>
      </c>
      <c r="AM8" s="184">
        <v>14</v>
      </c>
      <c r="AN8" s="184"/>
      <c r="AO8" s="184"/>
      <c r="AP8" s="184">
        <v>12</v>
      </c>
    </row>
    <row r="9" spans="1:45" ht="13.5" customHeight="1" thickBot="1" x14ac:dyDescent="0.3">
      <c r="A9" s="211" t="s">
        <v>544</v>
      </c>
      <c r="B9" s="212"/>
      <c r="C9" s="212"/>
      <c r="D9" s="212"/>
      <c r="E9" s="212"/>
      <c r="F9" s="212"/>
      <c r="G9" s="212"/>
      <c r="H9" s="212"/>
      <c r="I9" s="213"/>
      <c r="J9" s="212"/>
      <c r="K9" s="214"/>
      <c r="L9" s="212"/>
      <c r="M9" s="212"/>
      <c r="N9" s="213"/>
      <c r="O9" s="211"/>
      <c r="P9" s="211"/>
      <c r="Q9" s="211"/>
      <c r="R9" s="211"/>
      <c r="S9" s="211"/>
      <c r="T9" s="211"/>
      <c r="U9" s="211"/>
      <c r="V9" s="215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 t="s">
        <v>215</v>
      </c>
      <c r="AJ9" s="211"/>
      <c r="AK9" s="216"/>
      <c r="AL9" s="211"/>
      <c r="AM9" s="211"/>
      <c r="AN9" s="217"/>
      <c r="AO9" s="217"/>
      <c r="AP9" s="217"/>
    </row>
    <row r="10" spans="1:45" s="226" customFormat="1" ht="29.25" customHeight="1" thickTop="1" thickBot="1" x14ac:dyDescent="0.3">
      <c r="A10" s="218"/>
      <c r="B10" s="643" t="s">
        <v>86</v>
      </c>
      <c r="C10" s="644"/>
      <c r="D10" s="644"/>
      <c r="E10" s="644"/>
      <c r="F10" s="644"/>
      <c r="G10" s="644"/>
      <c r="H10" s="644"/>
      <c r="I10" s="645"/>
      <c r="J10" s="219" t="s">
        <v>193</v>
      </c>
      <c r="K10" s="220"/>
      <c r="L10" s="644" t="s">
        <v>87</v>
      </c>
      <c r="M10" s="644"/>
      <c r="N10" s="645"/>
      <c r="O10" s="221">
        <f>SUM(O14,O24,O26)</f>
        <v>57230250000</v>
      </c>
      <c r="P10" s="221">
        <f>SUM(P14,P24,P26)</f>
        <v>57230250000</v>
      </c>
      <c r="Q10" s="221">
        <f>SUM(Q14,Q24,Q26)</f>
        <v>124313865783</v>
      </c>
      <c r="R10" s="222">
        <f>Q10/Q10*100</f>
        <v>100</v>
      </c>
      <c r="S10" s="221">
        <f>S14</f>
        <v>100</v>
      </c>
      <c r="T10" s="221">
        <f>SUM(AJ10)</f>
        <v>7.9333312683038333</v>
      </c>
      <c r="U10" s="221">
        <f>AJ10</f>
        <v>7.9333312683038333</v>
      </c>
      <c r="V10" s="223">
        <f>S10-T10</f>
        <v>92.066668731696168</v>
      </c>
      <c r="W10" s="221">
        <f t="shared" ref="W10:AI10" si="0">SUM(W14,W24,W26)</f>
        <v>0</v>
      </c>
      <c r="X10" s="221" t="e">
        <f t="shared" si="0"/>
        <v>#REF!</v>
      </c>
      <c r="Y10" s="221" t="e">
        <f t="shared" si="0"/>
        <v>#REF!</v>
      </c>
      <c r="Z10" s="221" t="e">
        <f t="shared" si="0"/>
        <v>#REF!</v>
      </c>
      <c r="AA10" s="221" t="e">
        <f t="shared" si="0"/>
        <v>#REF!</v>
      </c>
      <c r="AB10" s="221">
        <f t="shared" si="0"/>
        <v>33313624753</v>
      </c>
      <c r="AC10" s="221" t="e">
        <f t="shared" si="0"/>
        <v>#REF!</v>
      </c>
      <c r="AD10" s="221" t="e">
        <f t="shared" si="0"/>
        <v>#REF!</v>
      </c>
      <c r="AE10" s="221" t="e">
        <f t="shared" si="0"/>
        <v>#REF!</v>
      </c>
      <c r="AF10" s="221" t="e">
        <f t="shared" si="0"/>
        <v>#REF!</v>
      </c>
      <c r="AG10" s="221" t="e">
        <f t="shared" si="0"/>
        <v>#REF!</v>
      </c>
      <c r="AH10" s="221">
        <f t="shared" si="0"/>
        <v>78185513265</v>
      </c>
      <c r="AI10" s="221">
        <f t="shared" si="0"/>
        <v>9862230785</v>
      </c>
      <c r="AJ10" s="224">
        <f>AI10/Q10*100</f>
        <v>7.9333312683038333</v>
      </c>
      <c r="AK10" s="225">
        <f>SUM(AK14,AK24,AK26)</f>
        <v>114451634998</v>
      </c>
      <c r="AL10" s="224">
        <f>AK10/Q10*100</f>
        <v>92.066668731696168</v>
      </c>
      <c r="AM10" s="224"/>
    </row>
    <row r="11" spans="1:45" s="235" customFormat="1" ht="13.5" customHeight="1" thickTop="1" thickBot="1" x14ac:dyDescent="0.3">
      <c r="A11" s="227"/>
      <c r="B11" s="228"/>
      <c r="C11" s="228"/>
      <c r="D11" s="228"/>
      <c r="E11" s="228"/>
      <c r="F11" s="228"/>
      <c r="G11" s="228"/>
      <c r="H11" s="228"/>
      <c r="I11" s="229"/>
      <c r="J11" s="228"/>
      <c r="K11" s="230"/>
      <c r="L11" s="228"/>
      <c r="M11" s="228"/>
      <c r="N11" s="229"/>
      <c r="O11" s="231"/>
      <c r="P11" s="231"/>
      <c r="Q11" s="231"/>
      <c r="R11" s="231"/>
      <c r="S11" s="231"/>
      <c r="T11" s="231"/>
      <c r="U11" s="231"/>
      <c r="V11" s="232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3"/>
      <c r="AK11" s="234"/>
      <c r="AL11" s="233"/>
      <c r="AM11" s="233"/>
    </row>
    <row r="12" spans="1:45" s="226" customFormat="1" ht="29.25" customHeight="1" thickTop="1" thickBot="1" x14ac:dyDescent="0.3">
      <c r="A12" s="218"/>
      <c r="B12" s="643" t="s">
        <v>86</v>
      </c>
      <c r="C12" s="644"/>
      <c r="D12" s="644"/>
      <c r="E12" s="644"/>
      <c r="F12" s="644"/>
      <c r="G12" s="644"/>
      <c r="H12" s="644"/>
      <c r="I12" s="645"/>
      <c r="J12" s="219" t="s">
        <v>194</v>
      </c>
      <c r="K12" s="220"/>
      <c r="L12" s="644" t="s">
        <v>195</v>
      </c>
      <c r="M12" s="644"/>
      <c r="N12" s="645"/>
      <c r="O12" s="221" t="e">
        <f>SUM(#REF!,O26,O32)</f>
        <v>#REF!</v>
      </c>
      <c r="P12" s="221" t="e">
        <f>SUM(#REF!,P26,P32)</f>
        <v>#REF!</v>
      </c>
      <c r="Q12" s="221">
        <f>SUM(Q14+Q24+Q26)</f>
        <v>124313865783</v>
      </c>
      <c r="R12" s="222">
        <f>Q12/Q12*100</f>
        <v>100</v>
      </c>
      <c r="S12" s="221">
        <v>100</v>
      </c>
      <c r="T12" s="221">
        <f>SUM(AJ12)</f>
        <v>7.9333312683038333</v>
      </c>
      <c r="U12" s="221">
        <f>AJ12</f>
        <v>7.9333312683038333</v>
      </c>
      <c r="V12" s="223">
        <f>S12-T12</f>
        <v>92.066668731696168</v>
      </c>
      <c r="W12" s="221">
        <f t="shared" ref="W12:AH12" si="1">SUM(W16,W26,W32)</f>
        <v>0</v>
      </c>
      <c r="X12" s="221" t="e">
        <f t="shared" si="1"/>
        <v>#REF!</v>
      </c>
      <c r="Y12" s="221" t="e">
        <f t="shared" si="1"/>
        <v>#REF!</v>
      </c>
      <c r="Z12" s="221" t="e">
        <f t="shared" si="1"/>
        <v>#REF!</v>
      </c>
      <c r="AA12" s="221" t="e">
        <f t="shared" si="1"/>
        <v>#REF!</v>
      </c>
      <c r="AB12" s="221">
        <f t="shared" si="1"/>
        <v>5549197752</v>
      </c>
      <c r="AC12" s="221" t="e">
        <f t="shared" si="1"/>
        <v>#REF!</v>
      </c>
      <c r="AD12" s="221" t="e">
        <f t="shared" si="1"/>
        <v>#REF!</v>
      </c>
      <c r="AE12" s="221" t="e">
        <f t="shared" si="1"/>
        <v>#REF!</v>
      </c>
      <c r="AF12" s="221" t="e">
        <f t="shared" si="1"/>
        <v>#REF!</v>
      </c>
      <c r="AG12" s="221" t="e">
        <f t="shared" si="1"/>
        <v>#REF!</v>
      </c>
      <c r="AH12" s="221">
        <f t="shared" si="1"/>
        <v>11081028822</v>
      </c>
      <c r="AI12" s="221">
        <f>SUM(AI14+AI24+AI26)</f>
        <v>9862230785</v>
      </c>
      <c r="AJ12" s="224">
        <f>AI12/Q12*100</f>
        <v>7.9333312683038333</v>
      </c>
      <c r="AK12" s="225">
        <f>SUM(AK14+AK24+AK26)</f>
        <v>114451634998</v>
      </c>
      <c r="AL12" s="224">
        <f>AK12/Q12*100</f>
        <v>92.066668731696168</v>
      </c>
      <c r="AM12" s="224"/>
    </row>
    <row r="13" spans="1:45" s="235" customFormat="1" ht="13.5" customHeight="1" thickTop="1" x14ac:dyDescent="0.25">
      <c r="A13" s="227"/>
      <c r="B13" s="228"/>
      <c r="C13" s="228"/>
      <c r="D13" s="228"/>
      <c r="E13" s="228"/>
      <c r="F13" s="228"/>
      <c r="G13" s="228"/>
      <c r="H13" s="228"/>
      <c r="I13" s="229"/>
      <c r="J13" s="228"/>
      <c r="K13" s="230"/>
      <c r="L13" s="228"/>
      <c r="M13" s="228"/>
      <c r="N13" s="229"/>
      <c r="O13" s="231"/>
      <c r="P13" s="231"/>
      <c r="Q13" s="231"/>
      <c r="R13" s="231"/>
      <c r="S13" s="231"/>
      <c r="T13" s="231"/>
      <c r="U13" s="231"/>
      <c r="V13" s="232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3"/>
      <c r="AK13" s="234"/>
      <c r="AL13" s="233"/>
      <c r="AM13" s="233"/>
    </row>
    <row r="14" spans="1:45" s="226" customFormat="1" ht="28.5" customHeight="1" x14ac:dyDescent="0.25">
      <c r="A14" s="236" t="s">
        <v>7</v>
      </c>
      <c r="B14" s="642" t="s">
        <v>88</v>
      </c>
      <c r="C14" s="626"/>
      <c r="D14" s="626"/>
      <c r="E14" s="626"/>
      <c r="F14" s="626"/>
      <c r="G14" s="626"/>
      <c r="H14" s="626"/>
      <c r="I14" s="627"/>
      <c r="J14" s="237" t="s">
        <v>213</v>
      </c>
      <c r="K14" s="238"/>
      <c r="L14" s="626" t="s">
        <v>89</v>
      </c>
      <c r="M14" s="626"/>
      <c r="N14" s="627"/>
      <c r="O14" s="239">
        <v>53000250000</v>
      </c>
      <c r="P14" s="239">
        <f>O14</f>
        <v>53000250000</v>
      </c>
      <c r="Q14" s="239">
        <f>SUM(Q15:Q23)</f>
        <v>114000000000</v>
      </c>
      <c r="R14" s="240">
        <f>Q14/Q14*100</f>
        <v>100</v>
      </c>
      <c r="S14" s="240">
        <v>100</v>
      </c>
      <c r="T14" s="239">
        <f>AJ14</f>
        <v>8.1042366438596503</v>
      </c>
      <c r="U14" s="239">
        <f>SUM(R14*T14)</f>
        <v>810.42366438596503</v>
      </c>
      <c r="V14" s="241">
        <f>S14-T14</f>
        <v>91.89576335614035</v>
      </c>
      <c r="W14" s="239"/>
      <c r="X14" s="239" t="e">
        <f>#REF!</f>
        <v>#REF!</v>
      </c>
      <c r="Y14" s="239" t="e">
        <f>#REF!</f>
        <v>#REF!</v>
      </c>
      <c r="Z14" s="239" t="e">
        <f>#REF!</f>
        <v>#REF!</v>
      </c>
      <c r="AA14" s="239" t="e">
        <f>#REF!</f>
        <v>#REF!</v>
      </c>
      <c r="AB14" s="239">
        <v>27766121137</v>
      </c>
      <c r="AC14" s="239" t="e">
        <f>#REF!</f>
        <v>#REF!</v>
      </c>
      <c r="AD14" s="239" t="e">
        <f>#REF!</f>
        <v>#REF!</v>
      </c>
      <c r="AE14" s="239" t="e">
        <f>#REF!</f>
        <v>#REF!</v>
      </c>
      <c r="AF14" s="239" t="e">
        <f>[1]April!$N$12</f>
        <v>#REF!</v>
      </c>
      <c r="AG14" s="239" t="e">
        <f>[2]april!$N$12</f>
        <v>#REF!</v>
      </c>
      <c r="AH14" s="239">
        <f>'[3]DES SKPD'!$N$12</f>
        <v>67029484443</v>
      </c>
      <c r="AI14" s="239">
        <f>SUM(AI15:AI23)</f>
        <v>9238829774</v>
      </c>
      <c r="AJ14" s="240">
        <f t="shared" ref="AJ14:AJ27" si="2">AI14/Q14*100</f>
        <v>8.1042366438596503</v>
      </c>
      <c r="AK14" s="242">
        <f>Q14-AI14</f>
        <v>104761170226</v>
      </c>
      <c r="AL14" s="240">
        <f t="shared" ref="AL14:AL27" si="3">AK14/Q14*100</f>
        <v>91.89576335614035</v>
      </c>
      <c r="AM14" s="236"/>
    </row>
    <row r="15" spans="1:45" ht="28.5" customHeight="1" x14ac:dyDescent="0.25">
      <c r="A15" s="243">
        <v>1</v>
      </c>
      <c r="B15" s="639" t="s">
        <v>90</v>
      </c>
      <c r="C15" s="597"/>
      <c r="D15" s="597"/>
      <c r="E15" s="597"/>
      <c r="F15" s="597"/>
      <c r="G15" s="597"/>
      <c r="H15" s="597"/>
      <c r="I15" s="598"/>
      <c r="J15" s="244" t="s">
        <v>355</v>
      </c>
      <c r="K15" s="245"/>
      <c r="L15" s="597" t="s">
        <v>389</v>
      </c>
      <c r="M15" s="597"/>
      <c r="N15" s="598"/>
      <c r="O15" s="180"/>
      <c r="P15" s="180"/>
      <c r="Q15" s="180">
        <v>4000000000</v>
      </c>
      <c r="R15" s="181">
        <f>Q15/Q$10*100</f>
        <v>3.2176619838870804</v>
      </c>
      <c r="S15" s="181">
        <v>100</v>
      </c>
      <c r="T15" s="180">
        <f>AJ15</f>
        <v>10.77610825</v>
      </c>
      <c r="U15" s="180">
        <f>R15*T15/100</f>
        <v>0.34673873850276932</v>
      </c>
      <c r="V15" s="182">
        <f t="shared" ref="V15:V26" si="4">S15-T15</f>
        <v>89.223891750000007</v>
      </c>
      <c r="W15" s="180"/>
      <c r="X15" s="180"/>
      <c r="Y15" s="180"/>
      <c r="Z15" s="180"/>
      <c r="AA15" s="180"/>
      <c r="AB15" s="180">
        <v>0</v>
      </c>
      <c r="AC15" s="180"/>
      <c r="AD15" s="180"/>
      <c r="AE15" s="180"/>
      <c r="AF15" s="180"/>
      <c r="AG15" s="180"/>
      <c r="AH15" s="180"/>
      <c r="AI15" s="180">
        <v>431044330</v>
      </c>
      <c r="AJ15" s="181">
        <f t="shared" si="2"/>
        <v>10.77610825</v>
      </c>
      <c r="AK15" s="246">
        <f>SUM(Q15-AI15)</f>
        <v>3568955670</v>
      </c>
      <c r="AL15" s="181">
        <f t="shared" si="3"/>
        <v>89.223891749999993</v>
      </c>
      <c r="AM15" s="243"/>
      <c r="AR15" s="247">
        <v>114000000000</v>
      </c>
      <c r="AS15" s="248">
        <f>Q14-AR15</f>
        <v>0</v>
      </c>
    </row>
    <row r="16" spans="1:45" ht="28.5" customHeight="1" x14ac:dyDescent="0.25">
      <c r="A16" s="243">
        <v>2</v>
      </c>
      <c r="B16" s="639" t="s">
        <v>91</v>
      </c>
      <c r="C16" s="597"/>
      <c r="D16" s="597"/>
      <c r="E16" s="597"/>
      <c r="F16" s="597"/>
      <c r="G16" s="597"/>
      <c r="H16" s="597"/>
      <c r="I16" s="598"/>
      <c r="J16" s="244" t="s">
        <v>356</v>
      </c>
      <c r="K16" s="245"/>
      <c r="L16" s="597" t="s">
        <v>390</v>
      </c>
      <c r="M16" s="597"/>
      <c r="N16" s="598"/>
      <c r="O16" s="180"/>
      <c r="P16" s="180"/>
      <c r="Q16" s="180">
        <v>16748000000</v>
      </c>
      <c r="R16" s="181">
        <f t="shared" ref="R16:R25" si="5">Q16/Q$10*100</f>
        <v>13.472350726535204</v>
      </c>
      <c r="S16" s="181">
        <v>100</v>
      </c>
      <c r="T16" s="180">
        <f>AJ16</f>
        <v>11.433558645808455</v>
      </c>
      <c r="U16" s="180">
        <f>R16*T16/100</f>
        <v>1.540369121287404</v>
      </c>
      <c r="V16" s="182">
        <f t="shared" si="4"/>
        <v>88.566441354191539</v>
      </c>
      <c r="W16" s="180"/>
      <c r="X16" s="180"/>
      <c r="Y16" s="180"/>
      <c r="Z16" s="180"/>
      <c r="AA16" s="180"/>
      <c r="AB16" s="180">
        <v>0</v>
      </c>
      <c r="AC16" s="180"/>
      <c r="AD16" s="180"/>
      <c r="AE16" s="180"/>
      <c r="AF16" s="180"/>
      <c r="AG16" s="180"/>
      <c r="AH16" s="180"/>
      <c r="AI16" s="180">
        <v>1914892402</v>
      </c>
      <c r="AJ16" s="181">
        <f t="shared" si="2"/>
        <v>11.433558645808455</v>
      </c>
      <c r="AK16" s="246">
        <f t="shared" ref="AK16:AK31" si="6">SUM(Q16-AI16)</f>
        <v>14833107598</v>
      </c>
      <c r="AL16" s="249">
        <f t="shared" si="3"/>
        <v>88.566441354191554</v>
      </c>
      <c r="AM16" s="243"/>
    </row>
    <row r="17" spans="1:39" ht="28.5" customHeight="1" x14ac:dyDescent="0.25">
      <c r="A17" s="243">
        <v>3</v>
      </c>
      <c r="B17" s="639" t="s">
        <v>92</v>
      </c>
      <c r="C17" s="597"/>
      <c r="D17" s="597"/>
      <c r="E17" s="597"/>
      <c r="F17" s="597"/>
      <c r="G17" s="597"/>
      <c r="H17" s="597"/>
      <c r="I17" s="598"/>
      <c r="J17" s="244" t="s">
        <v>357</v>
      </c>
      <c r="K17" s="245"/>
      <c r="L17" s="597" t="s">
        <v>391</v>
      </c>
      <c r="M17" s="597"/>
      <c r="N17" s="598"/>
      <c r="O17" s="180"/>
      <c r="P17" s="180"/>
      <c r="Q17" s="180">
        <v>714500000</v>
      </c>
      <c r="R17" s="181">
        <f t="shared" si="5"/>
        <v>0.57475487187182972</v>
      </c>
      <c r="S17" s="181">
        <v>100</v>
      </c>
      <c r="T17" s="180">
        <f>AJ17</f>
        <v>11.039753254023793</v>
      </c>
      <c r="U17" s="180">
        <f>R17*T17/100</f>
        <v>6.3451519670130602E-2</v>
      </c>
      <c r="V17" s="182">
        <f t="shared" si="4"/>
        <v>88.960246745976207</v>
      </c>
      <c r="W17" s="180"/>
      <c r="X17" s="180"/>
      <c r="Y17" s="180"/>
      <c r="Z17" s="180"/>
      <c r="AA17" s="180"/>
      <c r="AB17" s="180">
        <v>0</v>
      </c>
      <c r="AC17" s="180"/>
      <c r="AD17" s="180"/>
      <c r="AE17" s="180"/>
      <c r="AF17" s="180"/>
      <c r="AG17" s="180"/>
      <c r="AH17" s="180"/>
      <c r="AI17" s="180">
        <v>78879037</v>
      </c>
      <c r="AJ17" s="181">
        <f t="shared" si="2"/>
        <v>11.039753254023793</v>
      </c>
      <c r="AK17" s="246">
        <f t="shared" si="6"/>
        <v>635620963</v>
      </c>
      <c r="AL17" s="181">
        <f t="shared" si="3"/>
        <v>88.960246745976207</v>
      </c>
      <c r="AM17" s="243"/>
    </row>
    <row r="18" spans="1:39" ht="28.5" customHeight="1" x14ac:dyDescent="0.25">
      <c r="A18" s="243">
        <v>4</v>
      </c>
      <c r="B18" s="639" t="s">
        <v>93</v>
      </c>
      <c r="C18" s="597"/>
      <c r="D18" s="597"/>
      <c r="E18" s="597"/>
      <c r="F18" s="597"/>
      <c r="G18" s="597"/>
      <c r="H18" s="597"/>
      <c r="I18" s="598"/>
      <c r="J18" s="244" t="s">
        <v>358</v>
      </c>
      <c r="K18" s="245"/>
      <c r="L18" s="597" t="s">
        <v>392</v>
      </c>
      <c r="M18" s="597"/>
      <c r="N18" s="598"/>
      <c r="O18" s="180"/>
      <c r="P18" s="180"/>
      <c r="Q18" s="180">
        <v>4296000000</v>
      </c>
      <c r="R18" s="181">
        <f t="shared" si="5"/>
        <v>3.4557689706947241</v>
      </c>
      <c r="S18" s="181">
        <v>100</v>
      </c>
      <c r="T18" s="180">
        <f t="shared" ref="T18:T31" si="7">AJ18</f>
        <v>13.586135148975792</v>
      </c>
      <c r="U18" s="180">
        <f t="shared" ref="U18:U23" si="8">R18*T18/100</f>
        <v>0.46950544279495487</v>
      </c>
      <c r="V18" s="182">
        <f t="shared" si="4"/>
        <v>86.413864851024215</v>
      </c>
      <c r="W18" s="180"/>
      <c r="X18" s="180"/>
      <c r="Y18" s="180"/>
      <c r="Z18" s="180"/>
      <c r="AA18" s="180"/>
      <c r="AB18" s="180">
        <v>0</v>
      </c>
      <c r="AC18" s="180"/>
      <c r="AD18" s="180"/>
      <c r="AE18" s="180"/>
      <c r="AF18" s="180"/>
      <c r="AG18" s="180"/>
      <c r="AH18" s="180"/>
      <c r="AI18" s="180">
        <v>583660366</v>
      </c>
      <c r="AJ18" s="181">
        <f t="shared" si="2"/>
        <v>13.586135148975792</v>
      </c>
      <c r="AK18" s="246">
        <f t="shared" si="6"/>
        <v>3712339634</v>
      </c>
      <c r="AL18" s="249">
        <f t="shared" si="3"/>
        <v>86.413864851024215</v>
      </c>
      <c r="AM18" s="243"/>
    </row>
    <row r="19" spans="1:39" ht="28.5" customHeight="1" x14ac:dyDescent="0.25">
      <c r="A19" s="243">
        <v>5</v>
      </c>
      <c r="B19" s="639" t="s">
        <v>94</v>
      </c>
      <c r="C19" s="597"/>
      <c r="D19" s="597"/>
      <c r="E19" s="597"/>
      <c r="F19" s="597"/>
      <c r="G19" s="597"/>
      <c r="H19" s="597"/>
      <c r="I19" s="598"/>
      <c r="J19" s="244" t="s">
        <v>359</v>
      </c>
      <c r="K19" s="245"/>
      <c r="L19" s="597" t="s">
        <v>393</v>
      </c>
      <c r="M19" s="597"/>
      <c r="N19" s="598"/>
      <c r="O19" s="180"/>
      <c r="P19" s="180"/>
      <c r="Q19" s="180">
        <v>29977500000</v>
      </c>
      <c r="R19" s="181">
        <f t="shared" si="5"/>
        <v>24.114365530493735</v>
      </c>
      <c r="S19" s="181">
        <v>100</v>
      </c>
      <c r="T19" s="180">
        <f t="shared" si="7"/>
        <v>8.569314729380368</v>
      </c>
      <c r="U19" s="180">
        <f t="shared" si="8"/>
        <v>2.0664358773012221</v>
      </c>
      <c r="V19" s="182">
        <f t="shared" si="4"/>
        <v>91.430685270619634</v>
      </c>
      <c r="W19" s="180"/>
      <c r="X19" s="180"/>
      <c r="Y19" s="180"/>
      <c r="Z19" s="180"/>
      <c r="AA19" s="180"/>
      <c r="AB19" s="180">
        <v>0</v>
      </c>
      <c r="AC19" s="180"/>
      <c r="AD19" s="180"/>
      <c r="AE19" s="180"/>
      <c r="AF19" s="180"/>
      <c r="AG19" s="180"/>
      <c r="AH19" s="180"/>
      <c r="AI19" s="180">
        <v>2568866323</v>
      </c>
      <c r="AJ19" s="181">
        <f t="shared" si="2"/>
        <v>8.569314729380368</v>
      </c>
      <c r="AK19" s="246">
        <f t="shared" si="6"/>
        <v>27408633677</v>
      </c>
      <c r="AL19" s="249">
        <f t="shared" si="3"/>
        <v>91.430685270619634</v>
      </c>
      <c r="AM19" s="243"/>
    </row>
    <row r="20" spans="1:39" ht="28.5" customHeight="1" x14ac:dyDescent="0.25">
      <c r="A20" s="243">
        <v>6</v>
      </c>
      <c r="B20" s="639" t="s">
        <v>95</v>
      </c>
      <c r="C20" s="597"/>
      <c r="D20" s="597"/>
      <c r="E20" s="597"/>
      <c r="F20" s="597"/>
      <c r="G20" s="597"/>
      <c r="H20" s="597"/>
      <c r="I20" s="598"/>
      <c r="J20" s="244" t="s">
        <v>360</v>
      </c>
      <c r="K20" s="245"/>
      <c r="L20" s="597" t="s">
        <v>394</v>
      </c>
      <c r="M20" s="597"/>
      <c r="N20" s="598"/>
      <c r="O20" s="180"/>
      <c r="P20" s="180"/>
      <c r="Q20" s="180">
        <v>900000000</v>
      </c>
      <c r="R20" s="181">
        <f t="shared" si="5"/>
        <v>0.72397394637459311</v>
      </c>
      <c r="S20" s="181">
        <v>100</v>
      </c>
      <c r="T20" s="180">
        <f t="shared" si="7"/>
        <v>11.845246333333332</v>
      </c>
      <c r="U20" s="180">
        <f t="shared" si="8"/>
        <v>8.575649733722511E-2</v>
      </c>
      <c r="V20" s="182">
        <f t="shared" si="4"/>
        <v>88.154753666666664</v>
      </c>
      <c r="W20" s="180"/>
      <c r="X20" s="180"/>
      <c r="Y20" s="180"/>
      <c r="Z20" s="180"/>
      <c r="AA20" s="180"/>
      <c r="AB20" s="180">
        <v>0</v>
      </c>
      <c r="AC20" s="180"/>
      <c r="AD20" s="180"/>
      <c r="AE20" s="180"/>
      <c r="AF20" s="180"/>
      <c r="AG20" s="180"/>
      <c r="AH20" s="180"/>
      <c r="AI20" s="180">
        <v>106607217</v>
      </c>
      <c r="AJ20" s="181">
        <f t="shared" si="2"/>
        <v>11.845246333333332</v>
      </c>
      <c r="AK20" s="246">
        <f t="shared" si="6"/>
        <v>793392783</v>
      </c>
      <c r="AL20" s="181">
        <f t="shared" si="3"/>
        <v>88.154753666666664</v>
      </c>
      <c r="AM20" s="243"/>
    </row>
    <row r="21" spans="1:39" ht="28.5" customHeight="1" x14ac:dyDescent="0.25">
      <c r="A21" s="243">
        <v>7</v>
      </c>
      <c r="B21" s="639" t="s">
        <v>96</v>
      </c>
      <c r="C21" s="597"/>
      <c r="D21" s="597"/>
      <c r="E21" s="597"/>
      <c r="F21" s="597"/>
      <c r="G21" s="597"/>
      <c r="H21" s="597"/>
      <c r="I21" s="598"/>
      <c r="J21" s="244" t="s">
        <v>361</v>
      </c>
      <c r="K21" s="245"/>
      <c r="L21" s="597" t="s">
        <v>97</v>
      </c>
      <c r="M21" s="597"/>
      <c r="N21" s="598"/>
      <c r="O21" s="180"/>
      <c r="P21" s="180"/>
      <c r="Q21" s="180">
        <v>300000000</v>
      </c>
      <c r="R21" s="181">
        <f t="shared" si="5"/>
        <v>0.24132464879153101</v>
      </c>
      <c r="S21" s="181">
        <v>100</v>
      </c>
      <c r="T21" s="180">
        <f t="shared" si="7"/>
        <v>9.5525343333333339</v>
      </c>
      <c r="U21" s="180">
        <f t="shared" si="8"/>
        <v>2.3052619930607084E-2</v>
      </c>
      <c r="V21" s="182">
        <f t="shared" si="4"/>
        <v>90.447465666666659</v>
      </c>
      <c r="W21" s="180"/>
      <c r="X21" s="180"/>
      <c r="Y21" s="180"/>
      <c r="Z21" s="180"/>
      <c r="AA21" s="180"/>
      <c r="AB21" s="180">
        <v>0</v>
      </c>
      <c r="AC21" s="180"/>
      <c r="AD21" s="180"/>
      <c r="AE21" s="180"/>
      <c r="AF21" s="180"/>
      <c r="AG21" s="180"/>
      <c r="AH21" s="180"/>
      <c r="AI21" s="180">
        <v>28657603</v>
      </c>
      <c r="AJ21" s="181">
        <f t="shared" si="2"/>
        <v>9.5525343333333339</v>
      </c>
      <c r="AK21" s="246">
        <f t="shared" si="6"/>
        <v>271342397</v>
      </c>
      <c r="AL21" s="181">
        <f t="shared" si="3"/>
        <v>90.447465666666673</v>
      </c>
      <c r="AM21" s="243"/>
    </row>
    <row r="22" spans="1:39" ht="28.5" customHeight="1" x14ac:dyDescent="0.25">
      <c r="A22" s="243">
        <v>8</v>
      </c>
      <c r="B22" s="639" t="s">
        <v>98</v>
      </c>
      <c r="C22" s="597"/>
      <c r="D22" s="597"/>
      <c r="E22" s="597"/>
      <c r="F22" s="597"/>
      <c r="G22" s="597"/>
      <c r="H22" s="597"/>
      <c r="I22" s="598"/>
      <c r="J22" s="244" t="s">
        <v>362</v>
      </c>
      <c r="K22" s="245"/>
      <c r="L22" s="597" t="s">
        <v>363</v>
      </c>
      <c r="M22" s="597"/>
      <c r="N22" s="598"/>
      <c r="O22" s="180"/>
      <c r="P22" s="180"/>
      <c r="Q22" s="180">
        <v>22900000000</v>
      </c>
      <c r="R22" s="181">
        <f t="shared" si="5"/>
        <v>18.421114857753533</v>
      </c>
      <c r="S22" s="181">
        <v>100</v>
      </c>
      <c r="T22" s="180">
        <f t="shared" si="7"/>
        <v>1.8359476986899561</v>
      </c>
      <c r="U22" s="180">
        <f t="shared" si="8"/>
        <v>0.33820203430395956</v>
      </c>
      <c r="V22" s="182">
        <f t="shared" si="4"/>
        <v>98.164052301310051</v>
      </c>
      <c r="W22" s="180"/>
      <c r="X22" s="180"/>
      <c r="Y22" s="180"/>
      <c r="Z22" s="180"/>
      <c r="AA22" s="180"/>
      <c r="AB22" s="180">
        <v>0</v>
      </c>
      <c r="AC22" s="180"/>
      <c r="AD22" s="180"/>
      <c r="AE22" s="180"/>
      <c r="AF22" s="180"/>
      <c r="AG22" s="180"/>
      <c r="AH22" s="180"/>
      <c r="AI22" s="180">
        <v>420432023</v>
      </c>
      <c r="AJ22" s="181">
        <f t="shared" si="2"/>
        <v>1.8359476986899561</v>
      </c>
      <c r="AK22" s="246">
        <f t="shared" si="6"/>
        <v>22479567977</v>
      </c>
      <c r="AL22" s="249">
        <f t="shared" si="3"/>
        <v>98.164052301310051</v>
      </c>
      <c r="AM22" s="243"/>
    </row>
    <row r="23" spans="1:39" ht="32.25" customHeight="1" x14ac:dyDescent="0.25">
      <c r="A23" s="243">
        <v>9</v>
      </c>
      <c r="B23" s="639" t="s">
        <v>99</v>
      </c>
      <c r="C23" s="597"/>
      <c r="D23" s="597"/>
      <c r="E23" s="597"/>
      <c r="F23" s="597"/>
      <c r="G23" s="597"/>
      <c r="H23" s="597"/>
      <c r="I23" s="598"/>
      <c r="J23" s="244" t="s">
        <v>364</v>
      </c>
      <c r="K23" s="245"/>
      <c r="L23" s="597" t="s">
        <v>100</v>
      </c>
      <c r="M23" s="597"/>
      <c r="N23" s="598"/>
      <c r="O23" s="180"/>
      <c r="P23" s="180"/>
      <c r="Q23" s="180">
        <v>34164000000</v>
      </c>
      <c r="R23" s="181">
        <f>Q23/Q$10*100</f>
        <v>27.482051004379553</v>
      </c>
      <c r="S23" s="181">
        <v>100</v>
      </c>
      <c r="T23" s="180">
        <f t="shared" si="7"/>
        <v>9.0908279855988763</v>
      </c>
      <c r="U23" s="180">
        <f t="shared" si="8"/>
        <v>2.4983459837226936</v>
      </c>
      <c r="V23" s="182">
        <f>S23-T23</f>
        <v>90.909172014401122</v>
      </c>
      <c r="W23" s="180"/>
      <c r="X23" s="180"/>
      <c r="Y23" s="180"/>
      <c r="Z23" s="180"/>
      <c r="AA23" s="180"/>
      <c r="AB23" s="180">
        <v>0</v>
      </c>
      <c r="AC23" s="180"/>
      <c r="AD23" s="180"/>
      <c r="AE23" s="180"/>
      <c r="AF23" s="180"/>
      <c r="AG23" s="180"/>
      <c r="AH23" s="180"/>
      <c r="AI23" s="180">
        <v>3105790473</v>
      </c>
      <c r="AJ23" s="181">
        <f t="shared" si="2"/>
        <v>9.0908279855988763</v>
      </c>
      <c r="AK23" s="246">
        <f t="shared" si="6"/>
        <v>31058209527</v>
      </c>
      <c r="AL23" s="181">
        <f t="shared" si="3"/>
        <v>90.909172014401136</v>
      </c>
      <c r="AM23" s="243"/>
    </row>
    <row r="24" spans="1:39" s="226" customFormat="1" ht="27.75" customHeight="1" x14ac:dyDescent="0.25">
      <c r="A24" s="236" t="s">
        <v>8</v>
      </c>
      <c r="B24" s="642" t="s">
        <v>101</v>
      </c>
      <c r="C24" s="626"/>
      <c r="D24" s="626"/>
      <c r="E24" s="626"/>
      <c r="F24" s="626"/>
      <c r="G24" s="626"/>
      <c r="H24" s="626"/>
      <c r="I24" s="627"/>
      <c r="J24" s="237" t="s">
        <v>214</v>
      </c>
      <c r="K24" s="238"/>
      <c r="L24" s="626" t="s">
        <v>102</v>
      </c>
      <c r="M24" s="626"/>
      <c r="N24" s="627"/>
      <c r="O24" s="239">
        <v>80000000</v>
      </c>
      <c r="P24" s="239">
        <f>O24</f>
        <v>80000000</v>
      </c>
      <c r="Q24" s="239">
        <f>SUM(Q25)</f>
        <v>161362180</v>
      </c>
      <c r="R24" s="240">
        <f>Q24/Q24*100</f>
        <v>100</v>
      </c>
      <c r="S24" s="240">
        <v>100</v>
      </c>
      <c r="T24" s="239">
        <f t="shared" si="7"/>
        <v>23.797397878486766</v>
      </c>
      <c r="U24" s="239">
        <f>AJ24</f>
        <v>23.797397878486766</v>
      </c>
      <c r="V24" s="241">
        <f t="shared" si="4"/>
        <v>76.202602121513237</v>
      </c>
      <c r="W24" s="239"/>
      <c r="X24" s="239" t="e">
        <f>#REF!</f>
        <v>#REF!</v>
      </c>
      <c r="Y24" s="239" t="e">
        <f>#REF!</f>
        <v>#REF!</v>
      </c>
      <c r="Z24" s="239" t="e">
        <f>#REF!</f>
        <v>#REF!</v>
      </c>
      <c r="AA24" s="239" t="e">
        <f>#REF!</f>
        <v>#REF!</v>
      </c>
      <c r="AB24" s="239">
        <v>15000000</v>
      </c>
      <c r="AC24" s="239" t="e">
        <f>#REF!</f>
        <v>#REF!</v>
      </c>
      <c r="AD24" s="239" t="e">
        <f>#REF!</f>
        <v>#REF!</v>
      </c>
      <c r="AE24" s="239" t="e">
        <f>#REF!</f>
        <v>#REF!</v>
      </c>
      <c r="AF24" s="239" t="e">
        <f>[1]April!$N$13</f>
        <v>#REF!</v>
      </c>
      <c r="AG24" s="239" t="e">
        <f>[2]april!$N$13</f>
        <v>#REF!</v>
      </c>
      <c r="AH24" s="239">
        <f>'[3]DES SKPD'!$N$13</f>
        <v>75000000</v>
      </c>
      <c r="AI24" s="239">
        <f>SUM(AI25)</f>
        <v>38400000</v>
      </c>
      <c r="AJ24" s="240">
        <f t="shared" si="2"/>
        <v>23.797397878486766</v>
      </c>
      <c r="AK24" s="242">
        <f t="shared" si="6"/>
        <v>122962180</v>
      </c>
      <c r="AL24" s="240">
        <f t="shared" si="3"/>
        <v>76.202602121513223</v>
      </c>
      <c r="AM24" s="236"/>
    </row>
    <row r="25" spans="1:39" ht="21" customHeight="1" x14ac:dyDescent="0.25">
      <c r="A25" s="243">
        <v>10</v>
      </c>
      <c r="B25" s="639" t="s">
        <v>103</v>
      </c>
      <c r="C25" s="597"/>
      <c r="D25" s="597"/>
      <c r="E25" s="597"/>
      <c r="F25" s="597"/>
      <c r="G25" s="597"/>
      <c r="H25" s="597"/>
      <c r="I25" s="598"/>
      <c r="J25" s="244" t="s">
        <v>365</v>
      </c>
      <c r="K25" s="245"/>
      <c r="L25" s="597" t="s">
        <v>540</v>
      </c>
      <c r="M25" s="597"/>
      <c r="N25" s="598"/>
      <c r="O25" s="180"/>
      <c r="P25" s="180"/>
      <c r="Q25" s="180">
        <v>161362180</v>
      </c>
      <c r="R25" s="181">
        <f t="shared" si="5"/>
        <v>0.12980223805578603</v>
      </c>
      <c r="S25" s="181">
        <v>100</v>
      </c>
      <c r="T25" s="180">
        <f t="shared" si="7"/>
        <v>23.797397878486766</v>
      </c>
      <c r="U25" s="180">
        <f>R25*T25/100</f>
        <v>3.0889555045315969E-2</v>
      </c>
      <c r="V25" s="182">
        <f>S25-T25</f>
        <v>76.202602121513237</v>
      </c>
      <c r="W25" s="180"/>
      <c r="X25" s="180"/>
      <c r="Y25" s="180"/>
      <c r="Z25" s="180"/>
      <c r="AA25" s="180"/>
      <c r="AB25" s="180">
        <v>0</v>
      </c>
      <c r="AC25" s="231" t="e">
        <f>#REF!</f>
        <v>#REF!</v>
      </c>
      <c r="AD25" s="180"/>
      <c r="AE25" s="180"/>
      <c r="AF25" s="180"/>
      <c r="AG25" s="180"/>
      <c r="AH25" s="180"/>
      <c r="AI25" s="180">
        <v>38400000</v>
      </c>
      <c r="AJ25" s="181">
        <f t="shared" si="2"/>
        <v>23.797397878486766</v>
      </c>
      <c r="AK25" s="246">
        <f t="shared" si="6"/>
        <v>122962180</v>
      </c>
      <c r="AL25" s="181">
        <f t="shared" si="3"/>
        <v>76.202602121513223</v>
      </c>
      <c r="AM25" s="243"/>
    </row>
    <row r="26" spans="1:39" s="226" customFormat="1" ht="27.75" customHeight="1" x14ac:dyDescent="0.25">
      <c r="A26" s="236" t="s">
        <v>29</v>
      </c>
      <c r="B26" s="642" t="s">
        <v>104</v>
      </c>
      <c r="C26" s="626"/>
      <c r="D26" s="626"/>
      <c r="E26" s="626"/>
      <c r="F26" s="626"/>
      <c r="G26" s="626"/>
      <c r="H26" s="626"/>
      <c r="I26" s="627"/>
      <c r="J26" s="237" t="s">
        <v>366</v>
      </c>
      <c r="K26" s="238"/>
      <c r="L26" s="626" t="s">
        <v>105</v>
      </c>
      <c r="M26" s="626"/>
      <c r="N26" s="627"/>
      <c r="O26" s="239">
        <v>4150000000</v>
      </c>
      <c r="P26" s="239">
        <f>O26</f>
        <v>4150000000</v>
      </c>
      <c r="Q26" s="239">
        <f>SUM(Q27:Q29)</f>
        <v>10152503603</v>
      </c>
      <c r="R26" s="240">
        <f>Q26/Q26*100</f>
        <v>100</v>
      </c>
      <c r="S26" s="240">
        <v>100</v>
      </c>
      <c r="T26" s="239">
        <f t="shared" si="7"/>
        <v>5.7621354680153569</v>
      </c>
      <c r="U26" s="239">
        <f>AJ26</f>
        <v>5.7621354680153569</v>
      </c>
      <c r="V26" s="241">
        <f t="shared" si="4"/>
        <v>94.237864531984641</v>
      </c>
      <c r="W26" s="239"/>
      <c r="X26" s="239" t="e">
        <f>#REF!</f>
        <v>#REF!</v>
      </c>
      <c r="Y26" s="239" t="e">
        <f>#REF!</f>
        <v>#REF!</v>
      </c>
      <c r="Z26" s="239" t="e">
        <f>#REF!</f>
        <v>#REF!</v>
      </c>
      <c r="AA26" s="239" t="e">
        <f>#REF!</f>
        <v>#REF!</v>
      </c>
      <c r="AB26" s="239">
        <v>5532503616</v>
      </c>
      <c r="AC26" s="239" t="e">
        <f>#REF!</f>
        <v>#REF!</v>
      </c>
      <c r="AD26" s="239" t="e">
        <f>#REF!</f>
        <v>#REF!</v>
      </c>
      <c r="AE26" s="239" t="e">
        <f>#REF!</f>
        <v>#REF!</v>
      </c>
      <c r="AF26" s="239" t="e">
        <f>[1]April!$N$14</f>
        <v>#REF!</v>
      </c>
      <c r="AG26" s="239" t="e">
        <f>[2]april!$N$14</f>
        <v>#REF!</v>
      </c>
      <c r="AH26" s="239">
        <f>'[3]DES SKPD'!$N$14</f>
        <v>11081028822</v>
      </c>
      <c r="AI26" s="239">
        <f>SUM(AI27:AI32)</f>
        <v>585001011</v>
      </c>
      <c r="AJ26" s="240">
        <f t="shared" si="2"/>
        <v>5.7621354680153569</v>
      </c>
      <c r="AK26" s="250">
        <f>SUM(Q26-AI26)</f>
        <v>9567502592</v>
      </c>
      <c r="AL26" s="240">
        <f t="shared" si="3"/>
        <v>94.237864531984641</v>
      </c>
      <c r="AM26" s="236"/>
    </row>
    <row r="27" spans="1:39" ht="24.95" customHeight="1" x14ac:dyDescent="0.25">
      <c r="A27" s="243">
        <v>11</v>
      </c>
      <c r="B27" s="639" t="s">
        <v>106</v>
      </c>
      <c r="C27" s="597"/>
      <c r="D27" s="597"/>
      <c r="E27" s="597"/>
      <c r="F27" s="597"/>
      <c r="G27" s="597"/>
      <c r="H27" s="597"/>
      <c r="I27" s="598"/>
      <c r="J27" s="244" t="s">
        <v>367</v>
      </c>
      <c r="K27" s="245"/>
      <c r="L27" s="597" t="s">
        <v>107</v>
      </c>
      <c r="M27" s="597"/>
      <c r="N27" s="598"/>
      <c r="O27" s="180">
        <v>2869514353</v>
      </c>
      <c r="P27" s="180"/>
      <c r="Q27" s="180">
        <v>9463503603</v>
      </c>
      <c r="R27" s="181">
        <f t="shared" ref="R27" si="9">Q27/Q$10*100</f>
        <v>7.6125889444378787</v>
      </c>
      <c r="S27" s="181">
        <v>100</v>
      </c>
      <c r="T27" s="180">
        <f t="shared" si="7"/>
        <v>3.0672511490140129</v>
      </c>
      <c r="U27" s="180">
        <f t="shared" ref="U27:U31" si="10">R27*T27/100</f>
        <v>0.23349722186798455</v>
      </c>
      <c r="V27" s="182">
        <f>S27-T27</f>
        <v>96.932748850985988</v>
      </c>
      <c r="W27" s="180">
        <v>0</v>
      </c>
      <c r="X27" s="180">
        <v>0</v>
      </c>
      <c r="Y27" s="180">
        <f>[4]MARET!$N$14</f>
        <v>1079679809</v>
      </c>
      <c r="Z27" s="180">
        <v>3345735931</v>
      </c>
      <c r="AA27" s="180" t="e">
        <f>[5]maret!$Q$166</f>
        <v>#REF!</v>
      </c>
      <c r="AB27" s="180">
        <f>[6]JUNI!$S$166</f>
        <v>2116323666</v>
      </c>
      <c r="AC27" s="180"/>
      <c r="AD27" s="180"/>
      <c r="AE27" s="180"/>
      <c r="AF27" s="180"/>
      <c r="AG27" s="180"/>
      <c r="AH27" s="180"/>
      <c r="AI27" s="180">
        <v>290269423</v>
      </c>
      <c r="AJ27" s="181">
        <f t="shared" si="2"/>
        <v>3.0672511490140129</v>
      </c>
      <c r="AK27" s="246">
        <f t="shared" si="6"/>
        <v>9173234180</v>
      </c>
      <c r="AL27" s="181">
        <f t="shared" si="3"/>
        <v>96.932748850985988</v>
      </c>
      <c r="AM27" s="243"/>
    </row>
    <row r="28" spans="1:39" ht="24.95" customHeight="1" x14ac:dyDescent="0.25">
      <c r="A28" s="243">
        <v>12</v>
      </c>
      <c r="B28" s="639" t="s">
        <v>108</v>
      </c>
      <c r="C28" s="597"/>
      <c r="D28" s="597"/>
      <c r="E28" s="597"/>
      <c r="F28" s="597"/>
      <c r="G28" s="597"/>
      <c r="H28" s="597"/>
      <c r="I28" s="598"/>
      <c r="J28" s="244"/>
      <c r="K28" s="245"/>
      <c r="L28" s="597" t="s">
        <v>110</v>
      </c>
      <c r="M28" s="597"/>
      <c r="N28" s="598"/>
      <c r="O28" s="180"/>
      <c r="P28" s="180"/>
      <c r="Q28" s="180"/>
      <c r="R28" s="181">
        <f>AI28/Q$10*100</f>
        <v>0.15581338475799236</v>
      </c>
      <c r="S28" s="181">
        <v>0</v>
      </c>
      <c r="T28" s="180">
        <f>AJ28</f>
        <v>0</v>
      </c>
      <c r="U28" s="180">
        <f>R28*T28/100</f>
        <v>0</v>
      </c>
      <c r="V28" s="182">
        <f>T28-S28</f>
        <v>0</v>
      </c>
      <c r="W28" s="180">
        <v>0</v>
      </c>
      <c r="X28" s="180">
        <v>0</v>
      </c>
      <c r="Y28" s="180" t="e">
        <f>'[7]LRA RINCIAN nBJEK'!$N$334</f>
        <v>#REF!</v>
      </c>
      <c r="Z28" s="180" t="e">
        <f>'[8]DPKD versi ekbang'!$P$334</f>
        <v>#REF!</v>
      </c>
      <c r="AA28" s="180" t="e">
        <f>[5]maret!$Q$224</f>
        <v>#REF!</v>
      </c>
      <c r="AB28" s="180">
        <f>[6]JUNI!$S$224</f>
        <v>1216233073</v>
      </c>
      <c r="AC28" s="180"/>
      <c r="AD28" s="180"/>
      <c r="AE28" s="180"/>
      <c r="AF28" s="180"/>
      <c r="AG28" s="180"/>
      <c r="AH28" s="180"/>
      <c r="AI28" s="180">
        <v>193697642</v>
      </c>
      <c r="AJ28" s="181">
        <v>0</v>
      </c>
      <c r="AK28" s="251">
        <f>SUM(Q28-AI28)</f>
        <v>-193697642</v>
      </c>
      <c r="AL28" s="181">
        <v>0</v>
      </c>
      <c r="AM28" s="243"/>
    </row>
    <row r="29" spans="1:39" ht="24.95" customHeight="1" x14ac:dyDescent="0.25">
      <c r="A29" s="243">
        <v>13</v>
      </c>
      <c r="B29" s="639" t="s">
        <v>108</v>
      </c>
      <c r="C29" s="597"/>
      <c r="D29" s="597"/>
      <c r="E29" s="597"/>
      <c r="F29" s="597"/>
      <c r="G29" s="597"/>
      <c r="H29" s="597"/>
      <c r="I29" s="598"/>
      <c r="J29" s="244" t="s">
        <v>382</v>
      </c>
      <c r="K29" s="245"/>
      <c r="L29" s="597" t="s">
        <v>368</v>
      </c>
      <c r="M29" s="597"/>
      <c r="N29" s="598"/>
      <c r="O29" s="180"/>
      <c r="P29" s="180"/>
      <c r="Q29" s="180">
        <v>689000000</v>
      </c>
      <c r="R29" s="181">
        <f>AI29/Q$10*100</f>
        <v>6.4215112688512793E-2</v>
      </c>
      <c r="S29" s="181">
        <v>0</v>
      </c>
      <c r="T29" s="180">
        <f t="shared" si="7"/>
        <v>11.586108708272858</v>
      </c>
      <c r="U29" s="180">
        <f t="shared" si="10"/>
        <v>7.4400327632310106E-3</v>
      </c>
      <c r="V29" s="182">
        <f t="shared" ref="V29:V31" si="11">T29-S29</f>
        <v>11.586108708272858</v>
      </c>
      <c r="W29" s="180">
        <v>0</v>
      </c>
      <c r="X29" s="180">
        <v>0</v>
      </c>
      <c r="Y29" s="180" t="e">
        <f>'[7]LRA RINCIAN nBJEK'!$N$334</f>
        <v>#REF!</v>
      </c>
      <c r="Z29" s="180" t="e">
        <f>'[8]DPKD versi ekbang'!$P$334</f>
        <v>#REF!</v>
      </c>
      <c r="AA29" s="180" t="e">
        <f>[5]maret!$Q$265</f>
        <v>#REF!</v>
      </c>
      <c r="AB29" s="180">
        <f>[6]JUNI!$S$265</f>
        <v>727292590</v>
      </c>
      <c r="AC29" s="180"/>
      <c r="AD29" s="180"/>
      <c r="AE29" s="180"/>
      <c r="AF29" s="180"/>
      <c r="AG29" s="180"/>
      <c r="AH29" s="180"/>
      <c r="AI29" s="180">
        <f>(79828289)</f>
        <v>79828289</v>
      </c>
      <c r="AJ29" s="181">
        <f>AI29/Q29*100</f>
        <v>11.586108708272858</v>
      </c>
      <c r="AK29" s="246">
        <f t="shared" si="6"/>
        <v>609171711</v>
      </c>
      <c r="AL29" s="181">
        <f>AK29/Q29*100</f>
        <v>88.41389129172714</v>
      </c>
      <c r="AM29" s="243"/>
    </row>
    <row r="30" spans="1:39" ht="24.95" customHeight="1" thickBot="1" x14ac:dyDescent="0.3">
      <c r="A30" s="243">
        <v>14</v>
      </c>
      <c r="B30" s="636" t="s">
        <v>108</v>
      </c>
      <c r="C30" s="637"/>
      <c r="D30" s="637"/>
      <c r="E30" s="637"/>
      <c r="F30" s="637"/>
      <c r="G30" s="637"/>
      <c r="H30" s="637"/>
      <c r="I30" s="638"/>
      <c r="J30" s="244"/>
      <c r="K30" s="245"/>
      <c r="L30" s="597" t="s">
        <v>385</v>
      </c>
      <c r="M30" s="597"/>
      <c r="N30" s="598"/>
      <c r="O30" s="180"/>
      <c r="P30" s="180"/>
      <c r="Q30" s="180"/>
      <c r="R30" s="181">
        <f>Q30/Q$10*100</f>
        <v>0</v>
      </c>
      <c r="S30" s="181">
        <v>0</v>
      </c>
      <c r="T30" s="180">
        <f t="shared" si="7"/>
        <v>0</v>
      </c>
      <c r="U30" s="180">
        <f t="shared" si="10"/>
        <v>0</v>
      </c>
      <c r="V30" s="182">
        <f t="shared" si="11"/>
        <v>0</v>
      </c>
      <c r="W30" s="180">
        <v>0</v>
      </c>
      <c r="X30" s="180">
        <v>0</v>
      </c>
      <c r="Y30" s="180" t="e">
        <f>'[7]LRA RINCIAN nBJEK'!$N$334</f>
        <v>#REF!</v>
      </c>
      <c r="Z30" s="180" t="e">
        <f>'[8]DPKD versi ekbang'!$P$334</f>
        <v>#REF!</v>
      </c>
      <c r="AA30" s="180" t="e">
        <f>[5]maret!$Q$269</f>
        <v>#REF!</v>
      </c>
      <c r="AB30" s="180">
        <f>[6]JUNI!$S$269</f>
        <v>319903749</v>
      </c>
      <c r="AC30" s="180"/>
      <c r="AD30" s="180"/>
      <c r="AE30" s="180"/>
      <c r="AF30" s="180"/>
      <c r="AG30" s="180"/>
      <c r="AH30" s="180"/>
      <c r="AI30" s="180"/>
      <c r="AJ30" s="181">
        <v>0</v>
      </c>
      <c r="AK30" s="251">
        <f t="shared" si="6"/>
        <v>0</v>
      </c>
      <c r="AL30" s="181">
        <v>0</v>
      </c>
      <c r="AM30" s="243"/>
    </row>
    <row r="31" spans="1:39" ht="24.95" customHeight="1" thickTop="1" thickBot="1" x14ac:dyDescent="0.3">
      <c r="A31" s="243">
        <v>15</v>
      </c>
      <c r="B31" s="252"/>
      <c r="C31" s="252"/>
      <c r="D31" s="252"/>
      <c r="E31" s="252"/>
      <c r="F31" s="252"/>
      <c r="G31" s="252"/>
      <c r="H31" s="252"/>
      <c r="I31" s="253"/>
      <c r="J31" s="244"/>
      <c r="K31" s="245"/>
      <c r="L31" s="597" t="s">
        <v>384</v>
      </c>
      <c r="M31" s="597"/>
      <c r="N31" s="598"/>
      <c r="O31" s="180">
        <v>599994905</v>
      </c>
      <c r="P31" s="180"/>
      <c r="Q31" s="180"/>
      <c r="R31" s="181">
        <f>Q31/Q$10*100</f>
        <v>0</v>
      </c>
      <c r="S31" s="181">
        <v>0</v>
      </c>
      <c r="T31" s="180">
        <f t="shared" si="7"/>
        <v>0</v>
      </c>
      <c r="U31" s="180">
        <f t="shared" si="10"/>
        <v>0</v>
      </c>
      <c r="V31" s="182">
        <f t="shared" si="11"/>
        <v>0</v>
      </c>
      <c r="W31" s="180">
        <v>0</v>
      </c>
      <c r="X31" s="180">
        <v>0</v>
      </c>
      <c r="Y31" s="180" t="e">
        <f>'[7]LRA RINCIAN nBJEK'!$N$334</f>
        <v>#REF!</v>
      </c>
      <c r="Z31" s="180" t="e">
        <f>'[8]DPKD versi ekbang'!$P$334</f>
        <v>#REF!</v>
      </c>
      <c r="AA31" s="180" t="e">
        <f>[5]maret!$Q$269</f>
        <v>#REF!</v>
      </c>
      <c r="AB31" s="180">
        <f>[6]JUNI!$S$269</f>
        <v>319903749</v>
      </c>
      <c r="AC31" s="180"/>
      <c r="AD31" s="180"/>
      <c r="AE31" s="180"/>
      <c r="AF31" s="180"/>
      <c r="AG31" s="180"/>
      <c r="AH31" s="180"/>
      <c r="AI31" s="180">
        <v>750000</v>
      </c>
      <c r="AJ31" s="181">
        <v>0</v>
      </c>
      <c r="AK31" s="251">
        <f t="shared" si="6"/>
        <v>-750000</v>
      </c>
      <c r="AL31" s="181">
        <v>0</v>
      </c>
      <c r="AM31" s="243"/>
    </row>
    <row r="32" spans="1:39" ht="24.95" customHeight="1" thickTop="1" thickBot="1" x14ac:dyDescent="0.3">
      <c r="A32" s="243">
        <v>16</v>
      </c>
      <c r="B32" s="639" t="s">
        <v>108</v>
      </c>
      <c r="C32" s="597"/>
      <c r="D32" s="597"/>
      <c r="E32" s="597"/>
      <c r="F32" s="597"/>
      <c r="G32" s="597"/>
      <c r="H32" s="597"/>
      <c r="I32" s="598"/>
      <c r="J32" s="244"/>
      <c r="K32" s="245"/>
      <c r="L32" s="637" t="s">
        <v>109</v>
      </c>
      <c r="M32" s="637"/>
      <c r="N32" s="638"/>
      <c r="O32" s="180"/>
      <c r="P32" s="180"/>
      <c r="Q32" s="180"/>
      <c r="R32" s="181">
        <f>AI32/Q$10*100</f>
        <v>1.645484747108341E-2</v>
      </c>
      <c r="S32" s="181">
        <v>0</v>
      </c>
      <c r="T32" s="180">
        <f>AJ32</f>
        <v>0</v>
      </c>
      <c r="U32" s="180">
        <f>R32*T32/100</f>
        <v>0</v>
      </c>
      <c r="V32" s="182">
        <f>T32-S32</f>
        <v>0</v>
      </c>
      <c r="W32" s="180">
        <v>0</v>
      </c>
      <c r="X32" s="180">
        <v>0</v>
      </c>
      <c r="Y32" s="180" t="e">
        <f>'[7]LRA RINCIAN nBJEK'!$N$334</f>
        <v>#REF!</v>
      </c>
      <c r="Z32" s="180" t="e">
        <f>'[8]DPKD versi ekbang'!$P$334</f>
        <v>#REF!</v>
      </c>
      <c r="AA32" s="180" t="e">
        <f>[5]maret!$Q$198</f>
        <v>#REF!</v>
      </c>
      <c r="AB32" s="180">
        <f>[6]JUNI!$S$198</f>
        <v>16694136</v>
      </c>
      <c r="AC32" s="180"/>
      <c r="AD32" s="180"/>
      <c r="AE32" s="180"/>
      <c r="AF32" s="180"/>
      <c r="AG32" s="180"/>
      <c r="AH32" s="180"/>
      <c r="AI32" s="180">
        <v>20455657</v>
      </c>
      <c r="AJ32" s="181">
        <v>0</v>
      </c>
      <c r="AK32" s="251">
        <f>SUM(Q32-AI32)</f>
        <v>-20455657</v>
      </c>
      <c r="AL32" s="181">
        <v>0</v>
      </c>
      <c r="AM32" s="243"/>
    </row>
    <row r="33" spans="1:39" s="256" customFormat="1" ht="27.75" customHeight="1" thickTop="1" thickBot="1" x14ac:dyDescent="0.3">
      <c r="A33" s="218"/>
      <c r="B33" s="254"/>
      <c r="C33" s="254"/>
      <c r="D33" s="254"/>
      <c r="E33" s="254"/>
      <c r="F33" s="254"/>
      <c r="G33" s="254"/>
      <c r="H33" s="254"/>
      <c r="I33" s="255"/>
      <c r="J33" s="254" t="s">
        <v>211</v>
      </c>
      <c r="K33" s="220"/>
      <c r="L33" s="640" t="s">
        <v>9</v>
      </c>
      <c r="M33" s="640"/>
      <c r="N33" s="641"/>
      <c r="O33" s="221" t="e">
        <f>SUM(O35:O53)</f>
        <v>#REF!</v>
      </c>
      <c r="P33" s="221" t="e">
        <f>SUM(P35:P53)</f>
        <v>#REF!</v>
      </c>
      <c r="Q33" s="221">
        <f>SUM(Q35+Q53)</f>
        <v>30948438581</v>
      </c>
      <c r="R33" s="222">
        <f>Q33/Q33*100</f>
        <v>100</v>
      </c>
      <c r="S33" s="221">
        <f>S35</f>
        <v>100</v>
      </c>
      <c r="T33" s="221">
        <f>AJ33</f>
        <v>6.9600065520668979</v>
      </c>
      <c r="U33" s="221">
        <f>SUM(R33*T33/100)</f>
        <v>6.9600065520668979</v>
      </c>
      <c r="V33" s="223">
        <f>S33-T33</f>
        <v>93.039993447933099</v>
      </c>
      <c r="W33" s="221">
        <f t="shared" ref="W33:AH33" si="12">SUM(W35:W53)</f>
        <v>0</v>
      </c>
      <c r="X33" s="221" t="e">
        <f t="shared" si="12"/>
        <v>#REF!</v>
      </c>
      <c r="Y33" s="221" t="e">
        <f t="shared" si="12"/>
        <v>#REF!</v>
      </c>
      <c r="Z33" s="221" t="e">
        <f t="shared" si="12"/>
        <v>#REF!</v>
      </c>
      <c r="AA33" s="221" t="e">
        <f t="shared" si="12"/>
        <v>#REF!</v>
      </c>
      <c r="AB33" s="221">
        <f t="shared" si="12"/>
        <v>13148060099</v>
      </c>
      <c r="AC33" s="221" t="e">
        <f t="shared" si="12"/>
        <v>#REF!</v>
      </c>
      <c r="AD33" s="221" t="e">
        <f t="shared" si="12"/>
        <v>#REF!</v>
      </c>
      <c r="AE33" s="221" t="e">
        <f t="shared" si="12"/>
        <v>#REF!</v>
      </c>
      <c r="AF33" s="221" t="e">
        <f t="shared" si="12"/>
        <v>#REF!</v>
      </c>
      <c r="AG33" s="221" t="e">
        <f t="shared" si="12"/>
        <v>#REF!</v>
      </c>
      <c r="AH33" s="221" t="e">
        <f t="shared" si="12"/>
        <v>#REF!</v>
      </c>
      <c r="AI33" s="221">
        <f>SUM(AI36+AI53)</f>
        <v>2154013353</v>
      </c>
      <c r="AJ33" s="224">
        <f>AI33/Q33*100</f>
        <v>6.9600065520668979</v>
      </c>
      <c r="AK33" s="225">
        <f>SUM(AK36+AK53)</f>
        <v>28794425228</v>
      </c>
      <c r="AL33" s="224">
        <f>AK33/Q33*100</f>
        <v>93.039993447933099</v>
      </c>
      <c r="AM33" s="218"/>
    </row>
    <row r="34" spans="1:39" ht="13.5" customHeight="1" thickTop="1" x14ac:dyDescent="0.25">
      <c r="A34" s="243"/>
      <c r="B34" s="257"/>
      <c r="C34" s="257"/>
      <c r="D34" s="257"/>
      <c r="E34" s="257"/>
      <c r="F34" s="257"/>
      <c r="G34" s="257"/>
      <c r="H34" s="257"/>
      <c r="I34" s="258"/>
      <c r="J34" s="257"/>
      <c r="K34" s="245"/>
      <c r="L34" s="257"/>
      <c r="M34" s="257"/>
      <c r="N34" s="258"/>
      <c r="O34" s="243"/>
      <c r="P34" s="243"/>
      <c r="Q34" s="243"/>
      <c r="R34" s="243"/>
      <c r="S34" s="243"/>
      <c r="T34" s="243"/>
      <c r="U34" s="243"/>
      <c r="V34" s="182"/>
      <c r="W34" s="243"/>
      <c r="X34" s="243"/>
      <c r="Y34" s="243"/>
      <c r="Z34" s="243"/>
      <c r="AA34" s="243"/>
      <c r="AB34" s="243"/>
      <c r="AC34" s="243"/>
      <c r="AD34" s="243"/>
      <c r="AE34" s="243"/>
      <c r="AF34" s="243"/>
      <c r="AG34" s="243"/>
      <c r="AH34" s="243"/>
      <c r="AI34" s="243"/>
      <c r="AJ34" s="243"/>
      <c r="AK34" s="259"/>
      <c r="AL34" s="243"/>
      <c r="AM34" s="243"/>
    </row>
    <row r="35" spans="1:39" s="226" customFormat="1" ht="28.5" customHeight="1" x14ac:dyDescent="0.25">
      <c r="A35" s="260"/>
      <c r="B35" s="633" t="s">
        <v>111</v>
      </c>
      <c r="C35" s="633"/>
      <c r="D35" s="633"/>
      <c r="E35" s="633"/>
      <c r="F35" s="633"/>
      <c r="G35" s="633"/>
      <c r="H35" s="633"/>
      <c r="I35" s="633"/>
      <c r="J35" s="261" t="s">
        <v>212</v>
      </c>
      <c r="K35" s="262"/>
      <c r="L35" s="634" t="s">
        <v>10</v>
      </c>
      <c r="M35" s="633"/>
      <c r="N35" s="633"/>
      <c r="O35" s="263">
        <v>6663803304</v>
      </c>
      <c r="P35" s="263">
        <f>O35</f>
        <v>6663803304</v>
      </c>
      <c r="Q35" s="263">
        <f>SUM(Q36)</f>
        <v>11607289675</v>
      </c>
      <c r="R35" s="222">
        <f>Q35/Q33*100</f>
        <v>37.505251338030341</v>
      </c>
      <c r="S35" s="260">
        <v>100</v>
      </c>
      <c r="T35" s="263">
        <f>AJ35</f>
        <v>18.557418771406688</v>
      </c>
      <c r="U35" s="263">
        <f>R35*T35/100</f>
        <v>6.9600065520668997</v>
      </c>
      <c r="V35" s="264">
        <f>S35-T35</f>
        <v>81.442581228593312</v>
      </c>
      <c r="W35" s="263"/>
      <c r="X35" s="263" t="e">
        <f>#REF!</f>
        <v>#REF!</v>
      </c>
      <c r="Y35" s="263" t="e">
        <f>#REF!</f>
        <v>#REF!</v>
      </c>
      <c r="Z35" s="263" t="e">
        <f>#REF!</f>
        <v>#REF!</v>
      </c>
      <c r="AA35" s="263" t="e">
        <f>#REF!</f>
        <v>#REF!</v>
      </c>
      <c r="AB35" s="263">
        <v>2898050817</v>
      </c>
      <c r="AC35" s="263" t="e">
        <f>#REF!</f>
        <v>#REF!</v>
      </c>
      <c r="AD35" s="263" t="e">
        <f>#REF!</f>
        <v>#REF!</v>
      </c>
      <c r="AE35" s="263" t="e">
        <f>#REF!</f>
        <v>#REF!</v>
      </c>
      <c r="AF35" s="263" t="e">
        <f>[1]April!$N$17</f>
        <v>#REF!</v>
      </c>
      <c r="AG35" s="263" t="e">
        <f>[2]april!$N$17</f>
        <v>#REF!</v>
      </c>
      <c r="AH35" s="263">
        <f>'[3]DES SKPD'!$N$17</f>
        <v>8257610364</v>
      </c>
      <c r="AI35" s="263">
        <f>SUM(AI36)</f>
        <v>2154013353</v>
      </c>
      <c r="AJ35" s="260">
        <f>AI35/Q35*100</f>
        <v>18.557418771406688</v>
      </c>
      <c r="AK35" s="265">
        <f>SUM(AK36)</f>
        <v>9453276322</v>
      </c>
      <c r="AL35" s="260">
        <f>AK35/Q35*100</f>
        <v>81.442581228593312</v>
      </c>
      <c r="AM35" s="222"/>
    </row>
    <row r="36" spans="1:39" s="226" customFormat="1" ht="28.5" customHeight="1" x14ac:dyDescent="0.25">
      <c r="A36" s="260"/>
      <c r="B36" s="266"/>
      <c r="C36" s="266"/>
      <c r="D36" s="266"/>
      <c r="E36" s="266"/>
      <c r="F36" s="266"/>
      <c r="G36" s="266"/>
      <c r="H36" s="266"/>
      <c r="I36" s="267"/>
      <c r="J36" s="268" t="s">
        <v>219</v>
      </c>
      <c r="K36" s="262"/>
      <c r="L36" s="635" t="s">
        <v>218</v>
      </c>
      <c r="M36" s="635"/>
      <c r="N36" s="634"/>
      <c r="O36" s="263"/>
      <c r="P36" s="263"/>
      <c r="Q36" s="263">
        <f>SUM(Q37+Q47+Q50)</f>
        <v>11607289675</v>
      </c>
      <c r="R36" s="222">
        <f>Q36/Q33*100</f>
        <v>37.505251338030341</v>
      </c>
      <c r="S36" s="260">
        <v>100</v>
      </c>
      <c r="T36" s="263">
        <f t="shared" ref="T36:T51" si="13">AJ36</f>
        <v>18.557418771406688</v>
      </c>
      <c r="U36" s="263">
        <f>R36*T36/100</f>
        <v>6.9600065520668997</v>
      </c>
      <c r="V36" s="264">
        <f t="shared" ref="V36:V51" si="14">S36-T36</f>
        <v>81.442581228593312</v>
      </c>
      <c r="W36" s="263"/>
      <c r="X36" s="263"/>
      <c r="Y36" s="263"/>
      <c r="Z36" s="263"/>
      <c r="AA36" s="263"/>
      <c r="AB36" s="263"/>
      <c r="AC36" s="263"/>
      <c r="AD36" s="263"/>
      <c r="AE36" s="263"/>
      <c r="AF36" s="263"/>
      <c r="AG36" s="263"/>
      <c r="AH36" s="263"/>
      <c r="AI36" s="263">
        <f>SUM(AI37+AI47+AI50)</f>
        <v>2154013353</v>
      </c>
      <c r="AJ36" s="260">
        <f t="shared" ref="AJ36:AJ51" si="15">AI36/Q36*100</f>
        <v>18.557418771406688</v>
      </c>
      <c r="AK36" s="265">
        <f>SUM(AK37+AK47+AK50)</f>
        <v>9453276322</v>
      </c>
      <c r="AL36" s="260">
        <f t="shared" ref="AL36:AL51" si="16">AK36/Q36*100</f>
        <v>81.442581228593312</v>
      </c>
      <c r="AM36" s="222"/>
    </row>
    <row r="37" spans="1:39" s="226" customFormat="1" ht="28.5" customHeight="1" x14ac:dyDescent="0.25">
      <c r="A37" s="269" t="s">
        <v>7</v>
      </c>
      <c r="B37" s="266"/>
      <c r="C37" s="266"/>
      <c r="D37" s="266"/>
      <c r="E37" s="266"/>
      <c r="F37" s="266"/>
      <c r="G37" s="266"/>
      <c r="H37" s="266"/>
      <c r="I37" s="267"/>
      <c r="J37" s="268" t="s">
        <v>220</v>
      </c>
      <c r="K37" s="262"/>
      <c r="L37" s="635" t="s">
        <v>221</v>
      </c>
      <c r="M37" s="635"/>
      <c r="N37" s="634"/>
      <c r="O37" s="263"/>
      <c r="P37" s="263"/>
      <c r="Q37" s="263">
        <f>SUM(Q38:Q46)</f>
        <v>4242771195</v>
      </c>
      <c r="R37" s="222">
        <f>Q37/Q36*100</f>
        <v>36.552643328426285</v>
      </c>
      <c r="S37" s="260">
        <v>100</v>
      </c>
      <c r="T37" s="263">
        <f t="shared" si="13"/>
        <v>7.0706058661266082</v>
      </c>
      <c r="U37" s="263">
        <f>R37*T37/100</f>
        <v>2.5844933434040449</v>
      </c>
      <c r="V37" s="264">
        <f t="shared" si="14"/>
        <v>92.929394133873387</v>
      </c>
      <c r="W37" s="263"/>
      <c r="X37" s="263"/>
      <c r="Y37" s="263"/>
      <c r="Z37" s="263"/>
      <c r="AA37" s="263"/>
      <c r="AB37" s="263"/>
      <c r="AC37" s="263"/>
      <c r="AD37" s="263"/>
      <c r="AE37" s="263"/>
      <c r="AF37" s="263"/>
      <c r="AG37" s="263"/>
      <c r="AH37" s="263"/>
      <c r="AI37" s="263">
        <f>SUM(AI38:AI46)</f>
        <v>299989629</v>
      </c>
      <c r="AJ37" s="260">
        <f t="shared" si="15"/>
        <v>7.0706058661266082</v>
      </c>
      <c r="AK37" s="265">
        <f t="shared" ref="AK37:AK51" si="17">Q37-AI37</f>
        <v>3942781566</v>
      </c>
      <c r="AL37" s="260">
        <f t="shared" si="16"/>
        <v>92.929394133873387</v>
      </c>
      <c r="AM37" s="222"/>
    </row>
    <row r="38" spans="1:39" s="235" customFormat="1" ht="28.5" customHeight="1" x14ac:dyDescent="0.25">
      <c r="A38" s="259">
        <v>1</v>
      </c>
      <c r="B38" s="270"/>
      <c r="C38" s="270"/>
      <c r="D38" s="270"/>
      <c r="E38" s="270"/>
      <c r="F38" s="270"/>
      <c r="G38" s="270"/>
      <c r="H38" s="270"/>
      <c r="I38" s="271"/>
      <c r="J38" s="270" t="s">
        <v>222</v>
      </c>
      <c r="K38" s="272"/>
      <c r="L38" s="628" t="s">
        <v>223</v>
      </c>
      <c r="M38" s="628"/>
      <c r="N38" s="629"/>
      <c r="O38" s="180"/>
      <c r="P38" s="180"/>
      <c r="Q38" s="180">
        <v>3155998370</v>
      </c>
      <c r="R38" s="181">
        <f>Q38/Q$33*100</f>
        <v>10.197601283631622</v>
      </c>
      <c r="S38" s="273">
        <v>100</v>
      </c>
      <c r="T38" s="180">
        <f t="shared" si="13"/>
        <v>7.1578110479188872</v>
      </c>
      <c r="U38" s="180">
        <f t="shared" ref="U38:U46" si="18">SUM(R38*T38)</f>
        <v>72.992503130250242</v>
      </c>
      <c r="V38" s="274">
        <f t="shared" si="14"/>
        <v>92.842188952081116</v>
      </c>
      <c r="W38" s="180"/>
      <c r="X38" s="180"/>
      <c r="Y38" s="180"/>
      <c r="Z38" s="180"/>
      <c r="AA38" s="180"/>
      <c r="AB38" s="180"/>
      <c r="AC38" s="180"/>
      <c r="AD38" s="180"/>
      <c r="AE38" s="180"/>
      <c r="AF38" s="180"/>
      <c r="AG38" s="180"/>
      <c r="AH38" s="180"/>
      <c r="AI38" s="180">
        <f>(225900400)</f>
        <v>225900400</v>
      </c>
      <c r="AJ38" s="181">
        <f t="shared" si="15"/>
        <v>7.1578110479188872</v>
      </c>
      <c r="AK38" s="246">
        <f t="shared" si="17"/>
        <v>2930097970</v>
      </c>
      <c r="AL38" s="181">
        <f t="shared" si="16"/>
        <v>92.842188952081116</v>
      </c>
      <c r="AM38" s="181"/>
    </row>
    <row r="39" spans="1:39" s="235" customFormat="1" ht="28.5" customHeight="1" x14ac:dyDescent="0.25">
      <c r="A39" s="259">
        <v>2</v>
      </c>
      <c r="B39" s="270"/>
      <c r="C39" s="270"/>
      <c r="D39" s="270"/>
      <c r="E39" s="270"/>
      <c r="F39" s="270"/>
      <c r="G39" s="270"/>
      <c r="H39" s="270"/>
      <c r="I39" s="271"/>
      <c r="J39" s="270" t="s">
        <v>224</v>
      </c>
      <c r="K39" s="272"/>
      <c r="L39" s="628" t="s">
        <v>225</v>
      </c>
      <c r="M39" s="628"/>
      <c r="N39" s="629"/>
      <c r="O39" s="180"/>
      <c r="P39" s="180"/>
      <c r="Q39" s="180">
        <v>327556228</v>
      </c>
      <c r="R39" s="181">
        <f t="shared" ref="R39:R51" si="19">Q39/Q$33*100</f>
        <v>1.0583933891937758</v>
      </c>
      <c r="S39" s="273">
        <v>100</v>
      </c>
      <c r="T39" s="180">
        <f>AJ39</f>
        <v>6.8588486737611349</v>
      </c>
      <c r="U39" s="180">
        <f t="shared" si="18"/>
        <v>7.2593600937892822</v>
      </c>
      <c r="V39" s="275">
        <f t="shared" si="14"/>
        <v>93.14115132623887</v>
      </c>
      <c r="W39" s="180"/>
      <c r="X39" s="180"/>
      <c r="Y39" s="180"/>
      <c r="Z39" s="180"/>
      <c r="AA39" s="180"/>
      <c r="AB39" s="180"/>
      <c r="AC39" s="180"/>
      <c r="AD39" s="180"/>
      <c r="AE39" s="180"/>
      <c r="AF39" s="180"/>
      <c r="AG39" s="180"/>
      <c r="AH39" s="180"/>
      <c r="AI39" s="180">
        <f>(22466586)</f>
        <v>22466586</v>
      </c>
      <c r="AJ39" s="181">
        <f t="shared" si="15"/>
        <v>6.8588486737611349</v>
      </c>
      <c r="AK39" s="246">
        <f t="shared" si="17"/>
        <v>305089642</v>
      </c>
      <c r="AL39" s="181">
        <f t="shared" si="16"/>
        <v>93.14115132623887</v>
      </c>
      <c r="AM39" s="181"/>
    </row>
    <row r="40" spans="1:39" s="235" customFormat="1" ht="28.5" customHeight="1" x14ac:dyDescent="0.25">
      <c r="A40" s="259">
        <v>3</v>
      </c>
      <c r="B40" s="270"/>
      <c r="C40" s="270"/>
      <c r="D40" s="270"/>
      <c r="E40" s="270"/>
      <c r="F40" s="270"/>
      <c r="G40" s="270"/>
      <c r="H40" s="270"/>
      <c r="I40" s="271"/>
      <c r="J40" s="270" t="s">
        <v>226</v>
      </c>
      <c r="K40" s="272"/>
      <c r="L40" s="628" t="s">
        <v>227</v>
      </c>
      <c r="M40" s="628"/>
      <c r="N40" s="629"/>
      <c r="O40" s="180"/>
      <c r="P40" s="180"/>
      <c r="Q40" s="180">
        <v>316058750</v>
      </c>
      <c r="R40" s="181">
        <f t="shared" si="19"/>
        <v>1.0212429592297305</v>
      </c>
      <c r="S40" s="273">
        <v>100</v>
      </c>
      <c r="T40" s="180">
        <f t="shared" si="13"/>
        <v>5.8043006244883264</v>
      </c>
      <c r="U40" s="180">
        <f t="shared" si="18"/>
        <v>5.9276011460114315</v>
      </c>
      <c r="V40" s="275">
        <f t="shared" si="14"/>
        <v>94.19569937551168</v>
      </c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>
        <f>(18345000)</f>
        <v>18345000</v>
      </c>
      <c r="AJ40" s="181">
        <f>AI40/Q40*100</f>
        <v>5.8043006244883264</v>
      </c>
      <c r="AK40" s="246">
        <f t="shared" si="17"/>
        <v>297713750</v>
      </c>
      <c r="AL40" s="181">
        <f t="shared" si="16"/>
        <v>94.19569937551168</v>
      </c>
      <c r="AM40" s="181"/>
    </row>
    <row r="41" spans="1:39" s="235" customFormat="1" ht="28.5" customHeight="1" x14ac:dyDescent="0.25">
      <c r="A41" s="259">
        <v>4</v>
      </c>
      <c r="B41" s="270"/>
      <c r="C41" s="270"/>
      <c r="D41" s="270"/>
      <c r="E41" s="270"/>
      <c r="F41" s="270"/>
      <c r="G41" s="270"/>
      <c r="H41" s="270"/>
      <c r="I41" s="271"/>
      <c r="J41" s="270" t="s">
        <v>228</v>
      </c>
      <c r="K41" s="272"/>
      <c r="L41" s="628" t="s">
        <v>229</v>
      </c>
      <c r="M41" s="628"/>
      <c r="N41" s="629"/>
      <c r="O41" s="180"/>
      <c r="P41" s="180"/>
      <c r="Q41" s="180">
        <v>100378250</v>
      </c>
      <c r="R41" s="181">
        <f t="shared" si="19"/>
        <v>0.32434027240916979</v>
      </c>
      <c r="S41" s="273">
        <v>100</v>
      </c>
      <c r="T41" s="180">
        <f t="shared" si="13"/>
        <v>8.8066886999922787</v>
      </c>
      <c r="U41" s="180">
        <f t="shared" si="18"/>
        <v>2.8563638119782531</v>
      </c>
      <c r="V41" s="275">
        <f t="shared" si="14"/>
        <v>91.193311300007721</v>
      </c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>
        <f>(8840000)</f>
        <v>8840000</v>
      </c>
      <c r="AJ41" s="181">
        <f t="shared" si="15"/>
        <v>8.8066886999922787</v>
      </c>
      <c r="AK41" s="246">
        <f t="shared" si="17"/>
        <v>91538250</v>
      </c>
      <c r="AL41" s="181">
        <f t="shared" si="16"/>
        <v>91.193311300007721</v>
      </c>
      <c r="AM41" s="181"/>
    </row>
    <row r="42" spans="1:39" s="235" customFormat="1" ht="28.5" customHeight="1" x14ac:dyDescent="0.25">
      <c r="A42" s="259">
        <v>5</v>
      </c>
      <c r="B42" s="270"/>
      <c r="C42" s="270"/>
      <c r="D42" s="270"/>
      <c r="E42" s="270"/>
      <c r="F42" s="270"/>
      <c r="G42" s="270"/>
      <c r="H42" s="270"/>
      <c r="I42" s="271"/>
      <c r="J42" s="270" t="s">
        <v>230</v>
      </c>
      <c r="K42" s="272"/>
      <c r="L42" s="628" t="s">
        <v>231</v>
      </c>
      <c r="M42" s="628"/>
      <c r="N42" s="629"/>
      <c r="O42" s="180"/>
      <c r="P42" s="180"/>
      <c r="Q42" s="180">
        <v>220316124</v>
      </c>
      <c r="R42" s="273">
        <f t="shared" si="19"/>
        <v>0.71188122600555825</v>
      </c>
      <c r="S42" s="273">
        <v>100</v>
      </c>
      <c r="T42" s="180">
        <f t="shared" si="13"/>
        <v>7.13299585826047</v>
      </c>
      <c r="U42" s="180">
        <f t="shared" si="18"/>
        <v>5.0778458366710328</v>
      </c>
      <c r="V42" s="275">
        <f t="shared" si="14"/>
        <v>92.867004141739528</v>
      </c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>
        <f>(15715140)</f>
        <v>15715140</v>
      </c>
      <c r="AJ42" s="273">
        <f t="shared" si="15"/>
        <v>7.13299585826047</v>
      </c>
      <c r="AK42" s="246">
        <f t="shared" si="17"/>
        <v>204600984</v>
      </c>
      <c r="AL42" s="273">
        <f t="shared" si="16"/>
        <v>92.867004141739528</v>
      </c>
      <c r="AM42" s="181"/>
    </row>
    <row r="43" spans="1:39" s="235" customFormat="1" ht="28.5" customHeight="1" x14ac:dyDescent="0.25">
      <c r="A43" s="259">
        <v>6</v>
      </c>
      <c r="B43" s="270"/>
      <c r="C43" s="270"/>
      <c r="D43" s="270"/>
      <c r="E43" s="270"/>
      <c r="F43" s="270"/>
      <c r="G43" s="270"/>
      <c r="H43" s="270"/>
      <c r="I43" s="271"/>
      <c r="J43" s="270" t="s">
        <v>232</v>
      </c>
      <c r="K43" s="272"/>
      <c r="L43" s="628" t="s">
        <v>234</v>
      </c>
      <c r="M43" s="628"/>
      <c r="N43" s="629"/>
      <c r="O43" s="180"/>
      <c r="P43" s="180"/>
      <c r="Q43" s="180">
        <v>868720</v>
      </c>
      <c r="R43" s="273">
        <f t="shared" si="19"/>
        <v>2.8069913696173619E-3</v>
      </c>
      <c r="S43" s="273">
        <v>100</v>
      </c>
      <c r="T43" s="180">
        <f t="shared" si="13"/>
        <v>5.5771710102219361</v>
      </c>
      <c r="U43" s="180">
        <f t="shared" si="18"/>
        <v>1.565507089257312E-2</v>
      </c>
      <c r="V43" s="275">
        <f t="shared" si="14"/>
        <v>94.422828989778068</v>
      </c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>
        <f>(48450)</f>
        <v>48450</v>
      </c>
      <c r="AJ43" s="273">
        <f t="shared" si="15"/>
        <v>5.5771710102219361</v>
      </c>
      <c r="AK43" s="246">
        <f t="shared" si="17"/>
        <v>820270</v>
      </c>
      <c r="AL43" s="273">
        <f t="shared" si="16"/>
        <v>94.422828989778068</v>
      </c>
      <c r="AM43" s="181"/>
    </row>
    <row r="44" spans="1:39" s="235" customFormat="1" ht="28.5" customHeight="1" x14ac:dyDescent="0.25">
      <c r="A44" s="259">
        <v>7</v>
      </c>
      <c r="B44" s="270"/>
      <c r="C44" s="270"/>
      <c r="D44" s="270"/>
      <c r="E44" s="270"/>
      <c r="F44" s="270"/>
      <c r="G44" s="270"/>
      <c r="H44" s="270"/>
      <c r="I44" s="271"/>
      <c r="J44" s="270" t="s">
        <v>233</v>
      </c>
      <c r="K44" s="272"/>
      <c r="L44" s="628" t="s">
        <v>235</v>
      </c>
      <c r="M44" s="628"/>
      <c r="N44" s="629"/>
      <c r="O44" s="180"/>
      <c r="P44" s="180"/>
      <c r="Q44" s="180">
        <v>45647</v>
      </c>
      <c r="R44" s="273">
        <f t="shared" si="19"/>
        <v>1.4749370919159651E-4</v>
      </c>
      <c r="S44" s="273">
        <v>100</v>
      </c>
      <c r="T44" s="180">
        <f t="shared" si="13"/>
        <v>6.9467873025609572</v>
      </c>
      <c r="U44" s="180">
        <f t="shared" si="18"/>
        <v>1.0246074262198011E-3</v>
      </c>
      <c r="V44" s="275">
        <f t="shared" si="14"/>
        <v>93.053212697439037</v>
      </c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>
        <f>(3171)</f>
        <v>3171</v>
      </c>
      <c r="AJ44" s="273">
        <f t="shared" si="15"/>
        <v>6.9467873025609572</v>
      </c>
      <c r="AK44" s="246">
        <f t="shared" si="17"/>
        <v>42476</v>
      </c>
      <c r="AL44" s="273">
        <f t="shared" si="16"/>
        <v>93.053212697439051</v>
      </c>
      <c r="AM44" s="181"/>
    </row>
    <row r="45" spans="1:39" s="235" customFormat="1" ht="28.5" customHeight="1" x14ac:dyDescent="0.25">
      <c r="A45" s="259">
        <v>8</v>
      </c>
      <c r="B45" s="270"/>
      <c r="C45" s="270"/>
      <c r="D45" s="270"/>
      <c r="E45" s="270"/>
      <c r="F45" s="270"/>
      <c r="G45" s="270"/>
      <c r="H45" s="270"/>
      <c r="I45" s="271"/>
      <c r="J45" s="270" t="s">
        <v>236</v>
      </c>
      <c r="K45" s="272"/>
      <c r="L45" s="628" t="s">
        <v>237</v>
      </c>
      <c r="M45" s="628"/>
      <c r="N45" s="629"/>
      <c r="O45" s="180"/>
      <c r="P45" s="180"/>
      <c r="Q45" s="180">
        <v>104506702</v>
      </c>
      <c r="R45" s="273">
        <f t="shared" si="19"/>
        <v>0.33768004717420286</v>
      </c>
      <c r="S45" s="273">
        <v>100</v>
      </c>
      <c r="T45" s="180">
        <f t="shared" si="13"/>
        <v>7.129697768091467</v>
      </c>
      <c r="U45" s="180">
        <f t="shared" si="18"/>
        <v>2.4075566786669356</v>
      </c>
      <c r="V45" s="275">
        <f t="shared" si="14"/>
        <v>92.870302231908539</v>
      </c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>
        <f>(7451012)</f>
        <v>7451012</v>
      </c>
      <c r="AJ45" s="273">
        <f t="shared" si="15"/>
        <v>7.129697768091467</v>
      </c>
      <c r="AK45" s="246">
        <f t="shared" si="17"/>
        <v>97055690</v>
      </c>
      <c r="AL45" s="273">
        <f t="shared" si="16"/>
        <v>92.870302231908525</v>
      </c>
      <c r="AM45" s="181"/>
    </row>
    <row r="46" spans="1:39" s="235" customFormat="1" ht="28.5" customHeight="1" x14ac:dyDescent="0.25">
      <c r="A46" s="259">
        <v>9</v>
      </c>
      <c r="B46" s="270"/>
      <c r="C46" s="270"/>
      <c r="D46" s="270"/>
      <c r="E46" s="270"/>
      <c r="F46" s="270"/>
      <c r="G46" s="270"/>
      <c r="H46" s="270"/>
      <c r="I46" s="271"/>
      <c r="J46" s="270" t="s">
        <v>238</v>
      </c>
      <c r="K46" s="272"/>
      <c r="L46" s="628" t="s">
        <v>239</v>
      </c>
      <c r="M46" s="628"/>
      <c r="N46" s="629"/>
      <c r="O46" s="180"/>
      <c r="P46" s="180"/>
      <c r="Q46" s="180">
        <v>17042404</v>
      </c>
      <c r="R46" s="273">
        <f t="shared" si="19"/>
        <v>5.5067088297187136E-2</v>
      </c>
      <c r="S46" s="273">
        <v>100</v>
      </c>
      <c r="T46" s="180">
        <f t="shared" si="13"/>
        <v>7.1578516739774498</v>
      </c>
      <c r="U46" s="180">
        <f t="shared" si="18"/>
        <v>0.39416205014908495</v>
      </c>
      <c r="V46" s="276">
        <f t="shared" si="14"/>
        <v>92.842148326022553</v>
      </c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>
        <f>(1219870)</f>
        <v>1219870</v>
      </c>
      <c r="AJ46" s="273">
        <f t="shared" si="15"/>
        <v>7.1578516739774498</v>
      </c>
      <c r="AK46" s="246">
        <f t="shared" si="17"/>
        <v>15822534</v>
      </c>
      <c r="AL46" s="273">
        <f t="shared" si="16"/>
        <v>92.842148326022539</v>
      </c>
      <c r="AM46" s="181"/>
    </row>
    <row r="47" spans="1:39" s="235" customFormat="1" ht="28.5" customHeight="1" x14ac:dyDescent="0.25">
      <c r="A47" s="277" t="s">
        <v>8</v>
      </c>
      <c r="B47" s="278"/>
      <c r="C47" s="278"/>
      <c r="D47" s="278"/>
      <c r="E47" s="278"/>
      <c r="F47" s="278"/>
      <c r="G47" s="278"/>
      <c r="H47" s="278"/>
      <c r="I47" s="278"/>
      <c r="J47" s="278" t="s">
        <v>240</v>
      </c>
      <c r="K47" s="279"/>
      <c r="L47" s="630" t="s">
        <v>241</v>
      </c>
      <c r="M47" s="631"/>
      <c r="N47" s="631"/>
      <c r="O47" s="280"/>
      <c r="P47" s="280"/>
      <c r="Q47" s="280">
        <f>SUM(Q48:Q49)</f>
        <v>2764518480</v>
      </c>
      <c r="R47" s="222">
        <f>Q47/Q36*100</f>
        <v>23.817088721015313</v>
      </c>
      <c r="S47" s="281">
        <v>100</v>
      </c>
      <c r="T47" s="280">
        <f t="shared" si="13"/>
        <v>0</v>
      </c>
      <c r="U47" s="280">
        <f>R47*T47/100</f>
        <v>0</v>
      </c>
      <c r="V47" s="282">
        <f t="shared" si="14"/>
        <v>100</v>
      </c>
      <c r="W47" s="280"/>
      <c r="X47" s="280"/>
      <c r="Y47" s="280"/>
      <c r="Z47" s="280"/>
      <c r="AA47" s="280"/>
      <c r="AB47" s="280"/>
      <c r="AC47" s="280"/>
      <c r="AD47" s="280"/>
      <c r="AE47" s="280"/>
      <c r="AF47" s="280"/>
      <c r="AG47" s="280"/>
      <c r="AH47" s="280"/>
      <c r="AI47" s="280">
        <f>SUM(AI48:AI49)</f>
        <v>0</v>
      </c>
      <c r="AJ47" s="281">
        <f t="shared" si="15"/>
        <v>0</v>
      </c>
      <c r="AK47" s="283">
        <f t="shared" si="17"/>
        <v>2764518480</v>
      </c>
      <c r="AL47" s="281">
        <f t="shared" si="16"/>
        <v>100</v>
      </c>
      <c r="AM47" s="284"/>
    </row>
    <row r="48" spans="1:39" s="235" customFormat="1" ht="28.5" customHeight="1" x14ac:dyDescent="0.25">
      <c r="A48" s="259">
        <v>1</v>
      </c>
      <c r="B48" s="270"/>
      <c r="C48" s="270"/>
      <c r="D48" s="270"/>
      <c r="E48" s="270"/>
      <c r="F48" s="270"/>
      <c r="G48" s="270"/>
      <c r="H48" s="270"/>
      <c r="I48" s="271"/>
      <c r="J48" s="270" t="s">
        <v>242</v>
      </c>
      <c r="K48" s="272"/>
      <c r="L48" s="628" t="s">
        <v>243</v>
      </c>
      <c r="M48" s="628"/>
      <c r="N48" s="629"/>
      <c r="O48" s="180"/>
      <c r="P48" s="180"/>
      <c r="Q48" s="180">
        <v>2546193480</v>
      </c>
      <c r="R48" s="273">
        <f t="shared" si="19"/>
        <v>8.227211441817845</v>
      </c>
      <c r="S48" s="273">
        <v>100</v>
      </c>
      <c r="T48" s="180">
        <f t="shared" si="13"/>
        <v>0</v>
      </c>
      <c r="U48" s="285">
        <f>R48*T48/100</f>
        <v>0</v>
      </c>
      <c r="V48" s="275">
        <f t="shared" si="14"/>
        <v>100</v>
      </c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>
        <v>0</v>
      </c>
      <c r="AJ48" s="273">
        <f t="shared" si="15"/>
        <v>0</v>
      </c>
      <c r="AK48" s="246">
        <f t="shared" si="17"/>
        <v>2546193480</v>
      </c>
      <c r="AL48" s="273">
        <f t="shared" si="16"/>
        <v>100</v>
      </c>
      <c r="AM48" s="181"/>
    </row>
    <row r="49" spans="1:39" s="235" customFormat="1" ht="28.5" customHeight="1" x14ac:dyDescent="0.25">
      <c r="A49" s="259">
        <v>2</v>
      </c>
      <c r="B49" s="270"/>
      <c r="C49" s="270"/>
      <c r="D49" s="270"/>
      <c r="E49" s="270"/>
      <c r="F49" s="270"/>
      <c r="G49" s="270"/>
      <c r="H49" s="270"/>
      <c r="I49" s="271"/>
      <c r="J49" s="270" t="s">
        <v>244</v>
      </c>
      <c r="K49" s="272"/>
      <c r="L49" s="628" t="s">
        <v>245</v>
      </c>
      <c r="M49" s="628"/>
      <c r="N49" s="629"/>
      <c r="O49" s="180"/>
      <c r="P49" s="180"/>
      <c r="Q49" s="180">
        <v>218325000</v>
      </c>
      <c r="R49" s="273">
        <f t="shared" si="19"/>
        <v>0.70544754440062463</v>
      </c>
      <c r="S49" s="273">
        <v>100</v>
      </c>
      <c r="T49" s="180">
        <f t="shared" si="13"/>
        <v>0</v>
      </c>
      <c r="U49" s="286">
        <f>R49*T49/100</f>
        <v>0</v>
      </c>
      <c r="V49" s="276">
        <f t="shared" si="14"/>
        <v>100</v>
      </c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>
        <v>0</v>
      </c>
      <c r="AJ49" s="273">
        <f t="shared" si="15"/>
        <v>0</v>
      </c>
      <c r="AK49" s="246">
        <f t="shared" si="17"/>
        <v>218325000</v>
      </c>
      <c r="AL49" s="273">
        <f t="shared" si="16"/>
        <v>100</v>
      </c>
      <c r="AM49" s="181"/>
    </row>
    <row r="50" spans="1:39" s="235" customFormat="1" ht="28.5" customHeight="1" x14ac:dyDescent="0.25">
      <c r="A50" s="277" t="s">
        <v>29</v>
      </c>
      <c r="B50" s="287"/>
      <c r="C50" s="287"/>
      <c r="D50" s="287"/>
      <c r="E50" s="287"/>
      <c r="F50" s="287"/>
      <c r="G50" s="287"/>
      <c r="H50" s="287"/>
      <c r="I50" s="288"/>
      <c r="J50" s="287" t="s">
        <v>246</v>
      </c>
      <c r="K50" s="279"/>
      <c r="L50" s="632" t="s">
        <v>247</v>
      </c>
      <c r="M50" s="632"/>
      <c r="N50" s="630"/>
      <c r="O50" s="280"/>
      <c r="P50" s="280"/>
      <c r="Q50" s="280">
        <f>SUM(Q51)</f>
        <v>4600000000</v>
      </c>
      <c r="R50" s="222">
        <f>Q50/Q36*100</f>
        <v>39.630267950558405</v>
      </c>
      <c r="S50" s="281">
        <v>100</v>
      </c>
      <c r="T50" s="280">
        <f t="shared" si="13"/>
        <v>40.304863565217389</v>
      </c>
      <c r="U50" s="280">
        <f>R50*T50/100</f>
        <v>15.972925428002638</v>
      </c>
      <c r="V50" s="282">
        <f t="shared" si="14"/>
        <v>59.695136434782611</v>
      </c>
      <c r="W50" s="280"/>
      <c r="X50" s="280"/>
      <c r="Y50" s="280"/>
      <c r="Z50" s="280"/>
      <c r="AA50" s="280"/>
      <c r="AB50" s="280"/>
      <c r="AC50" s="280"/>
      <c r="AD50" s="280"/>
      <c r="AE50" s="280"/>
      <c r="AF50" s="280"/>
      <c r="AG50" s="280"/>
      <c r="AH50" s="280"/>
      <c r="AI50" s="263">
        <f>SUM(AI51)</f>
        <v>1854023724</v>
      </c>
      <c r="AJ50" s="281">
        <f t="shared" si="15"/>
        <v>40.304863565217389</v>
      </c>
      <c r="AK50" s="283">
        <f t="shared" si="17"/>
        <v>2745976276</v>
      </c>
      <c r="AL50" s="281">
        <f t="shared" si="16"/>
        <v>59.695136434782611</v>
      </c>
      <c r="AM50" s="284"/>
    </row>
    <row r="51" spans="1:39" s="235" customFormat="1" ht="28.5" customHeight="1" x14ac:dyDescent="0.25">
      <c r="A51" s="259">
        <v>1</v>
      </c>
      <c r="B51" s="270"/>
      <c r="C51" s="270"/>
      <c r="D51" s="270"/>
      <c r="E51" s="270"/>
      <c r="F51" s="270"/>
      <c r="G51" s="270"/>
      <c r="H51" s="270"/>
      <c r="I51" s="271"/>
      <c r="J51" s="270" t="s">
        <v>248</v>
      </c>
      <c r="K51" s="272"/>
      <c r="L51" s="628" t="s">
        <v>427</v>
      </c>
      <c r="M51" s="628"/>
      <c r="N51" s="629"/>
      <c r="O51" s="180"/>
      <c r="P51" s="180"/>
      <c r="Q51" s="180">
        <v>4600000000</v>
      </c>
      <c r="R51" s="273">
        <f t="shared" si="19"/>
        <v>14.863431600791815</v>
      </c>
      <c r="S51" s="273">
        <v>100</v>
      </c>
      <c r="T51" s="180">
        <f t="shared" si="13"/>
        <v>40.304863565217389</v>
      </c>
      <c r="U51" s="285">
        <f>R51*T51/100</f>
        <v>5.9906858278085471</v>
      </c>
      <c r="V51" s="274">
        <f t="shared" si="14"/>
        <v>59.695136434782611</v>
      </c>
      <c r="W51" s="180"/>
      <c r="X51" s="18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>
        <v>1854023724</v>
      </c>
      <c r="AJ51" s="273">
        <f t="shared" si="15"/>
        <v>40.304863565217389</v>
      </c>
      <c r="AK51" s="246">
        <f t="shared" si="17"/>
        <v>2745976276</v>
      </c>
      <c r="AL51" s="273">
        <f t="shared" si="16"/>
        <v>59.695136434782611</v>
      </c>
      <c r="AM51" s="181"/>
    </row>
    <row r="52" spans="1:39" ht="13.5" customHeight="1" x14ac:dyDescent="0.25">
      <c r="A52" s="243"/>
      <c r="B52" s="257"/>
      <c r="C52" s="257"/>
      <c r="D52" s="257"/>
      <c r="E52" s="257"/>
      <c r="F52" s="257"/>
      <c r="G52" s="257"/>
      <c r="H52" s="257"/>
      <c r="I52" s="258"/>
      <c r="J52" s="257"/>
      <c r="K52" s="245"/>
      <c r="L52" s="257"/>
      <c r="M52" s="257"/>
      <c r="N52" s="258"/>
      <c r="O52" s="243"/>
      <c r="P52" s="243"/>
      <c r="Q52" s="243"/>
      <c r="R52" s="243"/>
      <c r="S52" s="243"/>
      <c r="T52" s="243"/>
      <c r="U52" s="243"/>
      <c r="V52" s="182"/>
      <c r="W52" s="243"/>
      <c r="X52" s="243"/>
      <c r="Y52" s="243"/>
      <c r="Z52" s="243"/>
      <c r="AA52" s="243"/>
      <c r="AB52" s="243"/>
      <c r="AC52" s="243"/>
      <c r="AD52" s="243"/>
      <c r="AE52" s="243"/>
      <c r="AF52" s="243"/>
      <c r="AG52" s="243"/>
      <c r="AH52" s="243"/>
      <c r="AI52" s="243"/>
      <c r="AJ52" s="243"/>
      <c r="AK52" s="259"/>
      <c r="AL52" s="243"/>
      <c r="AM52" s="243"/>
    </row>
    <row r="53" spans="1:39" s="226" customFormat="1" ht="24.75" customHeight="1" x14ac:dyDescent="0.25">
      <c r="A53" s="289"/>
      <c r="B53" s="607" t="s">
        <v>112</v>
      </c>
      <c r="C53" s="607"/>
      <c r="D53" s="607"/>
      <c r="E53" s="607"/>
      <c r="F53" s="607"/>
      <c r="G53" s="607"/>
      <c r="H53" s="607"/>
      <c r="I53" s="608"/>
      <c r="J53" s="290" t="s">
        <v>441</v>
      </c>
      <c r="K53" s="291"/>
      <c r="L53" s="607" t="s">
        <v>11</v>
      </c>
      <c r="M53" s="607"/>
      <c r="N53" s="608"/>
      <c r="O53" s="263" t="e">
        <f>SUM(O54,O119,O156,O163,O175,O243,O666)</f>
        <v>#REF!</v>
      </c>
      <c r="P53" s="263" t="e">
        <f>SUM(P54,P119,P156,P163,P175,P243,P666)</f>
        <v>#REF!</v>
      </c>
      <c r="Q53" s="263">
        <f>SUM(Q54,Q119,Q156,Q163,Q175,Q243+Q657)</f>
        <v>19341148906</v>
      </c>
      <c r="R53" s="222">
        <f>Q53/Q33*100</f>
        <v>62.494748661969659</v>
      </c>
      <c r="S53" s="222">
        <f>S54</f>
        <v>100</v>
      </c>
      <c r="T53" s="263">
        <f t="shared" ref="T53:T138" si="20">AJ53</f>
        <v>0</v>
      </c>
      <c r="U53" s="263">
        <f t="shared" ref="U53:U89" si="21">R53*T53/100</f>
        <v>0</v>
      </c>
      <c r="V53" s="292">
        <f t="shared" ref="V53:V126" si="22">S53-T53</f>
        <v>100</v>
      </c>
      <c r="W53" s="263">
        <f>SUM(W54:W87)</f>
        <v>0</v>
      </c>
      <c r="X53" s="263" t="e">
        <f t="shared" ref="X53:AH53" si="23">SUM(X54,X119,X156,X163,X175,X243,X666)</f>
        <v>#REF!</v>
      </c>
      <c r="Y53" s="263" t="e">
        <f t="shared" si="23"/>
        <v>#REF!</v>
      </c>
      <c r="Z53" s="263" t="e">
        <f t="shared" si="23"/>
        <v>#REF!</v>
      </c>
      <c r="AA53" s="263" t="e">
        <f t="shared" si="23"/>
        <v>#REF!</v>
      </c>
      <c r="AB53" s="263">
        <f t="shared" si="23"/>
        <v>10250009282</v>
      </c>
      <c r="AC53" s="263" t="e">
        <f t="shared" si="23"/>
        <v>#REF!</v>
      </c>
      <c r="AD53" s="263" t="e">
        <f t="shared" si="23"/>
        <v>#REF!</v>
      </c>
      <c r="AE53" s="263" t="e">
        <f t="shared" si="23"/>
        <v>#REF!</v>
      </c>
      <c r="AF53" s="263" t="e">
        <f t="shared" si="23"/>
        <v>#REF!</v>
      </c>
      <c r="AG53" s="263" t="e">
        <f t="shared" si="23"/>
        <v>#REF!</v>
      </c>
      <c r="AH53" s="263" t="e">
        <f t="shared" si="23"/>
        <v>#REF!</v>
      </c>
      <c r="AI53" s="263">
        <f>SUM(AI54,AI119,AI156,AI163,AI175,AI243)</f>
        <v>0</v>
      </c>
      <c r="AJ53" s="222">
        <f t="shared" ref="AJ53:AJ138" si="24">AI53/Q53*100</f>
        <v>0</v>
      </c>
      <c r="AK53" s="265">
        <f>SUM(Q53-AI53)</f>
        <v>19341148906</v>
      </c>
      <c r="AL53" s="222">
        <f t="shared" ref="AL53:AL138" si="25">AK53/Q53*100</f>
        <v>100</v>
      </c>
      <c r="AM53" s="240"/>
    </row>
    <row r="54" spans="1:39" s="226" customFormat="1" ht="28.5" customHeight="1" x14ac:dyDescent="0.25">
      <c r="A54" s="236" t="s">
        <v>7</v>
      </c>
      <c r="B54" s="626" t="s">
        <v>113</v>
      </c>
      <c r="C54" s="626"/>
      <c r="D54" s="626"/>
      <c r="E54" s="626"/>
      <c r="F54" s="626"/>
      <c r="G54" s="626"/>
      <c r="H54" s="626"/>
      <c r="I54" s="627"/>
      <c r="J54" s="237" t="s">
        <v>439</v>
      </c>
      <c r="K54" s="238"/>
      <c r="L54" s="626" t="s">
        <v>12</v>
      </c>
      <c r="M54" s="626"/>
      <c r="N54" s="627"/>
      <c r="O54" s="239">
        <f>SUM(O55:O89)</f>
        <v>1502806500</v>
      </c>
      <c r="P54" s="239">
        <f>SUM(P55:P89)</f>
        <v>1794406500</v>
      </c>
      <c r="Q54" s="239">
        <f>SUM(Q55+Q57+Q61+Q63+Q67+Q70+Q76+Q78+Q81+Q84+Q87+Q89+Q91+Q105)</f>
        <v>2525908744</v>
      </c>
      <c r="R54" s="240">
        <f>Q54/Q$53*100</f>
        <v>13.059765768187711</v>
      </c>
      <c r="S54" s="240">
        <f>S55</f>
        <v>100</v>
      </c>
      <c r="T54" s="293">
        <f t="shared" si="20"/>
        <v>0</v>
      </c>
      <c r="U54" s="293">
        <f t="shared" si="21"/>
        <v>0</v>
      </c>
      <c r="V54" s="241">
        <f t="shared" si="22"/>
        <v>100</v>
      </c>
      <c r="W54" s="239">
        <f t="shared" ref="W54:AH54" si="26">SUM(W55:W89)</f>
        <v>0</v>
      </c>
      <c r="X54" s="239" t="e">
        <f t="shared" si="26"/>
        <v>#REF!</v>
      </c>
      <c r="Y54" s="239" t="e">
        <f t="shared" si="26"/>
        <v>#REF!</v>
      </c>
      <c r="Z54" s="239" t="e">
        <f t="shared" si="26"/>
        <v>#REF!</v>
      </c>
      <c r="AA54" s="239" t="e">
        <f t="shared" si="26"/>
        <v>#REF!</v>
      </c>
      <c r="AB54" s="239">
        <f t="shared" si="26"/>
        <v>1228213226</v>
      </c>
      <c r="AC54" s="239" t="e">
        <f t="shared" si="26"/>
        <v>#REF!</v>
      </c>
      <c r="AD54" s="239" t="e">
        <f t="shared" si="26"/>
        <v>#REF!</v>
      </c>
      <c r="AE54" s="239" t="e">
        <f t="shared" si="26"/>
        <v>#REF!</v>
      </c>
      <c r="AF54" s="239" t="e">
        <f t="shared" si="26"/>
        <v>#REF!</v>
      </c>
      <c r="AG54" s="239" t="e">
        <f t="shared" si="26"/>
        <v>#REF!</v>
      </c>
      <c r="AH54" s="239">
        <f t="shared" si="26"/>
        <v>3676337600</v>
      </c>
      <c r="AI54" s="239">
        <f>SUM(AI55+AI57+AI61+AI63+AI67+AI70+AI76+AI78+AI81+AI84+AI87+AI89)</f>
        <v>0</v>
      </c>
      <c r="AJ54" s="240">
        <f t="shared" si="24"/>
        <v>0</v>
      </c>
      <c r="AK54" s="242">
        <f>SUM(Q54-AI54)</f>
        <v>2525908744</v>
      </c>
      <c r="AL54" s="240">
        <f t="shared" si="25"/>
        <v>100</v>
      </c>
      <c r="AM54" s="236"/>
    </row>
    <row r="55" spans="1:39" s="297" customFormat="1" ht="24.75" customHeight="1" x14ac:dyDescent="0.25">
      <c r="A55" s="227">
        <v>1</v>
      </c>
      <c r="B55" s="615" t="s">
        <v>114</v>
      </c>
      <c r="C55" s="615"/>
      <c r="D55" s="615"/>
      <c r="E55" s="615"/>
      <c r="F55" s="615"/>
      <c r="G55" s="615"/>
      <c r="H55" s="615"/>
      <c r="I55" s="614"/>
      <c r="J55" s="228" t="s">
        <v>442</v>
      </c>
      <c r="K55" s="230"/>
      <c r="L55" s="294"/>
      <c r="M55" s="615" t="s">
        <v>13</v>
      </c>
      <c r="N55" s="614"/>
      <c r="O55" s="295">
        <v>26300000</v>
      </c>
      <c r="P55" s="231">
        <v>28400000</v>
      </c>
      <c r="Q55" s="231">
        <f>SUM(Q56)</f>
        <v>27000000</v>
      </c>
      <c r="R55" s="233">
        <f>Q55/Q$54*100</f>
        <v>1.068922227065223</v>
      </c>
      <c r="S55" s="233">
        <v>100</v>
      </c>
      <c r="T55" s="231">
        <f t="shared" si="20"/>
        <v>0</v>
      </c>
      <c r="U55" s="231">
        <f t="shared" si="21"/>
        <v>0</v>
      </c>
      <c r="V55" s="296">
        <f t="shared" si="22"/>
        <v>100</v>
      </c>
      <c r="W55" s="231"/>
      <c r="X55" s="231" t="e">
        <f>#REF!</f>
        <v>#REF!</v>
      </c>
      <c r="Y55" s="231" t="e">
        <f>#REF!</f>
        <v>#REF!</v>
      </c>
      <c r="Z55" s="231" t="e">
        <f>#REF!</f>
        <v>#REF!</v>
      </c>
      <c r="AA55" s="231" t="e">
        <f>#REF!</f>
        <v>#REF!</v>
      </c>
      <c r="AB55" s="231">
        <v>5828000</v>
      </c>
      <c r="AC55" s="231" t="e">
        <f>#REF!</f>
        <v>#REF!</v>
      </c>
      <c r="AD55" s="231" t="e">
        <f>#REF!</f>
        <v>#REF!</v>
      </c>
      <c r="AE55" s="231" t="e">
        <f>#REF!</f>
        <v>#REF!</v>
      </c>
      <c r="AF55" s="231" t="e">
        <f>[1]April!N21</f>
        <v>#REF!</v>
      </c>
      <c r="AG55" s="231" t="e">
        <f>[2]april!N21</f>
        <v>#REF!</v>
      </c>
      <c r="AH55" s="231">
        <f>'[3]DES SKPD'!$N21</f>
        <v>14378000</v>
      </c>
      <c r="AI55" s="231">
        <f>SUM(AI56)</f>
        <v>0</v>
      </c>
      <c r="AJ55" s="233">
        <f>AI55/Q55*100</f>
        <v>0</v>
      </c>
      <c r="AK55" s="234">
        <f>Q55-AI55</f>
        <v>27000000</v>
      </c>
      <c r="AL55" s="233">
        <f>AK55/Q55*100</f>
        <v>100</v>
      </c>
      <c r="AM55" s="227"/>
    </row>
    <row r="56" spans="1:39" ht="29.25" customHeight="1" x14ac:dyDescent="0.25">
      <c r="A56" s="243"/>
      <c r="B56" s="244"/>
      <c r="C56" s="244"/>
      <c r="D56" s="244"/>
      <c r="E56" s="244"/>
      <c r="F56" s="244"/>
      <c r="G56" s="244"/>
      <c r="H56" s="244"/>
      <c r="I56" s="298"/>
      <c r="J56" s="244" t="s">
        <v>249</v>
      </c>
      <c r="K56" s="245"/>
      <c r="L56" s="257"/>
      <c r="M56" s="597" t="s">
        <v>250</v>
      </c>
      <c r="N56" s="598"/>
      <c r="O56" s="299"/>
      <c r="P56" s="180"/>
      <c r="Q56" s="180">
        <v>27000000</v>
      </c>
      <c r="R56" s="181">
        <f>Q56/Q$55*100</f>
        <v>100</v>
      </c>
      <c r="S56" s="181">
        <v>100</v>
      </c>
      <c r="T56" s="180">
        <f t="shared" si="20"/>
        <v>0</v>
      </c>
      <c r="U56" s="180">
        <f t="shared" si="21"/>
        <v>0</v>
      </c>
      <c r="V56" s="182">
        <f t="shared" si="22"/>
        <v>100</v>
      </c>
      <c r="W56" s="180"/>
      <c r="X56" s="180" t="e">
        <f>#REF!</f>
        <v>#REF!</v>
      </c>
      <c r="Y56" s="180" t="e">
        <f>#REF!</f>
        <v>#REF!</v>
      </c>
      <c r="Z56" s="180" t="e">
        <f>#REF!</f>
        <v>#REF!</v>
      </c>
      <c r="AA56" s="180" t="e">
        <f>#REF!</f>
        <v>#REF!</v>
      </c>
      <c r="AB56" s="180">
        <v>5828001</v>
      </c>
      <c r="AC56" s="180" t="e">
        <f>#REF!</f>
        <v>#REF!</v>
      </c>
      <c r="AD56" s="180" t="e">
        <f>#REF!</f>
        <v>#REF!</v>
      </c>
      <c r="AE56" s="180" t="e">
        <f>#REF!</f>
        <v>#REF!</v>
      </c>
      <c r="AF56" s="180" t="e">
        <f>[1]April!N22</f>
        <v>#REF!</v>
      </c>
      <c r="AG56" s="180" t="e">
        <f>[2]april!N22</f>
        <v>#REF!</v>
      </c>
      <c r="AH56" s="180">
        <f>'[3]DES SKPD'!$N22</f>
        <v>238296148</v>
      </c>
      <c r="AI56" s="180">
        <v>0</v>
      </c>
      <c r="AJ56" s="181">
        <f>AI56/Q56*100</f>
        <v>0</v>
      </c>
      <c r="AK56" s="246">
        <f>Q56-AI56</f>
        <v>27000000</v>
      </c>
      <c r="AL56" s="181">
        <f>AK56/Q56*100</f>
        <v>100</v>
      </c>
      <c r="AM56" s="243"/>
    </row>
    <row r="57" spans="1:39" s="297" customFormat="1" ht="29.25" customHeight="1" x14ac:dyDescent="0.25">
      <c r="A57" s="227">
        <f>A55+1</f>
        <v>2</v>
      </c>
      <c r="B57" s="615" t="s">
        <v>115</v>
      </c>
      <c r="C57" s="615"/>
      <c r="D57" s="615"/>
      <c r="E57" s="615"/>
      <c r="F57" s="615"/>
      <c r="G57" s="615"/>
      <c r="H57" s="615"/>
      <c r="I57" s="614"/>
      <c r="J57" s="228" t="s">
        <v>443</v>
      </c>
      <c r="K57" s="230"/>
      <c r="L57" s="294"/>
      <c r="M57" s="615" t="s">
        <v>14</v>
      </c>
      <c r="N57" s="614"/>
      <c r="O57" s="295">
        <v>31000000</v>
      </c>
      <c r="P57" s="231">
        <f>[9]Sheet1!$U$35</f>
        <v>320500000</v>
      </c>
      <c r="Q57" s="231">
        <f>SUM(Q58:Q60)</f>
        <v>380000000</v>
      </c>
      <c r="R57" s="233">
        <f>Q57/Q$54*100</f>
        <v>15.044090603140175</v>
      </c>
      <c r="S57" s="233">
        <v>100</v>
      </c>
      <c r="T57" s="231">
        <f t="shared" si="20"/>
        <v>0</v>
      </c>
      <c r="U57" s="231">
        <f t="shared" si="21"/>
        <v>0</v>
      </c>
      <c r="V57" s="296">
        <f t="shared" si="22"/>
        <v>100</v>
      </c>
      <c r="W57" s="231"/>
      <c r="X57" s="231" t="e">
        <f>#REF!</f>
        <v>#REF!</v>
      </c>
      <c r="Y57" s="231" t="e">
        <f>#REF!</f>
        <v>#REF!</v>
      </c>
      <c r="Z57" s="231" t="e">
        <f>#REF!</f>
        <v>#REF!</v>
      </c>
      <c r="AA57" s="231" t="e">
        <f>#REF!</f>
        <v>#REF!</v>
      </c>
      <c r="AB57" s="231">
        <v>61516789</v>
      </c>
      <c r="AC57" s="231" t="e">
        <f>#REF!</f>
        <v>#REF!</v>
      </c>
      <c r="AD57" s="231" t="e">
        <f>#REF!</f>
        <v>#REF!</v>
      </c>
      <c r="AE57" s="231" t="e">
        <f>#REF!</f>
        <v>#REF!</v>
      </c>
      <c r="AF57" s="231" t="e">
        <f>[1]April!N22</f>
        <v>#REF!</v>
      </c>
      <c r="AG57" s="231" t="e">
        <f>[2]april!N22</f>
        <v>#REF!</v>
      </c>
      <c r="AH57" s="231">
        <f>'[3]DES SKPD'!$N22</f>
        <v>238296148</v>
      </c>
      <c r="AI57" s="231">
        <f>SUM(AI58:AI60)</f>
        <v>0</v>
      </c>
      <c r="AJ57" s="233">
        <f t="shared" si="24"/>
        <v>0</v>
      </c>
      <c r="AK57" s="234">
        <f t="shared" ref="AK57:AK118" si="27">Q57-AI57</f>
        <v>380000000</v>
      </c>
      <c r="AL57" s="233">
        <f t="shared" si="25"/>
        <v>100</v>
      </c>
      <c r="AM57" s="227"/>
    </row>
    <row r="58" spans="1:39" ht="23.25" customHeight="1" x14ac:dyDescent="0.25">
      <c r="A58" s="243"/>
      <c r="B58" s="244"/>
      <c r="C58" s="244"/>
      <c r="D58" s="244"/>
      <c r="E58" s="244"/>
      <c r="F58" s="244"/>
      <c r="G58" s="244"/>
      <c r="H58" s="244"/>
      <c r="I58" s="298"/>
      <c r="J58" s="244" t="s">
        <v>251</v>
      </c>
      <c r="K58" s="245"/>
      <c r="L58" s="257"/>
      <c r="M58" s="597" t="s">
        <v>252</v>
      </c>
      <c r="N58" s="598"/>
      <c r="O58" s="299"/>
      <c r="P58" s="180"/>
      <c r="Q58" s="180">
        <v>2808000</v>
      </c>
      <c r="R58" s="181">
        <f>Q58/Q$57*100</f>
        <v>0.73894736842105269</v>
      </c>
      <c r="S58" s="181">
        <v>101</v>
      </c>
      <c r="T58" s="180">
        <f t="shared" si="20"/>
        <v>0</v>
      </c>
      <c r="U58" s="180">
        <f t="shared" si="21"/>
        <v>0</v>
      </c>
      <c r="V58" s="182">
        <f t="shared" si="22"/>
        <v>101</v>
      </c>
      <c r="W58" s="180"/>
      <c r="X58" s="180" t="e">
        <f>#REF!</f>
        <v>#REF!</v>
      </c>
      <c r="Y58" s="180" t="e">
        <f>#REF!</f>
        <v>#REF!</v>
      </c>
      <c r="Z58" s="180" t="e">
        <f>#REF!</f>
        <v>#REF!</v>
      </c>
      <c r="AA58" s="180" t="e">
        <f>#REF!</f>
        <v>#REF!</v>
      </c>
      <c r="AB58" s="180">
        <v>61516790</v>
      </c>
      <c r="AC58" s="180" t="e">
        <f>#REF!</f>
        <v>#REF!</v>
      </c>
      <c r="AD58" s="180" t="e">
        <f>#REF!</f>
        <v>#REF!</v>
      </c>
      <c r="AE58" s="180" t="e">
        <f>#REF!</f>
        <v>#REF!</v>
      </c>
      <c r="AF58" s="180" t="e">
        <f>[1]April!N23</f>
        <v>#REF!</v>
      </c>
      <c r="AG58" s="180" t="e">
        <f>[2]april!N23</f>
        <v>#REF!</v>
      </c>
      <c r="AH58" s="180">
        <f>'[3]DES SKPD'!$N23</f>
        <v>24482700</v>
      </c>
      <c r="AI58" s="180">
        <v>0</v>
      </c>
      <c r="AJ58" s="181">
        <f t="shared" si="24"/>
        <v>0</v>
      </c>
      <c r="AK58" s="246">
        <f t="shared" si="27"/>
        <v>2808000</v>
      </c>
      <c r="AL58" s="181">
        <f t="shared" si="25"/>
        <v>100</v>
      </c>
      <c r="AM58" s="243"/>
    </row>
    <row r="59" spans="1:39" ht="23.25" customHeight="1" x14ac:dyDescent="0.25">
      <c r="A59" s="243"/>
      <c r="B59" s="244"/>
      <c r="C59" s="244"/>
      <c r="D59" s="244"/>
      <c r="E59" s="244"/>
      <c r="F59" s="244"/>
      <c r="G59" s="244"/>
      <c r="H59" s="244"/>
      <c r="I59" s="298"/>
      <c r="J59" s="244" t="s">
        <v>409</v>
      </c>
      <c r="K59" s="245"/>
      <c r="L59" s="257"/>
      <c r="M59" s="597" t="s">
        <v>410</v>
      </c>
      <c r="N59" s="598"/>
      <c r="O59" s="299"/>
      <c r="P59" s="180"/>
      <c r="Q59" s="180">
        <v>24000000</v>
      </c>
      <c r="R59" s="181">
        <f>Q59/Q$57*100</f>
        <v>6.3157894736842106</v>
      </c>
      <c r="S59" s="181">
        <v>102</v>
      </c>
      <c r="T59" s="180">
        <f t="shared" si="20"/>
        <v>0</v>
      </c>
      <c r="U59" s="180">
        <f t="shared" si="21"/>
        <v>0</v>
      </c>
      <c r="V59" s="182">
        <f t="shared" si="22"/>
        <v>102</v>
      </c>
      <c r="W59" s="180"/>
      <c r="X59" s="180"/>
      <c r="Y59" s="180"/>
      <c r="Z59" s="180"/>
      <c r="AA59" s="180"/>
      <c r="AB59" s="180"/>
      <c r="AC59" s="180"/>
      <c r="AD59" s="180"/>
      <c r="AE59" s="180"/>
      <c r="AF59" s="180"/>
      <c r="AG59" s="180"/>
      <c r="AH59" s="180"/>
      <c r="AI59" s="180">
        <v>0</v>
      </c>
      <c r="AJ59" s="181">
        <f>AI59/Q59*100</f>
        <v>0</v>
      </c>
      <c r="AK59" s="246">
        <f>Q59-AI59</f>
        <v>24000000</v>
      </c>
      <c r="AL59" s="181">
        <f>AK59/Q59*100</f>
        <v>100</v>
      </c>
      <c r="AM59" s="243"/>
    </row>
    <row r="60" spans="1:39" ht="48.75" customHeight="1" x14ac:dyDescent="0.25">
      <c r="A60" s="243"/>
      <c r="B60" s="244"/>
      <c r="C60" s="244"/>
      <c r="D60" s="244"/>
      <c r="E60" s="244"/>
      <c r="F60" s="244"/>
      <c r="G60" s="244"/>
      <c r="H60" s="244"/>
      <c r="I60" s="298"/>
      <c r="J60" s="244" t="s">
        <v>253</v>
      </c>
      <c r="K60" s="245"/>
      <c r="L60" s="257"/>
      <c r="M60" s="597" t="s">
        <v>254</v>
      </c>
      <c r="N60" s="598"/>
      <c r="O60" s="299"/>
      <c r="P60" s="180"/>
      <c r="Q60" s="180">
        <v>353192000</v>
      </c>
      <c r="R60" s="181">
        <f>Q60/Q$57*100</f>
        <v>92.945263157894743</v>
      </c>
      <c r="S60" s="181">
        <v>102</v>
      </c>
      <c r="T60" s="180">
        <f t="shared" si="20"/>
        <v>0</v>
      </c>
      <c r="U60" s="180">
        <f t="shared" si="21"/>
        <v>0</v>
      </c>
      <c r="V60" s="182">
        <f t="shared" si="22"/>
        <v>102</v>
      </c>
      <c r="W60" s="180"/>
      <c r="X60" s="180" t="e">
        <f>#REF!</f>
        <v>#REF!</v>
      </c>
      <c r="Y60" s="180" t="e">
        <f>#REF!</f>
        <v>#REF!</v>
      </c>
      <c r="Z60" s="180" t="e">
        <f>#REF!</f>
        <v>#REF!</v>
      </c>
      <c r="AA60" s="180" t="e">
        <f>#REF!</f>
        <v>#REF!</v>
      </c>
      <c r="AB60" s="180">
        <v>61516791</v>
      </c>
      <c r="AC60" s="180" t="e">
        <f>#REF!</f>
        <v>#REF!</v>
      </c>
      <c r="AD60" s="180" t="e">
        <f>#REF!</f>
        <v>#REF!</v>
      </c>
      <c r="AE60" s="180" t="e">
        <f>#REF!</f>
        <v>#REF!</v>
      </c>
      <c r="AF60" s="180" t="e">
        <f>[1]April!N24</f>
        <v>#REF!</v>
      </c>
      <c r="AG60" s="180" t="e">
        <f>[2]april!N24</f>
        <v>#REF!</v>
      </c>
      <c r="AH60" s="180">
        <f>'[3]DES SKPD'!$N24</f>
        <v>201339002</v>
      </c>
      <c r="AI60" s="180">
        <v>0</v>
      </c>
      <c r="AJ60" s="181">
        <f t="shared" si="24"/>
        <v>0</v>
      </c>
      <c r="AK60" s="246">
        <f t="shared" si="27"/>
        <v>353192000</v>
      </c>
      <c r="AL60" s="181">
        <f t="shared" si="25"/>
        <v>100</v>
      </c>
      <c r="AM60" s="243"/>
    </row>
    <row r="61" spans="1:39" s="297" customFormat="1" ht="45.75" customHeight="1" x14ac:dyDescent="0.25">
      <c r="A61" s="227">
        <f>A57+1</f>
        <v>3</v>
      </c>
      <c r="B61" s="615" t="s">
        <v>116</v>
      </c>
      <c r="C61" s="615"/>
      <c r="D61" s="615"/>
      <c r="E61" s="615"/>
      <c r="F61" s="615"/>
      <c r="G61" s="615"/>
      <c r="H61" s="615"/>
      <c r="I61" s="614"/>
      <c r="J61" s="228" t="s">
        <v>444</v>
      </c>
      <c r="K61" s="230"/>
      <c r="L61" s="294"/>
      <c r="M61" s="615" t="s">
        <v>117</v>
      </c>
      <c r="N61" s="614"/>
      <c r="O61" s="295">
        <v>32800000</v>
      </c>
      <c r="P61" s="231">
        <f>O61</f>
        <v>32800000</v>
      </c>
      <c r="Q61" s="231">
        <f>SUM(Q62)</f>
        <v>66540000</v>
      </c>
      <c r="R61" s="233">
        <f>Q61/Q$54*100</f>
        <v>2.6342994440340717</v>
      </c>
      <c r="S61" s="233">
        <v>100</v>
      </c>
      <c r="T61" s="231">
        <f t="shared" si="20"/>
        <v>0</v>
      </c>
      <c r="U61" s="231">
        <f t="shared" si="21"/>
        <v>0</v>
      </c>
      <c r="V61" s="296">
        <f t="shared" si="22"/>
        <v>100</v>
      </c>
      <c r="W61" s="231"/>
      <c r="X61" s="231" t="e">
        <f>#REF!</f>
        <v>#REF!</v>
      </c>
      <c r="Y61" s="231" t="e">
        <f>#REF!</f>
        <v>#REF!</v>
      </c>
      <c r="Z61" s="231" t="e">
        <f>#REF!</f>
        <v>#REF!</v>
      </c>
      <c r="AA61" s="231" t="e">
        <f>#REF!</f>
        <v>#REF!</v>
      </c>
      <c r="AB61" s="231">
        <v>9127800</v>
      </c>
      <c r="AC61" s="231" t="e">
        <f>#REF!</f>
        <v>#REF!</v>
      </c>
      <c r="AD61" s="231" t="e">
        <f>#REF!</f>
        <v>#REF!</v>
      </c>
      <c r="AE61" s="231" t="e">
        <f>#REF!</f>
        <v>#REF!</v>
      </c>
      <c r="AF61" s="231" t="e">
        <f>[1]April!N23</f>
        <v>#REF!</v>
      </c>
      <c r="AG61" s="231" t="e">
        <f>[2]april!N23</f>
        <v>#REF!</v>
      </c>
      <c r="AH61" s="231">
        <f>'[3]DES SKPD'!$N23</f>
        <v>24482700</v>
      </c>
      <c r="AI61" s="231">
        <f>SUM(AI62)</f>
        <v>0</v>
      </c>
      <c r="AJ61" s="233">
        <f t="shared" si="24"/>
        <v>0</v>
      </c>
      <c r="AK61" s="234">
        <f t="shared" si="27"/>
        <v>66540000</v>
      </c>
      <c r="AL61" s="233">
        <f t="shared" si="25"/>
        <v>100</v>
      </c>
      <c r="AM61" s="227"/>
    </row>
    <row r="62" spans="1:39" s="297" customFormat="1" ht="28.5" customHeight="1" x14ac:dyDescent="0.25">
      <c r="A62" s="227"/>
      <c r="B62" s="228"/>
      <c r="C62" s="228"/>
      <c r="D62" s="228"/>
      <c r="E62" s="228"/>
      <c r="F62" s="228"/>
      <c r="G62" s="228"/>
      <c r="H62" s="228"/>
      <c r="I62" s="229"/>
      <c r="J62" s="244" t="s">
        <v>255</v>
      </c>
      <c r="K62" s="245"/>
      <c r="L62" s="257"/>
      <c r="M62" s="597" t="s">
        <v>256</v>
      </c>
      <c r="N62" s="598"/>
      <c r="O62" s="299"/>
      <c r="P62" s="180"/>
      <c r="Q62" s="180">
        <v>66540000</v>
      </c>
      <c r="R62" s="181">
        <f>Q62/Q$61*100</f>
        <v>100</v>
      </c>
      <c r="S62" s="181">
        <v>100</v>
      </c>
      <c r="T62" s="180">
        <f t="shared" si="20"/>
        <v>0</v>
      </c>
      <c r="U62" s="180">
        <f t="shared" si="21"/>
        <v>0</v>
      </c>
      <c r="V62" s="182">
        <f t="shared" si="22"/>
        <v>100</v>
      </c>
      <c r="W62" s="180"/>
      <c r="X62" s="180" t="e">
        <f>#REF!</f>
        <v>#REF!</v>
      </c>
      <c r="Y62" s="180" t="e">
        <f>#REF!</f>
        <v>#REF!</v>
      </c>
      <c r="Z62" s="180" t="e">
        <f>#REF!</f>
        <v>#REF!</v>
      </c>
      <c r="AA62" s="180" t="e">
        <f>#REF!</f>
        <v>#REF!</v>
      </c>
      <c r="AB62" s="180">
        <v>9127801</v>
      </c>
      <c r="AC62" s="180" t="e">
        <f>#REF!</f>
        <v>#REF!</v>
      </c>
      <c r="AD62" s="180" t="e">
        <f>#REF!</f>
        <v>#REF!</v>
      </c>
      <c r="AE62" s="180" t="e">
        <f>#REF!</f>
        <v>#REF!</v>
      </c>
      <c r="AF62" s="180" t="e">
        <f>[1]April!N24</f>
        <v>#REF!</v>
      </c>
      <c r="AG62" s="180" t="e">
        <f>[2]april!N24</f>
        <v>#REF!</v>
      </c>
      <c r="AH62" s="180">
        <f>'[3]DES SKPD'!$N24</f>
        <v>201339002</v>
      </c>
      <c r="AI62" s="180">
        <v>0</v>
      </c>
      <c r="AJ62" s="181">
        <f t="shared" si="24"/>
        <v>0</v>
      </c>
      <c r="AK62" s="246">
        <f t="shared" si="27"/>
        <v>66540000</v>
      </c>
      <c r="AL62" s="181">
        <f t="shared" si="25"/>
        <v>100</v>
      </c>
      <c r="AM62" s="227"/>
    </row>
    <row r="63" spans="1:39" s="297" customFormat="1" ht="24.75" customHeight="1" x14ac:dyDescent="0.25">
      <c r="A63" s="227">
        <f>A61+1</f>
        <v>4</v>
      </c>
      <c r="B63" s="615" t="s">
        <v>118</v>
      </c>
      <c r="C63" s="615"/>
      <c r="D63" s="615"/>
      <c r="E63" s="615"/>
      <c r="F63" s="615"/>
      <c r="G63" s="615"/>
      <c r="H63" s="615"/>
      <c r="I63" s="614"/>
      <c r="J63" s="228" t="s">
        <v>445</v>
      </c>
      <c r="K63" s="230"/>
      <c r="L63" s="294"/>
      <c r="M63" s="615" t="s">
        <v>15</v>
      </c>
      <c r="N63" s="614"/>
      <c r="O63" s="295">
        <v>218550000</v>
      </c>
      <c r="P63" s="231">
        <f>O63</f>
        <v>218550000</v>
      </c>
      <c r="Q63" s="231">
        <f>SUM(Q64:Q66)</f>
        <v>336900000</v>
      </c>
      <c r="R63" s="233">
        <f>Q63/Q$54*100</f>
        <v>13.337774011047172</v>
      </c>
      <c r="S63" s="233">
        <v>100</v>
      </c>
      <c r="T63" s="231">
        <f t="shared" si="20"/>
        <v>0</v>
      </c>
      <c r="U63" s="231">
        <f t="shared" si="21"/>
        <v>0</v>
      </c>
      <c r="V63" s="296">
        <f t="shared" si="22"/>
        <v>100</v>
      </c>
      <c r="W63" s="231"/>
      <c r="X63" s="231" t="e">
        <f>#REF!</f>
        <v>#REF!</v>
      </c>
      <c r="Y63" s="231" t="e">
        <f>#REF!</f>
        <v>#REF!</v>
      </c>
      <c r="Z63" s="231" t="e">
        <f>#REF!</f>
        <v>#REF!</v>
      </c>
      <c r="AA63" s="231" t="e">
        <f>#REF!</f>
        <v>#REF!</v>
      </c>
      <c r="AB63" s="231">
        <v>103406334</v>
      </c>
      <c r="AC63" s="231" t="e">
        <f>#REF!</f>
        <v>#REF!</v>
      </c>
      <c r="AD63" s="231" t="e">
        <f>#REF!</f>
        <v>#REF!</v>
      </c>
      <c r="AE63" s="231" t="e">
        <f>#REF!</f>
        <v>#REF!</v>
      </c>
      <c r="AF63" s="231" t="e">
        <f>[1]April!N24</f>
        <v>#REF!</v>
      </c>
      <c r="AG63" s="231" t="e">
        <f>[2]april!N24</f>
        <v>#REF!</v>
      </c>
      <c r="AH63" s="231">
        <f>'[3]DES SKPD'!$N24</f>
        <v>201339002</v>
      </c>
      <c r="AI63" s="231">
        <f>SUM(AI64:AI66)</f>
        <v>0</v>
      </c>
      <c r="AJ63" s="233">
        <f t="shared" si="24"/>
        <v>0</v>
      </c>
      <c r="AK63" s="234">
        <f t="shared" si="27"/>
        <v>336900000</v>
      </c>
      <c r="AL63" s="233">
        <f t="shared" si="25"/>
        <v>100</v>
      </c>
      <c r="AM63" s="227"/>
    </row>
    <row r="64" spans="1:39" ht="24.75" customHeight="1" x14ac:dyDescent="0.25">
      <c r="A64" s="243"/>
      <c r="B64" s="244"/>
      <c r="C64" s="244"/>
      <c r="D64" s="244"/>
      <c r="E64" s="244"/>
      <c r="F64" s="244"/>
      <c r="G64" s="244"/>
      <c r="H64" s="244"/>
      <c r="I64" s="298"/>
      <c r="J64" s="244" t="s">
        <v>259</v>
      </c>
      <c r="K64" s="245"/>
      <c r="L64" s="257"/>
      <c r="M64" s="597" t="s">
        <v>260</v>
      </c>
      <c r="N64" s="598"/>
      <c r="O64" s="299"/>
      <c r="P64" s="180"/>
      <c r="Q64" s="180">
        <v>1500000</v>
      </c>
      <c r="R64" s="181">
        <f>Q64/Q$63*100</f>
        <v>0.44523597506678536</v>
      </c>
      <c r="S64" s="181">
        <v>100</v>
      </c>
      <c r="T64" s="180">
        <f t="shared" si="20"/>
        <v>0</v>
      </c>
      <c r="U64" s="180">
        <f t="shared" si="21"/>
        <v>0</v>
      </c>
      <c r="V64" s="182">
        <f t="shared" si="22"/>
        <v>100</v>
      </c>
      <c r="W64" s="180"/>
      <c r="X64" s="180" t="e">
        <f>#REF!</f>
        <v>#REF!</v>
      </c>
      <c r="Y64" s="180" t="e">
        <f>#REF!</f>
        <v>#REF!</v>
      </c>
      <c r="Z64" s="180" t="e">
        <f>#REF!</f>
        <v>#REF!</v>
      </c>
      <c r="AA64" s="180" t="e">
        <f>#REF!</f>
        <v>#REF!</v>
      </c>
      <c r="AB64" s="180">
        <v>103406335</v>
      </c>
      <c r="AC64" s="180" t="e">
        <f>#REF!</f>
        <v>#REF!</v>
      </c>
      <c r="AD64" s="180" t="e">
        <f>#REF!</f>
        <v>#REF!</v>
      </c>
      <c r="AE64" s="180" t="e">
        <f>#REF!</f>
        <v>#REF!</v>
      </c>
      <c r="AF64" s="180" t="e">
        <f>[1]April!N26</f>
        <v>#REF!</v>
      </c>
      <c r="AG64" s="180" t="e">
        <f>[2]april!N26</f>
        <v>#REF!</v>
      </c>
      <c r="AH64" s="180">
        <f>'[3]DES SKPD'!$N26</f>
        <v>449102800</v>
      </c>
      <c r="AI64" s="180">
        <v>0</v>
      </c>
      <c r="AJ64" s="181">
        <f t="shared" si="24"/>
        <v>0</v>
      </c>
      <c r="AK64" s="246">
        <f t="shared" si="27"/>
        <v>1500000</v>
      </c>
      <c r="AL64" s="181">
        <f t="shared" si="25"/>
        <v>100</v>
      </c>
      <c r="AM64" s="243"/>
    </row>
    <row r="65" spans="1:39" ht="26.25" customHeight="1" x14ac:dyDescent="0.25">
      <c r="A65" s="243"/>
      <c r="B65" s="244"/>
      <c r="C65" s="244"/>
      <c r="D65" s="244"/>
      <c r="E65" s="244"/>
      <c r="F65" s="244"/>
      <c r="G65" s="244"/>
      <c r="H65" s="244"/>
      <c r="I65" s="298"/>
      <c r="J65" s="244" t="s">
        <v>261</v>
      </c>
      <c r="K65" s="245"/>
      <c r="L65" s="257"/>
      <c r="M65" s="597" t="s">
        <v>262</v>
      </c>
      <c r="N65" s="598"/>
      <c r="O65" s="299"/>
      <c r="P65" s="180"/>
      <c r="Q65" s="180">
        <v>120000000</v>
      </c>
      <c r="R65" s="181">
        <f>Q65/Q$63*100</f>
        <v>35.618878005342829</v>
      </c>
      <c r="S65" s="181">
        <v>100</v>
      </c>
      <c r="T65" s="180">
        <f t="shared" si="20"/>
        <v>0</v>
      </c>
      <c r="U65" s="180">
        <f t="shared" si="21"/>
        <v>0</v>
      </c>
      <c r="V65" s="182">
        <f t="shared" si="22"/>
        <v>100</v>
      </c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>
        <v>0</v>
      </c>
      <c r="AJ65" s="181">
        <f t="shared" si="24"/>
        <v>0</v>
      </c>
      <c r="AK65" s="246">
        <f t="shared" si="27"/>
        <v>120000000</v>
      </c>
      <c r="AL65" s="181">
        <f t="shared" si="25"/>
        <v>100</v>
      </c>
      <c r="AM65" s="243"/>
    </row>
    <row r="66" spans="1:39" ht="24.75" customHeight="1" x14ac:dyDescent="0.25">
      <c r="A66" s="243"/>
      <c r="B66" s="244"/>
      <c r="C66" s="244"/>
      <c r="D66" s="244"/>
      <c r="E66" s="244"/>
      <c r="F66" s="244"/>
      <c r="G66" s="244"/>
      <c r="H66" s="244"/>
      <c r="I66" s="298"/>
      <c r="J66" s="244" t="s">
        <v>263</v>
      </c>
      <c r="K66" s="245"/>
      <c r="L66" s="257"/>
      <c r="M66" s="597" t="s">
        <v>264</v>
      </c>
      <c r="N66" s="598"/>
      <c r="O66" s="299"/>
      <c r="P66" s="180"/>
      <c r="Q66" s="180">
        <v>215400000</v>
      </c>
      <c r="R66" s="181">
        <f>Q66/Q$63*100</f>
        <v>63.935886019590384</v>
      </c>
      <c r="S66" s="181">
        <v>100</v>
      </c>
      <c r="T66" s="180">
        <f t="shared" si="20"/>
        <v>0</v>
      </c>
      <c r="U66" s="180">
        <f t="shared" si="21"/>
        <v>0</v>
      </c>
      <c r="V66" s="182">
        <f t="shared" si="22"/>
        <v>100</v>
      </c>
      <c r="W66" s="180"/>
      <c r="X66" s="180" t="e">
        <f>#REF!</f>
        <v>#REF!</v>
      </c>
      <c r="Y66" s="180" t="e">
        <f>#REF!</f>
        <v>#REF!</v>
      </c>
      <c r="Z66" s="180" t="e">
        <f>#REF!</f>
        <v>#REF!</v>
      </c>
      <c r="AA66" s="180" t="e">
        <f>#REF!</f>
        <v>#REF!</v>
      </c>
      <c r="AB66" s="180">
        <v>103406335</v>
      </c>
      <c r="AC66" s="180" t="e">
        <f>#REF!</f>
        <v>#REF!</v>
      </c>
      <c r="AD66" s="180" t="e">
        <f>#REF!</f>
        <v>#REF!</v>
      </c>
      <c r="AE66" s="180" t="e">
        <f>#REF!</f>
        <v>#REF!</v>
      </c>
      <c r="AF66" s="180" t="e">
        <f>[1]April!N26</f>
        <v>#REF!</v>
      </c>
      <c r="AG66" s="180" t="e">
        <f>[2]april!N26</f>
        <v>#REF!</v>
      </c>
      <c r="AH66" s="180">
        <f>'[3]DES SKPD'!$N26</f>
        <v>449102800</v>
      </c>
      <c r="AI66" s="180">
        <v>0</v>
      </c>
      <c r="AJ66" s="181">
        <f t="shared" si="24"/>
        <v>0</v>
      </c>
      <c r="AK66" s="246">
        <f t="shared" si="27"/>
        <v>215400000</v>
      </c>
      <c r="AL66" s="181">
        <f t="shared" si="25"/>
        <v>100</v>
      </c>
      <c r="AM66" s="243"/>
    </row>
    <row r="67" spans="1:39" s="297" customFormat="1" ht="24.75" customHeight="1" x14ac:dyDescent="0.25">
      <c r="A67" s="227">
        <f>A63+1</f>
        <v>5</v>
      </c>
      <c r="B67" s="615" t="s">
        <v>119</v>
      </c>
      <c r="C67" s="615"/>
      <c r="D67" s="615"/>
      <c r="E67" s="615"/>
      <c r="F67" s="615"/>
      <c r="G67" s="615"/>
      <c r="H67" s="615"/>
      <c r="I67" s="614"/>
      <c r="J67" s="228" t="s">
        <v>446</v>
      </c>
      <c r="K67" s="230"/>
      <c r="L67" s="294"/>
      <c r="M67" s="615" t="s">
        <v>16</v>
      </c>
      <c r="N67" s="614"/>
      <c r="O67" s="295">
        <v>201527500</v>
      </c>
      <c r="P67" s="231">
        <f>O67</f>
        <v>201527500</v>
      </c>
      <c r="Q67" s="231">
        <f>SUM(Q68:Q69)</f>
        <v>411693900</v>
      </c>
      <c r="R67" s="233">
        <f>Q67/Q$54*100</f>
        <v>16.298842979895081</v>
      </c>
      <c r="S67" s="233">
        <v>100</v>
      </c>
      <c r="T67" s="231">
        <f t="shared" si="20"/>
        <v>0</v>
      </c>
      <c r="U67" s="231">
        <f t="shared" si="21"/>
        <v>0</v>
      </c>
      <c r="V67" s="296">
        <f t="shared" si="22"/>
        <v>100</v>
      </c>
      <c r="W67" s="231"/>
      <c r="X67" s="231" t="e">
        <f>#REF!</f>
        <v>#REF!</v>
      </c>
      <c r="Y67" s="231" t="e">
        <f>#REF!</f>
        <v>#REF!</v>
      </c>
      <c r="Z67" s="231" t="e">
        <f>#REF!</f>
        <v>#REF!</v>
      </c>
      <c r="AA67" s="231" t="e">
        <f>#REF!</f>
        <v>#REF!</v>
      </c>
      <c r="AB67" s="231">
        <v>99905000</v>
      </c>
      <c r="AC67" s="231" t="e">
        <f>#REF!</f>
        <v>#REF!</v>
      </c>
      <c r="AD67" s="231" t="e">
        <f>#REF!</f>
        <v>#REF!</v>
      </c>
      <c r="AE67" s="231" t="e">
        <f>#REF!</f>
        <v>#REF!</v>
      </c>
      <c r="AF67" s="231" t="e">
        <f>[1]April!N25</f>
        <v>#REF!</v>
      </c>
      <c r="AG67" s="231" t="e">
        <f>[2]april!N25</f>
        <v>#REF!</v>
      </c>
      <c r="AH67" s="231">
        <f>'[3]DES SKPD'!$N25</f>
        <v>229473500</v>
      </c>
      <c r="AI67" s="231">
        <f>SUM(AI68:AI69)</f>
        <v>0</v>
      </c>
      <c r="AJ67" s="233">
        <f>AI67/Q67*100</f>
        <v>0</v>
      </c>
      <c r="AK67" s="234">
        <f>Q67-AI67</f>
        <v>411693900</v>
      </c>
      <c r="AL67" s="233">
        <f>AK67/Q67*100</f>
        <v>100</v>
      </c>
      <c r="AM67" s="227"/>
    </row>
    <row r="68" spans="1:39" ht="29.25" customHeight="1" x14ac:dyDescent="0.25">
      <c r="A68" s="243"/>
      <c r="B68" s="244"/>
      <c r="C68" s="244"/>
      <c r="D68" s="244"/>
      <c r="E68" s="244"/>
      <c r="F68" s="244"/>
      <c r="G68" s="244"/>
      <c r="H68" s="244"/>
      <c r="I68" s="298"/>
      <c r="J68" s="244" t="s">
        <v>259</v>
      </c>
      <c r="K68" s="245"/>
      <c r="L68" s="257"/>
      <c r="M68" s="597" t="s">
        <v>260</v>
      </c>
      <c r="N68" s="598"/>
      <c r="O68" s="299"/>
      <c r="P68" s="180"/>
      <c r="Q68" s="180">
        <v>2400000</v>
      </c>
      <c r="R68" s="181">
        <f>Q68/Q$67*100</f>
        <v>0.58295738654374041</v>
      </c>
      <c r="S68" s="181">
        <v>100</v>
      </c>
      <c r="T68" s="180">
        <f t="shared" si="20"/>
        <v>0</v>
      </c>
      <c r="U68" s="180">
        <f t="shared" si="21"/>
        <v>0</v>
      </c>
      <c r="V68" s="182">
        <f t="shared" si="22"/>
        <v>100</v>
      </c>
      <c r="W68" s="180"/>
      <c r="X68" s="180"/>
      <c r="Y68" s="180"/>
      <c r="Z68" s="180"/>
      <c r="AA68" s="180"/>
      <c r="AB68" s="180"/>
      <c r="AC68" s="180"/>
      <c r="AD68" s="180"/>
      <c r="AE68" s="180"/>
      <c r="AF68" s="180"/>
      <c r="AG68" s="180"/>
      <c r="AH68" s="180"/>
      <c r="AI68" s="180">
        <v>0</v>
      </c>
      <c r="AJ68" s="181">
        <f t="shared" si="24"/>
        <v>0</v>
      </c>
      <c r="AK68" s="246">
        <f t="shared" si="27"/>
        <v>2400000</v>
      </c>
      <c r="AL68" s="181">
        <f t="shared" si="25"/>
        <v>100</v>
      </c>
      <c r="AM68" s="243"/>
    </row>
    <row r="69" spans="1:39" ht="24.75" customHeight="1" x14ac:dyDescent="0.25">
      <c r="A69" s="243"/>
      <c r="B69" s="244"/>
      <c r="C69" s="244"/>
      <c r="D69" s="244"/>
      <c r="E69" s="244"/>
      <c r="F69" s="244"/>
      <c r="G69" s="244"/>
      <c r="H69" s="244"/>
      <c r="I69" s="298"/>
      <c r="J69" s="244" t="s">
        <v>265</v>
      </c>
      <c r="K69" s="245"/>
      <c r="L69" s="257"/>
      <c r="M69" s="597" t="s">
        <v>266</v>
      </c>
      <c r="N69" s="598"/>
      <c r="O69" s="299"/>
      <c r="P69" s="180"/>
      <c r="Q69" s="180">
        <v>409293900</v>
      </c>
      <c r="R69" s="181">
        <f>Q69/Q$67*100</f>
        <v>99.41704261345626</v>
      </c>
      <c r="S69" s="181">
        <v>100</v>
      </c>
      <c r="T69" s="180">
        <f t="shared" si="20"/>
        <v>0</v>
      </c>
      <c r="U69" s="180">
        <f t="shared" si="21"/>
        <v>0</v>
      </c>
      <c r="V69" s="182">
        <f t="shared" si="22"/>
        <v>100</v>
      </c>
      <c r="W69" s="180"/>
      <c r="X69" s="180"/>
      <c r="Y69" s="180"/>
      <c r="Z69" s="180"/>
      <c r="AA69" s="180"/>
      <c r="AB69" s="180"/>
      <c r="AC69" s="180"/>
      <c r="AD69" s="180"/>
      <c r="AE69" s="180"/>
      <c r="AF69" s="180"/>
      <c r="AG69" s="180"/>
      <c r="AH69" s="180"/>
      <c r="AI69" s="180">
        <v>0</v>
      </c>
      <c r="AJ69" s="181">
        <f t="shared" si="24"/>
        <v>0</v>
      </c>
      <c r="AK69" s="246">
        <f t="shared" si="27"/>
        <v>409293900</v>
      </c>
      <c r="AL69" s="181">
        <f t="shared" si="25"/>
        <v>100</v>
      </c>
      <c r="AM69" s="243"/>
    </row>
    <row r="70" spans="1:39" s="297" customFormat="1" ht="27.75" customHeight="1" x14ac:dyDescent="0.25">
      <c r="A70" s="227">
        <f>A67+1</f>
        <v>6</v>
      </c>
      <c r="B70" s="615" t="s">
        <v>120</v>
      </c>
      <c r="C70" s="615"/>
      <c r="D70" s="615"/>
      <c r="E70" s="615"/>
      <c r="F70" s="615"/>
      <c r="G70" s="615"/>
      <c r="H70" s="615"/>
      <c r="I70" s="614"/>
      <c r="J70" s="228" t="s">
        <v>447</v>
      </c>
      <c r="K70" s="230"/>
      <c r="L70" s="294"/>
      <c r="M70" s="615" t="s">
        <v>17</v>
      </c>
      <c r="N70" s="614"/>
      <c r="O70" s="295">
        <v>261210000</v>
      </c>
      <c r="P70" s="231">
        <f>O70</f>
        <v>261210000</v>
      </c>
      <c r="Q70" s="231">
        <f>SUM(Q71:Q75)</f>
        <v>422840000</v>
      </c>
      <c r="R70" s="233">
        <f>Q70/Q$54*100</f>
        <v>16.740113870083661</v>
      </c>
      <c r="S70" s="233">
        <v>100</v>
      </c>
      <c r="T70" s="231">
        <f t="shared" si="20"/>
        <v>0</v>
      </c>
      <c r="U70" s="231">
        <f t="shared" si="21"/>
        <v>0</v>
      </c>
      <c r="V70" s="296">
        <f t="shared" si="22"/>
        <v>100</v>
      </c>
      <c r="W70" s="231"/>
      <c r="X70" s="231" t="e">
        <f>#REF!</f>
        <v>#REF!</v>
      </c>
      <c r="Y70" s="231" t="e">
        <f>#REF!</f>
        <v>#REF!</v>
      </c>
      <c r="Z70" s="231" t="e">
        <f>#REF!</f>
        <v>#REF!</v>
      </c>
      <c r="AA70" s="231" t="e">
        <f>#REF!</f>
        <v>#REF!</v>
      </c>
      <c r="AB70" s="231">
        <v>171140000</v>
      </c>
      <c r="AC70" s="231" t="e">
        <f>#REF!</f>
        <v>#REF!</v>
      </c>
      <c r="AD70" s="231" t="e">
        <f>#REF!</f>
        <v>#REF!</v>
      </c>
      <c r="AE70" s="231" t="e">
        <f>#REF!</f>
        <v>#REF!</v>
      </c>
      <c r="AF70" s="231" t="e">
        <f>[1]April!N26</f>
        <v>#REF!</v>
      </c>
      <c r="AG70" s="231" t="e">
        <f>[2]april!N26</f>
        <v>#REF!</v>
      </c>
      <c r="AH70" s="231">
        <f>'[3]DES SKPD'!$N26</f>
        <v>449102800</v>
      </c>
      <c r="AI70" s="231">
        <f>SUM(AI71:AI75)</f>
        <v>0</v>
      </c>
      <c r="AJ70" s="233">
        <f t="shared" si="24"/>
        <v>0</v>
      </c>
      <c r="AK70" s="234">
        <f t="shared" si="27"/>
        <v>422840000</v>
      </c>
      <c r="AL70" s="233">
        <f t="shared" si="25"/>
        <v>100</v>
      </c>
      <c r="AM70" s="227"/>
    </row>
    <row r="71" spans="1:39" s="297" customFormat="1" ht="27.75" customHeight="1" x14ac:dyDescent="0.25">
      <c r="A71" s="227"/>
      <c r="B71" s="228"/>
      <c r="C71" s="228"/>
      <c r="D71" s="228"/>
      <c r="E71" s="228"/>
      <c r="F71" s="228"/>
      <c r="G71" s="228"/>
      <c r="H71" s="228"/>
      <c r="I71" s="229"/>
      <c r="J71" s="244" t="s">
        <v>259</v>
      </c>
      <c r="K71" s="245"/>
      <c r="L71" s="257"/>
      <c r="M71" s="597" t="s">
        <v>260</v>
      </c>
      <c r="N71" s="598"/>
      <c r="O71" s="299"/>
      <c r="P71" s="180"/>
      <c r="Q71" s="180">
        <v>2400000</v>
      </c>
      <c r="R71" s="181">
        <f>Q71/Q$70*100</f>
        <v>0.56759057799640522</v>
      </c>
      <c r="S71" s="181">
        <v>100</v>
      </c>
      <c r="T71" s="180">
        <f t="shared" si="20"/>
        <v>0</v>
      </c>
      <c r="U71" s="180">
        <f t="shared" si="21"/>
        <v>0</v>
      </c>
      <c r="V71" s="182">
        <f t="shared" si="22"/>
        <v>100</v>
      </c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>
        <v>0</v>
      </c>
      <c r="AJ71" s="181">
        <f t="shared" si="24"/>
        <v>0</v>
      </c>
      <c r="AK71" s="246">
        <f t="shared" si="27"/>
        <v>2400000</v>
      </c>
      <c r="AL71" s="181">
        <f t="shared" si="25"/>
        <v>100</v>
      </c>
      <c r="AM71" s="227"/>
    </row>
    <row r="72" spans="1:39" s="297" customFormat="1" ht="27.75" customHeight="1" x14ac:dyDescent="0.25">
      <c r="A72" s="227"/>
      <c r="B72" s="228"/>
      <c r="C72" s="228"/>
      <c r="D72" s="228"/>
      <c r="E72" s="228"/>
      <c r="F72" s="228"/>
      <c r="G72" s="228"/>
      <c r="H72" s="228"/>
      <c r="I72" s="229"/>
      <c r="J72" s="244" t="s">
        <v>267</v>
      </c>
      <c r="K72" s="245"/>
      <c r="L72" s="257"/>
      <c r="M72" s="597" t="s">
        <v>268</v>
      </c>
      <c r="N72" s="598"/>
      <c r="O72" s="299"/>
      <c r="P72" s="180"/>
      <c r="Q72" s="180">
        <v>8000000</v>
      </c>
      <c r="R72" s="181">
        <f>Q72/Q$70*100</f>
        <v>1.8919685933213508</v>
      </c>
      <c r="S72" s="181">
        <v>100</v>
      </c>
      <c r="T72" s="180">
        <f t="shared" si="20"/>
        <v>0</v>
      </c>
      <c r="U72" s="180">
        <f t="shared" si="21"/>
        <v>0</v>
      </c>
      <c r="V72" s="182">
        <f t="shared" si="22"/>
        <v>100</v>
      </c>
      <c r="W72" s="180"/>
      <c r="X72" s="180"/>
      <c r="Y72" s="180"/>
      <c r="Z72" s="180"/>
      <c r="AA72" s="180"/>
      <c r="AB72" s="180"/>
      <c r="AC72" s="180"/>
      <c r="AD72" s="180"/>
      <c r="AE72" s="180"/>
      <c r="AF72" s="180"/>
      <c r="AG72" s="180"/>
      <c r="AH72" s="180"/>
      <c r="AI72" s="180">
        <v>0</v>
      </c>
      <c r="AJ72" s="181">
        <f t="shared" si="24"/>
        <v>0</v>
      </c>
      <c r="AK72" s="246">
        <f t="shared" si="27"/>
        <v>8000000</v>
      </c>
      <c r="AL72" s="181">
        <f t="shared" si="25"/>
        <v>100</v>
      </c>
      <c r="AM72" s="227"/>
    </row>
    <row r="73" spans="1:39" s="297" customFormat="1" ht="27.75" customHeight="1" x14ac:dyDescent="0.25">
      <c r="A73" s="227"/>
      <c r="B73" s="228"/>
      <c r="C73" s="228"/>
      <c r="D73" s="228"/>
      <c r="E73" s="228"/>
      <c r="F73" s="228"/>
      <c r="G73" s="228"/>
      <c r="H73" s="228"/>
      <c r="I73" s="229"/>
      <c r="J73" s="244" t="s">
        <v>269</v>
      </c>
      <c r="K73" s="245"/>
      <c r="L73" s="257"/>
      <c r="M73" s="597" t="s">
        <v>270</v>
      </c>
      <c r="N73" s="598"/>
      <c r="O73" s="299"/>
      <c r="P73" s="180"/>
      <c r="Q73" s="180">
        <v>383113000</v>
      </c>
      <c r="R73" s="181">
        <f>Q73/Q$70*100</f>
        <v>90.604720461640326</v>
      </c>
      <c r="S73" s="181">
        <v>100</v>
      </c>
      <c r="T73" s="180">
        <f t="shared" si="20"/>
        <v>0</v>
      </c>
      <c r="U73" s="180">
        <f t="shared" si="21"/>
        <v>0</v>
      </c>
      <c r="V73" s="182">
        <f t="shared" si="22"/>
        <v>100</v>
      </c>
      <c r="W73" s="180"/>
      <c r="X73" s="180"/>
      <c r="Y73" s="180"/>
      <c r="Z73" s="180"/>
      <c r="AA73" s="180"/>
      <c r="AB73" s="180"/>
      <c r="AC73" s="180"/>
      <c r="AD73" s="180"/>
      <c r="AE73" s="180"/>
      <c r="AF73" s="180"/>
      <c r="AG73" s="180"/>
      <c r="AH73" s="180"/>
      <c r="AI73" s="180">
        <v>0</v>
      </c>
      <c r="AJ73" s="181">
        <f t="shared" si="24"/>
        <v>0</v>
      </c>
      <c r="AK73" s="246">
        <f t="shared" si="27"/>
        <v>383113000</v>
      </c>
      <c r="AL73" s="181">
        <f t="shared" si="25"/>
        <v>100</v>
      </c>
      <c r="AM73" s="227"/>
    </row>
    <row r="74" spans="1:39" s="297" customFormat="1" ht="27.75" customHeight="1" x14ac:dyDescent="0.25">
      <c r="A74" s="227"/>
      <c r="B74" s="228"/>
      <c r="C74" s="228"/>
      <c r="D74" s="228"/>
      <c r="E74" s="228"/>
      <c r="F74" s="228"/>
      <c r="G74" s="228"/>
      <c r="H74" s="228"/>
      <c r="I74" s="229"/>
      <c r="J74" s="244" t="s">
        <v>315</v>
      </c>
      <c r="K74" s="245"/>
      <c r="L74" s="257"/>
      <c r="M74" s="597" t="s">
        <v>271</v>
      </c>
      <c r="N74" s="598"/>
      <c r="O74" s="299"/>
      <c r="P74" s="180"/>
      <c r="Q74" s="180">
        <v>19327000</v>
      </c>
      <c r="R74" s="181">
        <f>Q74/Q$70*100</f>
        <v>4.5707596253902185</v>
      </c>
      <c r="S74" s="181">
        <v>100</v>
      </c>
      <c r="T74" s="180">
        <f t="shared" si="20"/>
        <v>0</v>
      </c>
      <c r="U74" s="180">
        <f t="shared" si="21"/>
        <v>0</v>
      </c>
      <c r="V74" s="182">
        <f t="shared" si="22"/>
        <v>100</v>
      </c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>
        <v>0</v>
      </c>
      <c r="AJ74" s="181">
        <f t="shared" si="24"/>
        <v>0</v>
      </c>
      <c r="AK74" s="246">
        <f t="shared" si="27"/>
        <v>19327000</v>
      </c>
      <c r="AL74" s="181">
        <f t="shared" si="25"/>
        <v>100</v>
      </c>
      <c r="AM74" s="227"/>
    </row>
    <row r="75" spans="1:39" s="297" customFormat="1" ht="27.75" customHeight="1" x14ac:dyDescent="0.25">
      <c r="A75" s="227"/>
      <c r="B75" s="228"/>
      <c r="C75" s="228"/>
      <c r="D75" s="228"/>
      <c r="E75" s="228"/>
      <c r="F75" s="228"/>
      <c r="G75" s="228"/>
      <c r="H75" s="228"/>
      <c r="I75" s="229"/>
      <c r="J75" s="244" t="s">
        <v>316</v>
      </c>
      <c r="K75" s="245"/>
      <c r="L75" s="257"/>
      <c r="M75" s="597" t="s">
        <v>317</v>
      </c>
      <c r="N75" s="598"/>
      <c r="O75" s="299"/>
      <c r="P75" s="180"/>
      <c r="Q75" s="180">
        <v>10000000</v>
      </c>
      <c r="R75" s="181">
        <f>Q75/Q$70*100</f>
        <v>2.3649607416516885</v>
      </c>
      <c r="S75" s="181">
        <v>100</v>
      </c>
      <c r="T75" s="180">
        <f t="shared" si="20"/>
        <v>0</v>
      </c>
      <c r="U75" s="180">
        <f t="shared" si="21"/>
        <v>0</v>
      </c>
      <c r="V75" s="182">
        <f t="shared" si="22"/>
        <v>100</v>
      </c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>
        <v>0</v>
      </c>
      <c r="AJ75" s="181">
        <f t="shared" si="24"/>
        <v>0</v>
      </c>
      <c r="AK75" s="246">
        <f t="shared" si="27"/>
        <v>10000000</v>
      </c>
      <c r="AL75" s="181">
        <f t="shared" si="25"/>
        <v>100</v>
      </c>
      <c r="AM75" s="227"/>
    </row>
    <row r="76" spans="1:39" s="297" customFormat="1" ht="28.5" customHeight="1" x14ac:dyDescent="0.25">
      <c r="A76" s="227">
        <f>A70+1</f>
        <v>7</v>
      </c>
      <c r="B76" s="615" t="s">
        <v>121</v>
      </c>
      <c r="C76" s="615"/>
      <c r="D76" s="615"/>
      <c r="E76" s="615"/>
      <c r="F76" s="615"/>
      <c r="G76" s="615"/>
      <c r="H76" s="615"/>
      <c r="I76" s="614"/>
      <c r="J76" s="228" t="s">
        <v>448</v>
      </c>
      <c r="K76" s="230"/>
      <c r="L76" s="294"/>
      <c r="M76" s="615" t="s">
        <v>18</v>
      </c>
      <c r="N76" s="614"/>
      <c r="O76" s="295">
        <v>20900000</v>
      </c>
      <c r="P76" s="231">
        <f>O76</f>
        <v>20900000</v>
      </c>
      <c r="Q76" s="231">
        <f>SUM(Q77:Q77)</f>
        <v>21100000</v>
      </c>
      <c r="R76" s="233">
        <f>Q76/Q$54*100</f>
        <v>0.8353429255954149</v>
      </c>
      <c r="S76" s="233">
        <v>100</v>
      </c>
      <c r="T76" s="231">
        <f t="shared" si="20"/>
        <v>0</v>
      </c>
      <c r="U76" s="231">
        <f t="shared" si="21"/>
        <v>0</v>
      </c>
      <c r="V76" s="296">
        <f t="shared" si="22"/>
        <v>100</v>
      </c>
      <c r="W76" s="231"/>
      <c r="X76" s="231" t="e">
        <f>#REF!</f>
        <v>#REF!</v>
      </c>
      <c r="Y76" s="231" t="e">
        <f>#REF!</f>
        <v>#REF!</v>
      </c>
      <c r="Z76" s="231" t="e">
        <f>#REF!</f>
        <v>#REF!</v>
      </c>
      <c r="AA76" s="231" t="e">
        <f>#REF!</f>
        <v>#REF!</v>
      </c>
      <c r="AB76" s="231">
        <v>12597300</v>
      </c>
      <c r="AC76" s="231" t="e">
        <f>#REF!</f>
        <v>#REF!</v>
      </c>
      <c r="AD76" s="231" t="e">
        <f>#REF!</f>
        <v>#REF!</v>
      </c>
      <c r="AE76" s="231" t="e">
        <f>#REF!</f>
        <v>#REF!</v>
      </c>
      <c r="AF76" s="231" t="e">
        <f>[1]April!N27</f>
        <v>#REF!</v>
      </c>
      <c r="AG76" s="231">
        <v>27808300</v>
      </c>
      <c r="AH76" s="231">
        <f>'[3]DES SKPD'!$N27</f>
        <v>35785800</v>
      </c>
      <c r="AI76" s="231">
        <f>SUM(AI77:AI77)</f>
        <v>0</v>
      </c>
      <c r="AJ76" s="233">
        <f t="shared" si="24"/>
        <v>0</v>
      </c>
      <c r="AK76" s="234">
        <f t="shared" si="27"/>
        <v>21100000</v>
      </c>
      <c r="AL76" s="233">
        <f t="shared" si="25"/>
        <v>100</v>
      </c>
      <c r="AM76" s="227"/>
    </row>
    <row r="77" spans="1:39" ht="36" customHeight="1" x14ac:dyDescent="0.25">
      <c r="A77" s="243"/>
      <c r="B77" s="244"/>
      <c r="C77" s="244"/>
      <c r="D77" s="244"/>
      <c r="E77" s="244"/>
      <c r="F77" s="244"/>
      <c r="G77" s="244"/>
      <c r="H77" s="244"/>
      <c r="I77" s="298"/>
      <c r="J77" s="244" t="s">
        <v>272</v>
      </c>
      <c r="K77" s="245"/>
      <c r="L77" s="257"/>
      <c r="M77" s="597" t="s">
        <v>429</v>
      </c>
      <c r="N77" s="598"/>
      <c r="O77" s="299"/>
      <c r="P77" s="180"/>
      <c r="Q77" s="180">
        <v>21100000</v>
      </c>
      <c r="R77" s="181">
        <f>Q77/Q$76*100</f>
        <v>100</v>
      </c>
      <c r="S77" s="181">
        <v>100</v>
      </c>
      <c r="T77" s="180">
        <f t="shared" si="20"/>
        <v>0</v>
      </c>
      <c r="U77" s="180">
        <f t="shared" si="21"/>
        <v>0</v>
      </c>
      <c r="V77" s="182">
        <f t="shared" si="22"/>
        <v>100</v>
      </c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231"/>
      <c r="AH77" s="180"/>
      <c r="AI77" s="180">
        <v>0</v>
      </c>
      <c r="AJ77" s="181">
        <f t="shared" si="24"/>
        <v>0</v>
      </c>
      <c r="AK77" s="246">
        <f t="shared" si="27"/>
        <v>21100000</v>
      </c>
      <c r="AL77" s="181">
        <f t="shared" si="25"/>
        <v>100</v>
      </c>
      <c r="AM77" s="243"/>
    </row>
    <row r="78" spans="1:39" s="297" customFormat="1" ht="29.25" customHeight="1" x14ac:dyDescent="0.25">
      <c r="A78" s="227">
        <f>A76+1</f>
        <v>8</v>
      </c>
      <c r="B78" s="228"/>
      <c r="C78" s="228"/>
      <c r="D78" s="228"/>
      <c r="E78" s="228"/>
      <c r="F78" s="228"/>
      <c r="G78" s="228"/>
      <c r="H78" s="228"/>
      <c r="I78" s="229"/>
      <c r="J78" s="228" t="s">
        <v>449</v>
      </c>
      <c r="K78" s="230"/>
      <c r="L78" s="294"/>
      <c r="M78" s="615" t="s">
        <v>196</v>
      </c>
      <c r="N78" s="614"/>
      <c r="O78" s="300"/>
      <c r="P78" s="231"/>
      <c r="Q78" s="231">
        <f>SUM(Q79:Q80)</f>
        <v>36200000</v>
      </c>
      <c r="R78" s="233">
        <f>Q78/Q$54*100</f>
        <v>1.4331475785096692</v>
      </c>
      <c r="S78" s="233">
        <v>100</v>
      </c>
      <c r="T78" s="231">
        <f t="shared" si="20"/>
        <v>0</v>
      </c>
      <c r="U78" s="231">
        <f t="shared" si="21"/>
        <v>0</v>
      </c>
      <c r="V78" s="296">
        <f t="shared" si="22"/>
        <v>100</v>
      </c>
      <c r="W78" s="231"/>
      <c r="X78" s="231" t="e">
        <f>#REF!</f>
        <v>#REF!</v>
      </c>
      <c r="Y78" s="231" t="e">
        <f>#REF!</f>
        <v>#REF!</v>
      </c>
      <c r="Z78" s="231" t="e">
        <f>#REF!</f>
        <v>#REF!</v>
      </c>
      <c r="AA78" s="231" t="e">
        <f>#REF!</f>
        <v>#REF!</v>
      </c>
      <c r="AB78" s="231">
        <v>12597300</v>
      </c>
      <c r="AC78" s="231" t="e">
        <f>#REF!</f>
        <v>#REF!</v>
      </c>
      <c r="AD78" s="231" t="e">
        <f>#REF!</f>
        <v>#REF!</v>
      </c>
      <c r="AE78" s="231" t="e">
        <f>#REF!</f>
        <v>#REF!</v>
      </c>
      <c r="AF78" s="231" t="e">
        <f>[1]April!N28</f>
        <v>#REF!</v>
      </c>
      <c r="AG78" s="231">
        <v>27808300</v>
      </c>
      <c r="AH78" s="231">
        <f>'[3]DES SKPD'!$N28</f>
        <v>46904000</v>
      </c>
      <c r="AI78" s="231">
        <f>SUM(AI79:AI80)</f>
        <v>0</v>
      </c>
      <c r="AJ78" s="233">
        <f t="shared" si="24"/>
        <v>0</v>
      </c>
      <c r="AK78" s="234">
        <f t="shared" si="27"/>
        <v>36200000</v>
      </c>
      <c r="AL78" s="233">
        <f t="shared" si="25"/>
        <v>100</v>
      </c>
      <c r="AM78" s="227"/>
    </row>
    <row r="79" spans="1:39" s="297" customFormat="1" ht="24.75" customHeight="1" x14ac:dyDescent="0.25">
      <c r="A79" s="227"/>
      <c r="B79" s="228"/>
      <c r="C79" s="228"/>
      <c r="D79" s="228"/>
      <c r="E79" s="228"/>
      <c r="F79" s="228"/>
      <c r="G79" s="228"/>
      <c r="H79" s="228"/>
      <c r="I79" s="229"/>
      <c r="J79" s="244" t="s">
        <v>411</v>
      </c>
      <c r="K79" s="230"/>
      <c r="L79" s="294"/>
      <c r="M79" s="597" t="s">
        <v>412</v>
      </c>
      <c r="N79" s="598"/>
      <c r="O79" s="300"/>
      <c r="P79" s="231"/>
      <c r="Q79" s="180">
        <v>17000000</v>
      </c>
      <c r="R79" s="181">
        <f>Q79/Q$78*100</f>
        <v>46.961325966850829</v>
      </c>
      <c r="S79" s="181">
        <v>100</v>
      </c>
      <c r="T79" s="180">
        <f t="shared" si="20"/>
        <v>0</v>
      </c>
      <c r="U79" s="180">
        <f t="shared" si="21"/>
        <v>0</v>
      </c>
      <c r="V79" s="182">
        <f t="shared" si="22"/>
        <v>100</v>
      </c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231"/>
      <c r="AH79" s="180"/>
      <c r="AI79" s="180">
        <v>0</v>
      </c>
      <c r="AJ79" s="181">
        <f t="shared" si="24"/>
        <v>0</v>
      </c>
      <c r="AK79" s="246">
        <f t="shared" si="27"/>
        <v>17000000</v>
      </c>
      <c r="AL79" s="181">
        <f t="shared" si="25"/>
        <v>100</v>
      </c>
      <c r="AM79" s="227"/>
    </row>
    <row r="80" spans="1:39" ht="24.75" customHeight="1" x14ac:dyDescent="0.25">
      <c r="A80" s="243"/>
      <c r="B80" s="244"/>
      <c r="C80" s="244"/>
      <c r="D80" s="244"/>
      <c r="E80" s="244"/>
      <c r="F80" s="244"/>
      <c r="G80" s="244"/>
      <c r="H80" s="244"/>
      <c r="I80" s="298"/>
      <c r="J80" s="244" t="s">
        <v>546</v>
      </c>
      <c r="K80" s="245"/>
      <c r="L80" s="257"/>
      <c r="M80" s="597" t="s">
        <v>431</v>
      </c>
      <c r="N80" s="598"/>
      <c r="O80" s="301"/>
      <c r="P80" s="180"/>
      <c r="Q80" s="180">
        <v>19200000</v>
      </c>
      <c r="R80" s="181">
        <f>Q80/Q$78*100</f>
        <v>53.038674033149171</v>
      </c>
      <c r="S80" s="181">
        <v>100</v>
      </c>
      <c r="T80" s="180">
        <f t="shared" si="20"/>
        <v>0</v>
      </c>
      <c r="U80" s="180">
        <f t="shared" si="21"/>
        <v>0</v>
      </c>
      <c r="V80" s="182">
        <f t="shared" si="22"/>
        <v>100</v>
      </c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231"/>
      <c r="AH80" s="180"/>
      <c r="AI80" s="180">
        <v>0</v>
      </c>
      <c r="AJ80" s="181">
        <f t="shared" si="24"/>
        <v>0</v>
      </c>
      <c r="AK80" s="246">
        <f t="shared" si="27"/>
        <v>19200000</v>
      </c>
      <c r="AL80" s="181">
        <f t="shared" si="25"/>
        <v>100</v>
      </c>
      <c r="AM80" s="243"/>
    </row>
    <row r="81" spans="1:39" s="297" customFormat="1" ht="31.5" customHeight="1" x14ac:dyDescent="0.25">
      <c r="A81" s="227">
        <f>A78+1</f>
        <v>9</v>
      </c>
      <c r="B81" s="615" t="s">
        <v>121</v>
      </c>
      <c r="C81" s="615"/>
      <c r="D81" s="615"/>
      <c r="E81" s="615"/>
      <c r="F81" s="615"/>
      <c r="G81" s="615"/>
      <c r="H81" s="615"/>
      <c r="I81" s="614"/>
      <c r="J81" s="228" t="s">
        <v>450</v>
      </c>
      <c r="K81" s="230"/>
      <c r="L81" s="294"/>
      <c r="M81" s="615" t="s">
        <v>19</v>
      </c>
      <c r="N81" s="614"/>
      <c r="O81" s="295">
        <v>50800000</v>
      </c>
      <c r="P81" s="231">
        <f>O81</f>
        <v>50800000</v>
      </c>
      <c r="Q81" s="302">
        <f>SUM(Q82:Q83)</f>
        <v>42265000</v>
      </c>
      <c r="R81" s="233">
        <f>Q81/Q$54*100</f>
        <v>1.673259182478209</v>
      </c>
      <c r="S81" s="233">
        <v>100</v>
      </c>
      <c r="T81" s="231">
        <f t="shared" si="20"/>
        <v>0</v>
      </c>
      <c r="U81" s="231">
        <f t="shared" si="21"/>
        <v>0</v>
      </c>
      <c r="V81" s="296">
        <f t="shared" si="22"/>
        <v>100</v>
      </c>
      <c r="W81" s="231"/>
      <c r="X81" s="231" t="e">
        <f>#REF!</f>
        <v>#REF!</v>
      </c>
      <c r="Y81" s="231" t="e">
        <f>#REF!</f>
        <v>#REF!</v>
      </c>
      <c r="Z81" s="231" t="e">
        <f>#REF!</f>
        <v>#REF!</v>
      </c>
      <c r="AA81" s="231" t="e">
        <f>#REF!</f>
        <v>#REF!</v>
      </c>
      <c r="AB81" s="231">
        <v>23113500</v>
      </c>
      <c r="AC81" s="231" t="e">
        <f>#REF!</f>
        <v>#REF!</v>
      </c>
      <c r="AD81" s="231" t="e">
        <f>#REF!</f>
        <v>#REF!</v>
      </c>
      <c r="AE81" s="231" t="e">
        <f>#REF!</f>
        <v>#REF!</v>
      </c>
      <c r="AF81" s="231" t="e">
        <f>[1]April!N28</f>
        <v>#REF!</v>
      </c>
      <c r="AG81" s="231" t="e">
        <f>[2]april!N28</f>
        <v>#REF!</v>
      </c>
      <c r="AH81" s="231">
        <f>'[3]DES SKPD'!$N28</f>
        <v>46904000</v>
      </c>
      <c r="AI81" s="231">
        <f>SUM(AI82:AI83)</f>
        <v>0</v>
      </c>
      <c r="AJ81" s="233">
        <f t="shared" si="24"/>
        <v>0</v>
      </c>
      <c r="AK81" s="234">
        <f t="shared" si="27"/>
        <v>42265000</v>
      </c>
      <c r="AL81" s="233">
        <f t="shared" si="25"/>
        <v>100</v>
      </c>
      <c r="AM81" s="227"/>
    </row>
    <row r="82" spans="1:39" ht="24.75" customHeight="1" x14ac:dyDescent="0.25">
      <c r="A82" s="243"/>
      <c r="B82" s="244"/>
      <c r="C82" s="244"/>
      <c r="D82" s="244"/>
      <c r="E82" s="244"/>
      <c r="F82" s="244"/>
      <c r="G82" s="244"/>
      <c r="H82" s="244"/>
      <c r="I82" s="298"/>
      <c r="J82" s="244" t="s">
        <v>276</v>
      </c>
      <c r="K82" s="245"/>
      <c r="L82" s="257"/>
      <c r="M82" s="597" t="s">
        <v>277</v>
      </c>
      <c r="N82" s="598"/>
      <c r="O82" s="299"/>
      <c r="P82" s="180"/>
      <c r="Q82" s="180">
        <v>37600000</v>
      </c>
      <c r="R82" s="181">
        <f>Q82/Q$81*100</f>
        <v>88.962498521235062</v>
      </c>
      <c r="S82" s="181">
        <v>100</v>
      </c>
      <c r="T82" s="180">
        <f t="shared" si="20"/>
        <v>0</v>
      </c>
      <c r="U82" s="180">
        <f t="shared" si="21"/>
        <v>0</v>
      </c>
      <c r="V82" s="182">
        <f t="shared" si="22"/>
        <v>100</v>
      </c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>
        <v>0</v>
      </c>
      <c r="AJ82" s="181">
        <f t="shared" si="24"/>
        <v>0</v>
      </c>
      <c r="AK82" s="246">
        <f t="shared" si="27"/>
        <v>37600000</v>
      </c>
      <c r="AL82" s="181">
        <f t="shared" si="25"/>
        <v>100</v>
      </c>
      <c r="AM82" s="243"/>
    </row>
    <row r="83" spans="1:39" ht="39.75" customHeight="1" x14ac:dyDescent="0.25">
      <c r="A83" s="243"/>
      <c r="B83" s="244"/>
      <c r="C83" s="244"/>
      <c r="D83" s="244"/>
      <c r="E83" s="244"/>
      <c r="F83" s="244"/>
      <c r="G83" s="244"/>
      <c r="H83" s="244"/>
      <c r="I83" s="298"/>
      <c r="J83" s="244" t="s">
        <v>432</v>
      </c>
      <c r="K83" s="245"/>
      <c r="L83" s="257"/>
      <c r="M83" s="597" t="s">
        <v>433</v>
      </c>
      <c r="N83" s="598"/>
      <c r="O83" s="299"/>
      <c r="P83" s="180"/>
      <c r="Q83" s="180">
        <v>4665000</v>
      </c>
      <c r="R83" s="181">
        <f>Q83/Q$81*100</f>
        <v>11.037501478764936</v>
      </c>
      <c r="S83" s="181">
        <v>100</v>
      </c>
      <c r="T83" s="180">
        <f t="shared" si="20"/>
        <v>0</v>
      </c>
      <c r="U83" s="180">
        <f t="shared" si="21"/>
        <v>0</v>
      </c>
      <c r="V83" s="182">
        <f t="shared" si="22"/>
        <v>100</v>
      </c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>
        <v>0</v>
      </c>
      <c r="AJ83" s="181">
        <f t="shared" si="24"/>
        <v>0</v>
      </c>
      <c r="AK83" s="246">
        <f t="shared" si="27"/>
        <v>4665000</v>
      </c>
      <c r="AL83" s="181">
        <f t="shared" si="25"/>
        <v>100</v>
      </c>
      <c r="AM83" s="243"/>
    </row>
    <row r="84" spans="1:39" s="297" customFormat="1" ht="30.75" customHeight="1" x14ac:dyDescent="0.25">
      <c r="A84" s="227">
        <f>A81+1</f>
        <v>10</v>
      </c>
      <c r="B84" s="615" t="s">
        <v>122</v>
      </c>
      <c r="C84" s="615"/>
      <c r="D84" s="615"/>
      <c r="E84" s="615"/>
      <c r="F84" s="615"/>
      <c r="G84" s="615"/>
      <c r="H84" s="615"/>
      <c r="I84" s="614"/>
      <c r="J84" s="228" t="s">
        <v>451</v>
      </c>
      <c r="K84" s="230"/>
      <c r="L84" s="294"/>
      <c r="M84" s="615" t="s">
        <v>20</v>
      </c>
      <c r="N84" s="614"/>
      <c r="O84" s="295">
        <v>124190000</v>
      </c>
      <c r="P84" s="231">
        <f>O84</f>
        <v>124190000</v>
      </c>
      <c r="Q84" s="231">
        <f>SUM(Q85:Q86)</f>
        <v>118340000</v>
      </c>
      <c r="R84" s="233">
        <f>Q84/Q$54*100</f>
        <v>4.6850465315147583</v>
      </c>
      <c r="S84" s="233">
        <v>100</v>
      </c>
      <c r="T84" s="231">
        <f>AJ84</f>
        <v>0</v>
      </c>
      <c r="U84" s="231">
        <f t="shared" si="21"/>
        <v>0</v>
      </c>
      <c r="V84" s="296">
        <f t="shared" si="22"/>
        <v>100</v>
      </c>
      <c r="W84" s="231"/>
      <c r="X84" s="231" t="e">
        <f>#REF!</f>
        <v>#REF!</v>
      </c>
      <c r="Y84" s="231" t="e">
        <f>#REF!</f>
        <v>#REF!</v>
      </c>
      <c r="Z84" s="231" t="e">
        <f>#REF!</f>
        <v>#REF!</v>
      </c>
      <c r="AA84" s="231" t="e">
        <f>#REF!</f>
        <v>#REF!</v>
      </c>
      <c r="AB84" s="231">
        <v>53635000</v>
      </c>
      <c r="AC84" s="231" t="e">
        <f>#REF!</f>
        <v>#REF!</v>
      </c>
      <c r="AD84" s="231" t="e">
        <f>#REF!</f>
        <v>#REF!</v>
      </c>
      <c r="AE84" s="231" t="e">
        <f>#REF!</f>
        <v>#REF!</v>
      </c>
      <c r="AF84" s="231" t="e">
        <f>[1]April!N29</f>
        <v>#REF!</v>
      </c>
      <c r="AG84" s="231" t="e">
        <f>[2]april!N29</f>
        <v>#REF!</v>
      </c>
      <c r="AH84" s="231">
        <f>'[3]DES SKPD'!$N29</f>
        <v>138020848</v>
      </c>
      <c r="AI84" s="231">
        <f>SUM(AI85:AI86)</f>
        <v>0</v>
      </c>
      <c r="AJ84" s="233">
        <f t="shared" si="24"/>
        <v>0</v>
      </c>
      <c r="AK84" s="234">
        <f t="shared" si="27"/>
        <v>118340000</v>
      </c>
      <c r="AL84" s="233">
        <f t="shared" si="25"/>
        <v>100</v>
      </c>
      <c r="AM84" s="227"/>
    </row>
    <row r="85" spans="1:39" ht="32.25" customHeight="1" x14ac:dyDescent="0.25">
      <c r="A85" s="243"/>
      <c r="B85" s="244"/>
      <c r="C85" s="244"/>
      <c r="D85" s="244"/>
      <c r="E85" s="244"/>
      <c r="F85" s="244"/>
      <c r="G85" s="244"/>
      <c r="H85" s="244"/>
      <c r="I85" s="298"/>
      <c r="J85" s="244" t="s">
        <v>278</v>
      </c>
      <c r="K85" s="245"/>
      <c r="L85" s="257"/>
      <c r="M85" s="597" t="s">
        <v>279</v>
      </c>
      <c r="N85" s="598"/>
      <c r="O85" s="299"/>
      <c r="P85" s="180"/>
      <c r="Q85" s="180">
        <v>54000000</v>
      </c>
      <c r="R85" s="181">
        <f>Q85/Q$84*100</f>
        <v>45.631232043265172</v>
      </c>
      <c r="S85" s="181">
        <v>100</v>
      </c>
      <c r="T85" s="180">
        <f>AJ85</f>
        <v>0</v>
      </c>
      <c r="U85" s="180">
        <f t="shared" si="21"/>
        <v>0</v>
      </c>
      <c r="V85" s="182">
        <f t="shared" si="22"/>
        <v>100</v>
      </c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>
        <v>0</v>
      </c>
      <c r="AJ85" s="181">
        <f t="shared" si="24"/>
        <v>0</v>
      </c>
      <c r="AK85" s="246">
        <f t="shared" si="27"/>
        <v>54000000</v>
      </c>
      <c r="AL85" s="181">
        <f t="shared" si="25"/>
        <v>100</v>
      </c>
      <c r="AM85" s="243"/>
    </row>
    <row r="86" spans="1:39" ht="24.75" customHeight="1" x14ac:dyDescent="0.25">
      <c r="A86" s="243"/>
      <c r="B86" s="244"/>
      <c r="C86" s="244"/>
      <c r="D86" s="244"/>
      <c r="E86" s="244"/>
      <c r="F86" s="244"/>
      <c r="G86" s="244"/>
      <c r="H86" s="244"/>
      <c r="I86" s="298"/>
      <c r="J86" s="244" t="s">
        <v>280</v>
      </c>
      <c r="K86" s="245"/>
      <c r="L86" s="257"/>
      <c r="M86" s="597" t="s">
        <v>281</v>
      </c>
      <c r="N86" s="598"/>
      <c r="O86" s="299"/>
      <c r="P86" s="180"/>
      <c r="Q86" s="180">
        <v>64340000</v>
      </c>
      <c r="R86" s="181">
        <f>Q86/Q$84*100</f>
        <v>54.368767956734828</v>
      </c>
      <c r="S86" s="181">
        <v>100</v>
      </c>
      <c r="T86" s="180">
        <f>AJ86</f>
        <v>0</v>
      </c>
      <c r="U86" s="180">
        <f t="shared" si="21"/>
        <v>0</v>
      </c>
      <c r="V86" s="182">
        <f t="shared" si="22"/>
        <v>100</v>
      </c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>
        <v>0</v>
      </c>
      <c r="AJ86" s="181">
        <f t="shared" si="24"/>
        <v>0</v>
      </c>
      <c r="AK86" s="246">
        <f t="shared" si="27"/>
        <v>64340000</v>
      </c>
      <c r="AL86" s="181">
        <f t="shared" si="25"/>
        <v>100</v>
      </c>
      <c r="AM86" s="243"/>
    </row>
    <row r="87" spans="1:39" s="297" customFormat="1" ht="31.5" customHeight="1" x14ac:dyDescent="0.25">
      <c r="A87" s="227">
        <f>A84+1</f>
        <v>11</v>
      </c>
      <c r="B87" s="615" t="s">
        <v>123</v>
      </c>
      <c r="C87" s="615"/>
      <c r="D87" s="615"/>
      <c r="E87" s="615"/>
      <c r="F87" s="615"/>
      <c r="G87" s="615"/>
      <c r="H87" s="615"/>
      <c r="I87" s="614"/>
      <c r="J87" s="228" t="s">
        <v>452</v>
      </c>
      <c r="K87" s="230"/>
      <c r="L87" s="294"/>
      <c r="M87" s="615" t="s">
        <v>21</v>
      </c>
      <c r="N87" s="614"/>
      <c r="O87" s="295">
        <v>517929000</v>
      </c>
      <c r="P87" s="231">
        <f>O87</f>
        <v>517929000</v>
      </c>
      <c r="Q87" s="231">
        <f>SUM(Q88:Q88)</f>
        <v>483349844</v>
      </c>
      <c r="R87" s="233">
        <f>Q87/Q$54*100</f>
        <v>19.135681174078076</v>
      </c>
      <c r="S87" s="233">
        <v>100</v>
      </c>
      <c r="T87" s="231">
        <f t="shared" si="20"/>
        <v>0</v>
      </c>
      <c r="U87" s="231">
        <f>R87*T87/100</f>
        <v>0</v>
      </c>
      <c r="V87" s="296">
        <f t="shared" si="22"/>
        <v>100</v>
      </c>
      <c r="W87" s="231"/>
      <c r="X87" s="231" t="e">
        <f>#REF!</f>
        <v>#REF!</v>
      </c>
      <c r="Y87" s="231" t="e">
        <f>#REF!</f>
        <v>#REF!</v>
      </c>
      <c r="Z87" s="231" t="e">
        <f>#REF!</f>
        <v>#REF!</v>
      </c>
      <c r="AA87" s="231" t="e">
        <f>#REF!</f>
        <v>#REF!</v>
      </c>
      <c r="AB87" s="231">
        <v>317394150</v>
      </c>
      <c r="AC87" s="231" t="e">
        <f>#REF!</f>
        <v>#REF!</v>
      </c>
      <c r="AD87" s="231" t="e">
        <f>#REF!</f>
        <v>#REF!</v>
      </c>
      <c r="AE87" s="231" t="e">
        <f>#REF!</f>
        <v>#REF!</v>
      </c>
      <c r="AF87" s="231" t="e">
        <f>[1]April!N30</f>
        <v>#REF!</v>
      </c>
      <c r="AG87" s="231" t="e">
        <f>[2]april!N30</f>
        <v>#REF!</v>
      </c>
      <c r="AH87" s="231">
        <f>'[3]DES SKPD'!$N30</f>
        <v>660543350</v>
      </c>
      <c r="AI87" s="231">
        <f>SUM(AI88:AI88)</f>
        <v>0</v>
      </c>
      <c r="AJ87" s="233">
        <f t="shared" si="24"/>
        <v>0</v>
      </c>
      <c r="AK87" s="234">
        <f t="shared" si="27"/>
        <v>483349844</v>
      </c>
      <c r="AL87" s="233">
        <f t="shared" si="25"/>
        <v>100</v>
      </c>
      <c r="AM87" s="227"/>
    </row>
    <row r="88" spans="1:39" ht="26.25" customHeight="1" x14ac:dyDescent="0.25">
      <c r="A88" s="243"/>
      <c r="B88" s="244"/>
      <c r="C88" s="244"/>
      <c r="D88" s="244"/>
      <c r="E88" s="244"/>
      <c r="F88" s="244"/>
      <c r="G88" s="244"/>
      <c r="H88" s="244"/>
      <c r="I88" s="298"/>
      <c r="J88" s="244" t="s">
        <v>282</v>
      </c>
      <c r="K88" s="245"/>
      <c r="L88" s="257"/>
      <c r="M88" s="597" t="s">
        <v>283</v>
      </c>
      <c r="N88" s="598"/>
      <c r="O88" s="299"/>
      <c r="P88" s="180"/>
      <c r="Q88" s="180">
        <v>483349844</v>
      </c>
      <c r="R88" s="181">
        <f>Q88/Q$87*100</f>
        <v>100</v>
      </c>
      <c r="S88" s="181">
        <v>100</v>
      </c>
      <c r="T88" s="180">
        <f t="shared" si="20"/>
        <v>0</v>
      </c>
      <c r="U88" s="180">
        <f>R88*T88/100</f>
        <v>0</v>
      </c>
      <c r="V88" s="182">
        <f t="shared" si="22"/>
        <v>100</v>
      </c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>
        <v>0</v>
      </c>
      <c r="AJ88" s="181">
        <f t="shared" si="24"/>
        <v>0</v>
      </c>
      <c r="AK88" s="246">
        <f t="shared" si="27"/>
        <v>483349844</v>
      </c>
      <c r="AL88" s="181">
        <f t="shared" si="25"/>
        <v>100</v>
      </c>
      <c r="AM88" s="243"/>
    </row>
    <row r="89" spans="1:39" s="297" customFormat="1" ht="30.75" customHeight="1" x14ac:dyDescent="0.25">
      <c r="A89" s="227">
        <f>A87+1</f>
        <v>12</v>
      </c>
      <c r="B89" s="615" t="s">
        <v>124</v>
      </c>
      <c r="C89" s="615"/>
      <c r="D89" s="615"/>
      <c r="E89" s="615"/>
      <c r="F89" s="615"/>
      <c r="G89" s="615"/>
      <c r="H89" s="615"/>
      <c r="I89" s="614"/>
      <c r="J89" s="228" t="s">
        <v>453</v>
      </c>
      <c r="K89" s="230"/>
      <c r="L89" s="294"/>
      <c r="M89" s="615" t="s">
        <v>22</v>
      </c>
      <c r="N89" s="614"/>
      <c r="O89" s="295">
        <v>17600000</v>
      </c>
      <c r="P89" s="231">
        <f>O89</f>
        <v>17600000</v>
      </c>
      <c r="Q89" s="231">
        <f>SUM(Q90:Q90)</f>
        <v>31400000</v>
      </c>
      <c r="R89" s="233">
        <f>Q89/Q$54*100</f>
        <v>1.2431169603647407</v>
      </c>
      <c r="S89" s="233">
        <v>100</v>
      </c>
      <c r="T89" s="231">
        <f t="shared" si="20"/>
        <v>0</v>
      </c>
      <c r="U89" s="231">
        <f t="shared" si="21"/>
        <v>0</v>
      </c>
      <c r="V89" s="296">
        <f t="shared" si="22"/>
        <v>100</v>
      </c>
      <c r="W89" s="231"/>
      <c r="X89" s="231" t="e">
        <f>#REF!</f>
        <v>#REF!</v>
      </c>
      <c r="Y89" s="231" t="e">
        <f>#REF!</f>
        <v>#REF!</v>
      </c>
      <c r="Z89" s="231" t="e">
        <f>#REF!</f>
        <v>#REF!</v>
      </c>
      <c r="AA89" s="231" t="e">
        <f>#REF!</f>
        <v>#REF!</v>
      </c>
      <c r="AB89" s="231">
        <v>13150000</v>
      </c>
      <c r="AC89" s="231" t="e">
        <f>#REF!</f>
        <v>#REF!</v>
      </c>
      <c r="AD89" s="231" t="e">
        <f>#REF!</f>
        <v>#REF!</v>
      </c>
      <c r="AE89" s="231" t="e">
        <f>#REF!</f>
        <v>#REF!</v>
      </c>
      <c r="AF89" s="231" t="e">
        <f>[1]April!N31</f>
        <v>#REF!</v>
      </c>
      <c r="AG89" s="231" t="e">
        <f>[2]april!N31</f>
        <v>#REF!</v>
      </c>
      <c r="AH89" s="231">
        <f>'[3]DES SKPD'!$N31</f>
        <v>27445000</v>
      </c>
      <c r="AI89" s="231">
        <f>SUM(AI90:AI90)</f>
        <v>0</v>
      </c>
      <c r="AJ89" s="233">
        <f t="shared" si="24"/>
        <v>0</v>
      </c>
      <c r="AK89" s="234">
        <f t="shared" si="27"/>
        <v>31400000</v>
      </c>
      <c r="AL89" s="233">
        <f t="shared" si="25"/>
        <v>100</v>
      </c>
      <c r="AM89" s="227"/>
    </row>
    <row r="90" spans="1:39" ht="26.25" customHeight="1" x14ac:dyDescent="0.25">
      <c r="A90" s="243"/>
      <c r="B90" s="244"/>
      <c r="C90" s="244"/>
      <c r="D90" s="244"/>
      <c r="E90" s="244"/>
      <c r="F90" s="244"/>
      <c r="G90" s="244"/>
      <c r="H90" s="244"/>
      <c r="I90" s="298"/>
      <c r="J90" s="244" t="s">
        <v>284</v>
      </c>
      <c r="K90" s="245"/>
      <c r="L90" s="257"/>
      <c r="M90" s="597" t="s">
        <v>285</v>
      </c>
      <c r="N90" s="598"/>
      <c r="O90" s="299"/>
      <c r="P90" s="180"/>
      <c r="Q90" s="180">
        <v>31400000</v>
      </c>
      <c r="R90" s="181">
        <f>Q90/Q$89*100</f>
        <v>100</v>
      </c>
      <c r="S90" s="181">
        <v>100</v>
      </c>
      <c r="T90" s="180">
        <f t="shared" si="20"/>
        <v>0</v>
      </c>
      <c r="U90" s="180">
        <f>R90*T90/100</f>
        <v>0</v>
      </c>
      <c r="V90" s="182">
        <f t="shared" si="22"/>
        <v>100</v>
      </c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>
        <v>0</v>
      </c>
      <c r="AJ90" s="181">
        <f t="shared" si="24"/>
        <v>0</v>
      </c>
      <c r="AK90" s="246">
        <f t="shared" si="27"/>
        <v>31400000</v>
      </c>
      <c r="AL90" s="181">
        <f t="shared" si="25"/>
        <v>100</v>
      </c>
      <c r="AM90" s="243"/>
    </row>
    <row r="91" spans="1:39" ht="26.25" customHeight="1" x14ac:dyDescent="0.25">
      <c r="A91" s="227">
        <f>A89+1</f>
        <v>13</v>
      </c>
      <c r="B91" s="615" t="s">
        <v>124</v>
      </c>
      <c r="C91" s="615"/>
      <c r="D91" s="615"/>
      <c r="E91" s="615"/>
      <c r="F91" s="615"/>
      <c r="G91" s="615"/>
      <c r="H91" s="615"/>
      <c r="I91" s="614"/>
      <c r="J91" s="228" t="s">
        <v>547</v>
      </c>
      <c r="K91" s="230"/>
      <c r="L91" s="294"/>
      <c r="M91" s="615" t="s">
        <v>548</v>
      </c>
      <c r="N91" s="614"/>
      <c r="O91" s="295">
        <v>17600000</v>
      </c>
      <c r="P91" s="231">
        <f>O91</f>
        <v>17600000</v>
      </c>
      <c r="Q91" s="231">
        <f>SUM(Q92:Q104)</f>
        <v>71640000</v>
      </c>
      <c r="R91" s="233">
        <f>Q91/Q$54*100</f>
        <v>2.8362069758130581</v>
      </c>
      <c r="S91" s="233">
        <v>100</v>
      </c>
      <c r="T91" s="231">
        <f t="shared" si="20"/>
        <v>0</v>
      </c>
      <c r="U91" s="231">
        <f t="shared" ref="U91" si="28">R91*T91/100</f>
        <v>0</v>
      </c>
      <c r="V91" s="296">
        <f t="shared" si="22"/>
        <v>100</v>
      </c>
      <c r="W91" s="231"/>
      <c r="X91" s="231" t="e">
        <f>#REF!</f>
        <v>#REF!</v>
      </c>
      <c r="Y91" s="231" t="e">
        <f>#REF!</f>
        <v>#REF!</v>
      </c>
      <c r="Z91" s="231" t="e">
        <f>#REF!</f>
        <v>#REF!</v>
      </c>
      <c r="AA91" s="231" t="e">
        <f>#REF!</f>
        <v>#REF!</v>
      </c>
      <c r="AB91" s="231">
        <v>13150000</v>
      </c>
      <c r="AC91" s="231" t="e">
        <f>#REF!</f>
        <v>#REF!</v>
      </c>
      <c r="AD91" s="231" t="e">
        <f>#REF!</f>
        <v>#REF!</v>
      </c>
      <c r="AE91" s="231" t="e">
        <f>#REF!</f>
        <v>#REF!</v>
      </c>
      <c r="AF91" s="231" t="e">
        <f>[1]April!N33</f>
        <v>#REF!</v>
      </c>
      <c r="AG91" s="231" t="e">
        <f>[2]april!N33</f>
        <v>#REF!</v>
      </c>
      <c r="AH91" s="231" t="e">
        <f>'[3]DES SKPD'!$N33</f>
        <v>#REF!</v>
      </c>
      <c r="AI91" s="231">
        <f>SUM(AI92:AI104)</f>
        <v>0</v>
      </c>
      <c r="AJ91" s="233">
        <f t="shared" si="24"/>
        <v>0</v>
      </c>
      <c r="AK91" s="234">
        <f t="shared" si="27"/>
        <v>71640000</v>
      </c>
      <c r="AL91" s="233">
        <f t="shared" si="25"/>
        <v>100</v>
      </c>
      <c r="AM91" s="227"/>
    </row>
    <row r="92" spans="1:39" ht="26.25" customHeight="1" x14ac:dyDescent="0.25">
      <c r="A92" s="243"/>
      <c r="B92" s="244"/>
      <c r="C92" s="244"/>
      <c r="D92" s="244"/>
      <c r="E92" s="244"/>
      <c r="F92" s="244"/>
      <c r="G92" s="244"/>
      <c r="H92" s="244"/>
      <c r="I92" s="298"/>
      <c r="J92" s="244" t="s">
        <v>265</v>
      </c>
      <c r="K92" s="245"/>
      <c r="L92" s="257"/>
      <c r="M92" s="597" t="s">
        <v>266</v>
      </c>
      <c r="N92" s="598"/>
      <c r="O92" s="299"/>
      <c r="P92" s="180"/>
      <c r="Q92" s="180">
        <v>12590000</v>
      </c>
      <c r="R92" s="181">
        <f>Q92/Q$89*100</f>
        <v>40.095541401273884</v>
      </c>
      <c r="S92" s="181">
        <v>100</v>
      </c>
      <c r="T92" s="180">
        <f t="shared" si="20"/>
        <v>0</v>
      </c>
      <c r="U92" s="180">
        <f>R92*T92/100</f>
        <v>0</v>
      </c>
      <c r="V92" s="182">
        <f t="shared" si="22"/>
        <v>100</v>
      </c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>
        <v>0</v>
      </c>
      <c r="AJ92" s="181">
        <f t="shared" si="24"/>
        <v>0</v>
      </c>
      <c r="AK92" s="246">
        <f t="shared" si="27"/>
        <v>12590000</v>
      </c>
      <c r="AL92" s="181">
        <f t="shared" si="25"/>
        <v>100</v>
      </c>
      <c r="AM92" s="243"/>
    </row>
    <row r="93" spans="1:39" ht="26.25" customHeight="1" x14ac:dyDescent="0.25">
      <c r="A93" s="243"/>
      <c r="B93" s="244"/>
      <c r="C93" s="244"/>
      <c r="D93" s="244"/>
      <c r="E93" s="244"/>
      <c r="F93" s="244"/>
      <c r="G93" s="244"/>
      <c r="H93" s="244"/>
      <c r="I93" s="298"/>
      <c r="J93" s="244" t="s">
        <v>272</v>
      </c>
      <c r="K93" s="245"/>
      <c r="L93" s="257"/>
      <c r="M93" s="597" t="s">
        <v>429</v>
      </c>
      <c r="N93" s="598"/>
      <c r="O93" s="299"/>
      <c r="P93" s="180"/>
      <c r="Q93" s="180">
        <v>3000000</v>
      </c>
      <c r="R93" s="181">
        <f t="shared" ref="R93:R104" si="29">Q93/Q$89*100</f>
        <v>9.5541401273885356</v>
      </c>
      <c r="S93" s="181">
        <v>100</v>
      </c>
      <c r="T93" s="180">
        <f t="shared" si="20"/>
        <v>0</v>
      </c>
      <c r="U93" s="180">
        <f t="shared" ref="U93:U105" si="30">R93*T93/100</f>
        <v>0</v>
      </c>
      <c r="V93" s="182">
        <f t="shared" si="22"/>
        <v>100</v>
      </c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>
        <v>0</v>
      </c>
      <c r="AJ93" s="181">
        <f t="shared" si="24"/>
        <v>0</v>
      </c>
      <c r="AK93" s="246">
        <f t="shared" si="27"/>
        <v>3000000</v>
      </c>
      <c r="AL93" s="181">
        <f t="shared" si="25"/>
        <v>100</v>
      </c>
      <c r="AM93" s="243"/>
    </row>
    <row r="94" spans="1:39" ht="26.25" customHeight="1" x14ac:dyDescent="0.25">
      <c r="A94" s="243"/>
      <c r="B94" s="244"/>
      <c r="C94" s="244"/>
      <c r="D94" s="244"/>
      <c r="E94" s="244"/>
      <c r="F94" s="244"/>
      <c r="G94" s="244"/>
      <c r="H94" s="244"/>
      <c r="I94" s="298"/>
      <c r="J94" s="244" t="s">
        <v>249</v>
      </c>
      <c r="K94" s="245"/>
      <c r="L94" s="257"/>
      <c r="M94" s="597" t="s">
        <v>250</v>
      </c>
      <c r="N94" s="598"/>
      <c r="O94" s="299"/>
      <c r="P94" s="180"/>
      <c r="Q94" s="180">
        <v>390000</v>
      </c>
      <c r="R94" s="181">
        <f t="shared" si="29"/>
        <v>1.2420382165605097</v>
      </c>
      <c r="S94" s="181">
        <v>100</v>
      </c>
      <c r="T94" s="180">
        <f t="shared" si="20"/>
        <v>0</v>
      </c>
      <c r="U94" s="180">
        <f t="shared" si="30"/>
        <v>0</v>
      </c>
      <c r="V94" s="182">
        <f t="shared" si="22"/>
        <v>100</v>
      </c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>
        <v>0</v>
      </c>
      <c r="AJ94" s="181">
        <f t="shared" si="24"/>
        <v>0</v>
      </c>
      <c r="AK94" s="246">
        <f t="shared" si="27"/>
        <v>390000</v>
      </c>
      <c r="AL94" s="181">
        <f t="shared" si="25"/>
        <v>100</v>
      </c>
      <c r="AM94" s="243"/>
    </row>
    <row r="95" spans="1:39" ht="26.25" customHeight="1" x14ac:dyDescent="0.25">
      <c r="A95" s="243"/>
      <c r="B95" s="244"/>
      <c r="C95" s="244"/>
      <c r="D95" s="244"/>
      <c r="E95" s="244"/>
      <c r="F95" s="244"/>
      <c r="G95" s="244"/>
      <c r="H95" s="244"/>
      <c r="I95" s="298"/>
      <c r="J95" s="244" t="s">
        <v>261</v>
      </c>
      <c r="K95" s="245"/>
      <c r="L95" s="257"/>
      <c r="M95" s="597" t="s">
        <v>262</v>
      </c>
      <c r="N95" s="598"/>
      <c r="O95" s="299"/>
      <c r="P95" s="180"/>
      <c r="Q95" s="180">
        <v>3700000</v>
      </c>
      <c r="R95" s="181">
        <f t="shared" si="29"/>
        <v>11.783439490445859</v>
      </c>
      <c r="S95" s="181">
        <v>100</v>
      </c>
      <c r="T95" s="180">
        <f t="shared" si="20"/>
        <v>0</v>
      </c>
      <c r="U95" s="180">
        <f t="shared" si="30"/>
        <v>0</v>
      </c>
      <c r="V95" s="182">
        <f t="shared" si="22"/>
        <v>100</v>
      </c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>
        <v>0</v>
      </c>
      <c r="AJ95" s="181">
        <f t="shared" si="24"/>
        <v>0</v>
      </c>
      <c r="AK95" s="246">
        <f t="shared" si="27"/>
        <v>3700000</v>
      </c>
      <c r="AL95" s="181">
        <f t="shared" si="25"/>
        <v>100</v>
      </c>
      <c r="AM95" s="243"/>
    </row>
    <row r="96" spans="1:39" ht="26.25" customHeight="1" x14ac:dyDescent="0.25">
      <c r="A96" s="243"/>
      <c r="B96" s="244"/>
      <c r="C96" s="244"/>
      <c r="D96" s="244"/>
      <c r="E96" s="244"/>
      <c r="F96" s="244"/>
      <c r="G96" s="244"/>
      <c r="H96" s="244"/>
      <c r="I96" s="298"/>
      <c r="J96" s="244" t="s">
        <v>315</v>
      </c>
      <c r="K96" s="245"/>
      <c r="L96" s="257"/>
      <c r="M96" s="597" t="s">
        <v>271</v>
      </c>
      <c r="N96" s="598"/>
      <c r="O96" s="299"/>
      <c r="P96" s="180"/>
      <c r="Q96" s="180">
        <v>2000000</v>
      </c>
      <c r="R96" s="181">
        <f t="shared" si="29"/>
        <v>6.369426751592357</v>
      </c>
      <c r="S96" s="181">
        <v>100</v>
      </c>
      <c r="T96" s="180">
        <f t="shared" si="20"/>
        <v>0</v>
      </c>
      <c r="U96" s="180">
        <f t="shared" si="30"/>
        <v>0</v>
      </c>
      <c r="V96" s="182">
        <f t="shared" si="22"/>
        <v>100</v>
      </c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>
        <v>0</v>
      </c>
      <c r="AJ96" s="181">
        <f t="shared" si="24"/>
        <v>0</v>
      </c>
      <c r="AK96" s="246">
        <f t="shared" si="27"/>
        <v>2000000</v>
      </c>
      <c r="AL96" s="181">
        <f t="shared" si="25"/>
        <v>100</v>
      </c>
      <c r="AM96" s="243"/>
    </row>
    <row r="97" spans="1:39" ht="26.25" customHeight="1" x14ac:dyDescent="0.25">
      <c r="A97" s="243"/>
      <c r="B97" s="244"/>
      <c r="C97" s="244"/>
      <c r="D97" s="244"/>
      <c r="E97" s="244"/>
      <c r="F97" s="244"/>
      <c r="G97" s="244"/>
      <c r="H97" s="244"/>
      <c r="I97" s="298"/>
      <c r="J97" s="244" t="s">
        <v>278</v>
      </c>
      <c r="K97" s="245"/>
      <c r="L97" s="257"/>
      <c r="M97" s="597" t="s">
        <v>279</v>
      </c>
      <c r="N97" s="598"/>
      <c r="O97" s="299"/>
      <c r="P97" s="180"/>
      <c r="Q97" s="180">
        <v>2160000</v>
      </c>
      <c r="R97" s="181">
        <f t="shared" si="29"/>
        <v>6.8789808917197455</v>
      </c>
      <c r="S97" s="181">
        <v>100</v>
      </c>
      <c r="T97" s="180">
        <f t="shared" si="20"/>
        <v>0</v>
      </c>
      <c r="U97" s="180">
        <f t="shared" si="30"/>
        <v>0</v>
      </c>
      <c r="V97" s="182">
        <f t="shared" si="22"/>
        <v>100</v>
      </c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>
        <v>0</v>
      </c>
      <c r="AJ97" s="181">
        <f t="shared" si="24"/>
        <v>0</v>
      </c>
      <c r="AK97" s="246">
        <f t="shared" si="27"/>
        <v>2160000</v>
      </c>
      <c r="AL97" s="181">
        <f t="shared" si="25"/>
        <v>100</v>
      </c>
      <c r="AM97" s="243"/>
    </row>
    <row r="98" spans="1:39" ht="26.25" customHeight="1" x14ac:dyDescent="0.25">
      <c r="A98" s="243"/>
      <c r="B98" s="244"/>
      <c r="C98" s="244"/>
      <c r="D98" s="244"/>
      <c r="E98" s="244"/>
      <c r="F98" s="244"/>
      <c r="G98" s="244"/>
      <c r="H98" s="244"/>
      <c r="I98" s="298"/>
      <c r="J98" s="244" t="s">
        <v>284</v>
      </c>
      <c r="K98" s="245"/>
      <c r="L98" s="257"/>
      <c r="M98" s="597" t="s">
        <v>285</v>
      </c>
      <c r="N98" s="598"/>
      <c r="O98" s="299"/>
      <c r="P98" s="180"/>
      <c r="Q98" s="180">
        <v>15000000</v>
      </c>
      <c r="R98" s="181">
        <f t="shared" si="29"/>
        <v>47.770700636942678</v>
      </c>
      <c r="S98" s="181">
        <v>100</v>
      </c>
      <c r="T98" s="180">
        <f t="shared" si="20"/>
        <v>0</v>
      </c>
      <c r="U98" s="180">
        <f t="shared" si="30"/>
        <v>0</v>
      </c>
      <c r="V98" s="182">
        <f t="shared" si="22"/>
        <v>100</v>
      </c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>
        <v>0</v>
      </c>
      <c r="AJ98" s="181">
        <f t="shared" si="24"/>
        <v>0</v>
      </c>
      <c r="AK98" s="246">
        <f t="shared" si="27"/>
        <v>15000000</v>
      </c>
      <c r="AL98" s="181">
        <f t="shared" si="25"/>
        <v>100</v>
      </c>
      <c r="AM98" s="243"/>
    </row>
    <row r="99" spans="1:39" ht="26.25" customHeight="1" x14ac:dyDescent="0.25">
      <c r="A99" s="243"/>
      <c r="B99" s="244"/>
      <c r="C99" s="244"/>
      <c r="D99" s="244"/>
      <c r="E99" s="244"/>
      <c r="F99" s="244"/>
      <c r="G99" s="244"/>
      <c r="H99" s="244"/>
      <c r="I99" s="298"/>
      <c r="J99" s="244" t="s">
        <v>282</v>
      </c>
      <c r="K99" s="245"/>
      <c r="L99" s="257"/>
      <c r="M99" s="597" t="s">
        <v>503</v>
      </c>
      <c r="N99" s="598"/>
      <c r="O99" s="299"/>
      <c r="P99" s="180"/>
      <c r="Q99" s="180">
        <v>10000000</v>
      </c>
      <c r="R99" s="181">
        <f t="shared" si="29"/>
        <v>31.847133757961782</v>
      </c>
      <c r="S99" s="181">
        <v>100</v>
      </c>
      <c r="T99" s="180">
        <f t="shared" si="20"/>
        <v>0</v>
      </c>
      <c r="U99" s="180">
        <f t="shared" si="30"/>
        <v>0</v>
      </c>
      <c r="V99" s="182">
        <f t="shared" si="22"/>
        <v>100</v>
      </c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>
        <v>0</v>
      </c>
      <c r="AJ99" s="181">
        <f t="shared" si="24"/>
        <v>0</v>
      </c>
      <c r="AK99" s="246">
        <f t="shared" si="27"/>
        <v>10000000</v>
      </c>
      <c r="AL99" s="181">
        <f t="shared" si="25"/>
        <v>100</v>
      </c>
      <c r="AM99" s="243"/>
    </row>
    <row r="100" spans="1:39" ht="26.25" customHeight="1" x14ac:dyDescent="0.25">
      <c r="A100" s="243"/>
      <c r="B100" s="244"/>
      <c r="C100" s="244"/>
      <c r="D100" s="244"/>
      <c r="E100" s="244"/>
      <c r="F100" s="244"/>
      <c r="G100" s="244"/>
      <c r="H100" s="244"/>
      <c r="I100" s="298"/>
      <c r="J100" s="244" t="s">
        <v>304</v>
      </c>
      <c r="K100" s="245"/>
      <c r="L100" s="257"/>
      <c r="M100" s="597" t="s">
        <v>549</v>
      </c>
      <c r="N100" s="598"/>
      <c r="O100" s="299"/>
      <c r="P100" s="180"/>
      <c r="Q100" s="180">
        <v>6000000</v>
      </c>
      <c r="R100" s="181">
        <f t="shared" si="29"/>
        <v>19.108280254777071</v>
      </c>
      <c r="S100" s="181">
        <v>100</v>
      </c>
      <c r="T100" s="180">
        <f t="shared" si="20"/>
        <v>0</v>
      </c>
      <c r="U100" s="180">
        <f t="shared" si="30"/>
        <v>0</v>
      </c>
      <c r="V100" s="182">
        <f t="shared" si="22"/>
        <v>100</v>
      </c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>
        <v>0</v>
      </c>
      <c r="AJ100" s="181">
        <f t="shared" si="24"/>
        <v>0</v>
      </c>
      <c r="AK100" s="246">
        <f t="shared" si="27"/>
        <v>6000000</v>
      </c>
      <c r="AL100" s="181">
        <f t="shared" si="25"/>
        <v>100</v>
      </c>
      <c r="AM100" s="243"/>
    </row>
    <row r="101" spans="1:39" ht="26.25" customHeight="1" x14ac:dyDescent="0.25">
      <c r="A101" s="243"/>
      <c r="B101" s="244"/>
      <c r="C101" s="244"/>
      <c r="D101" s="244"/>
      <c r="E101" s="244"/>
      <c r="F101" s="244"/>
      <c r="G101" s="244"/>
      <c r="H101" s="244"/>
      <c r="I101" s="298"/>
      <c r="J101" s="244" t="s">
        <v>551</v>
      </c>
      <c r="K101" s="245"/>
      <c r="L101" s="257"/>
      <c r="M101" s="597" t="s">
        <v>550</v>
      </c>
      <c r="N101" s="598"/>
      <c r="O101" s="299"/>
      <c r="P101" s="180"/>
      <c r="Q101" s="180">
        <v>10800000</v>
      </c>
      <c r="R101" s="181">
        <f t="shared" si="29"/>
        <v>34.394904458598724</v>
      </c>
      <c r="S101" s="181">
        <v>100</v>
      </c>
      <c r="T101" s="180">
        <f t="shared" si="20"/>
        <v>0</v>
      </c>
      <c r="U101" s="180">
        <f t="shared" si="30"/>
        <v>0</v>
      </c>
      <c r="V101" s="182">
        <f t="shared" si="22"/>
        <v>100</v>
      </c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>
        <v>0</v>
      </c>
      <c r="AJ101" s="181">
        <f t="shared" si="24"/>
        <v>0</v>
      </c>
      <c r="AK101" s="246">
        <f t="shared" si="27"/>
        <v>10800000</v>
      </c>
      <c r="AL101" s="181">
        <f t="shared" si="25"/>
        <v>100</v>
      </c>
      <c r="AM101" s="243"/>
    </row>
    <row r="102" spans="1:39" ht="26.25" customHeight="1" x14ac:dyDescent="0.25">
      <c r="A102" s="243"/>
      <c r="B102" s="244"/>
      <c r="C102" s="244"/>
      <c r="D102" s="244"/>
      <c r="E102" s="244"/>
      <c r="F102" s="244"/>
      <c r="G102" s="244"/>
      <c r="H102" s="244"/>
      <c r="I102" s="298"/>
      <c r="J102" s="244" t="s">
        <v>553</v>
      </c>
      <c r="K102" s="245"/>
      <c r="L102" s="257"/>
      <c r="M102" s="597" t="s">
        <v>552</v>
      </c>
      <c r="N102" s="598"/>
      <c r="O102" s="299"/>
      <c r="P102" s="180"/>
      <c r="Q102" s="180">
        <v>1500000</v>
      </c>
      <c r="R102" s="181">
        <f t="shared" si="29"/>
        <v>4.7770700636942678</v>
      </c>
      <c r="S102" s="181">
        <v>100</v>
      </c>
      <c r="T102" s="180">
        <f t="shared" si="20"/>
        <v>0</v>
      </c>
      <c r="U102" s="180">
        <f t="shared" si="30"/>
        <v>0</v>
      </c>
      <c r="V102" s="182">
        <f t="shared" si="22"/>
        <v>100</v>
      </c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>
        <v>0</v>
      </c>
      <c r="AJ102" s="181">
        <f t="shared" si="24"/>
        <v>0</v>
      </c>
      <c r="AK102" s="246">
        <f t="shared" si="27"/>
        <v>1500000</v>
      </c>
      <c r="AL102" s="181">
        <f t="shared" si="25"/>
        <v>100</v>
      </c>
      <c r="AM102" s="243"/>
    </row>
    <row r="103" spans="1:39" ht="26.25" customHeight="1" x14ac:dyDescent="0.25">
      <c r="A103" s="243"/>
      <c r="B103" s="244"/>
      <c r="C103" s="244"/>
      <c r="D103" s="244"/>
      <c r="E103" s="244"/>
      <c r="F103" s="244"/>
      <c r="G103" s="244"/>
      <c r="H103" s="244"/>
      <c r="I103" s="298"/>
      <c r="J103" s="244" t="s">
        <v>554</v>
      </c>
      <c r="K103" s="245"/>
      <c r="L103" s="257"/>
      <c r="M103" s="597" t="s">
        <v>431</v>
      </c>
      <c r="N103" s="598"/>
      <c r="O103" s="299"/>
      <c r="P103" s="180"/>
      <c r="Q103" s="180">
        <v>2000000</v>
      </c>
      <c r="R103" s="181">
        <f t="shared" si="29"/>
        <v>6.369426751592357</v>
      </c>
      <c r="S103" s="181">
        <v>100</v>
      </c>
      <c r="T103" s="180">
        <f t="shared" si="20"/>
        <v>0</v>
      </c>
      <c r="U103" s="180">
        <f t="shared" si="30"/>
        <v>0</v>
      </c>
      <c r="V103" s="182">
        <f t="shared" si="22"/>
        <v>100</v>
      </c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>
        <v>0</v>
      </c>
      <c r="AJ103" s="181">
        <f t="shared" si="24"/>
        <v>0</v>
      </c>
      <c r="AK103" s="246">
        <f t="shared" si="27"/>
        <v>2000000</v>
      </c>
      <c r="AL103" s="181">
        <f t="shared" si="25"/>
        <v>100</v>
      </c>
      <c r="AM103" s="243"/>
    </row>
    <row r="104" spans="1:39" ht="26.25" customHeight="1" x14ac:dyDescent="0.25">
      <c r="A104" s="243"/>
      <c r="B104" s="244"/>
      <c r="C104" s="244"/>
      <c r="D104" s="244"/>
      <c r="E104" s="244"/>
      <c r="F104" s="244"/>
      <c r="G104" s="244"/>
      <c r="H104" s="244"/>
      <c r="I104" s="298"/>
      <c r="J104" s="244" t="s">
        <v>274</v>
      </c>
      <c r="K104" s="245"/>
      <c r="L104" s="257"/>
      <c r="M104" s="597" t="s">
        <v>555</v>
      </c>
      <c r="N104" s="598"/>
      <c r="O104" s="299"/>
      <c r="P104" s="180"/>
      <c r="Q104" s="180">
        <v>2500000</v>
      </c>
      <c r="R104" s="181">
        <f t="shared" si="29"/>
        <v>7.9617834394904454</v>
      </c>
      <c r="S104" s="181">
        <v>100</v>
      </c>
      <c r="T104" s="180">
        <f t="shared" si="20"/>
        <v>0</v>
      </c>
      <c r="U104" s="180">
        <f t="shared" si="30"/>
        <v>0</v>
      </c>
      <c r="V104" s="182">
        <f t="shared" si="22"/>
        <v>100</v>
      </c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>
        <v>0</v>
      </c>
      <c r="AJ104" s="181">
        <f t="shared" si="24"/>
        <v>0</v>
      </c>
      <c r="AK104" s="246">
        <f t="shared" si="27"/>
        <v>2500000</v>
      </c>
      <c r="AL104" s="181">
        <f t="shared" si="25"/>
        <v>100</v>
      </c>
      <c r="AM104" s="243"/>
    </row>
    <row r="105" spans="1:39" ht="26.25" customHeight="1" x14ac:dyDescent="0.25">
      <c r="A105" s="227">
        <f>A91+1</f>
        <v>14</v>
      </c>
      <c r="B105" s="615" t="s">
        <v>124</v>
      </c>
      <c r="C105" s="615"/>
      <c r="D105" s="615"/>
      <c r="E105" s="615"/>
      <c r="F105" s="615"/>
      <c r="G105" s="615"/>
      <c r="H105" s="615"/>
      <c r="I105" s="614"/>
      <c r="J105" s="228" t="s">
        <v>547</v>
      </c>
      <c r="K105" s="230"/>
      <c r="L105" s="294"/>
      <c r="M105" s="615" t="s">
        <v>556</v>
      </c>
      <c r="N105" s="614"/>
      <c r="O105" s="295">
        <v>17600000</v>
      </c>
      <c r="P105" s="231">
        <f>O105</f>
        <v>17600000</v>
      </c>
      <c r="Q105" s="231">
        <f>SUM(Q106:Q118)</f>
        <v>76640000</v>
      </c>
      <c r="R105" s="233">
        <f>Q105/Q$54*100</f>
        <v>3.034155536380692</v>
      </c>
      <c r="S105" s="233">
        <v>100</v>
      </c>
      <c r="T105" s="231">
        <f t="shared" si="20"/>
        <v>0</v>
      </c>
      <c r="U105" s="231">
        <f t="shared" si="30"/>
        <v>0</v>
      </c>
      <c r="V105" s="296">
        <f t="shared" si="22"/>
        <v>100</v>
      </c>
      <c r="W105" s="231"/>
      <c r="X105" s="231" t="e">
        <f>#REF!</f>
        <v>#REF!</v>
      </c>
      <c r="Y105" s="231" t="e">
        <f>#REF!</f>
        <v>#REF!</v>
      </c>
      <c r="Z105" s="231" t="e">
        <f>#REF!</f>
        <v>#REF!</v>
      </c>
      <c r="AA105" s="231" t="e">
        <f>#REF!</f>
        <v>#REF!</v>
      </c>
      <c r="AB105" s="231">
        <v>13150000</v>
      </c>
      <c r="AC105" s="231" t="e">
        <f>#REF!</f>
        <v>#REF!</v>
      </c>
      <c r="AD105" s="231" t="e">
        <f>#REF!</f>
        <v>#REF!</v>
      </c>
      <c r="AE105" s="231" t="e">
        <f>#REF!</f>
        <v>#REF!</v>
      </c>
      <c r="AF105" s="231" t="e">
        <f>[1]April!N47</f>
        <v>#REF!</v>
      </c>
      <c r="AG105" s="231" t="e">
        <f>[2]april!N47</f>
        <v>#REF!</v>
      </c>
      <c r="AH105" s="231" t="e">
        <f>'[3]DES SKPD'!$N47</f>
        <v>#REF!</v>
      </c>
      <c r="AI105" s="231">
        <f>SUM(AI106:AI118)</f>
        <v>0</v>
      </c>
      <c r="AJ105" s="233">
        <f t="shared" si="24"/>
        <v>0</v>
      </c>
      <c r="AK105" s="234">
        <f t="shared" si="27"/>
        <v>76640000</v>
      </c>
      <c r="AL105" s="233">
        <f t="shared" si="25"/>
        <v>100</v>
      </c>
      <c r="AM105" s="243"/>
    </row>
    <row r="106" spans="1:39" ht="26.25" customHeight="1" x14ac:dyDescent="0.25">
      <c r="A106" s="243"/>
      <c r="B106" s="244"/>
      <c r="C106" s="244"/>
      <c r="D106" s="244"/>
      <c r="E106" s="244"/>
      <c r="F106" s="244"/>
      <c r="G106" s="244"/>
      <c r="H106" s="244"/>
      <c r="I106" s="298"/>
      <c r="J106" s="244" t="s">
        <v>265</v>
      </c>
      <c r="K106" s="245"/>
      <c r="L106" s="257"/>
      <c r="M106" s="597" t="s">
        <v>266</v>
      </c>
      <c r="N106" s="598"/>
      <c r="O106" s="299"/>
      <c r="P106" s="180"/>
      <c r="Q106" s="180">
        <v>6530000</v>
      </c>
      <c r="R106" s="181">
        <f t="shared" ref="R106:R118" si="31">Q106/Q$89*100</f>
        <v>20.796178343949045</v>
      </c>
      <c r="S106" s="181">
        <v>100</v>
      </c>
      <c r="T106" s="180">
        <f t="shared" si="20"/>
        <v>0</v>
      </c>
      <c r="U106" s="180">
        <f>R106*T106/100</f>
        <v>0</v>
      </c>
      <c r="V106" s="182">
        <f t="shared" si="22"/>
        <v>100</v>
      </c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>
        <v>0</v>
      </c>
      <c r="AJ106" s="181">
        <f t="shared" si="24"/>
        <v>0</v>
      </c>
      <c r="AK106" s="246">
        <f t="shared" si="27"/>
        <v>6530000</v>
      </c>
      <c r="AL106" s="181">
        <f t="shared" si="25"/>
        <v>100</v>
      </c>
      <c r="AM106" s="243"/>
    </row>
    <row r="107" spans="1:39" ht="26.25" customHeight="1" x14ac:dyDescent="0.25">
      <c r="A107" s="243"/>
      <c r="B107" s="244"/>
      <c r="C107" s="244"/>
      <c r="D107" s="244"/>
      <c r="E107" s="244"/>
      <c r="F107" s="244"/>
      <c r="G107" s="244"/>
      <c r="H107" s="244"/>
      <c r="I107" s="298"/>
      <c r="J107" s="244" t="s">
        <v>272</v>
      </c>
      <c r="K107" s="245"/>
      <c r="L107" s="257"/>
      <c r="M107" s="597" t="s">
        <v>429</v>
      </c>
      <c r="N107" s="598"/>
      <c r="O107" s="299"/>
      <c r="P107" s="180"/>
      <c r="Q107" s="180">
        <v>2000000</v>
      </c>
      <c r="R107" s="181">
        <f t="shared" si="31"/>
        <v>6.369426751592357</v>
      </c>
      <c r="S107" s="181">
        <v>100</v>
      </c>
      <c r="T107" s="180">
        <f t="shared" si="20"/>
        <v>0</v>
      </c>
      <c r="U107" s="180">
        <f t="shared" ref="U107:U118" si="32">R107*T107/100</f>
        <v>0</v>
      </c>
      <c r="V107" s="182">
        <f t="shared" si="22"/>
        <v>100</v>
      </c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>
        <v>0</v>
      </c>
      <c r="AJ107" s="181">
        <f t="shared" si="24"/>
        <v>0</v>
      </c>
      <c r="AK107" s="246">
        <f t="shared" si="27"/>
        <v>2000000</v>
      </c>
      <c r="AL107" s="181">
        <f t="shared" si="25"/>
        <v>100</v>
      </c>
      <c r="AM107" s="243"/>
    </row>
    <row r="108" spans="1:39" ht="26.25" customHeight="1" x14ac:dyDescent="0.25">
      <c r="A108" s="243"/>
      <c r="B108" s="244"/>
      <c r="C108" s="244"/>
      <c r="D108" s="244"/>
      <c r="E108" s="244"/>
      <c r="F108" s="244"/>
      <c r="G108" s="244"/>
      <c r="H108" s="244"/>
      <c r="I108" s="298"/>
      <c r="J108" s="244" t="s">
        <v>249</v>
      </c>
      <c r="K108" s="245"/>
      <c r="L108" s="257"/>
      <c r="M108" s="597" t="s">
        <v>250</v>
      </c>
      <c r="N108" s="598"/>
      <c r="O108" s="299"/>
      <c r="P108" s="180"/>
      <c r="Q108" s="180">
        <v>240000</v>
      </c>
      <c r="R108" s="181">
        <f t="shared" si="31"/>
        <v>0.76433121019108285</v>
      </c>
      <c r="S108" s="181">
        <v>100</v>
      </c>
      <c r="T108" s="180">
        <f t="shared" si="20"/>
        <v>0</v>
      </c>
      <c r="U108" s="180">
        <f t="shared" si="32"/>
        <v>0</v>
      </c>
      <c r="V108" s="182">
        <f t="shared" si="22"/>
        <v>100</v>
      </c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>
        <v>0</v>
      </c>
      <c r="AJ108" s="181">
        <f t="shared" si="24"/>
        <v>0</v>
      </c>
      <c r="AK108" s="246">
        <f t="shared" si="27"/>
        <v>240000</v>
      </c>
      <c r="AL108" s="181">
        <f t="shared" si="25"/>
        <v>100</v>
      </c>
      <c r="AM108" s="243"/>
    </row>
    <row r="109" spans="1:39" ht="26.25" customHeight="1" x14ac:dyDescent="0.25">
      <c r="A109" s="243"/>
      <c r="B109" s="244"/>
      <c r="C109" s="244"/>
      <c r="D109" s="244"/>
      <c r="E109" s="244"/>
      <c r="F109" s="244"/>
      <c r="G109" s="244"/>
      <c r="H109" s="244"/>
      <c r="I109" s="298"/>
      <c r="J109" s="244" t="s">
        <v>261</v>
      </c>
      <c r="K109" s="245"/>
      <c r="L109" s="257"/>
      <c r="M109" s="597" t="s">
        <v>262</v>
      </c>
      <c r="N109" s="598"/>
      <c r="O109" s="299"/>
      <c r="P109" s="180"/>
      <c r="Q109" s="180">
        <v>3300000</v>
      </c>
      <c r="R109" s="181">
        <f t="shared" si="31"/>
        <v>10.509554140127388</v>
      </c>
      <c r="S109" s="181">
        <v>100</v>
      </c>
      <c r="T109" s="180">
        <f t="shared" si="20"/>
        <v>0</v>
      </c>
      <c r="U109" s="180">
        <f t="shared" si="32"/>
        <v>0</v>
      </c>
      <c r="V109" s="182">
        <f t="shared" si="22"/>
        <v>100</v>
      </c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>
        <v>0</v>
      </c>
      <c r="AJ109" s="181">
        <f t="shared" si="24"/>
        <v>0</v>
      </c>
      <c r="AK109" s="246">
        <f t="shared" si="27"/>
        <v>3300000</v>
      </c>
      <c r="AL109" s="181">
        <f t="shared" si="25"/>
        <v>100</v>
      </c>
      <c r="AM109" s="243"/>
    </row>
    <row r="110" spans="1:39" ht="26.25" customHeight="1" x14ac:dyDescent="0.25">
      <c r="A110" s="243"/>
      <c r="B110" s="244"/>
      <c r="C110" s="244"/>
      <c r="D110" s="244"/>
      <c r="E110" s="244"/>
      <c r="F110" s="244"/>
      <c r="G110" s="244"/>
      <c r="H110" s="244"/>
      <c r="I110" s="298"/>
      <c r="J110" s="244" t="s">
        <v>409</v>
      </c>
      <c r="K110" s="245"/>
      <c r="L110" s="257"/>
      <c r="M110" s="597" t="s">
        <v>410</v>
      </c>
      <c r="N110" s="598"/>
      <c r="O110" s="299"/>
      <c r="P110" s="180"/>
      <c r="Q110" s="180">
        <v>12000000</v>
      </c>
      <c r="R110" s="181">
        <f t="shared" si="31"/>
        <v>38.216560509554142</v>
      </c>
      <c r="S110" s="181">
        <v>101</v>
      </c>
      <c r="T110" s="180">
        <f t="shared" si="20"/>
        <v>0</v>
      </c>
      <c r="U110" s="180">
        <f t="shared" si="32"/>
        <v>0</v>
      </c>
      <c r="V110" s="182">
        <f t="shared" si="22"/>
        <v>101</v>
      </c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>
        <v>0</v>
      </c>
      <c r="AJ110" s="181">
        <f t="shared" si="24"/>
        <v>0</v>
      </c>
      <c r="AK110" s="246">
        <f t="shared" si="27"/>
        <v>12000000</v>
      </c>
      <c r="AL110" s="181">
        <f t="shared" si="25"/>
        <v>100</v>
      </c>
      <c r="AM110" s="243"/>
    </row>
    <row r="111" spans="1:39" ht="26.25" customHeight="1" x14ac:dyDescent="0.25">
      <c r="A111" s="243"/>
      <c r="B111" s="244"/>
      <c r="C111" s="244"/>
      <c r="D111" s="244"/>
      <c r="E111" s="244"/>
      <c r="F111" s="244"/>
      <c r="G111" s="244"/>
      <c r="H111" s="244"/>
      <c r="I111" s="298"/>
      <c r="J111" s="244" t="s">
        <v>315</v>
      </c>
      <c r="K111" s="245"/>
      <c r="L111" s="257"/>
      <c r="M111" s="597" t="s">
        <v>271</v>
      </c>
      <c r="N111" s="598"/>
      <c r="O111" s="299"/>
      <c r="P111" s="180"/>
      <c r="Q111" s="180">
        <v>2000000</v>
      </c>
      <c r="R111" s="181">
        <f t="shared" si="31"/>
        <v>6.369426751592357</v>
      </c>
      <c r="S111" s="181">
        <v>100</v>
      </c>
      <c r="T111" s="180">
        <f t="shared" si="20"/>
        <v>0</v>
      </c>
      <c r="U111" s="180">
        <f t="shared" si="32"/>
        <v>0</v>
      </c>
      <c r="V111" s="182">
        <f t="shared" si="22"/>
        <v>100</v>
      </c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>
        <v>0</v>
      </c>
      <c r="AJ111" s="181">
        <f t="shared" si="24"/>
        <v>0</v>
      </c>
      <c r="AK111" s="246">
        <f t="shared" si="27"/>
        <v>2000000</v>
      </c>
      <c r="AL111" s="181">
        <f t="shared" si="25"/>
        <v>100</v>
      </c>
      <c r="AM111" s="243"/>
    </row>
    <row r="112" spans="1:39" ht="26.25" customHeight="1" x14ac:dyDescent="0.25">
      <c r="A112" s="243"/>
      <c r="B112" s="244"/>
      <c r="C112" s="244"/>
      <c r="D112" s="244"/>
      <c r="E112" s="244"/>
      <c r="F112" s="244"/>
      <c r="G112" s="244"/>
      <c r="H112" s="244"/>
      <c r="I112" s="298"/>
      <c r="J112" s="244" t="s">
        <v>278</v>
      </c>
      <c r="K112" s="245"/>
      <c r="L112" s="257"/>
      <c r="M112" s="597" t="s">
        <v>279</v>
      </c>
      <c r="N112" s="598"/>
      <c r="O112" s="299"/>
      <c r="P112" s="180"/>
      <c r="Q112" s="180">
        <v>2160000</v>
      </c>
      <c r="R112" s="181">
        <f t="shared" si="31"/>
        <v>6.8789808917197455</v>
      </c>
      <c r="S112" s="181">
        <v>100</v>
      </c>
      <c r="T112" s="180">
        <f t="shared" si="20"/>
        <v>0</v>
      </c>
      <c r="U112" s="180">
        <f t="shared" si="32"/>
        <v>0</v>
      </c>
      <c r="V112" s="182">
        <f t="shared" si="22"/>
        <v>100</v>
      </c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>
        <v>0</v>
      </c>
      <c r="AJ112" s="181">
        <f t="shared" si="24"/>
        <v>0</v>
      </c>
      <c r="AK112" s="246">
        <f t="shared" si="27"/>
        <v>2160000</v>
      </c>
      <c r="AL112" s="181">
        <f t="shared" si="25"/>
        <v>100</v>
      </c>
      <c r="AM112" s="243"/>
    </row>
    <row r="113" spans="1:39" ht="26.25" customHeight="1" x14ac:dyDescent="0.25">
      <c r="A113" s="243"/>
      <c r="B113" s="244"/>
      <c r="C113" s="244"/>
      <c r="D113" s="244"/>
      <c r="E113" s="244"/>
      <c r="F113" s="244"/>
      <c r="G113" s="244"/>
      <c r="H113" s="244"/>
      <c r="I113" s="298"/>
      <c r="J113" s="244" t="s">
        <v>284</v>
      </c>
      <c r="K113" s="245"/>
      <c r="L113" s="257"/>
      <c r="M113" s="597" t="s">
        <v>285</v>
      </c>
      <c r="N113" s="598"/>
      <c r="O113" s="299"/>
      <c r="P113" s="180"/>
      <c r="Q113" s="180">
        <v>18900000</v>
      </c>
      <c r="R113" s="181">
        <f t="shared" si="31"/>
        <v>60.191082802547768</v>
      </c>
      <c r="S113" s="181">
        <v>100</v>
      </c>
      <c r="T113" s="180">
        <f t="shared" si="20"/>
        <v>0</v>
      </c>
      <c r="U113" s="180">
        <f t="shared" si="32"/>
        <v>0</v>
      </c>
      <c r="V113" s="182">
        <f t="shared" si="22"/>
        <v>100</v>
      </c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>
        <v>0</v>
      </c>
      <c r="AJ113" s="181">
        <f t="shared" si="24"/>
        <v>0</v>
      </c>
      <c r="AK113" s="246">
        <f t="shared" si="27"/>
        <v>18900000</v>
      </c>
      <c r="AL113" s="181">
        <f t="shared" si="25"/>
        <v>100</v>
      </c>
      <c r="AM113" s="243"/>
    </row>
    <row r="114" spans="1:39" ht="26.25" customHeight="1" x14ac:dyDescent="0.25">
      <c r="A114" s="243"/>
      <c r="B114" s="244"/>
      <c r="C114" s="244"/>
      <c r="D114" s="244"/>
      <c r="E114" s="244"/>
      <c r="F114" s="244"/>
      <c r="G114" s="244"/>
      <c r="H114" s="244"/>
      <c r="I114" s="298"/>
      <c r="J114" s="244" t="s">
        <v>282</v>
      </c>
      <c r="K114" s="245"/>
      <c r="L114" s="257"/>
      <c r="M114" s="597" t="s">
        <v>503</v>
      </c>
      <c r="N114" s="598"/>
      <c r="O114" s="299"/>
      <c r="P114" s="180"/>
      <c r="Q114" s="180">
        <v>4110000</v>
      </c>
      <c r="R114" s="181">
        <f t="shared" si="31"/>
        <v>13.089171974522293</v>
      </c>
      <c r="S114" s="181">
        <v>100</v>
      </c>
      <c r="T114" s="180">
        <f t="shared" si="20"/>
        <v>0</v>
      </c>
      <c r="U114" s="180">
        <f t="shared" si="32"/>
        <v>0</v>
      </c>
      <c r="V114" s="182">
        <f t="shared" si="22"/>
        <v>100</v>
      </c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>
        <v>0</v>
      </c>
      <c r="AJ114" s="181">
        <f t="shared" si="24"/>
        <v>0</v>
      </c>
      <c r="AK114" s="246">
        <f t="shared" si="27"/>
        <v>4110000</v>
      </c>
      <c r="AL114" s="181">
        <f t="shared" si="25"/>
        <v>100</v>
      </c>
      <c r="AM114" s="243"/>
    </row>
    <row r="115" spans="1:39" ht="26.25" customHeight="1" x14ac:dyDescent="0.25">
      <c r="A115" s="243"/>
      <c r="B115" s="244"/>
      <c r="C115" s="244"/>
      <c r="D115" s="244"/>
      <c r="E115" s="244"/>
      <c r="F115" s="244"/>
      <c r="G115" s="244"/>
      <c r="H115" s="244"/>
      <c r="I115" s="298"/>
      <c r="J115" s="244" t="s">
        <v>304</v>
      </c>
      <c r="K115" s="245"/>
      <c r="L115" s="257"/>
      <c r="M115" s="597" t="s">
        <v>549</v>
      </c>
      <c r="N115" s="598"/>
      <c r="O115" s="299"/>
      <c r="P115" s="180"/>
      <c r="Q115" s="180">
        <v>2000000</v>
      </c>
      <c r="R115" s="181">
        <f t="shared" si="31"/>
        <v>6.369426751592357</v>
      </c>
      <c r="S115" s="181">
        <v>100</v>
      </c>
      <c r="T115" s="180">
        <f t="shared" si="20"/>
        <v>0</v>
      </c>
      <c r="U115" s="180">
        <f t="shared" si="32"/>
        <v>0</v>
      </c>
      <c r="V115" s="182">
        <f t="shared" si="22"/>
        <v>100</v>
      </c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>
        <v>0</v>
      </c>
      <c r="AJ115" s="181">
        <f t="shared" si="24"/>
        <v>0</v>
      </c>
      <c r="AK115" s="246">
        <f t="shared" si="27"/>
        <v>2000000</v>
      </c>
      <c r="AL115" s="181">
        <f t="shared" si="25"/>
        <v>100</v>
      </c>
      <c r="AM115" s="243"/>
    </row>
    <row r="116" spans="1:39" ht="26.25" customHeight="1" x14ac:dyDescent="0.25">
      <c r="A116" s="243"/>
      <c r="B116" s="244"/>
      <c r="C116" s="244"/>
      <c r="D116" s="244"/>
      <c r="E116" s="244"/>
      <c r="F116" s="244"/>
      <c r="G116" s="244"/>
      <c r="H116" s="244"/>
      <c r="I116" s="298"/>
      <c r="J116" s="244" t="s">
        <v>551</v>
      </c>
      <c r="K116" s="245"/>
      <c r="L116" s="257"/>
      <c r="M116" s="597" t="s">
        <v>550</v>
      </c>
      <c r="N116" s="598"/>
      <c r="O116" s="299"/>
      <c r="P116" s="180"/>
      <c r="Q116" s="180">
        <v>20400000</v>
      </c>
      <c r="R116" s="181">
        <f t="shared" si="31"/>
        <v>64.968152866242036</v>
      </c>
      <c r="S116" s="181">
        <v>100</v>
      </c>
      <c r="T116" s="180">
        <f t="shared" si="20"/>
        <v>0</v>
      </c>
      <c r="U116" s="180">
        <f t="shared" si="32"/>
        <v>0</v>
      </c>
      <c r="V116" s="182">
        <f t="shared" si="22"/>
        <v>100</v>
      </c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>
        <v>0</v>
      </c>
      <c r="AJ116" s="181">
        <f t="shared" si="24"/>
        <v>0</v>
      </c>
      <c r="AK116" s="246">
        <f t="shared" si="27"/>
        <v>20400000</v>
      </c>
      <c r="AL116" s="181">
        <f t="shared" si="25"/>
        <v>100</v>
      </c>
      <c r="AM116" s="243"/>
    </row>
    <row r="117" spans="1:39" ht="26.25" customHeight="1" x14ac:dyDescent="0.25">
      <c r="A117" s="243"/>
      <c r="B117" s="244"/>
      <c r="C117" s="244"/>
      <c r="D117" s="244"/>
      <c r="E117" s="244"/>
      <c r="F117" s="244"/>
      <c r="G117" s="244"/>
      <c r="H117" s="244"/>
      <c r="I117" s="298"/>
      <c r="J117" s="244" t="s">
        <v>554</v>
      </c>
      <c r="K117" s="245"/>
      <c r="L117" s="257"/>
      <c r="M117" s="597" t="s">
        <v>431</v>
      </c>
      <c r="N117" s="598"/>
      <c r="O117" s="299"/>
      <c r="P117" s="180"/>
      <c r="Q117" s="180">
        <v>2000000</v>
      </c>
      <c r="R117" s="181">
        <f t="shared" si="31"/>
        <v>6.369426751592357</v>
      </c>
      <c r="S117" s="181">
        <v>100</v>
      </c>
      <c r="T117" s="180">
        <f t="shared" si="20"/>
        <v>0</v>
      </c>
      <c r="U117" s="180">
        <f t="shared" si="32"/>
        <v>0</v>
      </c>
      <c r="V117" s="182">
        <f t="shared" si="22"/>
        <v>100</v>
      </c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>
        <v>0</v>
      </c>
      <c r="AJ117" s="181">
        <f t="shared" si="24"/>
        <v>0</v>
      </c>
      <c r="AK117" s="246">
        <f t="shared" si="27"/>
        <v>2000000</v>
      </c>
      <c r="AL117" s="181">
        <f t="shared" si="25"/>
        <v>100</v>
      </c>
      <c r="AM117" s="243"/>
    </row>
    <row r="118" spans="1:39" ht="26.25" customHeight="1" x14ac:dyDescent="0.25">
      <c r="A118" s="243"/>
      <c r="B118" s="244"/>
      <c r="C118" s="244"/>
      <c r="D118" s="244"/>
      <c r="E118" s="244"/>
      <c r="F118" s="244"/>
      <c r="G118" s="244"/>
      <c r="H118" s="244"/>
      <c r="I118" s="298"/>
      <c r="J118" s="244" t="s">
        <v>274</v>
      </c>
      <c r="K118" s="245"/>
      <c r="L118" s="257"/>
      <c r="M118" s="597" t="s">
        <v>555</v>
      </c>
      <c r="N118" s="598"/>
      <c r="O118" s="299"/>
      <c r="P118" s="180"/>
      <c r="Q118" s="180">
        <v>1000000</v>
      </c>
      <c r="R118" s="181">
        <f t="shared" si="31"/>
        <v>3.1847133757961785</v>
      </c>
      <c r="S118" s="181">
        <v>100</v>
      </c>
      <c r="T118" s="180">
        <f t="shared" si="20"/>
        <v>0</v>
      </c>
      <c r="U118" s="180">
        <f t="shared" si="32"/>
        <v>0</v>
      </c>
      <c r="V118" s="182">
        <f t="shared" si="22"/>
        <v>100</v>
      </c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>
        <v>0</v>
      </c>
      <c r="AJ118" s="181">
        <f t="shared" si="24"/>
        <v>0</v>
      </c>
      <c r="AK118" s="246">
        <f t="shared" si="27"/>
        <v>1000000</v>
      </c>
      <c r="AL118" s="181">
        <f t="shared" si="25"/>
        <v>100</v>
      </c>
      <c r="AM118" s="243"/>
    </row>
    <row r="119" spans="1:39" s="226" customFormat="1" ht="27" customHeight="1" x14ac:dyDescent="0.25">
      <c r="A119" s="289" t="s">
        <v>8</v>
      </c>
      <c r="B119" s="625" t="s">
        <v>125</v>
      </c>
      <c r="C119" s="625"/>
      <c r="D119" s="625"/>
      <c r="E119" s="625"/>
      <c r="F119" s="625"/>
      <c r="G119" s="625"/>
      <c r="H119" s="625"/>
      <c r="I119" s="625"/>
      <c r="J119" s="303" t="s">
        <v>440</v>
      </c>
      <c r="K119" s="291"/>
      <c r="L119" s="608" t="s">
        <v>23</v>
      </c>
      <c r="M119" s="625"/>
      <c r="N119" s="625"/>
      <c r="O119" s="263">
        <f>SUM(O122:O153)</f>
        <v>2275595000</v>
      </c>
      <c r="P119" s="263">
        <f>SUM(P122:P153)</f>
        <v>1979635000</v>
      </c>
      <c r="Q119" s="263">
        <f>SUM(Q120+Q122+Q134+Q136+Q139+Q143+Q150+Q152+Q154)</f>
        <v>3540046000</v>
      </c>
      <c r="R119" s="222">
        <f>Q119/Q$53*100</f>
        <v>18.303183627844408</v>
      </c>
      <c r="S119" s="222">
        <v>100</v>
      </c>
      <c r="T119" s="263">
        <f t="shared" si="20"/>
        <v>0</v>
      </c>
      <c r="U119" s="263">
        <f>SUM(R119*T119/100)</f>
        <v>0</v>
      </c>
      <c r="V119" s="292">
        <f>SUM(S119-T119)</f>
        <v>100</v>
      </c>
      <c r="W119" s="263">
        <f t="shared" ref="W119:AH119" si="33">SUM(W122:W153)</f>
        <v>0</v>
      </c>
      <c r="X119" s="263" t="e">
        <f t="shared" si="33"/>
        <v>#REF!</v>
      </c>
      <c r="Y119" s="263" t="e">
        <f t="shared" si="33"/>
        <v>#REF!</v>
      </c>
      <c r="Z119" s="263" t="e">
        <f t="shared" si="33"/>
        <v>#REF!</v>
      </c>
      <c r="AA119" s="263" t="e">
        <f t="shared" si="33"/>
        <v>#REF!</v>
      </c>
      <c r="AB119" s="263">
        <f t="shared" si="33"/>
        <v>3331855358</v>
      </c>
      <c r="AC119" s="263" t="e">
        <f t="shared" si="33"/>
        <v>#REF!</v>
      </c>
      <c r="AD119" s="263" t="e">
        <f t="shared" si="33"/>
        <v>#REF!</v>
      </c>
      <c r="AE119" s="263" t="e">
        <f t="shared" si="33"/>
        <v>#REF!</v>
      </c>
      <c r="AF119" s="263" t="e">
        <f t="shared" si="33"/>
        <v>#REF!</v>
      </c>
      <c r="AG119" s="263" t="e">
        <f t="shared" si="33"/>
        <v>#REF!</v>
      </c>
      <c r="AH119" s="263" t="e">
        <f t="shared" si="33"/>
        <v>#REF!</v>
      </c>
      <c r="AI119" s="263">
        <f>SUM(AI122+AI134+AI136+AI139+AI143+AI150+AI152)</f>
        <v>0</v>
      </c>
      <c r="AJ119" s="222">
        <f t="shared" si="24"/>
        <v>0</v>
      </c>
      <c r="AK119" s="265">
        <f>SUM(Q119-AI119)</f>
        <v>3540046000</v>
      </c>
      <c r="AL119" s="222">
        <f t="shared" si="25"/>
        <v>100</v>
      </c>
      <c r="AM119" s="236"/>
    </row>
    <row r="120" spans="1:39" s="235" customFormat="1" ht="27" customHeight="1" x14ac:dyDescent="0.25">
      <c r="A120" s="227">
        <f>A105+1</f>
        <v>15</v>
      </c>
      <c r="B120" s="615" t="s">
        <v>126</v>
      </c>
      <c r="C120" s="615"/>
      <c r="D120" s="615"/>
      <c r="E120" s="615"/>
      <c r="F120" s="615"/>
      <c r="G120" s="615"/>
      <c r="H120" s="615"/>
      <c r="I120" s="614"/>
      <c r="J120" s="304" t="s">
        <v>557</v>
      </c>
      <c r="K120" s="230"/>
      <c r="L120" s="294"/>
      <c r="M120" s="615" t="s">
        <v>558</v>
      </c>
      <c r="N120" s="614"/>
      <c r="O120" s="295">
        <v>833155000</v>
      </c>
      <c r="P120" s="231">
        <f>O120</f>
        <v>833155000</v>
      </c>
      <c r="Q120" s="231">
        <f>SUM(Q121)</f>
        <v>318296000</v>
      </c>
      <c r="R120" s="233">
        <f>Q120/Q$54*100</f>
        <v>12.601247006887117</v>
      </c>
      <c r="S120" s="233">
        <v>100</v>
      </c>
      <c r="T120" s="231">
        <f t="shared" si="20"/>
        <v>0</v>
      </c>
      <c r="U120" s="231">
        <f t="shared" ref="U120:U135" si="34">R120*T120/100</f>
        <v>0</v>
      </c>
      <c r="V120" s="296">
        <f t="shared" ref="V120:V121" si="35">S120-T120</f>
        <v>100</v>
      </c>
      <c r="W120" s="231"/>
      <c r="X120" s="231" t="e">
        <f>#REF!</f>
        <v>#REF!</v>
      </c>
      <c r="Y120" s="231" t="e">
        <f>#REF!</f>
        <v>#REF!</v>
      </c>
      <c r="Z120" s="231" t="e">
        <f>#REF!</f>
        <v>#REF!</v>
      </c>
      <c r="AA120" s="231" t="e">
        <f>#REF!</f>
        <v>#REF!</v>
      </c>
      <c r="AB120" s="231">
        <v>139212000</v>
      </c>
      <c r="AC120" s="231" t="e">
        <f>#REF!</f>
        <v>#REF!</v>
      </c>
      <c r="AD120" s="231" t="e">
        <f>#REF!</f>
        <v>#REF!</v>
      </c>
      <c r="AE120" s="231" t="e">
        <f>#REF!</f>
        <v>#REF!</v>
      </c>
      <c r="AF120" s="231" t="e">
        <f>[1]April!N30</f>
        <v>#REF!</v>
      </c>
      <c r="AG120" s="231" t="e">
        <f>[2]april!N30</f>
        <v>#REF!</v>
      </c>
      <c r="AH120" s="231">
        <f>'[3]DES SKPD'!$N30</f>
        <v>660543350</v>
      </c>
      <c r="AI120" s="231">
        <f>SUM(AI121)</f>
        <v>0</v>
      </c>
      <c r="AJ120" s="233">
        <f t="shared" si="24"/>
        <v>0</v>
      </c>
      <c r="AK120" s="234">
        <f t="shared" ref="AK120:AK155" si="36">Q120-AI120</f>
        <v>318296000</v>
      </c>
      <c r="AL120" s="233">
        <f t="shared" si="25"/>
        <v>100</v>
      </c>
      <c r="AM120" s="227"/>
    </row>
    <row r="121" spans="1:39" s="235" customFormat="1" ht="27" customHeight="1" x14ac:dyDescent="0.25">
      <c r="A121" s="243"/>
      <c r="B121" s="244"/>
      <c r="C121" s="244"/>
      <c r="D121" s="244"/>
      <c r="E121" s="244"/>
      <c r="F121" s="244"/>
      <c r="G121" s="244"/>
      <c r="H121" s="244"/>
      <c r="I121" s="298"/>
      <c r="J121" s="244" t="s">
        <v>434</v>
      </c>
      <c r="K121" s="245"/>
      <c r="L121" s="257"/>
      <c r="M121" s="597" t="s">
        <v>559</v>
      </c>
      <c r="N121" s="598"/>
      <c r="O121" s="299"/>
      <c r="P121" s="180"/>
      <c r="Q121" s="180">
        <v>318296000</v>
      </c>
      <c r="R121" s="181">
        <f t="shared" ref="R121" si="37">Q121/Q$89*100</f>
        <v>1013.6815286624204</v>
      </c>
      <c r="S121" s="181">
        <v>100</v>
      </c>
      <c r="T121" s="180">
        <f t="shared" si="20"/>
        <v>0</v>
      </c>
      <c r="U121" s="180">
        <f t="shared" si="34"/>
        <v>0</v>
      </c>
      <c r="V121" s="182">
        <f t="shared" si="35"/>
        <v>100</v>
      </c>
      <c r="W121" s="180"/>
      <c r="X121" s="180" t="e">
        <f>#REF!</f>
        <v>#REF!</v>
      </c>
      <c r="Y121" s="180" t="e">
        <f>#REF!</f>
        <v>#REF!</v>
      </c>
      <c r="Z121" s="180" t="e">
        <f>#REF!</f>
        <v>#REF!</v>
      </c>
      <c r="AA121" s="180" t="e">
        <f>#REF!</f>
        <v>#REF!</v>
      </c>
      <c r="AB121" s="180">
        <v>139212001</v>
      </c>
      <c r="AC121" s="180" t="e">
        <f>#REF!</f>
        <v>#REF!</v>
      </c>
      <c r="AD121" s="180" t="e">
        <f>#REF!</f>
        <v>#REF!</v>
      </c>
      <c r="AE121" s="180" t="e">
        <f>#REF!</f>
        <v>#REF!</v>
      </c>
      <c r="AF121" s="180" t="e">
        <f>[1]April!N32</f>
        <v>#REF!</v>
      </c>
      <c r="AG121" s="180" t="e">
        <f>[2]april!N32</f>
        <v>#REF!</v>
      </c>
      <c r="AH121" s="180" t="e">
        <f>'[3]DES SKPD'!$N32</f>
        <v>#REF!</v>
      </c>
      <c r="AI121" s="180">
        <v>0</v>
      </c>
      <c r="AJ121" s="181">
        <f t="shared" si="24"/>
        <v>0</v>
      </c>
      <c r="AK121" s="246">
        <f t="shared" si="36"/>
        <v>318296000</v>
      </c>
      <c r="AL121" s="181">
        <f t="shared" si="25"/>
        <v>100</v>
      </c>
      <c r="AM121" s="227"/>
    </row>
    <row r="122" spans="1:39" s="297" customFormat="1" ht="33" customHeight="1" x14ac:dyDescent="0.25">
      <c r="A122" s="227">
        <f>A120+1</f>
        <v>16</v>
      </c>
      <c r="B122" s="615" t="s">
        <v>126</v>
      </c>
      <c r="C122" s="615"/>
      <c r="D122" s="615"/>
      <c r="E122" s="615"/>
      <c r="F122" s="615"/>
      <c r="G122" s="615"/>
      <c r="H122" s="615"/>
      <c r="I122" s="614"/>
      <c r="J122" s="304" t="s">
        <v>455</v>
      </c>
      <c r="K122" s="230"/>
      <c r="L122" s="294"/>
      <c r="M122" s="615" t="s">
        <v>24</v>
      </c>
      <c r="N122" s="614"/>
      <c r="O122" s="295">
        <v>833155000</v>
      </c>
      <c r="P122" s="231">
        <f>O122</f>
        <v>833155000</v>
      </c>
      <c r="Q122" s="231">
        <f>SUM(Q123:Q133)</f>
        <v>1068800000</v>
      </c>
      <c r="R122" s="233">
        <f>Q122/Q$54*100</f>
        <v>42.313484306937418</v>
      </c>
      <c r="S122" s="233">
        <v>100</v>
      </c>
      <c r="T122" s="231">
        <f t="shared" si="20"/>
        <v>0</v>
      </c>
      <c r="U122" s="231">
        <f t="shared" si="34"/>
        <v>0</v>
      </c>
      <c r="V122" s="296">
        <f t="shared" si="22"/>
        <v>100</v>
      </c>
      <c r="W122" s="231"/>
      <c r="X122" s="231" t="e">
        <f>#REF!</f>
        <v>#REF!</v>
      </c>
      <c r="Y122" s="231" t="e">
        <f>#REF!</f>
        <v>#REF!</v>
      </c>
      <c r="Z122" s="231" t="e">
        <f>#REF!</f>
        <v>#REF!</v>
      </c>
      <c r="AA122" s="231" t="e">
        <f>#REF!</f>
        <v>#REF!</v>
      </c>
      <c r="AB122" s="231">
        <v>139212000</v>
      </c>
      <c r="AC122" s="231" t="e">
        <f>#REF!</f>
        <v>#REF!</v>
      </c>
      <c r="AD122" s="231" t="e">
        <f>#REF!</f>
        <v>#REF!</v>
      </c>
      <c r="AE122" s="231" t="e">
        <f>#REF!</f>
        <v>#REF!</v>
      </c>
      <c r="AF122" s="231" t="e">
        <f>[1]April!N35</f>
        <v>#REF!</v>
      </c>
      <c r="AG122" s="231" t="e">
        <f>[2]april!N35</f>
        <v>#REF!</v>
      </c>
      <c r="AH122" s="231">
        <f>'[3]DES SKPD'!$N35</f>
        <v>979532000</v>
      </c>
      <c r="AI122" s="231">
        <f>SUM(AI123:AI133)</f>
        <v>0</v>
      </c>
      <c r="AJ122" s="233">
        <f t="shared" si="24"/>
        <v>0</v>
      </c>
      <c r="AK122" s="234">
        <f t="shared" si="36"/>
        <v>1068800000</v>
      </c>
      <c r="AL122" s="233">
        <f t="shared" si="25"/>
        <v>100</v>
      </c>
      <c r="AM122" s="227"/>
    </row>
    <row r="123" spans="1:39" ht="24.75" customHeight="1" x14ac:dyDescent="0.25">
      <c r="A123" s="243"/>
      <c r="B123" s="244"/>
      <c r="C123" s="244"/>
      <c r="D123" s="244"/>
      <c r="E123" s="244"/>
      <c r="F123" s="244"/>
      <c r="G123" s="244"/>
      <c r="H123" s="244"/>
      <c r="I123" s="298"/>
      <c r="J123" s="244" t="s">
        <v>561</v>
      </c>
      <c r="K123" s="245"/>
      <c r="L123" s="257"/>
      <c r="M123" s="597" t="s">
        <v>560</v>
      </c>
      <c r="N123" s="598"/>
      <c r="O123" s="299"/>
      <c r="P123" s="180"/>
      <c r="Q123" s="180">
        <v>35000000</v>
      </c>
      <c r="R123" s="181">
        <f t="shared" ref="R123:R133" si="38">Q123/Q$122*100</f>
        <v>3.2747005988023949</v>
      </c>
      <c r="S123" s="181">
        <v>100</v>
      </c>
      <c r="T123" s="180">
        <f t="shared" si="20"/>
        <v>0</v>
      </c>
      <c r="U123" s="180">
        <f t="shared" si="34"/>
        <v>0</v>
      </c>
      <c r="V123" s="182">
        <f t="shared" si="22"/>
        <v>100</v>
      </c>
      <c r="W123" s="180"/>
      <c r="X123" s="180" t="e">
        <f>#REF!</f>
        <v>#REF!</v>
      </c>
      <c r="Y123" s="180" t="e">
        <f>#REF!</f>
        <v>#REF!</v>
      </c>
      <c r="Z123" s="180" t="e">
        <f>#REF!</f>
        <v>#REF!</v>
      </c>
      <c r="AA123" s="180" t="e">
        <f>#REF!</f>
        <v>#REF!</v>
      </c>
      <c r="AB123" s="180">
        <v>139212001</v>
      </c>
      <c r="AC123" s="180" t="e">
        <f>#REF!</f>
        <v>#REF!</v>
      </c>
      <c r="AD123" s="180" t="e">
        <f>#REF!</f>
        <v>#REF!</v>
      </c>
      <c r="AE123" s="180" t="e">
        <f>#REF!</f>
        <v>#REF!</v>
      </c>
      <c r="AF123" s="180" t="e">
        <f>[1]April!N37</f>
        <v>#REF!</v>
      </c>
      <c r="AG123" s="180" t="e">
        <f>[2]april!N37</f>
        <v>#REF!</v>
      </c>
      <c r="AH123" s="180">
        <f>'[3]DES SKPD'!$N37</f>
        <v>0</v>
      </c>
      <c r="AI123" s="180">
        <v>0</v>
      </c>
      <c r="AJ123" s="181">
        <f t="shared" si="24"/>
        <v>0</v>
      </c>
      <c r="AK123" s="246">
        <f t="shared" si="36"/>
        <v>35000000</v>
      </c>
      <c r="AL123" s="181">
        <f t="shared" si="25"/>
        <v>100</v>
      </c>
      <c r="AM123" s="243"/>
    </row>
    <row r="124" spans="1:39" ht="33" customHeight="1" x14ac:dyDescent="0.25">
      <c r="A124" s="243"/>
      <c r="B124" s="244"/>
      <c r="C124" s="244"/>
      <c r="D124" s="244"/>
      <c r="E124" s="244"/>
      <c r="F124" s="244"/>
      <c r="G124" s="244"/>
      <c r="H124" s="244"/>
      <c r="I124" s="298"/>
      <c r="J124" s="244" t="s">
        <v>563</v>
      </c>
      <c r="K124" s="245"/>
      <c r="L124" s="257"/>
      <c r="M124" s="597" t="s">
        <v>562</v>
      </c>
      <c r="N124" s="598"/>
      <c r="O124" s="299"/>
      <c r="P124" s="180"/>
      <c r="Q124" s="180">
        <v>110000000</v>
      </c>
      <c r="R124" s="181">
        <f t="shared" si="38"/>
        <v>10.29191616766467</v>
      </c>
      <c r="S124" s="181">
        <v>100</v>
      </c>
      <c r="T124" s="180">
        <f t="shared" si="20"/>
        <v>0</v>
      </c>
      <c r="U124" s="180">
        <f t="shared" si="34"/>
        <v>0</v>
      </c>
      <c r="V124" s="182">
        <f t="shared" si="22"/>
        <v>100</v>
      </c>
      <c r="W124" s="180"/>
      <c r="X124" s="180" t="e">
        <f>#REF!</f>
        <v>#REF!</v>
      </c>
      <c r="Y124" s="180" t="e">
        <f>#REF!</f>
        <v>#REF!</v>
      </c>
      <c r="Z124" s="180" t="e">
        <f>#REF!</f>
        <v>#REF!</v>
      </c>
      <c r="AA124" s="180" t="e">
        <f>#REF!</f>
        <v>#REF!</v>
      </c>
      <c r="AB124" s="180">
        <v>139212002</v>
      </c>
      <c r="AC124" s="180" t="e">
        <f>#REF!</f>
        <v>#REF!</v>
      </c>
      <c r="AD124" s="180" t="e">
        <f>#REF!</f>
        <v>#REF!</v>
      </c>
      <c r="AE124" s="180" t="e">
        <f>#REF!</f>
        <v>#REF!</v>
      </c>
      <c r="AF124" s="180" t="e">
        <f>[1]April!N37</f>
        <v>#REF!</v>
      </c>
      <c r="AG124" s="180" t="e">
        <f>[2]april!N37</f>
        <v>#REF!</v>
      </c>
      <c r="AH124" s="180">
        <f>'[3]DES SKPD'!$N37</f>
        <v>0</v>
      </c>
      <c r="AI124" s="180">
        <v>0</v>
      </c>
      <c r="AJ124" s="181">
        <f t="shared" si="24"/>
        <v>0</v>
      </c>
      <c r="AK124" s="246">
        <f t="shared" si="36"/>
        <v>110000000</v>
      </c>
      <c r="AL124" s="181">
        <f t="shared" si="25"/>
        <v>100</v>
      </c>
      <c r="AM124" s="243"/>
    </row>
    <row r="125" spans="1:39" ht="27" customHeight="1" x14ac:dyDescent="0.25">
      <c r="A125" s="243"/>
      <c r="B125" s="244"/>
      <c r="C125" s="244"/>
      <c r="D125" s="244"/>
      <c r="E125" s="244"/>
      <c r="F125" s="244"/>
      <c r="G125" s="244"/>
      <c r="H125" s="244"/>
      <c r="I125" s="298"/>
      <c r="J125" s="244" t="s">
        <v>564</v>
      </c>
      <c r="K125" s="245"/>
      <c r="L125" s="257"/>
      <c r="M125" s="597" t="s">
        <v>565</v>
      </c>
      <c r="N125" s="598"/>
      <c r="O125" s="299"/>
      <c r="P125" s="180"/>
      <c r="Q125" s="180">
        <v>25000000</v>
      </c>
      <c r="R125" s="181">
        <f t="shared" si="38"/>
        <v>2.3390718562874251</v>
      </c>
      <c r="S125" s="181">
        <v>100</v>
      </c>
      <c r="T125" s="180">
        <f t="shared" si="20"/>
        <v>0</v>
      </c>
      <c r="U125" s="180">
        <f t="shared" si="34"/>
        <v>0</v>
      </c>
      <c r="V125" s="182">
        <f t="shared" si="22"/>
        <v>100</v>
      </c>
      <c r="W125" s="180"/>
      <c r="X125" s="180" t="e">
        <f>#REF!</f>
        <v>#REF!</v>
      </c>
      <c r="Y125" s="180" t="e">
        <f>#REF!</f>
        <v>#REF!</v>
      </c>
      <c r="Z125" s="180" t="e">
        <f>#REF!</f>
        <v>#REF!</v>
      </c>
      <c r="AA125" s="180" t="e">
        <f>#REF!</f>
        <v>#REF!</v>
      </c>
      <c r="AB125" s="180">
        <v>139212003</v>
      </c>
      <c r="AC125" s="180" t="e">
        <f>#REF!</f>
        <v>#REF!</v>
      </c>
      <c r="AD125" s="180" t="e">
        <f>#REF!</f>
        <v>#REF!</v>
      </c>
      <c r="AE125" s="180" t="e">
        <f>#REF!</f>
        <v>#REF!</v>
      </c>
      <c r="AF125" s="180" t="e">
        <f>[1]April!N38</f>
        <v>#REF!</v>
      </c>
      <c r="AG125" s="180" t="e">
        <f>[2]april!N38</f>
        <v>#REF!</v>
      </c>
      <c r="AH125" s="180">
        <f>'[3]DES SKPD'!$N38</f>
        <v>322038365</v>
      </c>
      <c r="AI125" s="180">
        <v>0</v>
      </c>
      <c r="AJ125" s="181">
        <f t="shared" si="24"/>
        <v>0</v>
      </c>
      <c r="AK125" s="246">
        <f t="shared" si="36"/>
        <v>25000000</v>
      </c>
      <c r="AL125" s="181">
        <f t="shared" si="25"/>
        <v>100</v>
      </c>
      <c r="AM125" s="243"/>
    </row>
    <row r="126" spans="1:39" ht="27.75" customHeight="1" x14ac:dyDescent="0.25">
      <c r="A126" s="243"/>
      <c r="B126" s="244"/>
      <c r="C126" s="244"/>
      <c r="D126" s="244"/>
      <c r="E126" s="244"/>
      <c r="F126" s="244"/>
      <c r="G126" s="244"/>
      <c r="H126" s="244"/>
      <c r="I126" s="298"/>
      <c r="J126" s="244" t="s">
        <v>566</v>
      </c>
      <c r="K126" s="245"/>
      <c r="L126" s="257"/>
      <c r="M126" s="597" t="s">
        <v>567</v>
      </c>
      <c r="N126" s="598"/>
      <c r="O126" s="299"/>
      <c r="P126" s="180"/>
      <c r="Q126" s="180">
        <v>12000000</v>
      </c>
      <c r="R126" s="181">
        <f t="shared" si="38"/>
        <v>1.1227544910179641</v>
      </c>
      <c r="S126" s="181">
        <v>100</v>
      </c>
      <c r="T126" s="180">
        <f t="shared" si="20"/>
        <v>0</v>
      </c>
      <c r="U126" s="180">
        <f t="shared" si="34"/>
        <v>0</v>
      </c>
      <c r="V126" s="182">
        <f t="shared" si="22"/>
        <v>100</v>
      </c>
      <c r="W126" s="180"/>
      <c r="X126" s="180" t="e">
        <f>#REF!</f>
        <v>#REF!</v>
      </c>
      <c r="Y126" s="180" t="e">
        <f>#REF!</f>
        <v>#REF!</v>
      </c>
      <c r="Z126" s="180" t="e">
        <f>#REF!</f>
        <v>#REF!</v>
      </c>
      <c r="AA126" s="180" t="e">
        <f>#REF!</f>
        <v>#REF!</v>
      </c>
      <c r="AB126" s="180">
        <v>139212004</v>
      </c>
      <c r="AC126" s="180" t="e">
        <f>#REF!</f>
        <v>#REF!</v>
      </c>
      <c r="AD126" s="180" t="e">
        <f>#REF!</f>
        <v>#REF!</v>
      </c>
      <c r="AE126" s="180" t="e">
        <f>#REF!</f>
        <v>#REF!</v>
      </c>
      <c r="AF126" s="180" t="e">
        <f>[1]April!N39</f>
        <v>#REF!</v>
      </c>
      <c r="AG126" s="180" t="e">
        <f>[2]april!N39</f>
        <v>#REF!</v>
      </c>
      <c r="AH126" s="180">
        <f>'[3]DES SKPD'!$N39</f>
        <v>676934270</v>
      </c>
      <c r="AI126" s="180">
        <v>0</v>
      </c>
      <c r="AJ126" s="181">
        <f t="shared" si="24"/>
        <v>0</v>
      </c>
      <c r="AK126" s="246">
        <f t="shared" si="36"/>
        <v>12000000</v>
      </c>
      <c r="AL126" s="181">
        <f t="shared" si="25"/>
        <v>100</v>
      </c>
      <c r="AM126" s="243"/>
    </row>
    <row r="127" spans="1:39" ht="27.75" customHeight="1" x14ac:dyDescent="0.25">
      <c r="A127" s="243"/>
      <c r="B127" s="244"/>
      <c r="C127" s="244"/>
      <c r="D127" s="244"/>
      <c r="E127" s="244"/>
      <c r="F127" s="244"/>
      <c r="G127" s="244"/>
      <c r="H127" s="244"/>
      <c r="I127" s="298"/>
      <c r="J127" s="244" t="s">
        <v>435</v>
      </c>
      <c r="K127" s="245"/>
      <c r="L127" s="257"/>
      <c r="M127" s="597" t="s">
        <v>396</v>
      </c>
      <c r="N127" s="598"/>
      <c r="O127" s="299"/>
      <c r="P127" s="180"/>
      <c r="Q127" s="180">
        <v>42500000</v>
      </c>
      <c r="R127" s="181">
        <f t="shared" si="38"/>
        <v>3.9764221556886228</v>
      </c>
      <c r="S127" s="181">
        <v>100</v>
      </c>
      <c r="T127" s="180">
        <f t="shared" si="20"/>
        <v>0</v>
      </c>
      <c r="U127" s="180">
        <f t="shared" si="34"/>
        <v>0</v>
      </c>
      <c r="V127" s="182">
        <f t="shared" ref="V127:V149" si="39">S127-T127</f>
        <v>100</v>
      </c>
      <c r="W127" s="180"/>
      <c r="X127" s="180" t="e">
        <f>#REF!</f>
        <v>#REF!</v>
      </c>
      <c r="Y127" s="180" t="e">
        <f>#REF!</f>
        <v>#REF!</v>
      </c>
      <c r="Z127" s="180" t="e">
        <f>#REF!</f>
        <v>#REF!</v>
      </c>
      <c r="AA127" s="180" t="e">
        <f>#REF!</f>
        <v>#REF!</v>
      </c>
      <c r="AB127" s="180">
        <v>139212004</v>
      </c>
      <c r="AC127" s="180" t="e">
        <f>#REF!</f>
        <v>#REF!</v>
      </c>
      <c r="AD127" s="180" t="e">
        <f>#REF!</f>
        <v>#REF!</v>
      </c>
      <c r="AE127" s="180" t="e">
        <f>#REF!</f>
        <v>#REF!</v>
      </c>
      <c r="AF127" s="180" t="e">
        <f>[1]April!N40</f>
        <v>#REF!</v>
      </c>
      <c r="AG127" s="180" t="e">
        <f>[2]april!N40</f>
        <v>#REF!</v>
      </c>
      <c r="AH127" s="180">
        <f>'[3]DES SKPD'!$N40</f>
        <v>140440000</v>
      </c>
      <c r="AI127" s="180">
        <v>0</v>
      </c>
      <c r="AJ127" s="181">
        <f t="shared" si="24"/>
        <v>0</v>
      </c>
      <c r="AK127" s="246">
        <f t="shared" si="36"/>
        <v>42500000</v>
      </c>
      <c r="AL127" s="181">
        <f t="shared" si="25"/>
        <v>100</v>
      </c>
      <c r="AM127" s="243"/>
    </row>
    <row r="128" spans="1:39" ht="27.75" customHeight="1" x14ac:dyDescent="0.25">
      <c r="A128" s="243"/>
      <c r="B128" s="244"/>
      <c r="C128" s="244"/>
      <c r="D128" s="244"/>
      <c r="E128" s="244"/>
      <c r="F128" s="244"/>
      <c r="G128" s="244"/>
      <c r="H128" s="244"/>
      <c r="I128" s="298"/>
      <c r="J128" s="244" t="s">
        <v>400</v>
      </c>
      <c r="K128" s="245"/>
      <c r="L128" s="257"/>
      <c r="M128" s="597" t="s">
        <v>568</v>
      </c>
      <c r="N128" s="598"/>
      <c r="O128" s="299"/>
      <c r="P128" s="180"/>
      <c r="Q128" s="180">
        <v>493300000</v>
      </c>
      <c r="R128" s="181">
        <f t="shared" si="38"/>
        <v>46.154565868263475</v>
      </c>
      <c r="S128" s="181">
        <v>100</v>
      </c>
      <c r="T128" s="180">
        <f t="shared" si="20"/>
        <v>0</v>
      </c>
      <c r="U128" s="180">
        <f t="shared" si="34"/>
        <v>0</v>
      </c>
      <c r="V128" s="182">
        <f t="shared" si="39"/>
        <v>100</v>
      </c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>
        <v>0</v>
      </c>
      <c r="AJ128" s="181">
        <f t="shared" si="24"/>
        <v>0</v>
      </c>
      <c r="AK128" s="246">
        <f t="shared" si="36"/>
        <v>493300000</v>
      </c>
      <c r="AL128" s="181">
        <f t="shared" si="25"/>
        <v>100</v>
      </c>
      <c r="AM128" s="243"/>
    </row>
    <row r="129" spans="1:39" ht="27.75" customHeight="1" x14ac:dyDescent="0.25">
      <c r="A129" s="243"/>
      <c r="B129" s="244"/>
      <c r="C129" s="244"/>
      <c r="D129" s="244"/>
      <c r="E129" s="244"/>
      <c r="F129" s="244"/>
      <c r="G129" s="244"/>
      <c r="H129" s="244"/>
      <c r="I129" s="298"/>
      <c r="J129" s="244" t="s">
        <v>569</v>
      </c>
      <c r="K129" s="245"/>
      <c r="L129" s="257"/>
      <c r="M129" s="597" t="s">
        <v>570</v>
      </c>
      <c r="N129" s="598"/>
      <c r="O129" s="299"/>
      <c r="P129" s="180"/>
      <c r="Q129" s="180">
        <v>50000000</v>
      </c>
      <c r="R129" s="181">
        <f t="shared" si="38"/>
        <v>4.6781437125748502</v>
      </c>
      <c r="S129" s="181">
        <v>100</v>
      </c>
      <c r="T129" s="180">
        <f t="shared" si="20"/>
        <v>0</v>
      </c>
      <c r="U129" s="180">
        <f t="shared" si="34"/>
        <v>0</v>
      </c>
      <c r="V129" s="182">
        <f t="shared" si="39"/>
        <v>100</v>
      </c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>
        <v>0</v>
      </c>
      <c r="AJ129" s="181">
        <f t="shared" si="24"/>
        <v>0</v>
      </c>
      <c r="AK129" s="246">
        <f t="shared" si="36"/>
        <v>50000000</v>
      </c>
      <c r="AL129" s="181">
        <f t="shared" si="25"/>
        <v>100</v>
      </c>
      <c r="AM129" s="243"/>
    </row>
    <row r="130" spans="1:39" ht="27.75" customHeight="1" x14ac:dyDescent="0.25">
      <c r="A130" s="243"/>
      <c r="B130" s="244"/>
      <c r="C130" s="244"/>
      <c r="D130" s="244"/>
      <c r="E130" s="244"/>
      <c r="F130" s="244"/>
      <c r="G130" s="244"/>
      <c r="H130" s="244"/>
      <c r="I130" s="298"/>
      <c r="J130" s="244" t="s">
        <v>286</v>
      </c>
      <c r="K130" s="245"/>
      <c r="L130" s="257"/>
      <c r="M130" s="597" t="s">
        <v>571</v>
      </c>
      <c r="N130" s="598"/>
      <c r="O130" s="299"/>
      <c r="P130" s="180"/>
      <c r="Q130" s="180">
        <v>50000000</v>
      </c>
      <c r="R130" s="181">
        <f t="shared" si="38"/>
        <v>4.6781437125748502</v>
      </c>
      <c r="S130" s="181">
        <v>100</v>
      </c>
      <c r="T130" s="180">
        <f t="shared" si="20"/>
        <v>0</v>
      </c>
      <c r="U130" s="180">
        <f t="shared" si="34"/>
        <v>0</v>
      </c>
      <c r="V130" s="182">
        <f t="shared" si="39"/>
        <v>100</v>
      </c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>
        <v>0</v>
      </c>
      <c r="AJ130" s="181">
        <f t="shared" si="24"/>
        <v>0</v>
      </c>
      <c r="AK130" s="246">
        <f t="shared" si="36"/>
        <v>50000000</v>
      </c>
      <c r="AL130" s="181">
        <f t="shared" si="25"/>
        <v>100</v>
      </c>
      <c r="AM130" s="243"/>
    </row>
    <row r="131" spans="1:39" ht="27.75" customHeight="1" x14ac:dyDescent="0.25">
      <c r="A131" s="243"/>
      <c r="B131" s="244"/>
      <c r="C131" s="244"/>
      <c r="D131" s="244"/>
      <c r="E131" s="244"/>
      <c r="F131" s="244"/>
      <c r="G131" s="244"/>
      <c r="H131" s="244"/>
      <c r="I131" s="298"/>
      <c r="J131" s="244" t="s">
        <v>402</v>
      </c>
      <c r="K131" s="245"/>
      <c r="L131" s="257"/>
      <c r="M131" s="597" t="s">
        <v>572</v>
      </c>
      <c r="N131" s="598"/>
      <c r="O131" s="299"/>
      <c r="P131" s="180"/>
      <c r="Q131" s="180">
        <v>192000000</v>
      </c>
      <c r="R131" s="181">
        <f t="shared" si="38"/>
        <v>17.964071856287426</v>
      </c>
      <c r="S131" s="181">
        <v>100</v>
      </c>
      <c r="T131" s="180">
        <f t="shared" si="20"/>
        <v>0</v>
      </c>
      <c r="U131" s="180">
        <f t="shared" si="34"/>
        <v>0</v>
      </c>
      <c r="V131" s="182">
        <f t="shared" si="39"/>
        <v>100</v>
      </c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>
        <v>0</v>
      </c>
      <c r="AJ131" s="181">
        <f t="shared" si="24"/>
        <v>0</v>
      </c>
      <c r="AK131" s="246">
        <f t="shared" si="36"/>
        <v>192000000</v>
      </c>
      <c r="AL131" s="181">
        <f t="shared" si="25"/>
        <v>100</v>
      </c>
      <c r="AM131" s="243"/>
    </row>
    <row r="132" spans="1:39" ht="27.75" customHeight="1" x14ac:dyDescent="0.25">
      <c r="A132" s="243"/>
      <c r="B132" s="244"/>
      <c r="C132" s="244"/>
      <c r="D132" s="244"/>
      <c r="E132" s="244"/>
      <c r="F132" s="244"/>
      <c r="G132" s="244"/>
      <c r="H132" s="244"/>
      <c r="I132" s="298"/>
      <c r="J132" s="244" t="s">
        <v>573</v>
      </c>
      <c r="K132" s="245"/>
      <c r="L132" s="257"/>
      <c r="M132" s="597" t="s">
        <v>574</v>
      </c>
      <c r="N132" s="598"/>
      <c r="O132" s="299"/>
      <c r="P132" s="180"/>
      <c r="Q132" s="180">
        <v>15000000</v>
      </c>
      <c r="R132" s="181">
        <f t="shared" si="38"/>
        <v>1.403443113772455</v>
      </c>
      <c r="S132" s="181">
        <v>100</v>
      </c>
      <c r="T132" s="180">
        <f t="shared" si="20"/>
        <v>0</v>
      </c>
      <c r="U132" s="180">
        <f t="shared" si="34"/>
        <v>0</v>
      </c>
      <c r="V132" s="182">
        <f t="shared" si="39"/>
        <v>100</v>
      </c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>
        <v>0</v>
      </c>
      <c r="AJ132" s="181">
        <f t="shared" si="24"/>
        <v>0</v>
      </c>
      <c r="AK132" s="246">
        <f t="shared" si="36"/>
        <v>15000000</v>
      </c>
      <c r="AL132" s="181">
        <f t="shared" si="25"/>
        <v>100</v>
      </c>
      <c r="AM132" s="243"/>
    </row>
    <row r="133" spans="1:39" ht="27.75" customHeight="1" x14ac:dyDescent="0.25">
      <c r="A133" s="243"/>
      <c r="B133" s="244"/>
      <c r="C133" s="244"/>
      <c r="D133" s="244"/>
      <c r="E133" s="244"/>
      <c r="F133" s="244"/>
      <c r="G133" s="244"/>
      <c r="H133" s="244"/>
      <c r="I133" s="298"/>
      <c r="J133" s="244" t="s">
        <v>575</v>
      </c>
      <c r="K133" s="245"/>
      <c r="L133" s="257"/>
      <c r="M133" s="597" t="s">
        <v>576</v>
      </c>
      <c r="N133" s="598"/>
      <c r="O133" s="299"/>
      <c r="P133" s="180"/>
      <c r="Q133" s="180">
        <v>44000000</v>
      </c>
      <c r="R133" s="181">
        <f t="shared" si="38"/>
        <v>4.1167664670658679</v>
      </c>
      <c r="S133" s="181">
        <v>100</v>
      </c>
      <c r="T133" s="180">
        <f t="shared" si="20"/>
        <v>0</v>
      </c>
      <c r="U133" s="180">
        <f t="shared" si="34"/>
        <v>0</v>
      </c>
      <c r="V133" s="182">
        <f t="shared" si="39"/>
        <v>100</v>
      </c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>
        <v>0</v>
      </c>
      <c r="AJ133" s="181">
        <f t="shared" si="24"/>
        <v>0</v>
      </c>
      <c r="AK133" s="246">
        <f t="shared" si="36"/>
        <v>44000000</v>
      </c>
      <c r="AL133" s="181">
        <f t="shared" si="25"/>
        <v>100</v>
      </c>
      <c r="AM133" s="243"/>
    </row>
    <row r="134" spans="1:39" s="297" customFormat="1" ht="24.75" customHeight="1" x14ac:dyDescent="0.25">
      <c r="A134" s="227">
        <f>A122+1</f>
        <v>17</v>
      </c>
      <c r="B134" s="615" t="s">
        <v>127</v>
      </c>
      <c r="C134" s="615"/>
      <c r="D134" s="615"/>
      <c r="E134" s="615"/>
      <c r="F134" s="615"/>
      <c r="G134" s="615"/>
      <c r="H134" s="615"/>
      <c r="I134" s="614"/>
      <c r="J134" s="304" t="s">
        <v>456</v>
      </c>
      <c r="K134" s="230"/>
      <c r="L134" s="294"/>
      <c r="M134" s="615" t="s">
        <v>579</v>
      </c>
      <c r="N134" s="614"/>
      <c r="O134" s="295">
        <v>68210000</v>
      </c>
      <c r="P134" s="231">
        <f>O134</f>
        <v>68210000</v>
      </c>
      <c r="Q134" s="231">
        <f>SUM(Q135:Q135)</f>
        <v>190800000</v>
      </c>
      <c r="R134" s="233">
        <f>Q134/Q$54*100</f>
        <v>7.5537170712609081</v>
      </c>
      <c r="S134" s="233">
        <v>100</v>
      </c>
      <c r="T134" s="231">
        <f t="shared" si="20"/>
        <v>0</v>
      </c>
      <c r="U134" s="231">
        <f t="shared" si="34"/>
        <v>0</v>
      </c>
      <c r="V134" s="296">
        <f t="shared" si="39"/>
        <v>100</v>
      </c>
      <c r="W134" s="231"/>
      <c r="X134" s="231" t="e">
        <f>#REF!</f>
        <v>#REF!</v>
      </c>
      <c r="Y134" s="231" t="e">
        <f>#REF!</f>
        <v>#REF!</v>
      </c>
      <c r="Z134" s="231" t="e">
        <f>#REF!</f>
        <v>#REF!</v>
      </c>
      <c r="AA134" s="231" t="e">
        <f>#REF!</f>
        <v>#REF!</v>
      </c>
      <c r="AB134" s="231">
        <v>139212000</v>
      </c>
      <c r="AC134" s="231" t="e">
        <f>#REF!</f>
        <v>#REF!</v>
      </c>
      <c r="AD134" s="231" t="e">
        <f>#REF!</f>
        <v>#REF!</v>
      </c>
      <c r="AE134" s="231" t="e">
        <f>#REF!</f>
        <v>#REF!</v>
      </c>
      <c r="AF134" s="231" t="e">
        <f>[1]April!N47</f>
        <v>#REF!</v>
      </c>
      <c r="AG134" s="231" t="e">
        <f>[2]april!N47</f>
        <v>#REF!</v>
      </c>
      <c r="AH134" s="231" t="e">
        <f>'[3]DES SKPD'!$N47</f>
        <v>#REF!</v>
      </c>
      <c r="AI134" s="231">
        <f>SUM(AI135)</f>
        <v>0</v>
      </c>
      <c r="AJ134" s="233">
        <f t="shared" si="24"/>
        <v>0</v>
      </c>
      <c r="AK134" s="234">
        <f t="shared" si="36"/>
        <v>190800000</v>
      </c>
      <c r="AL134" s="233">
        <f t="shared" si="25"/>
        <v>100</v>
      </c>
      <c r="AM134" s="227"/>
    </row>
    <row r="135" spans="1:39" ht="29.25" customHeight="1" x14ac:dyDescent="0.25">
      <c r="A135" s="243"/>
      <c r="B135" s="244"/>
      <c r="C135" s="244"/>
      <c r="D135" s="244"/>
      <c r="E135" s="244"/>
      <c r="F135" s="244"/>
      <c r="G135" s="244"/>
      <c r="H135" s="244"/>
      <c r="I135" s="298"/>
      <c r="J135" s="244" t="s">
        <v>577</v>
      </c>
      <c r="K135" s="245"/>
      <c r="L135" s="257"/>
      <c r="M135" s="597" t="s">
        <v>578</v>
      </c>
      <c r="N135" s="598"/>
      <c r="O135" s="299"/>
      <c r="P135" s="180"/>
      <c r="Q135" s="180">
        <v>190800000</v>
      </c>
      <c r="R135" s="181">
        <f t="shared" ref="R135" si="40">Q135/Q$122*100</f>
        <v>17.851796407185631</v>
      </c>
      <c r="S135" s="181">
        <v>100</v>
      </c>
      <c r="T135" s="180">
        <f t="shared" si="20"/>
        <v>0</v>
      </c>
      <c r="U135" s="180">
        <f t="shared" si="34"/>
        <v>0</v>
      </c>
      <c r="V135" s="182">
        <f t="shared" si="39"/>
        <v>100</v>
      </c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>
        <v>0</v>
      </c>
      <c r="AJ135" s="181">
        <f t="shared" si="24"/>
        <v>0</v>
      </c>
      <c r="AK135" s="246">
        <f t="shared" si="36"/>
        <v>190800000</v>
      </c>
      <c r="AL135" s="181">
        <f t="shared" si="25"/>
        <v>100</v>
      </c>
      <c r="AM135" s="243"/>
    </row>
    <row r="136" spans="1:39" s="297" customFormat="1" ht="31.5" customHeight="1" x14ac:dyDescent="0.25">
      <c r="A136" s="227">
        <f>A134+1</f>
        <v>18</v>
      </c>
      <c r="B136" s="615" t="s">
        <v>128</v>
      </c>
      <c r="C136" s="615"/>
      <c r="D136" s="615"/>
      <c r="E136" s="615"/>
      <c r="F136" s="615"/>
      <c r="G136" s="615"/>
      <c r="H136" s="615"/>
      <c r="I136" s="614"/>
      <c r="J136" s="304" t="s">
        <v>457</v>
      </c>
      <c r="K136" s="230"/>
      <c r="L136" s="294"/>
      <c r="M136" s="615" t="s">
        <v>129</v>
      </c>
      <c r="N136" s="614"/>
      <c r="O136" s="295">
        <v>295960000</v>
      </c>
      <c r="P136" s="231">
        <v>0</v>
      </c>
      <c r="Q136" s="231">
        <f>SUM(Q137:Q138)</f>
        <v>326040000</v>
      </c>
      <c r="R136" s="233">
        <f>Q136/Q$54*100</f>
        <v>12.90782973749427</v>
      </c>
      <c r="S136" s="233">
        <v>100</v>
      </c>
      <c r="T136" s="231">
        <f t="shared" si="20"/>
        <v>0</v>
      </c>
      <c r="U136" s="231">
        <f>R136*T136/100</f>
        <v>0</v>
      </c>
      <c r="V136" s="296">
        <f t="shared" si="39"/>
        <v>100</v>
      </c>
      <c r="W136" s="231"/>
      <c r="X136" s="231"/>
      <c r="Y136" s="231"/>
      <c r="Z136" s="231"/>
      <c r="AA136" s="231"/>
      <c r="AB136" s="231"/>
      <c r="AC136" s="231"/>
      <c r="AD136" s="231"/>
      <c r="AE136" s="231"/>
      <c r="AF136" s="231"/>
      <c r="AG136" s="231" t="e">
        <f>[2]april!N37</f>
        <v>#REF!</v>
      </c>
      <c r="AH136" s="231">
        <f>'[3]DES SKPD'!$N37</f>
        <v>0</v>
      </c>
      <c r="AI136" s="231">
        <f>SUM(AI137:AI138)</f>
        <v>0</v>
      </c>
      <c r="AJ136" s="233">
        <f t="shared" si="24"/>
        <v>0</v>
      </c>
      <c r="AK136" s="234">
        <f t="shared" si="36"/>
        <v>326040000</v>
      </c>
      <c r="AL136" s="233">
        <f t="shared" si="25"/>
        <v>100</v>
      </c>
      <c r="AM136" s="227"/>
    </row>
    <row r="137" spans="1:39" ht="24.75" customHeight="1" x14ac:dyDescent="0.25">
      <c r="A137" s="243"/>
      <c r="B137" s="244"/>
      <c r="C137" s="244"/>
      <c r="D137" s="244"/>
      <c r="E137" s="244"/>
      <c r="F137" s="244"/>
      <c r="G137" s="244"/>
      <c r="H137" s="244"/>
      <c r="I137" s="298"/>
      <c r="J137" s="244" t="s">
        <v>259</v>
      </c>
      <c r="K137" s="245"/>
      <c r="L137" s="257"/>
      <c r="M137" s="623" t="s">
        <v>260</v>
      </c>
      <c r="N137" s="624"/>
      <c r="O137" s="299"/>
      <c r="P137" s="180"/>
      <c r="Q137" s="180">
        <v>1040000</v>
      </c>
      <c r="R137" s="181">
        <f>Q137/Q$33*100</f>
        <v>3.3604280140920625E-3</v>
      </c>
      <c r="S137" s="181">
        <v>100</v>
      </c>
      <c r="T137" s="180">
        <f t="shared" si="20"/>
        <v>0</v>
      </c>
      <c r="U137" s="180">
        <f>R137*T137/100</f>
        <v>0</v>
      </c>
      <c r="V137" s="182">
        <f t="shared" si="39"/>
        <v>100</v>
      </c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>
        <v>0</v>
      </c>
      <c r="AJ137" s="181">
        <f t="shared" si="24"/>
        <v>0</v>
      </c>
      <c r="AK137" s="246">
        <f t="shared" si="36"/>
        <v>1040000</v>
      </c>
      <c r="AL137" s="181">
        <f t="shared" si="25"/>
        <v>100</v>
      </c>
      <c r="AM137" s="243"/>
    </row>
    <row r="138" spans="1:39" ht="24.75" customHeight="1" x14ac:dyDescent="0.25">
      <c r="A138" s="243"/>
      <c r="B138" s="244"/>
      <c r="C138" s="244"/>
      <c r="D138" s="244"/>
      <c r="E138" s="244"/>
      <c r="F138" s="244"/>
      <c r="G138" s="244"/>
      <c r="H138" s="244"/>
      <c r="I138" s="298"/>
      <c r="J138" s="244" t="s">
        <v>288</v>
      </c>
      <c r="K138" s="245"/>
      <c r="L138" s="257"/>
      <c r="M138" s="597" t="s">
        <v>289</v>
      </c>
      <c r="N138" s="598"/>
      <c r="O138" s="299"/>
      <c r="P138" s="180"/>
      <c r="Q138" s="180">
        <v>325000000</v>
      </c>
      <c r="R138" s="181">
        <f>Q138/Q$136*100</f>
        <v>99.681020733652318</v>
      </c>
      <c r="S138" s="181">
        <v>100</v>
      </c>
      <c r="T138" s="180">
        <f t="shared" si="20"/>
        <v>0</v>
      </c>
      <c r="U138" s="180">
        <f>R138*T138/100</f>
        <v>0</v>
      </c>
      <c r="V138" s="182">
        <f t="shared" si="39"/>
        <v>100</v>
      </c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 t="e">
        <f>[2]april!N39</f>
        <v>#REF!</v>
      </c>
      <c r="AH138" s="180">
        <f>'[3]DES SKPD'!$N39</f>
        <v>676934270</v>
      </c>
      <c r="AI138" s="180">
        <v>0</v>
      </c>
      <c r="AJ138" s="181">
        <f t="shared" si="24"/>
        <v>0</v>
      </c>
      <c r="AK138" s="246">
        <f t="shared" si="36"/>
        <v>325000000</v>
      </c>
      <c r="AL138" s="181">
        <f t="shared" si="25"/>
        <v>100</v>
      </c>
      <c r="AM138" s="243"/>
    </row>
    <row r="139" spans="1:39" s="297" customFormat="1" ht="31.5" customHeight="1" x14ac:dyDescent="0.25">
      <c r="A139" s="227">
        <f>A136+1</f>
        <v>19</v>
      </c>
      <c r="B139" s="615" t="s">
        <v>128</v>
      </c>
      <c r="C139" s="615"/>
      <c r="D139" s="615"/>
      <c r="E139" s="615"/>
      <c r="F139" s="615"/>
      <c r="G139" s="615"/>
      <c r="H139" s="615"/>
      <c r="I139" s="614"/>
      <c r="J139" s="304" t="s">
        <v>458</v>
      </c>
      <c r="K139" s="230"/>
      <c r="L139" s="294"/>
      <c r="M139" s="615" t="s">
        <v>26</v>
      </c>
      <c r="N139" s="614"/>
      <c r="O139" s="295">
        <v>295960000</v>
      </c>
      <c r="P139" s="231">
        <f>O139</f>
        <v>295960000</v>
      </c>
      <c r="Q139" s="231">
        <f>SUM(Q140:Q142)</f>
        <v>151500000</v>
      </c>
      <c r="R139" s="233">
        <f>Q139/Q$54*100</f>
        <v>5.9978413851993064</v>
      </c>
      <c r="S139" s="233">
        <v>100</v>
      </c>
      <c r="T139" s="231">
        <f t="shared" ref="T139:T202" si="41">AJ139</f>
        <v>0</v>
      </c>
      <c r="U139" s="231">
        <f>R139*T139/100</f>
        <v>0</v>
      </c>
      <c r="V139" s="296">
        <f t="shared" si="39"/>
        <v>100</v>
      </c>
      <c r="W139" s="231"/>
      <c r="X139" s="231" t="e">
        <f>#REF!</f>
        <v>#REF!</v>
      </c>
      <c r="Y139" s="231" t="e">
        <f>#REF!</f>
        <v>#REF!</v>
      </c>
      <c r="Z139" s="231" t="e">
        <f>#REF!</f>
        <v>#REF!</v>
      </c>
      <c r="AA139" s="231" t="e">
        <f>#REF!</f>
        <v>#REF!</v>
      </c>
      <c r="AB139" s="231">
        <v>91844000</v>
      </c>
      <c r="AC139" s="231" t="e">
        <f>#REF!</f>
        <v>#REF!</v>
      </c>
      <c r="AD139" s="231" t="e">
        <f>#REF!</f>
        <v>#REF!</v>
      </c>
      <c r="AE139" s="231" t="e">
        <f>#REF!</f>
        <v>#REF!</v>
      </c>
      <c r="AF139" s="231" t="e">
        <f>[1]April!N38</f>
        <v>#REF!</v>
      </c>
      <c r="AG139" s="231" t="e">
        <f>[2]april!N38</f>
        <v>#REF!</v>
      </c>
      <c r="AH139" s="231">
        <f>'[3]DES SKPD'!$N38</f>
        <v>322038365</v>
      </c>
      <c r="AI139" s="231">
        <f>SUM(AI140:AI142)</f>
        <v>0</v>
      </c>
      <c r="AJ139" s="233">
        <f t="shared" ref="AJ139:AJ202" si="42">AI139/Q139*100</f>
        <v>0</v>
      </c>
      <c r="AK139" s="234">
        <f t="shared" si="36"/>
        <v>151500000</v>
      </c>
      <c r="AL139" s="233">
        <f t="shared" ref="AL139:AL202" si="43">AK139/Q139*100</f>
        <v>100</v>
      </c>
      <c r="AM139" s="227"/>
    </row>
    <row r="140" spans="1:39" ht="30.75" customHeight="1" x14ac:dyDescent="0.25">
      <c r="A140" s="243"/>
      <c r="B140" s="244"/>
      <c r="C140" s="244"/>
      <c r="D140" s="244"/>
      <c r="E140" s="244"/>
      <c r="F140" s="244"/>
      <c r="G140" s="244"/>
      <c r="H140" s="244"/>
      <c r="I140" s="298"/>
      <c r="J140" s="244" t="s">
        <v>259</v>
      </c>
      <c r="K140" s="245"/>
      <c r="L140" s="257"/>
      <c r="M140" s="597" t="s">
        <v>260</v>
      </c>
      <c r="N140" s="598"/>
      <c r="O140" s="299"/>
      <c r="P140" s="180"/>
      <c r="Q140" s="180">
        <v>800000</v>
      </c>
      <c r="R140" s="181">
        <f>Q140/Q$139*100</f>
        <v>0.528052805280528</v>
      </c>
      <c r="S140" s="181">
        <v>100</v>
      </c>
      <c r="T140" s="180">
        <f t="shared" si="41"/>
        <v>0</v>
      </c>
      <c r="U140" s="180">
        <f t="shared" ref="U140:U155" si="44">R140*T140/100</f>
        <v>0</v>
      </c>
      <c r="V140" s="182">
        <f t="shared" si="39"/>
        <v>100</v>
      </c>
      <c r="W140" s="180"/>
      <c r="X140" s="180" t="e">
        <f>#REF!</f>
        <v>#REF!</v>
      </c>
      <c r="Y140" s="180" t="e">
        <f>#REF!</f>
        <v>#REF!</v>
      </c>
      <c r="Z140" s="180" t="e">
        <f>#REF!</f>
        <v>#REF!</v>
      </c>
      <c r="AA140" s="180" t="e">
        <f>#REF!</f>
        <v>#REF!</v>
      </c>
      <c r="AB140" s="180">
        <v>91844002</v>
      </c>
      <c r="AC140" s="180" t="e">
        <f>#REF!</f>
        <v>#REF!</v>
      </c>
      <c r="AD140" s="180" t="e">
        <f>#REF!</f>
        <v>#REF!</v>
      </c>
      <c r="AE140" s="180" t="e">
        <f>#REF!</f>
        <v>#REF!</v>
      </c>
      <c r="AF140" s="180" t="e">
        <f>[1]April!N40</f>
        <v>#REF!</v>
      </c>
      <c r="AG140" s="180" t="e">
        <f>[2]april!N40</f>
        <v>#REF!</v>
      </c>
      <c r="AH140" s="180">
        <f>'[3]DES SKPD'!$N40</f>
        <v>140440000</v>
      </c>
      <c r="AI140" s="180">
        <v>0</v>
      </c>
      <c r="AJ140" s="181">
        <f t="shared" si="42"/>
        <v>0</v>
      </c>
      <c r="AK140" s="246">
        <f t="shared" si="36"/>
        <v>800000</v>
      </c>
      <c r="AL140" s="181">
        <f t="shared" si="43"/>
        <v>100</v>
      </c>
      <c r="AM140" s="243"/>
    </row>
    <row r="141" spans="1:39" ht="24.75" customHeight="1" x14ac:dyDescent="0.25">
      <c r="A141" s="243"/>
      <c r="B141" s="244"/>
      <c r="C141" s="244"/>
      <c r="D141" s="244"/>
      <c r="E141" s="244"/>
      <c r="F141" s="244"/>
      <c r="G141" s="244"/>
      <c r="H141" s="244"/>
      <c r="I141" s="298"/>
      <c r="J141" s="244" t="s">
        <v>290</v>
      </c>
      <c r="K141" s="245"/>
      <c r="L141" s="257"/>
      <c r="M141" s="597" t="s">
        <v>291</v>
      </c>
      <c r="N141" s="598"/>
      <c r="O141" s="299"/>
      <c r="P141" s="180"/>
      <c r="Q141" s="180">
        <v>95400000</v>
      </c>
      <c r="R141" s="181">
        <f>Q141/Q$139*100</f>
        <v>62.970297029702969</v>
      </c>
      <c r="S141" s="181">
        <v>100</v>
      </c>
      <c r="T141" s="180">
        <f t="shared" si="41"/>
        <v>0</v>
      </c>
      <c r="U141" s="180">
        <f t="shared" si="44"/>
        <v>0</v>
      </c>
      <c r="V141" s="182">
        <f t="shared" si="39"/>
        <v>100</v>
      </c>
      <c r="W141" s="180"/>
      <c r="X141" s="180" t="e">
        <f>#REF!</f>
        <v>#REF!</v>
      </c>
      <c r="Y141" s="180" t="e">
        <f>#REF!</f>
        <v>#REF!</v>
      </c>
      <c r="Z141" s="180" t="e">
        <f>#REF!</f>
        <v>#REF!</v>
      </c>
      <c r="AA141" s="180" t="e">
        <f>#REF!</f>
        <v>#REF!</v>
      </c>
      <c r="AB141" s="180">
        <v>91844003</v>
      </c>
      <c r="AC141" s="180" t="e">
        <f>#REF!</f>
        <v>#REF!</v>
      </c>
      <c r="AD141" s="180" t="e">
        <f>#REF!</f>
        <v>#REF!</v>
      </c>
      <c r="AE141" s="180" t="e">
        <f>#REF!</f>
        <v>#REF!</v>
      </c>
      <c r="AF141" s="180" t="e">
        <f>[1]April!N41</f>
        <v>#REF!</v>
      </c>
      <c r="AG141" s="180" t="e">
        <f>[2]april!N41</f>
        <v>#REF!</v>
      </c>
      <c r="AH141" s="180">
        <f>'[3]DES SKPD'!$N41</f>
        <v>231767600</v>
      </c>
      <c r="AI141" s="180">
        <v>0</v>
      </c>
      <c r="AJ141" s="181">
        <f t="shared" si="42"/>
        <v>0</v>
      </c>
      <c r="AK141" s="246">
        <f t="shared" si="36"/>
        <v>95400000</v>
      </c>
      <c r="AL141" s="181">
        <f t="shared" si="43"/>
        <v>100</v>
      </c>
      <c r="AM141" s="243"/>
    </row>
    <row r="142" spans="1:39" ht="36" customHeight="1" x14ac:dyDescent="0.25">
      <c r="A142" s="243"/>
      <c r="B142" s="244"/>
      <c r="C142" s="244"/>
      <c r="D142" s="244"/>
      <c r="E142" s="244"/>
      <c r="F142" s="244"/>
      <c r="G142" s="244"/>
      <c r="H142" s="244"/>
      <c r="I142" s="298"/>
      <c r="J142" s="244" t="s">
        <v>292</v>
      </c>
      <c r="K142" s="245"/>
      <c r="L142" s="257"/>
      <c r="M142" s="597" t="s">
        <v>293</v>
      </c>
      <c r="N142" s="598"/>
      <c r="O142" s="299"/>
      <c r="P142" s="180"/>
      <c r="Q142" s="180">
        <v>55300000</v>
      </c>
      <c r="R142" s="181">
        <f>Q142/Q$139*100</f>
        <v>36.5016501650165</v>
      </c>
      <c r="S142" s="181">
        <v>100</v>
      </c>
      <c r="T142" s="180">
        <f t="shared" si="41"/>
        <v>0</v>
      </c>
      <c r="U142" s="180">
        <f t="shared" si="44"/>
        <v>0</v>
      </c>
      <c r="V142" s="182">
        <f t="shared" si="39"/>
        <v>100</v>
      </c>
      <c r="W142" s="180"/>
      <c r="X142" s="180" t="e">
        <f>#REF!</f>
        <v>#REF!</v>
      </c>
      <c r="Y142" s="180" t="e">
        <f>#REF!</f>
        <v>#REF!</v>
      </c>
      <c r="Z142" s="180" t="e">
        <f>#REF!</f>
        <v>#REF!</v>
      </c>
      <c r="AA142" s="180" t="e">
        <f>#REF!</f>
        <v>#REF!</v>
      </c>
      <c r="AB142" s="180">
        <v>91844004</v>
      </c>
      <c r="AC142" s="180" t="e">
        <f>#REF!</f>
        <v>#REF!</v>
      </c>
      <c r="AD142" s="180" t="e">
        <f>#REF!</f>
        <v>#REF!</v>
      </c>
      <c r="AE142" s="180" t="e">
        <f>#REF!</f>
        <v>#REF!</v>
      </c>
      <c r="AF142" s="180" t="e">
        <f>[1]April!N42</f>
        <v>#REF!</v>
      </c>
      <c r="AG142" s="180" t="e">
        <f>[2]april!N42</f>
        <v>#REF!</v>
      </c>
      <c r="AH142" s="180" t="e">
        <f>'[3]DES SKPD'!$N42</f>
        <v>#REF!</v>
      </c>
      <c r="AI142" s="180">
        <v>0</v>
      </c>
      <c r="AJ142" s="181">
        <f t="shared" si="42"/>
        <v>0</v>
      </c>
      <c r="AK142" s="246">
        <f t="shared" si="36"/>
        <v>55300000</v>
      </c>
      <c r="AL142" s="181">
        <f t="shared" si="43"/>
        <v>100</v>
      </c>
      <c r="AM142" s="243"/>
    </row>
    <row r="143" spans="1:39" s="297" customFormat="1" ht="32.25" customHeight="1" x14ac:dyDescent="0.25">
      <c r="A143" s="227">
        <f>A139+1</f>
        <v>20</v>
      </c>
      <c r="B143" s="615" t="s">
        <v>130</v>
      </c>
      <c r="C143" s="615"/>
      <c r="D143" s="615"/>
      <c r="E143" s="615"/>
      <c r="F143" s="615"/>
      <c r="G143" s="615"/>
      <c r="H143" s="615"/>
      <c r="I143" s="614"/>
      <c r="J143" s="304" t="s">
        <v>459</v>
      </c>
      <c r="K143" s="230"/>
      <c r="L143" s="294"/>
      <c r="M143" s="615" t="s">
        <v>27</v>
      </c>
      <c r="N143" s="614"/>
      <c r="O143" s="295">
        <v>641710000</v>
      </c>
      <c r="P143" s="231">
        <f>O143</f>
        <v>641710000</v>
      </c>
      <c r="Q143" s="231">
        <f>SUM(Q144:Q149)</f>
        <v>1058810000</v>
      </c>
      <c r="R143" s="233">
        <f>Q143/Q$54*100</f>
        <v>41.917983082923286</v>
      </c>
      <c r="S143" s="233">
        <v>100</v>
      </c>
      <c r="T143" s="231">
        <f>AJ143</f>
        <v>0</v>
      </c>
      <c r="U143" s="231">
        <f>R143*T143/100</f>
        <v>0</v>
      </c>
      <c r="V143" s="296">
        <f>S143-T143</f>
        <v>100</v>
      </c>
      <c r="W143" s="231"/>
      <c r="X143" s="231" t="e">
        <f>#REF!</f>
        <v>#REF!</v>
      </c>
      <c r="Y143" s="231" t="e">
        <f>#REF!</f>
        <v>#REF!</v>
      </c>
      <c r="Z143" s="231" t="e">
        <f>#REF!</f>
        <v>#REF!</v>
      </c>
      <c r="AA143" s="231" t="e">
        <f>#REF!</f>
        <v>#REF!</v>
      </c>
      <c r="AB143" s="231">
        <v>335806263</v>
      </c>
      <c r="AC143" s="231" t="e">
        <f>#REF!</f>
        <v>#REF!</v>
      </c>
      <c r="AD143" s="231" t="e">
        <f>#REF!</f>
        <v>#REF!</v>
      </c>
      <c r="AE143" s="231" t="e">
        <f>#REF!</f>
        <v>#REF!</v>
      </c>
      <c r="AF143" s="231" t="e">
        <f>[1]April!N39</f>
        <v>#REF!</v>
      </c>
      <c r="AG143" s="231" t="e">
        <f>[2]april!N39</f>
        <v>#REF!</v>
      </c>
      <c r="AH143" s="231">
        <f>'[3]DES SKPD'!$N39</f>
        <v>676934270</v>
      </c>
      <c r="AI143" s="231">
        <f>SUM(AI144:AI149)</f>
        <v>0</v>
      </c>
      <c r="AJ143" s="233">
        <f>AI143/Q143*100</f>
        <v>0</v>
      </c>
      <c r="AK143" s="234">
        <f>Q143-AI143</f>
        <v>1058810000</v>
      </c>
      <c r="AL143" s="233">
        <f>AK143/Q143*100</f>
        <v>100</v>
      </c>
      <c r="AM143" s="227"/>
    </row>
    <row r="144" spans="1:39" s="297" customFormat="1" ht="32.25" customHeight="1" x14ac:dyDescent="0.25">
      <c r="A144" s="227"/>
      <c r="B144" s="228"/>
      <c r="C144" s="228"/>
      <c r="D144" s="228"/>
      <c r="E144" s="228"/>
      <c r="F144" s="228"/>
      <c r="G144" s="228"/>
      <c r="H144" s="228"/>
      <c r="I144" s="229"/>
      <c r="J144" s="244" t="s">
        <v>259</v>
      </c>
      <c r="K144" s="245"/>
      <c r="L144" s="257"/>
      <c r="M144" s="597" t="s">
        <v>260</v>
      </c>
      <c r="N144" s="598"/>
      <c r="O144" s="299"/>
      <c r="P144" s="180"/>
      <c r="Q144" s="180">
        <v>800000</v>
      </c>
      <c r="R144" s="181">
        <f>Q144/Q$139*100</f>
        <v>0.528052805280528</v>
      </c>
      <c r="S144" s="181">
        <v>100</v>
      </c>
      <c r="T144" s="180">
        <f t="shared" ref="T144" si="45">AJ144</f>
        <v>0</v>
      </c>
      <c r="U144" s="180">
        <f t="shared" ref="U144" si="46">R144*T144/100</f>
        <v>0</v>
      </c>
      <c r="V144" s="182">
        <f t="shared" ref="V144" si="47">S144-T144</f>
        <v>100</v>
      </c>
      <c r="W144" s="180"/>
      <c r="X144" s="180" t="e">
        <f>#REF!</f>
        <v>#REF!</v>
      </c>
      <c r="Y144" s="180" t="e">
        <f>#REF!</f>
        <v>#REF!</v>
      </c>
      <c r="Z144" s="180" t="e">
        <f>#REF!</f>
        <v>#REF!</v>
      </c>
      <c r="AA144" s="180" t="e">
        <f>#REF!</f>
        <v>#REF!</v>
      </c>
      <c r="AB144" s="180">
        <v>91844002</v>
      </c>
      <c r="AC144" s="180" t="e">
        <f>#REF!</f>
        <v>#REF!</v>
      </c>
      <c r="AD144" s="180" t="e">
        <f>#REF!</f>
        <v>#REF!</v>
      </c>
      <c r="AE144" s="180" t="e">
        <f>#REF!</f>
        <v>#REF!</v>
      </c>
      <c r="AF144" s="180" t="e">
        <f>[1]April!N44</f>
        <v>#REF!</v>
      </c>
      <c r="AG144" s="180" t="e">
        <f>[2]april!N44</f>
        <v>#REF!</v>
      </c>
      <c r="AH144" s="180" t="e">
        <f>'[3]DES SKPD'!$N44</f>
        <v>#REF!</v>
      </c>
      <c r="AI144" s="180">
        <v>0</v>
      </c>
      <c r="AJ144" s="181">
        <f t="shared" ref="AJ144" si="48">AI144/Q144*100</f>
        <v>0</v>
      </c>
      <c r="AK144" s="246">
        <f t="shared" ref="AK144" si="49">Q144-AI144</f>
        <v>800000</v>
      </c>
      <c r="AL144" s="181">
        <f t="shared" ref="AL144" si="50">AK144/Q144*100</f>
        <v>100</v>
      </c>
      <c r="AM144" s="227"/>
    </row>
    <row r="145" spans="1:39" ht="28.5" customHeight="1" x14ac:dyDescent="0.25">
      <c r="A145" s="243"/>
      <c r="B145" s="244"/>
      <c r="C145" s="244"/>
      <c r="D145" s="244"/>
      <c r="E145" s="244"/>
      <c r="F145" s="244"/>
      <c r="G145" s="244"/>
      <c r="H145" s="244"/>
      <c r="I145" s="298"/>
      <c r="J145" s="244" t="s">
        <v>294</v>
      </c>
      <c r="K145" s="245"/>
      <c r="L145" s="257"/>
      <c r="M145" s="597" t="s">
        <v>295</v>
      </c>
      <c r="N145" s="598"/>
      <c r="O145" s="299"/>
      <c r="P145" s="180"/>
      <c r="Q145" s="180">
        <v>95400000</v>
      </c>
      <c r="R145" s="181">
        <f t="shared" ref="R145:R149" si="51">Q145/Q$143*100</f>
        <v>9.0101151292488737</v>
      </c>
      <c r="S145" s="181">
        <v>100</v>
      </c>
      <c r="T145" s="180">
        <f t="shared" si="41"/>
        <v>0</v>
      </c>
      <c r="U145" s="180">
        <f t="shared" si="44"/>
        <v>0</v>
      </c>
      <c r="V145" s="182">
        <f t="shared" si="39"/>
        <v>100</v>
      </c>
      <c r="W145" s="180"/>
      <c r="X145" s="180" t="e">
        <f>#REF!</f>
        <v>#REF!</v>
      </c>
      <c r="Y145" s="180" t="e">
        <f>#REF!</f>
        <v>#REF!</v>
      </c>
      <c r="Z145" s="180" t="e">
        <f>#REF!</f>
        <v>#REF!</v>
      </c>
      <c r="AA145" s="180" t="e">
        <f>#REF!</f>
        <v>#REF!</v>
      </c>
      <c r="AB145" s="180">
        <v>335806265</v>
      </c>
      <c r="AC145" s="180" t="e">
        <f>#REF!</f>
        <v>#REF!</v>
      </c>
      <c r="AD145" s="180" t="e">
        <f>#REF!</f>
        <v>#REF!</v>
      </c>
      <c r="AE145" s="180" t="e">
        <f>#REF!</f>
        <v>#REF!</v>
      </c>
      <c r="AF145" s="180" t="e">
        <f>[1]April!N41</f>
        <v>#REF!</v>
      </c>
      <c r="AG145" s="180" t="e">
        <f>[2]april!N41</f>
        <v>#REF!</v>
      </c>
      <c r="AH145" s="180">
        <f>'[3]DES SKPD'!$N41</f>
        <v>231767600</v>
      </c>
      <c r="AI145" s="180">
        <v>0</v>
      </c>
      <c r="AJ145" s="181">
        <f t="shared" si="42"/>
        <v>0</v>
      </c>
      <c r="AK145" s="246">
        <f t="shared" si="36"/>
        <v>95400000</v>
      </c>
      <c r="AL145" s="181">
        <f t="shared" si="43"/>
        <v>100</v>
      </c>
      <c r="AM145" s="243"/>
    </row>
    <row r="146" spans="1:39" ht="28.5" customHeight="1" x14ac:dyDescent="0.25">
      <c r="A146" s="243"/>
      <c r="B146" s="244"/>
      <c r="C146" s="244"/>
      <c r="D146" s="244"/>
      <c r="E146" s="244"/>
      <c r="F146" s="244"/>
      <c r="G146" s="244"/>
      <c r="H146" s="244"/>
      <c r="I146" s="298"/>
      <c r="J146" s="244" t="s">
        <v>296</v>
      </c>
      <c r="K146" s="245"/>
      <c r="L146" s="257"/>
      <c r="M146" s="597" t="s">
        <v>297</v>
      </c>
      <c r="N146" s="598"/>
      <c r="O146" s="299"/>
      <c r="P146" s="180"/>
      <c r="Q146" s="180">
        <v>348600000</v>
      </c>
      <c r="R146" s="181">
        <f t="shared" si="51"/>
        <v>32.923754025745886</v>
      </c>
      <c r="S146" s="181">
        <v>100</v>
      </c>
      <c r="T146" s="180">
        <f t="shared" si="41"/>
        <v>0</v>
      </c>
      <c r="U146" s="180">
        <f t="shared" si="44"/>
        <v>0</v>
      </c>
      <c r="V146" s="182">
        <f t="shared" si="39"/>
        <v>100</v>
      </c>
      <c r="W146" s="180"/>
      <c r="X146" s="180" t="e">
        <f>#REF!</f>
        <v>#REF!</v>
      </c>
      <c r="Y146" s="180" t="e">
        <f>#REF!</f>
        <v>#REF!</v>
      </c>
      <c r="Z146" s="180" t="e">
        <f>#REF!</f>
        <v>#REF!</v>
      </c>
      <c r="AA146" s="180" t="e">
        <f>#REF!</f>
        <v>#REF!</v>
      </c>
      <c r="AB146" s="180">
        <v>335806266</v>
      </c>
      <c r="AC146" s="180" t="e">
        <f>#REF!</f>
        <v>#REF!</v>
      </c>
      <c r="AD146" s="180" t="e">
        <f>#REF!</f>
        <v>#REF!</v>
      </c>
      <c r="AE146" s="180" t="e">
        <f>#REF!</f>
        <v>#REF!</v>
      </c>
      <c r="AF146" s="180" t="e">
        <f>[1]April!N42</f>
        <v>#REF!</v>
      </c>
      <c r="AG146" s="180" t="e">
        <f>[2]april!N42</f>
        <v>#REF!</v>
      </c>
      <c r="AH146" s="180" t="e">
        <f>'[3]DES SKPD'!$N42</f>
        <v>#REF!</v>
      </c>
      <c r="AI146" s="180">
        <v>0</v>
      </c>
      <c r="AJ146" s="181">
        <f t="shared" si="42"/>
        <v>0</v>
      </c>
      <c r="AK146" s="246">
        <f t="shared" si="36"/>
        <v>348600000</v>
      </c>
      <c r="AL146" s="181">
        <f t="shared" si="43"/>
        <v>100</v>
      </c>
      <c r="AM146" s="243"/>
    </row>
    <row r="147" spans="1:39" ht="28.5" customHeight="1" x14ac:dyDescent="0.25">
      <c r="A147" s="243"/>
      <c r="B147" s="244"/>
      <c r="C147" s="244"/>
      <c r="D147" s="244"/>
      <c r="E147" s="244"/>
      <c r="F147" s="244"/>
      <c r="G147" s="244"/>
      <c r="H147" s="244"/>
      <c r="I147" s="298"/>
      <c r="J147" s="244" t="s">
        <v>298</v>
      </c>
      <c r="K147" s="245"/>
      <c r="L147" s="257"/>
      <c r="M147" s="597" t="s">
        <v>299</v>
      </c>
      <c r="N147" s="598"/>
      <c r="O147" s="299"/>
      <c r="P147" s="180"/>
      <c r="Q147" s="180">
        <v>273500000</v>
      </c>
      <c r="R147" s="181">
        <f t="shared" si="51"/>
        <v>25.830885616871775</v>
      </c>
      <c r="S147" s="181">
        <v>100</v>
      </c>
      <c r="T147" s="180">
        <f t="shared" si="41"/>
        <v>0</v>
      </c>
      <c r="U147" s="180">
        <f t="shared" si="44"/>
        <v>0</v>
      </c>
      <c r="V147" s="182">
        <f t="shared" si="39"/>
        <v>100</v>
      </c>
      <c r="W147" s="180"/>
      <c r="X147" s="180" t="e">
        <f>#REF!</f>
        <v>#REF!</v>
      </c>
      <c r="Y147" s="180" t="e">
        <f>#REF!</f>
        <v>#REF!</v>
      </c>
      <c r="Z147" s="180" t="e">
        <f>#REF!</f>
        <v>#REF!</v>
      </c>
      <c r="AA147" s="180" t="e">
        <f>#REF!</f>
        <v>#REF!</v>
      </c>
      <c r="AB147" s="180">
        <v>335806267</v>
      </c>
      <c r="AC147" s="180" t="e">
        <f>#REF!</f>
        <v>#REF!</v>
      </c>
      <c r="AD147" s="180" t="e">
        <f>#REF!</f>
        <v>#REF!</v>
      </c>
      <c r="AE147" s="180" t="e">
        <f>#REF!</f>
        <v>#REF!</v>
      </c>
      <c r="AF147" s="180" t="e">
        <f>[1]April!N43</f>
        <v>#REF!</v>
      </c>
      <c r="AG147" s="180" t="e">
        <f>[2]april!N43</f>
        <v>#REF!</v>
      </c>
      <c r="AH147" s="180">
        <f>'[3]DES SKPD'!$N43</f>
        <v>38085000</v>
      </c>
      <c r="AI147" s="180">
        <v>0</v>
      </c>
      <c r="AJ147" s="181">
        <f t="shared" si="42"/>
        <v>0</v>
      </c>
      <c r="AK147" s="246">
        <f t="shared" si="36"/>
        <v>273500000</v>
      </c>
      <c r="AL147" s="181">
        <f t="shared" si="43"/>
        <v>100</v>
      </c>
      <c r="AM147" s="243"/>
    </row>
    <row r="148" spans="1:39" ht="28.5" customHeight="1" x14ac:dyDescent="0.25">
      <c r="A148" s="243"/>
      <c r="B148" s="244"/>
      <c r="C148" s="244"/>
      <c r="D148" s="244"/>
      <c r="E148" s="244"/>
      <c r="F148" s="244"/>
      <c r="G148" s="244"/>
      <c r="H148" s="244"/>
      <c r="I148" s="298"/>
      <c r="J148" s="244" t="s">
        <v>581</v>
      </c>
      <c r="K148" s="245"/>
      <c r="L148" s="257"/>
      <c r="M148" s="597" t="s">
        <v>580</v>
      </c>
      <c r="N148" s="598"/>
      <c r="O148" s="299"/>
      <c r="P148" s="180"/>
      <c r="Q148" s="180">
        <v>328510000</v>
      </c>
      <c r="R148" s="181">
        <f t="shared" si="51"/>
        <v>31.026340892133618</v>
      </c>
      <c r="S148" s="181">
        <v>100</v>
      </c>
      <c r="T148" s="180">
        <f t="shared" si="41"/>
        <v>0</v>
      </c>
      <c r="U148" s="180">
        <f t="shared" si="44"/>
        <v>0</v>
      </c>
      <c r="V148" s="182">
        <f t="shared" si="39"/>
        <v>100</v>
      </c>
      <c r="W148" s="180"/>
      <c r="X148" s="180" t="e">
        <f>#REF!</f>
        <v>#REF!</v>
      </c>
      <c r="Y148" s="180" t="e">
        <f>#REF!</f>
        <v>#REF!</v>
      </c>
      <c r="Z148" s="180" t="e">
        <f>#REF!</f>
        <v>#REF!</v>
      </c>
      <c r="AA148" s="180" t="e">
        <f>#REF!</f>
        <v>#REF!</v>
      </c>
      <c r="AB148" s="180">
        <v>335806268</v>
      </c>
      <c r="AC148" s="180" t="e">
        <f>#REF!</f>
        <v>#REF!</v>
      </c>
      <c r="AD148" s="180" t="e">
        <f>#REF!</f>
        <v>#REF!</v>
      </c>
      <c r="AE148" s="180" t="e">
        <f>#REF!</f>
        <v>#REF!</v>
      </c>
      <c r="AF148" s="180" t="e">
        <f>[1]April!N44</f>
        <v>#REF!</v>
      </c>
      <c r="AG148" s="180" t="e">
        <f>[2]april!N44</f>
        <v>#REF!</v>
      </c>
      <c r="AH148" s="180" t="e">
        <f>'[3]DES SKPD'!$N44</f>
        <v>#REF!</v>
      </c>
      <c r="AI148" s="180">
        <v>0</v>
      </c>
      <c r="AJ148" s="181">
        <f t="shared" si="42"/>
        <v>0</v>
      </c>
      <c r="AK148" s="246">
        <f t="shared" si="36"/>
        <v>328510000</v>
      </c>
      <c r="AL148" s="181">
        <f t="shared" si="43"/>
        <v>100</v>
      </c>
      <c r="AM148" s="243"/>
    </row>
    <row r="149" spans="1:39" ht="32.25" customHeight="1" x14ac:dyDescent="0.25">
      <c r="A149" s="243"/>
      <c r="B149" s="244"/>
      <c r="C149" s="244"/>
      <c r="D149" s="244"/>
      <c r="E149" s="244"/>
      <c r="F149" s="244"/>
      <c r="G149" s="244"/>
      <c r="H149" s="244"/>
      <c r="I149" s="298"/>
      <c r="J149" s="244" t="s">
        <v>551</v>
      </c>
      <c r="K149" s="245"/>
      <c r="L149" s="257"/>
      <c r="M149" s="597" t="s">
        <v>550</v>
      </c>
      <c r="N149" s="598"/>
      <c r="O149" s="299"/>
      <c r="P149" s="180"/>
      <c r="Q149" s="180">
        <v>12000000</v>
      </c>
      <c r="R149" s="181">
        <f t="shared" si="51"/>
        <v>1.1333478149998584</v>
      </c>
      <c r="S149" s="181"/>
      <c r="T149" s="180">
        <f t="shared" si="41"/>
        <v>0</v>
      </c>
      <c r="U149" s="180">
        <f t="shared" si="44"/>
        <v>0</v>
      </c>
      <c r="V149" s="182">
        <f t="shared" si="39"/>
        <v>0</v>
      </c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>
        <v>0</v>
      </c>
      <c r="AJ149" s="181">
        <f t="shared" si="42"/>
        <v>0</v>
      </c>
      <c r="AK149" s="246">
        <f t="shared" si="36"/>
        <v>12000000</v>
      </c>
      <c r="AL149" s="181">
        <f t="shared" si="43"/>
        <v>100</v>
      </c>
      <c r="AM149" s="243"/>
    </row>
    <row r="150" spans="1:39" s="297" customFormat="1" ht="33.75" customHeight="1" x14ac:dyDescent="0.25">
      <c r="A150" s="227">
        <f>A143+1</f>
        <v>21</v>
      </c>
      <c r="B150" s="615" t="s">
        <v>131</v>
      </c>
      <c r="C150" s="615"/>
      <c r="D150" s="615"/>
      <c r="E150" s="615"/>
      <c r="F150" s="615"/>
      <c r="G150" s="615"/>
      <c r="H150" s="615"/>
      <c r="I150" s="614"/>
      <c r="J150" s="304" t="s">
        <v>460</v>
      </c>
      <c r="K150" s="230"/>
      <c r="L150" s="294"/>
      <c r="M150" s="615" t="s">
        <v>28</v>
      </c>
      <c r="N150" s="614"/>
      <c r="O150" s="295">
        <v>140600000</v>
      </c>
      <c r="P150" s="231">
        <f>O150</f>
        <v>140600000</v>
      </c>
      <c r="Q150" s="231">
        <f>SUM(Q151:Q151)</f>
        <v>96500000</v>
      </c>
      <c r="R150" s="233">
        <f>Q150/Q$119*100</f>
        <v>2.7259532785732161</v>
      </c>
      <c r="S150" s="233">
        <v>100</v>
      </c>
      <c r="T150" s="231">
        <f t="shared" si="41"/>
        <v>0</v>
      </c>
      <c r="U150" s="231">
        <f t="shared" si="44"/>
        <v>0</v>
      </c>
      <c r="V150" s="296">
        <f>S150-T150</f>
        <v>100</v>
      </c>
      <c r="W150" s="231"/>
      <c r="X150" s="231" t="e">
        <f>#REF!</f>
        <v>#REF!</v>
      </c>
      <c r="Y150" s="231" t="e">
        <f>#REF!</f>
        <v>#REF!</v>
      </c>
      <c r="Z150" s="231" t="e">
        <f>#REF!</f>
        <v>#REF!</v>
      </c>
      <c r="AA150" s="231" t="e">
        <f>#REF!</f>
        <v>#REF!</v>
      </c>
      <c r="AB150" s="231">
        <v>54780000</v>
      </c>
      <c r="AC150" s="231" t="e">
        <f>#REF!</f>
        <v>#REF!</v>
      </c>
      <c r="AD150" s="231" t="e">
        <f>#REF!</f>
        <v>#REF!</v>
      </c>
      <c r="AE150" s="231" t="e">
        <f>#REF!</f>
        <v>#REF!</v>
      </c>
      <c r="AF150" s="231" t="e">
        <f>[1]April!N40</f>
        <v>#REF!</v>
      </c>
      <c r="AG150" s="231">
        <v>140440000</v>
      </c>
      <c r="AH150" s="231">
        <f>'[3]DES SKPD'!$N40</f>
        <v>140440000</v>
      </c>
      <c r="AI150" s="231">
        <f>SUM(AI151:AI151)</f>
        <v>0</v>
      </c>
      <c r="AJ150" s="233">
        <f t="shared" si="42"/>
        <v>0</v>
      </c>
      <c r="AK150" s="234">
        <f t="shared" si="36"/>
        <v>96500000</v>
      </c>
      <c r="AL150" s="233">
        <f t="shared" si="43"/>
        <v>100</v>
      </c>
      <c r="AM150" s="227"/>
    </row>
    <row r="151" spans="1:39" ht="29.25" customHeight="1" x14ac:dyDescent="0.25">
      <c r="A151" s="243"/>
      <c r="B151" s="244"/>
      <c r="C151" s="244"/>
      <c r="D151" s="244"/>
      <c r="E151" s="244"/>
      <c r="F151" s="244"/>
      <c r="G151" s="244"/>
      <c r="H151" s="244"/>
      <c r="I151" s="298"/>
      <c r="J151" s="244" t="s">
        <v>302</v>
      </c>
      <c r="K151" s="245"/>
      <c r="L151" s="257"/>
      <c r="M151" s="597" t="s">
        <v>303</v>
      </c>
      <c r="N151" s="598"/>
      <c r="O151" s="299"/>
      <c r="P151" s="180"/>
      <c r="Q151" s="180">
        <v>96500000</v>
      </c>
      <c r="R151" s="181">
        <f>Q151/Q$150*100</f>
        <v>100</v>
      </c>
      <c r="S151" s="181">
        <v>100</v>
      </c>
      <c r="T151" s="180">
        <f t="shared" si="41"/>
        <v>0</v>
      </c>
      <c r="U151" s="180">
        <f t="shared" si="44"/>
        <v>0</v>
      </c>
      <c r="V151" s="182">
        <f t="shared" ref="V151:V214" si="52">S151-T151</f>
        <v>100</v>
      </c>
      <c r="W151" s="180"/>
      <c r="X151" s="180" t="e">
        <f>#REF!</f>
        <v>#REF!</v>
      </c>
      <c r="Y151" s="180" t="e">
        <f>#REF!</f>
        <v>#REF!</v>
      </c>
      <c r="Z151" s="180" t="e">
        <f>#REF!</f>
        <v>#REF!</v>
      </c>
      <c r="AA151" s="180" t="e">
        <f>#REF!</f>
        <v>#REF!</v>
      </c>
      <c r="AB151" s="180">
        <v>54780002</v>
      </c>
      <c r="AC151" s="180" t="e">
        <f>#REF!</f>
        <v>#REF!</v>
      </c>
      <c r="AD151" s="180" t="e">
        <f>#REF!</f>
        <v>#REF!</v>
      </c>
      <c r="AE151" s="180" t="e">
        <f>#REF!</f>
        <v>#REF!</v>
      </c>
      <c r="AF151" s="180" t="e">
        <f>[1]April!N42</f>
        <v>#REF!</v>
      </c>
      <c r="AG151" s="231">
        <v>140440002</v>
      </c>
      <c r="AH151" s="180" t="e">
        <f>'[3]DES SKPD'!$N42</f>
        <v>#REF!</v>
      </c>
      <c r="AI151" s="180">
        <v>0</v>
      </c>
      <c r="AJ151" s="181">
        <f t="shared" si="42"/>
        <v>0</v>
      </c>
      <c r="AK151" s="246">
        <f t="shared" si="36"/>
        <v>96500000</v>
      </c>
      <c r="AL151" s="181">
        <f t="shared" si="43"/>
        <v>100</v>
      </c>
      <c r="AM151" s="243"/>
    </row>
    <row r="152" spans="1:39" s="297" customFormat="1" ht="33" customHeight="1" x14ac:dyDescent="0.25">
      <c r="A152" s="227">
        <f>SUM(A150+1)</f>
        <v>22</v>
      </c>
      <c r="B152" s="228"/>
      <c r="C152" s="228"/>
      <c r="D152" s="228"/>
      <c r="E152" s="228"/>
      <c r="F152" s="228"/>
      <c r="G152" s="228"/>
      <c r="H152" s="228"/>
      <c r="I152" s="229"/>
      <c r="J152" s="304" t="s">
        <v>461</v>
      </c>
      <c r="K152" s="230"/>
      <c r="L152" s="294"/>
      <c r="M152" s="615" t="s">
        <v>197</v>
      </c>
      <c r="N152" s="614"/>
      <c r="O152" s="295"/>
      <c r="P152" s="231"/>
      <c r="Q152" s="231">
        <f>SUM(Q153:Q153)</f>
        <v>230100000</v>
      </c>
      <c r="R152" s="233">
        <f>Q152/Q$119*100</f>
        <v>6.4999155378206952</v>
      </c>
      <c r="S152" s="233">
        <v>100</v>
      </c>
      <c r="T152" s="231">
        <f t="shared" si="41"/>
        <v>0</v>
      </c>
      <c r="U152" s="231">
        <f t="shared" si="44"/>
        <v>0</v>
      </c>
      <c r="V152" s="296">
        <f t="shared" si="52"/>
        <v>100</v>
      </c>
      <c r="W152" s="231"/>
      <c r="X152" s="231" t="e">
        <f>#REF!</f>
        <v>#REF!</v>
      </c>
      <c r="Y152" s="231" t="e">
        <f>#REF!</f>
        <v>#REF!</v>
      </c>
      <c r="Z152" s="231" t="e">
        <f>#REF!</f>
        <v>#REF!</v>
      </c>
      <c r="AA152" s="231" t="e">
        <f>#REF!</f>
        <v>#REF!</v>
      </c>
      <c r="AB152" s="231">
        <v>54780000</v>
      </c>
      <c r="AC152" s="231" t="e">
        <f>#REF!</f>
        <v>#REF!</v>
      </c>
      <c r="AD152" s="231" t="e">
        <f>#REF!</f>
        <v>#REF!</v>
      </c>
      <c r="AE152" s="231" t="e">
        <f>#REF!</f>
        <v>#REF!</v>
      </c>
      <c r="AF152" s="231" t="e">
        <f>[1]April!N41</f>
        <v>#REF!</v>
      </c>
      <c r="AG152" s="231">
        <v>140440000</v>
      </c>
      <c r="AH152" s="231">
        <f>'[3]DES SKPD'!$N41</f>
        <v>231767600</v>
      </c>
      <c r="AI152" s="231">
        <f>SUM(AI153:AI153)</f>
        <v>0</v>
      </c>
      <c r="AJ152" s="233">
        <f t="shared" si="42"/>
        <v>0</v>
      </c>
      <c r="AK152" s="234">
        <f t="shared" si="36"/>
        <v>230100000</v>
      </c>
      <c r="AL152" s="233">
        <f t="shared" si="43"/>
        <v>100</v>
      </c>
      <c r="AM152" s="227"/>
    </row>
    <row r="153" spans="1:39" ht="28.5" customHeight="1" x14ac:dyDescent="0.25">
      <c r="A153" s="243"/>
      <c r="B153" s="244"/>
      <c r="C153" s="244"/>
      <c r="D153" s="244"/>
      <c r="E153" s="244"/>
      <c r="F153" s="244"/>
      <c r="G153" s="244"/>
      <c r="H153" s="244"/>
      <c r="I153" s="298"/>
      <c r="J153" s="244" t="s">
        <v>304</v>
      </c>
      <c r="K153" s="245"/>
      <c r="L153" s="257"/>
      <c r="M153" s="597" t="s">
        <v>305</v>
      </c>
      <c r="N153" s="598"/>
      <c r="O153" s="299"/>
      <c r="P153" s="180"/>
      <c r="Q153" s="180">
        <v>230100000</v>
      </c>
      <c r="R153" s="181">
        <f>Q153/Q$152*100</f>
        <v>100</v>
      </c>
      <c r="S153" s="181">
        <v>100</v>
      </c>
      <c r="T153" s="180">
        <f t="shared" si="41"/>
        <v>0</v>
      </c>
      <c r="U153" s="180">
        <f t="shared" si="44"/>
        <v>0</v>
      </c>
      <c r="V153" s="182">
        <f t="shared" si="52"/>
        <v>100</v>
      </c>
      <c r="W153" s="180"/>
      <c r="X153" s="180" t="e">
        <f>#REF!</f>
        <v>#REF!</v>
      </c>
      <c r="Y153" s="180" t="e">
        <f>#REF!</f>
        <v>#REF!</v>
      </c>
      <c r="Z153" s="180" t="e">
        <f>#REF!</f>
        <v>#REF!</v>
      </c>
      <c r="AA153" s="180" t="e">
        <f>#REF!</f>
        <v>#REF!</v>
      </c>
      <c r="AB153" s="180">
        <v>54780002</v>
      </c>
      <c r="AC153" s="180" t="e">
        <f>#REF!</f>
        <v>#REF!</v>
      </c>
      <c r="AD153" s="180" t="e">
        <f>#REF!</f>
        <v>#REF!</v>
      </c>
      <c r="AE153" s="180" t="e">
        <f>#REF!</f>
        <v>#REF!</v>
      </c>
      <c r="AF153" s="180" t="e">
        <f>[1]April!N43</f>
        <v>#REF!</v>
      </c>
      <c r="AG153" s="231">
        <v>140440002</v>
      </c>
      <c r="AH153" s="180">
        <f>'[3]DES SKPD'!$N43</f>
        <v>38085000</v>
      </c>
      <c r="AI153" s="180">
        <v>0</v>
      </c>
      <c r="AJ153" s="181">
        <f t="shared" si="42"/>
        <v>0</v>
      </c>
      <c r="AK153" s="246">
        <f t="shared" si="36"/>
        <v>230100000</v>
      </c>
      <c r="AL153" s="181">
        <f t="shared" si="43"/>
        <v>100</v>
      </c>
      <c r="AM153" s="243"/>
    </row>
    <row r="154" spans="1:39" ht="28.5" customHeight="1" x14ac:dyDescent="0.25">
      <c r="A154" s="227">
        <f>SUM(A152+1)</f>
        <v>23</v>
      </c>
      <c r="B154" s="228"/>
      <c r="C154" s="228"/>
      <c r="D154" s="228"/>
      <c r="E154" s="228"/>
      <c r="F154" s="228"/>
      <c r="G154" s="228"/>
      <c r="H154" s="228"/>
      <c r="I154" s="229"/>
      <c r="J154" s="304" t="s">
        <v>582</v>
      </c>
      <c r="K154" s="230"/>
      <c r="L154" s="294"/>
      <c r="M154" s="615" t="s">
        <v>583</v>
      </c>
      <c r="N154" s="614"/>
      <c r="O154" s="295"/>
      <c r="P154" s="231"/>
      <c r="Q154" s="231">
        <f>SUM(Q155:Q155)</f>
        <v>99200000</v>
      </c>
      <c r="R154" s="233">
        <f>Q154/Q$119*100</f>
        <v>2.8022234739322598</v>
      </c>
      <c r="S154" s="233">
        <v>100</v>
      </c>
      <c r="T154" s="231">
        <f t="shared" si="41"/>
        <v>0</v>
      </c>
      <c r="U154" s="231">
        <f t="shared" si="44"/>
        <v>0</v>
      </c>
      <c r="V154" s="296">
        <f t="shared" si="52"/>
        <v>100</v>
      </c>
      <c r="W154" s="231"/>
      <c r="X154" s="231" t="e">
        <f>#REF!</f>
        <v>#REF!</v>
      </c>
      <c r="Y154" s="231" t="e">
        <f>#REF!</f>
        <v>#REF!</v>
      </c>
      <c r="Z154" s="231" t="e">
        <f>#REF!</f>
        <v>#REF!</v>
      </c>
      <c r="AA154" s="231" t="e">
        <f>#REF!</f>
        <v>#REF!</v>
      </c>
      <c r="AB154" s="231">
        <v>54780000</v>
      </c>
      <c r="AC154" s="231" t="e">
        <f>#REF!</f>
        <v>#REF!</v>
      </c>
      <c r="AD154" s="231" t="e">
        <f>#REF!</f>
        <v>#REF!</v>
      </c>
      <c r="AE154" s="231" t="e">
        <f>#REF!</f>
        <v>#REF!</v>
      </c>
      <c r="AF154" s="231" t="e">
        <f>[1]April!N43</f>
        <v>#REF!</v>
      </c>
      <c r="AG154" s="231">
        <v>140440000</v>
      </c>
      <c r="AH154" s="231">
        <f>'[3]DES SKPD'!$N43</f>
        <v>38085000</v>
      </c>
      <c r="AI154" s="231">
        <f>SUM(AI155)</f>
        <v>0</v>
      </c>
      <c r="AJ154" s="233">
        <f t="shared" si="42"/>
        <v>0</v>
      </c>
      <c r="AK154" s="234">
        <f t="shared" si="36"/>
        <v>99200000</v>
      </c>
      <c r="AL154" s="233">
        <f t="shared" si="43"/>
        <v>100</v>
      </c>
      <c r="AM154" s="243"/>
    </row>
    <row r="155" spans="1:39" ht="28.5" customHeight="1" x14ac:dyDescent="0.25">
      <c r="A155" s="243"/>
      <c r="B155" s="244"/>
      <c r="C155" s="244"/>
      <c r="D155" s="244"/>
      <c r="E155" s="244"/>
      <c r="F155" s="244"/>
      <c r="G155" s="244"/>
      <c r="H155" s="244"/>
      <c r="I155" s="298"/>
      <c r="J155" s="244" t="s">
        <v>292</v>
      </c>
      <c r="K155" s="245"/>
      <c r="L155" s="257"/>
      <c r="M155" s="597" t="s">
        <v>584</v>
      </c>
      <c r="N155" s="598"/>
      <c r="O155" s="299"/>
      <c r="P155" s="180"/>
      <c r="Q155" s="180">
        <v>99200000</v>
      </c>
      <c r="R155" s="181">
        <f>Q155/Q$152*100</f>
        <v>43.111690569317688</v>
      </c>
      <c r="S155" s="181">
        <v>100</v>
      </c>
      <c r="T155" s="180">
        <f t="shared" si="41"/>
        <v>0</v>
      </c>
      <c r="U155" s="180">
        <f t="shared" si="44"/>
        <v>0</v>
      </c>
      <c r="V155" s="182">
        <f t="shared" si="52"/>
        <v>100</v>
      </c>
      <c r="W155" s="180"/>
      <c r="X155" s="180" t="e">
        <f>#REF!</f>
        <v>#REF!</v>
      </c>
      <c r="Y155" s="180" t="e">
        <f>#REF!</f>
        <v>#REF!</v>
      </c>
      <c r="Z155" s="180" t="e">
        <f>#REF!</f>
        <v>#REF!</v>
      </c>
      <c r="AA155" s="180" t="e">
        <f>#REF!</f>
        <v>#REF!</v>
      </c>
      <c r="AB155" s="180">
        <v>54780002</v>
      </c>
      <c r="AC155" s="180" t="e">
        <f>#REF!</f>
        <v>#REF!</v>
      </c>
      <c r="AD155" s="180" t="e">
        <f>#REF!</f>
        <v>#REF!</v>
      </c>
      <c r="AE155" s="180" t="e">
        <f>#REF!</f>
        <v>#REF!</v>
      </c>
      <c r="AF155" s="180" t="e">
        <f>[1]April!N45</f>
        <v>#REF!</v>
      </c>
      <c r="AG155" s="231">
        <v>140440002</v>
      </c>
      <c r="AH155" s="180">
        <f>'[3]DES SKPD'!$N45</f>
        <v>320566100</v>
      </c>
      <c r="AI155" s="180">
        <v>0</v>
      </c>
      <c r="AJ155" s="181">
        <f t="shared" si="42"/>
        <v>0</v>
      </c>
      <c r="AK155" s="246">
        <f t="shared" si="36"/>
        <v>99200000</v>
      </c>
      <c r="AL155" s="181">
        <f t="shared" si="43"/>
        <v>100</v>
      </c>
      <c r="AM155" s="243"/>
    </row>
    <row r="156" spans="1:39" s="226" customFormat="1" ht="29.25" customHeight="1" x14ac:dyDescent="0.25">
      <c r="A156" s="289" t="s">
        <v>29</v>
      </c>
      <c r="B156" s="607" t="s">
        <v>132</v>
      </c>
      <c r="C156" s="607"/>
      <c r="D156" s="607"/>
      <c r="E156" s="607"/>
      <c r="F156" s="607"/>
      <c r="G156" s="607"/>
      <c r="H156" s="607"/>
      <c r="I156" s="608"/>
      <c r="J156" s="303" t="s">
        <v>454</v>
      </c>
      <c r="K156" s="291"/>
      <c r="L156" s="607" t="s">
        <v>383</v>
      </c>
      <c r="M156" s="607"/>
      <c r="N156" s="608"/>
      <c r="O156" s="263">
        <f>SUM(O160)</f>
        <v>39710000</v>
      </c>
      <c r="P156" s="263">
        <f>SUM(P160)</f>
        <v>39710000</v>
      </c>
      <c r="Q156" s="263">
        <f>SUM(Q157+Q160)</f>
        <v>103000000</v>
      </c>
      <c r="R156" s="222">
        <f>Q156/Q$33*100</f>
        <v>0.33281162062642544</v>
      </c>
      <c r="S156" s="222">
        <v>100</v>
      </c>
      <c r="T156" s="263">
        <f t="shared" si="41"/>
        <v>0</v>
      </c>
      <c r="U156" s="263">
        <f>SUM(R156*T156/100)</f>
        <v>0</v>
      </c>
      <c r="V156" s="292">
        <f t="shared" si="52"/>
        <v>100</v>
      </c>
      <c r="W156" s="263">
        <f>SUM(W160)</f>
        <v>0</v>
      </c>
      <c r="X156" s="263" t="e">
        <f>SUM(X160)</f>
        <v>#REF!</v>
      </c>
      <c r="Y156" s="263" t="e">
        <f t="shared" ref="Y156:AH156" si="53">SUM(Y160)</f>
        <v>#REF!</v>
      </c>
      <c r="Z156" s="263" t="e">
        <f t="shared" si="53"/>
        <v>#REF!</v>
      </c>
      <c r="AA156" s="263" t="e">
        <f t="shared" si="53"/>
        <v>#REF!</v>
      </c>
      <c r="AB156" s="263">
        <f t="shared" si="53"/>
        <v>38085000</v>
      </c>
      <c r="AC156" s="263" t="e">
        <f t="shared" si="53"/>
        <v>#REF!</v>
      </c>
      <c r="AD156" s="263" t="e">
        <f t="shared" si="53"/>
        <v>#REF!</v>
      </c>
      <c r="AE156" s="263" t="e">
        <f t="shared" si="53"/>
        <v>#REF!</v>
      </c>
      <c r="AF156" s="263" t="e">
        <f t="shared" si="53"/>
        <v>#REF!</v>
      </c>
      <c r="AG156" s="263" t="e">
        <f t="shared" si="53"/>
        <v>#REF!</v>
      </c>
      <c r="AH156" s="263">
        <f t="shared" si="53"/>
        <v>38085000</v>
      </c>
      <c r="AI156" s="263">
        <f>SUM(AI160+AI157)</f>
        <v>0</v>
      </c>
      <c r="AJ156" s="222">
        <f t="shared" si="42"/>
        <v>0</v>
      </c>
      <c r="AK156" s="265">
        <f>SUM(Q156-AI156)</f>
        <v>103000000</v>
      </c>
      <c r="AL156" s="222">
        <f t="shared" si="43"/>
        <v>100</v>
      </c>
      <c r="AM156" s="289"/>
    </row>
    <row r="157" spans="1:39" s="235" customFormat="1" ht="29.25" customHeight="1" x14ac:dyDescent="0.25">
      <c r="A157" s="227">
        <f>A154+1</f>
        <v>24</v>
      </c>
      <c r="B157" s="228"/>
      <c r="C157" s="228"/>
      <c r="D157" s="228"/>
      <c r="E157" s="228"/>
      <c r="F157" s="228"/>
      <c r="G157" s="228"/>
      <c r="H157" s="228"/>
      <c r="I157" s="229"/>
      <c r="J157" s="304" t="s">
        <v>462</v>
      </c>
      <c r="K157" s="230"/>
      <c r="L157" s="228"/>
      <c r="M157" s="615" t="s">
        <v>386</v>
      </c>
      <c r="N157" s="614"/>
      <c r="O157" s="231"/>
      <c r="P157" s="231"/>
      <c r="Q157" s="231">
        <f>SUM(Q158:Q159)</f>
        <v>71000000</v>
      </c>
      <c r="R157" s="233">
        <f>Q157/Q$33*100</f>
        <v>0.22941383557743888</v>
      </c>
      <c r="S157" s="233">
        <v>100</v>
      </c>
      <c r="T157" s="231">
        <f t="shared" si="41"/>
        <v>0</v>
      </c>
      <c r="U157" s="231">
        <f t="shared" ref="U157:U162" si="54">R157*T157/100</f>
        <v>0</v>
      </c>
      <c r="V157" s="296">
        <f t="shared" si="52"/>
        <v>100</v>
      </c>
      <c r="W157" s="231"/>
      <c r="X157" s="231" t="e">
        <f>#REF!</f>
        <v>#REF!</v>
      </c>
      <c r="Y157" s="231" t="e">
        <f>#REF!</f>
        <v>#REF!</v>
      </c>
      <c r="Z157" s="231" t="e">
        <f>#REF!</f>
        <v>#REF!</v>
      </c>
      <c r="AA157" s="231" t="e">
        <f>#REF!</f>
        <v>#REF!</v>
      </c>
      <c r="AB157" s="231">
        <v>38085000</v>
      </c>
      <c r="AC157" s="231" t="e">
        <f>#REF!</f>
        <v>#REF!</v>
      </c>
      <c r="AD157" s="231" t="e">
        <f>#REF!</f>
        <v>#REF!</v>
      </c>
      <c r="AE157" s="231" t="e">
        <f>#REF!</f>
        <v>#REF!</v>
      </c>
      <c r="AF157" s="231" t="e">
        <f>[1]April!$N$43</f>
        <v>#REF!</v>
      </c>
      <c r="AG157" s="231" t="e">
        <f>[2]april!$N$43</f>
        <v>#REF!</v>
      </c>
      <c r="AH157" s="231">
        <f>'[3]DES SKPD'!$N39</f>
        <v>676934270</v>
      </c>
      <c r="AI157" s="231">
        <f>SUM(AI158:AI159)</f>
        <v>0</v>
      </c>
      <c r="AJ157" s="233">
        <f t="shared" si="42"/>
        <v>0</v>
      </c>
      <c r="AK157" s="234">
        <f t="shared" ref="AK157:AK162" si="55">Q157-AI157</f>
        <v>71000000</v>
      </c>
      <c r="AL157" s="233">
        <f t="shared" si="43"/>
        <v>100</v>
      </c>
      <c r="AM157" s="227"/>
    </row>
    <row r="158" spans="1:39" s="235" customFormat="1" ht="29.25" customHeight="1" x14ac:dyDescent="0.25">
      <c r="A158" s="227"/>
      <c r="B158" s="228"/>
      <c r="C158" s="228"/>
      <c r="D158" s="228"/>
      <c r="E158" s="228"/>
      <c r="F158" s="228"/>
      <c r="G158" s="228"/>
      <c r="H158" s="228"/>
      <c r="I158" s="229"/>
      <c r="J158" s="244" t="s">
        <v>259</v>
      </c>
      <c r="K158" s="245"/>
      <c r="L158" s="257"/>
      <c r="M158" s="597" t="s">
        <v>260</v>
      </c>
      <c r="N158" s="598"/>
      <c r="O158" s="231"/>
      <c r="P158" s="231"/>
      <c r="Q158" s="180">
        <v>800000</v>
      </c>
      <c r="R158" s="181">
        <f>Q158/Q$157*100</f>
        <v>1.1267605633802817</v>
      </c>
      <c r="S158" s="181">
        <v>100</v>
      </c>
      <c r="T158" s="180">
        <f t="shared" si="41"/>
        <v>0</v>
      </c>
      <c r="U158" s="180">
        <f t="shared" si="54"/>
        <v>0</v>
      </c>
      <c r="V158" s="182">
        <f t="shared" si="52"/>
        <v>100</v>
      </c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>
        <v>0</v>
      </c>
      <c r="AJ158" s="181">
        <f t="shared" si="42"/>
        <v>0</v>
      </c>
      <c r="AK158" s="246">
        <f t="shared" si="55"/>
        <v>800000</v>
      </c>
      <c r="AL158" s="181">
        <f t="shared" si="43"/>
        <v>100</v>
      </c>
      <c r="AM158" s="243"/>
    </row>
    <row r="159" spans="1:39" s="235" customFormat="1" ht="29.25" customHeight="1" x14ac:dyDescent="0.25">
      <c r="A159" s="227"/>
      <c r="B159" s="228"/>
      <c r="C159" s="228"/>
      <c r="D159" s="228"/>
      <c r="E159" s="228"/>
      <c r="F159" s="228"/>
      <c r="G159" s="228"/>
      <c r="H159" s="228"/>
      <c r="I159" s="229"/>
      <c r="J159" s="244" t="s">
        <v>387</v>
      </c>
      <c r="K159" s="230"/>
      <c r="L159" s="228"/>
      <c r="M159" s="597" t="s">
        <v>388</v>
      </c>
      <c r="N159" s="598"/>
      <c r="O159" s="231"/>
      <c r="P159" s="231"/>
      <c r="Q159" s="180">
        <v>70200000</v>
      </c>
      <c r="R159" s="181">
        <f>Q159/Q$157*100</f>
        <v>98.873239436619713</v>
      </c>
      <c r="S159" s="181">
        <v>100</v>
      </c>
      <c r="T159" s="180">
        <f t="shared" si="41"/>
        <v>0</v>
      </c>
      <c r="U159" s="180">
        <f t="shared" si="54"/>
        <v>0</v>
      </c>
      <c r="V159" s="182">
        <f t="shared" si="52"/>
        <v>100</v>
      </c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>
        <v>0</v>
      </c>
      <c r="AJ159" s="181">
        <f t="shared" si="42"/>
        <v>0</v>
      </c>
      <c r="AK159" s="246">
        <f t="shared" si="55"/>
        <v>70200000</v>
      </c>
      <c r="AL159" s="181">
        <f t="shared" si="43"/>
        <v>100</v>
      </c>
      <c r="AM159" s="243"/>
    </row>
    <row r="160" spans="1:39" s="297" customFormat="1" ht="28.5" customHeight="1" x14ac:dyDescent="0.25">
      <c r="A160" s="227">
        <f>A157+1</f>
        <v>25</v>
      </c>
      <c r="B160" s="615" t="s">
        <v>133</v>
      </c>
      <c r="C160" s="615"/>
      <c r="D160" s="615"/>
      <c r="E160" s="615"/>
      <c r="F160" s="615"/>
      <c r="G160" s="615"/>
      <c r="H160" s="615"/>
      <c r="I160" s="614"/>
      <c r="J160" s="304" t="s">
        <v>463</v>
      </c>
      <c r="K160" s="230"/>
      <c r="L160" s="294"/>
      <c r="M160" s="615" t="s">
        <v>134</v>
      </c>
      <c r="N160" s="614"/>
      <c r="O160" s="231">
        <v>39710000</v>
      </c>
      <c r="P160" s="231">
        <f>O160</f>
        <v>39710000</v>
      </c>
      <c r="Q160" s="231">
        <f>SUM(Q161:Q162)</f>
        <v>32000000</v>
      </c>
      <c r="R160" s="233">
        <f>Q160/Q$33*100</f>
        <v>0.10339778504898653</v>
      </c>
      <c r="S160" s="233">
        <v>100</v>
      </c>
      <c r="T160" s="231">
        <f t="shared" si="41"/>
        <v>0</v>
      </c>
      <c r="U160" s="231">
        <f t="shared" si="54"/>
        <v>0</v>
      </c>
      <c r="V160" s="296">
        <f t="shared" si="52"/>
        <v>100</v>
      </c>
      <c r="W160" s="231"/>
      <c r="X160" s="231" t="e">
        <f>#REF!</f>
        <v>#REF!</v>
      </c>
      <c r="Y160" s="231" t="e">
        <f>#REF!</f>
        <v>#REF!</v>
      </c>
      <c r="Z160" s="231" t="e">
        <f>#REF!</f>
        <v>#REF!</v>
      </c>
      <c r="AA160" s="231" t="e">
        <f>#REF!</f>
        <v>#REF!</v>
      </c>
      <c r="AB160" s="231">
        <v>38085000</v>
      </c>
      <c r="AC160" s="231" t="e">
        <f>#REF!</f>
        <v>#REF!</v>
      </c>
      <c r="AD160" s="231" t="e">
        <f>#REF!</f>
        <v>#REF!</v>
      </c>
      <c r="AE160" s="231" t="e">
        <f>#REF!</f>
        <v>#REF!</v>
      </c>
      <c r="AF160" s="231" t="e">
        <f>[1]April!$N$43</f>
        <v>#REF!</v>
      </c>
      <c r="AG160" s="231" t="e">
        <f>[2]april!$N$43</f>
        <v>#REF!</v>
      </c>
      <c r="AH160" s="231">
        <f>'[3]DES SKPD'!$N43</f>
        <v>38085000</v>
      </c>
      <c r="AI160" s="231">
        <f>SUM(AI161:AI162)</f>
        <v>0</v>
      </c>
      <c r="AJ160" s="233">
        <f t="shared" si="42"/>
        <v>0</v>
      </c>
      <c r="AK160" s="234">
        <f t="shared" si="55"/>
        <v>32000000</v>
      </c>
      <c r="AL160" s="233">
        <f t="shared" si="43"/>
        <v>100</v>
      </c>
      <c r="AM160" s="227"/>
    </row>
    <row r="161" spans="1:39" ht="24.75" customHeight="1" x14ac:dyDescent="0.25">
      <c r="A161" s="243"/>
      <c r="B161" s="244"/>
      <c r="C161" s="244"/>
      <c r="D161" s="244"/>
      <c r="E161" s="244"/>
      <c r="F161" s="244"/>
      <c r="G161" s="244"/>
      <c r="H161" s="244"/>
      <c r="I161" s="298"/>
      <c r="J161" s="244" t="s">
        <v>259</v>
      </c>
      <c r="K161" s="245"/>
      <c r="L161" s="257"/>
      <c r="M161" s="597" t="s">
        <v>260</v>
      </c>
      <c r="N161" s="598"/>
      <c r="O161" s="180"/>
      <c r="P161" s="180"/>
      <c r="Q161" s="180">
        <v>800000</v>
      </c>
      <c r="R161" s="181">
        <f>Q161/Q$160*100</f>
        <v>2.5</v>
      </c>
      <c r="S161" s="181">
        <v>100</v>
      </c>
      <c r="T161" s="180">
        <f t="shared" si="41"/>
        <v>0</v>
      </c>
      <c r="U161" s="180">
        <f t="shared" si="54"/>
        <v>0</v>
      </c>
      <c r="V161" s="182">
        <f t="shared" si="52"/>
        <v>100</v>
      </c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>
        <v>0</v>
      </c>
      <c r="AJ161" s="181">
        <f t="shared" si="42"/>
        <v>0</v>
      </c>
      <c r="AK161" s="246">
        <f t="shared" si="55"/>
        <v>800000</v>
      </c>
      <c r="AL161" s="181">
        <f t="shared" si="43"/>
        <v>100</v>
      </c>
      <c r="AM161" s="243"/>
    </row>
    <row r="162" spans="1:39" ht="24.75" customHeight="1" x14ac:dyDescent="0.25">
      <c r="A162" s="243"/>
      <c r="B162" s="244"/>
      <c r="C162" s="244"/>
      <c r="D162" s="244"/>
      <c r="E162" s="244"/>
      <c r="F162" s="244"/>
      <c r="G162" s="244"/>
      <c r="H162" s="244"/>
      <c r="I162" s="298"/>
      <c r="J162" s="244" t="s">
        <v>311</v>
      </c>
      <c r="K162" s="245"/>
      <c r="L162" s="257"/>
      <c r="M162" s="597" t="s">
        <v>312</v>
      </c>
      <c r="N162" s="598"/>
      <c r="O162" s="180"/>
      <c r="P162" s="180"/>
      <c r="Q162" s="180">
        <v>31200000</v>
      </c>
      <c r="R162" s="181">
        <f>Q162/Q$160*100</f>
        <v>97.5</v>
      </c>
      <c r="S162" s="181">
        <v>100</v>
      </c>
      <c r="T162" s="180">
        <f t="shared" si="41"/>
        <v>0</v>
      </c>
      <c r="U162" s="180">
        <f t="shared" si="54"/>
        <v>0</v>
      </c>
      <c r="V162" s="182">
        <f t="shared" si="52"/>
        <v>100</v>
      </c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>
        <v>0</v>
      </c>
      <c r="AJ162" s="181">
        <f t="shared" si="42"/>
        <v>0</v>
      </c>
      <c r="AK162" s="246">
        <f t="shared" si="55"/>
        <v>31200000</v>
      </c>
      <c r="AL162" s="181">
        <f t="shared" si="43"/>
        <v>100</v>
      </c>
      <c r="AM162" s="243"/>
    </row>
    <row r="163" spans="1:39" s="226" customFormat="1" ht="28.5" customHeight="1" x14ac:dyDescent="0.25">
      <c r="A163" s="289" t="s">
        <v>30</v>
      </c>
      <c r="B163" s="607" t="s">
        <v>135</v>
      </c>
      <c r="C163" s="607"/>
      <c r="D163" s="607"/>
      <c r="E163" s="607"/>
      <c r="F163" s="607"/>
      <c r="G163" s="607"/>
      <c r="H163" s="607"/>
      <c r="I163" s="608"/>
      <c r="J163" s="303" t="s">
        <v>464</v>
      </c>
      <c r="K163" s="291"/>
      <c r="L163" s="607" t="s">
        <v>31</v>
      </c>
      <c r="M163" s="607"/>
      <c r="N163" s="608"/>
      <c r="O163" s="263">
        <f>SUM(O164:O166)</f>
        <v>789320000</v>
      </c>
      <c r="P163" s="263">
        <f>SUM(P164:P166)</f>
        <v>789320000</v>
      </c>
      <c r="Q163" s="263">
        <f>SUM(Q164+Q166)</f>
        <v>102870000</v>
      </c>
      <c r="R163" s="222">
        <f>Q163/Q$53*100</f>
        <v>0.53187119596648014</v>
      </c>
      <c r="S163" s="305">
        <v>100</v>
      </c>
      <c r="T163" s="306">
        <f t="shared" si="41"/>
        <v>0</v>
      </c>
      <c r="U163" s="263">
        <f>SUM(R163*T163/100)</f>
        <v>0</v>
      </c>
      <c r="V163" s="307">
        <f t="shared" si="52"/>
        <v>100</v>
      </c>
      <c r="W163" s="263">
        <f t="shared" ref="W163:AH163" si="56">SUM(W164:W166)</f>
        <v>0</v>
      </c>
      <c r="X163" s="263" t="e">
        <f t="shared" si="56"/>
        <v>#REF!</v>
      </c>
      <c r="Y163" s="263" t="e">
        <f t="shared" si="56"/>
        <v>#REF!</v>
      </c>
      <c r="Z163" s="263" t="e">
        <f t="shared" si="56"/>
        <v>#REF!</v>
      </c>
      <c r="AA163" s="263" t="e">
        <f t="shared" si="56"/>
        <v>#REF!</v>
      </c>
      <c r="AB163" s="263">
        <f t="shared" si="56"/>
        <v>189087374</v>
      </c>
      <c r="AC163" s="263" t="e">
        <f t="shared" si="56"/>
        <v>#REF!</v>
      </c>
      <c r="AD163" s="263" t="e">
        <f t="shared" si="56"/>
        <v>#REF!</v>
      </c>
      <c r="AE163" s="263" t="e">
        <f t="shared" si="56"/>
        <v>#REF!</v>
      </c>
      <c r="AF163" s="263" t="e">
        <f t="shared" si="56"/>
        <v>#REF!</v>
      </c>
      <c r="AG163" s="263" t="e">
        <f t="shared" si="56"/>
        <v>#REF!</v>
      </c>
      <c r="AH163" s="263">
        <f t="shared" si="56"/>
        <v>663965174</v>
      </c>
      <c r="AI163" s="263">
        <f>SUM(AI164+AI166)</f>
        <v>0</v>
      </c>
      <c r="AJ163" s="222">
        <f t="shared" si="42"/>
        <v>0</v>
      </c>
      <c r="AK163" s="265">
        <f>SUM(Q163-AI163)</f>
        <v>102870000</v>
      </c>
      <c r="AL163" s="222">
        <f t="shared" si="43"/>
        <v>100</v>
      </c>
      <c r="AM163" s="289"/>
    </row>
    <row r="164" spans="1:39" s="297" customFormat="1" ht="29.25" customHeight="1" x14ac:dyDescent="0.25">
      <c r="A164" s="227">
        <f>A160+1</f>
        <v>26</v>
      </c>
      <c r="B164" s="615" t="s">
        <v>136</v>
      </c>
      <c r="C164" s="615"/>
      <c r="D164" s="615"/>
      <c r="E164" s="615"/>
      <c r="F164" s="615"/>
      <c r="G164" s="615"/>
      <c r="H164" s="615"/>
      <c r="I164" s="614"/>
      <c r="J164" s="304" t="s">
        <v>465</v>
      </c>
      <c r="K164" s="230"/>
      <c r="L164" s="294"/>
      <c r="M164" s="615" t="s">
        <v>32</v>
      </c>
      <c r="N164" s="614"/>
      <c r="O164" s="295">
        <v>350000000</v>
      </c>
      <c r="P164" s="231">
        <f>O164</f>
        <v>350000000</v>
      </c>
      <c r="Q164" s="231">
        <f>SUM(Q165:Q165)</f>
        <v>37300000</v>
      </c>
      <c r="R164" s="233">
        <f>Q164/Q$163*100</f>
        <v>36.259356469330221</v>
      </c>
      <c r="S164" s="233">
        <v>100</v>
      </c>
      <c r="T164" s="231">
        <f t="shared" si="41"/>
        <v>0</v>
      </c>
      <c r="U164" s="231">
        <f>R164*T164/100</f>
        <v>0</v>
      </c>
      <c r="V164" s="296">
        <f t="shared" si="52"/>
        <v>100</v>
      </c>
      <c r="W164" s="231"/>
      <c r="X164" s="231" t="e">
        <f>#REF!</f>
        <v>#REF!</v>
      </c>
      <c r="Y164" s="231" t="e">
        <f>#REF!</f>
        <v>#REF!</v>
      </c>
      <c r="Z164" s="231" t="e">
        <f>#REF!</f>
        <v>#REF!</v>
      </c>
      <c r="AA164" s="231" t="e">
        <f>#REF!</f>
        <v>#REF!</v>
      </c>
      <c r="AB164" s="231">
        <v>112882300</v>
      </c>
      <c r="AC164" s="231" t="e">
        <f>#REF!</f>
        <v>#REF!</v>
      </c>
      <c r="AD164" s="231" t="e">
        <f>#REF!</f>
        <v>#REF!</v>
      </c>
      <c r="AE164" s="231" t="e">
        <f>#REF!</f>
        <v>#REF!</v>
      </c>
      <c r="AF164" s="231" t="e">
        <f>[1]April!N45</f>
        <v>#REF!</v>
      </c>
      <c r="AG164" s="231" t="e">
        <f>[2]april!N45</f>
        <v>#REF!</v>
      </c>
      <c r="AH164" s="231">
        <f>'[3]DES SKPD'!$N45</f>
        <v>320566100</v>
      </c>
      <c r="AI164" s="231">
        <f>SUM(AI165:AI165)</f>
        <v>0</v>
      </c>
      <c r="AJ164" s="233">
        <f t="shared" si="42"/>
        <v>0</v>
      </c>
      <c r="AK164" s="234">
        <f t="shared" ref="AK164:AK174" si="57">Q164-AI164</f>
        <v>37300000</v>
      </c>
      <c r="AL164" s="233">
        <f t="shared" si="43"/>
        <v>100</v>
      </c>
      <c r="AM164" s="227"/>
    </row>
    <row r="165" spans="1:39" ht="29.25" customHeight="1" x14ac:dyDescent="0.25">
      <c r="A165" s="243"/>
      <c r="B165" s="244"/>
      <c r="C165" s="244"/>
      <c r="D165" s="244"/>
      <c r="E165" s="244"/>
      <c r="F165" s="244"/>
      <c r="G165" s="244"/>
      <c r="H165" s="244"/>
      <c r="I165" s="298"/>
      <c r="J165" s="244" t="s">
        <v>313</v>
      </c>
      <c r="K165" s="245"/>
      <c r="L165" s="257"/>
      <c r="M165" s="597" t="s">
        <v>314</v>
      </c>
      <c r="N165" s="598"/>
      <c r="O165" s="299"/>
      <c r="P165" s="180"/>
      <c r="Q165" s="180">
        <v>37300000</v>
      </c>
      <c r="R165" s="181">
        <f>Q165/Q$164*100</f>
        <v>100</v>
      </c>
      <c r="S165" s="181">
        <v>100</v>
      </c>
      <c r="T165" s="180">
        <f t="shared" si="41"/>
        <v>0</v>
      </c>
      <c r="U165" s="180">
        <f>R165*T165/100</f>
        <v>0</v>
      </c>
      <c r="V165" s="182">
        <f t="shared" si="52"/>
        <v>100</v>
      </c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>
        <v>0</v>
      </c>
      <c r="AJ165" s="181">
        <f t="shared" si="42"/>
        <v>0</v>
      </c>
      <c r="AK165" s="246">
        <f t="shared" si="57"/>
        <v>37300000</v>
      </c>
      <c r="AL165" s="181">
        <f t="shared" si="43"/>
        <v>100</v>
      </c>
      <c r="AM165" s="243"/>
    </row>
    <row r="166" spans="1:39" s="297" customFormat="1" ht="33.75" customHeight="1" x14ac:dyDescent="0.25">
      <c r="A166" s="227">
        <f>A164+1</f>
        <v>27</v>
      </c>
      <c r="B166" s="615" t="s">
        <v>137</v>
      </c>
      <c r="C166" s="615"/>
      <c r="D166" s="615"/>
      <c r="E166" s="615"/>
      <c r="F166" s="615"/>
      <c r="G166" s="615"/>
      <c r="H166" s="615"/>
      <c r="I166" s="614"/>
      <c r="J166" s="304" t="s">
        <v>466</v>
      </c>
      <c r="K166" s="230"/>
      <c r="L166" s="294"/>
      <c r="M166" s="615" t="s">
        <v>33</v>
      </c>
      <c r="N166" s="614"/>
      <c r="O166" s="295">
        <v>439320000</v>
      </c>
      <c r="P166" s="231">
        <f>O166</f>
        <v>439320000</v>
      </c>
      <c r="Q166" s="231">
        <f>SUM(Q167:Q174)</f>
        <v>65570000</v>
      </c>
      <c r="R166" s="233">
        <f>Q166/Q$163*100</f>
        <v>63.740643530669786</v>
      </c>
      <c r="S166" s="233">
        <v>100</v>
      </c>
      <c r="T166" s="231">
        <f t="shared" si="41"/>
        <v>0</v>
      </c>
      <c r="U166" s="231">
        <f>R166*T166/100</f>
        <v>0</v>
      </c>
      <c r="V166" s="296">
        <f t="shared" si="52"/>
        <v>100</v>
      </c>
      <c r="W166" s="231"/>
      <c r="X166" s="231" t="e">
        <f>#REF!</f>
        <v>#REF!</v>
      </c>
      <c r="Y166" s="231" t="e">
        <f>#REF!</f>
        <v>#REF!</v>
      </c>
      <c r="Z166" s="231" t="e">
        <f>#REF!</f>
        <v>#REF!</v>
      </c>
      <c r="AA166" s="231" t="e">
        <f>#REF!</f>
        <v>#REF!</v>
      </c>
      <c r="AB166" s="231">
        <v>76205074</v>
      </c>
      <c r="AC166" s="231" t="e">
        <f>#REF!</f>
        <v>#REF!</v>
      </c>
      <c r="AD166" s="231" t="e">
        <f>#REF!</f>
        <v>#REF!</v>
      </c>
      <c r="AE166" s="231" t="e">
        <f>#REF!</f>
        <v>#REF!</v>
      </c>
      <c r="AF166" s="231" t="e">
        <f>[1]April!N46</f>
        <v>#REF!</v>
      </c>
      <c r="AG166" s="231" t="e">
        <f>[2]april!N46</f>
        <v>#REF!</v>
      </c>
      <c r="AH166" s="231">
        <f>'[3]DES SKPD'!$N46</f>
        <v>343399074</v>
      </c>
      <c r="AI166" s="231">
        <f>SUM(AI167:AI174)</f>
        <v>0</v>
      </c>
      <c r="AJ166" s="233">
        <f t="shared" si="42"/>
        <v>0</v>
      </c>
      <c r="AK166" s="234">
        <f t="shared" si="57"/>
        <v>65570000</v>
      </c>
      <c r="AL166" s="233">
        <f t="shared" si="43"/>
        <v>100</v>
      </c>
      <c r="AM166" s="227"/>
    </row>
    <row r="167" spans="1:39" ht="28.5" customHeight="1" x14ac:dyDescent="0.25">
      <c r="A167" s="243"/>
      <c r="B167" s="244"/>
      <c r="C167" s="244"/>
      <c r="D167" s="244"/>
      <c r="E167" s="244"/>
      <c r="F167" s="244"/>
      <c r="G167" s="244"/>
      <c r="H167" s="244"/>
      <c r="I167" s="298"/>
      <c r="J167" s="244" t="s">
        <v>259</v>
      </c>
      <c r="K167" s="245"/>
      <c r="L167" s="257"/>
      <c r="M167" s="597" t="s">
        <v>260</v>
      </c>
      <c r="N167" s="598"/>
      <c r="O167" s="299"/>
      <c r="P167" s="180"/>
      <c r="Q167" s="180">
        <v>770000</v>
      </c>
      <c r="R167" s="181">
        <f t="shared" ref="R167:R174" si="58">Q167/Q$166*100</f>
        <v>1.1743175232575873</v>
      </c>
      <c r="S167" s="181">
        <v>100</v>
      </c>
      <c r="T167" s="180">
        <f t="shared" si="41"/>
        <v>0</v>
      </c>
      <c r="U167" s="180">
        <f t="shared" ref="U167:U175" si="59">R167*T167/100</f>
        <v>0</v>
      </c>
      <c r="V167" s="182">
        <f t="shared" si="52"/>
        <v>100</v>
      </c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>
        <v>0</v>
      </c>
      <c r="AJ167" s="181">
        <f t="shared" si="42"/>
        <v>0</v>
      </c>
      <c r="AK167" s="246">
        <f t="shared" si="57"/>
        <v>770000</v>
      </c>
      <c r="AL167" s="181">
        <f t="shared" si="43"/>
        <v>100</v>
      </c>
      <c r="AM167" s="243"/>
    </row>
    <row r="168" spans="1:39" ht="32.25" customHeight="1" x14ac:dyDescent="0.25">
      <c r="A168" s="243"/>
      <c r="B168" s="244"/>
      <c r="C168" s="244"/>
      <c r="D168" s="244"/>
      <c r="E168" s="244"/>
      <c r="F168" s="244"/>
      <c r="G168" s="244"/>
      <c r="H168" s="244"/>
      <c r="I168" s="298"/>
      <c r="J168" s="244" t="s">
        <v>315</v>
      </c>
      <c r="K168" s="245"/>
      <c r="L168" s="257"/>
      <c r="M168" s="597" t="s">
        <v>428</v>
      </c>
      <c r="N168" s="598"/>
      <c r="O168" s="299"/>
      <c r="P168" s="180"/>
      <c r="Q168" s="180">
        <v>1500000</v>
      </c>
      <c r="R168" s="181">
        <f t="shared" si="58"/>
        <v>2.2876315388134816</v>
      </c>
      <c r="S168" s="181">
        <v>100</v>
      </c>
      <c r="T168" s="180">
        <f t="shared" si="41"/>
        <v>0</v>
      </c>
      <c r="U168" s="180">
        <f t="shared" si="59"/>
        <v>0</v>
      </c>
      <c r="V168" s="182">
        <f t="shared" si="52"/>
        <v>100</v>
      </c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>
        <v>0</v>
      </c>
      <c r="AJ168" s="181">
        <f t="shared" si="42"/>
        <v>0</v>
      </c>
      <c r="AK168" s="246">
        <f t="shared" si="57"/>
        <v>1500000</v>
      </c>
      <c r="AL168" s="181">
        <f t="shared" si="43"/>
        <v>100</v>
      </c>
      <c r="AM168" s="243"/>
    </row>
    <row r="169" spans="1:39" ht="32.25" customHeight="1" x14ac:dyDescent="0.25">
      <c r="A169" s="243"/>
      <c r="B169" s="244"/>
      <c r="C169" s="244"/>
      <c r="D169" s="244"/>
      <c r="E169" s="244"/>
      <c r="F169" s="244"/>
      <c r="G169" s="244"/>
      <c r="H169" s="244"/>
      <c r="I169" s="298"/>
      <c r="J169" s="244" t="s">
        <v>316</v>
      </c>
      <c r="K169" s="245"/>
      <c r="L169" s="257"/>
      <c r="M169" s="597" t="s">
        <v>317</v>
      </c>
      <c r="N169" s="598"/>
      <c r="O169" s="299"/>
      <c r="P169" s="180"/>
      <c r="Q169" s="180">
        <v>300000</v>
      </c>
      <c r="R169" s="181">
        <f t="shared" si="58"/>
        <v>0.45752630776269632</v>
      </c>
      <c r="S169" s="181">
        <v>100</v>
      </c>
      <c r="T169" s="180">
        <f t="shared" si="41"/>
        <v>0</v>
      </c>
      <c r="U169" s="180">
        <f t="shared" si="59"/>
        <v>0</v>
      </c>
      <c r="V169" s="182">
        <f t="shared" si="52"/>
        <v>100</v>
      </c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>
        <v>0</v>
      </c>
      <c r="AJ169" s="181">
        <f t="shared" si="42"/>
        <v>0</v>
      </c>
      <c r="AK169" s="246">
        <f t="shared" si="57"/>
        <v>300000</v>
      </c>
      <c r="AL169" s="181">
        <f t="shared" si="43"/>
        <v>100</v>
      </c>
      <c r="AM169" s="243"/>
    </row>
    <row r="170" spans="1:39" ht="30.75" customHeight="1" x14ac:dyDescent="0.25">
      <c r="A170" s="243"/>
      <c r="B170" s="244"/>
      <c r="C170" s="244"/>
      <c r="D170" s="244"/>
      <c r="E170" s="244"/>
      <c r="F170" s="244"/>
      <c r="G170" s="244"/>
      <c r="H170" s="244"/>
      <c r="I170" s="298"/>
      <c r="J170" s="244" t="s">
        <v>318</v>
      </c>
      <c r="K170" s="245"/>
      <c r="L170" s="257"/>
      <c r="M170" s="597" t="s">
        <v>319</v>
      </c>
      <c r="N170" s="598"/>
      <c r="O170" s="299"/>
      <c r="P170" s="180"/>
      <c r="Q170" s="180">
        <v>26250000</v>
      </c>
      <c r="R170" s="181">
        <f t="shared" si="58"/>
        <v>40.033551929235934</v>
      </c>
      <c r="S170" s="181">
        <v>100</v>
      </c>
      <c r="T170" s="180">
        <f t="shared" si="41"/>
        <v>0</v>
      </c>
      <c r="U170" s="180">
        <f t="shared" si="59"/>
        <v>0</v>
      </c>
      <c r="V170" s="182">
        <f t="shared" si="52"/>
        <v>100</v>
      </c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>
        <v>0</v>
      </c>
      <c r="AJ170" s="181">
        <f t="shared" si="42"/>
        <v>0</v>
      </c>
      <c r="AK170" s="246">
        <f t="shared" si="57"/>
        <v>26250000</v>
      </c>
      <c r="AL170" s="181">
        <f t="shared" si="43"/>
        <v>100</v>
      </c>
      <c r="AM170" s="243"/>
    </row>
    <row r="171" spans="1:39" ht="24.75" customHeight="1" x14ac:dyDescent="0.25">
      <c r="A171" s="243"/>
      <c r="B171" s="244"/>
      <c r="C171" s="244"/>
      <c r="D171" s="244"/>
      <c r="E171" s="244"/>
      <c r="F171" s="244"/>
      <c r="G171" s="244"/>
      <c r="H171" s="244"/>
      <c r="I171" s="298"/>
      <c r="J171" s="244" t="s">
        <v>284</v>
      </c>
      <c r="K171" s="245"/>
      <c r="L171" s="257"/>
      <c r="M171" s="597" t="s">
        <v>585</v>
      </c>
      <c r="N171" s="598"/>
      <c r="O171" s="299"/>
      <c r="P171" s="180"/>
      <c r="Q171" s="180">
        <v>12900000</v>
      </c>
      <c r="R171" s="181">
        <f t="shared" si="58"/>
        <v>19.673631233795945</v>
      </c>
      <c r="S171" s="181">
        <v>100</v>
      </c>
      <c r="T171" s="180">
        <f t="shared" si="41"/>
        <v>0</v>
      </c>
      <c r="U171" s="180">
        <f t="shared" si="59"/>
        <v>0</v>
      </c>
      <c r="V171" s="182">
        <f t="shared" si="52"/>
        <v>100</v>
      </c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>
        <v>0</v>
      </c>
      <c r="AJ171" s="181">
        <f t="shared" si="42"/>
        <v>0</v>
      </c>
      <c r="AK171" s="246">
        <f t="shared" si="57"/>
        <v>12900000</v>
      </c>
      <c r="AL171" s="181">
        <f t="shared" si="43"/>
        <v>100</v>
      </c>
      <c r="AM171" s="243"/>
    </row>
    <row r="172" spans="1:39" ht="24.75" customHeight="1" x14ac:dyDescent="0.25">
      <c r="A172" s="243"/>
      <c r="B172" s="244"/>
      <c r="C172" s="244"/>
      <c r="D172" s="244"/>
      <c r="E172" s="244"/>
      <c r="F172" s="244"/>
      <c r="G172" s="244"/>
      <c r="H172" s="244"/>
      <c r="I172" s="298"/>
      <c r="J172" s="244" t="s">
        <v>282</v>
      </c>
      <c r="K172" s="245"/>
      <c r="L172" s="257"/>
      <c r="M172" s="597" t="s">
        <v>586</v>
      </c>
      <c r="N172" s="598"/>
      <c r="O172" s="299"/>
      <c r="P172" s="180"/>
      <c r="Q172" s="180">
        <v>5000000</v>
      </c>
      <c r="R172" s="181">
        <f t="shared" si="58"/>
        <v>7.6254384627116059</v>
      </c>
      <c r="S172" s="181">
        <v>100</v>
      </c>
      <c r="T172" s="180">
        <f t="shared" si="41"/>
        <v>0</v>
      </c>
      <c r="U172" s="180">
        <f t="shared" si="59"/>
        <v>0</v>
      </c>
      <c r="V172" s="182">
        <f>S172-T172</f>
        <v>100</v>
      </c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>
        <v>0</v>
      </c>
      <c r="AJ172" s="181">
        <f t="shared" si="42"/>
        <v>0</v>
      </c>
      <c r="AK172" s="246">
        <f t="shared" si="57"/>
        <v>5000000</v>
      </c>
      <c r="AL172" s="181">
        <f t="shared" si="43"/>
        <v>100</v>
      </c>
      <c r="AM172" s="243"/>
    </row>
    <row r="173" spans="1:39" ht="24.75" customHeight="1" x14ac:dyDescent="0.25">
      <c r="A173" s="243"/>
      <c r="B173" s="244"/>
      <c r="C173" s="244"/>
      <c r="D173" s="244"/>
      <c r="E173" s="244"/>
      <c r="F173" s="244"/>
      <c r="G173" s="244"/>
      <c r="H173" s="244"/>
      <c r="I173" s="298"/>
      <c r="J173" s="244" t="s">
        <v>320</v>
      </c>
      <c r="K173" s="245"/>
      <c r="L173" s="257"/>
      <c r="M173" s="597" t="s">
        <v>321</v>
      </c>
      <c r="N173" s="598"/>
      <c r="O173" s="299"/>
      <c r="P173" s="180"/>
      <c r="Q173" s="180">
        <v>18400000</v>
      </c>
      <c r="R173" s="181">
        <f t="shared" si="58"/>
        <v>28.061613542778709</v>
      </c>
      <c r="S173" s="181">
        <v>100</v>
      </c>
      <c r="T173" s="180">
        <f t="shared" si="41"/>
        <v>0</v>
      </c>
      <c r="U173" s="180">
        <f t="shared" si="59"/>
        <v>0</v>
      </c>
      <c r="V173" s="182">
        <f t="shared" ref="V173:V174" si="60">S173-T173</f>
        <v>100</v>
      </c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>
        <v>0</v>
      </c>
      <c r="AJ173" s="181">
        <f t="shared" si="42"/>
        <v>0</v>
      </c>
      <c r="AK173" s="246">
        <f t="shared" si="57"/>
        <v>18400000</v>
      </c>
      <c r="AL173" s="181">
        <f t="shared" si="43"/>
        <v>100</v>
      </c>
      <c r="AM173" s="243"/>
    </row>
    <row r="174" spans="1:39" ht="24.75" customHeight="1" x14ac:dyDescent="0.25">
      <c r="A174" s="243"/>
      <c r="B174" s="244"/>
      <c r="C174" s="244"/>
      <c r="D174" s="244"/>
      <c r="E174" s="244"/>
      <c r="F174" s="244"/>
      <c r="G174" s="244"/>
      <c r="H174" s="244"/>
      <c r="I174" s="298"/>
      <c r="J174" s="244" t="s">
        <v>407</v>
      </c>
      <c r="K174" s="245"/>
      <c r="L174" s="257"/>
      <c r="M174" s="597" t="s">
        <v>414</v>
      </c>
      <c r="N174" s="598"/>
      <c r="O174" s="299"/>
      <c r="P174" s="180"/>
      <c r="Q174" s="180">
        <v>450000</v>
      </c>
      <c r="R174" s="181">
        <f t="shared" si="58"/>
        <v>0.68628946164404447</v>
      </c>
      <c r="S174" s="181">
        <v>100</v>
      </c>
      <c r="T174" s="180">
        <f t="shared" si="41"/>
        <v>0</v>
      </c>
      <c r="U174" s="180">
        <f t="shared" si="59"/>
        <v>0</v>
      </c>
      <c r="V174" s="182">
        <f t="shared" si="60"/>
        <v>100</v>
      </c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>
        <v>0</v>
      </c>
      <c r="AJ174" s="181">
        <f t="shared" si="42"/>
        <v>0</v>
      </c>
      <c r="AK174" s="246">
        <f t="shared" si="57"/>
        <v>450000</v>
      </c>
      <c r="AL174" s="181">
        <f t="shared" si="43"/>
        <v>100</v>
      </c>
      <c r="AM174" s="243"/>
    </row>
    <row r="175" spans="1:39" s="226" customFormat="1" ht="36.75" customHeight="1" x14ac:dyDescent="0.25">
      <c r="A175" s="289" t="s">
        <v>34</v>
      </c>
      <c r="B175" s="607" t="s">
        <v>138</v>
      </c>
      <c r="C175" s="607"/>
      <c r="D175" s="607"/>
      <c r="E175" s="607"/>
      <c r="F175" s="607"/>
      <c r="G175" s="607"/>
      <c r="H175" s="607"/>
      <c r="I175" s="608"/>
      <c r="J175" s="303" t="s">
        <v>467</v>
      </c>
      <c r="K175" s="291"/>
      <c r="L175" s="607" t="s">
        <v>35</v>
      </c>
      <c r="M175" s="607"/>
      <c r="N175" s="608"/>
      <c r="O175" s="263">
        <f>SUM(O176:O225)</f>
        <v>2212865000</v>
      </c>
      <c r="P175" s="263">
        <f>SUM(P176:P225)</f>
        <v>1923365000</v>
      </c>
      <c r="Q175" s="263">
        <f>SUM(Q176+Q188+Q196+Q204+Q211+Q217+Q225)</f>
        <v>1310058427</v>
      </c>
      <c r="R175" s="222">
        <f>Q175/Q$53*100</f>
        <v>6.7734260946287135</v>
      </c>
      <c r="S175" s="222">
        <f>S176</f>
        <v>100</v>
      </c>
      <c r="T175" s="263">
        <f t="shared" si="41"/>
        <v>0</v>
      </c>
      <c r="U175" s="263">
        <f t="shared" si="59"/>
        <v>0</v>
      </c>
      <c r="V175" s="292">
        <f t="shared" si="52"/>
        <v>100</v>
      </c>
      <c r="W175" s="263">
        <f t="shared" ref="W175:AH175" si="61">SUM(W176:W225)</f>
        <v>0</v>
      </c>
      <c r="X175" s="263" t="e">
        <f t="shared" si="61"/>
        <v>#REF!</v>
      </c>
      <c r="Y175" s="263" t="e">
        <f t="shared" si="61"/>
        <v>#REF!</v>
      </c>
      <c r="Z175" s="263" t="e">
        <f t="shared" si="61"/>
        <v>#REF!</v>
      </c>
      <c r="AA175" s="263" t="e">
        <f t="shared" si="61"/>
        <v>#REF!</v>
      </c>
      <c r="AB175" s="263">
        <f t="shared" si="61"/>
        <v>1160108089</v>
      </c>
      <c r="AC175" s="263" t="e">
        <f t="shared" si="61"/>
        <v>#REF!</v>
      </c>
      <c r="AD175" s="263" t="e">
        <f t="shared" si="61"/>
        <v>#REF!</v>
      </c>
      <c r="AE175" s="263" t="e">
        <f t="shared" si="61"/>
        <v>#REF!</v>
      </c>
      <c r="AF175" s="263" t="e">
        <f t="shared" si="61"/>
        <v>#REF!</v>
      </c>
      <c r="AG175" s="263" t="e">
        <f t="shared" si="61"/>
        <v>#REF!</v>
      </c>
      <c r="AH175" s="263" t="e">
        <f t="shared" si="61"/>
        <v>#REF!</v>
      </c>
      <c r="AI175" s="263">
        <f>SUM(AI176+AI188+AI196+AI204+AI211+AI217+AI225)</f>
        <v>0</v>
      </c>
      <c r="AJ175" s="222">
        <f t="shared" si="42"/>
        <v>0</v>
      </c>
      <c r="AK175" s="265">
        <f>SUM(Q175-AI175)</f>
        <v>1310058427</v>
      </c>
      <c r="AL175" s="222">
        <f t="shared" si="43"/>
        <v>100</v>
      </c>
      <c r="AM175" s="289"/>
    </row>
    <row r="176" spans="1:39" s="297" customFormat="1" ht="28.5" customHeight="1" x14ac:dyDescent="0.25">
      <c r="A176" s="227">
        <f>A166+1</f>
        <v>28</v>
      </c>
      <c r="B176" s="615" t="s">
        <v>139</v>
      </c>
      <c r="C176" s="615"/>
      <c r="D176" s="615"/>
      <c r="E176" s="615"/>
      <c r="F176" s="615"/>
      <c r="G176" s="615"/>
      <c r="H176" s="615"/>
      <c r="I176" s="614"/>
      <c r="J176" s="304" t="s">
        <v>468</v>
      </c>
      <c r="K176" s="230"/>
      <c r="L176" s="294"/>
      <c r="M176" s="615" t="s">
        <v>36</v>
      </c>
      <c r="N176" s="614"/>
      <c r="O176" s="300">
        <v>1093890000</v>
      </c>
      <c r="P176" s="231">
        <f>[9]Sheet1!$U$80</f>
        <v>804390000</v>
      </c>
      <c r="Q176" s="231">
        <f>SUM(Q177:Q187)</f>
        <v>496093427</v>
      </c>
      <c r="R176" s="233">
        <f>Q176/Q$175*100</f>
        <v>37.868038308492942</v>
      </c>
      <c r="S176" s="233">
        <v>100</v>
      </c>
      <c r="T176" s="231">
        <f t="shared" si="41"/>
        <v>0</v>
      </c>
      <c r="U176" s="231">
        <f>R176*T176/100</f>
        <v>0</v>
      </c>
      <c r="V176" s="296">
        <f t="shared" si="52"/>
        <v>100</v>
      </c>
      <c r="W176" s="231"/>
      <c r="X176" s="231" t="e">
        <f>#REF!</f>
        <v>#REF!</v>
      </c>
      <c r="Y176" s="231" t="e">
        <f>#REF!</f>
        <v>#REF!</v>
      </c>
      <c r="Z176" s="231" t="e">
        <f>#REF!</f>
        <v>#REF!</v>
      </c>
      <c r="AA176" s="231" t="e">
        <f>#REF!</f>
        <v>#REF!</v>
      </c>
      <c r="AB176" s="231">
        <v>258208050</v>
      </c>
      <c r="AC176" s="231" t="e">
        <f>#REF!</f>
        <v>#REF!</v>
      </c>
      <c r="AD176" s="231" t="e">
        <f>#REF!</f>
        <v>#REF!</v>
      </c>
      <c r="AE176" s="231" t="e">
        <f>#REF!</f>
        <v>#REF!</v>
      </c>
      <c r="AF176" s="231" t="e">
        <f>[1]April!N48</f>
        <v>#REF!</v>
      </c>
      <c r="AG176" s="231" t="e">
        <f>[2]april!N48</f>
        <v>#REF!</v>
      </c>
      <c r="AH176" s="231">
        <f>'[3]DES SKPD'!$N48</f>
        <v>531334050</v>
      </c>
      <c r="AI176" s="231">
        <f>SUM(AI177:AI187)</f>
        <v>0</v>
      </c>
      <c r="AJ176" s="233">
        <f t="shared" si="42"/>
        <v>0</v>
      </c>
      <c r="AK176" s="234">
        <f>Q176-AI176</f>
        <v>496093427</v>
      </c>
      <c r="AL176" s="233">
        <f t="shared" si="43"/>
        <v>100</v>
      </c>
      <c r="AM176" s="227"/>
    </row>
    <row r="177" spans="1:44" ht="28.5" customHeight="1" x14ac:dyDescent="0.25">
      <c r="A177" s="243"/>
      <c r="B177" s="244"/>
      <c r="C177" s="244"/>
      <c r="D177" s="244"/>
      <c r="E177" s="244"/>
      <c r="F177" s="244"/>
      <c r="G177" s="244"/>
      <c r="H177" s="244"/>
      <c r="I177" s="298"/>
      <c r="J177" s="244" t="s">
        <v>259</v>
      </c>
      <c r="K177" s="245"/>
      <c r="L177" s="257"/>
      <c r="M177" s="597" t="s">
        <v>260</v>
      </c>
      <c r="N177" s="598"/>
      <c r="O177" s="301"/>
      <c r="P177" s="180"/>
      <c r="Q177" s="180">
        <v>1096000</v>
      </c>
      <c r="R177" s="181">
        <f t="shared" ref="R177:R187" si="62">Q177/Q$176*100</f>
        <v>0.22092612809401324</v>
      </c>
      <c r="S177" s="181">
        <v>100</v>
      </c>
      <c r="T177" s="180">
        <f t="shared" si="41"/>
        <v>0</v>
      </c>
      <c r="U177" s="180">
        <f t="shared" ref="U177:U185" si="63">R177*T177/100</f>
        <v>0</v>
      </c>
      <c r="V177" s="182">
        <f t="shared" si="52"/>
        <v>100</v>
      </c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>
        <v>0</v>
      </c>
      <c r="AJ177" s="181">
        <f t="shared" si="42"/>
        <v>0</v>
      </c>
      <c r="AK177" s="246">
        <f t="shared" ref="AK177:AK240" si="64">Q177-AI177</f>
        <v>1096000</v>
      </c>
      <c r="AL177" s="181">
        <f t="shared" si="43"/>
        <v>100</v>
      </c>
      <c r="AM177" s="243"/>
      <c r="AR177" s="205">
        <f>SUM(69300000-48250000)</f>
        <v>21050000</v>
      </c>
    </row>
    <row r="178" spans="1:44" ht="28.5" customHeight="1" x14ac:dyDescent="0.25">
      <c r="A178" s="243"/>
      <c r="B178" s="244"/>
      <c r="C178" s="244"/>
      <c r="D178" s="244"/>
      <c r="E178" s="244"/>
      <c r="F178" s="244"/>
      <c r="G178" s="244"/>
      <c r="H178" s="244"/>
      <c r="I178" s="298"/>
      <c r="J178" s="244" t="s">
        <v>273</v>
      </c>
      <c r="K178" s="245"/>
      <c r="L178" s="257"/>
      <c r="M178" s="597" t="s">
        <v>322</v>
      </c>
      <c r="N178" s="598"/>
      <c r="O178" s="301"/>
      <c r="P178" s="180"/>
      <c r="Q178" s="180">
        <v>6900000</v>
      </c>
      <c r="R178" s="181">
        <f t="shared" si="62"/>
        <v>1.3908670473072002</v>
      </c>
      <c r="S178" s="181">
        <v>100</v>
      </c>
      <c r="T178" s="180">
        <f>AJ178</f>
        <v>0</v>
      </c>
      <c r="U178" s="180">
        <f t="shared" si="63"/>
        <v>0</v>
      </c>
      <c r="V178" s="182">
        <f t="shared" si="52"/>
        <v>100</v>
      </c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>
        <v>0</v>
      </c>
      <c r="AJ178" s="181">
        <f>AI178/Q178*100</f>
        <v>0</v>
      </c>
      <c r="AK178" s="246">
        <f t="shared" si="64"/>
        <v>6900000</v>
      </c>
      <c r="AL178" s="181">
        <f t="shared" si="43"/>
        <v>100</v>
      </c>
      <c r="AM178" s="243"/>
    </row>
    <row r="179" spans="1:44" ht="28.5" customHeight="1" x14ac:dyDescent="0.25">
      <c r="A179" s="243"/>
      <c r="B179" s="244"/>
      <c r="C179" s="244"/>
      <c r="D179" s="244"/>
      <c r="E179" s="244"/>
      <c r="F179" s="244"/>
      <c r="G179" s="244"/>
      <c r="H179" s="244"/>
      <c r="I179" s="298"/>
      <c r="J179" s="244" t="s">
        <v>587</v>
      </c>
      <c r="K179" s="245"/>
      <c r="L179" s="257"/>
      <c r="M179" s="597" t="s">
        <v>588</v>
      </c>
      <c r="N179" s="598"/>
      <c r="O179" s="301"/>
      <c r="P179" s="180"/>
      <c r="Q179" s="180">
        <v>80900000</v>
      </c>
      <c r="R179" s="181">
        <f t="shared" si="62"/>
        <v>16.307412192340941</v>
      </c>
      <c r="S179" s="181">
        <v>100</v>
      </c>
      <c r="T179" s="180">
        <f>AJ179</f>
        <v>0</v>
      </c>
      <c r="U179" s="180">
        <f t="shared" si="63"/>
        <v>0</v>
      </c>
      <c r="V179" s="182">
        <f t="shared" si="52"/>
        <v>100</v>
      </c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>
        <v>0</v>
      </c>
      <c r="AJ179" s="181">
        <f>AI179/Q179*100</f>
        <v>0</v>
      </c>
      <c r="AK179" s="246">
        <f t="shared" si="64"/>
        <v>80900000</v>
      </c>
      <c r="AL179" s="181"/>
      <c r="AM179" s="243"/>
    </row>
    <row r="180" spans="1:44" ht="28.5" customHeight="1" x14ac:dyDescent="0.25">
      <c r="A180" s="243"/>
      <c r="B180" s="244"/>
      <c r="C180" s="244"/>
      <c r="D180" s="244"/>
      <c r="E180" s="244"/>
      <c r="F180" s="244"/>
      <c r="G180" s="244"/>
      <c r="H180" s="244"/>
      <c r="I180" s="298"/>
      <c r="J180" s="244" t="s">
        <v>323</v>
      </c>
      <c r="K180" s="245"/>
      <c r="L180" s="257"/>
      <c r="M180" s="597" t="s">
        <v>324</v>
      </c>
      <c r="N180" s="598"/>
      <c r="O180" s="301"/>
      <c r="P180" s="180"/>
      <c r="Q180" s="180">
        <v>23150000</v>
      </c>
      <c r="R180" s="181">
        <f t="shared" si="62"/>
        <v>4.6664597311828526</v>
      </c>
      <c r="S180" s="181">
        <v>100</v>
      </c>
      <c r="T180" s="180">
        <f t="shared" si="41"/>
        <v>0</v>
      </c>
      <c r="U180" s="180">
        <f t="shared" si="63"/>
        <v>0</v>
      </c>
      <c r="V180" s="182">
        <f t="shared" si="52"/>
        <v>100</v>
      </c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0">
        <v>0</v>
      </c>
      <c r="AJ180" s="181">
        <f t="shared" si="42"/>
        <v>0</v>
      </c>
      <c r="AK180" s="246">
        <f t="shared" si="64"/>
        <v>23150000</v>
      </c>
      <c r="AL180" s="181">
        <f t="shared" si="43"/>
        <v>100</v>
      </c>
      <c r="AM180" s="243"/>
    </row>
    <row r="181" spans="1:44" ht="28.5" customHeight="1" x14ac:dyDescent="0.25">
      <c r="A181" s="243"/>
      <c r="B181" s="244"/>
      <c r="C181" s="244"/>
      <c r="D181" s="244"/>
      <c r="E181" s="244"/>
      <c r="F181" s="244"/>
      <c r="G181" s="244"/>
      <c r="H181" s="244"/>
      <c r="I181" s="298"/>
      <c r="J181" s="244" t="s">
        <v>269</v>
      </c>
      <c r="K181" s="245"/>
      <c r="L181" s="257"/>
      <c r="M181" s="597" t="s">
        <v>589</v>
      </c>
      <c r="N181" s="598"/>
      <c r="O181" s="301"/>
      <c r="P181" s="180"/>
      <c r="Q181" s="180">
        <v>23500000</v>
      </c>
      <c r="R181" s="181">
        <f t="shared" si="62"/>
        <v>4.737010958220174</v>
      </c>
      <c r="S181" s="181">
        <v>100</v>
      </c>
      <c r="T181" s="180">
        <f t="shared" si="41"/>
        <v>0</v>
      </c>
      <c r="U181" s="180">
        <f t="shared" si="63"/>
        <v>0</v>
      </c>
      <c r="V181" s="182">
        <f t="shared" si="52"/>
        <v>100</v>
      </c>
      <c r="W181" s="180"/>
      <c r="X181" s="180"/>
      <c r="Y181" s="180"/>
      <c r="Z181" s="180"/>
      <c r="AA181" s="180"/>
      <c r="AB181" s="180"/>
      <c r="AC181" s="180"/>
      <c r="AD181" s="180"/>
      <c r="AE181" s="180"/>
      <c r="AF181" s="180"/>
      <c r="AG181" s="180"/>
      <c r="AH181" s="180"/>
      <c r="AI181" s="180">
        <v>0</v>
      </c>
      <c r="AJ181" s="181">
        <f t="shared" si="42"/>
        <v>0</v>
      </c>
      <c r="AK181" s="246">
        <f t="shared" si="64"/>
        <v>23500000</v>
      </c>
      <c r="AL181" s="181">
        <f t="shared" si="43"/>
        <v>100</v>
      </c>
      <c r="AM181" s="243"/>
    </row>
    <row r="182" spans="1:44" ht="28.5" customHeight="1" x14ac:dyDescent="0.25">
      <c r="A182" s="243"/>
      <c r="B182" s="244"/>
      <c r="C182" s="244"/>
      <c r="D182" s="244"/>
      <c r="E182" s="244"/>
      <c r="F182" s="244"/>
      <c r="G182" s="244"/>
      <c r="H182" s="244"/>
      <c r="I182" s="298"/>
      <c r="J182" s="244" t="s">
        <v>315</v>
      </c>
      <c r="K182" s="245"/>
      <c r="L182" s="257"/>
      <c r="M182" s="597" t="s">
        <v>271</v>
      </c>
      <c r="N182" s="598"/>
      <c r="O182" s="301"/>
      <c r="P182" s="180"/>
      <c r="Q182" s="180">
        <v>5200000</v>
      </c>
      <c r="R182" s="181">
        <f t="shared" si="62"/>
        <v>1.0481896588402086</v>
      </c>
      <c r="S182" s="181">
        <v>100</v>
      </c>
      <c r="T182" s="180">
        <f t="shared" si="41"/>
        <v>0</v>
      </c>
      <c r="U182" s="180">
        <f t="shared" si="63"/>
        <v>0</v>
      </c>
      <c r="V182" s="182">
        <f t="shared" si="52"/>
        <v>100</v>
      </c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>
        <v>0</v>
      </c>
      <c r="AJ182" s="181">
        <f t="shared" si="42"/>
        <v>0</v>
      </c>
      <c r="AK182" s="246">
        <f t="shared" si="64"/>
        <v>5200000</v>
      </c>
      <c r="AL182" s="181">
        <f t="shared" si="43"/>
        <v>100</v>
      </c>
      <c r="AM182" s="243"/>
    </row>
    <row r="183" spans="1:44" ht="28.5" customHeight="1" x14ac:dyDescent="0.25">
      <c r="A183" s="243"/>
      <c r="B183" s="244"/>
      <c r="C183" s="244"/>
      <c r="D183" s="244"/>
      <c r="E183" s="244"/>
      <c r="F183" s="244"/>
      <c r="G183" s="244"/>
      <c r="H183" s="244"/>
      <c r="I183" s="298"/>
      <c r="J183" s="244" t="s">
        <v>328</v>
      </c>
      <c r="K183" s="245"/>
      <c r="L183" s="257"/>
      <c r="M183" s="597" t="s">
        <v>329</v>
      </c>
      <c r="N183" s="598"/>
      <c r="O183" s="301"/>
      <c r="P183" s="180"/>
      <c r="Q183" s="180">
        <v>36000000</v>
      </c>
      <c r="R183" s="181">
        <f t="shared" si="62"/>
        <v>7.2566976381245221</v>
      </c>
      <c r="S183" s="181">
        <v>100</v>
      </c>
      <c r="T183" s="180">
        <f t="shared" si="41"/>
        <v>0</v>
      </c>
      <c r="U183" s="180">
        <f t="shared" si="63"/>
        <v>0</v>
      </c>
      <c r="V183" s="182">
        <f t="shared" si="52"/>
        <v>100</v>
      </c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>
        <v>0</v>
      </c>
      <c r="AJ183" s="181">
        <f t="shared" si="42"/>
        <v>0</v>
      </c>
      <c r="AK183" s="246">
        <f t="shared" si="64"/>
        <v>36000000</v>
      </c>
      <c r="AL183" s="181">
        <f t="shared" si="43"/>
        <v>100</v>
      </c>
      <c r="AM183" s="243"/>
    </row>
    <row r="184" spans="1:44" ht="28.5" customHeight="1" x14ac:dyDescent="0.25">
      <c r="A184" s="243"/>
      <c r="B184" s="244"/>
      <c r="C184" s="244"/>
      <c r="D184" s="244"/>
      <c r="E184" s="244"/>
      <c r="F184" s="244"/>
      <c r="G184" s="244"/>
      <c r="H184" s="244"/>
      <c r="I184" s="298"/>
      <c r="J184" s="244" t="s">
        <v>280</v>
      </c>
      <c r="K184" s="245"/>
      <c r="L184" s="257"/>
      <c r="M184" s="597" t="s">
        <v>425</v>
      </c>
      <c r="N184" s="598"/>
      <c r="O184" s="301"/>
      <c r="P184" s="180"/>
      <c r="Q184" s="180">
        <v>40500000</v>
      </c>
      <c r="R184" s="181">
        <f t="shared" si="62"/>
        <v>8.1637848428900881</v>
      </c>
      <c r="S184" s="181">
        <v>100</v>
      </c>
      <c r="T184" s="180">
        <f t="shared" si="41"/>
        <v>0</v>
      </c>
      <c r="U184" s="180">
        <f t="shared" si="63"/>
        <v>0</v>
      </c>
      <c r="V184" s="182">
        <f t="shared" si="52"/>
        <v>100</v>
      </c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>
        <v>0</v>
      </c>
      <c r="AJ184" s="181">
        <f t="shared" si="42"/>
        <v>0</v>
      </c>
      <c r="AK184" s="246">
        <f t="shared" si="64"/>
        <v>40500000</v>
      </c>
      <c r="AL184" s="181">
        <f t="shared" si="43"/>
        <v>100</v>
      </c>
      <c r="AM184" s="243"/>
    </row>
    <row r="185" spans="1:44" ht="28.5" customHeight="1" x14ac:dyDescent="0.25">
      <c r="A185" s="243"/>
      <c r="B185" s="244"/>
      <c r="C185" s="244"/>
      <c r="D185" s="244"/>
      <c r="E185" s="244"/>
      <c r="F185" s="244"/>
      <c r="G185" s="244"/>
      <c r="H185" s="244"/>
      <c r="I185" s="298"/>
      <c r="J185" s="244" t="s">
        <v>282</v>
      </c>
      <c r="K185" s="245"/>
      <c r="L185" s="257"/>
      <c r="M185" s="597" t="s">
        <v>590</v>
      </c>
      <c r="N185" s="598"/>
      <c r="O185" s="301"/>
      <c r="P185" s="180"/>
      <c r="Q185" s="180">
        <v>40047427</v>
      </c>
      <c r="R185" s="181">
        <f t="shared" si="62"/>
        <v>8.0725574701073395</v>
      </c>
      <c r="S185" s="181">
        <v>100</v>
      </c>
      <c r="T185" s="180">
        <f t="shared" si="41"/>
        <v>0</v>
      </c>
      <c r="U185" s="180">
        <f t="shared" si="63"/>
        <v>0</v>
      </c>
      <c r="V185" s="182">
        <f t="shared" si="52"/>
        <v>100</v>
      </c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>
        <v>0</v>
      </c>
      <c r="AJ185" s="181">
        <f t="shared" si="42"/>
        <v>0</v>
      </c>
      <c r="AK185" s="246">
        <f t="shared" si="64"/>
        <v>40047427</v>
      </c>
      <c r="AL185" s="181">
        <f t="shared" si="43"/>
        <v>100</v>
      </c>
      <c r="AM185" s="243"/>
    </row>
    <row r="186" spans="1:44" ht="28.5" customHeight="1" x14ac:dyDescent="0.25">
      <c r="A186" s="243"/>
      <c r="B186" s="244"/>
      <c r="C186" s="244"/>
      <c r="D186" s="244"/>
      <c r="E186" s="244"/>
      <c r="F186" s="244"/>
      <c r="G186" s="244"/>
      <c r="H186" s="244"/>
      <c r="I186" s="298"/>
      <c r="J186" s="244" t="s">
        <v>306</v>
      </c>
      <c r="K186" s="245"/>
      <c r="L186" s="257"/>
      <c r="M186" s="597" t="s">
        <v>591</v>
      </c>
      <c r="N186" s="598"/>
      <c r="O186" s="301"/>
      <c r="P186" s="180"/>
      <c r="Q186" s="180">
        <v>40000000</v>
      </c>
      <c r="R186" s="181">
        <f t="shared" si="62"/>
        <v>8.0629973756939126</v>
      </c>
      <c r="S186" s="181">
        <v>100</v>
      </c>
      <c r="T186" s="180">
        <f>AJ187</f>
        <v>0</v>
      </c>
      <c r="U186" s="180">
        <f>R186*T186/100</f>
        <v>0</v>
      </c>
      <c r="V186" s="182">
        <f>S186-T186</f>
        <v>100</v>
      </c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>
        <v>0</v>
      </c>
      <c r="AJ186" s="181">
        <f>AI186/Q186*100</f>
        <v>0</v>
      </c>
      <c r="AK186" s="246">
        <f t="shared" si="64"/>
        <v>40000000</v>
      </c>
      <c r="AL186" s="181">
        <f t="shared" si="43"/>
        <v>100</v>
      </c>
      <c r="AM186" s="243"/>
    </row>
    <row r="187" spans="1:44" ht="28.5" customHeight="1" x14ac:dyDescent="0.25">
      <c r="A187" s="243"/>
      <c r="B187" s="244"/>
      <c r="C187" s="244"/>
      <c r="D187" s="244"/>
      <c r="E187" s="244"/>
      <c r="F187" s="244"/>
      <c r="G187" s="244"/>
      <c r="H187" s="244"/>
      <c r="I187" s="298"/>
      <c r="J187" s="244" t="s">
        <v>551</v>
      </c>
      <c r="K187" s="245"/>
      <c r="L187" s="257"/>
      <c r="M187" s="597" t="s">
        <v>550</v>
      </c>
      <c r="N187" s="598"/>
      <c r="O187" s="301"/>
      <c r="P187" s="180"/>
      <c r="Q187" s="180">
        <v>198800000</v>
      </c>
      <c r="R187" s="181">
        <f t="shared" si="62"/>
        <v>40.07309695719875</v>
      </c>
      <c r="S187" s="181">
        <v>100</v>
      </c>
      <c r="T187" s="180">
        <f>AJ188</f>
        <v>0</v>
      </c>
      <c r="U187" s="180">
        <f>R187*T187/100</f>
        <v>0</v>
      </c>
      <c r="V187" s="182">
        <f>S187-T187</f>
        <v>100</v>
      </c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>
        <v>0</v>
      </c>
      <c r="AJ187" s="181">
        <f>AI186/Q186*100</f>
        <v>0</v>
      </c>
      <c r="AK187" s="246">
        <f t="shared" si="64"/>
        <v>198800000</v>
      </c>
      <c r="AL187" s="181">
        <f t="shared" si="43"/>
        <v>100</v>
      </c>
      <c r="AM187" s="243"/>
    </row>
    <row r="188" spans="1:44" s="297" customFormat="1" ht="28.5" customHeight="1" x14ac:dyDescent="0.25">
      <c r="A188" s="227">
        <f>A176+1</f>
        <v>29</v>
      </c>
      <c r="B188" s="615" t="s">
        <v>140</v>
      </c>
      <c r="C188" s="615"/>
      <c r="D188" s="615"/>
      <c r="E188" s="615"/>
      <c r="F188" s="615"/>
      <c r="G188" s="615"/>
      <c r="H188" s="615"/>
      <c r="I188" s="614"/>
      <c r="J188" s="304" t="s">
        <v>469</v>
      </c>
      <c r="K188" s="230"/>
      <c r="L188" s="294"/>
      <c r="M188" s="615" t="s">
        <v>37</v>
      </c>
      <c r="N188" s="614"/>
      <c r="O188" s="295">
        <v>144225000</v>
      </c>
      <c r="P188" s="231">
        <f>O188</f>
        <v>144225000</v>
      </c>
      <c r="Q188" s="231">
        <f>SUM(Q189:Q195)</f>
        <v>131070000</v>
      </c>
      <c r="R188" s="233">
        <f>Q188/Q$175*100</f>
        <v>10.004897285394126</v>
      </c>
      <c r="S188" s="233">
        <v>100</v>
      </c>
      <c r="T188" s="231">
        <f t="shared" si="41"/>
        <v>0</v>
      </c>
      <c r="U188" s="231">
        <f>R188*T188/100</f>
        <v>0</v>
      </c>
      <c r="V188" s="296">
        <f t="shared" si="52"/>
        <v>100</v>
      </c>
      <c r="W188" s="231"/>
      <c r="X188" s="231" t="e">
        <f>#REF!</f>
        <v>#REF!</v>
      </c>
      <c r="Y188" s="231" t="e">
        <f>#REF!</f>
        <v>#REF!</v>
      </c>
      <c r="Z188" s="231" t="e">
        <f>#REF!</f>
        <v>#REF!</v>
      </c>
      <c r="AA188" s="231" t="e">
        <f>#REF!</f>
        <v>#REF!</v>
      </c>
      <c r="AB188" s="231">
        <v>0</v>
      </c>
      <c r="AC188" s="231" t="e">
        <f>#REF!</f>
        <v>#REF!</v>
      </c>
      <c r="AD188" s="231" t="e">
        <f>#REF!</f>
        <v>#REF!</v>
      </c>
      <c r="AE188" s="231" t="e">
        <f>#REF!</f>
        <v>#REF!</v>
      </c>
      <c r="AF188" s="231" t="e">
        <f>[1]April!N49</f>
        <v>#REF!</v>
      </c>
      <c r="AG188" s="231" t="e">
        <f>[2]april!N49</f>
        <v>#REF!</v>
      </c>
      <c r="AH188" s="231">
        <f>'[3]DES SKPD'!$N49</f>
        <v>143100490</v>
      </c>
      <c r="AI188" s="231">
        <f>SUM(AI189:AI195)</f>
        <v>0</v>
      </c>
      <c r="AJ188" s="233">
        <f t="shared" si="42"/>
        <v>0</v>
      </c>
      <c r="AK188" s="234">
        <f t="shared" si="64"/>
        <v>131070000</v>
      </c>
      <c r="AL188" s="233">
        <f t="shared" si="43"/>
        <v>100</v>
      </c>
      <c r="AM188" s="227"/>
    </row>
    <row r="189" spans="1:44" ht="28.5" customHeight="1" x14ac:dyDescent="0.25">
      <c r="A189" s="243"/>
      <c r="B189" s="244"/>
      <c r="C189" s="244"/>
      <c r="D189" s="244"/>
      <c r="E189" s="244"/>
      <c r="F189" s="244"/>
      <c r="G189" s="244"/>
      <c r="H189" s="244"/>
      <c r="I189" s="298"/>
      <c r="J189" s="244" t="s">
        <v>326</v>
      </c>
      <c r="K189" s="245"/>
      <c r="L189" s="257"/>
      <c r="M189" s="597" t="s">
        <v>327</v>
      </c>
      <c r="N189" s="598"/>
      <c r="O189" s="299"/>
      <c r="P189" s="180"/>
      <c r="Q189" s="180">
        <v>16750000</v>
      </c>
      <c r="R189" s="181">
        <f t="shared" ref="R189:R195" si="65">Q189/Q$188*100</f>
        <v>12.779430838483252</v>
      </c>
      <c r="S189" s="181">
        <v>100</v>
      </c>
      <c r="T189" s="180">
        <f t="shared" si="41"/>
        <v>0</v>
      </c>
      <c r="U189" s="180">
        <f t="shared" ref="U189:U195" si="66">R189*T189/100</f>
        <v>0</v>
      </c>
      <c r="V189" s="182">
        <f t="shared" si="52"/>
        <v>100</v>
      </c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>
        <v>0</v>
      </c>
      <c r="AJ189" s="181">
        <f t="shared" si="42"/>
        <v>0</v>
      </c>
      <c r="AK189" s="246">
        <f t="shared" si="64"/>
        <v>16750000</v>
      </c>
      <c r="AL189" s="181">
        <f t="shared" si="43"/>
        <v>100</v>
      </c>
      <c r="AM189" s="243"/>
    </row>
    <row r="190" spans="1:44" ht="28.5" customHeight="1" x14ac:dyDescent="0.25">
      <c r="A190" s="243"/>
      <c r="B190" s="244"/>
      <c r="C190" s="244"/>
      <c r="D190" s="244"/>
      <c r="E190" s="244"/>
      <c r="F190" s="244"/>
      <c r="G190" s="244"/>
      <c r="H190" s="244"/>
      <c r="I190" s="298"/>
      <c r="J190" s="244" t="s">
        <v>323</v>
      </c>
      <c r="K190" s="245"/>
      <c r="L190" s="257"/>
      <c r="M190" s="597" t="s">
        <v>324</v>
      </c>
      <c r="N190" s="598"/>
      <c r="O190" s="299"/>
      <c r="P190" s="180"/>
      <c r="Q190" s="180">
        <v>9132000</v>
      </c>
      <c r="R190" s="181">
        <f t="shared" si="65"/>
        <v>6.9672693980315863</v>
      </c>
      <c r="S190" s="181">
        <v>100</v>
      </c>
      <c r="T190" s="180">
        <f t="shared" si="41"/>
        <v>0</v>
      </c>
      <c r="U190" s="180">
        <f t="shared" si="66"/>
        <v>0</v>
      </c>
      <c r="V190" s="182">
        <f t="shared" si="52"/>
        <v>100</v>
      </c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>
        <v>0</v>
      </c>
      <c r="AJ190" s="181">
        <f t="shared" si="42"/>
        <v>0</v>
      </c>
      <c r="AK190" s="246">
        <f t="shared" si="64"/>
        <v>9132000</v>
      </c>
      <c r="AL190" s="181">
        <f t="shared" si="43"/>
        <v>100</v>
      </c>
      <c r="AM190" s="243"/>
    </row>
    <row r="191" spans="1:44" ht="28.5" customHeight="1" x14ac:dyDescent="0.25">
      <c r="A191" s="243"/>
      <c r="B191" s="244"/>
      <c r="C191" s="244"/>
      <c r="D191" s="244"/>
      <c r="E191" s="244"/>
      <c r="F191" s="244"/>
      <c r="G191" s="244"/>
      <c r="H191" s="244"/>
      <c r="I191" s="298"/>
      <c r="J191" s="244" t="s">
        <v>269</v>
      </c>
      <c r="K191" s="245"/>
      <c r="L191" s="257"/>
      <c r="M191" s="597" t="s">
        <v>270</v>
      </c>
      <c r="N191" s="598"/>
      <c r="O191" s="299"/>
      <c r="P191" s="180"/>
      <c r="Q191" s="180">
        <v>13650000</v>
      </c>
      <c r="R191" s="181">
        <f t="shared" si="65"/>
        <v>10.414282444495308</v>
      </c>
      <c r="S191" s="181">
        <v>100</v>
      </c>
      <c r="T191" s="180">
        <f t="shared" si="41"/>
        <v>0</v>
      </c>
      <c r="U191" s="180">
        <f t="shared" si="66"/>
        <v>0</v>
      </c>
      <c r="V191" s="182">
        <f t="shared" si="52"/>
        <v>100</v>
      </c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>
        <v>0</v>
      </c>
      <c r="AJ191" s="181">
        <f t="shared" si="42"/>
        <v>0</v>
      </c>
      <c r="AK191" s="246">
        <f t="shared" si="64"/>
        <v>13650000</v>
      </c>
      <c r="AL191" s="181">
        <f t="shared" si="43"/>
        <v>100</v>
      </c>
      <c r="AM191" s="243"/>
    </row>
    <row r="192" spans="1:44" ht="28.5" customHeight="1" x14ac:dyDescent="0.25">
      <c r="A192" s="243"/>
      <c r="B192" s="244"/>
      <c r="C192" s="244"/>
      <c r="D192" s="244"/>
      <c r="E192" s="244"/>
      <c r="F192" s="244"/>
      <c r="G192" s="244"/>
      <c r="H192" s="244"/>
      <c r="I192" s="298"/>
      <c r="J192" s="244" t="s">
        <v>315</v>
      </c>
      <c r="K192" s="245"/>
      <c r="L192" s="257"/>
      <c r="M192" s="597" t="s">
        <v>271</v>
      </c>
      <c r="N192" s="598"/>
      <c r="O192" s="299"/>
      <c r="P192" s="180"/>
      <c r="Q192" s="180">
        <v>1418000</v>
      </c>
      <c r="R192" s="181">
        <f t="shared" si="65"/>
        <v>1.0818646524757762</v>
      </c>
      <c r="S192" s="181">
        <v>100</v>
      </c>
      <c r="T192" s="180">
        <f t="shared" si="41"/>
        <v>0</v>
      </c>
      <c r="U192" s="180">
        <f t="shared" si="66"/>
        <v>0</v>
      </c>
      <c r="V192" s="182">
        <f t="shared" si="52"/>
        <v>100</v>
      </c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>
        <v>0</v>
      </c>
      <c r="AJ192" s="181">
        <f t="shared" si="42"/>
        <v>0</v>
      </c>
      <c r="AK192" s="246">
        <f t="shared" si="64"/>
        <v>1418000</v>
      </c>
      <c r="AL192" s="181">
        <f t="shared" si="43"/>
        <v>100</v>
      </c>
      <c r="AM192" s="243"/>
    </row>
    <row r="193" spans="1:39" ht="28.5" customHeight="1" x14ac:dyDescent="0.25">
      <c r="A193" s="243"/>
      <c r="B193" s="244"/>
      <c r="C193" s="244"/>
      <c r="D193" s="244"/>
      <c r="E193" s="244"/>
      <c r="F193" s="244"/>
      <c r="G193" s="244"/>
      <c r="H193" s="244"/>
      <c r="I193" s="298"/>
      <c r="J193" s="244" t="s">
        <v>328</v>
      </c>
      <c r="K193" s="245"/>
      <c r="L193" s="257"/>
      <c r="M193" s="597" t="s">
        <v>329</v>
      </c>
      <c r="N193" s="598"/>
      <c r="O193" s="299"/>
      <c r="P193" s="180"/>
      <c r="Q193" s="180">
        <v>82500000</v>
      </c>
      <c r="R193" s="181">
        <f t="shared" si="65"/>
        <v>62.943465323872736</v>
      </c>
      <c r="S193" s="181">
        <v>100</v>
      </c>
      <c r="T193" s="180">
        <f t="shared" si="41"/>
        <v>0</v>
      </c>
      <c r="U193" s="180">
        <f t="shared" si="66"/>
        <v>0</v>
      </c>
      <c r="V193" s="182">
        <f t="shared" si="52"/>
        <v>100</v>
      </c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>
        <v>0</v>
      </c>
      <c r="AJ193" s="181">
        <f t="shared" si="42"/>
        <v>0</v>
      </c>
      <c r="AK193" s="246">
        <f t="shared" si="64"/>
        <v>82500000</v>
      </c>
      <c r="AL193" s="181">
        <f t="shared" si="43"/>
        <v>100</v>
      </c>
      <c r="AM193" s="243"/>
    </row>
    <row r="194" spans="1:39" ht="28.5" customHeight="1" x14ac:dyDescent="0.25">
      <c r="A194" s="243"/>
      <c r="B194" s="244"/>
      <c r="C194" s="244"/>
      <c r="D194" s="244"/>
      <c r="E194" s="244"/>
      <c r="F194" s="244"/>
      <c r="G194" s="244"/>
      <c r="H194" s="244"/>
      <c r="I194" s="298"/>
      <c r="J194" s="244" t="s">
        <v>284</v>
      </c>
      <c r="K194" s="245"/>
      <c r="L194" s="257"/>
      <c r="M194" s="597" t="s">
        <v>285</v>
      </c>
      <c r="N194" s="598"/>
      <c r="O194" s="299"/>
      <c r="P194" s="180"/>
      <c r="Q194" s="180">
        <v>2120000</v>
      </c>
      <c r="R194" s="181">
        <f t="shared" si="65"/>
        <v>1.617456321049821</v>
      </c>
      <c r="S194" s="181">
        <v>100</v>
      </c>
      <c r="T194" s="180">
        <f t="shared" si="41"/>
        <v>0</v>
      </c>
      <c r="U194" s="180">
        <f t="shared" si="66"/>
        <v>0</v>
      </c>
      <c r="V194" s="182">
        <f t="shared" si="52"/>
        <v>100</v>
      </c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>
        <v>0</v>
      </c>
      <c r="AJ194" s="181">
        <f t="shared" si="42"/>
        <v>0</v>
      </c>
      <c r="AK194" s="246">
        <f t="shared" si="64"/>
        <v>2120000</v>
      </c>
      <c r="AL194" s="181">
        <f t="shared" si="43"/>
        <v>100</v>
      </c>
      <c r="AM194" s="243"/>
    </row>
    <row r="195" spans="1:39" ht="28.5" customHeight="1" x14ac:dyDescent="0.25">
      <c r="A195" s="243"/>
      <c r="B195" s="244"/>
      <c r="C195" s="244"/>
      <c r="D195" s="244"/>
      <c r="E195" s="244"/>
      <c r="F195" s="244"/>
      <c r="G195" s="244"/>
      <c r="H195" s="244"/>
      <c r="I195" s="298"/>
      <c r="J195" s="244" t="s">
        <v>282</v>
      </c>
      <c r="K195" s="245"/>
      <c r="L195" s="257"/>
      <c r="M195" s="597" t="s">
        <v>283</v>
      </c>
      <c r="N195" s="598"/>
      <c r="O195" s="299"/>
      <c r="P195" s="180"/>
      <c r="Q195" s="180">
        <v>5500000</v>
      </c>
      <c r="R195" s="181">
        <f t="shared" si="65"/>
        <v>4.1962310215915153</v>
      </c>
      <c r="S195" s="181">
        <v>100</v>
      </c>
      <c r="T195" s="180">
        <f t="shared" si="41"/>
        <v>0</v>
      </c>
      <c r="U195" s="180">
        <f t="shared" si="66"/>
        <v>0</v>
      </c>
      <c r="V195" s="182">
        <f t="shared" si="52"/>
        <v>100</v>
      </c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>
        <v>0</v>
      </c>
      <c r="AJ195" s="181">
        <f t="shared" si="42"/>
        <v>0</v>
      </c>
      <c r="AK195" s="246">
        <f t="shared" si="64"/>
        <v>5500000</v>
      </c>
      <c r="AL195" s="181">
        <f t="shared" si="43"/>
        <v>100</v>
      </c>
      <c r="AM195" s="243"/>
    </row>
    <row r="196" spans="1:39" ht="28.5" customHeight="1" x14ac:dyDescent="0.25">
      <c r="A196" s="227">
        <v>26</v>
      </c>
      <c r="B196" s="244"/>
      <c r="C196" s="244"/>
      <c r="D196" s="244"/>
      <c r="E196" s="244"/>
      <c r="F196" s="244"/>
      <c r="G196" s="244"/>
      <c r="H196" s="244"/>
      <c r="I196" s="298"/>
      <c r="J196" s="304" t="s">
        <v>474</v>
      </c>
      <c r="K196" s="230"/>
      <c r="L196" s="294"/>
      <c r="M196" s="615" t="s">
        <v>470</v>
      </c>
      <c r="N196" s="614"/>
      <c r="O196" s="295">
        <v>144225000</v>
      </c>
      <c r="P196" s="231">
        <f>O196</f>
        <v>144225000</v>
      </c>
      <c r="Q196" s="231">
        <f>SUM(Q197:Q203)</f>
        <v>168774000</v>
      </c>
      <c r="R196" s="233">
        <f>Q196/Q$175*100</f>
        <v>12.882936861563351</v>
      </c>
      <c r="S196" s="233">
        <v>100</v>
      </c>
      <c r="T196" s="231">
        <f t="shared" si="41"/>
        <v>0</v>
      </c>
      <c r="U196" s="231">
        <f>R196*T196/100</f>
        <v>0</v>
      </c>
      <c r="V196" s="296">
        <f t="shared" si="52"/>
        <v>100</v>
      </c>
      <c r="W196" s="231"/>
      <c r="X196" s="231" t="e">
        <f>#REF!</f>
        <v>#REF!</v>
      </c>
      <c r="Y196" s="231" t="e">
        <f>#REF!</f>
        <v>#REF!</v>
      </c>
      <c r="Z196" s="231" t="e">
        <f>#REF!</f>
        <v>#REF!</v>
      </c>
      <c r="AA196" s="231" t="e">
        <f>#REF!</f>
        <v>#REF!</v>
      </c>
      <c r="AB196" s="231">
        <v>0</v>
      </c>
      <c r="AC196" s="231" t="e">
        <f>#REF!</f>
        <v>#REF!</v>
      </c>
      <c r="AD196" s="231" t="e">
        <f>#REF!</f>
        <v>#REF!</v>
      </c>
      <c r="AE196" s="231" t="e">
        <f>#REF!</f>
        <v>#REF!</v>
      </c>
      <c r="AF196" s="231" t="e">
        <f>[1]April!N58</f>
        <v>#REF!</v>
      </c>
      <c r="AG196" s="231" t="e">
        <f>[2]april!N58</f>
        <v>#REF!</v>
      </c>
      <c r="AH196" s="231">
        <f>'[3]DES SKPD'!$N58</f>
        <v>133587000</v>
      </c>
      <c r="AI196" s="231">
        <f>SUM(AI197:AI203)</f>
        <v>0</v>
      </c>
      <c r="AJ196" s="233">
        <f t="shared" si="42"/>
        <v>0</v>
      </c>
      <c r="AK196" s="234">
        <f t="shared" si="64"/>
        <v>168774000</v>
      </c>
      <c r="AL196" s="233">
        <f t="shared" si="43"/>
        <v>100</v>
      </c>
      <c r="AM196" s="243"/>
    </row>
    <row r="197" spans="1:39" ht="28.5" customHeight="1" x14ac:dyDescent="0.25">
      <c r="A197" s="243"/>
      <c r="B197" s="244"/>
      <c r="C197" s="244"/>
      <c r="D197" s="244"/>
      <c r="E197" s="244"/>
      <c r="F197" s="244"/>
      <c r="G197" s="244"/>
      <c r="H197" s="244"/>
      <c r="I197" s="298"/>
      <c r="J197" s="244" t="s">
        <v>273</v>
      </c>
      <c r="K197" s="245"/>
      <c r="L197" s="257"/>
      <c r="M197" s="597" t="s">
        <v>322</v>
      </c>
      <c r="N197" s="598"/>
      <c r="O197" s="299"/>
      <c r="P197" s="180"/>
      <c r="Q197" s="180">
        <v>34600000</v>
      </c>
      <c r="R197" s="181">
        <f t="shared" ref="R197:R203" si="67">Q197/Q$196*100</f>
        <v>20.500788036071906</v>
      </c>
      <c r="S197" s="181">
        <v>100</v>
      </c>
      <c r="T197" s="180">
        <f t="shared" si="41"/>
        <v>0</v>
      </c>
      <c r="U197" s="180">
        <f t="shared" ref="U197:U203" si="68">R197*T197/100</f>
        <v>0</v>
      </c>
      <c r="V197" s="182">
        <f t="shared" si="52"/>
        <v>100</v>
      </c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>
        <v>0</v>
      </c>
      <c r="AJ197" s="181">
        <f t="shared" si="42"/>
        <v>0</v>
      </c>
      <c r="AK197" s="246">
        <f t="shared" si="64"/>
        <v>34600000</v>
      </c>
      <c r="AL197" s="181">
        <f t="shared" si="43"/>
        <v>100</v>
      </c>
      <c r="AM197" s="243"/>
    </row>
    <row r="198" spans="1:39" ht="28.5" customHeight="1" x14ac:dyDescent="0.25">
      <c r="A198" s="243"/>
      <c r="B198" s="244"/>
      <c r="C198" s="244"/>
      <c r="D198" s="244"/>
      <c r="E198" s="244"/>
      <c r="F198" s="244"/>
      <c r="G198" s="244"/>
      <c r="H198" s="244"/>
      <c r="I198" s="298"/>
      <c r="J198" s="244" t="s">
        <v>323</v>
      </c>
      <c r="K198" s="245"/>
      <c r="L198" s="257"/>
      <c r="M198" s="597" t="s">
        <v>324</v>
      </c>
      <c r="N198" s="598"/>
      <c r="O198" s="299"/>
      <c r="P198" s="180"/>
      <c r="Q198" s="180">
        <v>100464000</v>
      </c>
      <c r="R198" s="181">
        <f t="shared" si="67"/>
        <v>59.525756336876533</v>
      </c>
      <c r="S198" s="181">
        <v>100</v>
      </c>
      <c r="T198" s="180">
        <f t="shared" si="41"/>
        <v>0</v>
      </c>
      <c r="U198" s="180">
        <f t="shared" si="68"/>
        <v>0</v>
      </c>
      <c r="V198" s="182">
        <f t="shared" si="52"/>
        <v>100</v>
      </c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>
        <v>0</v>
      </c>
      <c r="AJ198" s="181">
        <f t="shared" si="42"/>
        <v>0</v>
      </c>
      <c r="AK198" s="246">
        <f t="shared" si="64"/>
        <v>100464000</v>
      </c>
      <c r="AL198" s="181">
        <f t="shared" si="43"/>
        <v>100</v>
      </c>
      <c r="AM198" s="243"/>
    </row>
    <row r="199" spans="1:39" ht="28.5" customHeight="1" x14ac:dyDescent="0.25">
      <c r="A199" s="243"/>
      <c r="B199" s="244"/>
      <c r="C199" s="244"/>
      <c r="D199" s="244"/>
      <c r="E199" s="244"/>
      <c r="F199" s="244"/>
      <c r="G199" s="244"/>
      <c r="H199" s="244"/>
      <c r="I199" s="298"/>
      <c r="J199" s="244" t="s">
        <v>269</v>
      </c>
      <c r="K199" s="245"/>
      <c r="L199" s="257"/>
      <c r="M199" s="597" t="s">
        <v>270</v>
      </c>
      <c r="N199" s="598"/>
      <c r="O199" s="299"/>
      <c r="P199" s="180"/>
      <c r="Q199" s="180">
        <v>9000000</v>
      </c>
      <c r="R199" s="181">
        <f t="shared" si="67"/>
        <v>5.3325749226776642</v>
      </c>
      <c r="S199" s="181">
        <v>100</v>
      </c>
      <c r="T199" s="180">
        <f t="shared" si="41"/>
        <v>0</v>
      </c>
      <c r="U199" s="180">
        <f t="shared" si="68"/>
        <v>0</v>
      </c>
      <c r="V199" s="182">
        <f t="shared" si="52"/>
        <v>100</v>
      </c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>
        <v>0</v>
      </c>
      <c r="AJ199" s="181">
        <f t="shared" si="42"/>
        <v>0</v>
      </c>
      <c r="AK199" s="246">
        <f t="shared" si="64"/>
        <v>9000000</v>
      </c>
      <c r="AL199" s="181">
        <f t="shared" si="43"/>
        <v>100</v>
      </c>
      <c r="AM199" s="243"/>
    </row>
    <row r="200" spans="1:39" ht="28.5" customHeight="1" x14ac:dyDescent="0.25">
      <c r="A200" s="243"/>
      <c r="B200" s="244"/>
      <c r="C200" s="244"/>
      <c r="D200" s="244"/>
      <c r="E200" s="244"/>
      <c r="F200" s="244"/>
      <c r="G200" s="244"/>
      <c r="H200" s="244"/>
      <c r="I200" s="298"/>
      <c r="J200" s="244" t="s">
        <v>315</v>
      </c>
      <c r="K200" s="245"/>
      <c r="L200" s="257"/>
      <c r="M200" s="597" t="s">
        <v>271</v>
      </c>
      <c r="N200" s="598"/>
      <c r="O200" s="299"/>
      <c r="P200" s="180"/>
      <c r="Q200" s="180">
        <v>360000</v>
      </c>
      <c r="R200" s="181">
        <f t="shared" si="67"/>
        <v>0.21330299690710655</v>
      </c>
      <c r="S200" s="181">
        <v>100</v>
      </c>
      <c r="T200" s="180">
        <f t="shared" si="41"/>
        <v>0</v>
      </c>
      <c r="U200" s="180">
        <f t="shared" si="68"/>
        <v>0</v>
      </c>
      <c r="V200" s="182">
        <f t="shared" si="52"/>
        <v>100</v>
      </c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>
        <v>0</v>
      </c>
      <c r="AJ200" s="181">
        <f t="shared" si="42"/>
        <v>0</v>
      </c>
      <c r="AK200" s="246">
        <f t="shared" si="64"/>
        <v>360000</v>
      </c>
      <c r="AL200" s="181">
        <f t="shared" si="43"/>
        <v>100</v>
      </c>
      <c r="AM200" s="243"/>
    </row>
    <row r="201" spans="1:39" ht="28.5" customHeight="1" x14ac:dyDescent="0.25">
      <c r="A201" s="243"/>
      <c r="B201" s="244"/>
      <c r="C201" s="244"/>
      <c r="D201" s="244"/>
      <c r="E201" s="244"/>
      <c r="F201" s="244"/>
      <c r="G201" s="244"/>
      <c r="H201" s="244"/>
      <c r="I201" s="298"/>
      <c r="J201" s="244" t="s">
        <v>280</v>
      </c>
      <c r="K201" s="245"/>
      <c r="L201" s="257"/>
      <c r="M201" s="597" t="s">
        <v>425</v>
      </c>
      <c r="N201" s="598"/>
      <c r="O201" s="299"/>
      <c r="P201" s="180"/>
      <c r="Q201" s="180">
        <v>3500000</v>
      </c>
      <c r="R201" s="181">
        <f t="shared" si="67"/>
        <v>2.073779136596869</v>
      </c>
      <c r="S201" s="181">
        <v>100</v>
      </c>
      <c r="T201" s="180">
        <f t="shared" si="41"/>
        <v>0</v>
      </c>
      <c r="U201" s="180">
        <f t="shared" si="68"/>
        <v>0</v>
      </c>
      <c r="V201" s="182">
        <f t="shared" si="52"/>
        <v>100</v>
      </c>
      <c r="W201" s="180"/>
      <c r="X201" s="180"/>
      <c r="Y201" s="180"/>
      <c r="Z201" s="180"/>
      <c r="AA201" s="180"/>
      <c r="AB201" s="180"/>
      <c r="AC201" s="180"/>
      <c r="AD201" s="180"/>
      <c r="AE201" s="180"/>
      <c r="AF201" s="180"/>
      <c r="AG201" s="180"/>
      <c r="AH201" s="180"/>
      <c r="AI201" s="180">
        <v>0</v>
      </c>
      <c r="AJ201" s="181">
        <f t="shared" si="42"/>
        <v>0</v>
      </c>
      <c r="AK201" s="246">
        <f t="shared" si="64"/>
        <v>3500000</v>
      </c>
      <c r="AL201" s="181">
        <f t="shared" si="43"/>
        <v>100</v>
      </c>
      <c r="AM201" s="243"/>
    </row>
    <row r="202" spans="1:39" ht="28.5" customHeight="1" x14ac:dyDescent="0.25">
      <c r="A202" s="243"/>
      <c r="B202" s="244"/>
      <c r="C202" s="244"/>
      <c r="D202" s="244"/>
      <c r="E202" s="244"/>
      <c r="F202" s="244"/>
      <c r="G202" s="244"/>
      <c r="H202" s="244"/>
      <c r="I202" s="298"/>
      <c r="J202" s="244" t="s">
        <v>284</v>
      </c>
      <c r="K202" s="245"/>
      <c r="L202" s="257"/>
      <c r="M202" s="597" t="s">
        <v>285</v>
      </c>
      <c r="N202" s="598"/>
      <c r="O202" s="299"/>
      <c r="P202" s="180"/>
      <c r="Q202" s="180">
        <v>5250000</v>
      </c>
      <c r="R202" s="181">
        <f t="shared" si="67"/>
        <v>3.1106687048953039</v>
      </c>
      <c r="S202" s="181">
        <v>100</v>
      </c>
      <c r="T202" s="180">
        <f t="shared" si="41"/>
        <v>0</v>
      </c>
      <c r="U202" s="180">
        <f t="shared" si="68"/>
        <v>0</v>
      </c>
      <c r="V202" s="182">
        <f t="shared" si="52"/>
        <v>100</v>
      </c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>
        <v>0</v>
      </c>
      <c r="AJ202" s="181">
        <f t="shared" si="42"/>
        <v>0</v>
      </c>
      <c r="AK202" s="246">
        <f t="shared" si="64"/>
        <v>5250000</v>
      </c>
      <c r="AL202" s="181">
        <f t="shared" si="43"/>
        <v>100</v>
      </c>
      <c r="AM202" s="243"/>
    </row>
    <row r="203" spans="1:39" ht="28.5" customHeight="1" x14ac:dyDescent="0.25">
      <c r="A203" s="243"/>
      <c r="B203" s="244"/>
      <c r="C203" s="244"/>
      <c r="D203" s="244"/>
      <c r="E203" s="244"/>
      <c r="F203" s="244"/>
      <c r="G203" s="244"/>
      <c r="H203" s="244"/>
      <c r="I203" s="298"/>
      <c r="J203" s="244" t="s">
        <v>282</v>
      </c>
      <c r="K203" s="245"/>
      <c r="L203" s="257"/>
      <c r="M203" s="597" t="s">
        <v>283</v>
      </c>
      <c r="N203" s="598"/>
      <c r="O203" s="299"/>
      <c r="P203" s="180"/>
      <c r="Q203" s="180">
        <v>15600000</v>
      </c>
      <c r="R203" s="181">
        <f t="shared" si="67"/>
        <v>9.2431298659746162</v>
      </c>
      <c r="S203" s="181">
        <v>100</v>
      </c>
      <c r="T203" s="180">
        <f t="shared" ref="T203:T275" si="69">AJ203</f>
        <v>0</v>
      </c>
      <c r="U203" s="180">
        <f t="shared" si="68"/>
        <v>0</v>
      </c>
      <c r="V203" s="182">
        <f t="shared" si="52"/>
        <v>100</v>
      </c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>
        <v>0</v>
      </c>
      <c r="AJ203" s="181">
        <f t="shared" ref="AJ203:AJ275" si="70">AI203/Q203*100</f>
        <v>0</v>
      </c>
      <c r="AK203" s="246">
        <f t="shared" si="64"/>
        <v>15600000</v>
      </c>
      <c r="AL203" s="181">
        <f t="shared" ref="AL203:AL275" si="71">AK203/Q203*100</f>
        <v>100</v>
      </c>
      <c r="AM203" s="243"/>
    </row>
    <row r="204" spans="1:39" s="297" customFormat="1" ht="28.5" customHeight="1" x14ac:dyDescent="0.25">
      <c r="A204" s="227">
        <f>A196+1</f>
        <v>27</v>
      </c>
      <c r="B204" s="615" t="s">
        <v>141</v>
      </c>
      <c r="C204" s="615"/>
      <c r="D204" s="615"/>
      <c r="E204" s="615"/>
      <c r="F204" s="615"/>
      <c r="G204" s="615"/>
      <c r="H204" s="615"/>
      <c r="I204" s="614"/>
      <c r="J204" s="304" t="s">
        <v>475</v>
      </c>
      <c r="K204" s="230"/>
      <c r="L204" s="294"/>
      <c r="M204" s="615" t="s">
        <v>142</v>
      </c>
      <c r="N204" s="614"/>
      <c r="O204" s="295">
        <v>299485000</v>
      </c>
      <c r="P204" s="231">
        <f>O204</f>
        <v>299485000</v>
      </c>
      <c r="Q204" s="231">
        <f>SUM(Q205:Q210)</f>
        <v>142716000</v>
      </c>
      <c r="R204" s="233">
        <f>Q204/Q$175*100</f>
        <v>10.893865270331183</v>
      </c>
      <c r="S204" s="233">
        <v>100</v>
      </c>
      <c r="T204" s="231">
        <f t="shared" si="69"/>
        <v>0</v>
      </c>
      <c r="U204" s="231">
        <f>R204*T204/100</f>
        <v>0</v>
      </c>
      <c r="V204" s="296">
        <f t="shared" si="52"/>
        <v>100</v>
      </c>
      <c r="W204" s="231"/>
      <c r="X204" s="231" t="e">
        <f>#REF!</f>
        <v>#REF!</v>
      </c>
      <c r="Y204" s="231" t="e">
        <f>#REF!</f>
        <v>#REF!</v>
      </c>
      <c r="Z204" s="231" t="e">
        <f>#REF!</f>
        <v>#REF!</v>
      </c>
      <c r="AA204" s="231" t="e">
        <f>#REF!</f>
        <v>#REF!</v>
      </c>
      <c r="AB204" s="231">
        <v>4600000</v>
      </c>
      <c r="AC204" s="231" t="e">
        <f>#REF!</f>
        <v>#REF!</v>
      </c>
      <c r="AD204" s="231" t="e">
        <f>#REF!</f>
        <v>#REF!</v>
      </c>
      <c r="AE204" s="231" t="e">
        <f>#REF!</f>
        <v>#REF!</v>
      </c>
      <c r="AF204" s="231" t="e">
        <f>[1]April!N50</f>
        <v>#REF!</v>
      </c>
      <c r="AG204" s="231" t="e">
        <f>[2]april!N50</f>
        <v>#REF!</v>
      </c>
      <c r="AH204" s="231">
        <f>'[3]DES SKPD'!$N50</f>
        <v>221288650</v>
      </c>
      <c r="AI204" s="231">
        <f>SUM(AI205:AI210)</f>
        <v>0</v>
      </c>
      <c r="AJ204" s="233">
        <f t="shared" si="70"/>
        <v>0</v>
      </c>
      <c r="AK204" s="234">
        <f t="shared" si="64"/>
        <v>142716000</v>
      </c>
      <c r="AL204" s="233">
        <f t="shared" si="71"/>
        <v>100</v>
      </c>
      <c r="AM204" s="227"/>
    </row>
    <row r="205" spans="1:39" ht="28.5" customHeight="1" x14ac:dyDescent="0.25">
      <c r="A205" s="243"/>
      <c r="B205" s="244"/>
      <c r="C205" s="244"/>
      <c r="D205" s="244"/>
      <c r="E205" s="244"/>
      <c r="F205" s="244"/>
      <c r="G205" s="244"/>
      <c r="H205" s="244"/>
      <c r="I205" s="298"/>
      <c r="J205" s="244" t="s">
        <v>323</v>
      </c>
      <c r="K205" s="245"/>
      <c r="L205" s="257"/>
      <c r="M205" s="597" t="s">
        <v>324</v>
      </c>
      <c r="N205" s="598"/>
      <c r="O205" s="299"/>
      <c r="P205" s="180"/>
      <c r="Q205" s="180">
        <v>27408000</v>
      </c>
      <c r="R205" s="181">
        <f t="shared" ref="R205:R210" si="72">Q205/Q$204*100</f>
        <v>19.2045741192298</v>
      </c>
      <c r="S205" s="181">
        <v>100</v>
      </c>
      <c r="T205" s="180">
        <f t="shared" si="69"/>
        <v>0</v>
      </c>
      <c r="U205" s="180">
        <f t="shared" ref="U205:U224" si="73">R205*T205/100</f>
        <v>0</v>
      </c>
      <c r="V205" s="182">
        <f t="shared" si="52"/>
        <v>100</v>
      </c>
      <c r="W205" s="180"/>
      <c r="X205" s="180" t="e">
        <f>#REF!</f>
        <v>#REF!</v>
      </c>
      <c r="Y205" s="180" t="e">
        <f>#REF!</f>
        <v>#REF!</v>
      </c>
      <c r="Z205" s="180" t="e">
        <f>#REF!</f>
        <v>#REF!</v>
      </c>
      <c r="AA205" s="180" t="e">
        <f>#REF!</f>
        <v>#REF!</v>
      </c>
      <c r="AB205" s="180">
        <v>4600002</v>
      </c>
      <c r="AC205" s="180" t="e">
        <f>#REF!</f>
        <v>#REF!</v>
      </c>
      <c r="AD205" s="180" t="e">
        <f>#REF!</f>
        <v>#REF!</v>
      </c>
      <c r="AE205" s="180" t="e">
        <f>#REF!</f>
        <v>#REF!</v>
      </c>
      <c r="AF205" s="180" t="e">
        <f>[1]April!N52</f>
        <v>#REF!</v>
      </c>
      <c r="AG205" s="180" t="e">
        <f>[2]april!N52</f>
        <v>#REF!</v>
      </c>
      <c r="AH205" s="180">
        <f>'[3]DES SKPD'!$N52</f>
        <v>73668000</v>
      </c>
      <c r="AI205" s="180">
        <v>0</v>
      </c>
      <c r="AJ205" s="181">
        <f t="shared" si="70"/>
        <v>0</v>
      </c>
      <c r="AK205" s="246">
        <f t="shared" si="64"/>
        <v>27408000</v>
      </c>
      <c r="AL205" s="181">
        <f t="shared" si="71"/>
        <v>100</v>
      </c>
      <c r="AM205" s="243"/>
    </row>
    <row r="206" spans="1:39" ht="28.5" customHeight="1" x14ac:dyDescent="0.25">
      <c r="A206" s="243"/>
      <c r="B206" s="244"/>
      <c r="C206" s="244"/>
      <c r="D206" s="244"/>
      <c r="E206" s="244"/>
      <c r="F206" s="244"/>
      <c r="G206" s="244"/>
      <c r="H206" s="244"/>
      <c r="I206" s="298"/>
      <c r="J206" s="244" t="s">
        <v>269</v>
      </c>
      <c r="K206" s="245"/>
      <c r="L206" s="257"/>
      <c r="M206" s="597" t="s">
        <v>270</v>
      </c>
      <c r="N206" s="598"/>
      <c r="O206" s="299"/>
      <c r="P206" s="180"/>
      <c r="Q206" s="180">
        <v>17800000</v>
      </c>
      <c r="R206" s="181">
        <f t="shared" si="72"/>
        <v>12.472322654782927</v>
      </c>
      <c r="S206" s="181">
        <v>100</v>
      </c>
      <c r="T206" s="180">
        <f t="shared" si="69"/>
        <v>0</v>
      </c>
      <c r="U206" s="180">
        <f t="shared" si="73"/>
        <v>0</v>
      </c>
      <c r="V206" s="182">
        <f t="shared" si="52"/>
        <v>100</v>
      </c>
      <c r="W206" s="180"/>
      <c r="X206" s="180" t="e">
        <f>#REF!</f>
        <v>#REF!</v>
      </c>
      <c r="Y206" s="180" t="e">
        <f>#REF!</f>
        <v>#REF!</v>
      </c>
      <c r="Z206" s="180" t="e">
        <f>#REF!</f>
        <v>#REF!</v>
      </c>
      <c r="AA206" s="180" t="e">
        <f>#REF!</f>
        <v>#REF!</v>
      </c>
      <c r="AB206" s="180">
        <v>4600003</v>
      </c>
      <c r="AC206" s="180" t="e">
        <f>#REF!</f>
        <v>#REF!</v>
      </c>
      <c r="AD206" s="180" t="e">
        <f>#REF!</f>
        <v>#REF!</v>
      </c>
      <c r="AE206" s="180" t="e">
        <f>#REF!</f>
        <v>#REF!</v>
      </c>
      <c r="AF206" s="180" t="e">
        <f>[1]April!N53</f>
        <v>#REF!</v>
      </c>
      <c r="AG206" s="180" t="e">
        <f>[2]april!N53</f>
        <v>#REF!</v>
      </c>
      <c r="AH206" s="180" t="e">
        <f>'[3]DES SKPD'!$N53</f>
        <v>#REF!</v>
      </c>
      <c r="AI206" s="180">
        <v>0</v>
      </c>
      <c r="AJ206" s="181">
        <f t="shared" si="70"/>
        <v>0</v>
      </c>
      <c r="AK206" s="246">
        <f t="shared" si="64"/>
        <v>17800000</v>
      </c>
      <c r="AL206" s="181">
        <f t="shared" si="71"/>
        <v>100</v>
      </c>
      <c r="AM206" s="243"/>
    </row>
    <row r="207" spans="1:39" ht="28.5" customHeight="1" x14ac:dyDescent="0.25">
      <c r="A207" s="243"/>
      <c r="B207" s="244"/>
      <c r="C207" s="244"/>
      <c r="D207" s="244"/>
      <c r="E207" s="244"/>
      <c r="F207" s="244"/>
      <c r="G207" s="244"/>
      <c r="H207" s="244"/>
      <c r="I207" s="298"/>
      <c r="J207" s="244" t="s">
        <v>315</v>
      </c>
      <c r="K207" s="245"/>
      <c r="L207" s="257"/>
      <c r="M207" s="597" t="s">
        <v>271</v>
      </c>
      <c r="N207" s="598"/>
      <c r="O207" s="299"/>
      <c r="P207" s="180"/>
      <c r="Q207" s="180">
        <v>3648000</v>
      </c>
      <c r="R207" s="181">
        <f t="shared" si="72"/>
        <v>2.5561254519465235</v>
      </c>
      <c r="S207" s="181">
        <v>100</v>
      </c>
      <c r="T207" s="180">
        <f t="shared" si="69"/>
        <v>0</v>
      </c>
      <c r="U207" s="180">
        <f t="shared" si="73"/>
        <v>0</v>
      </c>
      <c r="V207" s="182">
        <f t="shared" si="52"/>
        <v>100</v>
      </c>
      <c r="W207" s="180"/>
      <c r="X207" s="180" t="e">
        <f>#REF!</f>
        <v>#REF!</v>
      </c>
      <c r="Y207" s="180" t="e">
        <f>#REF!</f>
        <v>#REF!</v>
      </c>
      <c r="Z207" s="180" t="e">
        <f>#REF!</f>
        <v>#REF!</v>
      </c>
      <c r="AA207" s="180" t="e">
        <f>#REF!</f>
        <v>#REF!</v>
      </c>
      <c r="AB207" s="180">
        <v>4600004</v>
      </c>
      <c r="AC207" s="180" t="e">
        <f>#REF!</f>
        <v>#REF!</v>
      </c>
      <c r="AD207" s="180" t="e">
        <f>#REF!</f>
        <v>#REF!</v>
      </c>
      <c r="AE207" s="180" t="e">
        <f>#REF!</f>
        <v>#REF!</v>
      </c>
      <c r="AF207" s="180" t="e">
        <f>[1]April!N54</f>
        <v>#REF!</v>
      </c>
      <c r="AG207" s="180" t="e">
        <f>[2]april!N54</f>
        <v>#REF!</v>
      </c>
      <c r="AH207" s="180">
        <f>'[3]DES SKPD'!$N54</f>
        <v>508172500</v>
      </c>
      <c r="AI207" s="180">
        <v>0</v>
      </c>
      <c r="AJ207" s="181">
        <f t="shared" si="70"/>
        <v>0</v>
      </c>
      <c r="AK207" s="246">
        <f t="shared" si="64"/>
        <v>3648000</v>
      </c>
      <c r="AL207" s="181">
        <f t="shared" si="71"/>
        <v>100</v>
      </c>
      <c r="AM207" s="243"/>
    </row>
    <row r="208" spans="1:39" ht="28.5" customHeight="1" x14ac:dyDescent="0.25">
      <c r="A208" s="243"/>
      <c r="B208" s="244"/>
      <c r="C208" s="244"/>
      <c r="D208" s="244"/>
      <c r="E208" s="244"/>
      <c r="F208" s="244"/>
      <c r="G208" s="244"/>
      <c r="H208" s="244"/>
      <c r="I208" s="298"/>
      <c r="J208" s="244" t="s">
        <v>328</v>
      </c>
      <c r="K208" s="245"/>
      <c r="L208" s="257"/>
      <c r="M208" s="597" t="s">
        <v>329</v>
      </c>
      <c r="N208" s="598"/>
      <c r="O208" s="299"/>
      <c r="P208" s="180"/>
      <c r="Q208" s="180">
        <v>36000000</v>
      </c>
      <c r="R208" s="181">
        <f t="shared" si="72"/>
        <v>25.224922223156476</v>
      </c>
      <c r="S208" s="181">
        <v>100</v>
      </c>
      <c r="T208" s="180">
        <f t="shared" si="69"/>
        <v>0</v>
      </c>
      <c r="U208" s="180">
        <f t="shared" si="73"/>
        <v>0</v>
      </c>
      <c r="V208" s="182">
        <f t="shared" si="52"/>
        <v>100</v>
      </c>
      <c r="W208" s="180"/>
      <c r="X208" s="180" t="e">
        <f>#REF!</f>
        <v>#REF!</v>
      </c>
      <c r="Y208" s="180" t="e">
        <f>#REF!</f>
        <v>#REF!</v>
      </c>
      <c r="Z208" s="180" t="e">
        <f>#REF!</f>
        <v>#REF!</v>
      </c>
      <c r="AA208" s="180" t="e">
        <f>#REF!</f>
        <v>#REF!</v>
      </c>
      <c r="AB208" s="180">
        <v>4600004</v>
      </c>
      <c r="AC208" s="180" t="e">
        <f>#REF!</f>
        <v>#REF!</v>
      </c>
      <c r="AD208" s="180" t="e">
        <f>#REF!</f>
        <v>#REF!</v>
      </c>
      <c r="AE208" s="180" t="e">
        <f>#REF!</f>
        <v>#REF!</v>
      </c>
      <c r="AF208" s="180" t="e">
        <f>[1]April!N55</f>
        <v>#REF!</v>
      </c>
      <c r="AG208" s="180" t="e">
        <f>[2]april!N55</f>
        <v>#REF!</v>
      </c>
      <c r="AH208" s="180" t="e">
        <f>'[3]DES SKPD'!$N55</f>
        <v>#REF!</v>
      </c>
      <c r="AI208" s="180">
        <v>0</v>
      </c>
      <c r="AJ208" s="181">
        <f t="shared" si="70"/>
        <v>0</v>
      </c>
      <c r="AK208" s="246">
        <f t="shared" si="64"/>
        <v>36000000</v>
      </c>
      <c r="AL208" s="181">
        <f t="shared" si="71"/>
        <v>100</v>
      </c>
      <c r="AM208" s="243"/>
    </row>
    <row r="209" spans="1:39" ht="28.5" customHeight="1" x14ac:dyDescent="0.25">
      <c r="A209" s="243"/>
      <c r="B209" s="244"/>
      <c r="C209" s="244"/>
      <c r="D209" s="244"/>
      <c r="E209" s="244"/>
      <c r="F209" s="244"/>
      <c r="G209" s="244"/>
      <c r="H209" s="244"/>
      <c r="I209" s="298"/>
      <c r="J209" s="244" t="s">
        <v>280</v>
      </c>
      <c r="K209" s="245"/>
      <c r="L209" s="257"/>
      <c r="M209" s="597" t="s">
        <v>281</v>
      </c>
      <c r="N209" s="598"/>
      <c r="O209" s="299"/>
      <c r="P209" s="180"/>
      <c r="Q209" s="180">
        <v>15750000</v>
      </c>
      <c r="R209" s="181">
        <f t="shared" si="72"/>
        <v>11.035903472630959</v>
      </c>
      <c r="S209" s="181">
        <v>100</v>
      </c>
      <c r="T209" s="180">
        <f t="shared" si="69"/>
        <v>0</v>
      </c>
      <c r="U209" s="180">
        <f t="shared" si="73"/>
        <v>0</v>
      </c>
      <c r="V209" s="182">
        <f t="shared" si="52"/>
        <v>100</v>
      </c>
      <c r="W209" s="180"/>
      <c r="X209" s="180" t="e">
        <f>#REF!</f>
        <v>#REF!</v>
      </c>
      <c r="Y209" s="180" t="e">
        <f>#REF!</f>
        <v>#REF!</v>
      </c>
      <c r="Z209" s="180" t="e">
        <f>#REF!</f>
        <v>#REF!</v>
      </c>
      <c r="AA209" s="180" t="e">
        <f>#REF!</f>
        <v>#REF!</v>
      </c>
      <c r="AB209" s="180">
        <v>4600005</v>
      </c>
      <c r="AC209" s="180" t="e">
        <f>#REF!</f>
        <v>#REF!</v>
      </c>
      <c r="AD209" s="180" t="e">
        <f>#REF!</f>
        <v>#REF!</v>
      </c>
      <c r="AE209" s="180" t="e">
        <f>#REF!</f>
        <v>#REF!</v>
      </c>
      <c r="AF209" s="180" t="e">
        <f>[1]April!N55</f>
        <v>#REF!</v>
      </c>
      <c r="AG209" s="180" t="e">
        <f>[2]april!N55</f>
        <v>#REF!</v>
      </c>
      <c r="AH209" s="180" t="e">
        <f>'[3]DES SKPD'!$N55</f>
        <v>#REF!</v>
      </c>
      <c r="AI209" s="180">
        <v>0</v>
      </c>
      <c r="AJ209" s="181">
        <f t="shared" si="70"/>
        <v>0</v>
      </c>
      <c r="AK209" s="246">
        <f t="shared" si="64"/>
        <v>15750000</v>
      </c>
      <c r="AL209" s="181">
        <f t="shared" si="71"/>
        <v>100</v>
      </c>
      <c r="AM209" s="243"/>
    </row>
    <row r="210" spans="1:39" ht="28.5" customHeight="1" x14ac:dyDescent="0.25">
      <c r="A210" s="243"/>
      <c r="B210" s="244"/>
      <c r="C210" s="244"/>
      <c r="D210" s="244"/>
      <c r="E210" s="244"/>
      <c r="F210" s="244"/>
      <c r="G210" s="244"/>
      <c r="H210" s="244"/>
      <c r="I210" s="298"/>
      <c r="J210" s="244" t="s">
        <v>282</v>
      </c>
      <c r="K210" s="245"/>
      <c r="L210" s="257"/>
      <c r="M210" s="597" t="s">
        <v>283</v>
      </c>
      <c r="N210" s="598"/>
      <c r="O210" s="299"/>
      <c r="P210" s="180"/>
      <c r="Q210" s="180">
        <v>42110000</v>
      </c>
      <c r="R210" s="181">
        <f t="shared" si="72"/>
        <v>29.506152078253312</v>
      </c>
      <c r="S210" s="181">
        <v>100</v>
      </c>
      <c r="T210" s="180">
        <f t="shared" si="69"/>
        <v>0</v>
      </c>
      <c r="U210" s="180">
        <f t="shared" si="73"/>
        <v>0</v>
      </c>
      <c r="V210" s="182">
        <f t="shared" si="52"/>
        <v>100</v>
      </c>
      <c r="W210" s="180"/>
      <c r="X210" s="180" t="e">
        <f>#REF!</f>
        <v>#REF!</v>
      </c>
      <c r="Y210" s="180" t="e">
        <f>#REF!</f>
        <v>#REF!</v>
      </c>
      <c r="Z210" s="180" t="e">
        <f>#REF!</f>
        <v>#REF!</v>
      </c>
      <c r="AA210" s="180" t="e">
        <f>#REF!</f>
        <v>#REF!</v>
      </c>
      <c r="AB210" s="180">
        <v>4600006</v>
      </c>
      <c r="AC210" s="180" t="e">
        <f>#REF!</f>
        <v>#REF!</v>
      </c>
      <c r="AD210" s="180" t="e">
        <f>#REF!</f>
        <v>#REF!</v>
      </c>
      <c r="AE210" s="180" t="e">
        <f>#REF!</f>
        <v>#REF!</v>
      </c>
      <c r="AF210" s="180" t="e">
        <f>[1]April!N56</f>
        <v>#REF!</v>
      </c>
      <c r="AG210" s="180" t="e">
        <f>[2]april!N56</f>
        <v>#REF!</v>
      </c>
      <c r="AH210" s="180">
        <f>'[3]DES SKPD'!$N56</f>
        <v>260098500</v>
      </c>
      <c r="AI210" s="180">
        <v>0</v>
      </c>
      <c r="AJ210" s="181">
        <f t="shared" si="70"/>
        <v>0</v>
      </c>
      <c r="AK210" s="246">
        <f t="shared" si="64"/>
        <v>42110000</v>
      </c>
      <c r="AL210" s="181">
        <f t="shared" si="71"/>
        <v>100</v>
      </c>
      <c r="AM210" s="243"/>
    </row>
    <row r="211" spans="1:39" s="297" customFormat="1" ht="32.25" customHeight="1" x14ac:dyDescent="0.25">
      <c r="A211" s="227">
        <f>A204+1</f>
        <v>28</v>
      </c>
      <c r="B211" s="615" t="s">
        <v>141</v>
      </c>
      <c r="C211" s="615"/>
      <c r="D211" s="615"/>
      <c r="E211" s="615"/>
      <c r="F211" s="615"/>
      <c r="G211" s="615"/>
      <c r="H211" s="615"/>
      <c r="I211" s="614"/>
      <c r="J211" s="304" t="s">
        <v>476</v>
      </c>
      <c r="K211" s="230"/>
      <c r="L211" s="294"/>
      <c r="M211" s="615" t="s">
        <v>143</v>
      </c>
      <c r="N211" s="614"/>
      <c r="O211" s="295">
        <v>359210000</v>
      </c>
      <c r="P211" s="231">
        <f>O211</f>
        <v>359210000</v>
      </c>
      <c r="Q211" s="231">
        <f>SUM(Q212:Q216)</f>
        <v>138060000</v>
      </c>
      <c r="R211" s="233">
        <f>Q211/Q$175*100</f>
        <v>10.538461274292462</v>
      </c>
      <c r="S211" s="233">
        <v>100</v>
      </c>
      <c r="T211" s="231">
        <f t="shared" si="69"/>
        <v>0</v>
      </c>
      <c r="U211" s="231">
        <f t="shared" si="73"/>
        <v>0</v>
      </c>
      <c r="V211" s="296">
        <f t="shared" si="52"/>
        <v>100</v>
      </c>
      <c r="W211" s="231"/>
      <c r="X211" s="231" t="e">
        <f>#REF!</f>
        <v>#REF!</v>
      </c>
      <c r="Y211" s="231" t="e">
        <f>#REF!</f>
        <v>#REF!</v>
      </c>
      <c r="Z211" s="231" t="e">
        <f>#REF!</f>
        <v>#REF!</v>
      </c>
      <c r="AA211" s="231" t="e">
        <f>#REF!</f>
        <v>#REF!</v>
      </c>
      <c r="AB211" s="231">
        <v>173940000</v>
      </c>
      <c r="AC211" s="231" t="e">
        <f>#REF!</f>
        <v>#REF!</v>
      </c>
      <c r="AD211" s="231" t="e">
        <f>#REF!</f>
        <v>#REF!</v>
      </c>
      <c r="AE211" s="231" t="e">
        <f>#REF!</f>
        <v>#REF!</v>
      </c>
      <c r="AF211" s="231" t="e">
        <f>[1]April!N51</f>
        <v>#REF!</v>
      </c>
      <c r="AG211" s="231" t="e">
        <f>[2]april!N51</f>
        <v>#REF!</v>
      </c>
      <c r="AH211" s="231">
        <f>'[3]DES SKPD'!$N51</f>
        <v>317812000</v>
      </c>
      <c r="AI211" s="231">
        <f>SUM(AI212:AI216)</f>
        <v>0</v>
      </c>
      <c r="AJ211" s="233">
        <f t="shared" si="70"/>
        <v>0</v>
      </c>
      <c r="AK211" s="234">
        <f t="shared" si="64"/>
        <v>138060000</v>
      </c>
      <c r="AL211" s="233">
        <f t="shared" si="71"/>
        <v>100</v>
      </c>
      <c r="AM211" s="227"/>
    </row>
    <row r="212" spans="1:39" ht="28.5" customHeight="1" x14ac:dyDescent="0.25">
      <c r="A212" s="243"/>
      <c r="B212" s="244"/>
      <c r="C212" s="244"/>
      <c r="D212" s="244"/>
      <c r="E212" s="244"/>
      <c r="F212" s="244"/>
      <c r="G212" s="244"/>
      <c r="H212" s="244"/>
      <c r="I212" s="298"/>
      <c r="J212" s="244" t="s">
        <v>332</v>
      </c>
      <c r="K212" s="245"/>
      <c r="L212" s="257"/>
      <c r="M212" s="597" t="s">
        <v>335</v>
      </c>
      <c r="N212" s="598"/>
      <c r="O212" s="299"/>
      <c r="P212" s="180"/>
      <c r="Q212" s="180">
        <v>1000000</v>
      </c>
      <c r="R212" s="181">
        <f>Q212/Q$211*100</f>
        <v>0.72432275822106329</v>
      </c>
      <c r="S212" s="181">
        <v>100</v>
      </c>
      <c r="T212" s="180">
        <f t="shared" si="69"/>
        <v>0</v>
      </c>
      <c r="U212" s="180">
        <f t="shared" si="73"/>
        <v>0</v>
      </c>
      <c r="V212" s="182">
        <f t="shared" si="52"/>
        <v>100</v>
      </c>
      <c r="W212" s="180"/>
      <c r="X212" s="180" t="e">
        <f>#REF!</f>
        <v>#REF!</v>
      </c>
      <c r="Y212" s="180" t="e">
        <f>#REF!</f>
        <v>#REF!</v>
      </c>
      <c r="Z212" s="180" t="e">
        <f>#REF!</f>
        <v>#REF!</v>
      </c>
      <c r="AA212" s="180" t="e">
        <f>#REF!</f>
        <v>#REF!</v>
      </c>
      <c r="AB212" s="180">
        <v>173940002</v>
      </c>
      <c r="AC212" s="180" t="e">
        <f>#REF!</f>
        <v>#REF!</v>
      </c>
      <c r="AD212" s="180" t="e">
        <f>#REF!</f>
        <v>#REF!</v>
      </c>
      <c r="AE212" s="180" t="e">
        <f>#REF!</f>
        <v>#REF!</v>
      </c>
      <c r="AF212" s="180" t="e">
        <f>[1]April!N53</f>
        <v>#REF!</v>
      </c>
      <c r="AG212" s="180" t="e">
        <f>[2]april!N53</f>
        <v>#REF!</v>
      </c>
      <c r="AH212" s="180" t="e">
        <f>'[3]DES SKPD'!$N53</f>
        <v>#REF!</v>
      </c>
      <c r="AI212" s="180">
        <v>0</v>
      </c>
      <c r="AJ212" s="181">
        <f t="shared" si="70"/>
        <v>0</v>
      </c>
      <c r="AK212" s="246">
        <f t="shared" si="64"/>
        <v>1000000</v>
      </c>
      <c r="AL212" s="181">
        <f t="shared" si="71"/>
        <v>100</v>
      </c>
      <c r="AM212" s="243"/>
    </row>
    <row r="213" spans="1:39" ht="28.5" customHeight="1" x14ac:dyDescent="0.25">
      <c r="A213" s="243"/>
      <c r="B213" s="244"/>
      <c r="C213" s="244"/>
      <c r="D213" s="244"/>
      <c r="E213" s="244"/>
      <c r="F213" s="244"/>
      <c r="G213" s="244"/>
      <c r="H213" s="244"/>
      <c r="I213" s="298"/>
      <c r="J213" s="244" t="s">
        <v>333</v>
      </c>
      <c r="K213" s="245"/>
      <c r="L213" s="257"/>
      <c r="M213" s="597" t="s">
        <v>334</v>
      </c>
      <c r="N213" s="598"/>
      <c r="O213" s="299"/>
      <c r="P213" s="180"/>
      <c r="Q213" s="180">
        <v>20000000</v>
      </c>
      <c r="R213" s="181">
        <f>Q213/Q$211*100</f>
        <v>14.486455164421267</v>
      </c>
      <c r="S213" s="181">
        <v>100</v>
      </c>
      <c r="T213" s="180">
        <f t="shared" si="69"/>
        <v>0</v>
      </c>
      <c r="U213" s="180">
        <f t="shared" si="73"/>
        <v>0</v>
      </c>
      <c r="V213" s="182">
        <f t="shared" si="52"/>
        <v>100</v>
      </c>
      <c r="W213" s="180"/>
      <c r="X213" s="180" t="e">
        <f>#REF!</f>
        <v>#REF!</v>
      </c>
      <c r="Y213" s="180" t="e">
        <f>#REF!</f>
        <v>#REF!</v>
      </c>
      <c r="Z213" s="180" t="e">
        <f>#REF!</f>
        <v>#REF!</v>
      </c>
      <c r="AA213" s="180" t="e">
        <f>#REF!</f>
        <v>#REF!</v>
      </c>
      <c r="AB213" s="180">
        <v>173940003</v>
      </c>
      <c r="AC213" s="180" t="e">
        <f>#REF!</f>
        <v>#REF!</v>
      </c>
      <c r="AD213" s="180" t="e">
        <f>#REF!</f>
        <v>#REF!</v>
      </c>
      <c r="AE213" s="180" t="e">
        <f>#REF!</f>
        <v>#REF!</v>
      </c>
      <c r="AF213" s="180" t="e">
        <f>[1]April!N54</f>
        <v>#REF!</v>
      </c>
      <c r="AG213" s="180" t="e">
        <f>[2]april!N54</f>
        <v>#REF!</v>
      </c>
      <c r="AH213" s="180">
        <f>'[3]DES SKPD'!$N54</f>
        <v>508172500</v>
      </c>
      <c r="AI213" s="180">
        <v>0</v>
      </c>
      <c r="AJ213" s="181">
        <f t="shared" si="70"/>
        <v>0</v>
      </c>
      <c r="AK213" s="246">
        <f t="shared" si="64"/>
        <v>20000000</v>
      </c>
      <c r="AL213" s="181">
        <f t="shared" si="71"/>
        <v>100</v>
      </c>
      <c r="AM213" s="243"/>
    </row>
    <row r="214" spans="1:39" ht="28.5" customHeight="1" x14ac:dyDescent="0.25">
      <c r="A214" s="243"/>
      <c r="B214" s="244"/>
      <c r="C214" s="244"/>
      <c r="D214" s="244"/>
      <c r="E214" s="244"/>
      <c r="F214" s="244"/>
      <c r="G214" s="244"/>
      <c r="H214" s="244"/>
      <c r="I214" s="298"/>
      <c r="J214" s="244" t="s">
        <v>336</v>
      </c>
      <c r="K214" s="245"/>
      <c r="L214" s="257"/>
      <c r="M214" s="597" t="s">
        <v>337</v>
      </c>
      <c r="N214" s="598"/>
      <c r="O214" s="299"/>
      <c r="P214" s="180"/>
      <c r="Q214" s="180">
        <v>92100000</v>
      </c>
      <c r="R214" s="181">
        <f>Q214/Q$211*100</f>
        <v>66.710126032159934</v>
      </c>
      <c r="S214" s="181">
        <v>100</v>
      </c>
      <c r="T214" s="180">
        <f t="shared" si="69"/>
        <v>0</v>
      </c>
      <c r="U214" s="180">
        <f t="shared" si="73"/>
        <v>0</v>
      </c>
      <c r="V214" s="182">
        <f t="shared" si="52"/>
        <v>100</v>
      </c>
      <c r="W214" s="180"/>
      <c r="X214" s="180" t="e">
        <f>#REF!</f>
        <v>#REF!</v>
      </c>
      <c r="Y214" s="180" t="e">
        <f>#REF!</f>
        <v>#REF!</v>
      </c>
      <c r="Z214" s="180" t="e">
        <f>#REF!</f>
        <v>#REF!</v>
      </c>
      <c r="AA214" s="180" t="e">
        <f>#REF!</f>
        <v>#REF!</v>
      </c>
      <c r="AB214" s="180">
        <v>173940004</v>
      </c>
      <c r="AC214" s="180" t="e">
        <f>#REF!</f>
        <v>#REF!</v>
      </c>
      <c r="AD214" s="180" t="e">
        <f>#REF!</f>
        <v>#REF!</v>
      </c>
      <c r="AE214" s="180" t="e">
        <f>#REF!</f>
        <v>#REF!</v>
      </c>
      <c r="AF214" s="180" t="e">
        <f>[1]April!N55</f>
        <v>#REF!</v>
      </c>
      <c r="AG214" s="180" t="e">
        <f>[2]april!N55</f>
        <v>#REF!</v>
      </c>
      <c r="AH214" s="180" t="e">
        <f>'[3]DES SKPD'!$N55</f>
        <v>#REF!</v>
      </c>
      <c r="AI214" s="180">
        <v>0</v>
      </c>
      <c r="AJ214" s="181">
        <f t="shared" si="70"/>
        <v>0</v>
      </c>
      <c r="AK214" s="246">
        <f t="shared" si="64"/>
        <v>92100000</v>
      </c>
      <c r="AL214" s="181">
        <f t="shared" si="71"/>
        <v>100</v>
      </c>
      <c r="AM214" s="243"/>
    </row>
    <row r="215" spans="1:39" ht="28.5" customHeight="1" x14ac:dyDescent="0.25">
      <c r="A215" s="243"/>
      <c r="B215" s="244"/>
      <c r="C215" s="244"/>
      <c r="D215" s="244"/>
      <c r="E215" s="244"/>
      <c r="F215" s="244"/>
      <c r="G215" s="244"/>
      <c r="H215" s="244"/>
      <c r="I215" s="298"/>
      <c r="J215" s="244" t="s">
        <v>309</v>
      </c>
      <c r="K215" s="245"/>
      <c r="L215" s="257"/>
      <c r="M215" s="597" t="s">
        <v>310</v>
      </c>
      <c r="N215" s="598"/>
      <c r="O215" s="299"/>
      <c r="P215" s="180"/>
      <c r="Q215" s="180">
        <v>21600000</v>
      </c>
      <c r="R215" s="181">
        <f>Q215/Q$211*100</f>
        <v>15.645371577574968</v>
      </c>
      <c r="S215" s="181">
        <v>100</v>
      </c>
      <c r="T215" s="180">
        <f t="shared" si="69"/>
        <v>0</v>
      </c>
      <c r="U215" s="180">
        <f t="shared" si="73"/>
        <v>0</v>
      </c>
      <c r="V215" s="182">
        <f t="shared" ref="V215:V292" si="74">S215-T215</f>
        <v>100</v>
      </c>
      <c r="W215" s="180"/>
      <c r="X215" s="180" t="e">
        <f>#REF!</f>
        <v>#REF!</v>
      </c>
      <c r="Y215" s="180" t="e">
        <f>#REF!</f>
        <v>#REF!</v>
      </c>
      <c r="Z215" s="180" t="e">
        <f>#REF!</f>
        <v>#REF!</v>
      </c>
      <c r="AA215" s="180" t="e">
        <f>#REF!</f>
        <v>#REF!</v>
      </c>
      <c r="AB215" s="180">
        <v>173940006</v>
      </c>
      <c r="AC215" s="180" t="e">
        <f>#REF!</f>
        <v>#REF!</v>
      </c>
      <c r="AD215" s="180" t="e">
        <f>#REF!</f>
        <v>#REF!</v>
      </c>
      <c r="AE215" s="180" t="e">
        <f>#REF!</f>
        <v>#REF!</v>
      </c>
      <c r="AF215" s="180" t="e">
        <f>[1]April!N57</f>
        <v>#REF!</v>
      </c>
      <c r="AG215" s="180" t="e">
        <f>[2]april!N57</f>
        <v>#REF!</v>
      </c>
      <c r="AH215" s="180">
        <f>'[3]DES SKPD'!$N57</f>
        <v>371775000</v>
      </c>
      <c r="AI215" s="180">
        <v>0</v>
      </c>
      <c r="AJ215" s="181">
        <f>AI215/Q215*100</f>
        <v>0</v>
      </c>
      <c r="AK215" s="246">
        <f>Q215-AI215</f>
        <v>21600000</v>
      </c>
      <c r="AL215" s="181">
        <f t="shared" si="71"/>
        <v>100</v>
      </c>
      <c r="AM215" s="243"/>
    </row>
    <row r="216" spans="1:39" ht="28.5" customHeight="1" x14ac:dyDescent="0.25">
      <c r="A216" s="243"/>
      <c r="B216" s="244"/>
      <c r="C216" s="244"/>
      <c r="D216" s="244"/>
      <c r="E216" s="244"/>
      <c r="F216" s="244"/>
      <c r="G216" s="244"/>
      <c r="H216" s="244"/>
      <c r="I216" s="298"/>
      <c r="J216" s="244" t="s">
        <v>551</v>
      </c>
      <c r="K216" s="245"/>
      <c r="L216" s="257"/>
      <c r="M216" s="597" t="s">
        <v>550</v>
      </c>
      <c r="N216" s="598"/>
      <c r="O216" s="299"/>
      <c r="P216" s="180"/>
      <c r="Q216" s="180">
        <v>3360000</v>
      </c>
      <c r="R216" s="181">
        <f>Q216/Q$211*100</f>
        <v>2.4337244676227727</v>
      </c>
      <c r="S216" s="181">
        <v>100</v>
      </c>
      <c r="T216" s="180">
        <f t="shared" si="69"/>
        <v>0</v>
      </c>
      <c r="U216" s="180">
        <f t="shared" si="73"/>
        <v>0</v>
      </c>
      <c r="V216" s="182">
        <f t="shared" si="74"/>
        <v>100</v>
      </c>
      <c r="W216" s="180"/>
      <c r="X216" s="180"/>
      <c r="Y216" s="180"/>
      <c r="Z216" s="180"/>
      <c r="AA216" s="180"/>
      <c r="AB216" s="180"/>
      <c r="AC216" s="180"/>
      <c r="AD216" s="180"/>
      <c r="AE216" s="180"/>
      <c r="AF216" s="180"/>
      <c r="AG216" s="180"/>
      <c r="AH216" s="180"/>
      <c r="AI216" s="180">
        <v>0</v>
      </c>
      <c r="AJ216" s="181">
        <f>AI216/Q216*100</f>
        <v>0</v>
      </c>
      <c r="AK216" s="246">
        <f>Q216-AI216</f>
        <v>3360000</v>
      </c>
      <c r="AL216" s="181">
        <f t="shared" si="71"/>
        <v>100</v>
      </c>
      <c r="AM216" s="243"/>
    </row>
    <row r="217" spans="1:39" ht="28.5" customHeight="1" x14ac:dyDescent="0.25">
      <c r="A217" s="227">
        <v>29</v>
      </c>
      <c r="B217" s="244"/>
      <c r="C217" s="244"/>
      <c r="D217" s="244"/>
      <c r="E217" s="244"/>
      <c r="F217" s="244"/>
      <c r="G217" s="244"/>
      <c r="H217" s="244"/>
      <c r="I217" s="298"/>
      <c r="J217" s="304" t="s">
        <v>477</v>
      </c>
      <c r="K217" s="230"/>
      <c r="L217" s="294"/>
      <c r="M217" s="615" t="s">
        <v>472</v>
      </c>
      <c r="N217" s="614"/>
      <c r="O217" s="295">
        <v>85915000</v>
      </c>
      <c r="P217" s="231">
        <f>O217</f>
        <v>85915000</v>
      </c>
      <c r="Q217" s="231">
        <f>SUM(Q218:Q224)</f>
        <v>102020000</v>
      </c>
      <c r="R217" s="233">
        <f>Q217/Q$175*100</f>
        <v>7.7874389338209271</v>
      </c>
      <c r="S217" s="233">
        <v>100</v>
      </c>
      <c r="T217" s="231">
        <f t="shared" si="69"/>
        <v>0</v>
      </c>
      <c r="U217" s="231">
        <f t="shared" si="73"/>
        <v>0</v>
      </c>
      <c r="V217" s="296">
        <f t="shared" si="74"/>
        <v>100</v>
      </c>
      <c r="W217" s="231"/>
      <c r="X217" s="231" t="e">
        <f>#REF!</f>
        <v>#REF!</v>
      </c>
      <c r="Y217" s="231" t="e">
        <f>#REF!</f>
        <v>#REF!</v>
      </c>
      <c r="Z217" s="231" t="e">
        <f>#REF!</f>
        <v>#REF!</v>
      </c>
      <c r="AA217" s="231" t="e">
        <f>#REF!</f>
        <v>#REF!</v>
      </c>
      <c r="AB217" s="231">
        <v>0</v>
      </c>
      <c r="AC217" s="231" t="e">
        <f>#REF!</f>
        <v>#REF!</v>
      </c>
      <c r="AD217" s="231" t="e">
        <f>#REF!</f>
        <v>#REF!</v>
      </c>
      <c r="AE217" s="231" t="e">
        <f>#REF!</f>
        <v>#REF!</v>
      </c>
      <c r="AF217" s="231" t="e">
        <f>[1]April!N45</f>
        <v>#REF!</v>
      </c>
      <c r="AG217" s="231" t="e">
        <f>[2]april!N45</f>
        <v>#REF!</v>
      </c>
      <c r="AH217" s="231">
        <f>'[3]DES SKPD'!$N45</f>
        <v>320566100</v>
      </c>
      <c r="AI217" s="231">
        <f>SUM(AI218:AI224)</f>
        <v>0</v>
      </c>
      <c r="AJ217" s="233">
        <f t="shared" si="70"/>
        <v>0</v>
      </c>
      <c r="AK217" s="234">
        <f t="shared" si="64"/>
        <v>102020000</v>
      </c>
      <c r="AL217" s="233">
        <f t="shared" si="71"/>
        <v>100</v>
      </c>
      <c r="AM217" s="243"/>
    </row>
    <row r="218" spans="1:39" ht="28.5" customHeight="1" x14ac:dyDescent="0.25">
      <c r="A218" s="243"/>
      <c r="B218" s="244"/>
      <c r="C218" s="244"/>
      <c r="D218" s="244"/>
      <c r="E218" s="244"/>
      <c r="F218" s="244"/>
      <c r="G218" s="244"/>
      <c r="H218" s="244"/>
      <c r="I218" s="298"/>
      <c r="J218" s="244" t="s">
        <v>257</v>
      </c>
      <c r="K218" s="245"/>
      <c r="L218" s="257"/>
      <c r="M218" s="597" t="s">
        <v>592</v>
      </c>
      <c r="N218" s="598"/>
      <c r="O218" s="299"/>
      <c r="P218" s="180"/>
      <c r="Q218" s="180">
        <v>1600000</v>
      </c>
      <c r="R218" s="181">
        <f t="shared" ref="R218:R224" si="75">Q218/Q$217*100</f>
        <v>1.5683199372672023</v>
      </c>
      <c r="S218" s="181">
        <v>100</v>
      </c>
      <c r="T218" s="180">
        <f t="shared" si="69"/>
        <v>0</v>
      </c>
      <c r="U218" s="180">
        <f t="shared" si="73"/>
        <v>0</v>
      </c>
      <c r="V218" s="182">
        <f t="shared" si="74"/>
        <v>100</v>
      </c>
      <c r="W218" s="180"/>
      <c r="X218" s="180"/>
      <c r="Y218" s="180"/>
      <c r="Z218" s="180"/>
      <c r="AA218" s="180"/>
      <c r="AB218" s="180"/>
      <c r="AC218" s="180"/>
      <c r="AD218" s="180"/>
      <c r="AE218" s="180"/>
      <c r="AF218" s="180"/>
      <c r="AG218" s="180"/>
      <c r="AH218" s="180"/>
      <c r="AI218" s="180">
        <v>0</v>
      </c>
      <c r="AJ218" s="181">
        <f t="shared" si="70"/>
        <v>0</v>
      </c>
      <c r="AK218" s="246">
        <f t="shared" si="64"/>
        <v>1600000</v>
      </c>
      <c r="AL218" s="181">
        <f t="shared" si="71"/>
        <v>100</v>
      </c>
      <c r="AM218" s="243"/>
    </row>
    <row r="219" spans="1:39" ht="28.5" customHeight="1" x14ac:dyDescent="0.25">
      <c r="A219" s="243"/>
      <c r="B219" s="244"/>
      <c r="C219" s="244"/>
      <c r="D219" s="244"/>
      <c r="E219" s="244"/>
      <c r="F219" s="244"/>
      <c r="G219" s="244"/>
      <c r="H219" s="244"/>
      <c r="I219" s="298"/>
      <c r="J219" s="244" t="s">
        <v>593</v>
      </c>
      <c r="K219" s="245"/>
      <c r="L219" s="257"/>
      <c r="M219" s="597" t="s">
        <v>270</v>
      </c>
      <c r="N219" s="598"/>
      <c r="O219" s="299"/>
      <c r="P219" s="180"/>
      <c r="Q219" s="180">
        <v>2000000</v>
      </c>
      <c r="R219" s="181">
        <f t="shared" si="75"/>
        <v>1.9603999215840031</v>
      </c>
      <c r="S219" s="181">
        <v>100</v>
      </c>
      <c r="T219" s="180">
        <f t="shared" si="69"/>
        <v>0</v>
      </c>
      <c r="U219" s="180">
        <f t="shared" si="73"/>
        <v>0</v>
      </c>
      <c r="V219" s="182">
        <f t="shared" si="74"/>
        <v>100</v>
      </c>
      <c r="W219" s="180"/>
      <c r="X219" s="180"/>
      <c r="Y219" s="180"/>
      <c r="Z219" s="180"/>
      <c r="AA219" s="180"/>
      <c r="AB219" s="180"/>
      <c r="AC219" s="180"/>
      <c r="AD219" s="180"/>
      <c r="AE219" s="180"/>
      <c r="AF219" s="180"/>
      <c r="AG219" s="180"/>
      <c r="AH219" s="180"/>
      <c r="AI219" s="180">
        <v>0</v>
      </c>
      <c r="AJ219" s="181">
        <f t="shared" si="70"/>
        <v>0</v>
      </c>
      <c r="AK219" s="246">
        <f t="shared" si="64"/>
        <v>2000000</v>
      </c>
      <c r="AL219" s="181">
        <f t="shared" si="71"/>
        <v>100</v>
      </c>
      <c r="AM219" s="243"/>
    </row>
    <row r="220" spans="1:39" ht="28.5" customHeight="1" x14ac:dyDescent="0.25">
      <c r="A220" s="243"/>
      <c r="B220" s="244"/>
      <c r="C220" s="244"/>
      <c r="D220" s="244"/>
      <c r="E220" s="244"/>
      <c r="F220" s="244"/>
      <c r="G220" s="244"/>
      <c r="H220" s="244"/>
      <c r="I220" s="298"/>
      <c r="J220" s="244" t="s">
        <v>593</v>
      </c>
      <c r="K220" s="245"/>
      <c r="L220" s="257"/>
      <c r="M220" s="597" t="s">
        <v>428</v>
      </c>
      <c r="N220" s="598"/>
      <c r="O220" s="299"/>
      <c r="P220" s="180"/>
      <c r="Q220" s="180">
        <v>1500000</v>
      </c>
      <c r="R220" s="181">
        <f t="shared" si="75"/>
        <v>1.4702999411880022</v>
      </c>
      <c r="S220" s="181">
        <v>100</v>
      </c>
      <c r="T220" s="180">
        <f t="shared" si="69"/>
        <v>0</v>
      </c>
      <c r="U220" s="180">
        <f t="shared" si="73"/>
        <v>0</v>
      </c>
      <c r="V220" s="182">
        <f t="shared" si="74"/>
        <v>100</v>
      </c>
      <c r="W220" s="180"/>
      <c r="X220" s="180"/>
      <c r="Y220" s="180"/>
      <c r="Z220" s="180"/>
      <c r="AA220" s="180"/>
      <c r="AB220" s="180"/>
      <c r="AC220" s="180"/>
      <c r="AD220" s="180"/>
      <c r="AE220" s="180"/>
      <c r="AF220" s="180"/>
      <c r="AG220" s="180"/>
      <c r="AH220" s="180"/>
      <c r="AI220" s="180">
        <v>0</v>
      </c>
      <c r="AJ220" s="181">
        <f t="shared" si="70"/>
        <v>0</v>
      </c>
      <c r="AK220" s="246">
        <f t="shared" si="64"/>
        <v>1500000</v>
      </c>
      <c r="AL220" s="181">
        <f t="shared" si="71"/>
        <v>100</v>
      </c>
      <c r="AM220" s="243"/>
    </row>
    <row r="221" spans="1:39" ht="28.5" customHeight="1" x14ac:dyDescent="0.25">
      <c r="A221" s="243"/>
      <c r="B221" s="244"/>
      <c r="C221" s="244"/>
      <c r="D221" s="244"/>
      <c r="E221" s="244"/>
      <c r="F221" s="244"/>
      <c r="G221" s="244"/>
      <c r="H221" s="244"/>
      <c r="I221" s="298"/>
      <c r="J221" s="244" t="s">
        <v>318</v>
      </c>
      <c r="K221" s="245"/>
      <c r="L221" s="257"/>
      <c r="M221" s="597" t="s">
        <v>319</v>
      </c>
      <c r="N221" s="598"/>
      <c r="O221" s="299"/>
      <c r="P221" s="180"/>
      <c r="Q221" s="180">
        <v>22750000</v>
      </c>
      <c r="R221" s="181">
        <f t="shared" si="75"/>
        <v>22.299549108018034</v>
      </c>
      <c r="S221" s="181">
        <v>100</v>
      </c>
      <c r="T221" s="180">
        <f t="shared" si="69"/>
        <v>0</v>
      </c>
      <c r="U221" s="180">
        <f t="shared" si="73"/>
        <v>0</v>
      </c>
      <c r="V221" s="182">
        <f t="shared" si="74"/>
        <v>100</v>
      </c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>
        <v>0</v>
      </c>
      <c r="AJ221" s="181">
        <f t="shared" si="70"/>
        <v>0</v>
      </c>
      <c r="AK221" s="246">
        <f t="shared" si="64"/>
        <v>22750000</v>
      </c>
      <c r="AL221" s="181">
        <f t="shared" si="71"/>
        <v>100</v>
      </c>
      <c r="AM221" s="243"/>
    </row>
    <row r="222" spans="1:39" ht="28.5" customHeight="1" x14ac:dyDescent="0.25">
      <c r="A222" s="243"/>
      <c r="B222" s="244"/>
      <c r="C222" s="244"/>
      <c r="D222" s="244"/>
      <c r="E222" s="244"/>
      <c r="F222" s="244"/>
      <c r="G222" s="244"/>
      <c r="H222" s="244"/>
      <c r="I222" s="298"/>
      <c r="J222" s="244" t="s">
        <v>280</v>
      </c>
      <c r="K222" s="245"/>
      <c r="L222" s="257"/>
      <c r="M222" s="597" t="s">
        <v>425</v>
      </c>
      <c r="N222" s="598"/>
      <c r="O222" s="299"/>
      <c r="P222" s="180"/>
      <c r="Q222" s="180">
        <v>7000000</v>
      </c>
      <c r="R222" s="181">
        <f t="shared" si="75"/>
        <v>6.8613997255440111</v>
      </c>
      <c r="S222" s="181">
        <v>100</v>
      </c>
      <c r="T222" s="180">
        <f t="shared" si="69"/>
        <v>0</v>
      </c>
      <c r="U222" s="180">
        <f t="shared" si="73"/>
        <v>0</v>
      </c>
      <c r="V222" s="182">
        <f t="shared" si="74"/>
        <v>100</v>
      </c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180"/>
      <c r="AI222" s="180">
        <v>0</v>
      </c>
      <c r="AJ222" s="181">
        <f t="shared" si="70"/>
        <v>0</v>
      </c>
      <c r="AK222" s="246">
        <f t="shared" si="64"/>
        <v>7000000</v>
      </c>
      <c r="AL222" s="181">
        <f t="shared" si="71"/>
        <v>100</v>
      </c>
      <c r="AM222" s="243"/>
    </row>
    <row r="223" spans="1:39" ht="28.5" customHeight="1" x14ac:dyDescent="0.25">
      <c r="A223" s="243"/>
      <c r="B223" s="244"/>
      <c r="C223" s="244"/>
      <c r="D223" s="244"/>
      <c r="E223" s="244"/>
      <c r="F223" s="244"/>
      <c r="G223" s="244"/>
      <c r="H223" s="244"/>
      <c r="I223" s="298"/>
      <c r="J223" s="244" t="s">
        <v>282</v>
      </c>
      <c r="K223" s="245"/>
      <c r="L223" s="257"/>
      <c r="M223" s="597" t="s">
        <v>590</v>
      </c>
      <c r="N223" s="598"/>
      <c r="O223" s="299"/>
      <c r="P223" s="180"/>
      <c r="Q223" s="180">
        <v>27170000</v>
      </c>
      <c r="R223" s="181">
        <f t="shared" si="75"/>
        <v>26.63203293471868</v>
      </c>
      <c r="S223" s="181">
        <v>100</v>
      </c>
      <c r="T223" s="180">
        <f t="shared" si="69"/>
        <v>0</v>
      </c>
      <c r="U223" s="180">
        <f t="shared" si="73"/>
        <v>0</v>
      </c>
      <c r="V223" s="182">
        <f>S223-T223</f>
        <v>100</v>
      </c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>
        <v>0</v>
      </c>
      <c r="AJ223" s="181">
        <f t="shared" si="70"/>
        <v>0</v>
      </c>
      <c r="AK223" s="246">
        <f t="shared" si="64"/>
        <v>27170000</v>
      </c>
      <c r="AL223" s="181">
        <f t="shared" si="71"/>
        <v>100</v>
      </c>
      <c r="AM223" s="243"/>
    </row>
    <row r="224" spans="1:39" ht="28.5" customHeight="1" x14ac:dyDescent="0.25">
      <c r="A224" s="243"/>
      <c r="B224" s="244"/>
      <c r="C224" s="244"/>
      <c r="D224" s="244"/>
      <c r="E224" s="244"/>
      <c r="F224" s="244"/>
      <c r="G224" s="244"/>
      <c r="H224" s="244"/>
      <c r="I224" s="298"/>
      <c r="J224" s="244" t="s">
        <v>594</v>
      </c>
      <c r="K224" s="245"/>
      <c r="L224" s="257"/>
      <c r="M224" s="597" t="s">
        <v>591</v>
      </c>
      <c r="N224" s="598"/>
      <c r="O224" s="299"/>
      <c r="P224" s="180"/>
      <c r="Q224" s="180">
        <v>40000000</v>
      </c>
      <c r="R224" s="181">
        <f t="shared" si="75"/>
        <v>39.20799843168006</v>
      </c>
      <c r="S224" s="181">
        <v>100</v>
      </c>
      <c r="T224" s="180">
        <f t="shared" si="69"/>
        <v>0</v>
      </c>
      <c r="U224" s="180">
        <f t="shared" si="73"/>
        <v>0</v>
      </c>
      <c r="V224" s="182">
        <f>S224-T224</f>
        <v>100</v>
      </c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>
        <v>0</v>
      </c>
      <c r="AJ224" s="181">
        <f t="shared" si="70"/>
        <v>0</v>
      </c>
      <c r="AK224" s="246">
        <f t="shared" si="64"/>
        <v>40000000</v>
      </c>
      <c r="AL224" s="181">
        <f t="shared" si="71"/>
        <v>100</v>
      </c>
      <c r="AM224" s="243"/>
    </row>
    <row r="225" spans="1:39" s="297" customFormat="1" ht="24.75" customHeight="1" x14ac:dyDescent="0.25">
      <c r="A225" s="227">
        <f>A217+1</f>
        <v>30</v>
      </c>
      <c r="B225" s="615" t="s">
        <v>144</v>
      </c>
      <c r="C225" s="615"/>
      <c r="D225" s="615"/>
      <c r="E225" s="615"/>
      <c r="F225" s="615"/>
      <c r="G225" s="615"/>
      <c r="H225" s="615"/>
      <c r="I225" s="614"/>
      <c r="J225" s="304" t="s">
        <v>478</v>
      </c>
      <c r="K225" s="230"/>
      <c r="L225" s="294"/>
      <c r="M225" s="615" t="s">
        <v>167</v>
      </c>
      <c r="N225" s="614"/>
      <c r="O225" s="295">
        <v>85915000</v>
      </c>
      <c r="P225" s="231">
        <f>O225</f>
        <v>85915000</v>
      </c>
      <c r="Q225" s="231">
        <f>SUM(Q226:Q235)</f>
        <v>131325000</v>
      </c>
      <c r="R225" s="233">
        <f>Q225/Q$175*100</f>
        <v>10.024362066105011</v>
      </c>
      <c r="S225" s="233">
        <v>100</v>
      </c>
      <c r="T225" s="231">
        <f t="shared" si="69"/>
        <v>0</v>
      </c>
      <c r="U225" s="231">
        <f>R225*T225/100</f>
        <v>0</v>
      </c>
      <c r="V225" s="296">
        <f t="shared" si="74"/>
        <v>100</v>
      </c>
      <c r="W225" s="231"/>
      <c r="X225" s="231" t="e">
        <f>#REF!</f>
        <v>#REF!</v>
      </c>
      <c r="Y225" s="231" t="e">
        <f>#REF!</f>
        <v>#REF!</v>
      </c>
      <c r="Z225" s="231" t="e">
        <f>#REF!</f>
        <v>#REF!</v>
      </c>
      <c r="AA225" s="231" t="e">
        <f>#REF!</f>
        <v>#REF!</v>
      </c>
      <c r="AB225" s="231">
        <v>0</v>
      </c>
      <c r="AC225" s="231" t="e">
        <f>#REF!</f>
        <v>#REF!</v>
      </c>
      <c r="AD225" s="231" t="e">
        <f>#REF!</f>
        <v>#REF!</v>
      </c>
      <c r="AE225" s="231" t="e">
        <f>#REF!</f>
        <v>#REF!</v>
      </c>
      <c r="AF225" s="231" t="e">
        <f>[1]April!N52</f>
        <v>#REF!</v>
      </c>
      <c r="AG225" s="231" t="e">
        <f>[2]april!N52</f>
        <v>#REF!</v>
      </c>
      <c r="AH225" s="231">
        <f>'[3]DES SKPD'!$N52</f>
        <v>73668000</v>
      </c>
      <c r="AI225" s="231">
        <f>SUM(AI226:AI235)</f>
        <v>0</v>
      </c>
      <c r="AJ225" s="233">
        <f t="shared" si="70"/>
        <v>0</v>
      </c>
      <c r="AK225" s="234">
        <f t="shared" si="64"/>
        <v>131325000</v>
      </c>
      <c r="AL225" s="233">
        <f t="shared" si="71"/>
        <v>100</v>
      </c>
      <c r="AM225" s="227"/>
    </row>
    <row r="226" spans="1:39" ht="24.75" customHeight="1" x14ac:dyDescent="0.25">
      <c r="A226" s="243"/>
      <c r="B226" s="244"/>
      <c r="C226" s="244"/>
      <c r="D226" s="244"/>
      <c r="E226" s="244"/>
      <c r="F226" s="244"/>
      <c r="G226" s="244"/>
      <c r="H226" s="244"/>
      <c r="I226" s="298"/>
      <c r="J226" s="244" t="s">
        <v>273</v>
      </c>
      <c r="K226" s="245"/>
      <c r="L226" s="257"/>
      <c r="M226" s="597" t="s">
        <v>322</v>
      </c>
      <c r="N226" s="598"/>
      <c r="O226" s="299"/>
      <c r="P226" s="180"/>
      <c r="Q226" s="180">
        <v>4600000</v>
      </c>
      <c r="R226" s="181">
        <f t="shared" ref="R226:R235" si="76">Q226/Q$225*100</f>
        <v>3.5027603274319441</v>
      </c>
      <c r="S226" s="181">
        <v>100</v>
      </c>
      <c r="T226" s="180">
        <f t="shared" si="69"/>
        <v>0</v>
      </c>
      <c r="U226" s="180">
        <f t="shared" ref="U226:U296" si="77">R226*T226/100</f>
        <v>0</v>
      </c>
      <c r="V226" s="182">
        <f t="shared" si="74"/>
        <v>100</v>
      </c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>
        <v>0</v>
      </c>
      <c r="AJ226" s="181">
        <f t="shared" si="70"/>
        <v>0</v>
      </c>
      <c r="AK226" s="246">
        <f t="shared" si="64"/>
        <v>4600000</v>
      </c>
      <c r="AL226" s="181">
        <f t="shared" si="71"/>
        <v>100</v>
      </c>
      <c r="AM226" s="243"/>
    </row>
    <row r="227" spans="1:39" ht="24.75" customHeight="1" x14ac:dyDescent="0.25">
      <c r="A227" s="243"/>
      <c r="B227" s="244"/>
      <c r="C227" s="244"/>
      <c r="D227" s="244"/>
      <c r="E227" s="244"/>
      <c r="F227" s="244"/>
      <c r="G227" s="244"/>
      <c r="H227" s="244"/>
      <c r="I227" s="298"/>
      <c r="J227" s="244" t="s">
        <v>323</v>
      </c>
      <c r="K227" s="245"/>
      <c r="L227" s="257"/>
      <c r="M227" s="597" t="s">
        <v>324</v>
      </c>
      <c r="N227" s="598"/>
      <c r="O227" s="299"/>
      <c r="P227" s="180"/>
      <c r="Q227" s="180">
        <v>13776000</v>
      </c>
      <c r="R227" s="181">
        <f t="shared" si="76"/>
        <v>10.490005711022272</v>
      </c>
      <c r="S227" s="181">
        <v>100</v>
      </c>
      <c r="T227" s="180">
        <f t="shared" si="69"/>
        <v>0</v>
      </c>
      <c r="U227" s="180">
        <f t="shared" si="77"/>
        <v>0</v>
      </c>
      <c r="V227" s="182">
        <f t="shared" si="74"/>
        <v>100</v>
      </c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>
        <v>0</v>
      </c>
      <c r="AJ227" s="181">
        <f t="shared" si="70"/>
        <v>0</v>
      </c>
      <c r="AK227" s="246">
        <f t="shared" si="64"/>
        <v>13776000</v>
      </c>
      <c r="AL227" s="181">
        <f t="shared" si="71"/>
        <v>100</v>
      </c>
      <c r="AM227" s="243"/>
    </row>
    <row r="228" spans="1:39" ht="24.75" customHeight="1" x14ac:dyDescent="0.25">
      <c r="A228" s="243"/>
      <c r="B228" s="244"/>
      <c r="C228" s="244"/>
      <c r="D228" s="244"/>
      <c r="E228" s="244"/>
      <c r="F228" s="244"/>
      <c r="G228" s="244"/>
      <c r="H228" s="244"/>
      <c r="I228" s="298"/>
      <c r="J228" s="244" t="s">
        <v>269</v>
      </c>
      <c r="K228" s="245"/>
      <c r="L228" s="257"/>
      <c r="M228" s="597" t="s">
        <v>270</v>
      </c>
      <c r="N228" s="598"/>
      <c r="O228" s="299"/>
      <c r="P228" s="180"/>
      <c r="Q228" s="180">
        <v>4000000</v>
      </c>
      <c r="R228" s="181">
        <f t="shared" si="76"/>
        <v>3.0458785455929944</v>
      </c>
      <c r="S228" s="181">
        <v>100</v>
      </c>
      <c r="T228" s="180">
        <f t="shared" si="69"/>
        <v>0</v>
      </c>
      <c r="U228" s="180">
        <f t="shared" si="77"/>
        <v>0</v>
      </c>
      <c r="V228" s="182">
        <f t="shared" si="74"/>
        <v>100</v>
      </c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>
        <v>0</v>
      </c>
      <c r="AJ228" s="181">
        <f t="shared" si="70"/>
        <v>0</v>
      </c>
      <c r="AK228" s="246">
        <f t="shared" si="64"/>
        <v>4000000</v>
      </c>
      <c r="AL228" s="181">
        <f t="shared" si="71"/>
        <v>100</v>
      </c>
      <c r="AM228" s="243"/>
    </row>
    <row r="229" spans="1:39" ht="24.75" customHeight="1" x14ac:dyDescent="0.25">
      <c r="A229" s="243"/>
      <c r="B229" s="244"/>
      <c r="C229" s="244"/>
      <c r="D229" s="244"/>
      <c r="E229" s="244"/>
      <c r="F229" s="244"/>
      <c r="G229" s="244"/>
      <c r="H229" s="244"/>
      <c r="I229" s="298"/>
      <c r="J229" s="244" t="s">
        <v>315</v>
      </c>
      <c r="K229" s="245"/>
      <c r="L229" s="257"/>
      <c r="M229" s="597" t="s">
        <v>271</v>
      </c>
      <c r="N229" s="598"/>
      <c r="O229" s="299"/>
      <c r="P229" s="180"/>
      <c r="Q229" s="180">
        <v>2889000</v>
      </c>
      <c r="R229" s="181">
        <f t="shared" si="76"/>
        <v>2.1998857795545406</v>
      </c>
      <c r="S229" s="181">
        <v>100</v>
      </c>
      <c r="T229" s="180">
        <f t="shared" si="69"/>
        <v>0</v>
      </c>
      <c r="U229" s="180">
        <f t="shared" si="77"/>
        <v>0</v>
      </c>
      <c r="V229" s="182">
        <f t="shared" si="74"/>
        <v>100</v>
      </c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>
        <v>0</v>
      </c>
      <c r="AJ229" s="181">
        <f t="shared" si="70"/>
        <v>0</v>
      </c>
      <c r="AK229" s="246">
        <f t="shared" si="64"/>
        <v>2889000</v>
      </c>
      <c r="AL229" s="181">
        <f t="shared" si="71"/>
        <v>100</v>
      </c>
      <c r="AM229" s="243"/>
    </row>
    <row r="230" spans="1:39" ht="24.75" customHeight="1" x14ac:dyDescent="0.25">
      <c r="A230" s="243"/>
      <c r="B230" s="244"/>
      <c r="C230" s="244"/>
      <c r="D230" s="244"/>
      <c r="E230" s="244"/>
      <c r="F230" s="244"/>
      <c r="G230" s="244"/>
      <c r="H230" s="244"/>
      <c r="I230" s="298"/>
      <c r="J230" s="244" t="s">
        <v>328</v>
      </c>
      <c r="K230" s="245"/>
      <c r="L230" s="257"/>
      <c r="M230" s="597" t="s">
        <v>329</v>
      </c>
      <c r="N230" s="598"/>
      <c r="O230" s="299"/>
      <c r="P230" s="180"/>
      <c r="Q230" s="180">
        <v>49500000</v>
      </c>
      <c r="R230" s="181">
        <f t="shared" si="76"/>
        <v>37.692747001713307</v>
      </c>
      <c r="S230" s="181">
        <v>100</v>
      </c>
      <c r="T230" s="180">
        <f t="shared" si="69"/>
        <v>0</v>
      </c>
      <c r="U230" s="180">
        <f t="shared" si="77"/>
        <v>0</v>
      </c>
      <c r="V230" s="182">
        <f t="shared" si="74"/>
        <v>100</v>
      </c>
      <c r="W230" s="180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>
        <v>0</v>
      </c>
      <c r="AJ230" s="181">
        <f t="shared" si="70"/>
        <v>0</v>
      </c>
      <c r="AK230" s="246">
        <f t="shared" si="64"/>
        <v>49500000</v>
      </c>
      <c r="AL230" s="181">
        <f t="shared" si="71"/>
        <v>100</v>
      </c>
      <c r="AM230" s="243"/>
    </row>
    <row r="231" spans="1:39" ht="24.75" customHeight="1" x14ac:dyDescent="0.25">
      <c r="A231" s="243"/>
      <c r="B231" s="244"/>
      <c r="C231" s="244"/>
      <c r="D231" s="244"/>
      <c r="E231" s="244"/>
      <c r="F231" s="244"/>
      <c r="G231" s="244"/>
      <c r="H231" s="244"/>
      <c r="I231" s="298"/>
      <c r="J231" s="244" t="s">
        <v>280</v>
      </c>
      <c r="K231" s="245"/>
      <c r="L231" s="257"/>
      <c r="M231" s="597" t="s">
        <v>281</v>
      </c>
      <c r="N231" s="598"/>
      <c r="O231" s="299"/>
      <c r="P231" s="180"/>
      <c r="Q231" s="180">
        <v>15750000</v>
      </c>
      <c r="R231" s="181">
        <f t="shared" si="76"/>
        <v>11.993146773272416</v>
      </c>
      <c r="S231" s="181">
        <v>100</v>
      </c>
      <c r="T231" s="180">
        <f t="shared" si="69"/>
        <v>0</v>
      </c>
      <c r="U231" s="180">
        <f t="shared" si="77"/>
        <v>0</v>
      </c>
      <c r="V231" s="182">
        <f t="shared" si="74"/>
        <v>100</v>
      </c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>
        <v>0</v>
      </c>
      <c r="AJ231" s="181">
        <f t="shared" si="70"/>
        <v>0</v>
      </c>
      <c r="AK231" s="246">
        <f t="shared" si="64"/>
        <v>15750000</v>
      </c>
      <c r="AL231" s="181">
        <f t="shared" si="71"/>
        <v>100</v>
      </c>
      <c r="AM231" s="243"/>
    </row>
    <row r="232" spans="1:39" ht="24.75" customHeight="1" x14ac:dyDescent="0.25">
      <c r="A232" s="243"/>
      <c r="B232" s="244"/>
      <c r="C232" s="244"/>
      <c r="D232" s="244"/>
      <c r="E232" s="244"/>
      <c r="F232" s="244"/>
      <c r="G232" s="244"/>
      <c r="H232" s="244"/>
      <c r="I232" s="298"/>
      <c r="J232" s="244" t="s">
        <v>284</v>
      </c>
      <c r="K232" s="245"/>
      <c r="L232" s="257"/>
      <c r="M232" s="597" t="s">
        <v>585</v>
      </c>
      <c r="N232" s="598"/>
      <c r="O232" s="299"/>
      <c r="P232" s="180"/>
      <c r="Q232" s="180">
        <v>5000000</v>
      </c>
      <c r="R232" s="181">
        <f t="shared" si="76"/>
        <v>3.8073481819912427</v>
      </c>
      <c r="S232" s="181">
        <v>100</v>
      </c>
      <c r="T232" s="180">
        <f t="shared" si="69"/>
        <v>0</v>
      </c>
      <c r="U232" s="180">
        <f t="shared" si="77"/>
        <v>0</v>
      </c>
      <c r="V232" s="182">
        <f t="shared" si="74"/>
        <v>100</v>
      </c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>
        <v>0</v>
      </c>
      <c r="AJ232" s="181">
        <f t="shared" si="70"/>
        <v>0</v>
      </c>
      <c r="AK232" s="246">
        <f t="shared" si="64"/>
        <v>5000000</v>
      </c>
      <c r="AL232" s="181">
        <f t="shared" si="71"/>
        <v>100</v>
      </c>
      <c r="AM232" s="243"/>
    </row>
    <row r="233" spans="1:39" ht="24.75" customHeight="1" x14ac:dyDescent="0.25">
      <c r="A233" s="243"/>
      <c r="B233" s="244"/>
      <c r="C233" s="244"/>
      <c r="D233" s="244"/>
      <c r="E233" s="244"/>
      <c r="F233" s="244"/>
      <c r="G233" s="244"/>
      <c r="H233" s="244"/>
      <c r="I233" s="298"/>
      <c r="J233" s="244" t="s">
        <v>282</v>
      </c>
      <c r="K233" s="245"/>
      <c r="L233" s="257"/>
      <c r="M233" s="597" t="s">
        <v>503</v>
      </c>
      <c r="N233" s="598"/>
      <c r="O233" s="299"/>
      <c r="P233" s="180"/>
      <c r="Q233" s="180">
        <v>21160000</v>
      </c>
      <c r="R233" s="181">
        <f t="shared" si="76"/>
        <v>16.11269750618694</v>
      </c>
      <c r="S233" s="181">
        <v>100</v>
      </c>
      <c r="T233" s="180">
        <f t="shared" si="69"/>
        <v>0</v>
      </c>
      <c r="U233" s="180">
        <f t="shared" si="77"/>
        <v>0</v>
      </c>
      <c r="V233" s="182">
        <f t="shared" si="74"/>
        <v>100</v>
      </c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>
        <v>0</v>
      </c>
      <c r="AJ233" s="181">
        <f t="shared" si="70"/>
        <v>0</v>
      </c>
      <c r="AK233" s="246">
        <f t="shared" si="64"/>
        <v>21160000</v>
      </c>
      <c r="AL233" s="181">
        <f t="shared" si="71"/>
        <v>100</v>
      </c>
      <c r="AM233" s="243"/>
    </row>
    <row r="234" spans="1:39" ht="24.75" customHeight="1" x14ac:dyDescent="0.25">
      <c r="A234" s="243"/>
      <c r="B234" s="244"/>
      <c r="C234" s="244"/>
      <c r="D234" s="244"/>
      <c r="E234" s="244"/>
      <c r="F234" s="244"/>
      <c r="G234" s="244"/>
      <c r="H234" s="244"/>
      <c r="I234" s="298"/>
      <c r="J234" s="244" t="s">
        <v>320</v>
      </c>
      <c r="K234" s="245"/>
      <c r="L234" s="257"/>
      <c r="M234" s="597" t="s">
        <v>321</v>
      </c>
      <c r="N234" s="598"/>
      <c r="O234" s="299"/>
      <c r="P234" s="180"/>
      <c r="Q234" s="180">
        <v>10000000</v>
      </c>
      <c r="R234" s="181">
        <f t="shared" si="76"/>
        <v>7.6146963639824854</v>
      </c>
      <c r="S234" s="181">
        <v>100</v>
      </c>
      <c r="T234" s="180">
        <f t="shared" si="69"/>
        <v>0</v>
      </c>
      <c r="U234" s="180">
        <f t="shared" si="77"/>
        <v>0</v>
      </c>
      <c r="V234" s="182">
        <f t="shared" si="74"/>
        <v>100</v>
      </c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>
        <v>0</v>
      </c>
      <c r="AJ234" s="181">
        <f t="shared" si="70"/>
        <v>0</v>
      </c>
      <c r="AK234" s="246">
        <f t="shared" si="64"/>
        <v>10000000</v>
      </c>
      <c r="AL234" s="181">
        <f t="shared" si="71"/>
        <v>100</v>
      </c>
      <c r="AM234" s="243"/>
    </row>
    <row r="235" spans="1:39" ht="24.75" customHeight="1" x14ac:dyDescent="0.25">
      <c r="A235" s="243"/>
      <c r="B235" s="244"/>
      <c r="C235" s="244"/>
      <c r="D235" s="244"/>
      <c r="E235" s="244"/>
      <c r="F235" s="244"/>
      <c r="G235" s="244"/>
      <c r="H235" s="244"/>
      <c r="I235" s="298"/>
      <c r="J235" s="244" t="s">
        <v>407</v>
      </c>
      <c r="K235" s="245"/>
      <c r="L235" s="257"/>
      <c r="M235" s="597" t="s">
        <v>595</v>
      </c>
      <c r="N235" s="598"/>
      <c r="O235" s="299"/>
      <c r="P235" s="180"/>
      <c r="Q235" s="180">
        <v>4650000</v>
      </c>
      <c r="R235" s="181">
        <f t="shared" si="76"/>
        <v>3.5408338092518559</v>
      </c>
      <c r="S235" s="181">
        <v>100</v>
      </c>
      <c r="T235" s="180">
        <f t="shared" si="69"/>
        <v>0</v>
      </c>
      <c r="U235" s="180">
        <f t="shared" si="77"/>
        <v>0</v>
      </c>
      <c r="V235" s="182">
        <f t="shared" si="74"/>
        <v>100</v>
      </c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>
        <v>0</v>
      </c>
      <c r="AJ235" s="181">
        <f t="shared" si="70"/>
        <v>0</v>
      </c>
      <c r="AK235" s="246">
        <f t="shared" si="64"/>
        <v>4650000</v>
      </c>
      <c r="AL235" s="181">
        <f t="shared" si="71"/>
        <v>100</v>
      </c>
      <c r="AM235" s="243"/>
    </row>
    <row r="236" spans="1:39" s="297" customFormat="1" ht="24.75" customHeight="1" x14ac:dyDescent="0.25">
      <c r="A236" s="227">
        <f>A225+1</f>
        <v>31</v>
      </c>
      <c r="B236" s="618" t="s">
        <v>144</v>
      </c>
      <c r="C236" s="615"/>
      <c r="D236" s="615"/>
      <c r="E236" s="615"/>
      <c r="F236" s="615"/>
      <c r="G236" s="615"/>
      <c r="H236" s="615"/>
      <c r="I236" s="614"/>
      <c r="J236" s="304" t="s">
        <v>596</v>
      </c>
      <c r="K236" s="230"/>
      <c r="L236" s="294"/>
      <c r="M236" s="615" t="s">
        <v>597</v>
      </c>
      <c r="N236" s="614"/>
      <c r="O236" s="295">
        <v>85915000</v>
      </c>
      <c r="P236" s="231">
        <f>O236</f>
        <v>85915000</v>
      </c>
      <c r="Q236" s="231">
        <f>SUM(Q237:Q242)</f>
        <v>48040000</v>
      </c>
      <c r="R236" s="233">
        <f>Q236/Q$175*100</f>
        <v>3.6670120209837025</v>
      </c>
      <c r="S236" s="233">
        <v>100</v>
      </c>
      <c r="T236" s="231">
        <f>AJ236</f>
        <v>0</v>
      </c>
      <c r="U236" s="231">
        <f>R236*T236/100</f>
        <v>0</v>
      </c>
      <c r="V236" s="296">
        <f t="shared" si="74"/>
        <v>100</v>
      </c>
      <c r="W236" s="231"/>
      <c r="X236" s="231" t="e">
        <f>#REF!</f>
        <v>#REF!</v>
      </c>
      <c r="Y236" s="231" t="e">
        <f>#REF!</f>
        <v>#REF!</v>
      </c>
      <c r="Z236" s="231" t="e">
        <f>#REF!</f>
        <v>#REF!</v>
      </c>
      <c r="AA236" s="231" t="e">
        <f>#REF!</f>
        <v>#REF!</v>
      </c>
      <c r="AB236" s="231">
        <v>0</v>
      </c>
      <c r="AC236" s="231" t="e">
        <f>#REF!</f>
        <v>#REF!</v>
      </c>
      <c r="AD236" s="231" t="e">
        <f>#REF!</f>
        <v>#REF!</v>
      </c>
      <c r="AE236" s="231" t="e">
        <f>#REF!</f>
        <v>#REF!</v>
      </c>
      <c r="AF236" s="231" t="e">
        <f>[1]April!N63</f>
        <v>#REF!</v>
      </c>
      <c r="AG236" s="231" t="e">
        <f>[2]april!N63</f>
        <v>#REF!</v>
      </c>
      <c r="AH236" s="231">
        <f>'[3]DES SKPD'!$N63</f>
        <v>174573000</v>
      </c>
      <c r="AI236" s="231">
        <f>SUM(AI237:AI242)</f>
        <v>0</v>
      </c>
      <c r="AJ236" s="233">
        <f>AI236/Q236*100</f>
        <v>0</v>
      </c>
      <c r="AK236" s="234">
        <f t="shared" si="64"/>
        <v>48040000</v>
      </c>
      <c r="AL236" s="233">
        <f t="shared" si="71"/>
        <v>100</v>
      </c>
      <c r="AM236" s="227"/>
    </row>
    <row r="237" spans="1:39" ht="24.75" customHeight="1" x14ac:dyDescent="0.25">
      <c r="A237" s="243"/>
      <c r="B237" s="244"/>
      <c r="C237" s="244"/>
      <c r="D237" s="244"/>
      <c r="E237" s="244"/>
      <c r="F237" s="244"/>
      <c r="G237" s="244"/>
      <c r="H237" s="244"/>
      <c r="I237" s="298"/>
      <c r="J237" s="244" t="s">
        <v>273</v>
      </c>
      <c r="K237" s="245"/>
      <c r="L237" s="257"/>
      <c r="M237" s="597" t="s">
        <v>322</v>
      </c>
      <c r="N237" s="598"/>
      <c r="O237" s="299"/>
      <c r="P237" s="180"/>
      <c r="Q237" s="180">
        <v>12400000</v>
      </c>
      <c r="R237" s="181">
        <f t="shared" ref="R237:R242" si="78">Q237/Q$225*100</f>
        <v>9.4422234913382841</v>
      </c>
      <c r="S237" s="181">
        <v>100</v>
      </c>
      <c r="T237" s="180">
        <f t="shared" ref="T237:T242" si="79">AJ237</f>
        <v>0</v>
      </c>
      <c r="U237" s="180">
        <f t="shared" ref="U237:U242" si="80">R237*T237/100</f>
        <v>0</v>
      </c>
      <c r="V237" s="182">
        <f t="shared" si="74"/>
        <v>100</v>
      </c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>
        <v>0</v>
      </c>
      <c r="AJ237" s="181">
        <f t="shared" ref="AJ237:AJ242" si="81">AI237/Q237*100</f>
        <v>0</v>
      </c>
      <c r="AK237" s="246">
        <f t="shared" si="64"/>
        <v>12400000</v>
      </c>
      <c r="AL237" s="181">
        <f t="shared" si="71"/>
        <v>100</v>
      </c>
      <c r="AM237" s="243"/>
    </row>
    <row r="238" spans="1:39" ht="24.75" customHeight="1" x14ac:dyDescent="0.25">
      <c r="A238" s="243"/>
      <c r="B238" s="244"/>
      <c r="C238" s="244"/>
      <c r="D238" s="244"/>
      <c r="E238" s="244"/>
      <c r="F238" s="244"/>
      <c r="G238" s="244"/>
      <c r="H238" s="244"/>
      <c r="I238" s="298"/>
      <c r="J238" s="244" t="s">
        <v>315</v>
      </c>
      <c r="K238" s="245"/>
      <c r="L238" s="257"/>
      <c r="M238" s="597" t="s">
        <v>599</v>
      </c>
      <c r="N238" s="598"/>
      <c r="O238" s="299"/>
      <c r="P238" s="180"/>
      <c r="Q238" s="180">
        <v>1000000</v>
      </c>
      <c r="R238" s="181">
        <f t="shared" si="78"/>
        <v>0.76146963639824861</v>
      </c>
      <c r="S238" s="181">
        <v>100</v>
      </c>
      <c r="T238" s="180">
        <f t="shared" si="79"/>
        <v>0</v>
      </c>
      <c r="U238" s="180">
        <f t="shared" si="80"/>
        <v>0</v>
      </c>
      <c r="V238" s="182">
        <f t="shared" si="74"/>
        <v>100</v>
      </c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180"/>
      <c r="AI238" s="180">
        <v>0</v>
      </c>
      <c r="AJ238" s="181">
        <f t="shared" si="81"/>
        <v>0</v>
      </c>
      <c r="AK238" s="246">
        <f t="shared" si="64"/>
        <v>1000000</v>
      </c>
      <c r="AL238" s="181">
        <f t="shared" si="71"/>
        <v>100</v>
      </c>
      <c r="AM238" s="243"/>
    </row>
    <row r="239" spans="1:39" ht="24.75" customHeight="1" x14ac:dyDescent="0.25">
      <c r="A239" s="243"/>
      <c r="B239" s="244"/>
      <c r="C239" s="244"/>
      <c r="D239" s="244"/>
      <c r="E239" s="244"/>
      <c r="F239" s="244"/>
      <c r="G239" s="244"/>
      <c r="H239" s="244"/>
      <c r="I239" s="298"/>
      <c r="J239" s="244" t="s">
        <v>318</v>
      </c>
      <c r="K239" s="245"/>
      <c r="L239" s="257"/>
      <c r="M239" s="597" t="s">
        <v>319</v>
      </c>
      <c r="N239" s="598"/>
      <c r="O239" s="299"/>
      <c r="P239" s="180"/>
      <c r="Q239" s="180">
        <v>14000000</v>
      </c>
      <c r="R239" s="181">
        <f t="shared" si="78"/>
        <v>10.66057490957548</v>
      </c>
      <c r="S239" s="181">
        <v>100</v>
      </c>
      <c r="T239" s="180">
        <f t="shared" si="79"/>
        <v>0</v>
      </c>
      <c r="U239" s="180">
        <f>R239*T239/100</f>
        <v>0</v>
      </c>
      <c r="V239" s="182">
        <f t="shared" si="74"/>
        <v>100</v>
      </c>
      <c r="W239" s="180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80"/>
      <c r="AH239" s="180"/>
      <c r="AI239" s="180">
        <v>0</v>
      </c>
      <c r="AJ239" s="181">
        <f t="shared" si="81"/>
        <v>0</v>
      </c>
      <c r="AK239" s="246">
        <f t="shared" si="64"/>
        <v>14000000</v>
      </c>
      <c r="AL239" s="181">
        <f t="shared" si="71"/>
        <v>100</v>
      </c>
      <c r="AM239" s="243"/>
    </row>
    <row r="240" spans="1:39" ht="24.75" customHeight="1" x14ac:dyDescent="0.25">
      <c r="A240" s="243"/>
      <c r="B240" s="244"/>
      <c r="C240" s="244"/>
      <c r="D240" s="244"/>
      <c r="E240" s="244"/>
      <c r="F240" s="244"/>
      <c r="G240" s="244"/>
      <c r="H240" s="244"/>
      <c r="I240" s="298"/>
      <c r="J240" s="244" t="s">
        <v>537</v>
      </c>
      <c r="K240" s="245"/>
      <c r="L240" s="257"/>
      <c r="M240" s="597" t="s">
        <v>600</v>
      </c>
      <c r="N240" s="598"/>
      <c r="O240" s="299"/>
      <c r="P240" s="180"/>
      <c r="Q240" s="180">
        <v>2640000</v>
      </c>
      <c r="R240" s="181">
        <f t="shared" si="78"/>
        <v>2.0102798400913762</v>
      </c>
      <c r="S240" s="181">
        <v>100</v>
      </c>
      <c r="T240" s="180">
        <f t="shared" si="79"/>
        <v>0</v>
      </c>
      <c r="U240" s="180">
        <f t="shared" si="80"/>
        <v>0</v>
      </c>
      <c r="V240" s="182">
        <f t="shared" si="74"/>
        <v>100</v>
      </c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180"/>
      <c r="AI240" s="180">
        <v>0</v>
      </c>
      <c r="AJ240" s="181">
        <f t="shared" si="81"/>
        <v>0</v>
      </c>
      <c r="AK240" s="246">
        <f t="shared" si="64"/>
        <v>2640000</v>
      </c>
      <c r="AL240" s="181">
        <f t="shared" si="71"/>
        <v>100</v>
      </c>
      <c r="AM240" s="243"/>
    </row>
    <row r="241" spans="1:39" ht="24.75" customHeight="1" x14ac:dyDescent="0.25">
      <c r="A241" s="243"/>
      <c r="B241" s="244"/>
      <c r="C241" s="244"/>
      <c r="D241" s="244"/>
      <c r="E241" s="244"/>
      <c r="F241" s="244"/>
      <c r="G241" s="244"/>
      <c r="H241" s="244"/>
      <c r="I241" s="298"/>
      <c r="J241" s="244" t="s">
        <v>320</v>
      </c>
      <c r="K241" s="245"/>
      <c r="L241" s="257"/>
      <c r="M241" s="597" t="s">
        <v>321</v>
      </c>
      <c r="N241" s="598"/>
      <c r="O241" s="299"/>
      <c r="P241" s="180"/>
      <c r="Q241" s="180">
        <v>6000000</v>
      </c>
      <c r="R241" s="181">
        <f t="shared" si="78"/>
        <v>4.5688178183894914</v>
      </c>
      <c r="S241" s="181">
        <v>100</v>
      </c>
      <c r="T241" s="180">
        <f t="shared" si="79"/>
        <v>0</v>
      </c>
      <c r="U241" s="180">
        <f t="shared" si="80"/>
        <v>0</v>
      </c>
      <c r="V241" s="182">
        <f t="shared" si="74"/>
        <v>100</v>
      </c>
      <c r="W241" s="180"/>
      <c r="X241" s="180"/>
      <c r="Y241" s="180"/>
      <c r="Z241" s="180"/>
      <c r="AA241" s="180"/>
      <c r="AB241" s="180"/>
      <c r="AC241" s="180"/>
      <c r="AD241" s="180"/>
      <c r="AE241" s="180"/>
      <c r="AF241" s="180"/>
      <c r="AG241" s="180"/>
      <c r="AH241" s="180"/>
      <c r="AI241" s="180">
        <v>0</v>
      </c>
      <c r="AJ241" s="181">
        <f t="shared" si="81"/>
        <v>0</v>
      </c>
      <c r="AK241" s="246">
        <f t="shared" ref="AK241:AK242" si="82">Q241-AI241</f>
        <v>6000000</v>
      </c>
      <c r="AL241" s="181">
        <f t="shared" si="71"/>
        <v>100</v>
      </c>
      <c r="AM241" s="243"/>
    </row>
    <row r="242" spans="1:39" ht="24.75" customHeight="1" x14ac:dyDescent="0.25">
      <c r="A242" s="243"/>
      <c r="B242" s="244"/>
      <c r="C242" s="244"/>
      <c r="D242" s="244"/>
      <c r="E242" s="244"/>
      <c r="F242" s="244"/>
      <c r="G242" s="244"/>
      <c r="H242" s="244"/>
      <c r="I242" s="298"/>
      <c r="J242" s="244" t="s">
        <v>598</v>
      </c>
      <c r="K242" s="245"/>
      <c r="L242" s="257"/>
      <c r="M242" s="621" t="s">
        <v>550</v>
      </c>
      <c r="N242" s="622"/>
      <c r="O242" s="299"/>
      <c r="P242" s="180"/>
      <c r="Q242" s="180">
        <v>12000000</v>
      </c>
      <c r="R242" s="181">
        <f t="shared" si="78"/>
        <v>9.1376356367789828</v>
      </c>
      <c r="S242" s="181">
        <v>100</v>
      </c>
      <c r="T242" s="180">
        <f t="shared" si="79"/>
        <v>0</v>
      </c>
      <c r="U242" s="180">
        <f t="shared" si="80"/>
        <v>0</v>
      </c>
      <c r="V242" s="182">
        <f t="shared" si="74"/>
        <v>100</v>
      </c>
      <c r="W242" s="180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180"/>
      <c r="AI242" s="180">
        <v>0</v>
      </c>
      <c r="AJ242" s="181">
        <f t="shared" si="81"/>
        <v>0</v>
      </c>
      <c r="AK242" s="246">
        <f t="shared" si="82"/>
        <v>12000000</v>
      </c>
      <c r="AL242" s="181">
        <f t="shared" si="71"/>
        <v>100</v>
      </c>
      <c r="AM242" s="243"/>
    </row>
    <row r="243" spans="1:39" s="226" customFormat="1" ht="27.75" customHeight="1" x14ac:dyDescent="0.25">
      <c r="A243" s="289" t="s">
        <v>38</v>
      </c>
      <c r="B243" s="607" t="s">
        <v>145</v>
      </c>
      <c r="C243" s="607"/>
      <c r="D243" s="607"/>
      <c r="E243" s="607"/>
      <c r="F243" s="607"/>
      <c r="G243" s="607"/>
      <c r="H243" s="607"/>
      <c r="I243" s="608"/>
      <c r="J243" s="303" t="s">
        <v>473</v>
      </c>
      <c r="K243" s="291"/>
      <c r="L243" s="607" t="s">
        <v>39</v>
      </c>
      <c r="M243" s="607"/>
      <c r="N243" s="608"/>
      <c r="O243" s="263" t="e">
        <f>SUM(O244:O658)</f>
        <v>#REF!</v>
      </c>
      <c r="P243" s="263" t="e">
        <f>SUM(P244:P658)</f>
        <v>#REF!</v>
      </c>
      <c r="Q243" s="263">
        <f>SUM(Q244+Q259+Q270+Q282+Q292+Q304+Q312+Q320+Q327+Q334+Q345+Q351+Q359+Q372+Q382+Q395+Q403+Q417+Q420+Q431+Q442+Q452+Q460+Q470+Q477+Q484+Q489+Q498+Q505+Q517+Q524+Q536+Q547+Q556+Q566+Q579+Q587+Q601+Q611+Q620+Q630+Q637+Q651)</f>
        <v>11109765735</v>
      </c>
      <c r="R243" s="222">
        <f>Q243/Q$33*100</f>
        <v>35.897661544128937</v>
      </c>
      <c r="S243" s="222">
        <f>S244</f>
        <v>100</v>
      </c>
      <c r="T243" s="263">
        <f>AJ243</f>
        <v>0</v>
      </c>
      <c r="U243" s="308">
        <f t="shared" si="77"/>
        <v>0</v>
      </c>
      <c r="V243" s="292">
        <f t="shared" si="74"/>
        <v>100</v>
      </c>
      <c r="W243" s="263">
        <f t="shared" ref="W243:AH243" si="83">SUM(W244:W658)</f>
        <v>0</v>
      </c>
      <c r="X243" s="263" t="e">
        <f t="shared" si="83"/>
        <v>#REF!</v>
      </c>
      <c r="Y243" s="263" t="e">
        <f t="shared" si="83"/>
        <v>#REF!</v>
      </c>
      <c r="Z243" s="263" t="e">
        <f t="shared" si="83"/>
        <v>#REF!</v>
      </c>
      <c r="AA243" s="263" t="e">
        <f t="shared" si="83"/>
        <v>#REF!</v>
      </c>
      <c r="AB243" s="263">
        <f t="shared" si="83"/>
        <v>4302660235</v>
      </c>
      <c r="AC243" s="263" t="e">
        <f t="shared" si="83"/>
        <v>#REF!</v>
      </c>
      <c r="AD243" s="263" t="e">
        <f t="shared" si="83"/>
        <v>#REF!</v>
      </c>
      <c r="AE243" s="263" t="e">
        <f t="shared" si="83"/>
        <v>#REF!</v>
      </c>
      <c r="AF243" s="263" t="e">
        <f t="shared" si="83"/>
        <v>#REF!</v>
      </c>
      <c r="AG243" s="263" t="e">
        <f t="shared" si="83"/>
        <v>#REF!</v>
      </c>
      <c r="AH243" s="263" t="e">
        <f t="shared" si="83"/>
        <v>#REF!</v>
      </c>
      <c r="AI243" s="263">
        <f>SUM(AI244+AI259+AI270+AI282+AI292+AI304+AI312+AI320+AI327+AI334+AI345+AI351+AI359+AI372+AI382+AI395+AI403+AI417+AI420+AI431+AI442+AI452+AI460+AI470+AI477+AI484+AI489+AI498+AI505+AI517+AI524+AI536+AI547+AI556+AI566+AI579+AI587+AI601+AI611+AI620+AI630+AI637+AI651)</f>
        <v>0</v>
      </c>
      <c r="AJ243" s="222">
        <f>AI243/Q243*100</f>
        <v>0</v>
      </c>
      <c r="AK243" s="265">
        <f>SUM(Q243-AI243)</f>
        <v>11109765735</v>
      </c>
      <c r="AL243" s="222">
        <f t="shared" si="71"/>
        <v>100</v>
      </c>
      <c r="AM243" s="289"/>
    </row>
    <row r="244" spans="1:39" s="297" customFormat="1" ht="24.75" customHeight="1" x14ac:dyDescent="0.25">
      <c r="A244" s="227">
        <f>A236+1</f>
        <v>32</v>
      </c>
      <c r="B244" s="615" t="s">
        <v>146</v>
      </c>
      <c r="C244" s="615"/>
      <c r="D244" s="615"/>
      <c r="E244" s="615"/>
      <c r="F244" s="615"/>
      <c r="G244" s="615"/>
      <c r="H244" s="615"/>
      <c r="I244" s="614"/>
      <c r="J244" s="304" t="s">
        <v>479</v>
      </c>
      <c r="K244" s="230"/>
      <c r="L244" s="294"/>
      <c r="M244" s="609" t="s">
        <v>40</v>
      </c>
      <c r="N244" s="609"/>
      <c r="O244" s="309">
        <v>628725000</v>
      </c>
      <c r="P244" s="231">
        <f>O244</f>
        <v>628725000</v>
      </c>
      <c r="Q244" s="231">
        <f>SUM(Q245:Q258)</f>
        <v>462073720</v>
      </c>
      <c r="R244" s="233">
        <f>Q244/Q$243*100</f>
        <v>4.1591670879638043</v>
      </c>
      <c r="S244" s="233">
        <v>100</v>
      </c>
      <c r="T244" s="231">
        <f t="shared" si="69"/>
        <v>0</v>
      </c>
      <c r="U244" s="231">
        <f t="shared" si="77"/>
        <v>0</v>
      </c>
      <c r="V244" s="296">
        <f t="shared" si="74"/>
        <v>100</v>
      </c>
      <c r="W244" s="231"/>
      <c r="X244" s="231" t="e">
        <f>#REF!</f>
        <v>#REF!</v>
      </c>
      <c r="Y244" s="231" t="e">
        <f>#REF!</f>
        <v>#REF!</v>
      </c>
      <c r="Z244" s="231" t="e">
        <f>#REF!</f>
        <v>#REF!</v>
      </c>
      <c r="AA244" s="231" t="e">
        <f>#REF!</f>
        <v>#REF!</v>
      </c>
      <c r="AB244" s="231">
        <v>391775000</v>
      </c>
      <c r="AC244" s="231" t="e">
        <f>#REF!</f>
        <v>#REF!</v>
      </c>
      <c r="AD244" s="231" t="e">
        <f>#REF!</f>
        <v>#REF!</v>
      </c>
      <c r="AE244" s="231" t="e">
        <f>#REF!</f>
        <v>#REF!</v>
      </c>
      <c r="AF244" s="231" t="e">
        <f>[1]April!N54</f>
        <v>#REF!</v>
      </c>
      <c r="AG244" s="231" t="e">
        <f>[2]april!N54</f>
        <v>#REF!</v>
      </c>
      <c r="AH244" s="231">
        <f>'[3]DES SKPD'!$N54</f>
        <v>508172500</v>
      </c>
      <c r="AI244" s="231">
        <f>SUM(AI245:AI258)</f>
        <v>0</v>
      </c>
      <c r="AJ244" s="233">
        <f t="shared" si="70"/>
        <v>0</v>
      </c>
      <c r="AK244" s="234">
        <f t="shared" ref="AK244:AK307" si="84">Q244-AI244</f>
        <v>462073720</v>
      </c>
      <c r="AL244" s="233">
        <f t="shared" si="71"/>
        <v>100</v>
      </c>
      <c r="AM244" s="227"/>
    </row>
    <row r="245" spans="1:39" ht="28.5" customHeight="1" x14ac:dyDescent="0.25">
      <c r="A245" s="243"/>
      <c r="B245" s="244"/>
      <c r="C245" s="244"/>
      <c r="D245" s="244"/>
      <c r="E245" s="244"/>
      <c r="F245" s="244"/>
      <c r="G245" s="244"/>
      <c r="H245" s="244"/>
      <c r="I245" s="298"/>
      <c r="J245" s="244" t="s">
        <v>259</v>
      </c>
      <c r="K245" s="245"/>
      <c r="L245" s="257"/>
      <c r="M245" s="591" t="s">
        <v>260</v>
      </c>
      <c r="N245" s="592"/>
      <c r="O245" s="179"/>
      <c r="P245" s="180"/>
      <c r="Q245" s="180">
        <v>3080000</v>
      </c>
      <c r="R245" s="181">
        <f t="shared" ref="R245:R256" si="85">Q245/Q$244*100</f>
        <v>0.66656030557202006</v>
      </c>
      <c r="S245" s="181">
        <v>100</v>
      </c>
      <c r="T245" s="180">
        <f>AJ245</f>
        <v>0</v>
      </c>
      <c r="U245" s="180">
        <f t="shared" si="77"/>
        <v>0</v>
      </c>
      <c r="V245" s="182">
        <f t="shared" si="74"/>
        <v>100</v>
      </c>
      <c r="W245" s="180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180"/>
      <c r="AI245" s="180">
        <v>0</v>
      </c>
      <c r="AJ245" s="181">
        <f t="shared" si="70"/>
        <v>0</v>
      </c>
      <c r="AK245" s="246">
        <f t="shared" si="84"/>
        <v>3080000</v>
      </c>
      <c r="AL245" s="181">
        <f t="shared" si="71"/>
        <v>100</v>
      </c>
      <c r="AM245" s="243"/>
    </row>
    <row r="246" spans="1:39" ht="24.75" customHeight="1" x14ac:dyDescent="0.25">
      <c r="A246" s="243"/>
      <c r="B246" s="244"/>
      <c r="C246" s="244"/>
      <c r="D246" s="244"/>
      <c r="E246" s="244"/>
      <c r="F246" s="244"/>
      <c r="G246" s="244"/>
      <c r="H246" s="244"/>
      <c r="I246" s="298"/>
      <c r="J246" s="244" t="s">
        <v>326</v>
      </c>
      <c r="K246" s="245"/>
      <c r="L246" s="257"/>
      <c r="M246" s="591" t="s">
        <v>327</v>
      </c>
      <c r="N246" s="592"/>
      <c r="O246" s="179"/>
      <c r="P246" s="180"/>
      <c r="Q246" s="180">
        <v>128800000</v>
      </c>
      <c r="R246" s="181">
        <f t="shared" si="85"/>
        <v>27.874340051193563</v>
      </c>
      <c r="S246" s="181">
        <v>100</v>
      </c>
      <c r="T246" s="180">
        <f t="shared" si="69"/>
        <v>0</v>
      </c>
      <c r="U246" s="180">
        <f t="shared" si="77"/>
        <v>0</v>
      </c>
      <c r="V246" s="182">
        <f t="shared" si="74"/>
        <v>100</v>
      </c>
      <c r="W246" s="180"/>
      <c r="X246" s="180"/>
      <c r="Y246" s="180"/>
      <c r="Z246" s="180"/>
      <c r="AA246" s="180"/>
      <c r="AB246" s="180"/>
      <c r="AC246" s="180"/>
      <c r="AD246" s="180"/>
      <c r="AE246" s="180"/>
      <c r="AF246" s="180"/>
      <c r="AG246" s="180"/>
      <c r="AH246" s="180"/>
      <c r="AI246" s="180">
        <v>0</v>
      </c>
      <c r="AJ246" s="181">
        <f t="shared" si="70"/>
        <v>0</v>
      </c>
      <c r="AK246" s="246">
        <f t="shared" si="84"/>
        <v>128800000</v>
      </c>
      <c r="AL246" s="181">
        <f t="shared" si="71"/>
        <v>100</v>
      </c>
      <c r="AM246" s="243"/>
    </row>
    <row r="247" spans="1:39" ht="24.75" customHeight="1" x14ac:dyDescent="0.25">
      <c r="A247" s="243"/>
      <c r="B247" s="244"/>
      <c r="C247" s="244"/>
      <c r="D247" s="244"/>
      <c r="E247" s="244"/>
      <c r="F247" s="244"/>
      <c r="G247" s="244"/>
      <c r="H247" s="244"/>
      <c r="I247" s="298"/>
      <c r="J247" s="244" t="s">
        <v>323</v>
      </c>
      <c r="K247" s="245"/>
      <c r="L247" s="257"/>
      <c r="M247" s="591" t="s">
        <v>324</v>
      </c>
      <c r="N247" s="592"/>
      <c r="O247" s="179"/>
      <c r="P247" s="180"/>
      <c r="Q247" s="180">
        <v>3000000</v>
      </c>
      <c r="R247" s="181">
        <f t="shared" si="85"/>
        <v>0.64924705088183765</v>
      </c>
      <c r="S247" s="181">
        <v>100</v>
      </c>
      <c r="T247" s="180">
        <f t="shared" si="69"/>
        <v>0</v>
      </c>
      <c r="U247" s="180">
        <f t="shared" si="77"/>
        <v>0</v>
      </c>
      <c r="V247" s="182">
        <f t="shared" si="74"/>
        <v>100</v>
      </c>
      <c r="W247" s="180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>
        <v>0</v>
      </c>
      <c r="AJ247" s="181">
        <f t="shared" si="70"/>
        <v>0</v>
      </c>
      <c r="AK247" s="246">
        <f t="shared" si="84"/>
        <v>3000000</v>
      </c>
      <c r="AL247" s="181">
        <f t="shared" si="71"/>
        <v>100</v>
      </c>
      <c r="AM247" s="243"/>
    </row>
    <row r="248" spans="1:39" ht="24.75" customHeight="1" x14ac:dyDescent="0.25">
      <c r="A248" s="243"/>
      <c r="B248" s="244"/>
      <c r="C248" s="244"/>
      <c r="D248" s="244"/>
      <c r="E248" s="244"/>
      <c r="F248" s="244"/>
      <c r="G248" s="244"/>
      <c r="H248" s="244"/>
      <c r="I248" s="298"/>
      <c r="J248" s="244" t="s">
        <v>269</v>
      </c>
      <c r="K248" s="245"/>
      <c r="L248" s="257"/>
      <c r="M248" s="591" t="s">
        <v>270</v>
      </c>
      <c r="N248" s="592"/>
      <c r="O248" s="179"/>
      <c r="P248" s="180"/>
      <c r="Q248" s="180">
        <v>52000000</v>
      </c>
      <c r="R248" s="181">
        <f t="shared" si="85"/>
        <v>11.253615548618519</v>
      </c>
      <c r="S248" s="181">
        <v>100</v>
      </c>
      <c r="T248" s="180">
        <f t="shared" si="69"/>
        <v>0</v>
      </c>
      <c r="U248" s="180">
        <f t="shared" si="77"/>
        <v>0</v>
      </c>
      <c r="V248" s="182">
        <f t="shared" si="74"/>
        <v>100</v>
      </c>
      <c r="W248" s="180"/>
      <c r="X248" s="180"/>
      <c r="Y248" s="180"/>
      <c r="Z248" s="180"/>
      <c r="AA248" s="180"/>
      <c r="AB248" s="180"/>
      <c r="AC248" s="180"/>
      <c r="AD248" s="180"/>
      <c r="AE248" s="180"/>
      <c r="AF248" s="180"/>
      <c r="AG248" s="180"/>
      <c r="AH248" s="180"/>
      <c r="AI248" s="180">
        <v>0</v>
      </c>
      <c r="AJ248" s="181">
        <f t="shared" si="70"/>
        <v>0</v>
      </c>
      <c r="AK248" s="246">
        <f t="shared" si="84"/>
        <v>52000000</v>
      </c>
      <c r="AL248" s="181">
        <f t="shared" si="71"/>
        <v>100</v>
      </c>
      <c r="AM248" s="243"/>
    </row>
    <row r="249" spans="1:39" ht="24.75" customHeight="1" x14ac:dyDescent="0.25">
      <c r="A249" s="243"/>
      <c r="B249" s="244"/>
      <c r="C249" s="244"/>
      <c r="D249" s="244"/>
      <c r="E249" s="244"/>
      <c r="F249" s="244"/>
      <c r="G249" s="244"/>
      <c r="H249" s="244"/>
      <c r="I249" s="298"/>
      <c r="J249" s="244" t="s">
        <v>315</v>
      </c>
      <c r="K249" s="245"/>
      <c r="L249" s="257"/>
      <c r="M249" s="591" t="s">
        <v>271</v>
      </c>
      <c r="N249" s="592"/>
      <c r="O249" s="179"/>
      <c r="P249" s="180"/>
      <c r="Q249" s="180">
        <v>4000000</v>
      </c>
      <c r="R249" s="181">
        <f t="shared" si="85"/>
        <v>0.8656627345091169</v>
      </c>
      <c r="S249" s="181">
        <v>100</v>
      </c>
      <c r="T249" s="180">
        <f t="shared" si="69"/>
        <v>0</v>
      </c>
      <c r="U249" s="180">
        <f t="shared" si="77"/>
        <v>0</v>
      </c>
      <c r="V249" s="182">
        <f t="shared" si="74"/>
        <v>100</v>
      </c>
      <c r="W249" s="180"/>
      <c r="X249" s="180"/>
      <c r="Y249" s="180"/>
      <c r="Z249" s="180"/>
      <c r="AA249" s="180"/>
      <c r="AB249" s="180"/>
      <c r="AC249" s="180"/>
      <c r="AD249" s="180"/>
      <c r="AE249" s="180"/>
      <c r="AF249" s="180"/>
      <c r="AG249" s="180"/>
      <c r="AH249" s="180"/>
      <c r="AI249" s="180">
        <v>0</v>
      </c>
      <c r="AJ249" s="181">
        <f t="shared" si="70"/>
        <v>0</v>
      </c>
      <c r="AK249" s="246">
        <f t="shared" si="84"/>
        <v>4000000</v>
      </c>
      <c r="AL249" s="181">
        <f t="shared" si="71"/>
        <v>100</v>
      </c>
      <c r="AM249" s="243"/>
    </row>
    <row r="250" spans="1:39" ht="24.75" customHeight="1" x14ac:dyDescent="0.25">
      <c r="A250" s="243"/>
      <c r="B250" s="244"/>
      <c r="C250" s="244"/>
      <c r="D250" s="244"/>
      <c r="E250" s="244"/>
      <c r="F250" s="244"/>
      <c r="G250" s="244"/>
      <c r="H250" s="244"/>
      <c r="I250" s="298"/>
      <c r="J250" s="244" t="s">
        <v>328</v>
      </c>
      <c r="K250" s="245"/>
      <c r="L250" s="257"/>
      <c r="M250" s="591" t="s">
        <v>329</v>
      </c>
      <c r="N250" s="592"/>
      <c r="O250" s="179"/>
      <c r="P250" s="180"/>
      <c r="Q250" s="180">
        <v>20000000</v>
      </c>
      <c r="R250" s="181">
        <f t="shared" si="85"/>
        <v>4.3283136725455842</v>
      </c>
      <c r="S250" s="181">
        <v>100</v>
      </c>
      <c r="T250" s="180">
        <f t="shared" si="69"/>
        <v>0</v>
      </c>
      <c r="U250" s="180">
        <f t="shared" si="77"/>
        <v>0</v>
      </c>
      <c r="V250" s="182">
        <f t="shared" si="74"/>
        <v>100</v>
      </c>
      <c r="W250" s="180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180"/>
      <c r="AI250" s="180">
        <v>0</v>
      </c>
      <c r="AJ250" s="181">
        <f t="shared" si="70"/>
        <v>0</v>
      </c>
      <c r="AK250" s="246">
        <f t="shared" si="84"/>
        <v>20000000</v>
      </c>
      <c r="AL250" s="181">
        <f t="shared" si="71"/>
        <v>100</v>
      </c>
      <c r="AM250" s="243"/>
    </row>
    <row r="251" spans="1:39" ht="31.5" customHeight="1" x14ac:dyDescent="0.25">
      <c r="A251" s="243"/>
      <c r="B251" s="244"/>
      <c r="C251" s="244"/>
      <c r="D251" s="244"/>
      <c r="E251" s="244"/>
      <c r="F251" s="244"/>
      <c r="G251" s="244"/>
      <c r="H251" s="244"/>
      <c r="I251" s="298"/>
      <c r="J251" s="244" t="s">
        <v>318</v>
      </c>
      <c r="K251" s="245"/>
      <c r="L251" s="257"/>
      <c r="M251" s="591" t="s">
        <v>319</v>
      </c>
      <c r="N251" s="592"/>
      <c r="O251" s="179"/>
      <c r="P251" s="180"/>
      <c r="Q251" s="180">
        <v>61500000</v>
      </c>
      <c r="R251" s="181">
        <f t="shared" si="85"/>
        <v>13.30956454307767</v>
      </c>
      <c r="S251" s="181">
        <v>100</v>
      </c>
      <c r="T251" s="180">
        <f t="shared" si="69"/>
        <v>0</v>
      </c>
      <c r="U251" s="180">
        <f t="shared" si="77"/>
        <v>0</v>
      </c>
      <c r="V251" s="182">
        <f t="shared" si="74"/>
        <v>100</v>
      </c>
      <c r="W251" s="180"/>
      <c r="X251" s="180"/>
      <c r="Y251" s="180"/>
      <c r="Z251" s="180"/>
      <c r="AA251" s="180"/>
      <c r="AB251" s="180"/>
      <c r="AC251" s="180"/>
      <c r="AD251" s="180"/>
      <c r="AE251" s="180"/>
      <c r="AF251" s="180"/>
      <c r="AG251" s="180"/>
      <c r="AH251" s="180"/>
      <c r="AI251" s="180">
        <v>0</v>
      </c>
      <c r="AJ251" s="181">
        <f t="shared" si="70"/>
        <v>0</v>
      </c>
      <c r="AK251" s="246">
        <f t="shared" si="84"/>
        <v>61500000</v>
      </c>
      <c r="AL251" s="181">
        <f t="shared" si="71"/>
        <v>100</v>
      </c>
      <c r="AM251" s="243"/>
    </row>
    <row r="252" spans="1:39" ht="24.75" customHeight="1" x14ac:dyDescent="0.25">
      <c r="A252" s="243"/>
      <c r="B252" s="244"/>
      <c r="C252" s="244"/>
      <c r="D252" s="244"/>
      <c r="E252" s="244"/>
      <c r="F252" s="244"/>
      <c r="G252" s="244"/>
      <c r="H252" s="244"/>
      <c r="I252" s="298"/>
      <c r="J252" s="244" t="s">
        <v>280</v>
      </c>
      <c r="K252" s="245"/>
      <c r="L252" s="257"/>
      <c r="M252" s="591" t="s">
        <v>281</v>
      </c>
      <c r="N252" s="592"/>
      <c r="O252" s="179"/>
      <c r="P252" s="180"/>
      <c r="Q252" s="180">
        <v>15000000</v>
      </c>
      <c r="R252" s="181">
        <f t="shared" si="85"/>
        <v>3.2462352544091884</v>
      </c>
      <c r="S252" s="181">
        <v>100</v>
      </c>
      <c r="T252" s="180">
        <f t="shared" si="69"/>
        <v>0</v>
      </c>
      <c r="U252" s="180">
        <f t="shared" si="77"/>
        <v>0</v>
      </c>
      <c r="V252" s="182">
        <f t="shared" si="74"/>
        <v>100</v>
      </c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180"/>
      <c r="AI252" s="180">
        <v>0</v>
      </c>
      <c r="AJ252" s="181">
        <f t="shared" si="70"/>
        <v>0</v>
      </c>
      <c r="AK252" s="246">
        <f t="shared" si="84"/>
        <v>15000000</v>
      </c>
      <c r="AL252" s="181">
        <f t="shared" si="71"/>
        <v>100</v>
      </c>
      <c r="AM252" s="243"/>
    </row>
    <row r="253" spans="1:39" ht="24.75" customHeight="1" x14ac:dyDescent="0.25">
      <c r="A253" s="243"/>
      <c r="B253" s="244"/>
      <c r="C253" s="244"/>
      <c r="D253" s="244"/>
      <c r="E253" s="244"/>
      <c r="F253" s="244"/>
      <c r="G253" s="244"/>
      <c r="H253" s="244"/>
      <c r="I253" s="298"/>
      <c r="J253" s="244" t="s">
        <v>284</v>
      </c>
      <c r="K253" s="245"/>
      <c r="L253" s="257"/>
      <c r="M253" s="591" t="s">
        <v>285</v>
      </c>
      <c r="N253" s="592"/>
      <c r="O253" s="179"/>
      <c r="P253" s="180"/>
      <c r="Q253" s="180">
        <v>6600000</v>
      </c>
      <c r="R253" s="181">
        <f t="shared" si="85"/>
        <v>1.4283435119400427</v>
      </c>
      <c r="S253" s="181">
        <v>100</v>
      </c>
      <c r="T253" s="180">
        <f t="shared" si="69"/>
        <v>0</v>
      </c>
      <c r="U253" s="180">
        <f t="shared" si="77"/>
        <v>0</v>
      </c>
      <c r="V253" s="182">
        <f t="shared" si="74"/>
        <v>100</v>
      </c>
      <c r="W253" s="180"/>
      <c r="X253" s="180"/>
      <c r="Y253" s="180"/>
      <c r="Z253" s="180"/>
      <c r="AA253" s="180"/>
      <c r="AB253" s="180"/>
      <c r="AC253" s="180"/>
      <c r="AD253" s="180"/>
      <c r="AE253" s="180"/>
      <c r="AF253" s="180"/>
      <c r="AG253" s="180"/>
      <c r="AH253" s="180"/>
      <c r="AI253" s="180">
        <v>0</v>
      </c>
      <c r="AJ253" s="181">
        <f t="shared" si="70"/>
        <v>0</v>
      </c>
      <c r="AK253" s="246">
        <f t="shared" si="84"/>
        <v>6600000</v>
      </c>
      <c r="AL253" s="181">
        <f t="shared" si="71"/>
        <v>100</v>
      </c>
      <c r="AM253" s="243"/>
    </row>
    <row r="254" spans="1:39" ht="24.75" customHeight="1" x14ac:dyDescent="0.25">
      <c r="A254" s="243"/>
      <c r="B254" s="244"/>
      <c r="C254" s="244"/>
      <c r="D254" s="244"/>
      <c r="E254" s="244"/>
      <c r="F254" s="244"/>
      <c r="G254" s="244"/>
      <c r="H254" s="244"/>
      <c r="I254" s="298"/>
      <c r="J254" s="244" t="s">
        <v>282</v>
      </c>
      <c r="K254" s="245"/>
      <c r="L254" s="257"/>
      <c r="M254" s="591" t="s">
        <v>283</v>
      </c>
      <c r="N254" s="592"/>
      <c r="O254" s="179"/>
      <c r="P254" s="180"/>
      <c r="Q254" s="180">
        <v>33250000</v>
      </c>
      <c r="R254" s="181">
        <f t="shared" si="85"/>
        <v>7.1958214806070337</v>
      </c>
      <c r="S254" s="181">
        <v>100</v>
      </c>
      <c r="T254" s="180">
        <f t="shared" si="69"/>
        <v>0</v>
      </c>
      <c r="U254" s="180">
        <f t="shared" si="77"/>
        <v>0</v>
      </c>
      <c r="V254" s="182">
        <f t="shared" si="74"/>
        <v>100</v>
      </c>
      <c r="W254" s="180"/>
      <c r="X254" s="180"/>
      <c r="Y254" s="180"/>
      <c r="Z254" s="180"/>
      <c r="AA254" s="180"/>
      <c r="AB254" s="180"/>
      <c r="AC254" s="180"/>
      <c r="AD254" s="180"/>
      <c r="AE254" s="180"/>
      <c r="AF254" s="180"/>
      <c r="AG254" s="180"/>
      <c r="AH254" s="180"/>
      <c r="AI254" s="180">
        <v>0</v>
      </c>
      <c r="AJ254" s="181">
        <f t="shared" si="70"/>
        <v>0</v>
      </c>
      <c r="AK254" s="246">
        <f t="shared" si="84"/>
        <v>33250000</v>
      </c>
      <c r="AL254" s="181">
        <f t="shared" si="71"/>
        <v>100</v>
      </c>
      <c r="AM254" s="243"/>
    </row>
    <row r="255" spans="1:39" ht="24.75" customHeight="1" x14ac:dyDescent="0.25">
      <c r="A255" s="243"/>
      <c r="B255" s="244"/>
      <c r="C255" s="244"/>
      <c r="D255" s="244"/>
      <c r="E255" s="244"/>
      <c r="F255" s="244"/>
      <c r="G255" s="244"/>
      <c r="H255" s="244"/>
      <c r="I255" s="298"/>
      <c r="J255" s="244" t="s">
        <v>306</v>
      </c>
      <c r="K255" s="245"/>
      <c r="L255" s="257"/>
      <c r="M255" s="591" t="s">
        <v>325</v>
      </c>
      <c r="N255" s="592"/>
      <c r="O255" s="179"/>
      <c r="P255" s="180"/>
      <c r="Q255" s="180">
        <v>45000000</v>
      </c>
      <c r="R255" s="181">
        <f t="shared" si="85"/>
        <v>9.7387057632275642</v>
      </c>
      <c r="S255" s="181">
        <v>100</v>
      </c>
      <c r="T255" s="180">
        <f t="shared" si="69"/>
        <v>0</v>
      </c>
      <c r="U255" s="180">
        <f t="shared" si="77"/>
        <v>0</v>
      </c>
      <c r="V255" s="182">
        <f t="shared" si="74"/>
        <v>100</v>
      </c>
      <c r="W255" s="180"/>
      <c r="X255" s="180"/>
      <c r="Y255" s="180"/>
      <c r="Z255" s="180"/>
      <c r="AA255" s="180"/>
      <c r="AB255" s="180"/>
      <c r="AC255" s="180"/>
      <c r="AD255" s="180"/>
      <c r="AE255" s="180"/>
      <c r="AF255" s="180"/>
      <c r="AG255" s="180"/>
      <c r="AH255" s="180"/>
      <c r="AI255" s="180">
        <v>0</v>
      </c>
      <c r="AJ255" s="181">
        <f t="shared" si="70"/>
        <v>0</v>
      </c>
      <c r="AK255" s="246">
        <f t="shared" si="84"/>
        <v>45000000</v>
      </c>
      <c r="AL255" s="181">
        <f t="shared" si="71"/>
        <v>100</v>
      </c>
      <c r="AM255" s="243"/>
    </row>
    <row r="256" spans="1:39" ht="24.75" customHeight="1" x14ac:dyDescent="0.25">
      <c r="A256" s="243"/>
      <c r="B256" s="244"/>
      <c r="C256" s="244"/>
      <c r="D256" s="244"/>
      <c r="E256" s="244"/>
      <c r="F256" s="244"/>
      <c r="G256" s="244"/>
      <c r="H256" s="244"/>
      <c r="I256" s="298"/>
      <c r="J256" s="244" t="s">
        <v>379</v>
      </c>
      <c r="K256" s="245"/>
      <c r="L256" s="257"/>
      <c r="M256" s="591" t="s">
        <v>601</v>
      </c>
      <c r="N256" s="592"/>
      <c r="O256" s="179"/>
      <c r="P256" s="180"/>
      <c r="Q256" s="180">
        <v>31843720</v>
      </c>
      <c r="R256" s="181">
        <f t="shared" si="85"/>
        <v>6.8914804330356638</v>
      </c>
      <c r="S256" s="181">
        <v>100</v>
      </c>
      <c r="T256" s="180">
        <f t="shared" si="69"/>
        <v>0</v>
      </c>
      <c r="U256" s="180">
        <f t="shared" si="77"/>
        <v>0</v>
      </c>
      <c r="V256" s="182">
        <f t="shared" si="74"/>
        <v>100</v>
      </c>
      <c r="W256" s="180"/>
      <c r="X256" s="180"/>
      <c r="Y256" s="180"/>
      <c r="Z256" s="180"/>
      <c r="AA256" s="180"/>
      <c r="AB256" s="180"/>
      <c r="AC256" s="180"/>
      <c r="AD256" s="180"/>
      <c r="AE256" s="180"/>
      <c r="AF256" s="180"/>
      <c r="AG256" s="180"/>
      <c r="AH256" s="180"/>
      <c r="AI256" s="180">
        <v>0</v>
      </c>
      <c r="AJ256" s="181">
        <f t="shared" si="70"/>
        <v>0</v>
      </c>
      <c r="AK256" s="246">
        <f t="shared" si="84"/>
        <v>31843720</v>
      </c>
      <c r="AL256" s="181">
        <f t="shared" si="71"/>
        <v>100</v>
      </c>
      <c r="AM256" s="243"/>
    </row>
    <row r="257" spans="1:39" ht="24.75" customHeight="1" x14ac:dyDescent="0.25">
      <c r="A257" s="243"/>
      <c r="B257" s="244"/>
      <c r="C257" s="244"/>
      <c r="D257" s="244"/>
      <c r="E257" s="244"/>
      <c r="F257" s="244"/>
      <c r="G257" s="244"/>
      <c r="H257" s="244"/>
      <c r="I257" s="298"/>
      <c r="J257" s="244" t="s">
        <v>380</v>
      </c>
      <c r="K257" s="245"/>
      <c r="L257" s="257"/>
      <c r="M257" s="591" t="s">
        <v>321</v>
      </c>
      <c r="N257" s="592"/>
      <c r="O257" s="179"/>
      <c r="P257" s="180"/>
      <c r="Q257" s="180">
        <v>40000000</v>
      </c>
      <c r="R257" s="181">
        <f>Q257/Q$244*100</f>
        <v>8.6566273450911684</v>
      </c>
      <c r="S257" s="181">
        <v>100</v>
      </c>
      <c r="T257" s="180">
        <f t="shared" si="69"/>
        <v>0</v>
      </c>
      <c r="U257" s="180">
        <f t="shared" si="77"/>
        <v>0</v>
      </c>
      <c r="V257" s="182">
        <f t="shared" si="74"/>
        <v>100</v>
      </c>
      <c r="W257" s="180"/>
      <c r="X257" s="180"/>
      <c r="Y257" s="180"/>
      <c r="Z257" s="180"/>
      <c r="AA257" s="180"/>
      <c r="AB257" s="180"/>
      <c r="AC257" s="180"/>
      <c r="AD257" s="180"/>
      <c r="AE257" s="180"/>
      <c r="AF257" s="180"/>
      <c r="AG257" s="180"/>
      <c r="AH257" s="180"/>
      <c r="AI257" s="180">
        <v>0</v>
      </c>
      <c r="AJ257" s="181">
        <f t="shared" si="70"/>
        <v>0</v>
      </c>
      <c r="AK257" s="246">
        <f t="shared" si="84"/>
        <v>40000000</v>
      </c>
      <c r="AL257" s="181">
        <f t="shared" si="71"/>
        <v>100</v>
      </c>
      <c r="AM257" s="243"/>
    </row>
    <row r="258" spans="1:39" ht="24.75" customHeight="1" x14ac:dyDescent="0.25">
      <c r="A258" s="243"/>
      <c r="B258" s="244"/>
      <c r="C258" s="244"/>
      <c r="D258" s="244"/>
      <c r="E258" s="244"/>
      <c r="F258" s="244"/>
      <c r="G258" s="244"/>
      <c r="H258" s="244"/>
      <c r="I258" s="298"/>
      <c r="J258" s="244" t="s">
        <v>413</v>
      </c>
      <c r="K258" s="245"/>
      <c r="L258" s="257"/>
      <c r="M258" s="591" t="s">
        <v>414</v>
      </c>
      <c r="N258" s="592"/>
      <c r="O258" s="179"/>
      <c r="P258" s="180"/>
      <c r="Q258" s="180">
        <v>18000000</v>
      </c>
      <c r="R258" s="181">
        <f>Q258/Q$244*100</f>
        <v>3.8954823052910257</v>
      </c>
      <c r="S258" s="181">
        <v>100</v>
      </c>
      <c r="T258" s="180">
        <f t="shared" si="69"/>
        <v>0</v>
      </c>
      <c r="U258" s="180">
        <f t="shared" si="77"/>
        <v>0</v>
      </c>
      <c r="V258" s="182">
        <f t="shared" si="74"/>
        <v>100</v>
      </c>
      <c r="W258" s="180"/>
      <c r="X258" s="180"/>
      <c r="Y258" s="180"/>
      <c r="Z258" s="180"/>
      <c r="AA258" s="180"/>
      <c r="AB258" s="180"/>
      <c r="AC258" s="180"/>
      <c r="AD258" s="180"/>
      <c r="AE258" s="180"/>
      <c r="AF258" s="180"/>
      <c r="AG258" s="180"/>
      <c r="AH258" s="180"/>
      <c r="AI258" s="180">
        <v>0</v>
      </c>
      <c r="AJ258" s="181">
        <f t="shared" si="70"/>
        <v>0</v>
      </c>
      <c r="AK258" s="246">
        <f t="shared" si="84"/>
        <v>18000000</v>
      </c>
      <c r="AL258" s="181">
        <f t="shared" si="71"/>
        <v>100</v>
      </c>
      <c r="AM258" s="243"/>
    </row>
    <row r="259" spans="1:39" s="297" customFormat="1" ht="30.75" customHeight="1" x14ac:dyDescent="0.25">
      <c r="A259" s="227">
        <f>SUM(A244+1)</f>
        <v>33</v>
      </c>
      <c r="B259" s="228"/>
      <c r="C259" s="228"/>
      <c r="D259" s="228"/>
      <c r="E259" s="228"/>
      <c r="F259" s="228"/>
      <c r="G259" s="228"/>
      <c r="H259" s="228"/>
      <c r="I259" s="229"/>
      <c r="J259" s="304" t="s">
        <v>480</v>
      </c>
      <c r="K259" s="230"/>
      <c r="L259" s="294"/>
      <c r="M259" s="610" t="s">
        <v>338</v>
      </c>
      <c r="N259" s="612"/>
      <c r="O259" s="309"/>
      <c r="P259" s="231"/>
      <c r="Q259" s="231">
        <f>SUM(Q260:Q269)</f>
        <v>64057069</v>
      </c>
      <c r="R259" s="233">
        <f>Q259/Q$243*100</f>
        <v>0.57658343594227013</v>
      </c>
      <c r="S259" s="233">
        <v>100</v>
      </c>
      <c r="T259" s="231">
        <f t="shared" si="69"/>
        <v>0</v>
      </c>
      <c r="U259" s="231">
        <f>R259*T259/100</f>
        <v>0</v>
      </c>
      <c r="V259" s="296">
        <f t="shared" si="74"/>
        <v>100</v>
      </c>
      <c r="W259" s="231"/>
      <c r="X259" s="231" t="e">
        <f>#REF!</f>
        <v>#REF!</v>
      </c>
      <c r="Y259" s="231" t="e">
        <f>#REF!</f>
        <v>#REF!</v>
      </c>
      <c r="Z259" s="231" t="e">
        <f>#REF!</f>
        <v>#REF!</v>
      </c>
      <c r="AA259" s="231" t="e">
        <f>#REF!</f>
        <v>#REF!</v>
      </c>
      <c r="AB259" s="231">
        <v>391775001</v>
      </c>
      <c r="AC259" s="231" t="e">
        <f>#REF!</f>
        <v>#REF!</v>
      </c>
      <c r="AD259" s="231" t="e">
        <f>#REF!</f>
        <v>#REF!</v>
      </c>
      <c r="AE259" s="231" t="e">
        <f>#REF!</f>
        <v>#REF!</v>
      </c>
      <c r="AF259" s="231" t="e">
        <f>[1]April!N55</f>
        <v>#REF!</v>
      </c>
      <c r="AG259" s="231" t="e">
        <f>[2]april!N55</f>
        <v>#REF!</v>
      </c>
      <c r="AH259" s="231" t="e">
        <f>'[3]DES SKPD'!$N55</f>
        <v>#REF!</v>
      </c>
      <c r="AI259" s="231">
        <f>SUM(AI260:AI269)</f>
        <v>0</v>
      </c>
      <c r="AJ259" s="233">
        <f t="shared" si="70"/>
        <v>0</v>
      </c>
      <c r="AK259" s="234">
        <f t="shared" si="84"/>
        <v>64057069</v>
      </c>
      <c r="AL259" s="233">
        <f t="shared" si="71"/>
        <v>100</v>
      </c>
      <c r="AM259" s="227"/>
    </row>
    <row r="260" spans="1:39" ht="24.75" customHeight="1" x14ac:dyDescent="0.25">
      <c r="A260" s="243"/>
      <c r="B260" s="244"/>
      <c r="C260" s="244"/>
      <c r="D260" s="244"/>
      <c r="E260" s="244"/>
      <c r="F260" s="244"/>
      <c r="G260" s="244"/>
      <c r="H260" s="244"/>
      <c r="I260" s="298"/>
      <c r="J260" s="244" t="s">
        <v>326</v>
      </c>
      <c r="K260" s="245"/>
      <c r="L260" s="257"/>
      <c r="M260" s="591" t="s">
        <v>327</v>
      </c>
      <c r="N260" s="592"/>
      <c r="O260" s="179"/>
      <c r="P260" s="180"/>
      <c r="Q260" s="180">
        <v>15750000</v>
      </c>
      <c r="R260" s="181">
        <f>Q260/Q$259*100</f>
        <v>24.587450293737291</v>
      </c>
      <c r="S260" s="181">
        <v>100</v>
      </c>
      <c r="T260" s="180">
        <f t="shared" si="69"/>
        <v>0</v>
      </c>
      <c r="U260" s="180">
        <f t="shared" si="77"/>
        <v>0</v>
      </c>
      <c r="V260" s="182">
        <f t="shared" si="74"/>
        <v>100</v>
      </c>
      <c r="W260" s="180"/>
      <c r="X260" s="180"/>
      <c r="Y260" s="180"/>
      <c r="Z260" s="180"/>
      <c r="AA260" s="180"/>
      <c r="AB260" s="180"/>
      <c r="AC260" s="180"/>
      <c r="AD260" s="180"/>
      <c r="AE260" s="180"/>
      <c r="AF260" s="180"/>
      <c r="AG260" s="180"/>
      <c r="AH260" s="180"/>
      <c r="AI260" s="180">
        <v>0</v>
      </c>
      <c r="AJ260" s="181">
        <f t="shared" si="70"/>
        <v>0</v>
      </c>
      <c r="AK260" s="246">
        <f t="shared" si="84"/>
        <v>15750000</v>
      </c>
      <c r="AL260" s="181">
        <f t="shared" si="71"/>
        <v>100</v>
      </c>
      <c r="AM260" s="243"/>
    </row>
    <row r="261" spans="1:39" ht="24.75" customHeight="1" x14ac:dyDescent="0.25">
      <c r="A261" s="243"/>
      <c r="B261" s="244"/>
      <c r="C261" s="244"/>
      <c r="D261" s="244"/>
      <c r="E261" s="244"/>
      <c r="F261" s="244"/>
      <c r="G261" s="244"/>
      <c r="H261" s="244"/>
      <c r="I261" s="298"/>
      <c r="J261" s="244" t="s">
        <v>323</v>
      </c>
      <c r="K261" s="245"/>
      <c r="L261" s="257"/>
      <c r="M261" s="591" t="s">
        <v>324</v>
      </c>
      <c r="N261" s="592"/>
      <c r="O261" s="179"/>
      <c r="P261" s="180"/>
      <c r="Q261" s="180">
        <v>2468000</v>
      </c>
      <c r="R261" s="181">
        <f t="shared" ref="R261:R269" si="86">Q261/Q$259*100</f>
        <v>3.8528144333297552</v>
      </c>
      <c r="S261" s="181">
        <v>100</v>
      </c>
      <c r="T261" s="180">
        <f t="shared" si="69"/>
        <v>0</v>
      </c>
      <c r="U261" s="180">
        <f t="shared" si="77"/>
        <v>0</v>
      </c>
      <c r="V261" s="182">
        <f t="shared" si="74"/>
        <v>100</v>
      </c>
      <c r="W261" s="180"/>
      <c r="X261" s="180"/>
      <c r="Y261" s="180"/>
      <c r="Z261" s="180"/>
      <c r="AA261" s="180"/>
      <c r="AB261" s="180"/>
      <c r="AC261" s="180"/>
      <c r="AD261" s="180"/>
      <c r="AE261" s="180"/>
      <c r="AF261" s="180"/>
      <c r="AG261" s="180"/>
      <c r="AH261" s="180"/>
      <c r="AI261" s="180">
        <v>0</v>
      </c>
      <c r="AJ261" s="181">
        <f t="shared" si="70"/>
        <v>0</v>
      </c>
      <c r="AK261" s="246">
        <f t="shared" si="84"/>
        <v>2468000</v>
      </c>
      <c r="AL261" s="181">
        <f t="shared" si="71"/>
        <v>100</v>
      </c>
      <c r="AM261" s="243"/>
    </row>
    <row r="262" spans="1:39" ht="24.75" customHeight="1" x14ac:dyDescent="0.25">
      <c r="A262" s="243"/>
      <c r="B262" s="244"/>
      <c r="C262" s="244"/>
      <c r="D262" s="244"/>
      <c r="E262" s="244"/>
      <c r="F262" s="244"/>
      <c r="G262" s="244"/>
      <c r="H262" s="244"/>
      <c r="I262" s="298"/>
      <c r="J262" s="244" t="s">
        <v>269</v>
      </c>
      <c r="K262" s="245"/>
      <c r="L262" s="257"/>
      <c r="M262" s="591" t="s">
        <v>352</v>
      </c>
      <c r="N262" s="592"/>
      <c r="O262" s="179"/>
      <c r="P262" s="180"/>
      <c r="Q262" s="180">
        <v>3000000</v>
      </c>
      <c r="R262" s="181">
        <f t="shared" si="86"/>
        <v>4.6833238654737697</v>
      </c>
      <c r="S262" s="181">
        <v>100</v>
      </c>
      <c r="T262" s="180">
        <f t="shared" si="69"/>
        <v>0</v>
      </c>
      <c r="U262" s="180">
        <f t="shared" si="77"/>
        <v>0</v>
      </c>
      <c r="V262" s="182">
        <f t="shared" si="74"/>
        <v>100</v>
      </c>
      <c r="W262" s="180"/>
      <c r="X262" s="180"/>
      <c r="Y262" s="180"/>
      <c r="Z262" s="180"/>
      <c r="AA262" s="180"/>
      <c r="AB262" s="180"/>
      <c r="AC262" s="180"/>
      <c r="AD262" s="180"/>
      <c r="AE262" s="180"/>
      <c r="AF262" s="180"/>
      <c r="AG262" s="180"/>
      <c r="AH262" s="180"/>
      <c r="AI262" s="180">
        <v>0</v>
      </c>
      <c r="AJ262" s="181">
        <f t="shared" si="70"/>
        <v>0</v>
      </c>
      <c r="AK262" s="246">
        <f t="shared" si="84"/>
        <v>3000000</v>
      </c>
      <c r="AL262" s="181">
        <f t="shared" si="71"/>
        <v>100</v>
      </c>
      <c r="AM262" s="243"/>
    </row>
    <row r="263" spans="1:39" ht="29.25" customHeight="1" x14ac:dyDescent="0.25">
      <c r="A263" s="243"/>
      <c r="B263" s="244"/>
      <c r="C263" s="244"/>
      <c r="D263" s="244"/>
      <c r="E263" s="244"/>
      <c r="F263" s="244"/>
      <c r="G263" s="244"/>
      <c r="H263" s="244"/>
      <c r="I263" s="298"/>
      <c r="J263" s="244" t="s">
        <v>315</v>
      </c>
      <c r="K263" s="245"/>
      <c r="L263" s="257"/>
      <c r="M263" s="591" t="s">
        <v>428</v>
      </c>
      <c r="N263" s="592"/>
      <c r="O263" s="179"/>
      <c r="P263" s="180"/>
      <c r="Q263" s="180">
        <v>2820000</v>
      </c>
      <c r="R263" s="181">
        <f t="shared" si="86"/>
        <v>4.4023244335453438</v>
      </c>
      <c r="S263" s="181">
        <v>100</v>
      </c>
      <c r="T263" s="180">
        <f t="shared" si="69"/>
        <v>0</v>
      </c>
      <c r="U263" s="180">
        <f t="shared" si="77"/>
        <v>0</v>
      </c>
      <c r="V263" s="182">
        <f t="shared" si="74"/>
        <v>100</v>
      </c>
      <c r="W263" s="180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180"/>
      <c r="AI263" s="180">
        <v>0</v>
      </c>
      <c r="AJ263" s="181">
        <f t="shared" si="70"/>
        <v>0</v>
      </c>
      <c r="AK263" s="246">
        <f t="shared" si="84"/>
        <v>2820000</v>
      </c>
      <c r="AL263" s="181">
        <f t="shared" si="71"/>
        <v>100</v>
      </c>
      <c r="AM263" s="243"/>
    </row>
    <row r="264" spans="1:39" ht="29.25" customHeight="1" x14ac:dyDescent="0.25">
      <c r="A264" s="243"/>
      <c r="B264" s="244"/>
      <c r="C264" s="244"/>
      <c r="D264" s="244"/>
      <c r="E264" s="244"/>
      <c r="F264" s="244"/>
      <c r="G264" s="244"/>
      <c r="H264" s="244"/>
      <c r="I264" s="298"/>
      <c r="J264" s="244" t="s">
        <v>318</v>
      </c>
      <c r="K264" s="245"/>
      <c r="L264" s="257"/>
      <c r="M264" s="591" t="s">
        <v>602</v>
      </c>
      <c r="N264" s="592"/>
      <c r="O264" s="179"/>
      <c r="P264" s="180"/>
      <c r="Q264" s="180">
        <v>20000000</v>
      </c>
      <c r="R264" s="181">
        <f t="shared" si="86"/>
        <v>31.222159103158464</v>
      </c>
      <c r="S264" s="181">
        <v>100</v>
      </c>
      <c r="T264" s="180">
        <f t="shared" si="69"/>
        <v>0</v>
      </c>
      <c r="U264" s="180">
        <f t="shared" si="77"/>
        <v>0</v>
      </c>
      <c r="V264" s="182">
        <f t="shared" si="74"/>
        <v>100</v>
      </c>
      <c r="W264" s="180"/>
      <c r="X264" s="180"/>
      <c r="Y264" s="180"/>
      <c r="Z264" s="180"/>
      <c r="AA264" s="180"/>
      <c r="AB264" s="180"/>
      <c r="AC264" s="180"/>
      <c r="AD264" s="180"/>
      <c r="AE264" s="180"/>
      <c r="AF264" s="180"/>
      <c r="AG264" s="180"/>
      <c r="AH264" s="180"/>
      <c r="AI264" s="180">
        <v>0</v>
      </c>
      <c r="AJ264" s="181">
        <f t="shared" si="70"/>
        <v>0</v>
      </c>
      <c r="AK264" s="246">
        <f t="shared" si="84"/>
        <v>20000000</v>
      </c>
      <c r="AL264" s="181">
        <f t="shared" si="71"/>
        <v>100</v>
      </c>
      <c r="AM264" s="243"/>
    </row>
    <row r="265" spans="1:39" ht="29.25" customHeight="1" x14ac:dyDescent="0.25">
      <c r="A265" s="243"/>
      <c r="B265" s="244"/>
      <c r="C265" s="244"/>
      <c r="D265" s="244"/>
      <c r="E265" s="244"/>
      <c r="F265" s="244"/>
      <c r="G265" s="244"/>
      <c r="H265" s="244"/>
      <c r="I265" s="298"/>
      <c r="J265" s="244" t="s">
        <v>339</v>
      </c>
      <c r="K265" s="245"/>
      <c r="L265" s="257"/>
      <c r="M265" s="591" t="s">
        <v>340</v>
      </c>
      <c r="N265" s="592"/>
      <c r="O265" s="179"/>
      <c r="P265" s="180"/>
      <c r="Q265" s="180">
        <v>2000000</v>
      </c>
      <c r="R265" s="181">
        <f t="shared" si="86"/>
        <v>3.1222159103158469</v>
      </c>
      <c r="S265" s="181">
        <v>100</v>
      </c>
      <c r="T265" s="180">
        <f t="shared" si="69"/>
        <v>0</v>
      </c>
      <c r="U265" s="180">
        <f t="shared" si="77"/>
        <v>0</v>
      </c>
      <c r="V265" s="182">
        <f t="shared" si="74"/>
        <v>100</v>
      </c>
      <c r="W265" s="180"/>
      <c r="X265" s="180"/>
      <c r="Y265" s="180"/>
      <c r="Z265" s="180"/>
      <c r="AA265" s="180"/>
      <c r="AB265" s="180"/>
      <c r="AC265" s="180"/>
      <c r="AD265" s="180"/>
      <c r="AE265" s="180"/>
      <c r="AF265" s="180"/>
      <c r="AG265" s="180"/>
      <c r="AH265" s="180"/>
      <c r="AI265" s="180">
        <v>0</v>
      </c>
      <c r="AJ265" s="181">
        <f t="shared" si="70"/>
        <v>0</v>
      </c>
      <c r="AK265" s="246">
        <f t="shared" si="84"/>
        <v>2000000</v>
      </c>
      <c r="AL265" s="181">
        <f t="shared" si="71"/>
        <v>100</v>
      </c>
      <c r="AM265" s="243"/>
    </row>
    <row r="266" spans="1:39" ht="29.25" customHeight="1" x14ac:dyDescent="0.25">
      <c r="A266" s="243"/>
      <c r="B266" s="244"/>
      <c r="C266" s="244"/>
      <c r="D266" s="244"/>
      <c r="E266" s="244"/>
      <c r="F266" s="244"/>
      <c r="G266" s="244"/>
      <c r="H266" s="244"/>
      <c r="I266" s="298"/>
      <c r="J266" s="244" t="s">
        <v>284</v>
      </c>
      <c r="K266" s="245"/>
      <c r="L266" s="257"/>
      <c r="M266" s="591" t="s">
        <v>603</v>
      </c>
      <c r="N266" s="592"/>
      <c r="O266" s="179"/>
      <c r="P266" s="180"/>
      <c r="Q266" s="180">
        <v>1119069</v>
      </c>
      <c r="R266" s="181">
        <f t="shared" si="86"/>
        <v>1.746987518270622</v>
      </c>
      <c r="S266" s="181">
        <v>100</v>
      </c>
      <c r="T266" s="180">
        <f t="shared" si="69"/>
        <v>0</v>
      </c>
      <c r="U266" s="180">
        <f t="shared" si="77"/>
        <v>0</v>
      </c>
      <c r="V266" s="182">
        <f t="shared" si="74"/>
        <v>100</v>
      </c>
      <c r="W266" s="180"/>
      <c r="X266" s="180"/>
      <c r="Y266" s="180"/>
      <c r="Z266" s="180"/>
      <c r="AA266" s="180"/>
      <c r="AB266" s="180"/>
      <c r="AC266" s="180"/>
      <c r="AD266" s="180"/>
      <c r="AE266" s="180"/>
      <c r="AF266" s="180"/>
      <c r="AG266" s="180"/>
      <c r="AH266" s="180"/>
      <c r="AI266" s="180">
        <v>0</v>
      </c>
      <c r="AJ266" s="181">
        <f t="shared" si="70"/>
        <v>0</v>
      </c>
      <c r="AK266" s="246">
        <f t="shared" si="84"/>
        <v>1119069</v>
      </c>
      <c r="AL266" s="181">
        <f t="shared" si="71"/>
        <v>100</v>
      </c>
      <c r="AM266" s="243"/>
    </row>
    <row r="267" spans="1:39" ht="29.25" customHeight="1" x14ac:dyDescent="0.25">
      <c r="A267" s="243"/>
      <c r="B267" s="244"/>
      <c r="C267" s="244"/>
      <c r="D267" s="244"/>
      <c r="E267" s="244"/>
      <c r="F267" s="244"/>
      <c r="G267" s="244"/>
      <c r="H267" s="244"/>
      <c r="I267" s="298"/>
      <c r="J267" s="244" t="s">
        <v>282</v>
      </c>
      <c r="K267" s="245"/>
      <c r="L267" s="257"/>
      <c r="M267" s="591" t="s">
        <v>283</v>
      </c>
      <c r="N267" s="592"/>
      <c r="O267" s="179"/>
      <c r="P267" s="180"/>
      <c r="Q267" s="180">
        <v>6900000</v>
      </c>
      <c r="R267" s="181">
        <f t="shared" si="86"/>
        <v>10.771644890589672</v>
      </c>
      <c r="S267" s="181">
        <v>100</v>
      </c>
      <c r="T267" s="180">
        <f t="shared" si="69"/>
        <v>0</v>
      </c>
      <c r="U267" s="180">
        <f t="shared" si="77"/>
        <v>0</v>
      </c>
      <c r="V267" s="182">
        <f t="shared" si="74"/>
        <v>100</v>
      </c>
      <c r="W267" s="180"/>
      <c r="X267" s="180"/>
      <c r="Y267" s="180"/>
      <c r="Z267" s="180"/>
      <c r="AA267" s="180"/>
      <c r="AB267" s="180"/>
      <c r="AC267" s="180"/>
      <c r="AD267" s="180"/>
      <c r="AE267" s="180"/>
      <c r="AF267" s="180"/>
      <c r="AG267" s="180"/>
      <c r="AH267" s="180"/>
      <c r="AI267" s="180">
        <v>0</v>
      </c>
      <c r="AJ267" s="181">
        <f t="shared" si="70"/>
        <v>0</v>
      </c>
      <c r="AK267" s="246">
        <f t="shared" si="84"/>
        <v>6900000</v>
      </c>
      <c r="AL267" s="181">
        <f t="shared" si="71"/>
        <v>100</v>
      </c>
      <c r="AM267" s="243"/>
    </row>
    <row r="268" spans="1:39" ht="29.25" customHeight="1" x14ac:dyDescent="0.25">
      <c r="A268" s="243"/>
      <c r="B268" s="244"/>
      <c r="C268" s="244"/>
      <c r="D268" s="244"/>
      <c r="E268" s="244"/>
      <c r="F268" s="244"/>
      <c r="G268" s="244"/>
      <c r="H268" s="244"/>
      <c r="I268" s="298"/>
      <c r="J268" s="244" t="s">
        <v>320</v>
      </c>
      <c r="K268" s="245"/>
      <c r="L268" s="257"/>
      <c r="M268" s="591" t="s">
        <v>321</v>
      </c>
      <c r="N268" s="592"/>
      <c r="O268" s="179"/>
      <c r="P268" s="180"/>
      <c r="Q268" s="180">
        <v>7200000</v>
      </c>
      <c r="R268" s="181">
        <f t="shared" si="86"/>
        <v>11.239977277137047</v>
      </c>
      <c r="S268" s="181">
        <v>100</v>
      </c>
      <c r="T268" s="180">
        <f t="shared" si="69"/>
        <v>0</v>
      </c>
      <c r="U268" s="180">
        <f t="shared" si="77"/>
        <v>0</v>
      </c>
      <c r="V268" s="182">
        <f t="shared" si="74"/>
        <v>100</v>
      </c>
      <c r="W268" s="180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180"/>
      <c r="AI268" s="180">
        <v>0</v>
      </c>
      <c r="AJ268" s="181">
        <f t="shared" si="70"/>
        <v>0</v>
      </c>
      <c r="AK268" s="246">
        <f t="shared" si="84"/>
        <v>7200000</v>
      </c>
      <c r="AL268" s="181">
        <f t="shared" si="71"/>
        <v>100</v>
      </c>
      <c r="AM268" s="243"/>
    </row>
    <row r="269" spans="1:39" ht="24.75" customHeight="1" x14ac:dyDescent="0.25">
      <c r="A269" s="243"/>
      <c r="B269" s="244"/>
      <c r="C269" s="244"/>
      <c r="D269" s="244"/>
      <c r="E269" s="244"/>
      <c r="F269" s="244"/>
      <c r="G269" s="244"/>
      <c r="H269" s="244"/>
      <c r="I269" s="298"/>
      <c r="J269" s="244" t="s">
        <v>407</v>
      </c>
      <c r="K269" s="245"/>
      <c r="L269" s="257"/>
      <c r="M269" s="591" t="s">
        <v>414</v>
      </c>
      <c r="N269" s="592"/>
      <c r="O269" s="179"/>
      <c r="P269" s="180"/>
      <c r="Q269" s="180">
        <v>2800000</v>
      </c>
      <c r="R269" s="181">
        <f t="shared" si="86"/>
        <v>4.371102274442185</v>
      </c>
      <c r="S269" s="181">
        <v>100</v>
      </c>
      <c r="T269" s="180">
        <f t="shared" si="69"/>
        <v>0</v>
      </c>
      <c r="U269" s="180">
        <f t="shared" si="77"/>
        <v>0</v>
      </c>
      <c r="V269" s="182">
        <f t="shared" si="74"/>
        <v>100</v>
      </c>
      <c r="W269" s="180"/>
      <c r="X269" s="180"/>
      <c r="Y269" s="180"/>
      <c r="Z269" s="180"/>
      <c r="AA269" s="180"/>
      <c r="AB269" s="180"/>
      <c r="AC269" s="180"/>
      <c r="AD269" s="180"/>
      <c r="AE269" s="180"/>
      <c r="AF269" s="180"/>
      <c r="AG269" s="180"/>
      <c r="AH269" s="180"/>
      <c r="AI269" s="180">
        <v>0</v>
      </c>
      <c r="AJ269" s="181">
        <f t="shared" si="70"/>
        <v>0</v>
      </c>
      <c r="AK269" s="246">
        <f t="shared" si="84"/>
        <v>2800000</v>
      </c>
      <c r="AL269" s="181">
        <f t="shared" si="71"/>
        <v>100</v>
      </c>
      <c r="AM269" s="243"/>
    </row>
    <row r="270" spans="1:39" s="311" customFormat="1" ht="34.5" customHeight="1" x14ac:dyDescent="0.25">
      <c r="A270" s="227">
        <f>A259</f>
        <v>33</v>
      </c>
      <c r="B270" s="615" t="s">
        <v>150</v>
      </c>
      <c r="C270" s="615"/>
      <c r="D270" s="615"/>
      <c r="E270" s="615"/>
      <c r="F270" s="615"/>
      <c r="G270" s="615"/>
      <c r="H270" s="615"/>
      <c r="I270" s="614"/>
      <c r="J270" s="304" t="s">
        <v>482</v>
      </c>
      <c r="K270" s="230"/>
      <c r="L270" s="294"/>
      <c r="M270" s="609" t="s">
        <v>41</v>
      </c>
      <c r="N270" s="609"/>
      <c r="O270" s="310">
        <v>461840000</v>
      </c>
      <c r="P270" s="231">
        <f>O270</f>
        <v>461840000</v>
      </c>
      <c r="Q270" s="231">
        <f>SUM(Q271:Q281)</f>
        <v>300818900</v>
      </c>
      <c r="R270" s="233">
        <f>Q270/Q$243*100</f>
        <v>2.7076979584934513</v>
      </c>
      <c r="S270" s="233">
        <v>100</v>
      </c>
      <c r="T270" s="231">
        <f t="shared" si="69"/>
        <v>0</v>
      </c>
      <c r="U270" s="231">
        <f t="shared" si="77"/>
        <v>0</v>
      </c>
      <c r="V270" s="296">
        <f t="shared" si="74"/>
        <v>100</v>
      </c>
      <c r="W270" s="231"/>
      <c r="X270" s="231" t="e">
        <f>#REF!</f>
        <v>#REF!</v>
      </c>
      <c r="Y270" s="231" t="e">
        <f>#REF!</f>
        <v>#REF!</v>
      </c>
      <c r="Z270" s="231" t="e">
        <f>#REF!</f>
        <v>#REF!</v>
      </c>
      <c r="AA270" s="231" t="e">
        <f>#REF!</f>
        <v>#REF!</v>
      </c>
      <c r="AB270" s="231">
        <v>26033000</v>
      </c>
      <c r="AC270" s="231" t="e">
        <f>#REF!</f>
        <v>#REF!</v>
      </c>
      <c r="AD270" s="231" t="e">
        <f>#REF!</f>
        <v>#REF!</v>
      </c>
      <c r="AE270" s="231" t="e">
        <f>#REF!</f>
        <v>#REF!</v>
      </c>
      <c r="AF270" s="231" t="e">
        <f>[1]April!N57</f>
        <v>#REF!</v>
      </c>
      <c r="AG270" s="231" t="e">
        <f>[2]april!N57</f>
        <v>#REF!</v>
      </c>
      <c r="AH270" s="231">
        <f>'[3]DES SKPD'!$N57</f>
        <v>371775000</v>
      </c>
      <c r="AI270" s="231">
        <f>SUM(AI271:AI281)</f>
        <v>0</v>
      </c>
      <c r="AJ270" s="233">
        <f t="shared" si="70"/>
        <v>0</v>
      </c>
      <c r="AK270" s="234">
        <f t="shared" si="84"/>
        <v>300818900</v>
      </c>
      <c r="AL270" s="233">
        <f t="shared" si="71"/>
        <v>100</v>
      </c>
      <c r="AM270" s="227"/>
    </row>
    <row r="271" spans="1:39" ht="28.5" customHeight="1" x14ac:dyDescent="0.25">
      <c r="A271" s="243"/>
      <c r="B271" s="244"/>
      <c r="C271" s="244"/>
      <c r="D271" s="244"/>
      <c r="E271" s="244"/>
      <c r="F271" s="244"/>
      <c r="G271" s="244"/>
      <c r="H271" s="244"/>
      <c r="I271" s="298"/>
      <c r="J271" s="244" t="s">
        <v>257</v>
      </c>
      <c r="K271" s="245"/>
      <c r="L271" s="257"/>
      <c r="M271" s="591" t="s">
        <v>260</v>
      </c>
      <c r="N271" s="592"/>
      <c r="O271" s="179"/>
      <c r="P271" s="180"/>
      <c r="Q271" s="180">
        <v>1540000</v>
      </c>
      <c r="R271" s="181">
        <f>Q271/Q$270*100</f>
        <v>0.51193591891998813</v>
      </c>
      <c r="S271" s="181">
        <v>100</v>
      </c>
      <c r="T271" s="180">
        <f t="shared" si="69"/>
        <v>0</v>
      </c>
      <c r="U271" s="180">
        <f t="shared" si="77"/>
        <v>0</v>
      </c>
      <c r="V271" s="182">
        <f t="shared" si="74"/>
        <v>100</v>
      </c>
      <c r="W271" s="180"/>
      <c r="X271" s="180"/>
      <c r="Y271" s="180"/>
      <c r="Z271" s="180"/>
      <c r="AA271" s="180"/>
      <c r="AB271" s="180"/>
      <c r="AC271" s="180"/>
      <c r="AD271" s="180"/>
      <c r="AE271" s="180"/>
      <c r="AF271" s="180"/>
      <c r="AG271" s="180"/>
      <c r="AH271" s="180"/>
      <c r="AI271" s="180">
        <v>0</v>
      </c>
      <c r="AJ271" s="181">
        <f t="shared" si="70"/>
        <v>0</v>
      </c>
      <c r="AK271" s="246">
        <f t="shared" si="84"/>
        <v>1540000</v>
      </c>
      <c r="AL271" s="181">
        <f t="shared" si="71"/>
        <v>100</v>
      </c>
      <c r="AM271" s="243"/>
    </row>
    <row r="272" spans="1:39" ht="28.5" customHeight="1" x14ac:dyDescent="0.25">
      <c r="A272" s="243"/>
      <c r="B272" s="244"/>
      <c r="C272" s="244"/>
      <c r="D272" s="244"/>
      <c r="E272" s="244"/>
      <c r="F272" s="244"/>
      <c r="G272" s="244"/>
      <c r="H272" s="244"/>
      <c r="I272" s="298"/>
      <c r="J272" s="244" t="s">
        <v>326</v>
      </c>
      <c r="K272" s="245"/>
      <c r="L272" s="257"/>
      <c r="M272" s="591" t="s">
        <v>327</v>
      </c>
      <c r="N272" s="592"/>
      <c r="O272" s="179"/>
      <c r="P272" s="180"/>
      <c r="Q272" s="180">
        <v>140400000</v>
      </c>
      <c r="R272" s="181">
        <f t="shared" ref="R272:R281" si="87">Q272/Q$270*100</f>
        <v>46.672599361276838</v>
      </c>
      <c r="S272" s="181">
        <v>100</v>
      </c>
      <c r="T272" s="180">
        <f t="shared" si="69"/>
        <v>0</v>
      </c>
      <c r="U272" s="180">
        <f t="shared" si="77"/>
        <v>0</v>
      </c>
      <c r="V272" s="182">
        <f t="shared" si="74"/>
        <v>100</v>
      </c>
      <c r="W272" s="180"/>
      <c r="X272" s="180"/>
      <c r="Y272" s="180"/>
      <c r="Z272" s="180"/>
      <c r="AA272" s="180"/>
      <c r="AB272" s="180"/>
      <c r="AC272" s="180"/>
      <c r="AD272" s="180"/>
      <c r="AE272" s="180"/>
      <c r="AF272" s="180"/>
      <c r="AG272" s="180"/>
      <c r="AH272" s="180"/>
      <c r="AI272" s="180">
        <v>0</v>
      </c>
      <c r="AJ272" s="181">
        <f t="shared" si="70"/>
        <v>0</v>
      </c>
      <c r="AK272" s="246">
        <f t="shared" si="84"/>
        <v>140400000</v>
      </c>
      <c r="AL272" s="181">
        <f t="shared" si="71"/>
        <v>100</v>
      </c>
      <c r="AM272" s="243"/>
    </row>
    <row r="273" spans="1:39" ht="28.5" customHeight="1" x14ac:dyDescent="0.25">
      <c r="A273" s="243"/>
      <c r="B273" s="244"/>
      <c r="C273" s="244"/>
      <c r="D273" s="244"/>
      <c r="E273" s="244"/>
      <c r="F273" s="244"/>
      <c r="G273" s="244"/>
      <c r="H273" s="244"/>
      <c r="I273" s="298"/>
      <c r="J273" s="244" t="s">
        <v>323</v>
      </c>
      <c r="K273" s="245"/>
      <c r="L273" s="257"/>
      <c r="M273" s="591" t="s">
        <v>324</v>
      </c>
      <c r="N273" s="592"/>
      <c r="O273" s="179"/>
      <c r="P273" s="180"/>
      <c r="Q273" s="180">
        <v>10250000</v>
      </c>
      <c r="R273" s="181">
        <f t="shared" si="87"/>
        <v>3.4073656941103101</v>
      </c>
      <c r="S273" s="181">
        <v>100</v>
      </c>
      <c r="T273" s="180">
        <f t="shared" si="69"/>
        <v>0</v>
      </c>
      <c r="U273" s="180">
        <f t="shared" si="77"/>
        <v>0</v>
      </c>
      <c r="V273" s="182">
        <f t="shared" si="74"/>
        <v>100</v>
      </c>
      <c r="W273" s="180"/>
      <c r="X273" s="180"/>
      <c r="Y273" s="180"/>
      <c r="Z273" s="180"/>
      <c r="AA273" s="180"/>
      <c r="AB273" s="180"/>
      <c r="AC273" s="180"/>
      <c r="AD273" s="180"/>
      <c r="AE273" s="180"/>
      <c r="AF273" s="180"/>
      <c r="AG273" s="180"/>
      <c r="AH273" s="180"/>
      <c r="AI273" s="180">
        <v>0</v>
      </c>
      <c r="AJ273" s="181">
        <f t="shared" si="70"/>
        <v>0</v>
      </c>
      <c r="AK273" s="246">
        <f t="shared" si="84"/>
        <v>10250000</v>
      </c>
      <c r="AL273" s="181">
        <f t="shared" si="71"/>
        <v>100</v>
      </c>
      <c r="AM273" s="243"/>
    </row>
    <row r="274" spans="1:39" ht="28.5" customHeight="1" x14ac:dyDescent="0.25">
      <c r="A274" s="243"/>
      <c r="B274" s="244"/>
      <c r="C274" s="244"/>
      <c r="D274" s="244"/>
      <c r="E274" s="244"/>
      <c r="F274" s="244"/>
      <c r="G274" s="244"/>
      <c r="H274" s="244"/>
      <c r="I274" s="298"/>
      <c r="J274" s="244" t="s">
        <v>336</v>
      </c>
      <c r="K274" s="245"/>
      <c r="L274" s="257"/>
      <c r="M274" s="591" t="s">
        <v>337</v>
      </c>
      <c r="N274" s="592"/>
      <c r="O274" s="179"/>
      <c r="P274" s="180"/>
      <c r="Q274" s="180">
        <v>10000000</v>
      </c>
      <c r="R274" s="181">
        <f t="shared" si="87"/>
        <v>3.3242592137661564</v>
      </c>
      <c r="S274" s="181">
        <v>100</v>
      </c>
      <c r="T274" s="180">
        <f t="shared" si="69"/>
        <v>0</v>
      </c>
      <c r="U274" s="180">
        <f t="shared" si="77"/>
        <v>0</v>
      </c>
      <c r="V274" s="182">
        <f t="shared" si="74"/>
        <v>100</v>
      </c>
      <c r="W274" s="180"/>
      <c r="X274" s="180"/>
      <c r="Y274" s="180"/>
      <c r="Z274" s="180"/>
      <c r="AA274" s="180"/>
      <c r="AB274" s="180"/>
      <c r="AC274" s="180"/>
      <c r="AD274" s="180"/>
      <c r="AE274" s="180"/>
      <c r="AF274" s="180"/>
      <c r="AG274" s="180"/>
      <c r="AH274" s="180"/>
      <c r="AI274" s="180">
        <v>0</v>
      </c>
      <c r="AJ274" s="181">
        <f t="shared" si="70"/>
        <v>0</v>
      </c>
      <c r="AK274" s="246">
        <f t="shared" si="84"/>
        <v>10000000</v>
      </c>
      <c r="AL274" s="181">
        <f t="shared" si="71"/>
        <v>100</v>
      </c>
      <c r="AM274" s="243"/>
    </row>
    <row r="275" spans="1:39" ht="28.5" customHeight="1" x14ac:dyDescent="0.25">
      <c r="A275" s="243"/>
      <c r="B275" s="244"/>
      <c r="C275" s="244"/>
      <c r="D275" s="244"/>
      <c r="E275" s="244"/>
      <c r="F275" s="244"/>
      <c r="G275" s="244"/>
      <c r="H275" s="244"/>
      <c r="I275" s="298"/>
      <c r="J275" s="244" t="s">
        <v>269</v>
      </c>
      <c r="K275" s="245"/>
      <c r="L275" s="257"/>
      <c r="M275" s="591" t="s">
        <v>270</v>
      </c>
      <c r="N275" s="592"/>
      <c r="O275" s="179"/>
      <c r="P275" s="180"/>
      <c r="Q275" s="180">
        <v>23000000</v>
      </c>
      <c r="R275" s="181">
        <f t="shared" si="87"/>
        <v>7.6457961916621588</v>
      </c>
      <c r="S275" s="181">
        <v>100</v>
      </c>
      <c r="T275" s="180">
        <f t="shared" si="69"/>
        <v>0</v>
      </c>
      <c r="U275" s="180">
        <f t="shared" si="77"/>
        <v>0</v>
      </c>
      <c r="V275" s="182">
        <f t="shared" si="74"/>
        <v>100</v>
      </c>
      <c r="W275" s="180"/>
      <c r="X275" s="180"/>
      <c r="Y275" s="180"/>
      <c r="Z275" s="180"/>
      <c r="AA275" s="180"/>
      <c r="AB275" s="180"/>
      <c r="AC275" s="180"/>
      <c r="AD275" s="180"/>
      <c r="AE275" s="180"/>
      <c r="AF275" s="180"/>
      <c r="AG275" s="180"/>
      <c r="AH275" s="180"/>
      <c r="AI275" s="180">
        <v>0</v>
      </c>
      <c r="AJ275" s="181">
        <f t="shared" si="70"/>
        <v>0</v>
      </c>
      <c r="AK275" s="246">
        <f t="shared" si="84"/>
        <v>23000000</v>
      </c>
      <c r="AL275" s="181">
        <f t="shared" si="71"/>
        <v>100</v>
      </c>
      <c r="AM275" s="243"/>
    </row>
    <row r="276" spans="1:39" ht="28.5" customHeight="1" x14ac:dyDescent="0.25">
      <c r="A276" s="243"/>
      <c r="B276" s="244"/>
      <c r="C276" s="244"/>
      <c r="D276" s="244"/>
      <c r="E276" s="244"/>
      <c r="F276" s="244"/>
      <c r="G276" s="244"/>
      <c r="H276" s="244"/>
      <c r="I276" s="298"/>
      <c r="J276" s="244" t="s">
        <v>315</v>
      </c>
      <c r="K276" s="245"/>
      <c r="L276" s="257"/>
      <c r="M276" s="591" t="s">
        <v>271</v>
      </c>
      <c r="N276" s="592"/>
      <c r="O276" s="179"/>
      <c r="P276" s="180"/>
      <c r="Q276" s="180">
        <v>17250000</v>
      </c>
      <c r="R276" s="181">
        <f t="shared" si="87"/>
        <v>5.7343471437466196</v>
      </c>
      <c r="S276" s="181">
        <v>100</v>
      </c>
      <c r="T276" s="180">
        <f t="shared" ref="T276:T339" si="88">AJ276</f>
        <v>0</v>
      </c>
      <c r="U276" s="180">
        <f t="shared" si="77"/>
        <v>0</v>
      </c>
      <c r="V276" s="182">
        <f t="shared" si="74"/>
        <v>100</v>
      </c>
      <c r="W276" s="180"/>
      <c r="X276" s="180"/>
      <c r="Y276" s="180"/>
      <c r="Z276" s="180"/>
      <c r="AA276" s="180"/>
      <c r="AB276" s="180"/>
      <c r="AC276" s="180"/>
      <c r="AD276" s="180"/>
      <c r="AE276" s="180"/>
      <c r="AF276" s="180"/>
      <c r="AG276" s="180"/>
      <c r="AH276" s="180"/>
      <c r="AI276" s="180">
        <v>0</v>
      </c>
      <c r="AJ276" s="181">
        <f t="shared" ref="AJ276:AJ339" si="89">AI276/Q276*100</f>
        <v>0</v>
      </c>
      <c r="AK276" s="246">
        <f t="shared" si="84"/>
        <v>17250000</v>
      </c>
      <c r="AL276" s="181">
        <f t="shared" ref="AL276:AL339" si="90">AK276/Q276*100</f>
        <v>100</v>
      </c>
      <c r="AM276" s="243"/>
    </row>
    <row r="277" spans="1:39" ht="28.5" customHeight="1" x14ac:dyDescent="0.25">
      <c r="A277" s="243"/>
      <c r="B277" s="244"/>
      <c r="C277" s="244"/>
      <c r="D277" s="244"/>
      <c r="E277" s="244"/>
      <c r="F277" s="244"/>
      <c r="G277" s="244"/>
      <c r="H277" s="244"/>
      <c r="I277" s="298"/>
      <c r="J277" s="244" t="s">
        <v>318</v>
      </c>
      <c r="K277" s="245"/>
      <c r="L277" s="257"/>
      <c r="M277" s="591" t="s">
        <v>319</v>
      </c>
      <c r="N277" s="592"/>
      <c r="O277" s="179"/>
      <c r="P277" s="180"/>
      <c r="Q277" s="180">
        <v>32500000</v>
      </c>
      <c r="R277" s="181">
        <f t="shared" si="87"/>
        <v>10.803842444740008</v>
      </c>
      <c r="S277" s="181">
        <v>100</v>
      </c>
      <c r="T277" s="180">
        <f t="shared" si="88"/>
        <v>0</v>
      </c>
      <c r="U277" s="180">
        <f t="shared" si="77"/>
        <v>0</v>
      </c>
      <c r="V277" s="182">
        <f t="shared" si="74"/>
        <v>100</v>
      </c>
      <c r="W277" s="180"/>
      <c r="X277" s="180"/>
      <c r="Y277" s="180"/>
      <c r="Z277" s="180"/>
      <c r="AA277" s="180"/>
      <c r="AB277" s="180"/>
      <c r="AC277" s="180"/>
      <c r="AD277" s="180"/>
      <c r="AE277" s="180"/>
      <c r="AF277" s="180"/>
      <c r="AG277" s="180"/>
      <c r="AH277" s="180"/>
      <c r="AI277" s="180">
        <v>0</v>
      </c>
      <c r="AJ277" s="181">
        <f t="shared" si="89"/>
        <v>0</v>
      </c>
      <c r="AK277" s="246">
        <f t="shared" si="84"/>
        <v>32500000</v>
      </c>
      <c r="AL277" s="181">
        <f t="shared" si="90"/>
        <v>100</v>
      </c>
      <c r="AM277" s="243"/>
    </row>
    <row r="278" spans="1:39" ht="28.5" customHeight="1" x14ac:dyDescent="0.25">
      <c r="A278" s="243"/>
      <c r="B278" s="244"/>
      <c r="C278" s="244"/>
      <c r="D278" s="244"/>
      <c r="E278" s="244"/>
      <c r="F278" s="244"/>
      <c r="G278" s="244"/>
      <c r="H278" s="244"/>
      <c r="I278" s="298"/>
      <c r="J278" s="244" t="s">
        <v>280</v>
      </c>
      <c r="K278" s="245"/>
      <c r="L278" s="257"/>
      <c r="M278" s="591" t="s">
        <v>281</v>
      </c>
      <c r="N278" s="592"/>
      <c r="O278" s="179"/>
      <c r="P278" s="180"/>
      <c r="Q278" s="180">
        <v>6500000</v>
      </c>
      <c r="R278" s="181">
        <f t="shared" si="87"/>
        <v>2.1607684889480017</v>
      </c>
      <c r="S278" s="181">
        <v>100</v>
      </c>
      <c r="T278" s="180">
        <f t="shared" si="88"/>
        <v>0</v>
      </c>
      <c r="U278" s="180">
        <f t="shared" si="77"/>
        <v>0</v>
      </c>
      <c r="V278" s="182">
        <f t="shared" si="74"/>
        <v>100</v>
      </c>
      <c r="W278" s="180"/>
      <c r="X278" s="180"/>
      <c r="Y278" s="180"/>
      <c r="Z278" s="180"/>
      <c r="AA278" s="180"/>
      <c r="AB278" s="180"/>
      <c r="AC278" s="180"/>
      <c r="AD278" s="180"/>
      <c r="AE278" s="180"/>
      <c r="AF278" s="180"/>
      <c r="AG278" s="180"/>
      <c r="AH278" s="180"/>
      <c r="AI278" s="180">
        <v>0</v>
      </c>
      <c r="AJ278" s="181">
        <f t="shared" si="89"/>
        <v>0</v>
      </c>
      <c r="AK278" s="246">
        <f t="shared" si="84"/>
        <v>6500000</v>
      </c>
      <c r="AL278" s="181">
        <f t="shared" si="90"/>
        <v>100</v>
      </c>
      <c r="AM278" s="243"/>
    </row>
    <row r="279" spans="1:39" ht="28.5" customHeight="1" x14ac:dyDescent="0.25">
      <c r="A279" s="243"/>
      <c r="B279" s="244"/>
      <c r="C279" s="244"/>
      <c r="D279" s="244"/>
      <c r="E279" s="244"/>
      <c r="F279" s="244"/>
      <c r="G279" s="244"/>
      <c r="H279" s="244"/>
      <c r="I279" s="298"/>
      <c r="J279" s="244" t="s">
        <v>284</v>
      </c>
      <c r="K279" s="245"/>
      <c r="L279" s="257"/>
      <c r="M279" s="591" t="s">
        <v>285</v>
      </c>
      <c r="N279" s="592"/>
      <c r="O279" s="179"/>
      <c r="P279" s="180"/>
      <c r="Q279" s="180">
        <v>2700000</v>
      </c>
      <c r="R279" s="181">
        <f t="shared" si="87"/>
        <v>0.89754998771686223</v>
      </c>
      <c r="S279" s="181">
        <v>100</v>
      </c>
      <c r="T279" s="180">
        <f t="shared" si="88"/>
        <v>0</v>
      </c>
      <c r="U279" s="180">
        <f t="shared" si="77"/>
        <v>0</v>
      </c>
      <c r="V279" s="182">
        <f t="shared" si="74"/>
        <v>100</v>
      </c>
      <c r="W279" s="180"/>
      <c r="X279" s="180"/>
      <c r="Y279" s="180"/>
      <c r="Z279" s="180"/>
      <c r="AA279" s="180"/>
      <c r="AB279" s="180"/>
      <c r="AC279" s="180"/>
      <c r="AD279" s="180"/>
      <c r="AE279" s="180"/>
      <c r="AF279" s="180"/>
      <c r="AG279" s="180"/>
      <c r="AH279" s="180"/>
      <c r="AI279" s="180">
        <v>0</v>
      </c>
      <c r="AJ279" s="181">
        <f t="shared" si="89"/>
        <v>0</v>
      </c>
      <c r="AK279" s="246">
        <f t="shared" si="84"/>
        <v>2700000</v>
      </c>
      <c r="AL279" s="181">
        <f t="shared" si="90"/>
        <v>100</v>
      </c>
      <c r="AM279" s="243"/>
    </row>
    <row r="280" spans="1:39" ht="28.5" customHeight="1" x14ac:dyDescent="0.25">
      <c r="A280" s="243"/>
      <c r="B280" s="244"/>
      <c r="C280" s="244"/>
      <c r="D280" s="244"/>
      <c r="E280" s="244"/>
      <c r="F280" s="244"/>
      <c r="G280" s="244"/>
      <c r="H280" s="244"/>
      <c r="I280" s="298"/>
      <c r="J280" s="244" t="s">
        <v>282</v>
      </c>
      <c r="K280" s="245"/>
      <c r="L280" s="257"/>
      <c r="M280" s="591" t="s">
        <v>283</v>
      </c>
      <c r="N280" s="592"/>
      <c r="O280" s="179"/>
      <c r="P280" s="180"/>
      <c r="Q280" s="180">
        <v>55878900</v>
      </c>
      <c r="R280" s="181">
        <f t="shared" si="87"/>
        <v>18.575594818011769</v>
      </c>
      <c r="S280" s="181">
        <v>100</v>
      </c>
      <c r="T280" s="180">
        <f t="shared" si="88"/>
        <v>0</v>
      </c>
      <c r="U280" s="180">
        <f t="shared" si="77"/>
        <v>0</v>
      </c>
      <c r="V280" s="182">
        <f t="shared" si="74"/>
        <v>100</v>
      </c>
      <c r="W280" s="180"/>
      <c r="X280" s="180"/>
      <c r="Y280" s="180"/>
      <c r="Z280" s="180"/>
      <c r="AA280" s="180"/>
      <c r="AB280" s="180"/>
      <c r="AC280" s="180"/>
      <c r="AD280" s="180"/>
      <c r="AE280" s="180"/>
      <c r="AF280" s="180"/>
      <c r="AG280" s="180"/>
      <c r="AH280" s="180"/>
      <c r="AI280" s="180">
        <v>0</v>
      </c>
      <c r="AJ280" s="181">
        <f t="shared" si="89"/>
        <v>0</v>
      </c>
      <c r="AK280" s="246">
        <f t="shared" si="84"/>
        <v>55878900</v>
      </c>
      <c r="AL280" s="181">
        <f t="shared" si="90"/>
        <v>100</v>
      </c>
      <c r="AM280" s="243"/>
    </row>
    <row r="281" spans="1:39" ht="28.5" customHeight="1" x14ac:dyDescent="0.25">
      <c r="A281" s="243"/>
      <c r="B281" s="244"/>
      <c r="C281" s="244"/>
      <c r="D281" s="244"/>
      <c r="E281" s="244"/>
      <c r="F281" s="244"/>
      <c r="G281" s="244"/>
      <c r="H281" s="244"/>
      <c r="I281" s="298"/>
      <c r="J281" s="244" t="s">
        <v>320</v>
      </c>
      <c r="K281" s="245"/>
      <c r="L281" s="257"/>
      <c r="M281" s="591" t="s">
        <v>414</v>
      </c>
      <c r="N281" s="592"/>
      <c r="O281" s="179"/>
      <c r="P281" s="180"/>
      <c r="Q281" s="180">
        <v>800000</v>
      </c>
      <c r="R281" s="181">
        <f t="shared" si="87"/>
        <v>0.26594073710129251</v>
      </c>
      <c r="S281" s="181">
        <v>100</v>
      </c>
      <c r="T281" s="180">
        <f t="shared" si="88"/>
        <v>0</v>
      </c>
      <c r="U281" s="180">
        <f t="shared" si="77"/>
        <v>0</v>
      </c>
      <c r="V281" s="182">
        <f t="shared" si="74"/>
        <v>100</v>
      </c>
      <c r="W281" s="180"/>
      <c r="X281" s="180"/>
      <c r="Y281" s="180"/>
      <c r="Z281" s="180"/>
      <c r="AA281" s="180"/>
      <c r="AB281" s="180"/>
      <c r="AC281" s="180"/>
      <c r="AD281" s="180"/>
      <c r="AE281" s="180"/>
      <c r="AF281" s="180"/>
      <c r="AG281" s="180"/>
      <c r="AH281" s="180"/>
      <c r="AI281" s="180">
        <v>0</v>
      </c>
      <c r="AJ281" s="181">
        <f t="shared" si="89"/>
        <v>0</v>
      </c>
      <c r="AK281" s="246">
        <f t="shared" si="84"/>
        <v>800000</v>
      </c>
      <c r="AL281" s="181">
        <f t="shared" si="90"/>
        <v>100</v>
      </c>
      <c r="AM281" s="243"/>
    </row>
    <row r="282" spans="1:39" s="297" customFormat="1" ht="28.5" customHeight="1" x14ac:dyDescent="0.25">
      <c r="A282" s="227">
        <f>A270+1</f>
        <v>34</v>
      </c>
      <c r="B282" s="615" t="s">
        <v>151</v>
      </c>
      <c r="C282" s="615"/>
      <c r="D282" s="615"/>
      <c r="E282" s="615"/>
      <c r="F282" s="615"/>
      <c r="G282" s="615"/>
      <c r="H282" s="615"/>
      <c r="I282" s="614"/>
      <c r="J282" s="304" t="s">
        <v>483</v>
      </c>
      <c r="K282" s="230"/>
      <c r="L282" s="294"/>
      <c r="M282" s="610" t="s">
        <v>42</v>
      </c>
      <c r="N282" s="610"/>
      <c r="O282" s="309">
        <v>128761142</v>
      </c>
      <c r="P282" s="231">
        <f>O282</f>
        <v>128761142</v>
      </c>
      <c r="Q282" s="231">
        <f>SUM(Q283:Q291)</f>
        <v>412682320</v>
      </c>
      <c r="R282" s="233">
        <f>Q282/Q$243*100</f>
        <v>3.7145906569379159</v>
      </c>
      <c r="S282" s="233">
        <v>100</v>
      </c>
      <c r="T282" s="231">
        <f t="shared" si="88"/>
        <v>0</v>
      </c>
      <c r="U282" s="231">
        <f t="shared" si="77"/>
        <v>0</v>
      </c>
      <c r="V282" s="296">
        <f t="shared" si="74"/>
        <v>100</v>
      </c>
      <c r="W282" s="231"/>
      <c r="X282" s="231" t="e">
        <f>#REF!</f>
        <v>#REF!</v>
      </c>
      <c r="Y282" s="231" t="e">
        <f>#REF!</f>
        <v>#REF!</v>
      </c>
      <c r="Z282" s="231" t="e">
        <f>#REF!</f>
        <v>#REF!</v>
      </c>
      <c r="AA282" s="231" t="e">
        <f>#REF!</f>
        <v>#REF!</v>
      </c>
      <c r="AB282" s="231">
        <v>11060000</v>
      </c>
      <c r="AC282" s="231" t="e">
        <f>#REF!</f>
        <v>#REF!</v>
      </c>
      <c r="AD282" s="231" t="e">
        <f>#REF!</f>
        <v>#REF!</v>
      </c>
      <c r="AE282" s="231" t="e">
        <f>#REF!</f>
        <v>#REF!</v>
      </c>
      <c r="AF282" s="231" t="e">
        <f>[1]April!N58</f>
        <v>#REF!</v>
      </c>
      <c r="AG282" s="231">
        <v>137440000</v>
      </c>
      <c r="AH282" s="231">
        <f>'[3]DES SKPD'!$N58</f>
        <v>133587000</v>
      </c>
      <c r="AI282" s="231">
        <f>SUM(AI283:AI291)</f>
        <v>0</v>
      </c>
      <c r="AJ282" s="233">
        <f t="shared" si="89"/>
        <v>0</v>
      </c>
      <c r="AK282" s="234">
        <f t="shared" si="84"/>
        <v>412682320</v>
      </c>
      <c r="AL282" s="233">
        <f t="shared" si="90"/>
        <v>100</v>
      </c>
      <c r="AM282" s="227"/>
    </row>
    <row r="283" spans="1:39" ht="28.5" customHeight="1" x14ac:dyDescent="0.25">
      <c r="A283" s="243"/>
      <c r="B283" s="244"/>
      <c r="C283" s="244"/>
      <c r="D283" s="244"/>
      <c r="E283" s="244"/>
      <c r="F283" s="244"/>
      <c r="G283" s="244"/>
      <c r="H283" s="244"/>
      <c r="I283" s="298"/>
      <c r="J283" s="244" t="s">
        <v>257</v>
      </c>
      <c r="K283" s="245"/>
      <c r="L283" s="257"/>
      <c r="M283" s="591" t="s">
        <v>260</v>
      </c>
      <c r="N283" s="592"/>
      <c r="O283" s="179"/>
      <c r="P283" s="180"/>
      <c r="Q283" s="180">
        <v>1540000</v>
      </c>
      <c r="R283" s="181">
        <f>Q283/Q$292*100</f>
        <v>0.51971035259647624</v>
      </c>
      <c r="S283" s="181">
        <v>100</v>
      </c>
      <c r="T283" s="180">
        <f t="shared" si="88"/>
        <v>0</v>
      </c>
      <c r="U283" s="180">
        <f t="shared" si="77"/>
        <v>0</v>
      </c>
      <c r="V283" s="182">
        <f t="shared" si="74"/>
        <v>100</v>
      </c>
      <c r="W283" s="180"/>
      <c r="X283" s="180"/>
      <c r="Y283" s="180"/>
      <c r="Z283" s="180"/>
      <c r="AA283" s="180"/>
      <c r="AB283" s="180"/>
      <c r="AC283" s="180"/>
      <c r="AD283" s="180"/>
      <c r="AE283" s="180"/>
      <c r="AF283" s="180"/>
      <c r="AG283" s="180"/>
      <c r="AH283" s="180"/>
      <c r="AI283" s="180">
        <v>0</v>
      </c>
      <c r="AJ283" s="181">
        <f t="shared" si="89"/>
        <v>0</v>
      </c>
      <c r="AK283" s="246">
        <f t="shared" si="84"/>
        <v>1540000</v>
      </c>
      <c r="AL283" s="181">
        <f t="shared" si="90"/>
        <v>100</v>
      </c>
      <c r="AM283" s="243"/>
    </row>
    <row r="284" spans="1:39" ht="28.5" customHeight="1" x14ac:dyDescent="0.25">
      <c r="A284" s="243"/>
      <c r="B284" s="244"/>
      <c r="C284" s="244"/>
      <c r="D284" s="244"/>
      <c r="E284" s="244"/>
      <c r="F284" s="244"/>
      <c r="G284" s="244"/>
      <c r="H284" s="244"/>
      <c r="I284" s="298"/>
      <c r="J284" s="244" t="s">
        <v>326</v>
      </c>
      <c r="K284" s="245"/>
      <c r="L284" s="257"/>
      <c r="M284" s="591" t="s">
        <v>327</v>
      </c>
      <c r="N284" s="592"/>
      <c r="O284" s="179"/>
      <c r="P284" s="180"/>
      <c r="Q284" s="180">
        <v>255600000</v>
      </c>
      <c r="R284" s="181">
        <f>Q284/Q$292*100</f>
        <v>86.258419560817757</v>
      </c>
      <c r="S284" s="181">
        <v>100</v>
      </c>
      <c r="T284" s="180">
        <f>AJ284</f>
        <v>0</v>
      </c>
      <c r="U284" s="180">
        <f>R284*T284/100</f>
        <v>0</v>
      </c>
      <c r="V284" s="182">
        <f>S284-T284</f>
        <v>100</v>
      </c>
      <c r="W284" s="180"/>
      <c r="X284" s="180"/>
      <c r="Y284" s="180"/>
      <c r="Z284" s="180"/>
      <c r="AA284" s="180"/>
      <c r="AB284" s="180"/>
      <c r="AC284" s="180"/>
      <c r="AD284" s="180"/>
      <c r="AE284" s="180"/>
      <c r="AF284" s="180"/>
      <c r="AG284" s="180"/>
      <c r="AH284" s="180"/>
      <c r="AI284" s="180">
        <v>0</v>
      </c>
      <c r="AJ284" s="181">
        <f t="shared" si="89"/>
        <v>0</v>
      </c>
      <c r="AK284" s="246">
        <f t="shared" si="84"/>
        <v>255600000</v>
      </c>
      <c r="AL284" s="181">
        <f t="shared" si="90"/>
        <v>100</v>
      </c>
      <c r="AM284" s="243"/>
    </row>
    <row r="285" spans="1:39" ht="28.5" customHeight="1" x14ac:dyDescent="0.25">
      <c r="A285" s="243"/>
      <c r="B285" s="244"/>
      <c r="C285" s="244"/>
      <c r="D285" s="244"/>
      <c r="E285" s="244"/>
      <c r="F285" s="244"/>
      <c r="G285" s="244"/>
      <c r="H285" s="244"/>
      <c r="I285" s="298"/>
      <c r="J285" s="244" t="s">
        <v>604</v>
      </c>
      <c r="K285" s="245"/>
      <c r="L285" s="257"/>
      <c r="M285" s="591" t="s">
        <v>324</v>
      </c>
      <c r="N285" s="592"/>
      <c r="O285" s="179"/>
      <c r="P285" s="180"/>
      <c r="Q285" s="180">
        <v>10000000</v>
      </c>
      <c r="R285" s="181"/>
      <c r="S285" s="181">
        <v>100</v>
      </c>
      <c r="T285" s="180">
        <f>AJ285</f>
        <v>0</v>
      </c>
      <c r="U285" s="180"/>
      <c r="V285" s="182">
        <f>S285-T285</f>
        <v>100</v>
      </c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  <c r="AG285" s="180"/>
      <c r="AH285" s="180"/>
      <c r="AI285" s="180">
        <v>0</v>
      </c>
      <c r="AJ285" s="181">
        <f t="shared" si="89"/>
        <v>0</v>
      </c>
      <c r="AK285" s="246">
        <f t="shared" si="84"/>
        <v>10000000</v>
      </c>
      <c r="AL285" s="181">
        <f t="shared" si="90"/>
        <v>100</v>
      </c>
      <c r="AM285" s="243"/>
    </row>
    <row r="286" spans="1:39" ht="28.5" customHeight="1" x14ac:dyDescent="0.25">
      <c r="A286" s="243"/>
      <c r="B286" s="244"/>
      <c r="C286" s="244"/>
      <c r="D286" s="244"/>
      <c r="E286" s="244"/>
      <c r="F286" s="244"/>
      <c r="G286" s="244"/>
      <c r="H286" s="244"/>
      <c r="I286" s="298"/>
      <c r="J286" s="244" t="s">
        <v>269</v>
      </c>
      <c r="K286" s="245"/>
      <c r="L286" s="257"/>
      <c r="M286" s="591" t="s">
        <v>270</v>
      </c>
      <c r="N286" s="592"/>
      <c r="O286" s="179"/>
      <c r="P286" s="180"/>
      <c r="Q286" s="180">
        <v>25000000</v>
      </c>
      <c r="R286" s="181">
        <f t="shared" ref="R286:R291" si="91">Q286/Q$292*100</f>
        <v>8.4368563733194204</v>
      </c>
      <c r="S286" s="181">
        <v>100</v>
      </c>
      <c r="T286" s="180">
        <f t="shared" si="88"/>
        <v>0</v>
      </c>
      <c r="U286" s="180">
        <f t="shared" si="77"/>
        <v>0</v>
      </c>
      <c r="V286" s="182">
        <f t="shared" si="74"/>
        <v>100</v>
      </c>
      <c r="W286" s="180"/>
      <c r="X286" s="180"/>
      <c r="Y286" s="180"/>
      <c r="Z286" s="180"/>
      <c r="AA286" s="180"/>
      <c r="AB286" s="180"/>
      <c r="AC286" s="180"/>
      <c r="AD286" s="180"/>
      <c r="AE286" s="180"/>
      <c r="AF286" s="180"/>
      <c r="AG286" s="180"/>
      <c r="AH286" s="180"/>
      <c r="AI286" s="180">
        <v>0</v>
      </c>
      <c r="AJ286" s="181">
        <f t="shared" si="89"/>
        <v>0</v>
      </c>
      <c r="AK286" s="246">
        <f t="shared" si="84"/>
        <v>25000000</v>
      </c>
      <c r="AL286" s="181">
        <f t="shared" si="90"/>
        <v>100</v>
      </c>
      <c r="AM286" s="243"/>
    </row>
    <row r="287" spans="1:39" ht="28.5" customHeight="1" x14ac:dyDescent="0.25">
      <c r="A287" s="243"/>
      <c r="B287" s="244"/>
      <c r="C287" s="244"/>
      <c r="D287" s="244"/>
      <c r="E287" s="244"/>
      <c r="F287" s="244"/>
      <c r="G287" s="244"/>
      <c r="H287" s="244"/>
      <c r="I287" s="298"/>
      <c r="J287" s="244" t="s">
        <v>315</v>
      </c>
      <c r="K287" s="245"/>
      <c r="L287" s="257"/>
      <c r="M287" s="591" t="s">
        <v>271</v>
      </c>
      <c r="N287" s="592"/>
      <c r="O287" s="179"/>
      <c r="P287" s="180"/>
      <c r="Q287" s="180">
        <v>1000000</v>
      </c>
      <c r="R287" s="181">
        <f t="shared" si="91"/>
        <v>0.33747425493277683</v>
      </c>
      <c r="S287" s="181">
        <v>100</v>
      </c>
      <c r="T287" s="180">
        <f t="shared" si="88"/>
        <v>0</v>
      </c>
      <c r="U287" s="180">
        <f t="shared" si="77"/>
        <v>0</v>
      </c>
      <c r="V287" s="182">
        <f t="shared" si="74"/>
        <v>100</v>
      </c>
      <c r="W287" s="180"/>
      <c r="X287" s="180"/>
      <c r="Y287" s="180"/>
      <c r="Z287" s="180"/>
      <c r="AA287" s="180"/>
      <c r="AB287" s="180"/>
      <c r="AC287" s="180"/>
      <c r="AD287" s="180"/>
      <c r="AE287" s="180"/>
      <c r="AF287" s="180"/>
      <c r="AG287" s="180"/>
      <c r="AH287" s="180"/>
      <c r="AI287" s="180">
        <v>0</v>
      </c>
      <c r="AJ287" s="181">
        <f t="shared" si="89"/>
        <v>0</v>
      </c>
      <c r="AK287" s="246">
        <f t="shared" si="84"/>
        <v>1000000</v>
      </c>
      <c r="AL287" s="181">
        <f t="shared" si="90"/>
        <v>100</v>
      </c>
      <c r="AM287" s="243"/>
    </row>
    <row r="288" spans="1:39" ht="28.5" customHeight="1" x14ac:dyDescent="0.25">
      <c r="A288" s="243"/>
      <c r="B288" s="244"/>
      <c r="C288" s="244"/>
      <c r="D288" s="244"/>
      <c r="E288" s="244"/>
      <c r="F288" s="244"/>
      <c r="G288" s="244"/>
      <c r="H288" s="244"/>
      <c r="I288" s="298"/>
      <c r="J288" s="244" t="s">
        <v>318</v>
      </c>
      <c r="K288" s="245"/>
      <c r="L288" s="257"/>
      <c r="M288" s="591" t="s">
        <v>319</v>
      </c>
      <c r="N288" s="592"/>
      <c r="O288" s="179"/>
      <c r="P288" s="180"/>
      <c r="Q288" s="180">
        <v>105482320</v>
      </c>
      <c r="R288" s="181">
        <f t="shared" si="91"/>
        <v>35.597567350580746</v>
      </c>
      <c r="S288" s="181">
        <v>100</v>
      </c>
      <c r="T288" s="180">
        <f t="shared" si="88"/>
        <v>0</v>
      </c>
      <c r="U288" s="180"/>
      <c r="V288" s="182">
        <f t="shared" si="74"/>
        <v>100</v>
      </c>
      <c r="W288" s="180"/>
      <c r="X288" s="180"/>
      <c r="Y288" s="180"/>
      <c r="Z288" s="180"/>
      <c r="AA288" s="180"/>
      <c r="AB288" s="180"/>
      <c r="AC288" s="180"/>
      <c r="AD288" s="180"/>
      <c r="AE288" s="180"/>
      <c r="AF288" s="180"/>
      <c r="AG288" s="180"/>
      <c r="AH288" s="180"/>
      <c r="AI288" s="180">
        <v>0</v>
      </c>
      <c r="AJ288" s="181">
        <f t="shared" si="89"/>
        <v>0</v>
      </c>
      <c r="AK288" s="246">
        <f t="shared" si="84"/>
        <v>105482320</v>
      </c>
      <c r="AL288" s="181">
        <f t="shared" si="90"/>
        <v>100</v>
      </c>
      <c r="AM288" s="243"/>
    </row>
    <row r="289" spans="1:39" ht="28.5" customHeight="1" x14ac:dyDescent="0.25">
      <c r="A289" s="243"/>
      <c r="B289" s="244"/>
      <c r="C289" s="244"/>
      <c r="D289" s="244"/>
      <c r="E289" s="244"/>
      <c r="F289" s="244"/>
      <c r="G289" s="244"/>
      <c r="H289" s="244"/>
      <c r="I289" s="298"/>
      <c r="J289" s="244" t="s">
        <v>280</v>
      </c>
      <c r="K289" s="245"/>
      <c r="L289" s="257"/>
      <c r="M289" s="591" t="s">
        <v>281</v>
      </c>
      <c r="N289" s="592"/>
      <c r="O289" s="179"/>
      <c r="P289" s="180"/>
      <c r="Q289" s="180">
        <v>13000000</v>
      </c>
      <c r="R289" s="181">
        <f t="shared" si="91"/>
        <v>4.3871653141260989</v>
      </c>
      <c r="S289" s="181">
        <v>100</v>
      </c>
      <c r="T289" s="180">
        <f t="shared" si="88"/>
        <v>0</v>
      </c>
      <c r="U289" s="180">
        <f t="shared" si="77"/>
        <v>0</v>
      </c>
      <c r="V289" s="182">
        <f t="shared" si="74"/>
        <v>100</v>
      </c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  <c r="AG289" s="180"/>
      <c r="AH289" s="180"/>
      <c r="AI289" s="180">
        <v>0</v>
      </c>
      <c r="AJ289" s="181">
        <f t="shared" si="89"/>
        <v>0</v>
      </c>
      <c r="AK289" s="246">
        <f t="shared" si="84"/>
        <v>13000000</v>
      </c>
      <c r="AL289" s="181">
        <f t="shared" si="90"/>
        <v>100</v>
      </c>
      <c r="AM289" s="243"/>
    </row>
    <row r="290" spans="1:39" ht="28.5" customHeight="1" x14ac:dyDescent="0.25">
      <c r="A290" s="243"/>
      <c r="B290" s="244"/>
      <c r="C290" s="244"/>
      <c r="D290" s="244"/>
      <c r="E290" s="244"/>
      <c r="F290" s="244"/>
      <c r="G290" s="244"/>
      <c r="H290" s="244"/>
      <c r="I290" s="298"/>
      <c r="J290" s="244" t="s">
        <v>284</v>
      </c>
      <c r="K290" s="245"/>
      <c r="L290" s="257"/>
      <c r="M290" s="591" t="s">
        <v>600</v>
      </c>
      <c r="N290" s="592"/>
      <c r="O290" s="179"/>
      <c r="P290" s="180"/>
      <c r="Q290" s="180">
        <v>660000</v>
      </c>
      <c r="R290" s="181">
        <f t="shared" si="91"/>
        <v>0.22273300825563269</v>
      </c>
      <c r="S290" s="181">
        <v>100</v>
      </c>
      <c r="T290" s="180">
        <f t="shared" si="88"/>
        <v>0</v>
      </c>
      <c r="U290" s="180"/>
      <c r="V290" s="182">
        <f t="shared" si="74"/>
        <v>100</v>
      </c>
      <c r="W290" s="180"/>
      <c r="X290" s="180"/>
      <c r="Y290" s="180"/>
      <c r="Z290" s="180"/>
      <c r="AA290" s="180"/>
      <c r="AB290" s="180"/>
      <c r="AC290" s="180"/>
      <c r="AD290" s="180"/>
      <c r="AE290" s="180"/>
      <c r="AF290" s="180"/>
      <c r="AG290" s="180"/>
      <c r="AH290" s="180"/>
      <c r="AI290" s="180">
        <v>0</v>
      </c>
      <c r="AJ290" s="181">
        <f t="shared" si="89"/>
        <v>0</v>
      </c>
      <c r="AK290" s="246">
        <f t="shared" si="84"/>
        <v>660000</v>
      </c>
      <c r="AL290" s="181">
        <f t="shared" si="90"/>
        <v>100</v>
      </c>
      <c r="AM290" s="243"/>
    </row>
    <row r="291" spans="1:39" ht="28.5" customHeight="1" x14ac:dyDescent="0.25">
      <c r="A291" s="243"/>
      <c r="B291" s="244"/>
      <c r="C291" s="244"/>
      <c r="D291" s="244"/>
      <c r="E291" s="244"/>
      <c r="F291" s="244"/>
      <c r="G291" s="244"/>
      <c r="H291" s="244"/>
      <c r="I291" s="298"/>
      <c r="J291" s="244" t="s">
        <v>407</v>
      </c>
      <c r="K291" s="245"/>
      <c r="L291" s="257"/>
      <c r="M291" s="591" t="s">
        <v>414</v>
      </c>
      <c r="N291" s="592"/>
      <c r="O291" s="179"/>
      <c r="P291" s="180"/>
      <c r="Q291" s="180">
        <v>400000</v>
      </c>
      <c r="R291" s="181">
        <f t="shared" si="91"/>
        <v>0.13498970197311072</v>
      </c>
      <c r="S291" s="181">
        <v>100</v>
      </c>
      <c r="T291" s="180">
        <f t="shared" si="88"/>
        <v>0</v>
      </c>
      <c r="U291" s="180">
        <f t="shared" si="77"/>
        <v>0</v>
      </c>
      <c r="V291" s="182">
        <f t="shared" si="74"/>
        <v>100</v>
      </c>
      <c r="W291" s="180"/>
      <c r="X291" s="180"/>
      <c r="Y291" s="180"/>
      <c r="Z291" s="180"/>
      <c r="AA291" s="180"/>
      <c r="AB291" s="180"/>
      <c r="AC291" s="180"/>
      <c r="AD291" s="180"/>
      <c r="AE291" s="180"/>
      <c r="AF291" s="180"/>
      <c r="AG291" s="180"/>
      <c r="AH291" s="180"/>
      <c r="AI291" s="180">
        <v>0</v>
      </c>
      <c r="AJ291" s="181">
        <f t="shared" si="89"/>
        <v>0</v>
      </c>
      <c r="AK291" s="246">
        <f t="shared" si="84"/>
        <v>400000</v>
      </c>
      <c r="AL291" s="181">
        <f t="shared" si="90"/>
        <v>100</v>
      </c>
      <c r="AM291" s="243"/>
    </row>
    <row r="292" spans="1:39" s="311" customFormat="1" ht="28.5" customHeight="1" x14ac:dyDescent="0.25">
      <c r="A292" s="227">
        <f>A282+1</f>
        <v>35</v>
      </c>
      <c r="B292" s="615" t="s">
        <v>147</v>
      </c>
      <c r="C292" s="615"/>
      <c r="D292" s="615"/>
      <c r="E292" s="615"/>
      <c r="F292" s="615"/>
      <c r="G292" s="615"/>
      <c r="H292" s="615"/>
      <c r="I292" s="614"/>
      <c r="J292" s="304" t="s">
        <v>484</v>
      </c>
      <c r="K292" s="230"/>
      <c r="L292" s="294"/>
      <c r="M292" s="609" t="s">
        <v>43</v>
      </c>
      <c r="N292" s="609"/>
      <c r="O292" s="310">
        <v>450820000</v>
      </c>
      <c r="P292" s="231">
        <f>O292</f>
        <v>450820000</v>
      </c>
      <c r="Q292" s="231">
        <f>SUM(Q293:Q303)</f>
        <v>296318900</v>
      </c>
      <c r="R292" s="233">
        <f>Q292/Q$243*100</f>
        <v>2.6671930540036719</v>
      </c>
      <c r="S292" s="233">
        <v>100</v>
      </c>
      <c r="T292" s="231">
        <f t="shared" si="88"/>
        <v>0</v>
      </c>
      <c r="U292" s="231">
        <f t="shared" si="77"/>
        <v>0</v>
      </c>
      <c r="V292" s="296">
        <f t="shared" si="74"/>
        <v>100</v>
      </c>
      <c r="W292" s="231"/>
      <c r="X292" s="231" t="e">
        <f>#REF!</f>
        <v>#REF!</v>
      </c>
      <c r="Y292" s="231" t="e">
        <f>#REF!</f>
        <v>#REF!</v>
      </c>
      <c r="Z292" s="231" t="e">
        <f>#REF!</f>
        <v>#REF!</v>
      </c>
      <c r="AA292" s="231" t="e">
        <f>#REF!</f>
        <v>#REF!</v>
      </c>
      <c r="AB292" s="231">
        <v>0</v>
      </c>
      <c r="AC292" s="231" t="e">
        <f>#REF!</f>
        <v>#REF!</v>
      </c>
      <c r="AD292" s="231" t="e">
        <f>#REF!</f>
        <v>#REF!</v>
      </c>
      <c r="AE292" s="231" t="e">
        <f>#REF!</f>
        <v>#REF!</v>
      </c>
      <c r="AF292" s="231" t="e">
        <f>[1]April!N59</f>
        <v>#REF!</v>
      </c>
      <c r="AG292" s="231" t="e">
        <f>[2]april!N59</f>
        <v>#REF!</v>
      </c>
      <c r="AH292" s="231">
        <f>'[3]DES SKPD'!$N59</f>
        <v>395224250</v>
      </c>
      <c r="AI292" s="231">
        <f>SUM(AI293:AI303)</f>
        <v>0</v>
      </c>
      <c r="AJ292" s="233">
        <f t="shared" si="89"/>
        <v>0</v>
      </c>
      <c r="AK292" s="234">
        <f t="shared" si="84"/>
        <v>296318900</v>
      </c>
      <c r="AL292" s="233">
        <f t="shared" si="90"/>
        <v>100</v>
      </c>
      <c r="AM292" s="227"/>
    </row>
    <row r="293" spans="1:39" ht="28.5" customHeight="1" x14ac:dyDescent="0.25">
      <c r="A293" s="243"/>
      <c r="B293" s="244"/>
      <c r="C293" s="244"/>
      <c r="D293" s="244"/>
      <c r="E293" s="244"/>
      <c r="F293" s="244"/>
      <c r="G293" s="244"/>
      <c r="H293" s="244"/>
      <c r="I293" s="298"/>
      <c r="J293" s="244" t="s">
        <v>257</v>
      </c>
      <c r="K293" s="245"/>
      <c r="L293" s="257"/>
      <c r="M293" s="591" t="s">
        <v>260</v>
      </c>
      <c r="N293" s="592"/>
      <c r="O293" s="179"/>
      <c r="P293" s="180"/>
      <c r="Q293" s="180">
        <v>1540000</v>
      </c>
      <c r="R293" s="181">
        <f>Q293/Q$292*100</f>
        <v>0.51971035259647624</v>
      </c>
      <c r="S293" s="181">
        <v>100</v>
      </c>
      <c r="T293" s="180">
        <f t="shared" si="88"/>
        <v>0</v>
      </c>
      <c r="U293" s="180">
        <f t="shared" si="77"/>
        <v>0</v>
      </c>
      <c r="V293" s="182">
        <f t="shared" ref="V293:V531" si="92">S293-T293</f>
        <v>100</v>
      </c>
      <c r="W293" s="180"/>
      <c r="X293" s="180"/>
      <c r="Y293" s="180"/>
      <c r="Z293" s="180"/>
      <c r="AA293" s="180"/>
      <c r="AB293" s="180"/>
      <c r="AC293" s="180"/>
      <c r="AD293" s="180"/>
      <c r="AE293" s="180"/>
      <c r="AF293" s="180"/>
      <c r="AG293" s="180"/>
      <c r="AH293" s="180"/>
      <c r="AI293" s="180">
        <v>0</v>
      </c>
      <c r="AJ293" s="181">
        <f t="shared" si="89"/>
        <v>0</v>
      </c>
      <c r="AK293" s="246">
        <f t="shared" si="84"/>
        <v>1540000</v>
      </c>
      <c r="AL293" s="181">
        <f t="shared" si="90"/>
        <v>100</v>
      </c>
      <c r="AM293" s="243"/>
    </row>
    <row r="294" spans="1:39" ht="28.5" customHeight="1" x14ac:dyDescent="0.25">
      <c r="A294" s="243"/>
      <c r="B294" s="244"/>
      <c r="C294" s="244"/>
      <c r="D294" s="244"/>
      <c r="E294" s="244"/>
      <c r="F294" s="244"/>
      <c r="G294" s="244"/>
      <c r="H294" s="244"/>
      <c r="I294" s="298"/>
      <c r="J294" s="244" t="s">
        <v>326</v>
      </c>
      <c r="K294" s="245"/>
      <c r="L294" s="257"/>
      <c r="M294" s="591" t="s">
        <v>327</v>
      </c>
      <c r="N294" s="592"/>
      <c r="O294" s="179"/>
      <c r="P294" s="180"/>
      <c r="Q294" s="180">
        <v>140400000</v>
      </c>
      <c r="R294" s="181">
        <f t="shared" ref="R294:R303" si="93">Q294/Q$292*100</f>
        <v>47.381385392561867</v>
      </c>
      <c r="S294" s="181">
        <v>100</v>
      </c>
      <c r="T294" s="180">
        <f t="shared" si="88"/>
        <v>0</v>
      </c>
      <c r="U294" s="180">
        <f t="shared" si="77"/>
        <v>0</v>
      </c>
      <c r="V294" s="182">
        <f t="shared" si="92"/>
        <v>100</v>
      </c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>
        <v>0</v>
      </c>
      <c r="AJ294" s="181">
        <f t="shared" si="89"/>
        <v>0</v>
      </c>
      <c r="AK294" s="246">
        <f t="shared" si="84"/>
        <v>140400000</v>
      </c>
      <c r="AL294" s="181">
        <f t="shared" si="90"/>
        <v>100</v>
      </c>
      <c r="AM294" s="243"/>
    </row>
    <row r="295" spans="1:39" ht="28.5" customHeight="1" x14ac:dyDescent="0.25">
      <c r="A295" s="243"/>
      <c r="B295" s="244"/>
      <c r="C295" s="244"/>
      <c r="D295" s="244"/>
      <c r="E295" s="244"/>
      <c r="F295" s="244"/>
      <c r="G295" s="244"/>
      <c r="H295" s="244"/>
      <c r="I295" s="298"/>
      <c r="J295" s="244" t="s">
        <v>323</v>
      </c>
      <c r="K295" s="245"/>
      <c r="L295" s="257"/>
      <c r="M295" s="591" t="s">
        <v>324</v>
      </c>
      <c r="N295" s="592"/>
      <c r="O295" s="179"/>
      <c r="P295" s="180"/>
      <c r="Q295" s="180">
        <v>10000000</v>
      </c>
      <c r="R295" s="181">
        <f t="shared" si="93"/>
        <v>3.3747425493277681</v>
      </c>
      <c r="S295" s="181">
        <v>100</v>
      </c>
      <c r="T295" s="180">
        <f t="shared" si="88"/>
        <v>0</v>
      </c>
      <c r="U295" s="180">
        <f t="shared" si="77"/>
        <v>0</v>
      </c>
      <c r="V295" s="182">
        <f t="shared" si="92"/>
        <v>100</v>
      </c>
      <c r="W295" s="180"/>
      <c r="X295" s="180"/>
      <c r="Y295" s="180"/>
      <c r="Z295" s="180"/>
      <c r="AA295" s="180"/>
      <c r="AB295" s="180"/>
      <c r="AC295" s="180"/>
      <c r="AD295" s="180"/>
      <c r="AE295" s="180"/>
      <c r="AF295" s="180"/>
      <c r="AG295" s="180"/>
      <c r="AH295" s="180"/>
      <c r="AI295" s="180">
        <v>0</v>
      </c>
      <c r="AJ295" s="181">
        <f t="shared" si="89"/>
        <v>0</v>
      </c>
      <c r="AK295" s="246">
        <f t="shared" si="84"/>
        <v>10000000</v>
      </c>
      <c r="AL295" s="181">
        <f t="shared" si="90"/>
        <v>100</v>
      </c>
      <c r="AM295" s="243"/>
    </row>
    <row r="296" spans="1:39" ht="28.5" customHeight="1" x14ac:dyDescent="0.25">
      <c r="A296" s="243"/>
      <c r="B296" s="244"/>
      <c r="C296" s="244"/>
      <c r="D296" s="244"/>
      <c r="E296" s="244"/>
      <c r="F296" s="244"/>
      <c r="G296" s="244"/>
      <c r="H296" s="244"/>
      <c r="I296" s="298"/>
      <c r="J296" s="244" t="s">
        <v>341</v>
      </c>
      <c r="K296" s="245"/>
      <c r="L296" s="257"/>
      <c r="M296" s="591" t="s">
        <v>337</v>
      </c>
      <c r="N296" s="592"/>
      <c r="O296" s="179"/>
      <c r="P296" s="180"/>
      <c r="Q296" s="180">
        <v>10000000</v>
      </c>
      <c r="R296" s="181">
        <f t="shared" si="93"/>
        <v>3.3747425493277681</v>
      </c>
      <c r="S296" s="181">
        <v>100</v>
      </c>
      <c r="T296" s="180">
        <f t="shared" si="88"/>
        <v>0</v>
      </c>
      <c r="U296" s="180">
        <f t="shared" si="77"/>
        <v>0</v>
      </c>
      <c r="V296" s="182">
        <f t="shared" si="92"/>
        <v>100</v>
      </c>
      <c r="W296" s="180"/>
      <c r="X296" s="180"/>
      <c r="Y296" s="180"/>
      <c r="Z296" s="180"/>
      <c r="AA296" s="180"/>
      <c r="AB296" s="180"/>
      <c r="AC296" s="180"/>
      <c r="AD296" s="180"/>
      <c r="AE296" s="180"/>
      <c r="AF296" s="180"/>
      <c r="AG296" s="180"/>
      <c r="AH296" s="180"/>
      <c r="AI296" s="180">
        <v>0</v>
      </c>
      <c r="AJ296" s="181">
        <f t="shared" si="89"/>
        <v>0</v>
      </c>
      <c r="AK296" s="246">
        <f t="shared" si="84"/>
        <v>10000000</v>
      </c>
      <c r="AL296" s="181">
        <f t="shared" si="90"/>
        <v>100</v>
      </c>
      <c r="AM296" s="243"/>
    </row>
    <row r="297" spans="1:39" ht="28.5" customHeight="1" x14ac:dyDescent="0.25">
      <c r="A297" s="243"/>
      <c r="B297" s="244"/>
      <c r="C297" s="244"/>
      <c r="D297" s="244"/>
      <c r="E297" s="244"/>
      <c r="F297" s="244"/>
      <c r="G297" s="244"/>
      <c r="H297" s="244"/>
      <c r="I297" s="298"/>
      <c r="J297" s="244" t="s">
        <v>269</v>
      </c>
      <c r="K297" s="245"/>
      <c r="L297" s="257"/>
      <c r="M297" s="591" t="s">
        <v>270</v>
      </c>
      <c r="N297" s="592"/>
      <c r="O297" s="179"/>
      <c r="P297" s="180"/>
      <c r="Q297" s="180">
        <v>23000000</v>
      </c>
      <c r="R297" s="181">
        <f t="shared" si="93"/>
        <v>7.7619078634538665</v>
      </c>
      <c r="S297" s="181">
        <v>100</v>
      </c>
      <c r="T297" s="180">
        <f t="shared" si="88"/>
        <v>0</v>
      </c>
      <c r="U297" s="180">
        <f t="shared" ref="U297:U360" si="94">R297*T297/100</f>
        <v>0</v>
      </c>
      <c r="V297" s="182">
        <f t="shared" si="92"/>
        <v>100</v>
      </c>
      <c r="W297" s="180"/>
      <c r="X297" s="180"/>
      <c r="Y297" s="180"/>
      <c r="Z297" s="180"/>
      <c r="AA297" s="180"/>
      <c r="AB297" s="180"/>
      <c r="AC297" s="180"/>
      <c r="AD297" s="180"/>
      <c r="AE297" s="180"/>
      <c r="AF297" s="180"/>
      <c r="AG297" s="180"/>
      <c r="AH297" s="180"/>
      <c r="AI297" s="180">
        <v>0</v>
      </c>
      <c r="AJ297" s="181">
        <f t="shared" si="89"/>
        <v>0</v>
      </c>
      <c r="AK297" s="246">
        <f t="shared" si="84"/>
        <v>23000000</v>
      </c>
      <c r="AL297" s="181">
        <f t="shared" si="90"/>
        <v>100</v>
      </c>
      <c r="AM297" s="243"/>
    </row>
    <row r="298" spans="1:39" ht="28.5" customHeight="1" x14ac:dyDescent="0.25">
      <c r="A298" s="243"/>
      <c r="B298" s="244"/>
      <c r="C298" s="244"/>
      <c r="D298" s="244"/>
      <c r="E298" s="244"/>
      <c r="F298" s="244"/>
      <c r="G298" s="244"/>
      <c r="H298" s="244"/>
      <c r="I298" s="298"/>
      <c r="J298" s="244" t="s">
        <v>315</v>
      </c>
      <c r="K298" s="245"/>
      <c r="L298" s="257"/>
      <c r="M298" s="591" t="s">
        <v>271</v>
      </c>
      <c r="N298" s="592"/>
      <c r="O298" s="179"/>
      <c r="P298" s="180"/>
      <c r="Q298" s="180">
        <v>17000000</v>
      </c>
      <c r="R298" s="181">
        <f t="shared" si="93"/>
        <v>5.7370623338572058</v>
      </c>
      <c r="S298" s="181">
        <v>100</v>
      </c>
      <c r="T298" s="180">
        <f t="shared" si="88"/>
        <v>0</v>
      </c>
      <c r="U298" s="180">
        <f t="shared" si="94"/>
        <v>0</v>
      </c>
      <c r="V298" s="182">
        <f t="shared" si="92"/>
        <v>100</v>
      </c>
      <c r="W298" s="180"/>
      <c r="X298" s="180"/>
      <c r="Y298" s="180"/>
      <c r="Z298" s="180"/>
      <c r="AA298" s="180"/>
      <c r="AB298" s="180"/>
      <c r="AC298" s="180"/>
      <c r="AD298" s="180"/>
      <c r="AE298" s="180"/>
      <c r="AF298" s="180"/>
      <c r="AG298" s="180"/>
      <c r="AH298" s="180"/>
      <c r="AI298" s="180">
        <v>0</v>
      </c>
      <c r="AJ298" s="181">
        <f t="shared" si="89"/>
        <v>0</v>
      </c>
      <c r="AK298" s="246">
        <f t="shared" si="84"/>
        <v>17000000</v>
      </c>
      <c r="AL298" s="181">
        <f t="shared" si="90"/>
        <v>100</v>
      </c>
      <c r="AM298" s="243"/>
    </row>
    <row r="299" spans="1:39" ht="28.5" customHeight="1" x14ac:dyDescent="0.25">
      <c r="A299" s="243"/>
      <c r="B299" s="244"/>
      <c r="C299" s="244"/>
      <c r="D299" s="244"/>
      <c r="E299" s="244"/>
      <c r="F299" s="244"/>
      <c r="G299" s="244"/>
      <c r="H299" s="244"/>
      <c r="I299" s="298"/>
      <c r="J299" s="244" t="s">
        <v>343</v>
      </c>
      <c r="K299" s="245"/>
      <c r="L299" s="257"/>
      <c r="M299" s="591" t="s">
        <v>319</v>
      </c>
      <c r="N299" s="592"/>
      <c r="O299" s="179"/>
      <c r="P299" s="180"/>
      <c r="Q299" s="180">
        <v>32500000</v>
      </c>
      <c r="R299" s="181">
        <f t="shared" si="93"/>
        <v>10.967913285315246</v>
      </c>
      <c r="S299" s="181">
        <v>100</v>
      </c>
      <c r="T299" s="180">
        <f t="shared" si="88"/>
        <v>0</v>
      </c>
      <c r="U299" s="180">
        <f t="shared" si="94"/>
        <v>0</v>
      </c>
      <c r="V299" s="182">
        <f t="shared" si="92"/>
        <v>100</v>
      </c>
      <c r="W299" s="180"/>
      <c r="X299" s="180"/>
      <c r="Y299" s="180"/>
      <c r="Z299" s="180"/>
      <c r="AA299" s="180"/>
      <c r="AB299" s="180"/>
      <c r="AC299" s="180"/>
      <c r="AD299" s="180"/>
      <c r="AE299" s="180"/>
      <c r="AF299" s="180"/>
      <c r="AG299" s="180"/>
      <c r="AH299" s="180"/>
      <c r="AI299" s="180">
        <v>0</v>
      </c>
      <c r="AJ299" s="181">
        <f t="shared" si="89"/>
        <v>0</v>
      </c>
      <c r="AK299" s="246">
        <f t="shared" si="84"/>
        <v>32500000</v>
      </c>
      <c r="AL299" s="181">
        <f t="shared" si="90"/>
        <v>100</v>
      </c>
      <c r="AM299" s="243"/>
    </row>
    <row r="300" spans="1:39" ht="28.5" customHeight="1" x14ac:dyDescent="0.25">
      <c r="A300" s="243"/>
      <c r="B300" s="244"/>
      <c r="C300" s="244"/>
      <c r="D300" s="244"/>
      <c r="E300" s="244"/>
      <c r="F300" s="244"/>
      <c r="G300" s="244"/>
      <c r="H300" s="244"/>
      <c r="I300" s="298"/>
      <c r="J300" s="244" t="s">
        <v>280</v>
      </c>
      <c r="K300" s="245"/>
      <c r="L300" s="257"/>
      <c r="M300" s="591" t="s">
        <v>281</v>
      </c>
      <c r="N300" s="592"/>
      <c r="O300" s="179"/>
      <c r="P300" s="180"/>
      <c r="Q300" s="180">
        <v>6500000</v>
      </c>
      <c r="R300" s="181">
        <f t="shared" si="93"/>
        <v>2.1935826570630494</v>
      </c>
      <c r="S300" s="181">
        <v>100</v>
      </c>
      <c r="T300" s="180">
        <f t="shared" si="88"/>
        <v>0</v>
      </c>
      <c r="U300" s="180">
        <f t="shared" si="94"/>
        <v>0</v>
      </c>
      <c r="V300" s="182">
        <f t="shared" si="92"/>
        <v>100</v>
      </c>
      <c r="W300" s="180"/>
      <c r="X300" s="180"/>
      <c r="Y300" s="180"/>
      <c r="Z300" s="180"/>
      <c r="AA300" s="180"/>
      <c r="AB300" s="180"/>
      <c r="AC300" s="180"/>
      <c r="AD300" s="180"/>
      <c r="AE300" s="180"/>
      <c r="AF300" s="180"/>
      <c r="AG300" s="180"/>
      <c r="AH300" s="180"/>
      <c r="AI300" s="180">
        <v>0</v>
      </c>
      <c r="AJ300" s="181">
        <f t="shared" si="89"/>
        <v>0</v>
      </c>
      <c r="AK300" s="246">
        <f t="shared" si="84"/>
        <v>6500000</v>
      </c>
      <c r="AL300" s="181">
        <f t="shared" si="90"/>
        <v>100</v>
      </c>
      <c r="AM300" s="243"/>
    </row>
    <row r="301" spans="1:39" ht="28.5" customHeight="1" x14ac:dyDescent="0.25">
      <c r="A301" s="243"/>
      <c r="B301" s="244"/>
      <c r="C301" s="244"/>
      <c r="D301" s="244"/>
      <c r="E301" s="244"/>
      <c r="F301" s="244"/>
      <c r="G301" s="244"/>
      <c r="H301" s="244"/>
      <c r="I301" s="298"/>
      <c r="J301" s="244"/>
      <c r="K301" s="245"/>
      <c r="L301" s="257"/>
      <c r="M301" s="591" t="s">
        <v>285</v>
      </c>
      <c r="N301" s="592"/>
      <c r="O301" s="179"/>
      <c r="P301" s="180"/>
      <c r="Q301" s="180">
        <v>660000</v>
      </c>
      <c r="R301" s="181">
        <f t="shared" si="93"/>
        <v>0.22273300825563269</v>
      </c>
      <c r="S301" s="181"/>
      <c r="T301" s="180">
        <f t="shared" si="88"/>
        <v>0</v>
      </c>
      <c r="U301" s="180">
        <f t="shared" si="94"/>
        <v>0</v>
      </c>
      <c r="V301" s="182">
        <f t="shared" si="92"/>
        <v>0</v>
      </c>
      <c r="W301" s="180"/>
      <c r="X301" s="180"/>
      <c r="Y301" s="180"/>
      <c r="Z301" s="180"/>
      <c r="AA301" s="180"/>
      <c r="AB301" s="180"/>
      <c r="AC301" s="180"/>
      <c r="AD301" s="180"/>
      <c r="AE301" s="180"/>
      <c r="AF301" s="180"/>
      <c r="AG301" s="180"/>
      <c r="AH301" s="180"/>
      <c r="AI301" s="180">
        <v>0</v>
      </c>
      <c r="AJ301" s="181">
        <f t="shared" si="89"/>
        <v>0</v>
      </c>
      <c r="AK301" s="246">
        <f t="shared" si="84"/>
        <v>660000</v>
      </c>
      <c r="AL301" s="181">
        <f t="shared" si="90"/>
        <v>100</v>
      </c>
      <c r="AM301" s="243"/>
    </row>
    <row r="302" spans="1:39" ht="28.5" customHeight="1" x14ac:dyDescent="0.25">
      <c r="A302" s="243"/>
      <c r="B302" s="244"/>
      <c r="C302" s="244"/>
      <c r="D302" s="244"/>
      <c r="E302" s="244"/>
      <c r="F302" s="244"/>
      <c r="G302" s="244"/>
      <c r="H302" s="244"/>
      <c r="I302" s="298"/>
      <c r="J302" s="244" t="s">
        <v>282</v>
      </c>
      <c r="K302" s="245"/>
      <c r="L302" s="257"/>
      <c r="M302" s="591" t="s">
        <v>283</v>
      </c>
      <c r="N302" s="592"/>
      <c r="O302" s="179"/>
      <c r="P302" s="180"/>
      <c r="Q302" s="180">
        <v>53918900</v>
      </c>
      <c r="R302" s="181">
        <f t="shared" si="93"/>
        <v>18.1962406042949</v>
      </c>
      <c r="S302" s="181">
        <v>100</v>
      </c>
      <c r="T302" s="180">
        <f t="shared" si="88"/>
        <v>0</v>
      </c>
      <c r="U302" s="180">
        <f t="shared" si="94"/>
        <v>0</v>
      </c>
      <c r="V302" s="182">
        <f t="shared" si="92"/>
        <v>100</v>
      </c>
      <c r="W302" s="180"/>
      <c r="X302" s="180"/>
      <c r="Y302" s="180"/>
      <c r="Z302" s="180"/>
      <c r="AA302" s="180"/>
      <c r="AB302" s="180"/>
      <c r="AC302" s="180"/>
      <c r="AD302" s="180"/>
      <c r="AE302" s="180"/>
      <c r="AF302" s="180"/>
      <c r="AG302" s="180"/>
      <c r="AH302" s="180"/>
      <c r="AI302" s="180">
        <v>0</v>
      </c>
      <c r="AJ302" s="181">
        <f t="shared" si="89"/>
        <v>0</v>
      </c>
      <c r="AK302" s="246">
        <f t="shared" si="84"/>
        <v>53918900</v>
      </c>
      <c r="AL302" s="181">
        <f t="shared" si="90"/>
        <v>100</v>
      </c>
      <c r="AM302" s="243"/>
    </row>
    <row r="303" spans="1:39" ht="28.5" customHeight="1" x14ac:dyDescent="0.25">
      <c r="A303" s="243"/>
      <c r="B303" s="244"/>
      <c r="C303" s="244"/>
      <c r="D303" s="244"/>
      <c r="E303" s="244"/>
      <c r="F303" s="244"/>
      <c r="G303" s="244"/>
      <c r="H303" s="244"/>
      <c r="I303" s="298"/>
      <c r="J303" s="244" t="s">
        <v>407</v>
      </c>
      <c r="K303" s="245"/>
      <c r="L303" s="257"/>
      <c r="M303" s="591" t="s">
        <v>414</v>
      </c>
      <c r="N303" s="592"/>
      <c r="O303" s="179"/>
      <c r="P303" s="180"/>
      <c r="Q303" s="180">
        <v>800000</v>
      </c>
      <c r="R303" s="181">
        <f t="shared" si="93"/>
        <v>0.26997940394622144</v>
      </c>
      <c r="S303" s="181">
        <v>100</v>
      </c>
      <c r="T303" s="180">
        <f t="shared" si="88"/>
        <v>0</v>
      </c>
      <c r="U303" s="180">
        <f t="shared" si="94"/>
        <v>0</v>
      </c>
      <c r="V303" s="182">
        <f t="shared" si="92"/>
        <v>100</v>
      </c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>
        <v>0</v>
      </c>
      <c r="AJ303" s="181">
        <f t="shared" si="89"/>
        <v>0</v>
      </c>
      <c r="AK303" s="246">
        <f t="shared" si="84"/>
        <v>800000</v>
      </c>
      <c r="AL303" s="181">
        <f t="shared" si="90"/>
        <v>100</v>
      </c>
      <c r="AM303" s="243"/>
    </row>
    <row r="304" spans="1:39" s="311" customFormat="1" ht="28.5" customHeight="1" x14ac:dyDescent="0.25">
      <c r="A304" s="227">
        <f>A292+1</f>
        <v>36</v>
      </c>
      <c r="B304" s="615" t="s">
        <v>148</v>
      </c>
      <c r="C304" s="615"/>
      <c r="D304" s="615"/>
      <c r="E304" s="615"/>
      <c r="F304" s="615"/>
      <c r="G304" s="615"/>
      <c r="H304" s="615"/>
      <c r="I304" s="614"/>
      <c r="J304" s="304" t="s">
        <v>485</v>
      </c>
      <c r="K304" s="230"/>
      <c r="L304" s="294"/>
      <c r="M304" s="609" t="s">
        <v>44</v>
      </c>
      <c r="N304" s="609"/>
      <c r="O304" s="310">
        <v>100275000</v>
      </c>
      <c r="P304" s="231">
        <f>O304</f>
        <v>100275000</v>
      </c>
      <c r="Q304" s="231">
        <f>SUM(Q305:Q311)</f>
        <v>331985880</v>
      </c>
      <c r="R304" s="233">
        <f>Q304/Q$243*100</f>
        <v>2.988234746967867</v>
      </c>
      <c r="S304" s="233">
        <v>100</v>
      </c>
      <c r="T304" s="231">
        <f t="shared" si="88"/>
        <v>0</v>
      </c>
      <c r="U304" s="231">
        <f t="shared" si="94"/>
        <v>0</v>
      </c>
      <c r="V304" s="296">
        <f t="shared" si="92"/>
        <v>100</v>
      </c>
      <c r="W304" s="231"/>
      <c r="X304" s="231" t="e">
        <f>#REF!</f>
        <v>#REF!</v>
      </c>
      <c r="Y304" s="231" t="e">
        <f>#REF!</f>
        <v>#REF!</v>
      </c>
      <c r="Z304" s="231" t="e">
        <f>#REF!</f>
        <v>#REF!</v>
      </c>
      <c r="AA304" s="231" t="e">
        <f>#REF!</f>
        <v>#REF!</v>
      </c>
      <c r="AB304" s="231">
        <v>0</v>
      </c>
      <c r="AC304" s="231" t="e">
        <f>#REF!</f>
        <v>#REF!</v>
      </c>
      <c r="AD304" s="231" t="e">
        <f>#REF!</f>
        <v>#REF!</v>
      </c>
      <c r="AE304" s="231" t="e">
        <f>#REF!</f>
        <v>#REF!</v>
      </c>
      <c r="AF304" s="231" t="e">
        <f>[1]April!N60</f>
        <v>#REF!</v>
      </c>
      <c r="AG304" s="231" t="e">
        <f>[2]april!N60</f>
        <v>#REF!</v>
      </c>
      <c r="AH304" s="231">
        <f>'[3]DES SKPD'!$N60</f>
        <v>90196500</v>
      </c>
      <c r="AI304" s="231">
        <f>SUM(AI305:AI311)</f>
        <v>0</v>
      </c>
      <c r="AJ304" s="233">
        <f t="shared" si="89"/>
        <v>0</v>
      </c>
      <c r="AK304" s="234">
        <f t="shared" si="84"/>
        <v>331985880</v>
      </c>
      <c r="AL304" s="233">
        <f t="shared" si="90"/>
        <v>100</v>
      </c>
      <c r="AM304" s="227"/>
    </row>
    <row r="305" spans="1:39" ht="28.5" customHeight="1" x14ac:dyDescent="0.25">
      <c r="A305" s="243"/>
      <c r="B305" s="244"/>
      <c r="C305" s="244"/>
      <c r="D305" s="244"/>
      <c r="E305" s="244"/>
      <c r="F305" s="244"/>
      <c r="G305" s="244"/>
      <c r="H305" s="244"/>
      <c r="I305" s="298"/>
      <c r="J305" s="244" t="s">
        <v>326</v>
      </c>
      <c r="K305" s="245"/>
      <c r="L305" s="257"/>
      <c r="M305" s="591" t="s">
        <v>327</v>
      </c>
      <c r="N305" s="592"/>
      <c r="O305" s="179"/>
      <c r="P305" s="180"/>
      <c r="Q305" s="180">
        <v>280800000</v>
      </c>
      <c r="R305" s="181">
        <f t="shared" ref="R305:R311" si="95">Q305/Q$304*100</f>
        <v>84.581910531857559</v>
      </c>
      <c r="S305" s="181">
        <v>100</v>
      </c>
      <c r="T305" s="180">
        <f t="shared" si="88"/>
        <v>0</v>
      </c>
      <c r="U305" s="180">
        <f t="shared" si="94"/>
        <v>0</v>
      </c>
      <c r="V305" s="182">
        <f t="shared" si="92"/>
        <v>100</v>
      </c>
      <c r="W305" s="180"/>
      <c r="X305" s="180"/>
      <c r="Y305" s="180"/>
      <c r="Z305" s="180"/>
      <c r="AA305" s="180"/>
      <c r="AB305" s="180"/>
      <c r="AC305" s="180"/>
      <c r="AD305" s="180"/>
      <c r="AE305" s="180"/>
      <c r="AF305" s="180"/>
      <c r="AG305" s="180"/>
      <c r="AH305" s="180"/>
      <c r="AI305" s="180">
        <v>0</v>
      </c>
      <c r="AJ305" s="181">
        <f t="shared" si="89"/>
        <v>0</v>
      </c>
      <c r="AK305" s="246">
        <f t="shared" si="84"/>
        <v>280800000</v>
      </c>
      <c r="AL305" s="181">
        <f t="shared" si="90"/>
        <v>100</v>
      </c>
      <c r="AM305" s="243"/>
    </row>
    <row r="306" spans="1:39" ht="28.5" customHeight="1" x14ac:dyDescent="0.25">
      <c r="A306" s="243"/>
      <c r="B306" s="244"/>
      <c r="C306" s="244"/>
      <c r="D306" s="244"/>
      <c r="E306" s="244"/>
      <c r="F306" s="244"/>
      <c r="G306" s="244"/>
      <c r="H306" s="244"/>
      <c r="I306" s="298"/>
      <c r="J306" s="244" t="s">
        <v>323</v>
      </c>
      <c r="K306" s="245"/>
      <c r="L306" s="257"/>
      <c r="M306" s="591" t="s">
        <v>324</v>
      </c>
      <c r="N306" s="592"/>
      <c r="O306" s="179"/>
      <c r="P306" s="180"/>
      <c r="Q306" s="180">
        <v>4000000</v>
      </c>
      <c r="R306" s="181">
        <f t="shared" si="95"/>
        <v>1.2048705203968313</v>
      </c>
      <c r="S306" s="181">
        <v>100</v>
      </c>
      <c r="T306" s="180">
        <f t="shared" si="88"/>
        <v>0</v>
      </c>
      <c r="U306" s="180">
        <f t="shared" si="94"/>
        <v>0</v>
      </c>
      <c r="V306" s="182">
        <f t="shared" si="92"/>
        <v>100</v>
      </c>
      <c r="W306" s="180"/>
      <c r="X306" s="180"/>
      <c r="Y306" s="180"/>
      <c r="Z306" s="180"/>
      <c r="AA306" s="180"/>
      <c r="AB306" s="180"/>
      <c r="AC306" s="180"/>
      <c r="AD306" s="180"/>
      <c r="AE306" s="180"/>
      <c r="AF306" s="180"/>
      <c r="AG306" s="180"/>
      <c r="AH306" s="180"/>
      <c r="AI306" s="180">
        <v>0</v>
      </c>
      <c r="AJ306" s="181">
        <f t="shared" si="89"/>
        <v>0</v>
      </c>
      <c r="AK306" s="246">
        <f t="shared" si="84"/>
        <v>4000000</v>
      </c>
      <c r="AL306" s="181">
        <f t="shared" si="90"/>
        <v>100</v>
      </c>
      <c r="AM306" s="243"/>
    </row>
    <row r="307" spans="1:39" ht="28.5" customHeight="1" x14ac:dyDescent="0.25">
      <c r="A307" s="243"/>
      <c r="B307" s="244"/>
      <c r="C307" s="244"/>
      <c r="D307" s="244"/>
      <c r="E307" s="244"/>
      <c r="F307" s="244"/>
      <c r="G307" s="244"/>
      <c r="H307" s="244"/>
      <c r="I307" s="298"/>
      <c r="J307" s="244" t="s">
        <v>269</v>
      </c>
      <c r="K307" s="245"/>
      <c r="L307" s="257"/>
      <c r="M307" s="591" t="s">
        <v>270</v>
      </c>
      <c r="N307" s="592"/>
      <c r="O307" s="179"/>
      <c r="P307" s="180"/>
      <c r="Q307" s="180">
        <v>27680000</v>
      </c>
      <c r="R307" s="181">
        <f t="shared" si="95"/>
        <v>8.3377040011460739</v>
      </c>
      <c r="S307" s="181">
        <v>100</v>
      </c>
      <c r="T307" s="180">
        <f t="shared" si="88"/>
        <v>0</v>
      </c>
      <c r="U307" s="180">
        <f t="shared" si="94"/>
        <v>0</v>
      </c>
      <c r="V307" s="182">
        <f t="shared" si="92"/>
        <v>100</v>
      </c>
      <c r="W307" s="180"/>
      <c r="X307" s="180"/>
      <c r="Y307" s="180"/>
      <c r="Z307" s="180"/>
      <c r="AA307" s="180"/>
      <c r="AB307" s="180"/>
      <c r="AC307" s="180"/>
      <c r="AD307" s="180"/>
      <c r="AE307" s="180"/>
      <c r="AF307" s="180"/>
      <c r="AG307" s="180"/>
      <c r="AH307" s="180"/>
      <c r="AI307" s="180">
        <v>0</v>
      </c>
      <c r="AJ307" s="181">
        <f t="shared" si="89"/>
        <v>0</v>
      </c>
      <c r="AK307" s="246">
        <f t="shared" si="84"/>
        <v>27680000</v>
      </c>
      <c r="AL307" s="181">
        <f t="shared" si="90"/>
        <v>100</v>
      </c>
      <c r="AM307" s="243"/>
    </row>
    <row r="308" spans="1:39" ht="28.5" customHeight="1" x14ac:dyDescent="0.25">
      <c r="A308" s="243"/>
      <c r="B308" s="244"/>
      <c r="C308" s="244"/>
      <c r="D308" s="244"/>
      <c r="E308" s="244"/>
      <c r="F308" s="244"/>
      <c r="G308" s="244"/>
      <c r="H308" s="244"/>
      <c r="I308" s="298"/>
      <c r="J308" s="244" t="s">
        <v>315</v>
      </c>
      <c r="K308" s="245"/>
      <c r="L308" s="257"/>
      <c r="M308" s="591" t="s">
        <v>271</v>
      </c>
      <c r="N308" s="592"/>
      <c r="O308" s="179"/>
      <c r="P308" s="180"/>
      <c r="Q308" s="180">
        <v>1000000</v>
      </c>
      <c r="R308" s="181">
        <f t="shared" si="95"/>
        <v>0.30121763009920782</v>
      </c>
      <c r="S308" s="181">
        <v>100</v>
      </c>
      <c r="T308" s="180">
        <f t="shared" si="88"/>
        <v>0</v>
      </c>
      <c r="U308" s="180">
        <f t="shared" si="94"/>
        <v>0</v>
      </c>
      <c r="V308" s="182">
        <f t="shared" si="92"/>
        <v>100</v>
      </c>
      <c r="W308" s="180"/>
      <c r="X308" s="180"/>
      <c r="Y308" s="180"/>
      <c r="Z308" s="180"/>
      <c r="AA308" s="180"/>
      <c r="AB308" s="180"/>
      <c r="AC308" s="180"/>
      <c r="AD308" s="180"/>
      <c r="AE308" s="180"/>
      <c r="AF308" s="180"/>
      <c r="AG308" s="180"/>
      <c r="AH308" s="180"/>
      <c r="AI308" s="180">
        <v>0</v>
      </c>
      <c r="AJ308" s="181">
        <f t="shared" si="89"/>
        <v>0</v>
      </c>
      <c r="AK308" s="246">
        <f t="shared" ref="AK308:AK354" si="96">Q308-AI308</f>
        <v>1000000</v>
      </c>
      <c r="AL308" s="181">
        <f t="shared" si="90"/>
        <v>100</v>
      </c>
      <c r="AM308" s="243"/>
    </row>
    <row r="309" spans="1:39" ht="28.5" customHeight="1" x14ac:dyDescent="0.25">
      <c r="A309" s="243"/>
      <c r="B309" s="244"/>
      <c r="C309" s="244"/>
      <c r="D309" s="244"/>
      <c r="E309" s="244"/>
      <c r="F309" s="244"/>
      <c r="G309" s="244"/>
      <c r="H309" s="244"/>
      <c r="I309" s="298"/>
      <c r="J309" s="244" t="s">
        <v>328</v>
      </c>
      <c r="K309" s="245"/>
      <c r="L309" s="257"/>
      <c r="M309" s="591" t="s">
        <v>329</v>
      </c>
      <c r="N309" s="592"/>
      <c r="O309" s="179"/>
      <c r="P309" s="180"/>
      <c r="Q309" s="180">
        <v>5105880</v>
      </c>
      <c r="R309" s="181">
        <f t="shared" si="95"/>
        <v>1.5379810731709433</v>
      </c>
      <c r="S309" s="181">
        <v>100</v>
      </c>
      <c r="T309" s="180">
        <f t="shared" si="88"/>
        <v>0</v>
      </c>
      <c r="U309" s="180">
        <f t="shared" si="94"/>
        <v>0</v>
      </c>
      <c r="V309" s="182">
        <f t="shared" si="92"/>
        <v>100</v>
      </c>
      <c r="W309" s="180"/>
      <c r="X309" s="180"/>
      <c r="Y309" s="180"/>
      <c r="Z309" s="180"/>
      <c r="AA309" s="180"/>
      <c r="AB309" s="180"/>
      <c r="AC309" s="180"/>
      <c r="AD309" s="180"/>
      <c r="AE309" s="180"/>
      <c r="AF309" s="180"/>
      <c r="AG309" s="180"/>
      <c r="AH309" s="180"/>
      <c r="AI309" s="180">
        <v>0</v>
      </c>
      <c r="AJ309" s="181">
        <f t="shared" si="89"/>
        <v>0</v>
      </c>
      <c r="AK309" s="246">
        <f t="shared" si="96"/>
        <v>5105880</v>
      </c>
      <c r="AL309" s="181">
        <f t="shared" si="90"/>
        <v>100</v>
      </c>
      <c r="AM309" s="243"/>
    </row>
    <row r="310" spans="1:39" ht="28.5" customHeight="1" x14ac:dyDescent="0.25">
      <c r="A310" s="243"/>
      <c r="B310" s="244"/>
      <c r="C310" s="244"/>
      <c r="D310" s="244"/>
      <c r="E310" s="244"/>
      <c r="F310" s="244"/>
      <c r="G310" s="244"/>
      <c r="H310" s="244"/>
      <c r="I310" s="298"/>
      <c r="J310" s="244" t="s">
        <v>280</v>
      </c>
      <c r="K310" s="245"/>
      <c r="L310" s="257"/>
      <c r="M310" s="591" t="s">
        <v>281</v>
      </c>
      <c r="N310" s="592"/>
      <c r="O310" s="179"/>
      <c r="P310" s="180"/>
      <c r="Q310" s="180">
        <v>13000000</v>
      </c>
      <c r="R310" s="181">
        <f t="shared" si="95"/>
        <v>3.9158291912897019</v>
      </c>
      <c r="S310" s="181">
        <v>100</v>
      </c>
      <c r="T310" s="180">
        <f t="shared" si="88"/>
        <v>0</v>
      </c>
      <c r="U310" s="180">
        <f t="shared" si="94"/>
        <v>0</v>
      </c>
      <c r="V310" s="182">
        <f t="shared" si="92"/>
        <v>100</v>
      </c>
      <c r="W310" s="180"/>
      <c r="X310" s="180"/>
      <c r="Y310" s="180"/>
      <c r="Z310" s="180"/>
      <c r="AA310" s="180"/>
      <c r="AB310" s="180"/>
      <c r="AC310" s="180"/>
      <c r="AD310" s="180"/>
      <c r="AE310" s="180"/>
      <c r="AF310" s="180"/>
      <c r="AG310" s="180"/>
      <c r="AH310" s="180"/>
      <c r="AI310" s="180">
        <v>0</v>
      </c>
      <c r="AJ310" s="181">
        <f t="shared" si="89"/>
        <v>0</v>
      </c>
      <c r="AK310" s="246">
        <f t="shared" si="96"/>
        <v>13000000</v>
      </c>
      <c r="AL310" s="181">
        <f t="shared" si="90"/>
        <v>100</v>
      </c>
      <c r="AM310" s="243"/>
    </row>
    <row r="311" spans="1:39" ht="28.5" customHeight="1" x14ac:dyDescent="0.25">
      <c r="A311" s="243"/>
      <c r="B311" s="244"/>
      <c r="C311" s="244"/>
      <c r="D311" s="244"/>
      <c r="E311" s="244"/>
      <c r="F311" s="244"/>
      <c r="G311" s="244"/>
      <c r="H311" s="244"/>
      <c r="I311" s="298"/>
      <c r="J311" s="244" t="s">
        <v>407</v>
      </c>
      <c r="K311" s="245"/>
      <c r="L311" s="257"/>
      <c r="M311" s="591" t="s">
        <v>414</v>
      </c>
      <c r="N311" s="592"/>
      <c r="O311" s="179"/>
      <c r="P311" s="180"/>
      <c r="Q311" s="180">
        <v>400000</v>
      </c>
      <c r="R311" s="181">
        <f t="shared" si="95"/>
        <v>0.12048705203968313</v>
      </c>
      <c r="S311" s="181">
        <v>100</v>
      </c>
      <c r="T311" s="180">
        <f t="shared" si="88"/>
        <v>0</v>
      </c>
      <c r="U311" s="180">
        <f t="shared" si="94"/>
        <v>0</v>
      </c>
      <c r="V311" s="182">
        <f t="shared" si="92"/>
        <v>100</v>
      </c>
      <c r="W311" s="180"/>
      <c r="X311" s="180"/>
      <c r="Y311" s="180"/>
      <c r="Z311" s="180"/>
      <c r="AA311" s="180"/>
      <c r="AB311" s="180"/>
      <c r="AC311" s="180"/>
      <c r="AD311" s="180"/>
      <c r="AE311" s="180"/>
      <c r="AF311" s="180"/>
      <c r="AG311" s="180"/>
      <c r="AH311" s="180"/>
      <c r="AI311" s="180">
        <v>0</v>
      </c>
      <c r="AJ311" s="181">
        <f t="shared" si="89"/>
        <v>0</v>
      </c>
      <c r="AK311" s="246">
        <f t="shared" si="96"/>
        <v>400000</v>
      </c>
      <c r="AL311" s="181">
        <f t="shared" si="90"/>
        <v>100</v>
      </c>
      <c r="AM311" s="243"/>
    </row>
    <row r="312" spans="1:39" s="297" customFormat="1" ht="28.5" customHeight="1" x14ac:dyDescent="0.25">
      <c r="A312" s="227">
        <f>A304+1</f>
        <v>37</v>
      </c>
      <c r="B312" s="615" t="s">
        <v>150</v>
      </c>
      <c r="C312" s="615"/>
      <c r="D312" s="615"/>
      <c r="E312" s="615"/>
      <c r="F312" s="615"/>
      <c r="G312" s="615"/>
      <c r="H312" s="615"/>
      <c r="I312" s="614"/>
      <c r="J312" s="304" t="s">
        <v>486</v>
      </c>
      <c r="K312" s="230"/>
      <c r="L312" s="294"/>
      <c r="M312" s="610" t="s">
        <v>45</v>
      </c>
      <c r="N312" s="610"/>
      <c r="O312" s="309">
        <v>803450000</v>
      </c>
      <c r="P312" s="231">
        <f>O312</f>
        <v>803450000</v>
      </c>
      <c r="Q312" s="231">
        <f>SUM(Q313:Q319)</f>
        <v>77953471</v>
      </c>
      <c r="R312" s="233">
        <f>Q312/Q$243*100</f>
        <v>0.70166619944484365</v>
      </c>
      <c r="S312" s="233">
        <v>100</v>
      </c>
      <c r="T312" s="231">
        <f t="shared" si="88"/>
        <v>0</v>
      </c>
      <c r="U312" s="231">
        <f t="shared" si="94"/>
        <v>0</v>
      </c>
      <c r="V312" s="296">
        <f t="shared" si="92"/>
        <v>100</v>
      </c>
      <c r="W312" s="231"/>
      <c r="X312" s="231" t="e">
        <f>#REF!</f>
        <v>#REF!</v>
      </c>
      <c r="Y312" s="231" t="e">
        <f>#REF!</f>
        <v>#REF!</v>
      </c>
      <c r="Z312" s="231" t="e">
        <f>#REF!</f>
        <v>#REF!</v>
      </c>
      <c r="AA312" s="231" t="e">
        <f>#REF!</f>
        <v>#REF!</v>
      </c>
      <c r="AB312" s="231">
        <v>323021990</v>
      </c>
      <c r="AC312" s="231" t="e">
        <f>#REF!</f>
        <v>#REF!</v>
      </c>
      <c r="AD312" s="231" t="e">
        <f>#REF!</f>
        <v>#REF!</v>
      </c>
      <c r="AE312" s="231" t="e">
        <f>#REF!</f>
        <v>#REF!</v>
      </c>
      <c r="AF312" s="231" t="e">
        <f>[1]April!N61</f>
        <v>#REF!</v>
      </c>
      <c r="AG312" s="231" t="e">
        <f>[2]april!N61</f>
        <v>#REF!</v>
      </c>
      <c r="AH312" s="231">
        <f>'[3]DES SKPD'!$N61</f>
        <v>541082490</v>
      </c>
      <c r="AI312" s="231">
        <f>SUM(AI313:AI319)</f>
        <v>0</v>
      </c>
      <c r="AJ312" s="233">
        <f t="shared" si="89"/>
        <v>0</v>
      </c>
      <c r="AK312" s="234">
        <f t="shared" si="96"/>
        <v>77953471</v>
      </c>
      <c r="AL312" s="233">
        <f t="shared" si="90"/>
        <v>100</v>
      </c>
      <c r="AM312" s="227"/>
    </row>
    <row r="313" spans="1:39" ht="28.5" customHeight="1" x14ac:dyDescent="0.25">
      <c r="A313" s="243"/>
      <c r="B313" s="244"/>
      <c r="C313" s="244"/>
      <c r="D313" s="244"/>
      <c r="E313" s="244"/>
      <c r="F313" s="244"/>
      <c r="G313" s="244"/>
      <c r="H313" s="244"/>
      <c r="I313" s="298"/>
      <c r="J313" s="244" t="s">
        <v>326</v>
      </c>
      <c r="K313" s="245"/>
      <c r="L313" s="257"/>
      <c r="M313" s="591" t="s">
        <v>327</v>
      </c>
      <c r="N313" s="592"/>
      <c r="O313" s="179"/>
      <c r="P313" s="180"/>
      <c r="Q313" s="180">
        <v>33500000</v>
      </c>
      <c r="R313" s="181">
        <f t="shared" ref="R313:R319" si="97">Q313/Q$312*100</f>
        <v>42.974353252339462</v>
      </c>
      <c r="S313" s="181">
        <v>100</v>
      </c>
      <c r="T313" s="180">
        <f t="shared" si="88"/>
        <v>0</v>
      </c>
      <c r="U313" s="180">
        <f t="shared" si="94"/>
        <v>0</v>
      </c>
      <c r="V313" s="182">
        <f t="shared" si="92"/>
        <v>100</v>
      </c>
      <c r="W313" s="180"/>
      <c r="X313" s="180"/>
      <c r="Y313" s="180"/>
      <c r="Z313" s="180"/>
      <c r="AA313" s="180"/>
      <c r="AB313" s="180"/>
      <c r="AC313" s="180"/>
      <c r="AD313" s="180"/>
      <c r="AE313" s="180"/>
      <c r="AF313" s="180"/>
      <c r="AG313" s="180"/>
      <c r="AH313" s="180"/>
      <c r="AI313" s="180">
        <v>0</v>
      </c>
      <c r="AJ313" s="181">
        <f t="shared" si="89"/>
        <v>0</v>
      </c>
      <c r="AK313" s="246">
        <f t="shared" si="96"/>
        <v>33500000</v>
      </c>
      <c r="AL313" s="181">
        <f t="shared" si="90"/>
        <v>100</v>
      </c>
      <c r="AM313" s="243"/>
    </row>
    <row r="314" spans="1:39" ht="28.5" customHeight="1" x14ac:dyDescent="0.25">
      <c r="A314" s="243"/>
      <c r="B314" s="244"/>
      <c r="C314" s="244"/>
      <c r="D314" s="244"/>
      <c r="E314" s="244"/>
      <c r="F314" s="244"/>
      <c r="G314" s="244"/>
      <c r="H314" s="244"/>
      <c r="I314" s="298"/>
      <c r="J314" s="244" t="s">
        <v>323</v>
      </c>
      <c r="K314" s="245"/>
      <c r="L314" s="257"/>
      <c r="M314" s="591" t="s">
        <v>324</v>
      </c>
      <c r="N314" s="592"/>
      <c r="O314" s="179"/>
      <c r="P314" s="180"/>
      <c r="Q314" s="180">
        <v>9642000</v>
      </c>
      <c r="R314" s="181">
        <f t="shared" si="97"/>
        <v>12.368916837583795</v>
      </c>
      <c r="S314" s="181">
        <v>100</v>
      </c>
      <c r="T314" s="180">
        <f t="shared" si="88"/>
        <v>0</v>
      </c>
      <c r="U314" s="180">
        <f t="shared" si="94"/>
        <v>0</v>
      </c>
      <c r="V314" s="182">
        <f t="shared" si="92"/>
        <v>100</v>
      </c>
      <c r="W314" s="180"/>
      <c r="X314" s="180"/>
      <c r="Y314" s="180"/>
      <c r="Z314" s="180"/>
      <c r="AA314" s="180"/>
      <c r="AB314" s="180"/>
      <c r="AC314" s="180"/>
      <c r="AD314" s="180"/>
      <c r="AE314" s="180"/>
      <c r="AF314" s="180"/>
      <c r="AG314" s="180"/>
      <c r="AH314" s="180"/>
      <c r="AI314" s="180">
        <v>0</v>
      </c>
      <c r="AJ314" s="181">
        <f t="shared" si="89"/>
        <v>0</v>
      </c>
      <c r="AK314" s="246">
        <f t="shared" si="96"/>
        <v>9642000</v>
      </c>
      <c r="AL314" s="181">
        <f t="shared" si="90"/>
        <v>100</v>
      </c>
      <c r="AM314" s="243"/>
    </row>
    <row r="315" spans="1:39" ht="28.5" customHeight="1" x14ac:dyDescent="0.25">
      <c r="A315" s="243"/>
      <c r="B315" s="244"/>
      <c r="C315" s="244"/>
      <c r="D315" s="244"/>
      <c r="E315" s="244"/>
      <c r="F315" s="244"/>
      <c r="G315" s="244"/>
      <c r="H315" s="244"/>
      <c r="I315" s="298"/>
      <c r="J315" s="244" t="s">
        <v>269</v>
      </c>
      <c r="K315" s="245"/>
      <c r="L315" s="257"/>
      <c r="M315" s="591" t="s">
        <v>270</v>
      </c>
      <c r="N315" s="592"/>
      <c r="O315" s="179"/>
      <c r="P315" s="180"/>
      <c r="Q315" s="180">
        <v>1250000</v>
      </c>
      <c r="R315" s="181">
        <f t="shared" si="97"/>
        <v>1.6035206437440097</v>
      </c>
      <c r="S315" s="181">
        <v>100</v>
      </c>
      <c r="T315" s="180">
        <f t="shared" si="88"/>
        <v>0</v>
      </c>
      <c r="U315" s="180">
        <f t="shared" si="94"/>
        <v>0</v>
      </c>
      <c r="V315" s="182">
        <f t="shared" si="92"/>
        <v>100</v>
      </c>
      <c r="W315" s="180"/>
      <c r="X315" s="180"/>
      <c r="Y315" s="180"/>
      <c r="Z315" s="180"/>
      <c r="AA315" s="180"/>
      <c r="AB315" s="180"/>
      <c r="AC315" s="180"/>
      <c r="AD315" s="180"/>
      <c r="AE315" s="180"/>
      <c r="AF315" s="180"/>
      <c r="AG315" s="180"/>
      <c r="AH315" s="180"/>
      <c r="AI315" s="180">
        <v>0</v>
      </c>
      <c r="AJ315" s="181">
        <f t="shared" si="89"/>
        <v>0</v>
      </c>
      <c r="AK315" s="246">
        <f t="shared" si="96"/>
        <v>1250000</v>
      </c>
      <c r="AL315" s="181">
        <f t="shared" si="90"/>
        <v>100</v>
      </c>
      <c r="AM315" s="243"/>
    </row>
    <row r="316" spans="1:39" ht="28.5" customHeight="1" x14ac:dyDescent="0.25">
      <c r="A316" s="243"/>
      <c r="B316" s="244"/>
      <c r="C316" s="244"/>
      <c r="D316" s="244"/>
      <c r="E316" s="244"/>
      <c r="F316" s="244"/>
      <c r="G316" s="244"/>
      <c r="H316" s="244"/>
      <c r="I316" s="298"/>
      <c r="J316" s="244" t="s">
        <v>315</v>
      </c>
      <c r="K316" s="245"/>
      <c r="L316" s="257"/>
      <c r="M316" s="591" t="s">
        <v>271</v>
      </c>
      <c r="N316" s="592"/>
      <c r="O316" s="179"/>
      <c r="P316" s="180"/>
      <c r="Q316" s="180">
        <v>17421471</v>
      </c>
      <c r="R316" s="181">
        <f t="shared" si="97"/>
        <v>22.348550714310079</v>
      </c>
      <c r="S316" s="181">
        <v>100</v>
      </c>
      <c r="T316" s="180">
        <f t="shared" si="88"/>
        <v>0</v>
      </c>
      <c r="U316" s="180">
        <f t="shared" si="94"/>
        <v>0</v>
      </c>
      <c r="V316" s="182">
        <f t="shared" si="92"/>
        <v>100</v>
      </c>
      <c r="W316" s="180"/>
      <c r="X316" s="180"/>
      <c r="Y316" s="180"/>
      <c r="Z316" s="180"/>
      <c r="AA316" s="180"/>
      <c r="AB316" s="180"/>
      <c r="AC316" s="180"/>
      <c r="AD316" s="180"/>
      <c r="AE316" s="180"/>
      <c r="AF316" s="180"/>
      <c r="AG316" s="180"/>
      <c r="AH316" s="180"/>
      <c r="AI316" s="180">
        <v>0</v>
      </c>
      <c r="AJ316" s="181">
        <f t="shared" si="89"/>
        <v>0</v>
      </c>
      <c r="AK316" s="246">
        <f t="shared" si="96"/>
        <v>17421471</v>
      </c>
      <c r="AL316" s="181">
        <f t="shared" si="90"/>
        <v>100</v>
      </c>
      <c r="AM316" s="243"/>
    </row>
    <row r="317" spans="1:39" ht="28.5" customHeight="1" x14ac:dyDescent="0.25">
      <c r="A317" s="243"/>
      <c r="B317" s="244"/>
      <c r="C317" s="244"/>
      <c r="D317" s="244"/>
      <c r="E317" s="244"/>
      <c r="F317" s="244"/>
      <c r="G317" s="244"/>
      <c r="H317" s="244"/>
      <c r="I317" s="298"/>
      <c r="J317" s="244" t="s">
        <v>318</v>
      </c>
      <c r="K317" s="245"/>
      <c r="L317" s="257"/>
      <c r="M317" s="591" t="s">
        <v>281</v>
      </c>
      <c r="N317" s="592"/>
      <c r="O317" s="179"/>
      <c r="P317" s="180"/>
      <c r="Q317" s="180">
        <v>2250000</v>
      </c>
      <c r="R317" s="181">
        <f t="shared" si="97"/>
        <v>2.8863371587392175</v>
      </c>
      <c r="S317" s="181">
        <v>100</v>
      </c>
      <c r="T317" s="180">
        <f t="shared" si="88"/>
        <v>0</v>
      </c>
      <c r="U317" s="180">
        <f t="shared" si="94"/>
        <v>0</v>
      </c>
      <c r="V317" s="182">
        <f t="shared" si="92"/>
        <v>100</v>
      </c>
      <c r="W317" s="180"/>
      <c r="X317" s="180"/>
      <c r="Y317" s="180"/>
      <c r="Z317" s="180"/>
      <c r="AA317" s="180"/>
      <c r="AB317" s="180"/>
      <c r="AC317" s="180"/>
      <c r="AD317" s="180"/>
      <c r="AE317" s="180"/>
      <c r="AF317" s="180"/>
      <c r="AG317" s="180"/>
      <c r="AH317" s="180"/>
      <c r="AI317" s="180">
        <v>0</v>
      </c>
      <c r="AJ317" s="181">
        <f t="shared" si="89"/>
        <v>0</v>
      </c>
      <c r="AK317" s="246">
        <f t="shared" si="96"/>
        <v>2250000</v>
      </c>
      <c r="AL317" s="181">
        <f t="shared" si="90"/>
        <v>100</v>
      </c>
      <c r="AM317" s="243"/>
    </row>
    <row r="318" spans="1:39" ht="28.5" customHeight="1" x14ac:dyDescent="0.25">
      <c r="A318" s="243"/>
      <c r="B318" s="244"/>
      <c r="C318" s="244"/>
      <c r="D318" s="244"/>
      <c r="E318" s="244"/>
      <c r="F318" s="244"/>
      <c r="G318" s="244"/>
      <c r="H318" s="244"/>
      <c r="I318" s="298"/>
      <c r="J318" s="244" t="s">
        <v>284</v>
      </c>
      <c r="K318" s="245"/>
      <c r="L318" s="257"/>
      <c r="M318" s="591" t="s">
        <v>285</v>
      </c>
      <c r="N318" s="592"/>
      <c r="O318" s="179"/>
      <c r="P318" s="180"/>
      <c r="Q318" s="180">
        <v>2640000</v>
      </c>
      <c r="R318" s="181">
        <f t="shared" si="97"/>
        <v>3.3866355995873487</v>
      </c>
      <c r="S318" s="181">
        <v>100</v>
      </c>
      <c r="T318" s="180">
        <f t="shared" si="88"/>
        <v>0</v>
      </c>
      <c r="U318" s="180">
        <f t="shared" si="94"/>
        <v>0</v>
      </c>
      <c r="V318" s="182">
        <f t="shared" si="92"/>
        <v>100</v>
      </c>
      <c r="W318" s="180"/>
      <c r="X318" s="180"/>
      <c r="Y318" s="180"/>
      <c r="Z318" s="180"/>
      <c r="AA318" s="180"/>
      <c r="AB318" s="180"/>
      <c r="AC318" s="180"/>
      <c r="AD318" s="180"/>
      <c r="AE318" s="180"/>
      <c r="AF318" s="180"/>
      <c r="AG318" s="180"/>
      <c r="AH318" s="180"/>
      <c r="AI318" s="180">
        <v>0</v>
      </c>
      <c r="AJ318" s="181">
        <f t="shared" si="89"/>
        <v>0</v>
      </c>
      <c r="AK318" s="246">
        <f t="shared" si="96"/>
        <v>2640000</v>
      </c>
      <c r="AL318" s="181">
        <f t="shared" si="90"/>
        <v>100</v>
      </c>
      <c r="AM318" s="243"/>
    </row>
    <row r="319" spans="1:39" ht="28.5" customHeight="1" x14ac:dyDescent="0.25">
      <c r="A319" s="243"/>
      <c r="B319" s="244"/>
      <c r="C319" s="244"/>
      <c r="D319" s="244"/>
      <c r="E319" s="244"/>
      <c r="F319" s="244"/>
      <c r="G319" s="244"/>
      <c r="H319" s="244"/>
      <c r="I319" s="298"/>
      <c r="J319" s="244" t="s">
        <v>282</v>
      </c>
      <c r="K319" s="245"/>
      <c r="L319" s="257"/>
      <c r="M319" s="591" t="s">
        <v>283</v>
      </c>
      <c r="N319" s="592"/>
      <c r="O319" s="179"/>
      <c r="P319" s="180"/>
      <c r="Q319" s="180">
        <v>11250000</v>
      </c>
      <c r="R319" s="181">
        <f t="shared" si="97"/>
        <v>14.431685793696088</v>
      </c>
      <c r="S319" s="181">
        <v>100</v>
      </c>
      <c r="T319" s="180">
        <f t="shared" si="88"/>
        <v>0</v>
      </c>
      <c r="U319" s="180">
        <f t="shared" si="94"/>
        <v>0</v>
      </c>
      <c r="V319" s="182">
        <f t="shared" si="92"/>
        <v>100</v>
      </c>
      <c r="W319" s="180"/>
      <c r="X319" s="180"/>
      <c r="Y319" s="180"/>
      <c r="Z319" s="180"/>
      <c r="AA319" s="180"/>
      <c r="AB319" s="180"/>
      <c r="AC319" s="180"/>
      <c r="AD319" s="180"/>
      <c r="AE319" s="180"/>
      <c r="AF319" s="180"/>
      <c r="AG319" s="180"/>
      <c r="AH319" s="180"/>
      <c r="AI319" s="180">
        <v>0</v>
      </c>
      <c r="AJ319" s="181">
        <f t="shared" si="89"/>
        <v>0</v>
      </c>
      <c r="AK319" s="246">
        <f t="shared" si="96"/>
        <v>11250000</v>
      </c>
      <c r="AL319" s="181">
        <f t="shared" si="90"/>
        <v>100</v>
      </c>
      <c r="AM319" s="243"/>
    </row>
    <row r="320" spans="1:39" s="297" customFormat="1" ht="47.25" customHeight="1" x14ac:dyDescent="0.25">
      <c r="A320" s="227">
        <f>A312+1</f>
        <v>38</v>
      </c>
      <c r="B320" s="615" t="s">
        <v>151</v>
      </c>
      <c r="C320" s="615"/>
      <c r="D320" s="615"/>
      <c r="E320" s="615"/>
      <c r="F320" s="615"/>
      <c r="G320" s="615"/>
      <c r="H320" s="615"/>
      <c r="I320" s="614"/>
      <c r="J320" s="304" t="s">
        <v>487</v>
      </c>
      <c r="K320" s="230"/>
      <c r="L320" s="294"/>
      <c r="M320" s="610" t="s">
        <v>46</v>
      </c>
      <c r="N320" s="610"/>
      <c r="O320" s="309">
        <v>66400000</v>
      </c>
      <c r="P320" s="231">
        <f>O320</f>
        <v>66400000</v>
      </c>
      <c r="Q320" s="231">
        <f>SUM(Q321:Q326)</f>
        <v>38384665</v>
      </c>
      <c r="R320" s="233">
        <f>Q320/Q$243*100</f>
        <v>0.34550381993270712</v>
      </c>
      <c r="S320" s="233">
        <v>100</v>
      </c>
      <c r="T320" s="231">
        <f t="shared" si="88"/>
        <v>0</v>
      </c>
      <c r="U320" s="231">
        <f t="shared" si="94"/>
        <v>0</v>
      </c>
      <c r="V320" s="296">
        <f t="shared" si="92"/>
        <v>100</v>
      </c>
      <c r="W320" s="231"/>
      <c r="X320" s="231" t="e">
        <f>#REF!</f>
        <v>#REF!</v>
      </c>
      <c r="Y320" s="231" t="e">
        <f>#REF!</f>
        <v>#REF!</v>
      </c>
      <c r="Z320" s="231" t="e">
        <f>#REF!</f>
        <v>#REF!</v>
      </c>
      <c r="AA320" s="231" t="e">
        <f>#REF!</f>
        <v>#REF!</v>
      </c>
      <c r="AB320" s="231">
        <v>323021990</v>
      </c>
      <c r="AC320" s="231" t="e">
        <f>#REF!</f>
        <v>#REF!</v>
      </c>
      <c r="AD320" s="231" t="e">
        <f>#REF!</f>
        <v>#REF!</v>
      </c>
      <c r="AE320" s="231" t="e">
        <f>#REF!</f>
        <v>#REF!</v>
      </c>
      <c r="AF320" s="231" t="e">
        <f>[1]April!N62</f>
        <v>#REF!</v>
      </c>
      <c r="AG320" s="231" t="e">
        <f>[2]april!N62</f>
        <v>#REF!</v>
      </c>
      <c r="AH320" s="231">
        <f>'[3]DES SKPD'!$N62</f>
        <v>58437000</v>
      </c>
      <c r="AI320" s="231">
        <f>SUM(AI321:AI326)</f>
        <v>0</v>
      </c>
      <c r="AJ320" s="233">
        <f t="shared" si="89"/>
        <v>0</v>
      </c>
      <c r="AK320" s="234">
        <f t="shared" si="96"/>
        <v>38384665</v>
      </c>
      <c r="AL320" s="233">
        <f t="shared" si="90"/>
        <v>100</v>
      </c>
      <c r="AM320" s="227"/>
    </row>
    <row r="321" spans="1:39" ht="28.5" customHeight="1" x14ac:dyDescent="0.25">
      <c r="A321" s="243"/>
      <c r="B321" s="244"/>
      <c r="C321" s="244"/>
      <c r="D321" s="244"/>
      <c r="E321" s="244"/>
      <c r="F321" s="244"/>
      <c r="G321" s="244"/>
      <c r="H321" s="244"/>
      <c r="I321" s="298"/>
      <c r="J321" s="244" t="s">
        <v>326</v>
      </c>
      <c r="K321" s="245"/>
      <c r="L321" s="257"/>
      <c r="M321" s="591" t="s">
        <v>327</v>
      </c>
      <c r="N321" s="592"/>
      <c r="O321" s="179"/>
      <c r="P321" s="180"/>
      <c r="Q321" s="180">
        <v>16750000</v>
      </c>
      <c r="R321" s="181">
        <f t="shared" ref="R321:R326" si="98">Q321/Q$320*100</f>
        <v>43.637218144277142</v>
      </c>
      <c r="S321" s="181">
        <v>100</v>
      </c>
      <c r="T321" s="180">
        <f t="shared" si="88"/>
        <v>0</v>
      </c>
      <c r="U321" s="180">
        <f t="shared" si="94"/>
        <v>0</v>
      </c>
      <c r="V321" s="182">
        <f t="shared" si="92"/>
        <v>100</v>
      </c>
      <c r="W321" s="180"/>
      <c r="X321" s="180"/>
      <c r="Y321" s="180"/>
      <c r="Z321" s="180"/>
      <c r="AA321" s="180"/>
      <c r="AB321" s="180"/>
      <c r="AC321" s="180"/>
      <c r="AD321" s="180"/>
      <c r="AE321" s="180"/>
      <c r="AF321" s="180"/>
      <c r="AG321" s="180"/>
      <c r="AH321" s="180"/>
      <c r="AI321" s="180">
        <v>0</v>
      </c>
      <c r="AJ321" s="181">
        <f t="shared" si="89"/>
        <v>0</v>
      </c>
      <c r="AK321" s="246">
        <f t="shared" si="96"/>
        <v>16750000</v>
      </c>
      <c r="AL321" s="181">
        <f t="shared" si="90"/>
        <v>100</v>
      </c>
      <c r="AM321" s="243"/>
    </row>
    <row r="322" spans="1:39" ht="28.5" customHeight="1" x14ac:dyDescent="0.25">
      <c r="A322" s="243"/>
      <c r="B322" s="244"/>
      <c r="C322" s="244"/>
      <c r="D322" s="244"/>
      <c r="E322" s="244"/>
      <c r="F322" s="244"/>
      <c r="G322" s="244"/>
      <c r="H322" s="244"/>
      <c r="I322" s="298"/>
      <c r="J322" s="244" t="s">
        <v>323</v>
      </c>
      <c r="K322" s="245"/>
      <c r="L322" s="257"/>
      <c r="M322" s="591" t="s">
        <v>324</v>
      </c>
      <c r="N322" s="592"/>
      <c r="O322" s="179"/>
      <c r="P322" s="180"/>
      <c r="Q322" s="180">
        <v>5934000</v>
      </c>
      <c r="R322" s="181">
        <f t="shared" si="98"/>
        <v>15.459298654814363</v>
      </c>
      <c r="S322" s="181">
        <v>100</v>
      </c>
      <c r="T322" s="180">
        <f t="shared" si="88"/>
        <v>0</v>
      </c>
      <c r="U322" s="180">
        <f t="shared" si="94"/>
        <v>0</v>
      </c>
      <c r="V322" s="182">
        <f t="shared" si="92"/>
        <v>100</v>
      </c>
      <c r="W322" s="180"/>
      <c r="X322" s="180"/>
      <c r="Y322" s="180"/>
      <c r="Z322" s="180"/>
      <c r="AA322" s="180"/>
      <c r="AB322" s="180"/>
      <c r="AC322" s="180"/>
      <c r="AD322" s="180"/>
      <c r="AE322" s="180"/>
      <c r="AF322" s="180"/>
      <c r="AG322" s="180"/>
      <c r="AH322" s="180"/>
      <c r="AI322" s="180">
        <v>0</v>
      </c>
      <c r="AJ322" s="181">
        <f t="shared" si="89"/>
        <v>0</v>
      </c>
      <c r="AK322" s="246">
        <f t="shared" si="96"/>
        <v>5934000</v>
      </c>
      <c r="AL322" s="181">
        <f t="shared" si="90"/>
        <v>100</v>
      </c>
      <c r="AM322" s="243"/>
    </row>
    <row r="323" spans="1:39" ht="28.5" customHeight="1" x14ac:dyDescent="0.25">
      <c r="A323" s="243"/>
      <c r="B323" s="244"/>
      <c r="C323" s="244"/>
      <c r="D323" s="244"/>
      <c r="E323" s="244"/>
      <c r="F323" s="244"/>
      <c r="G323" s="244"/>
      <c r="H323" s="244"/>
      <c r="I323" s="298"/>
      <c r="J323" s="244" t="s">
        <v>269</v>
      </c>
      <c r="K323" s="245"/>
      <c r="L323" s="257"/>
      <c r="M323" s="591" t="s">
        <v>270</v>
      </c>
      <c r="N323" s="592"/>
      <c r="O323" s="179"/>
      <c r="P323" s="180"/>
      <c r="Q323" s="180">
        <v>4000000</v>
      </c>
      <c r="R323" s="181">
        <f t="shared" si="98"/>
        <v>10.420828213558723</v>
      </c>
      <c r="S323" s="181">
        <v>100</v>
      </c>
      <c r="T323" s="180">
        <f t="shared" si="88"/>
        <v>0</v>
      </c>
      <c r="U323" s="180">
        <f t="shared" si="94"/>
        <v>0</v>
      </c>
      <c r="V323" s="182">
        <f t="shared" si="92"/>
        <v>100</v>
      </c>
      <c r="W323" s="180"/>
      <c r="X323" s="180"/>
      <c r="Y323" s="180"/>
      <c r="Z323" s="180"/>
      <c r="AA323" s="180"/>
      <c r="AB323" s="180"/>
      <c r="AC323" s="180"/>
      <c r="AD323" s="180"/>
      <c r="AE323" s="180"/>
      <c r="AF323" s="180"/>
      <c r="AG323" s="180"/>
      <c r="AH323" s="180"/>
      <c r="AI323" s="180">
        <v>0</v>
      </c>
      <c r="AJ323" s="181">
        <f t="shared" si="89"/>
        <v>0</v>
      </c>
      <c r="AK323" s="246">
        <f t="shared" si="96"/>
        <v>4000000</v>
      </c>
      <c r="AL323" s="181">
        <f t="shared" si="90"/>
        <v>100</v>
      </c>
      <c r="AM323" s="243"/>
    </row>
    <row r="324" spans="1:39" ht="28.5" customHeight="1" x14ac:dyDescent="0.25">
      <c r="A324" s="243"/>
      <c r="B324" s="244"/>
      <c r="C324" s="244"/>
      <c r="D324" s="244"/>
      <c r="E324" s="244"/>
      <c r="F324" s="244"/>
      <c r="G324" s="244"/>
      <c r="H324" s="244"/>
      <c r="I324" s="298"/>
      <c r="J324" s="244" t="s">
        <v>315</v>
      </c>
      <c r="K324" s="245"/>
      <c r="L324" s="257"/>
      <c r="M324" s="591" t="s">
        <v>271</v>
      </c>
      <c r="N324" s="592"/>
      <c r="O324" s="179"/>
      <c r="P324" s="180"/>
      <c r="Q324" s="180">
        <v>6000000</v>
      </c>
      <c r="R324" s="181">
        <f t="shared" si="98"/>
        <v>15.631242320338082</v>
      </c>
      <c r="S324" s="181">
        <v>100</v>
      </c>
      <c r="T324" s="180">
        <f t="shared" si="88"/>
        <v>0</v>
      </c>
      <c r="U324" s="180">
        <f t="shared" si="94"/>
        <v>0</v>
      </c>
      <c r="V324" s="182">
        <f t="shared" si="92"/>
        <v>100</v>
      </c>
      <c r="W324" s="180"/>
      <c r="X324" s="180"/>
      <c r="Y324" s="180"/>
      <c r="Z324" s="180"/>
      <c r="AA324" s="180"/>
      <c r="AB324" s="180"/>
      <c r="AC324" s="180"/>
      <c r="AD324" s="180"/>
      <c r="AE324" s="180"/>
      <c r="AF324" s="180"/>
      <c r="AG324" s="180"/>
      <c r="AH324" s="180"/>
      <c r="AI324" s="180">
        <v>0</v>
      </c>
      <c r="AJ324" s="181">
        <f t="shared" si="89"/>
        <v>0</v>
      </c>
      <c r="AK324" s="246">
        <f t="shared" si="96"/>
        <v>6000000</v>
      </c>
      <c r="AL324" s="181">
        <f t="shared" si="90"/>
        <v>100</v>
      </c>
      <c r="AM324" s="243"/>
    </row>
    <row r="325" spans="1:39" ht="28.5" customHeight="1" x14ac:dyDescent="0.25">
      <c r="A325" s="243"/>
      <c r="B325" s="244"/>
      <c r="C325" s="244"/>
      <c r="D325" s="244"/>
      <c r="E325" s="244"/>
      <c r="F325" s="244"/>
      <c r="G325" s="244"/>
      <c r="H325" s="244"/>
      <c r="I325" s="298"/>
      <c r="J325" s="244" t="s">
        <v>339</v>
      </c>
      <c r="K325" s="245"/>
      <c r="L325" s="257"/>
      <c r="M325" s="591" t="s">
        <v>340</v>
      </c>
      <c r="N325" s="592"/>
      <c r="O325" s="179"/>
      <c r="P325" s="180"/>
      <c r="Q325" s="180">
        <v>1500000</v>
      </c>
      <c r="R325" s="181">
        <f t="shared" si="98"/>
        <v>3.9078105800845204</v>
      </c>
      <c r="S325" s="181">
        <v>100</v>
      </c>
      <c r="T325" s="180">
        <f t="shared" si="88"/>
        <v>0</v>
      </c>
      <c r="U325" s="180">
        <f t="shared" si="94"/>
        <v>0</v>
      </c>
      <c r="V325" s="182">
        <f t="shared" si="92"/>
        <v>100</v>
      </c>
      <c r="W325" s="180"/>
      <c r="X325" s="180"/>
      <c r="Y325" s="180"/>
      <c r="Z325" s="180"/>
      <c r="AA325" s="180"/>
      <c r="AB325" s="180"/>
      <c r="AC325" s="180"/>
      <c r="AD325" s="180"/>
      <c r="AE325" s="180"/>
      <c r="AF325" s="180"/>
      <c r="AG325" s="180"/>
      <c r="AH325" s="180"/>
      <c r="AI325" s="180">
        <v>0</v>
      </c>
      <c r="AJ325" s="181">
        <f t="shared" si="89"/>
        <v>0</v>
      </c>
      <c r="AK325" s="246">
        <f t="shared" si="96"/>
        <v>1500000</v>
      </c>
      <c r="AL325" s="181">
        <f t="shared" si="90"/>
        <v>100</v>
      </c>
      <c r="AM325" s="243"/>
    </row>
    <row r="326" spans="1:39" ht="28.5" customHeight="1" x14ac:dyDescent="0.25">
      <c r="A326" s="243"/>
      <c r="B326" s="244"/>
      <c r="C326" s="244"/>
      <c r="D326" s="244"/>
      <c r="E326" s="244"/>
      <c r="F326" s="244"/>
      <c r="G326" s="244"/>
      <c r="H326" s="244"/>
      <c r="I326" s="298"/>
      <c r="J326" s="244" t="s">
        <v>282</v>
      </c>
      <c r="K326" s="245"/>
      <c r="L326" s="257"/>
      <c r="M326" s="591" t="s">
        <v>590</v>
      </c>
      <c r="N326" s="592"/>
      <c r="O326" s="179"/>
      <c r="P326" s="180"/>
      <c r="Q326" s="180">
        <v>4200665</v>
      </c>
      <c r="R326" s="181">
        <f t="shared" si="98"/>
        <v>10.943602086927163</v>
      </c>
      <c r="S326" s="181">
        <v>100</v>
      </c>
      <c r="T326" s="180">
        <f t="shared" si="88"/>
        <v>0</v>
      </c>
      <c r="U326" s="180">
        <f t="shared" si="94"/>
        <v>0</v>
      </c>
      <c r="V326" s="182">
        <f t="shared" si="92"/>
        <v>100</v>
      </c>
      <c r="W326" s="180"/>
      <c r="X326" s="180"/>
      <c r="Y326" s="180"/>
      <c r="Z326" s="180"/>
      <c r="AA326" s="180"/>
      <c r="AB326" s="180"/>
      <c r="AC326" s="180"/>
      <c r="AD326" s="180"/>
      <c r="AE326" s="180"/>
      <c r="AF326" s="180"/>
      <c r="AG326" s="180"/>
      <c r="AH326" s="180"/>
      <c r="AI326" s="180">
        <v>0</v>
      </c>
      <c r="AJ326" s="181">
        <f t="shared" si="89"/>
        <v>0</v>
      </c>
      <c r="AK326" s="246">
        <f t="shared" si="96"/>
        <v>4200665</v>
      </c>
      <c r="AL326" s="181">
        <f t="shared" si="90"/>
        <v>100</v>
      </c>
      <c r="AM326" s="243"/>
    </row>
    <row r="327" spans="1:39" s="311" customFormat="1" ht="27.75" customHeight="1" x14ac:dyDescent="0.25">
      <c r="A327" s="227">
        <f>SUM(A320+1)</f>
        <v>39</v>
      </c>
      <c r="B327" s="228"/>
      <c r="C327" s="228"/>
      <c r="D327" s="228"/>
      <c r="E327" s="228"/>
      <c r="F327" s="228"/>
      <c r="G327" s="228"/>
      <c r="H327" s="228"/>
      <c r="I327" s="229"/>
      <c r="J327" s="304" t="s">
        <v>488</v>
      </c>
      <c r="K327" s="230"/>
      <c r="L327" s="294"/>
      <c r="M327" s="609" t="s">
        <v>198</v>
      </c>
      <c r="N327" s="614"/>
      <c r="O327" s="310"/>
      <c r="P327" s="231"/>
      <c r="Q327" s="231">
        <f>SUM(Q328:Q333)</f>
        <v>139532300</v>
      </c>
      <c r="R327" s="233">
        <f>Q327/Q$243*100</f>
        <v>1.2559427743865024</v>
      </c>
      <c r="S327" s="233">
        <v>100</v>
      </c>
      <c r="T327" s="231">
        <f t="shared" si="88"/>
        <v>0</v>
      </c>
      <c r="U327" s="231">
        <f t="shared" si="94"/>
        <v>0</v>
      </c>
      <c r="V327" s="296">
        <f t="shared" si="92"/>
        <v>100</v>
      </c>
      <c r="W327" s="231"/>
      <c r="X327" s="231" t="e">
        <f>#REF!</f>
        <v>#REF!</v>
      </c>
      <c r="Y327" s="231" t="e">
        <f>#REF!</f>
        <v>#REF!</v>
      </c>
      <c r="Z327" s="231" t="e">
        <f>#REF!</f>
        <v>#REF!</v>
      </c>
      <c r="AA327" s="231" t="e">
        <f>#REF!</f>
        <v>#REF!</v>
      </c>
      <c r="AB327" s="231">
        <v>323021990</v>
      </c>
      <c r="AC327" s="231" t="e">
        <f>#REF!</f>
        <v>#REF!</v>
      </c>
      <c r="AD327" s="231" t="e">
        <f>#REF!</f>
        <v>#REF!</v>
      </c>
      <c r="AE327" s="231" t="e">
        <f>#REF!</f>
        <v>#REF!</v>
      </c>
      <c r="AF327" s="231" t="e">
        <f>[1]April!N63</f>
        <v>#REF!</v>
      </c>
      <c r="AG327" s="231" t="e">
        <f>[2]april!N63</f>
        <v>#REF!</v>
      </c>
      <c r="AH327" s="231">
        <f>'[3]DES SKPD'!$N63</f>
        <v>174573000</v>
      </c>
      <c r="AI327" s="231">
        <f>SUM(AI328:AI333)</f>
        <v>0</v>
      </c>
      <c r="AJ327" s="233">
        <f t="shared" si="89"/>
        <v>0</v>
      </c>
      <c r="AK327" s="234">
        <f t="shared" si="96"/>
        <v>139532300</v>
      </c>
      <c r="AL327" s="233">
        <f t="shared" si="90"/>
        <v>100</v>
      </c>
      <c r="AM327" s="227"/>
    </row>
    <row r="328" spans="1:39" ht="27.75" customHeight="1" x14ac:dyDescent="0.25">
      <c r="A328" s="243"/>
      <c r="B328" s="244"/>
      <c r="C328" s="244"/>
      <c r="D328" s="244"/>
      <c r="E328" s="244"/>
      <c r="F328" s="244"/>
      <c r="G328" s="244"/>
      <c r="H328" s="244"/>
      <c r="I328" s="298"/>
      <c r="J328" s="244" t="s">
        <v>257</v>
      </c>
      <c r="K328" s="245"/>
      <c r="L328" s="257"/>
      <c r="M328" s="591" t="s">
        <v>428</v>
      </c>
      <c r="N328" s="592"/>
      <c r="O328" s="179"/>
      <c r="P328" s="180"/>
      <c r="Q328" s="180">
        <v>2000000</v>
      </c>
      <c r="R328" s="181">
        <f t="shared" ref="R328:R333" si="99">Q328/Q$327*100</f>
        <v>1.4333598743803406</v>
      </c>
      <c r="S328" s="181">
        <v>100</v>
      </c>
      <c r="T328" s="180">
        <f t="shared" si="88"/>
        <v>0</v>
      </c>
      <c r="U328" s="180">
        <f t="shared" si="94"/>
        <v>0</v>
      </c>
      <c r="V328" s="182">
        <f t="shared" si="92"/>
        <v>100</v>
      </c>
      <c r="W328" s="180"/>
      <c r="X328" s="180"/>
      <c r="Y328" s="180"/>
      <c r="Z328" s="180"/>
      <c r="AA328" s="180"/>
      <c r="AB328" s="180"/>
      <c r="AC328" s="180"/>
      <c r="AD328" s="180"/>
      <c r="AE328" s="180"/>
      <c r="AF328" s="180"/>
      <c r="AG328" s="180"/>
      <c r="AH328" s="180"/>
      <c r="AI328" s="180">
        <v>0</v>
      </c>
      <c r="AJ328" s="181">
        <f t="shared" si="89"/>
        <v>0</v>
      </c>
      <c r="AK328" s="246">
        <f t="shared" si="96"/>
        <v>2000000</v>
      </c>
      <c r="AL328" s="181">
        <f t="shared" si="90"/>
        <v>100</v>
      </c>
      <c r="AM328" s="243"/>
    </row>
    <row r="329" spans="1:39" ht="27.75" customHeight="1" x14ac:dyDescent="0.25">
      <c r="A329" s="243"/>
      <c r="B329" s="244"/>
      <c r="C329" s="244"/>
      <c r="D329" s="244"/>
      <c r="E329" s="244"/>
      <c r="F329" s="244"/>
      <c r="G329" s="244"/>
      <c r="H329" s="244"/>
      <c r="I329" s="298"/>
      <c r="J329" s="244" t="s">
        <v>259</v>
      </c>
      <c r="K329" s="245"/>
      <c r="L329" s="257"/>
      <c r="M329" s="591" t="s">
        <v>340</v>
      </c>
      <c r="N329" s="592"/>
      <c r="O329" s="179"/>
      <c r="P329" s="180"/>
      <c r="Q329" s="180">
        <v>7500000</v>
      </c>
      <c r="R329" s="181">
        <f t="shared" si="99"/>
        <v>5.3750995289262775</v>
      </c>
      <c r="S329" s="181">
        <v>100</v>
      </c>
      <c r="T329" s="180">
        <f t="shared" si="88"/>
        <v>0</v>
      </c>
      <c r="U329" s="180">
        <f t="shared" si="94"/>
        <v>0</v>
      </c>
      <c r="V329" s="182">
        <f t="shared" si="92"/>
        <v>100</v>
      </c>
      <c r="W329" s="180"/>
      <c r="X329" s="180"/>
      <c r="Y329" s="180"/>
      <c r="Z329" s="180"/>
      <c r="AA329" s="180"/>
      <c r="AB329" s="180"/>
      <c r="AC329" s="180"/>
      <c r="AD329" s="180"/>
      <c r="AE329" s="180"/>
      <c r="AF329" s="180"/>
      <c r="AG329" s="180"/>
      <c r="AH329" s="180"/>
      <c r="AI329" s="180">
        <v>0</v>
      </c>
      <c r="AJ329" s="181">
        <f t="shared" si="89"/>
        <v>0</v>
      </c>
      <c r="AK329" s="246">
        <f t="shared" si="96"/>
        <v>7500000</v>
      </c>
      <c r="AL329" s="181">
        <f t="shared" si="90"/>
        <v>100</v>
      </c>
      <c r="AM329" s="243"/>
    </row>
    <row r="330" spans="1:39" ht="27.75" customHeight="1" x14ac:dyDescent="0.25">
      <c r="A330" s="243"/>
      <c r="B330" s="244"/>
      <c r="C330" s="244"/>
      <c r="D330" s="244"/>
      <c r="E330" s="244"/>
      <c r="F330" s="244"/>
      <c r="G330" s="244"/>
      <c r="H330" s="244"/>
      <c r="I330" s="298"/>
      <c r="J330" s="244" t="s">
        <v>323</v>
      </c>
      <c r="K330" s="245"/>
      <c r="L330" s="257"/>
      <c r="M330" s="591" t="s">
        <v>605</v>
      </c>
      <c r="N330" s="592"/>
      <c r="O330" s="179"/>
      <c r="P330" s="180"/>
      <c r="Q330" s="180">
        <v>24232300</v>
      </c>
      <c r="R330" s="181">
        <f t="shared" si="99"/>
        <v>17.366803241973365</v>
      </c>
      <c r="S330" s="181">
        <v>100</v>
      </c>
      <c r="T330" s="180">
        <f t="shared" si="88"/>
        <v>0</v>
      </c>
      <c r="U330" s="180">
        <f t="shared" si="94"/>
        <v>0</v>
      </c>
      <c r="V330" s="182">
        <f t="shared" si="92"/>
        <v>100</v>
      </c>
      <c r="W330" s="180"/>
      <c r="X330" s="180"/>
      <c r="Y330" s="180"/>
      <c r="Z330" s="180"/>
      <c r="AA330" s="180"/>
      <c r="AB330" s="180"/>
      <c r="AC330" s="180"/>
      <c r="AD330" s="180"/>
      <c r="AE330" s="180"/>
      <c r="AF330" s="180"/>
      <c r="AG330" s="180"/>
      <c r="AH330" s="180"/>
      <c r="AI330" s="180">
        <v>0</v>
      </c>
      <c r="AJ330" s="181">
        <f t="shared" si="89"/>
        <v>0</v>
      </c>
      <c r="AK330" s="246">
        <f t="shared" si="96"/>
        <v>24232300</v>
      </c>
      <c r="AL330" s="181">
        <f t="shared" si="90"/>
        <v>100</v>
      </c>
      <c r="AM330" s="243"/>
    </row>
    <row r="331" spans="1:39" ht="27.75" customHeight="1" x14ac:dyDescent="0.25">
      <c r="A331" s="243"/>
      <c r="B331" s="244"/>
      <c r="C331" s="244"/>
      <c r="D331" s="244"/>
      <c r="E331" s="244"/>
      <c r="F331" s="244"/>
      <c r="G331" s="244"/>
      <c r="H331" s="244"/>
      <c r="I331" s="298"/>
      <c r="J331" s="244" t="s">
        <v>315</v>
      </c>
      <c r="K331" s="245"/>
      <c r="L331" s="257"/>
      <c r="M331" s="591" t="s">
        <v>321</v>
      </c>
      <c r="N331" s="592"/>
      <c r="O331" s="179"/>
      <c r="P331" s="180"/>
      <c r="Q331" s="180">
        <v>3800000</v>
      </c>
      <c r="R331" s="181">
        <f t="shared" si="99"/>
        <v>2.7233837613226468</v>
      </c>
      <c r="S331" s="181">
        <v>100</v>
      </c>
      <c r="T331" s="180">
        <f t="shared" si="88"/>
        <v>0</v>
      </c>
      <c r="U331" s="180">
        <f t="shared" si="94"/>
        <v>0</v>
      </c>
      <c r="V331" s="182">
        <f t="shared" si="92"/>
        <v>100</v>
      </c>
      <c r="W331" s="180"/>
      <c r="X331" s="180"/>
      <c r="Y331" s="180"/>
      <c r="Z331" s="180"/>
      <c r="AA331" s="180"/>
      <c r="AB331" s="180"/>
      <c r="AC331" s="180"/>
      <c r="AD331" s="180"/>
      <c r="AE331" s="180"/>
      <c r="AF331" s="180"/>
      <c r="AG331" s="180"/>
      <c r="AH331" s="180"/>
      <c r="AI331" s="180">
        <v>0</v>
      </c>
      <c r="AJ331" s="181">
        <f t="shared" si="89"/>
        <v>0</v>
      </c>
      <c r="AK331" s="246">
        <f t="shared" si="96"/>
        <v>3800000</v>
      </c>
      <c r="AL331" s="181">
        <f t="shared" si="90"/>
        <v>100</v>
      </c>
      <c r="AM331" s="243"/>
    </row>
    <row r="332" spans="1:39" ht="27.75" customHeight="1" x14ac:dyDescent="0.25">
      <c r="A332" s="243"/>
      <c r="B332" s="244"/>
      <c r="C332" s="244"/>
      <c r="D332" s="244"/>
      <c r="E332" s="244"/>
      <c r="F332" s="244"/>
      <c r="G332" s="244"/>
      <c r="H332" s="244"/>
      <c r="I332" s="298"/>
      <c r="J332" s="244" t="s">
        <v>282</v>
      </c>
      <c r="K332" s="245"/>
      <c r="L332" s="257"/>
      <c r="M332" s="591" t="s">
        <v>606</v>
      </c>
      <c r="N332" s="592"/>
      <c r="O332" s="179"/>
      <c r="P332" s="180"/>
      <c r="Q332" s="180">
        <v>100000000</v>
      </c>
      <c r="R332" s="181">
        <f t="shared" si="99"/>
        <v>71.667993719017034</v>
      </c>
      <c r="S332" s="181">
        <v>100</v>
      </c>
      <c r="T332" s="180">
        <f t="shared" si="88"/>
        <v>0</v>
      </c>
      <c r="U332" s="180">
        <f t="shared" si="94"/>
        <v>0</v>
      </c>
      <c r="V332" s="182">
        <f t="shared" si="92"/>
        <v>100</v>
      </c>
      <c r="W332" s="180"/>
      <c r="X332" s="180"/>
      <c r="Y332" s="180"/>
      <c r="Z332" s="180"/>
      <c r="AA332" s="180"/>
      <c r="AB332" s="180"/>
      <c r="AC332" s="180"/>
      <c r="AD332" s="180"/>
      <c r="AE332" s="180"/>
      <c r="AF332" s="180"/>
      <c r="AG332" s="180"/>
      <c r="AH332" s="180"/>
      <c r="AI332" s="180">
        <v>0</v>
      </c>
      <c r="AJ332" s="181">
        <f t="shared" si="89"/>
        <v>0</v>
      </c>
      <c r="AK332" s="246">
        <f t="shared" si="96"/>
        <v>100000000</v>
      </c>
      <c r="AL332" s="181">
        <f t="shared" si="90"/>
        <v>100</v>
      </c>
      <c r="AM332" s="243"/>
    </row>
    <row r="333" spans="1:39" ht="27.75" customHeight="1" x14ac:dyDescent="0.25">
      <c r="A333" s="243"/>
      <c r="B333" s="244"/>
      <c r="C333" s="244"/>
      <c r="D333" s="244"/>
      <c r="E333" s="244"/>
      <c r="F333" s="244"/>
      <c r="G333" s="244"/>
      <c r="H333" s="244"/>
      <c r="I333" s="298"/>
      <c r="J333" s="244" t="s">
        <v>308</v>
      </c>
      <c r="K333" s="245"/>
      <c r="L333" s="257"/>
      <c r="M333" s="591" t="s">
        <v>607</v>
      </c>
      <c r="N333" s="592"/>
      <c r="O333" s="179"/>
      <c r="P333" s="180"/>
      <c r="Q333" s="180">
        <v>2000000</v>
      </c>
      <c r="R333" s="181">
        <f t="shared" si="99"/>
        <v>1.4333598743803406</v>
      </c>
      <c r="S333" s="181">
        <v>100</v>
      </c>
      <c r="T333" s="180">
        <f t="shared" si="88"/>
        <v>0</v>
      </c>
      <c r="U333" s="180">
        <f t="shared" si="94"/>
        <v>0</v>
      </c>
      <c r="V333" s="182">
        <f t="shared" si="92"/>
        <v>100</v>
      </c>
      <c r="W333" s="180"/>
      <c r="X333" s="180"/>
      <c r="Y333" s="180"/>
      <c r="Z333" s="180"/>
      <c r="AA333" s="180"/>
      <c r="AB333" s="180"/>
      <c r="AC333" s="180"/>
      <c r="AD333" s="180"/>
      <c r="AE333" s="180"/>
      <c r="AF333" s="180"/>
      <c r="AG333" s="180"/>
      <c r="AH333" s="180"/>
      <c r="AI333" s="180">
        <v>0</v>
      </c>
      <c r="AJ333" s="181">
        <f t="shared" si="89"/>
        <v>0</v>
      </c>
      <c r="AK333" s="246">
        <f t="shared" si="96"/>
        <v>2000000</v>
      </c>
      <c r="AL333" s="181">
        <f t="shared" si="90"/>
        <v>100</v>
      </c>
      <c r="AM333" s="243"/>
    </row>
    <row r="334" spans="1:39" s="297" customFormat="1" ht="36" customHeight="1" x14ac:dyDescent="0.25">
      <c r="A334" s="227">
        <f>SUM(A327+1)</f>
        <v>40</v>
      </c>
      <c r="B334" s="615" t="s">
        <v>152</v>
      </c>
      <c r="C334" s="615"/>
      <c r="D334" s="615"/>
      <c r="E334" s="615"/>
      <c r="F334" s="615"/>
      <c r="G334" s="615"/>
      <c r="H334" s="615"/>
      <c r="I334" s="614"/>
      <c r="J334" s="304" t="s">
        <v>489</v>
      </c>
      <c r="K334" s="230"/>
      <c r="L334" s="294"/>
      <c r="M334" s="610" t="s">
        <v>47</v>
      </c>
      <c r="N334" s="610"/>
      <c r="O334" s="309">
        <v>136000000</v>
      </c>
      <c r="P334" s="231">
        <f>O334</f>
        <v>136000000</v>
      </c>
      <c r="Q334" s="231">
        <f>SUM(Q335:Q344)</f>
        <v>341340000</v>
      </c>
      <c r="R334" s="233">
        <f>Q334/Q$243*100</f>
        <v>3.0724320218980745</v>
      </c>
      <c r="S334" s="233">
        <v>100</v>
      </c>
      <c r="T334" s="231">
        <f t="shared" si="88"/>
        <v>0</v>
      </c>
      <c r="U334" s="231">
        <f t="shared" si="94"/>
        <v>0</v>
      </c>
      <c r="V334" s="296">
        <f t="shared" si="92"/>
        <v>100</v>
      </c>
      <c r="W334" s="231"/>
      <c r="X334" s="231" t="e">
        <f>#REF!</f>
        <v>#REF!</v>
      </c>
      <c r="Y334" s="231" t="e">
        <f>#REF!</f>
        <v>#REF!</v>
      </c>
      <c r="Z334" s="231" t="e">
        <f>#REF!</f>
        <v>#REF!</v>
      </c>
      <c r="AA334" s="231" t="e">
        <f>#REF!</f>
        <v>#REF!</v>
      </c>
      <c r="AB334" s="231">
        <v>88014000</v>
      </c>
      <c r="AC334" s="231" t="e">
        <f>#REF!</f>
        <v>#REF!</v>
      </c>
      <c r="AD334" s="231" t="e">
        <f>#REF!</f>
        <v>#REF!</v>
      </c>
      <c r="AE334" s="231" t="e">
        <f>#REF!</f>
        <v>#REF!</v>
      </c>
      <c r="AF334" s="231" t="e">
        <f>[1]April!N63</f>
        <v>#REF!</v>
      </c>
      <c r="AG334" s="231" t="e">
        <f>[2]april!N63</f>
        <v>#REF!</v>
      </c>
      <c r="AH334" s="231">
        <f>'[3]DES SKPD'!$N63</f>
        <v>174573000</v>
      </c>
      <c r="AI334" s="231">
        <f>SUM(AI335:AI344)</f>
        <v>0</v>
      </c>
      <c r="AJ334" s="233">
        <f t="shared" si="89"/>
        <v>0</v>
      </c>
      <c r="AK334" s="234">
        <f t="shared" si="96"/>
        <v>341340000</v>
      </c>
      <c r="AL334" s="233">
        <f t="shared" si="90"/>
        <v>100</v>
      </c>
      <c r="AM334" s="227"/>
    </row>
    <row r="335" spans="1:39" ht="29.25" customHeight="1" x14ac:dyDescent="0.25">
      <c r="A335" s="243"/>
      <c r="B335" s="244"/>
      <c r="C335" s="244"/>
      <c r="D335" s="244"/>
      <c r="E335" s="244"/>
      <c r="F335" s="244"/>
      <c r="G335" s="244"/>
      <c r="H335" s="244"/>
      <c r="I335" s="298"/>
      <c r="J335" s="244" t="s">
        <v>259</v>
      </c>
      <c r="K335" s="245"/>
      <c r="L335" s="257"/>
      <c r="M335" s="591" t="s">
        <v>260</v>
      </c>
      <c r="N335" s="592"/>
      <c r="O335" s="179"/>
      <c r="P335" s="180"/>
      <c r="Q335" s="180">
        <v>1600000</v>
      </c>
      <c r="R335" s="181">
        <f t="shared" ref="R335:R344" si="100">Q335/Q$334*100</f>
        <v>0.46874084490537299</v>
      </c>
      <c r="S335" s="181">
        <v>100</v>
      </c>
      <c r="T335" s="180">
        <f t="shared" si="88"/>
        <v>0</v>
      </c>
      <c r="U335" s="180">
        <f t="shared" si="94"/>
        <v>0</v>
      </c>
      <c r="V335" s="182">
        <f t="shared" si="92"/>
        <v>100</v>
      </c>
      <c r="W335" s="180"/>
      <c r="X335" s="180"/>
      <c r="Y335" s="180"/>
      <c r="Z335" s="180"/>
      <c r="AA335" s="180"/>
      <c r="AB335" s="180"/>
      <c r="AC335" s="180"/>
      <c r="AD335" s="180"/>
      <c r="AE335" s="180"/>
      <c r="AF335" s="180"/>
      <c r="AG335" s="180"/>
      <c r="AH335" s="180"/>
      <c r="AI335" s="180">
        <v>0</v>
      </c>
      <c r="AJ335" s="181">
        <f t="shared" si="89"/>
        <v>0</v>
      </c>
      <c r="AK335" s="246">
        <f t="shared" si="96"/>
        <v>1600000</v>
      </c>
      <c r="AL335" s="181">
        <f t="shared" si="90"/>
        <v>100</v>
      </c>
      <c r="AM335" s="243"/>
    </row>
    <row r="336" spans="1:39" ht="29.25" customHeight="1" x14ac:dyDescent="0.25">
      <c r="A336" s="243"/>
      <c r="B336" s="244"/>
      <c r="C336" s="244"/>
      <c r="D336" s="244"/>
      <c r="E336" s="244"/>
      <c r="F336" s="244"/>
      <c r="G336" s="244"/>
      <c r="H336" s="244"/>
      <c r="I336" s="298"/>
      <c r="J336" s="244" t="s">
        <v>323</v>
      </c>
      <c r="K336" s="245"/>
      <c r="L336" s="257"/>
      <c r="M336" s="591" t="s">
        <v>324</v>
      </c>
      <c r="N336" s="592"/>
      <c r="O336" s="179"/>
      <c r="P336" s="180"/>
      <c r="Q336" s="180">
        <v>52980000</v>
      </c>
      <c r="R336" s="181">
        <f t="shared" si="100"/>
        <v>15.521181226929162</v>
      </c>
      <c r="S336" s="181">
        <v>100</v>
      </c>
      <c r="T336" s="180">
        <f t="shared" si="88"/>
        <v>0</v>
      </c>
      <c r="U336" s="180">
        <f t="shared" si="94"/>
        <v>0</v>
      </c>
      <c r="V336" s="182">
        <f t="shared" si="92"/>
        <v>100</v>
      </c>
      <c r="W336" s="180"/>
      <c r="X336" s="180"/>
      <c r="Y336" s="180"/>
      <c r="Z336" s="180"/>
      <c r="AA336" s="180"/>
      <c r="AB336" s="180"/>
      <c r="AC336" s="180"/>
      <c r="AD336" s="180"/>
      <c r="AE336" s="180"/>
      <c r="AF336" s="180"/>
      <c r="AG336" s="180"/>
      <c r="AH336" s="180"/>
      <c r="AI336" s="180">
        <v>0</v>
      </c>
      <c r="AJ336" s="181">
        <f t="shared" si="89"/>
        <v>0</v>
      </c>
      <c r="AK336" s="246">
        <f t="shared" si="96"/>
        <v>52980000</v>
      </c>
      <c r="AL336" s="181">
        <f t="shared" si="90"/>
        <v>100</v>
      </c>
      <c r="AM336" s="243"/>
    </row>
    <row r="337" spans="1:39" ht="39.75" customHeight="1" x14ac:dyDescent="0.25">
      <c r="A337" s="243"/>
      <c r="B337" s="244"/>
      <c r="C337" s="244"/>
      <c r="D337" s="244"/>
      <c r="E337" s="244"/>
      <c r="F337" s="244"/>
      <c r="G337" s="244"/>
      <c r="H337" s="244"/>
      <c r="I337" s="298"/>
      <c r="J337" s="244" t="s">
        <v>315</v>
      </c>
      <c r="K337" s="245"/>
      <c r="L337" s="257"/>
      <c r="M337" s="591" t="s">
        <v>271</v>
      </c>
      <c r="N337" s="592"/>
      <c r="O337" s="179"/>
      <c r="P337" s="180"/>
      <c r="Q337" s="180">
        <v>1800000</v>
      </c>
      <c r="R337" s="181">
        <f t="shared" si="100"/>
        <v>0.52733345051854452</v>
      </c>
      <c r="S337" s="181">
        <v>100</v>
      </c>
      <c r="T337" s="180">
        <f t="shared" si="88"/>
        <v>0</v>
      </c>
      <c r="U337" s="180">
        <f t="shared" si="94"/>
        <v>0</v>
      </c>
      <c r="V337" s="182">
        <f t="shared" si="92"/>
        <v>100</v>
      </c>
      <c r="W337" s="180"/>
      <c r="X337" s="180"/>
      <c r="Y337" s="180"/>
      <c r="Z337" s="180"/>
      <c r="AA337" s="180"/>
      <c r="AB337" s="180"/>
      <c r="AC337" s="180"/>
      <c r="AD337" s="180"/>
      <c r="AE337" s="180"/>
      <c r="AF337" s="180"/>
      <c r="AG337" s="180"/>
      <c r="AH337" s="180"/>
      <c r="AI337" s="180">
        <v>0</v>
      </c>
      <c r="AJ337" s="181">
        <f t="shared" si="89"/>
        <v>0</v>
      </c>
      <c r="AK337" s="246">
        <f t="shared" si="96"/>
        <v>1800000</v>
      </c>
      <c r="AL337" s="181">
        <f t="shared" si="90"/>
        <v>100</v>
      </c>
      <c r="AM337" s="243"/>
    </row>
    <row r="338" spans="1:39" ht="29.25" customHeight="1" x14ac:dyDescent="0.25">
      <c r="A338" s="243"/>
      <c r="B338" s="244"/>
      <c r="C338" s="244"/>
      <c r="D338" s="244"/>
      <c r="E338" s="244"/>
      <c r="F338" s="244"/>
      <c r="G338" s="244"/>
      <c r="H338" s="244"/>
      <c r="I338" s="298"/>
      <c r="J338" s="244" t="s">
        <v>316</v>
      </c>
      <c r="K338" s="245"/>
      <c r="L338" s="257"/>
      <c r="M338" s="591" t="s">
        <v>317</v>
      </c>
      <c r="N338" s="592"/>
      <c r="O338" s="179"/>
      <c r="P338" s="180"/>
      <c r="Q338" s="180">
        <v>600000</v>
      </c>
      <c r="R338" s="181">
        <f t="shared" si="100"/>
        <v>0.17577781683951485</v>
      </c>
      <c r="S338" s="181">
        <v>100</v>
      </c>
      <c r="T338" s="180">
        <f t="shared" si="88"/>
        <v>0</v>
      </c>
      <c r="U338" s="180">
        <f t="shared" si="94"/>
        <v>0</v>
      </c>
      <c r="V338" s="182">
        <f t="shared" si="92"/>
        <v>100</v>
      </c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0"/>
      <c r="AG338" s="180"/>
      <c r="AH338" s="180"/>
      <c r="AI338" s="180">
        <v>0</v>
      </c>
      <c r="AJ338" s="181">
        <f t="shared" si="89"/>
        <v>0</v>
      </c>
      <c r="AK338" s="246">
        <f t="shared" si="96"/>
        <v>600000</v>
      </c>
      <c r="AL338" s="181">
        <f t="shared" si="90"/>
        <v>100</v>
      </c>
      <c r="AM338" s="243"/>
    </row>
    <row r="339" spans="1:39" ht="29.25" customHeight="1" x14ac:dyDescent="0.25">
      <c r="A339" s="243"/>
      <c r="B339" s="244"/>
      <c r="C339" s="244"/>
      <c r="D339" s="244"/>
      <c r="E339" s="244"/>
      <c r="F339" s="244"/>
      <c r="G339" s="244"/>
      <c r="H339" s="244"/>
      <c r="I339" s="298"/>
      <c r="J339" s="244" t="s">
        <v>318</v>
      </c>
      <c r="K339" s="245"/>
      <c r="L339" s="257"/>
      <c r="M339" s="591" t="s">
        <v>319</v>
      </c>
      <c r="N339" s="592"/>
      <c r="O339" s="179"/>
      <c r="P339" s="180"/>
      <c r="Q339" s="180">
        <v>97400000</v>
      </c>
      <c r="R339" s="181">
        <f t="shared" si="100"/>
        <v>28.534598933614578</v>
      </c>
      <c r="S339" s="181">
        <v>100</v>
      </c>
      <c r="T339" s="180">
        <f t="shared" si="88"/>
        <v>0</v>
      </c>
      <c r="U339" s="180">
        <f t="shared" si="94"/>
        <v>0</v>
      </c>
      <c r="V339" s="182">
        <f t="shared" si="92"/>
        <v>100</v>
      </c>
      <c r="W339" s="180"/>
      <c r="X339" s="180"/>
      <c r="Y339" s="180"/>
      <c r="Z339" s="180"/>
      <c r="AA339" s="180"/>
      <c r="AB339" s="180"/>
      <c r="AC339" s="180"/>
      <c r="AD339" s="180"/>
      <c r="AE339" s="180"/>
      <c r="AF339" s="180"/>
      <c r="AG339" s="180"/>
      <c r="AH339" s="180"/>
      <c r="AI339" s="180">
        <v>0</v>
      </c>
      <c r="AJ339" s="181">
        <f t="shared" si="89"/>
        <v>0</v>
      </c>
      <c r="AK339" s="246">
        <f t="shared" si="96"/>
        <v>97400000</v>
      </c>
      <c r="AL339" s="181">
        <f t="shared" si="90"/>
        <v>100</v>
      </c>
      <c r="AM339" s="243"/>
    </row>
    <row r="340" spans="1:39" ht="29.25" customHeight="1" x14ac:dyDescent="0.25">
      <c r="A340" s="243"/>
      <c r="B340" s="244"/>
      <c r="C340" s="244"/>
      <c r="D340" s="244"/>
      <c r="E340" s="244"/>
      <c r="F340" s="244"/>
      <c r="G340" s="244"/>
      <c r="H340" s="244"/>
      <c r="I340" s="298"/>
      <c r="J340" s="244" t="s">
        <v>280</v>
      </c>
      <c r="K340" s="245"/>
      <c r="L340" s="257"/>
      <c r="M340" s="591" t="s">
        <v>281</v>
      </c>
      <c r="N340" s="592"/>
      <c r="O340" s="179"/>
      <c r="P340" s="180"/>
      <c r="Q340" s="180">
        <v>2000000</v>
      </c>
      <c r="R340" s="181">
        <f t="shared" si="100"/>
        <v>0.58592605613171622</v>
      </c>
      <c r="S340" s="181">
        <v>100</v>
      </c>
      <c r="T340" s="180">
        <f t="shared" ref="T340:T408" si="101">AJ340</f>
        <v>0</v>
      </c>
      <c r="U340" s="180">
        <f t="shared" si="94"/>
        <v>0</v>
      </c>
      <c r="V340" s="182">
        <f t="shared" si="92"/>
        <v>100</v>
      </c>
      <c r="W340" s="180"/>
      <c r="X340" s="180"/>
      <c r="Y340" s="180"/>
      <c r="Z340" s="180"/>
      <c r="AA340" s="180"/>
      <c r="AB340" s="180"/>
      <c r="AC340" s="180"/>
      <c r="AD340" s="180"/>
      <c r="AE340" s="180"/>
      <c r="AF340" s="180"/>
      <c r="AG340" s="180"/>
      <c r="AH340" s="180"/>
      <c r="AI340" s="180">
        <v>0</v>
      </c>
      <c r="AJ340" s="181">
        <f t="shared" ref="AJ340:AJ403" si="102">AI340/Q340*100</f>
        <v>0</v>
      </c>
      <c r="AK340" s="246">
        <f t="shared" si="96"/>
        <v>2000000</v>
      </c>
      <c r="AL340" s="181">
        <f t="shared" ref="AL340:AL403" si="103">AK340/Q340*100</f>
        <v>100</v>
      </c>
      <c r="AM340" s="243"/>
    </row>
    <row r="341" spans="1:39" ht="29.25" customHeight="1" x14ac:dyDescent="0.25">
      <c r="A341" s="243"/>
      <c r="B341" s="244"/>
      <c r="C341" s="244"/>
      <c r="D341" s="244"/>
      <c r="E341" s="244"/>
      <c r="F341" s="244"/>
      <c r="G341" s="244"/>
      <c r="H341" s="244"/>
      <c r="I341" s="298"/>
      <c r="J341" s="244" t="s">
        <v>284</v>
      </c>
      <c r="K341" s="245"/>
      <c r="L341" s="257"/>
      <c r="M341" s="591" t="s">
        <v>285</v>
      </c>
      <c r="N341" s="592"/>
      <c r="O341" s="179"/>
      <c r="P341" s="180"/>
      <c r="Q341" s="180">
        <v>2200000</v>
      </c>
      <c r="R341" s="181">
        <f t="shared" si="100"/>
        <v>0.64451866174488781</v>
      </c>
      <c r="S341" s="181">
        <v>100</v>
      </c>
      <c r="T341" s="180">
        <f t="shared" si="101"/>
        <v>0</v>
      </c>
      <c r="U341" s="180">
        <f t="shared" si="94"/>
        <v>0</v>
      </c>
      <c r="V341" s="182">
        <f t="shared" si="92"/>
        <v>100</v>
      </c>
      <c r="W341" s="180"/>
      <c r="X341" s="180"/>
      <c r="Y341" s="180"/>
      <c r="Z341" s="180"/>
      <c r="AA341" s="180"/>
      <c r="AB341" s="180"/>
      <c r="AC341" s="180"/>
      <c r="AD341" s="180"/>
      <c r="AE341" s="180"/>
      <c r="AF341" s="180"/>
      <c r="AG341" s="180"/>
      <c r="AH341" s="180"/>
      <c r="AI341" s="180">
        <v>0</v>
      </c>
      <c r="AJ341" s="181">
        <f t="shared" si="102"/>
        <v>0</v>
      </c>
      <c r="AK341" s="246">
        <f t="shared" si="96"/>
        <v>2200000</v>
      </c>
      <c r="AL341" s="181">
        <f t="shared" si="103"/>
        <v>100</v>
      </c>
      <c r="AM341" s="243"/>
    </row>
    <row r="342" spans="1:39" ht="29.25" customHeight="1" x14ac:dyDescent="0.25">
      <c r="A342" s="243"/>
      <c r="B342" s="244"/>
      <c r="C342" s="244"/>
      <c r="D342" s="244"/>
      <c r="E342" s="244"/>
      <c r="F342" s="244"/>
      <c r="G342" s="244"/>
      <c r="H342" s="244"/>
      <c r="I342" s="298"/>
      <c r="J342" s="244" t="s">
        <v>282</v>
      </c>
      <c r="K342" s="245"/>
      <c r="L342" s="257"/>
      <c r="M342" s="591" t="s">
        <v>283</v>
      </c>
      <c r="N342" s="592"/>
      <c r="O342" s="179"/>
      <c r="P342" s="180"/>
      <c r="Q342" s="180">
        <v>159060000</v>
      </c>
      <c r="R342" s="181">
        <f t="shared" si="100"/>
        <v>46.598699244155391</v>
      </c>
      <c r="S342" s="181">
        <v>100</v>
      </c>
      <c r="T342" s="180">
        <f t="shared" si="101"/>
        <v>0</v>
      </c>
      <c r="U342" s="180">
        <f t="shared" si="94"/>
        <v>0</v>
      </c>
      <c r="V342" s="182">
        <f t="shared" si="92"/>
        <v>100</v>
      </c>
      <c r="W342" s="180"/>
      <c r="X342" s="180"/>
      <c r="Y342" s="180"/>
      <c r="Z342" s="180"/>
      <c r="AA342" s="180"/>
      <c r="AB342" s="180"/>
      <c r="AC342" s="180"/>
      <c r="AD342" s="180"/>
      <c r="AE342" s="180"/>
      <c r="AF342" s="180"/>
      <c r="AG342" s="180"/>
      <c r="AH342" s="180"/>
      <c r="AI342" s="180">
        <v>0</v>
      </c>
      <c r="AJ342" s="181">
        <f t="shared" si="102"/>
        <v>0</v>
      </c>
      <c r="AK342" s="246">
        <f t="shared" si="96"/>
        <v>159060000</v>
      </c>
      <c r="AL342" s="181">
        <f t="shared" si="103"/>
        <v>100</v>
      </c>
      <c r="AM342" s="243"/>
    </row>
    <row r="343" spans="1:39" ht="29.25" customHeight="1" x14ac:dyDescent="0.25">
      <c r="A343" s="243"/>
      <c r="B343" s="244"/>
      <c r="C343" s="244"/>
      <c r="D343" s="244"/>
      <c r="E343" s="244"/>
      <c r="F343" s="244"/>
      <c r="G343" s="244"/>
      <c r="H343" s="244"/>
      <c r="I343" s="298"/>
      <c r="J343" s="244" t="s">
        <v>320</v>
      </c>
      <c r="K343" s="245"/>
      <c r="L343" s="257"/>
      <c r="M343" s="591" t="s">
        <v>321</v>
      </c>
      <c r="N343" s="592"/>
      <c r="O343" s="179"/>
      <c r="P343" s="180"/>
      <c r="Q343" s="180">
        <v>14400000</v>
      </c>
      <c r="R343" s="181">
        <f t="shared" si="100"/>
        <v>4.2186676041483562</v>
      </c>
      <c r="S343" s="181">
        <v>100</v>
      </c>
      <c r="T343" s="180">
        <f t="shared" si="101"/>
        <v>0</v>
      </c>
      <c r="U343" s="180">
        <f t="shared" si="94"/>
        <v>0</v>
      </c>
      <c r="V343" s="182">
        <f t="shared" si="92"/>
        <v>100</v>
      </c>
      <c r="W343" s="180"/>
      <c r="X343" s="180"/>
      <c r="Y343" s="180"/>
      <c r="Z343" s="180"/>
      <c r="AA343" s="180"/>
      <c r="AB343" s="180"/>
      <c r="AC343" s="180"/>
      <c r="AD343" s="180"/>
      <c r="AE343" s="180"/>
      <c r="AF343" s="180"/>
      <c r="AG343" s="180"/>
      <c r="AH343" s="180"/>
      <c r="AI343" s="180">
        <v>0</v>
      </c>
      <c r="AJ343" s="181">
        <f t="shared" si="102"/>
        <v>0</v>
      </c>
      <c r="AK343" s="246">
        <f t="shared" si="96"/>
        <v>14400000</v>
      </c>
      <c r="AL343" s="181">
        <f t="shared" si="103"/>
        <v>100</v>
      </c>
      <c r="AM343" s="243"/>
    </row>
    <row r="344" spans="1:39" ht="29.25" customHeight="1" x14ac:dyDescent="0.25">
      <c r="A344" s="243"/>
      <c r="B344" s="244"/>
      <c r="C344" s="244"/>
      <c r="D344" s="244"/>
      <c r="E344" s="244"/>
      <c r="F344" s="244"/>
      <c r="G344" s="244"/>
      <c r="H344" s="244"/>
      <c r="I344" s="298"/>
      <c r="J344" s="244" t="s">
        <v>407</v>
      </c>
      <c r="K344" s="245"/>
      <c r="L344" s="257"/>
      <c r="M344" s="591" t="s">
        <v>414</v>
      </c>
      <c r="N344" s="592"/>
      <c r="O344" s="179"/>
      <c r="P344" s="180"/>
      <c r="Q344" s="180">
        <v>9300000</v>
      </c>
      <c r="R344" s="181">
        <f t="shared" si="100"/>
        <v>2.7245561610124804</v>
      </c>
      <c r="S344" s="181"/>
      <c r="T344" s="180">
        <f t="shared" si="101"/>
        <v>0</v>
      </c>
      <c r="U344" s="180">
        <f t="shared" si="94"/>
        <v>0</v>
      </c>
      <c r="V344" s="182"/>
      <c r="W344" s="180"/>
      <c r="X344" s="180"/>
      <c r="Y344" s="180"/>
      <c r="Z344" s="180"/>
      <c r="AA344" s="180"/>
      <c r="AB344" s="180"/>
      <c r="AC344" s="180"/>
      <c r="AD344" s="180"/>
      <c r="AE344" s="180"/>
      <c r="AF344" s="180"/>
      <c r="AG344" s="180"/>
      <c r="AH344" s="180"/>
      <c r="AI344" s="180">
        <v>0</v>
      </c>
      <c r="AJ344" s="181">
        <f t="shared" si="102"/>
        <v>0</v>
      </c>
      <c r="AK344" s="246">
        <f t="shared" si="96"/>
        <v>9300000</v>
      </c>
      <c r="AL344" s="181">
        <f t="shared" si="103"/>
        <v>100</v>
      </c>
      <c r="AM344" s="243"/>
    </row>
    <row r="345" spans="1:39" s="297" customFormat="1" ht="45" customHeight="1" x14ac:dyDescent="0.25">
      <c r="A345" s="227">
        <f>A334+1</f>
        <v>41</v>
      </c>
      <c r="B345" s="615" t="s">
        <v>147</v>
      </c>
      <c r="C345" s="615"/>
      <c r="D345" s="615"/>
      <c r="E345" s="615"/>
      <c r="F345" s="615"/>
      <c r="G345" s="615"/>
      <c r="H345" s="615"/>
      <c r="I345" s="614"/>
      <c r="J345" s="304" t="s">
        <v>490</v>
      </c>
      <c r="K345" s="230"/>
      <c r="L345" s="294"/>
      <c r="M345" s="610" t="s">
        <v>48</v>
      </c>
      <c r="N345" s="610"/>
      <c r="O345" s="309">
        <v>606500000</v>
      </c>
      <c r="P345" s="231">
        <f>O345</f>
        <v>606500000</v>
      </c>
      <c r="Q345" s="231">
        <f>SUM(Q346:Q350)</f>
        <v>189188876</v>
      </c>
      <c r="R345" s="233">
        <f>Q345/Q$243*100</f>
        <v>1.7029060784241639</v>
      </c>
      <c r="S345" s="233">
        <v>100</v>
      </c>
      <c r="T345" s="231">
        <f t="shared" si="101"/>
        <v>0</v>
      </c>
      <c r="U345" s="231">
        <f t="shared" si="94"/>
        <v>0</v>
      </c>
      <c r="V345" s="296">
        <f t="shared" si="92"/>
        <v>100</v>
      </c>
      <c r="W345" s="231"/>
      <c r="X345" s="231" t="e">
        <f>#REF!</f>
        <v>#REF!</v>
      </c>
      <c r="Y345" s="231" t="e">
        <f>#REF!</f>
        <v>#REF!</v>
      </c>
      <c r="Z345" s="231" t="e">
        <f>#REF!</f>
        <v>#REF!</v>
      </c>
      <c r="AA345" s="231" t="e">
        <f>#REF!</f>
        <v>#REF!</v>
      </c>
      <c r="AB345" s="231">
        <v>143751020</v>
      </c>
      <c r="AC345" s="231" t="e">
        <f>#REF!</f>
        <v>#REF!</v>
      </c>
      <c r="AD345" s="231" t="e">
        <f>#REF!</f>
        <v>#REF!</v>
      </c>
      <c r="AE345" s="231" t="e">
        <f>#REF!</f>
        <v>#REF!</v>
      </c>
      <c r="AF345" s="231" t="e">
        <f>[1]April!N64</f>
        <v>#REF!</v>
      </c>
      <c r="AG345" s="231" t="e">
        <f>[2]april!N64</f>
        <v>#REF!</v>
      </c>
      <c r="AH345" s="231">
        <f>'[3]DES SKPD'!$N64</f>
        <v>571546340</v>
      </c>
      <c r="AI345" s="231">
        <f>SUM(AI346:AI350)</f>
        <v>0</v>
      </c>
      <c r="AJ345" s="233">
        <f t="shared" si="102"/>
        <v>0</v>
      </c>
      <c r="AK345" s="234">
        <f t="shared" si="96"/>
        <v>189188876</v>
      </c>
      <c r="AL345" s="233">
        <f t="shared" si="103"/>
        <v>100</v>
      </c>
      <c r="AM345" s="227"/>
    </row>
    <row r="346" spans="1:39" ht="28.5" customHeight="1" x14ac:dyDescent="0.25">
      <c r="A346" s="243"/>
      <c r="B346" s="244"/>
      <c r="C346" s="244"/>
      <c r="D346" s="244"/>
      <c r="E346" s="244"/>
      <c r="F346" s="244"/>
      <c r="G346" s="244"/>
      <c r="H346" s="244"/>
      <c r="I346" s="298"/>
      <c r="J346" s="244" t="s">
        <v>257</v>
      </c>
      <c r="K346" s="245"/>
      <c r="L346" s="257"/>
      <c r="M346" s="591" t="s">
        <v>428</v>
      </c>
      <c r="N346" s="592"/>
      <c r="O346" s="179"/>
      <c r="P346" s="180"/>
      <c r="Q346" s="180">
        <v>10000000</v>
      </c>
      <c r="R346" s="181">
        <f>Q346/Q$345*100</f>
        <v>5.2857230358512197</v>
      </c>
      <c r="S346" s="181">
        <v>100</v>
      </c>
      <c r="T346" s="180">
        <f t="shared" si="101"/>
        <v>0</v>
      </c>
      <c r="U346" s="180">
        <f t="shared" si="94"/>
        <v>0</v>
      </c>
      <c r="V346" s="182">
        <f t="shared" si="92"/>
        <v>100</v>
      </c>
      <c r="W346" s="180"/>
      <c r="X346" s="180"/>
      <c r="Y346" s="180"/>
      <c r="Z346" s="180"/>
      <c r="AA346" s="180"/>
      <c r="AB346" s="180"/>
      <c r="AC346" s="180"/>
      <c r="AD346" s="180"/>
      <c r="AE346" s="180"/>
      <c r="AF346" s="180"/>
      <c r="AG346" s="180"/>
      <c r="AH346" s="180"/>
      <c r="AI346" s="180">
        <v>0</v>
      </c>
      <c r="AJ346" s="181">
        <f t="shared" si="102"/>
        <v>0</v>
      </c>
      <c r="AK346" s="246">
        <f t="shared" si="96"/>
        <v>10000000</v>
      </c>
      <c r="AL346" s="181">
        <f t="shared" si="103"/>
        <v>100</v>
      </c>
      <c r="AM346" s="243"/>
    </row>
    <row r="347" spans="1:39" ht="28.5" customHeight="1" x14ac:dyDescent="0.25">
      <c r="A347" s="243"/>
      <c r="B347" s="244"/>
      <c r="C347" s="244"/>
      <c r="D347" s="244"/>
      <c r="E347" s="244"/>
      <c r="F347" s="244"/>
      <c r="G347" s="244"/>
      <c r="H347" s="244"/>
      <c r="I347" s="298"/>
      <c r="J347" s="244" t="s">
        <v>318</v>
      </c>
      <c r="K347" s="245"/>
      <c r="L347" s="257"/>
      <c r="M347" s="611" t="s">
        <v>319</v>
      </c>
      <c r="N347" s="598"/>
      <c r="O347" s="179"/>
      <c r="P347" s="180"/>
      <c r="Q347" s="180">
        <v>100000000</v>
      </c>
      <c r="R347" s="181">
        <f>Q347/Q$345*100</f>
        <v>52.857230358512197</v>
      </c>
      <c r="S347" s="181">
        <v>100</v>
      </c>
      <c r="T347" s="180">
        <f t="shared" si="101"/>
        <v>0</v>
      </c>
      <c r="U347" s="180">
        <f t="shared" si="94"/>
        <v>0</v>
      </c>
      <c r="V347" s="182">
        <f t="shared" si="92"/>
        <v>100</v>
      </c>
      <c r="W347" s="180"/>
      <c r="X347" s="180"/>
      <c r="Y347" s="180"/>
      <c r="Z347" s="180"/>
      <c r="AA347" s="180"/>
      <c r="AB347" s="180"/>
      <c r="AC347" s="180"/>
      <c r="AD347" s="180"/>
      <c r="AE347" s="180"/>
      <c r="AF347" s="180"/>
      <c r="AG347" s="180"/>
      <c r="AH347" s="180"/>
      <c r="AI347" s="180">
        <v>0</v>
      </c>
      <c r="AJ347" s="181">
        <f t="shared" si="102"/>
        <v>0</v>
      </c>
      <c r="AK347" s="246">
        <f t="shared" si="96"/>
        <v>100000000</v>
      </c>
      <c r="AL347" s="181">
        <f t="shared" si="103"/>
        <v>100</v>
      </c>
      <c r="AM347" s="243"/>
    </row>
    <row r="348" spans="1:39" ht="28.5" customHeight="1" x14ac:dyDescent="0.25">
      <c r="A348" s="243"/>
      <c r="B348" s="244"/>
      <c r="C348" s="244"/>
      <c r="D348" s="244"/>
      <c r="E348" s="244"/>
      <c r="F348" s="244"/>
      <c r="G348" s="244"/>
      <c r="H348" s="244"/>
      <c r="I348" s="298"/>
      <c r="J348" s="244" t="s">
        <v>282</v>
      </c>
      <c r="K348" s="245"/>
      <c r="L348" s="257"/>
      <c r="M348" s="591" t="s">
        <v>603</v>
      </c>
      <c r="N348" s="592"/>
      <c r="O348" s="179"/>
      <c r="P348" s="180"/>
      <c r="Q348" s="180">
        <v>12388876</v>
      </c>
      <c r="R348" s="181">
        <f>Q348/Q$345*100</f>
        <v>6.5484167261504318</v>
      </c>
      <c r="S348" s="181">
        <v>100</v>
      </c>
      <c r="T348" s="180">
        <f t="shared" si="101"/>
        <v>0</v>
      </c>
      <c r="U348" s="180">
        <f t="shared" si="94"/>
        <v>0</v>
      </c>
      <c r="V348" s="182">
        <f t="shared" si="92"/>
        <v>100</v>
      </c>
      <c r="W348" s="180"/>
      <c r="X348" s="180"/>
      <c r="Y348" s="180"/>
      <c r="Z348" s="180"/>
      <c r="AA348" s="180"/>
      <c r="AB348" s="180"/>
      <c r="AC348" s="180"/>
      <c r="AD348" s="180"/>
      <c r="AE348" s="180"/>
      <c r="AF348" s="180"/>
      <c r="AG348" s="180"/>
      <c r="AH348" s="180"/>
      <c r="AI348" s="180">
        <v>0</v>
      </c>
      <c r="AJ348" s="181">
        <f t="shared" si="102"/>
        <v>0</v>
      </c>
      <c r="AK348" s="246">
        <f t="shared" si="96"/>
        <v>12388876</v>
      </c>
      <c r="AL348" s="181">
        <f t="shared" si="103"/>
        <v>100</v>
      </c>
      <c r="AM348" s="243"/>
    </row>
    <row r="349" spans="1:39" ht="28.5" customHeight="1" x14ac:dyDescent="0.25">
      <c r="A349" s="243"/>
      <c r="B349" s="244"/>
      <c r="C349" s="244"/>
      <c r="D349" s="244"/>
      <c r="E349" s="244"/>
      <c r="F349" s="244"/>
      <c r="G349" s="244"/>
      <c r="H349" s="244"/>
      <c r="I349" s="298"/>
      <c r="J349" s="244" t="s">
        <v>320</v>
      </c>
      <c r="K349" s="245"/>
      <c r="L349" s="257"/>
      <c r="M349" s="591" t="s">
        <v>321</v>
      </c>
      <c r="N349" s="592"/>
      <c r="O349" s="179"/>
      <c r="P349" s="180"/>
      <c r="Q349" s="180">
        <v>57600000</v>
      </c>
      <c r="R349" s="181">
        <f>Q349/Q$345*100</f>
        <v>30.445764686503026</v>
      </c>
      <c r="S349" s="181">
        <v>100</v>
      </c>
      <c r="T349" s="180">
        <f t="shared" si="101"/>
        <v>0</v>
      </c>
      <c r="U349" s="180">
        <f t="shared" si="94"/>
        <v>0</v>
      </c>
      <c r="V349" s="182">
        <f t="shared" si="92"/>
        <v>100</v>
      </c>
      <c r="W349" s="180"/>
      <c r="X349" s="180"/>
      <c r="Y349" s="180"/>
      <c r="Z349" s="180"/>
      <c r="AA349" s="180"/>
      <c r="AB349" s="180"/>
      <c r="AC349" s="180"/>
      <c r="AD349" s="180"/>
      <c r="AE349" s="180"/>
      <c r="AF349" s="180"/>
      <c r="AG349" s="180"/>
      <c r="AH349" s="180"/>
      <c r="AI349" s="180">
        <v>0</v>
      </c>
      <c r="AJ349" s="181">
        <f t="shared" si="102"/>
        <v>0</v>
      </c>
      <c r="AK349" s="246">
        <f t="shared" si="96"/>
        <v>57600000</v>
      </c>
      <c r="AL349" s="181">
        <f t="shared" si="103"/>
        <v>100</v>
      </c>
      <c r="AM349" s="243"/>
    </row>
    <row r="350" spans="1:39" ht="28.5" customHeight="1" x14ac:dyDescent="0.25">
      <c r="A350" s="243"/>
      <c r="B350" s="244"/>
      <c r="C350" s="244"/>
      <c r="D350" s="244"/>
      <c r="E350" s="244"/>
      <c r="F350" s="244"/>
      <c r="G350" s="244"/>
      <c r="H350" s="244"/>
      <c r="I350" s="298"/>
      <c r="J350" s="244" t="s">
        <v>309</v>
      </c>
      <c r="K350" s="245"/>
      <c r="L350" s="257"/>
      <c r="M350" s="591" t="s">
        <v>607</v>
      </c>
      <c r="N350" s="592"/>
      <c r="O350" s="179"/>
      <c r="P350" s="180"/>
      <c r="Q350" s="180">
        <v>9200000</v>
      </c>
      <c r="R350" s="181">
        <f>Q350/Q$345*100</f>
        <v>4.8628651929831221</v>
      </c>
      <c r="S350" s="181">
        <v>100</v>
      </c>
      <c r="T350" s="180">
        <f t="shared" si="101"/>
        <v>0</v>
      </c>
      <c r="U350" s="180">
        <f t="shared" si="94"/>
        <v>0</v>
      </c>
      <c r="V350" s="182">
        <f t="shared" si="92"/>
        <v>100</v>
      </c>
      <c r="W350" s="180"/>
      <c r="X350" s="180"/>
      <c r="Y350" s="180"/>
      <c r="Z350" s="180"/>
      <c r="AA350" s="180"/>
      <c r="AB350" s="180"/>
      <c r="AC350" s="180"/>
      <c r="AD350" s="180"/>
      <c r="AE350" s="180"/>
      <c r="AF350" s="180"/>
      <c r="AG350" s="180"/>
      <c r="AH350" s="180"/>
      <c r="AI350" s="180">
        <v>0</v>
      </c>
      <c r="AJ350" s="181">
        <f t="shared" si="102"/>
        <v>0</v>
      </c>
      <c r="AK350" s="246">
        <f t="shared" si="96"/>
        <v>9200000</v>
      </c>
      <c r="AL350" s="181">
        <f t="shared" si="103"/>
        <v>100</v>
      </c>
      <c r="AM350" s="243"/>
    </row>
    <row r="351" spans="1:39" ht="28.5" customHeight="1" x14ac:dyDescent="0.25">
      <c r="A351" s="227">
        <v>43</v>
      </c>
      <c r="B351" s="244"/>
      <c r="C351" s="244"/>
      <c r="D351" s="244"/>
      <c r="E351" s="244"/>
      <c r="F351" s="244"/>
      <c r="G351" s="244"/>
      <c r="H351" s="244"/>
      <c r="I351" s="298"/>
      <c r="J351" s="304" t="s">
        <v>492</v>
      </c>
      <c r="K351" s="230"/>
      <c r="L351" s="294"/>
      <c r="M351" s="609" t="s">
        <v>493</v>
      </c>
      <c r="N351" s="609"/>
      <c r="O351" s="309">
        <v>558720000</v>
      </c>
      <c r="P351" s="231">
        <f>O351</f>
        <v>558720000</v>
      </c>
      <c r="Q351" s="231">
        <f>SUM(Q352:Q357)</f>
        <v>445894073</v>
      </c>
      <c r="R351" s="233">
        <f>Q351/Q$243*100</f>
        <v>4.0135326309830601</v>
      </c>
      <c r="S351" s="233">
        <v>100</v>
      </c>
      <c r="T351" s="231">
        <f t="shared" si="101"/>
        <v>0</v>
      </c>
      <c r="U351" s="231">
        <f t="shared" si="94"/>
        <v>0</v>
      </c>
      <c r="V351" s="296">
        <f t="shared" si="92"/>
        <v>100</v>
      </c>
      <c r="W351" s="231"/>
      <c r="X351" s="231" t="e">
        <f>#REF!</f>
        <v>#REF!</v>
      </c>
      <c r="Y351" s="231" t="e">
        <f>#REF!</f>
        <v>#REF!</v>
      </c>
      <c r="Z351" s="231" t="e">
        <f>#REF!</f>
        <v>#REF!</v>
      </c>
      <c r="AA351" s="231" t="e">
        <f>#REF!</f>
        <v>#REF!</v>
      </c>
      <c r="AB351" s="231">
        <v>192786500</v>
      </c>
      <c r="AC351" s="231" t="e">
        <f>#REF!</f>
        <v>#REF!</v>
      </c>
      <c r="AD351" s="231" t="e">
        <f>#REF!</f>
        <v>#REF!</v>
      </c>
      <c r="AE351" s="231" t="e">
        <f>#REF!</f>
        <v>#REF!</v>
      </c>
      <c r="AF351" s="231" t="e">
        <f>[1]April!N54</f>
        <v>#REF!</v>
      </c>
      <c r="AG351" s="231" t="e">
        <f>[2]april!N54</f>
        <v>#REF!</v>
      </c>
      <c r="AH351" s="231">
        <f>'[3]DES SKPD'!$N54</f>
        <v>508172500</v>
      </c>
      <c r="AI351" s="231">
        <f>SUM(AI352:AI358)</f>
        <v>0</v>
      </c>
      <c r="AJ351" s="233">
        <f t="shared" si="102"/>
        <v>0</v>
      </c>
      <c r="AK351" s="234">
        <f t="shared" si="96"/>
        <v>445894073</v>
      </c>
      <c r="AL351" s="233">
        <f t="shared" si="103"/>
        <v>100</v>
      </c>
      <c r="AM351" s="243"/>
    </row>
    <row r="352" spans="1:39" ht="28.5" customHeight="1" x14ac:dyDescent="0.25">
      <c r="A352" s="243"/>
      <c r="B352" s="244"/>
      <c r="C352" s="244"/>
      <c r="D352" s="244"/>
      <c r="E352" s="244"/>
      <c r="F352" s="244"/>
      <c r="G352" s="244"/>
      <c r="H352" s="244"/>
      <c r="I352" s="298"/>
      <c r="J352" s="244" t="s">
        <v>315</v>
      </c>
      <c r="K352" s="245"/>
      <c r="L352" s="257"/>
      <c r="M352" s="591" t="s">
        <v>271</v>
      </c>
      <c r="N352" s="592"/>
      <c r="O352" s="179"/>
      <c r="P352" s="180"/>
      <c r="Q352" s="180">
        <v>20304000</v>
      </c>
      <c r="R352" s="181">
        <f t="shared" ref="R352:R358" si="104">Q352/Q$351*100</f>
        <v>4.5535478557482421</v>
      </c>
      <c r="S352" s="181">
        <v>100</v>
      </c>
      <c r="T352" s="180">
        <f t="shared" si="101"/>
        <v>0</v>
      </c>
      <c r="U352" s="180">
        <f t="shared" si="94"/>
        <v>0</v>
      </c>
      <c r="V352" s="182">
        <f t="shared" si="92"/>
        <v>100</v>
      </c>
      <c r="W352" s="180"/>
      <c r="X352" s="180"/>
      <c r="Y352" s="180"/>
      <c r="Z352" s="180"/>
      <c r="AA352" s="180"/>
      <c r="AB352" s="180"/>
      <c r="AC352" s="180"/>
      <c r="AD352" s="180"/>
      <c r="AE352" s="180"/>
      <c r="AF352" s="180"/>
      <c r="AG352" s="180"/>
      <c r="AH352" s="180"/>
      <c r="AI352" s="180">
        <v>0</v>
      </c>
      <c r="AJ352" s="181">
        <f t="shared" si="102"/>
        <v>0</v>
      </c>
      <c r="AK352" s="246">
        <f t="shared" si="96"/>
        <v>20304000</v>
      </c>
      <c r="AL352" s="181">
        <f t="shared" si="103"/>
        <v>100</v>
      </c>
      <c r="AM352" s="243"/>
    </row>
    <row r="353" spans="1:39" ht="28.5" customHeight="1" x14ac:dyDescent="0.25">
      <c r="A353" s="243"/>
      <c r="B353" s="244"/>
      <c r="C353" s="244"/>
      <c r="D353" s="244"/>
      <c r="E353" s="244"/>
      <c r="F353" s="244"/>
      <c r="G353" s="244"/>
      <c r="H353" s="244"/>
      <c r="I353" s="298"/>
      <c r="J353" s="244" t="s">
        <v>328</v>
      </c>
      <c r="K353" s="245"/>
      <c r="L353" s="257"/>
      <c r="M353" s="591" t="s">
        <v>319</v>
      </c>
      <c r="N353" s="592"/>
      <c r="O353" s="179"/>
      <c r="P353" s="180"/>
      <c r="Q353" s="180">
        <v>231000000</v>
      </c>
      <c r="R353" s="181">
        <f t="shared" si="104"/>
        <v>51.806026136615635</v>
      </c>
      <c r="S353" s="181">
        <v>100</v>
      </c>
      <c r="T353" s="180">
        <f t="shared" si="101"/>
        <v>0</v>
      </c>
      <c r="U353" s="180">
        <f t="shared" si="94"/>
        <v>0</v>
      </c>
      <c r="V353" s="182">
        <f t="shared" si="92"/>
        <v>100</v>
      </c>
      <c r="W353" s="180"/>
      <c r="X353" s="180"/>
      <c r="Y353" s="180"/>
      <c r="Z353" s="180"/>
      <c r="AA353" s="180"/>
      <c r="AB353" s="180"/>
      <c r="AC353" s="180"/>
      <c r="AD353" s="180"/>
      <c r="AE353" s="180"/>
      <c r="AF353" s="180"/>
      <c r="AG353" s="180"/>
      <c r="AH353" s="180"/>
      <c r="AI353" s="180">
        <v>0</v>
      </c>
      <c r="AJ353" s="181">
        <f t="shared" si="102"/>
        <v>0</v>
      </c>
      <c r="AK353" s="246">
        <f t="shared" si="96"/>
        <v>231000000</v>
      </c>
      <c r="AL353" s="181">
        <f t="shared" si="103"/>
        <v>100</v>
      </c>
      <c r="AM353" s="243"/>
    </row>
    <row r="354" spans="1:39" ht="28.5" customHeight="1" x14ac:dyDescent="0.25">
      <c r="A354" s="243"/>
      <c r="B354" s="244"/>
      <c r="C354" s="244"/>
      <c r="D354" s="244"/>
      <c r="E354" s="244"/>
      <c r="F354" s="244"/>
      <c r="G354" s="244"/>
      <c r="H354" s="244"/>
      <c r="I354" s="298"/>
      <c r="J354" s="312" t="s">
        <v>339</v>
      </c>
      <c r="M354" s="619" t="s">
        <v>608</v>
      </c>
      <c r="N354" s="620"/>
      <c r="O354" s="179"/>
      <c r="P354" s="180"/>
      <c r="Q354" s="180">
        <v>25200000</v>
      </c>
      <c r="R354" s="181">
        <f t="shared" si="104"/>
        <v>5.6515664876307961</v>
      </c>
      <c r="S354" s="181">
        <v>100</v>
      </c>
      <c r="T354" s="180">
        <f t="shared" si="101"/>
        <v>0</v>
      </c>
      <c r="U354" s="180">
        <f t="shared" si="94"/>
        <v>0</v>
      </c>
      <c r="V354" s="182">
        <f t="shared" si="92"/>
        <v>100</v>
      </c>
      <c r="W354" s="180"/>
      <c r="X354" s="180"/>
      <c r="Y354" s="180"/>
      <c r="Z354" s="180"/>
      <c r="AA354" s="180"/>
      <c r="AB354" s="180"/>
      <c r="AC354" s="180"/>
      <c r="AD354" s="180"/>
      <c r="AE354" s="180"/>
      <c r="AF354" s="180"/>
      <c r="AG354" s="180"/>
      <c r="AH354" s="180"/>
      <c r="AI354" s="180">
        <v>0</v>
      </c>
      <c r="AJ354" s="181">
        <f t="shared" si="102"/>
        <v>0</v>
      </c>
      <c r="AK354" s="246">
        <f t="shared" si="96"/>
        <v>25200000</v>
      </c>
      <c r="AL354" s="181">
        <f t="shared" si="103"/>
        <v>100</v>
      </c>
      <c r="AM354" s="243"/>
    </row>
    <row r="355" spans="1:39" ht="28.5" customHeight="1" x14ac:dyDescent="0.25">
      <c r="A355" s="243"/>
      <c r="B355" s="244"/>
      <c r="C355" s="244"/>
      <c r="D355" s="244"/>
      <c r="E355" s="244"/>
      <c r="F355" s="244"/>
      <c r="G355" s="244"/>
      <c r="H355" s="244"/>
      <c r="I355" s="298"/>
      <c r="J355" s="244" t="s">
        <v>284</v>
      </c>
      <c r="K355" s="245"/>
      <c r="L355" s="257"/>
      <c r="M355" s="591" t="s">
        <v>503</v>
      </c>
      <c r="N355" s="592"/>
      <c r="O355" s="179"/>
      <c r="P355" s="180"/>
      <c r="Q355" s="180">
        <v>152190073</v>
      </c>
      <c r="R355" s="181">
        <f t="shared" si="104"/>
        <v>34.131441123685896</v>
      </c>
      <c r="S355" s="181">
        <v>100</v>
      </c>
      <c r="T355" s="180">
        <f t="shared" si="101"/>
        <v>0</v>
      </c>
      <c r="U355" s="180">
        <f t="shared" si="94"/>
        <v>0</v>
      </c>
      <c r="V355" s="182">
        <f t="shared" si="92"/>
        <v>100</v>
      </c>
      <c r="W355" s="180"/>
      <c r="X355" s="180"/>
      <c r="Y355" s="180"/>
      <c r="Z355" s="180"/>
      <c r="AA355" s="180"/>
      <c r="AB355" s="180"/>
      <c r="AC355" s="180"/>
      <c r="AD355" s="180"/>
      <c r="AE355" s="180"/>
      <c r="AF355" s="180"/>
      <c r="AG355" s="180"/>
      <c r="AH355" s="180"/>
      <c r="AI355" s="180">
        <v>0</v>
      </c>
      <c r="AJ355" s="181">
        <f>AI355/Q355*100</f>
        <v>0</v>
      </c>
      <c r="AK355" s="246">
        <f>Q355-AI355</f>
        <v>152190073</v>
      </c>
      <c r="AL355" s="181">
        <f>AK355/Q355*100</f>
        <v>100</v>
      </c>
      <c r="AM355" s="243"/>
    </row>
    <row r="356" spans="1:39" ht="28.5" customHeight="1" x14ac:dyDescent="0.25">
      <c r="A356" s="243"/>
      <c r="B356" s="244"/>
      <c r="C356" s="244"/>
      <c r="D356" s="244"/>
      <c r="E356" s="244"/>
      <c r="F356" s="244"/>
      <c r="G356" s="244"/>
      <c r="H356" s="244"/>
      <c r="I356" s="298"/>
      <c r="J356" s="244" t="s">
        <v>320</v>
      </c>
      <c r="K356" s="245"/>
      <c r="L356" s="257"/>
      <c r="M356" s="591" t="s">
        <v>321</v>
      </c>
      <c r="N356" s="592"/>
      <c r="O356" s="179"/>
      <c r="P356" s="180"/>
      <c r="Q356" s="180">
        <v>9200000</v>
      </c>
      <c r="R356" s="181">
        <f t="shared" si="104"/>
        <v>2.0632703050080683</v>
      </c>
      <c r="S356" s="181">
        <v>100</v>
      </c>
      <c r="T356" s="180">
        <f t="shared" si="101"/>
        <v>0</v>
      </c>
      <c r="U356" s="180">
        <f t="shared" si="94"/>
        <v>0</v>
      </c>
      <c r="V356" s="182">
        <f t="shared" si="92"/>
        <v>100</v>
      </c>
      <c r="W356" s="180"/>
      <c r="X356" s="180"/>
      <c r="Y356" s="180"/>
      <c r="Z356" s="180"/>
      <c r="AA356" s="180"/>
      <c r="AB356" s="180"/>
      <c r="AC356" s="180"/>
      <c r="AD356" s="180"/>
      <c r="AE356" s="180"/>
      <c r="AF356" s="180"/>
      <c r="AG356" s="180"/>
      <c r="AH356" s="180"/>
      <c r="AI356" s="180">
        <v>0</v>
      </c>
      <c r="AJ356" s="181">
        <f t="shared" si="102"/>
        <v>0</v>
      </c>
      <c r="AK356" s="246">
        <f t="shared" ref="AK356:AK419" si="105">Q356-AI356</f>
        <v>9200000</v>
      </c>
      <c r="AL356" s="181">
        <f t="shared" si="103"/>
        <v>100</v>
      </c>
      <c r="AM356" s="243"/>
    </row>
    <row r="357" spans="1:39" ht="28.5" customHeight="1" x14ac:dyDescent="0.25">
      <c r="A357" s="243"/>
      <c r="B357" s="244"/>
      <c r="C357" s="244"/>
      <c r="D357" s="244"/>
      <c r="E357" s="244"/>
      <c r="F357" s="244"/>
      <c r="G357" s="244"/>
      <c r="H357" s="244"/>
      <c r="I357" s="298"/>
      <c r="J357" s="312" t="s">
        <v>407</v>
      </c>
      <c r="M357" s="616" t="s">
        <v>414</v>
      </c>
      <c r="N357" s="617"/>
      <c r="O357" s="179"/>
      <c r="P357" s="180"/>
      <c r="Q357" s="180">
        <v>8000000</v>
      </c>
      <c r="R357" s="181">
        <f t="shared" si="104"/>
        <v>1.7941480913113639</v>
      </c>
      <c r="S357" s="181">
        <v>100</v>
      </c>
      <c r="T357" s="180">
        <f t="shared" si="101"/>
        <v>0</v>
      </c>
      <c r="U357" s="180">
        <f t="shared" si="94"/>
        <v>0</v>
      </c>
      <c r="V357" s="182">
        <f t="shared" si="92"/>
        <v>100</v>
      </c>
      <c r="W357" s="180"/>
      <c r="X357" s="180"/>
      <c r="Y357" s="180"/>
      <c r="Z357" s="180"/>
      <c r="AA357" s="180"/>
      <c r="AB357" s="180"/>
      <c r="AC357" s="180"/>
      <c r="AD357" s="180"/>
      <c r="AE357" s="180"/>
      <c r="AF357" s="180"/>
      <c r="AG357" s="180"/>
      <c r="AH357" s="180"/>
      <c r="AI357" s="180">
        <v>0</v>
      </c>
      <c r="AJ357" s="181">
        <f t="shared" si="102"/>
        <v>0</v>
      </c>
      <c r="AK357" s="246">
        <f t="shared" si="105"/>
        <v>8000000</v>
      </c>
      <c r="AL357" s="181">
        <f t="shared" si="103"/>
        <v>100</v>
      </c>
      <c r="AM357" s="243"/>
    </row>
    <row r="358" spans="1:39" ht="28.5" customHeight="1" x14ac:dyDescent="0.25">
      <c r="A358" s="243"/>
      <c r="B358" s="244"/>
      <c r="C358" s="244"/>
      <c r="D358" s="244"/>
      <c r="E358" s="244"/>
      <c r="F358" s="244"/>
      <c r="G358" s="244"/>
      <c r="H358" s="244"/>
      <c r="I358" s="298"/>
      <c r="J358" s="312" t="s">
        <v>551</v>
      </c>
      <c r="M358" s="616" t="s">
        <v>550</v>
      </c>
      <c r="N358" s="617"/>
      <c r="O358" s="179"/>
      <c r="P358" s="180"/>
      <c r="Q358" s="180">
        <v>96000000</v>
      </c>
      <c r="R358" s="181">
        <f t="shared" si="104"/>
        <v>21.529777095736367</v>
      </c>
      <c r="S358" s="181">
        <v>100</v>
      </c>
      <c r="T358" s="180">
        <f t="shared" si="101"/>
        <v>0</v>
      </c>
      <c r="U358" s="180">
        <f t="shared" si="94"/>
        <v>0</v>
      </c>
      <c r="V358" s="182">
        <f t="shared" si="92"/>
        <v>100</v>
      </c>
      <c r="W358" s="180"/>
      <c r="X358" s="180"/>
      <c r="Y358" s="180"/>
      <c r="Z358" s="180"/>
      <c r="AA358" s="180"/>
      <c r="AB358" s="180"/>
      <c r="AC358" s="180"/>
      <c r="AD358" s="180"/>
      <c r="AE358" s="180"/>
      <c r="AF358" s="180"/>
      <c r="AG358" s="180"/>
      <c r="AH358" s="180"/>
      <c r="AI358" s="180">
        <v>0</v>
      </c>
      <c r="AJ358" s="181">
        <f t="shared" si="102"/>
        <v>0</v>
      </c>
      <c r="AK358" s="246">
        <f t="shared" si="105"/>
        <v>96000000</v>
      </c>
      <c r="AL358" s="181">
        <f t="shared" si="103"/>
        <v>100</v>
      </c>
      <c r="AM358" s="243"/>
    </row>
    <row r="359" spans="1:39" s="297" customFormat="1" ht="29.25" customHeight="1" x14ac:dyDescent="0.25">
      <c r="A359" s="227">
        <f>SUM(A351+1)</f>
        <v>44</v>
      </c>
      <c r="B359" s="615" t="s">
        <v>150</v>
      </c>
      <c r="C359" s="615"/>
      <c r="D359" s="615"/>
      <c r="E359" s="615"/>
      <c r="F359" s="615"/>
      <c r="G359" s="615"/>
      <c r="H359" s="615"/>
      <c r="I359" s="614"/>
      <c r="J359" s="304" t="s">
        <v>491</v>
      </c>
      <c r="K359" s="230"/>
      <c r="L359" s="294"/>
      <c r="M359" s="609" t="s">
        <v>49</v>
      </c>
      <c r="N359" s="609"/>
      <c r="O359" s="309">
        <v>558720000</v>
      </c>
      <c r="P359" s="231">
        <f>O359</f>
        <v>558720000</v>
      </c>
      <c r="Q359" s="231">
        <f>SUM(Q360:Q371)</f>
        <v>412540000</v>
      </c>
      <c r="R359" s="233">
        <f>Q359/Q$243*100</f>
        <v>3.7133096218252524</v>
      </c>
      <c r="S359" s="233">
        <v>100</v>
      </c>
      <c r="T359" s="231">
        <f t="shared" si="101"/>
        <v>0</v>
      </c>
      <c r="U359" s="231">
        <f t="shared" si="94"/>
        <v>0</v>
      </c>
      <c r="V359" s="296">
        <f t="shared" si="92"/>
        <v>100</v>
      </c>
      <c r="W359" s="231"/>
      <c r="X359" s="231" t="e">
        <f>#REF!</f>
        <v>#REF!</v>
      </c>
      <c r="Y359" s="231" t="e">
        <f>#REF!</f>
        <v>#REF!</v>
      </c>
      <c r="Z359" s="231" t="e">
        <f>#REF!</f>
        <v>#REF!</v>
      </c>
      <c r="AA359" s="231" t="e">
        <f>#REF!</f>
        <v>#REF!</v>
      </c>
      <c r="AB359" s="231">
        <v>192786500</v>
      </c>
      <c r="AC359" s="231" t="e">
        <f>#REF!</f>
        <v>#REF!</v>
      </c>
      <c r="AD359" s="231" t="e">
        <f>#REF!</f>
        <v>#REF!</v>
      </c>
      <c r="AE359" s="231" t="e">
        <f>#REF!</f>
        <v>#REF!</v>
      </c>
      <c r="AF359" s="231" t="e">
        <f>[1]April!N66</f>
        <v>#REF!</v>
      </c>
      <c r="AG359" s="231" t="e">
        <f>[2]april!N66</f>
        <v>#REF!</v>
      </c>
      <c r="AH359" s="231">
        <f>'[3]DES SKPD'!$N66</f>
        <v>558385000</v>
      </c>
      <c r="AI359" s="231">
        <f>SUM(AI360:AI371)</f>
        <v>0</v>
      </c>
      <c r="AJ359" s="233">
        <f t="shared" si="102"/>
        <v>0</v>
      </c>
      <c r="AK359" s="234">
        <f t="shared" si="105"/>
        <v>412540000</v>
      </c>
      <c r="AL359" s="233">
        <f t="shared" si="103"/>
        <v>100</v>
      </c>
      <c r="AM359" s="227"/>
    </row>
    <row r="360" spans="1:39" ht="29.25" customHeight="1" x14ac:dyDescent="0.25">
      <c r="A360" s="243"/>
      <c r="B360" s="244"/>
      <c r="C360" s="244"/>
      <c r="D360" s="244"/>
      <c r="E360" s="244"/>
      <c r="F360" s="244"/>
      <c r="G360" s="244"/>
      <c r="H360" s="244"/>
      <c r="I360" s="298"/>
      <c r="J360" s="244" t="s">
        <v>259</v>
      </c>
      <c r="K360" s="245"/>
      <c r="L360" s="257"/>
      <c r="M360" s="591" t="s">
        <v>260</v>
      </c>
      <c r="N360" s="592"/>
      <c r="O360" s="179"/>
      <c r="P360" s="180"/>
      <c r="Q360" s="180">
        <v>3080000</v>
      </c>
      <c r="R360" s="181">
        <f t="shared" ref="R360:R371" si="106">Q360/Q$359*100</f>
        <v>0.74659426964657971</v>
      </c>
      <c r="S360" s="181">
        <v>100</v>
      </c>
      <c r="T360" s="180">
        <f t="shared" si="101"/>
        <v>0</v>
      </c>
      <c r="U360" s="180">
        <f t="shared" si="94"/>
        <v>0</v>
      </c>
      <c r="V360" s="182">
        <f t="shared" si="92"/>
        <v>100</v>
      </c>
      <c r="W360" s="180"/>
      <c r="X360" s="180"/>
      <c r="Y360" s="180"/>
      <c r="Z360" s="180"/>
      <c r="AA360" s="180"/>
      <c r="AB360" s="180"/>
      <c r="AC360" s="180"/>
      <c r="AD360" s="180"/>
      <c r="AE360" s="180"/>
      <c r="AF360" s="180"/>
      <c r="AG360" s="180"/>
      <c r="AH360" s="180"/>
      <c r="AI360" s="180">
        <v>0</v>
      </c>
      <c r="AJ360" s="181">
        <f t="shared" si="102"/>
        <v>0</v>
      </c>
      <c r="AK360" s="246">
        <f t="shared" si="105"/>
        <v>3080000</v>
      </c>
      <c r="AL360" s="181">
        <f t="shared" si="103"/>
        <v>100</v>
      </c>
      <c r="AM360" s="243"/>
    </row>
    <row r="361" spans="1:39" ht="29.25" customHeight="1" x14ac:dyDescent="0.25">
      <c r="A361" s="243"/>
      <c r="B361" s="244"/>
      <c r="C361" s="244"/>
      <c r="D361" s="244"/>
      <c r="E361" s="244"/>
      <c r="F361" s="244"/>
      <c r="G361" s="244"/>
      <c r="H361" s="244"/>
      <c r="I361" s="298"/>
      <c r="J361" s="244" t="s">
        <v>347</v>
      </c>
      <c r="K361" s="245"/>
      <c r="L361" s="257"/>
      <c r="M361" s="591" t="s">
        <v>348</v>
      </c>
      <c r="N361" s="592"/>
      <c r="O361" s="179"/>
      <c r="P361" s="180"/>
      <c r="Q361" s="180">
        <v>57400000</v>
      </c>
      <c r="R361" s="181">
        <f t="shared" si="106"/>
        <v>13.913802297958986</v>
      </c>
      <c r="S361" s="181">
        <v>100</v>
      </c>
      <c r="T361" s="180">
        <f t="shared" si="101"/>
        <v>0</v>
      </c>
      <c r="U361" s="180">
        <f t="shared" ref="U361:U424" si="107">R361*T361/100</f>
        <v>0</v>
      </c>
      <c r="V361" s="182">
        <f t="shared" si="92"/>
        <v>100</v>
      </c>
      <c r="W361" s="180"/>
      <c r="X361" s="180"/>
      <c r="Y361" s="180"/>
      <c r="Z361" s="180"/>
      <c r="AA361" s="180"/>
      <c r="AB361" s="180"/>
      <c r="AC361" s="180"/>
      <c r="AD361" s="180"/>
      <c r="AE361" s="180"/>
      <c r="AF361" s="180"/>
      <c r="AG361" s="180"/>
      <c r="AH361" s="180"/>
      <c r="AI361" s="180">
        <v>0</v>
      </c>
      <c r="AJ361" s="181">
        <f t="shared" si="102"/>
        <v>0</v>
      </c>
      <c r="AK361" s="246">
        <f t="shared" si="105"/>
        <v>57400000</v>
      </c>
      <c r="AL361" s="181">
        <f t="shared" si="103"/>
        <v>100</v>
      </c>
      <c r="AM361" s="243"/>
    </row>
    <row r="362" spans="1:39" ht="29.25" customHeight="1" x14ac:dyDescent="0.25">
      <c r="A362" s="243"/>
      <c r="B362" s="244"/>
      <c r="C362" s="244"/>
      <c r="D362" s="244"/>
      <c r="E362" s="244"/>
      <c r="F362" s="244"/>
      <c r="G362" s="244"/>
      <c r="H362" s="244"/>
      <c r="I362" s="298"/>
      <c r="J362" s="244" t="s">
        <v>323</v>
      </c>
      <c r="K362" s="245"/>
      <c r="L362" s="257"/>
      <c r="M362" s="591" t="s">
        <v>324</v>
      </c>
      <c r="N362" s="592"/>
      <c r="O362" s="179"/>
      <c r="P362" s="180"/>
      <c r="Q362" s="180">
        <v>24084000</v>
      </c>
      <c r="R362" s="181">
        <f t="shared" si="106"/>
        <v>5.8379793474572166</v>
      </c>
      <c r="S362" s="181">
        <v>100</v>
      </c>
      <c r="T362" s="180">
        <f t="shared" si="101"/>
        <v>0</v>
      </c>
      <c r="U362" s="180">
        <f t="shared" si="107"/>
        <v>0</v>
      </c>
      <c r="V362" s="182">
        <f t="shared" si="92"/>
        <v>100</v>
      </c>
      <c r="W362" s="180"/>
      <c r="X362" s="180"/>
      <c r="Y362" s="180"/>
      <c r="Z362" s="180"/>
      <c r="AA362" s="180"/>
      <c r="AB362" s="180"/>
      <c r="AC362" s="180"/>
      <c r="AD362" s="180"/>
      <c r="AE362" s="180"/>
      <c r="AF362" s="180"/>
      <c r="AG362" s="180"/>
      <c r="AH362" s="180"/>
      <c r="AI362" s="180">
        <v>0</v>
      </c>
      <c r="AJ362" s="181">
        <f t="shared" si="102"/>
        <v>0</v>
      </c>
      <c r="AK362" s="246">
        <f t="shared" si="105"/>
        <v>24084000</v>
      </c>
      <c r="AL362" s="181">
        <f t="shared" si="103"/>
        <v>100</v>
      </c>
      <c r="AM362" s="243"/>
    </row>
    <row r="363" spans="1:39" ht="29.25" customHeight="1" x14ac:dyDescent="0.25">
      <c r="A363" s="243"/>
      <c r="B363" s="244"/>
      <c r="C363" s="244"/>
      <c r="D363" s="244"/>
      <c r="E363" s="244"/>
      <c r="F363" s="244"/>
      <c r="G363" s="244"/>
      <c r="H363" s="244"/>
      <c r="I363" s="298"/>
      <c r="J363" s="244" t="s">
        <v>269</v>
      </c>
      <c r="K363" s="245"/>
      <c r="L363" s="257"/>
      <c r="M363" s="591" t="s">
        <v>270</v>
      </c>
      <c r="N363" s="592"/>
      <c r="O363" s="179"/>
      <c r="P363" s="180"/>
      <c r="Q363" s="180">
        <v>1500000</v>
      </c>
      <c r="R363" s="181">
        <f t="shared" si="106"/>
        <v>0.36360110534736023</v>
      </c>
      <c r="S363" s="181">
        <v>100</v>
      </c>
      <c r="T363" s="180">
        <f t="shared" si="101"/>
        <v>0</v>
      </c>
      <c r="U363" s="180">
        <f t="shared" si="107"/>
        <v>0</v>
      </c>
      <c r="V363" s="182">
        <f t="shared" si="92"/>
        <v>100</v>
      </c>
      <c r="W363" s="180"/>
      <c r="X363" s="180"/>
      <c r="Y363" s="180"/>
      <c r="Z363" s="180"/>
      <c r="AA363" s="180"/>
      <c r="AB363" s="180"/>
      <c r="AC363" s="180"/>
      <c r="AD363" s="180"/>
      <c r="AE363" s="180"/>
      <c r="AF363" s="180"/>
      <c r="AG363" s="180"/>
      <c r="AH363" s="180"/>
      <c r="AI363" s="180">
        <v>0</v>
      </c>
      <c r="AJ363" s="181">
        <f t="shared" si="102"/>
        <v>0</v>
      </c>
      <c r="AK363" s="246">
        <f t="shared" si="105"/>
        <v>1500000</v>
      </c>
      <c r="AL363" s="181">
        <f t="shared" si="103"/>
        <v>100</v>
      </c>
      <c r="AM363" s="243"/>
    </row>
    <row r="364" spans="1:39" ht="29.25" customHeight="1" x14ac:dyDescent="0.25">
      <c r="A364" s="243"/>
      <c r="B364" s="244"/>
      <c r="C364" s="244"/>
      <c r="D364" s="244"/>
      <c r="E364" s="244"/>
      <c r="F364" s="244"/>
      <c r="G364" s="244"/>
      <c r="H364" s="244"/>
      <c r="I364" s="298"/>
      <c r="J364" s="244" t="s">
        <v>315</v>
      </c>
      <c r="K364" s="245"/>
      <c r="L364" s="257"/>
      <c r="M364" s="591" t="s">
        <v>271</v>
      </c>
      <c r="N364" s="592"/>
      <c r="O364" s="179"/>
      <c r="P364" s="180"/>
      <c r="Q364" s="180">
        <v>3116000</v>
      </c>
      <c r="R364" s="181">
        <f t="shared" si="106"/>
        <v>0.75532069617491637</v>
      </c>
      <c r="S364" s="181">
        <v>100</v>
      </c>
      <c r="T364" s="180">
        <f t="shared" si="101"/>
        <v>0</v>
      </c>
      <c r="U364" s="180">
        <f t="shared" si="107"/>
        <v>0</v>
      </c>
      <c r="V364" s="182">
        <f t="shared" si="92"/>
        <v>100</v>
      </c>
      <c r="W364" s="180"/>
      <c r="X364" s="180"/>
      <c r="Y364" s="180"/>
      <c r="Z364" s="180"/>
      <c r="AA364" s="180"/>
      <c r="AB364" s="180"/>
      <c r="AC364" s="180"/>
      <c r="AD364" s="180"/>
      <c r="AE364" s="180"/>
      <c r="AF364" s="180"/>
      <c r="AG364" s="180"/>
      <c r="AH364" s="180"/>
      <c r="AI364" s="180">
        <v>0</v>
      </c>
      <c r="AJ364" s="181">
        <f t="shared" si="102"/>
        <v>0</v>
      </c>
      <c r="AK364" s="246">
        <f t="shared" si="105"/>
        <v>3116000</v>
      </c>
      <c r="AL364" s="181">
        <f t="shared" si="103"/>
        <v>100</v>
      </c>
      <c r="AM364" s="243"/>
    </row>
    <row r="365" spans="1:39" ht="29.25" customHeight="1" x14ac:dyDescent="0.25">
      <c r="A365" s="243"/>
      <c r="B365" s="244"/>
      <c r="C365" s="244"/>
      <c r="D365" s="244"/>
      <c r="E365" s="244"/>
      <c r="F365" s="244"/>
      <c r="G365" s="244"/>
      <c r="H365" s="244"/>
      <c r="I365" s="298"/>
      <c r="J365" s="244" t="s">
        <v>316</v>
      </c>
      <c r="K365" s="245"/>
      <c r="L365" s="257"/>
      <c r="M365" s="591" t="s">
        <v>317</v>
      </c>
      <c r="N365" s="592"/>
      <c r="O365" s="179"/>
      <c r="P365" s="180"/>
      <c r="Q365" s="180">
        <v>2000000</v>
      </c>
      <c r="R365" s="181">
        <f t="shared" si="106"/>
        <v>0.48480147379648031</v>
      </c>
      <c r="S365" s="181">
        <v>100</v>
      </c>
      <c r="T365" s="180">
        <f t="shared" si="101"/>
        <v>0</v>
      </c>
      <c r="U365" s="180">
        <f t="shared" si="107"/>
        <v>0</v>
      </c>
      <c r="V365" s="182">
        <f t="shared" si="92"/>
        <v>100</v>
      </c>
      <c r="W365" s="180"/>
      <c r="X365" s="180"/>
      <c r="Y365" s="180"/>
      <c r="Z365" s="180"/>
      <c r="AA365" s="180"/>
      <c r="AB365" s="180"/>
      <c r="AC365" s="180"/>
      <c r="AD365" s="180"/>
      <c r="AE365" s="180"/>
      <c r="AF365" s="180"/>
      <c r="AG365" s="180"/>
      <c r="AH365" s="180"/>
      <c r="AI365" s="180">
        <v>0</v>
      </c>
      <c r="AJ365" s="181">
        <f t="shared" si="102"/>
        <v>0</v>
      </c>
      <c r="AK365" s="246">
        <f t="shared" si="105"/>
        <v>2000000</v>
      </c>
      <c r="AL365" s="181">
        <f t="shared" si="103"/>
        <v>100</v>
      </c>
      <c r="AM365" s="243"/>
    </row>
    <row r="366" spans="1:39" ht="29.25" customHeight="1" x14ac:dyDescent="0.25">
      <c r="A366" s="243"/>
      <c r="B366" s="244"/>
      <c r="C366" s="244"/>
      <c r="D366" s="244"/>
      <c r="E366" s="244"/>
      <c r="F366" s="244"/>
      <c r="G366" s="244"/>
      <c r="H366" s="244"/>
      <c r="I366" s="298"/>
      <c r="J366" s="244" t="s">
        <v>318</v>
      </c>
      <c r="K366" s="245"/>
      <c r="L366" s="257"/>
      <c r="M366" s="591" t="s">
        <v>319</v>
      </c>
      <c r="N366" s="592"/>
      <c r="O366" s="179"/>
      <c r="P366" s="180"/>
      <c r="Q366" s="180">
        <v>105200000</v>
      </c>
      <c r="R366" s="181">
        <f t="shared" si="106"/>
        <v>25.500557521694866</v>
      </c>
      <c r="S366" s="181">
        <v>100</v>
      </c>
      <c r="T366" s="180">
        <f t="shared" si="101"/>
        <v>0</v>
      </c>
      <c r="U366" s="180">
        <f t="shared" si="107"/>
        <v>0</v>
      </c>
      <c r="V366" s="182">
        <f t="shared" si="92"/>
        <v>100</v>
      </c>
      <c r="W366" s="180"/>
      <c r="X366" s="180"/>
      <c r="Y366" s="180"/>
      <c r="Z366" s="180"/>
      <c r="AA366" s="180"/>
      <c r="AB366" s="180"/>
      <c r="AC366" s="180"/>
      <c r="AD366" s="180"/>
      <c r="AE366" s="180"/>
      <c r="AF366" s="180"/>
      <c r="AG366" s="180"/>
      <c r="AH366" s="180"/>
      <c r="AI366" s="180">
        <v>0</v>
      </c>
      <c r="AJ366" s="181">
        <f t="shared" si="102"/>
        <v>0</v>
      </c>
      <c r="AK366" s="246">
        <f t="shared" si="105"/>
        <v>105200000</v>
      </c>
      <c r="AL366" s="181">
        <f t="shared" si="103"/>
        <v>100</v>
      </c>
      <c r="AM366" s="243"/>
    </row>
    <row r="367" spans="1:39" ht="29.25" customHeight="1" x14ac:dyDescent="0.25">
      <c r="A367" s="243"/>
      <c r="B367" s="244"/>
      <c r="C367" s="244"/>
      <c r="D367" s="244"/>
      <c r="E367" s="244"/>
      <c r="F367" s="244"/>
      <c r="G367" s="244"/>
      <c r="H367" s="244"/>
      <c r="I367" s="298"/>
      <c r="J367" s="244" t="s">
        <v>284</v>
      </c>
      <c r="K367" s="245"/>
      <c r="L367" s="257"/>
      <c r="M367" s="591" t="s">
        <v>285</v>
      </c>
      <c r="N367" s="592"/>
      <c r="O367" s="179"/>
      <c r="P367" s="180"/>
      <c r="Q367" s="180">
        <v>14740000</v>
      </c>
      <c r="R367" s="181">
        <f t="shared" si="106"/>
        <v>3.57298686188006</v>
      </c>
      <c r="S367" s="181">
        <v>100</v>
      </c>
      <c r="T367" s="180">
        <f t="shared" si="101"/>
        <v>0</v>
      </c>
      <c r="U367" s="180">
        <f t="shared" si="107"/>
        <v>0</v>
      </c>
      <c r="V367" s="182">
        <f t="shared" si="92"/>
        <v>100</v>
      </c>
      <c r="W367" s="180"/>
      <c r="X367" s="180"/>
      <c r="Y367" s="180"/>
      <c r="Z367" s="180"/>
      <c r="AA367" s="180"/>
      <c r="AB367" s="180"/>
      <c r="AC367" s="180"/>
      <c r="AD367" s="180"/>
      <c r="AE367" s="180"/>
      <c r="AF367" s="180"/>
      <c r="AG367" s="180"/>
      <c r="AH367" s="180"/>
      <c r="AI367" s="180">
        <v>0</v>
      </c>
      <c r="AJ367" s="181">
        <f t="shared" si="102"/>
        <v>0</v>
      </c>
      <c r="AK367" s="246">
        <f t="shared" si="105"/>
        <v>14740000</v>
      </c>
      <c r="AL367" s="181">
        <f t="shared" si="103"/>
        <v>100</v>
      </c>
      <c r="AM367" s="243"/>
    </row>
    <row r="368" spans="1:39" ht="29.25" customHeight="1" x14ac:dyDescent="0.25">
      <c r="A368" s="243"/>
      <c r="B368" s="244"/>
      <c r="C368" s="244"/>
      <c r="D368" s="244"/>
      <c r="E368" s="244"/>
      <c r="F368" s="244"/>
      <c r="G368" s="244"/>
      <c r="H368" s="244"/>
      <c r="I368" s="298"/>
      <c r="J368" s="244" t="s">
        <v>282</v>
      </c>
      <c r="K368" s="245"/>
      <c r="L368" s="257"/>
      <c r="M368" s="591" t="s">
        <v>283</v>
      </c>
      <c r="N368" s="592"/>
      <c r="O368" s="179"/>
      <c r="P368" s="180"/>
      <c r="Q368" s="180">
        <v>88420000</v>
      </c>
      <c r="R368" s="181">
        <f t="shared" si="106"/>
        <v>21.433073156542395</v>
      </c>
      <c r="S368" s="181">
        <v>100</v>
      </c>
      <c r="T368" s="180">
        <f t="shared" si="101"/>
        <v>0</v>
      </c>
      <c r="U368" s="180">
        <f t="shared" si="107"/>
        <v>0</v>
      </c>
      <c r="V368" s="182">
        <f t="shared" si="92"/>
        <v>100</v>
      </c>
      <c r="W368" s="180"/>
      <c r="X368" s="180"/>
      <c r="Y368" s="180"/>
      <c r="Z368" s="180"/>
      <c r="AA368" s="180"/>
      <c r="AB368" s="180"/>
      <c r="AC368" s="180"/>
      <c r="AD368" s="180"/>
      <c r="AE368" s="180"/>
      <c r="AF368" s="180"/>
      <c r="AG368" s="180"/>
      <c r="AH368" s="180"/>
      <c r="AI368" s="180">
        <v>0</v>
      </c>
      <c r="AJ368" s="181">
        <f t="shared" si="102"/>
        <v>0</v>
      </c>
      <c r="AK368" s="246">
        <f t="shared" si="105"/>
        <v>88420000</v>
      </c>
      <c r="AL368" s="181">
        <f t="shared" si="103"/>
        <v>100</v>
      </c>
      <c r="AM368" s="243"/>
    </row>
    <row r="369" spans="1:39" ht="29.25" customHeight="1" x14ac:dyDescent="0.25">
      <c r="A369" s="243"/>
      <c r="B369" s="244"/>
      <c r="C369" s="244"/>
      <c r="D369" s="244"/>
      <c r="E369" s="244"/>
      <c r="F369" s="244"/>
      <c r="G369" s="244"/>
      <c r="H369" s="244"/>
      <c r="I369" s="298"/>
      <c r="J369" s="244" t="s">
        <v>320</v>
      </c>
      <c r="K369" s="245"/>
      <c r="L369" s="257"/>
      <c r="M369" s="591" t="s">
        <v>321</v>
      </c>
      <c r="N369" s="592"/>
      <c r="O369" s="179"/>
      <c r="P369" s="180"/>
      <c r="Q369" s="180">
        <v>65600000</v>
      </c>
      <c r="R369" s="181">
        <f t="shared" si="106"/>
        <v>15.901488340524555</v>
      </c>
      <c r="S369" s="181">
        <v>100</v>
      </c>
      <c r="T369" s="180">
        <f t="shared" si="101"/>
        <v>0</v>
      </c>
      <c r="U369" s="180">
        <f t="shared" si="107"/>
        <v>0</v>
      </c>
      <c r="V369" s="182">
        <f t="shared" si="92"/>
        <v>100</v>
      </c>
      <c r="W369" s="180"/>
      <c r="X369" s="180"/>
      <c r="Y369" s="180"/>
      <c r="Z369" s="180"/>
      <c r="AA369" s="180"/>
      <c r="AB369" s="180"/>
      <c r="AC369" s="180"/>
      <c r="AD369" s="180"/>
      <c r="AE369" s="180"/>
      <c r="AF369" s="180"/>
      <c r="AG369" s="180"/>
      <c r="AH369" s="180"/>
      <c r="AI369" s="180">
        <v>0</v>
      </c>
      <c r="AJ369" s="181">
        <f t="shared" si="102"/>
        <v>0</v>
      </c>
      <c r="AK369" s="246">
        <f t="shared" si="105"/>
        <v>65600000</v>
      </c>
      <c r="AL369" s="181">
        <f t="shared" si="103"/>
        <v>100</v>
      </c>
      <c r="AM369" s="243"/>
    </row>
    <row r="370" spans="1:39" ht="29.25" customHeight="1" x14ac:dyDescent="0.25">
      <c r="A370" s="243"/>
      <c r="B370" s="244"/>
      <c r="C370" s="244"/>
      <c r="D370" s="244"/>
      <c r="E370" s="244"/>
      <c r="F370" s="244"/>
      <c r="G370" s="244"/>
      <c r="H370" s="244"/>
      <c r="I370" s="298"/>
      <c r="J370" s="244" t="s">
        <v>320</v>
      </c>
      <c r="K370" s="245"/>
      <c r="L370" s="257"/>
      <c r="M370" s="591" t="s">
        <v>414</v>
      </c>
      <c r="N370" s="592"/>
      <c r="O370" s="179"/>
      <c r="P370" s="180"/>
      <c r="Q370" s="180">
        <v>18600000</v>
      </c>
      <c r="R370" s="181">
        <f t="shared" si="106"/>
        <v>4.5086537063072676</v>
      </c>
      <c r="S370" s="181">
        <v>100</v>
      </c>
      <c r="T370" s="180">
        <f t="shared" si="101"/>
        <v>0</v>
      </c>
      <c r="U370" s="180">
        <f t="shared" si="107"/>
        <v>0</v>
      </c>
      <c r="V370" s="182">
        <f t="shared" si="92"/>
        <v>100</v>
      </c>
      <c r="W370" s="180"/>
      <c r="X370" s="180"/>
      <c r="Y370" s="180"/>
      <c r="Z370" s="180"/>
      <c r="AA370" s="180"/>
      <c r="AB370" s="180"/>
      <c r="AC370" s="180"/>
      <c r="AD370" s="180"/>
      <c r="AE370" s="180"/>
      <c r="AF370" s="180"/>
      <c r="AG370" s="180"/>
      <c r="AH370" s="180"/>
      <c r="AI370" s="180">
        <v>0</v>
      </c>
      <c r="AJ370" s="181">
        <f t="shared" si="102"/>
        <v>0</v>
      </c>
      <c r="AK370" s="246">
        <f t="shared" si="105"/>
        <v>18600000</v>
      </c>
      <c r="AL370" s="181">
        <f t="shared" si="103"/>
        <v>100</v>
      </c>
      <c r="AM370" s="243"/>
    </row>
    <row r="371" spans="1:39" ht="29.25" customHeight="1" x14ac:dyDescent="0.25">
      <c r="A371" s="243"/>
      <c r="B371" s="244"/>
      <c r="C371" s="244"/>
      <c r="D371" s="244"/>
      <c r="E371" s="244"/>
      <c r="F371" s="244"/>
      <c r="G371" s="244"/>
      <c r="H371" s="244"/>
      <c r="I371" s="298"/>
      <c r="J371" s="244" t="s">
        <v>350</v>
      </c>
      <c r="K371" s="245"/>
      <c r="L371" s="257"/>
      <c r="M371" s="591" t="s">
        <v>550</v>
      </c>
      <c r="N371" s="592"/>
      <c r="O371" s="179"/>
      <c r="P371" s="180"/>
      <c r="Q371" s="180">
        <v>28800000</v>
      </c>
      <c r="R371" s="181">
        <f t="shared" si="106"/>
        <v>6.9811412226693168</v>
      </c>
      <c r="S371" s="181">
        <v>100</v>
      </c>
      <c r="T371" s="180">
        <f t="shared" si="101"/>
        <v>0</v>
      </c>
      <c r="U371" s="180">
        <f t="shared" si="107"/>
        <v>0</v>
      </c>
      <c r="V371" s="182">
        <f t="shared" si="92"/>
        <v>100</v>
      </c>
      <c r="W371" s="180"/>
      <c r="X371" s="180"/>
      <c r="Y371" s="180"/>
      <c r="Z371" s="180"/>
      <c r="AA371" s="180"/>
      <c r="AB371" s="180"/>
      <c r="AC371" s="180"/>
      <c r="AD371" s="180"/>
      <c r="AE371" s="180"/>
      <c r="AF371" s="180"/>
      <c r="AG371" s="180"/>
      <c r="AH371" s="180"/>
      <c r="AI371" s="180">
        <v>0</v>
      </c>
      <c r="AJ371" s="181">
        <f t="shared" si="102"/>
        <v>0</v>
      </c>
      <c r="AK371" s="246">
        <f t="shared" si="105"/>
        <v>28800000</v>
      </c>
      <c r="AL371" s="181">
        <f t="shared" si="103"/>
        <v>100</v>
      </c>
      <c r="AM371" s="243"/>
    </row>
    <row r="372" spans="1:39" s="297" customFormat="1" ht="24.75" customHeight="1" x14ac:dyDescent="0.25">
      <c r="A372" s="227">
        <f>SUM(A359+1)</f>
        <v>45</v>
      </c>
      <c r="B372" s="615" t="s">
        <v>147</v>
      </c>
      <c r="C372" s="615"/>
      <c r="D372" s="615"/>
      <c r="E372" s="615"/>
      <c r="F372" s="615"/>
      <c r="G372" s="615"/>
      <c r="H372" s="615"/>
      <c r="I372" s="614"/>
      <c r="J372" s="304" t="s">
        <v>495</v>
      </c>
      <c r="K372" s="230"/>
      <c r="L372" s="294"/>
      <c r="M372" s="610" t="s">
        <v>50</v>
      </c>
      <c r="N372" s="610"/>
      <c r="O372" s="309">
        <v>509540000</v>
      </c>
      <c r="P372" s="231">
        <f>O372</f>
        <v>509540000</v>
      </c>
      <c r="Q372" s="231">
        <f>SUM(Q373:Q381)</f>
        <v>351260000</v>
      </c>
      <c r="R372" s="233">
        <f>Q372/Q$243*100</f>
        <v>3.1617228335733216</v>
      </c>
      <c r="S372" s="233">
        <v>100</v>
      </c>
      <c r="T372" s="231">
        <f t="shared" si="101"/>
        <v>0</v>
      </c>
      <c r="U372" s="231">
        <f t="shared" si="107"/>
        <v>0</v>
      </c>
      <c r="V372" s="296">
        <f t="shared" si="92"/>
        <v>100</v>
      </c>
      <c r="W372" s="231"/>
      <c r="X372" s="231" t="e">
        <f>#REF!</f>
        <v>#REF!</v>
      </c>
      <c r="Y372" s="231" t="e">
        <f>#REF!</f>
        <v>#REF!</v>
      </c>
      <c r="Z372" s="231" t="e">
        <f>#REF!</f>
        <v>#REF!</v>
      </c>
      <c r="AA372" s="231" t="e">
        <f>#REF!</f>
        <v>#REF!</v>
      </c>
      <c r="AB372" s="231">
        <v>227840500</v>
      </c>
      <c r="AC372" s="231" t="e">
        <f>#REF!</f>
        <v>#REF!</v>
      </c>
      <c r="AD372" s="231" t="e">
        <f>#REF!</f>
        <v>#REF!</v>
      </c>
      <c r="AE372" s="231" t="e">
        <f>#REF!</f>
        <v>#REF!</v>
      </c>
      <c r="AF372" s="231" t="e">
        <f>[1]April!N68</f>
        <v>#REF!</v>
      </c>
      <c r="AG372" s="231" t="e">
        <f>[2]april!N68</f>
        <v>#REF!</v>
      </c>
      <c r="AH372" s="231">
        <f>'[3]DES SKPD'!$N68</f>
        <v>375022000</v>
      </c>
      <c r="AI372" s="231">
        <f>SUM(AI373:AI381)</f>
        <v>0</v>
      </c>
      <c r="AJ372" s="233">
        <f t="shared" si="102"/>
        <v>0</v>
      </c>
      <c r="AK372" s="234">
        <f t="shared" si="105"/>
        <v>351260000</v>
      </c>
      <c r="AL372" s="233">
        <f t="shared" si="103"/>
        <v>100</v>
      </c>
      <c r="AM372" s="227"/>
    </row>
    <row r="373" spans="1:39" ht="24.75" customHeight="1" x14ac:dyDescent="0.25">
      <c r="A373" s="243"/>
      <c r="B373" s="244"/>
      <c r="C373" s="244"/>
      <c r="D373" s="244"/>
      <c r="E373" s="244"/>
      <c r="F373" s="244"/>
      <c r="G373" s="244"/>
      <c r="H373" s="244"/>
      <c r="I373" s="298"/>
      <c r="J373" s="244" t="s">
        <v>259</v>
      </c>
      <c r="K373" s="245"/>
      <c r="L373" s="257"/>
      <c r="M373" s="591" t="s">
        <v>260</v>
      </c>
      <c r="N373" s="592"/>
      <c r="O373" s="179"/>
      <c r="P373" s="180"/>
      <c r="Q373" s="180">
        <v>4620000</v>
      </c>
      <c r="R373" s="181">
        <f t="shared" ref="R373:R381" si="108">Q373/Q$372*100</f>
        <v>1.3152650458349939</v>
      </c>
      <c r="S373" s="181">
        <v>100</v>
      </c>
      <c r="T373" s="180">
        <f t="shared" si="101"/>
        <v>0</v>
      </c>
      <c r="U373" s="180">
        <f t="shared" si="107"/>
        <v>0</v>
      </c>
      <c r="V373" s="182">
        <f t="shared" si="92"/>
        <v>100</v>
      </c>
      <c r="W373" s="180"/>
      <c r="X373" s="180"/>
      <c r="Y373" s="180"/>
      <c r="Z373" s="180"/>
      <c r="AA373" s="180"/>
      <c r="AB373" s="180"/>
      <c r="AC373" s="180"/>
      <c r="AD373" s="180"/>
      <c r="AE373" s="180"/>
      <c r="AF373" s="180"/>
      <c r="AG373" s="180"/>
      <c r="AH373" s="180"/>
      <c r="AI373" s="180">
        <v>0</v>
      </c>
      <c r="AJ373" s="181">
        <f t="shared" si="102"/>
        <v>0</v>
      </c>
      <c r="AK373" s="246">
        <f t="shared" si="105"/>
        <v>4620000</v>
      </c>
      <c r="AL373" s="181">
        <f t="shared" si="103"/>
        <v>100</v>
      </c>
      <c r="AM373" s="243"/>
    </row>
    <row r="374" spans="1:39" ht="24.75" customHeight="1" x14ac:dyDescent="0.25">
      <c r="A374" s="243"/>
      <c r="B374" s="244"/>
      <c r="C374" s="244"/>
      <c r="D374" s="244"/>
      <c r="E374" s="244"/>
      <c r="F374" s="244"/>
      <c r="G374" s="244"/>
      <c r="H374" s="244"/>
      <c r="I374" s="298"/>
      <c r="J374" s="244" t="s">
        <v>323</v>
      </c>
      <c r="K374" s="245"/>
      <c r="L374" s="257"/>
      <c r="M374" s="591" t="s">
        <v>609</v>
      </c>
      <c r="N374" s="592"/>
      <c r="O374" s="179"/>
      <c r="P374" s="180"/>
      <c r="Q374" s="180">
        <v>18900000</v>
      </c>
      <c r="R374" s="181">
        <f t="shared" si="108"/>
        <v>5.3806297329613395</v>
      </c>
      <c r="S374" s="181">
        <v>100</v>
      </c>
      <c r="T374" s="180">
        <f t="shared" si="101"/>
        <v>0</v>
      </c>
      <c r="U374" s="180">
        <f t="shared" si="107"/>
        <v>0</v>
      </c>
      <c r="V374" s="182">
        <f t="shared" si="92"/>
        <v>100</v>
      </c>
      <c r="W374" s="180"/>
      <c r="X374" s="180"/>
      <c r="Y374" s="180"/>
      <c r="Z374" s="180"/>
      <c r="AA374" s="180"/>
      <c r="AB374" s="180"/>
      <c r="AC374" s="180"/>
      <c r="AD374" s="180"/>
      <c r="AE374" s="180"/>
      <c r="AF374" s="180"/>
      <c r="AG374" s="180"/>
      <c r="AH374" s="180"/>
      <c r="AI374" s="180">
        <v>0</v>
      </c>
      <c r="AJ374" s="181">
        <f t="shared" si="102"/>
        <v>0</v>
      </c>
      <c r="AK374" s="246">
        <f t="shared" si="105"/>
        <v>18900000</v>
      </c>
      <c r="AL374" s="181">
        <f t="shared" si="103"/>
        <v>100</v>
      </c>
      <c r="AM374" s="243"/>
    </row>
    <row r="375" spans="1:39" ht="24.75" customHeight="1" x14ac:dyDescent="0.25">
      <c r="A375" s="243"/>
      <c r="B375" s="244"/>
      <c r="C375" s="244"/>
      <c r="D375" s="244"/>
      <c r="E375" s="244"/>
      <c r="F375" s="244"/>
      <c r="G375" s="244"/>
      <c r="H375" s="244"/>
      <c r="I375" s="298"/>
      <c r="J375" s="244" t="s">
        <v>269</v>
      </c>
      <c r="K375" s="245"/>
      <c r="L375" s="257"/>
      <c r="M375" s="591" t="s">
        <v>352</v>
      </c>
      <c r="N375" s="592"/>
      <c r="O375" s="179"/>
      <c r="P375" s="180"/>
      <c r="Q375" s="180">
        <v>7500000</v>
      </c>
      <c r="R375" s="181">
        <f t="shared" si="108"/>
        <v>2.1351705289529126</v>
      </c>
      <c r="S375" s="181">
        <v>100</v>
      </c>
      <c r="T375" s="180">
        <f t="shared" si="101"/>
        <v>0</v>
      </c>
      <c r="U375" s="180">
        <f t="shared" si="107"/>
        <v>0</v>
      </c>
      <c r="V375" s="182">
        <f t="shared" si="92"/>
        <v>100</v>
      </c>
      <c r="W375" s="180"/>
      <c r="X375" s="180"/>
      <c r="Y375" s="180"/>
      <c r="Z375" s="180"/>
      <c r="AA375" s="180"/>
      <c r="AB375" s="180"/>
      <c r="AC375" s="180"/>
      <c r="AD375" s="180"/>
      <c r="AE375" s="180"/>
      <c r="AF375" s="180"/>
      <c r="AG375" s="180"/>
      <c r="AH375" s="180"/>
      <c r="AI375" s="180">
        <v>0</v>
      </c>
      <c r="AJ375" s="181">
        <f t="shared" si="102"/>
        <v>0</v>
      </c>
      <c r="AK375" s="246">
        <f t="shared" si="105"/>
        <v>7500000</v>
      </c>
      <c r="AL375" s="181">
        <f t="shared" si="103"/>
        <v>100</v>
      </c>
      <c r="AM375" s="243"/>
    </row>
    <row r="376" spans="1:39" ht="24.75" customHeight="1" x14ac:dyDescent="0.25">
      <c r="A376" s="243"/>
      <c r="B376" s="244"/>
      <c r="C376" s="244"/>
      <c r="D376" s="244"/>
      <c r="E376" s="244"/>
      <c r="F376" s="244"/>
      <c r="G376" s="244"/>
      <c r="H376" s="244"/>
      <c r="I376" s="298"/>
      <c r="J376" s="244" t="s">
        <v>315</v>
      </c>
      <c r="K376" s="245"/>
      <c r="L376" s="257"/>
      <c r="M376" s="591" t="s">
        <v>271</v>
      </c>
      <c r="N376" s="592"/>
      <c r="O376" s="179"/>
      <c r="P376" s="180"/>
      <c r="Q376" s="180">
        <v>7560000</v>
      </c>
      <c r="R376" s="181">
        <f t="shared" si="108"/>
        <v>2.1522518931845354</v>
      </c>
      <c r="S376" s="181">
        <v>100</v>
      </c>
      <c r="T376" s="180">
        <f t="shared" si="101"/>
        <v>0</v>
      </c>
      <c r="U376" s="180">
        <f t="shared" si="107"/>
        <v>0</v>
      </c>
      <c r="V376" s="182">
        <f t="shared" si="92"/>
        <v>100</v>
      </c>
      <c r="W376" s="180"/>
      <c r="X376" s="180"/>
      <c r="Y376" s="180"/>
      <c r="Z376" s="180"/>
      <c r="AA376" s="180"/>
      <c r="AB376" s="180"/>
      <c r="AC376" s="180"/>
      <c r="AD376" s="180"/>
      <c r="AE376" s="180"/>
      <c r="AF376" s="180"/>
      <c r="AG376" s="180"/>
      <c r="AH376" s="180"/>
      <c r="AI376" s="180">
        <v>0</v>
      </c>
      <c r="AJ376" s="181">
        <f t="shared" si="102"/>
        <v>0</v>
      </c>
      <c r="AK376" s="246">
        <f t="shared" si="105"/>
        <v>7560000</v>
      </c>
      <c r="AL376" s="181">
        <f t="shared" si="103"/>
        <v>100</v>
      </c>
      <c r="AM376" s="243"/>
    </row>
    <row r="377" spans="1:39" ht="24.75" customHeight="1" x14ac:dyDescent="0.25">
      <c r="A377" s="243"/>
      <c r="B377" s="244"/>
      <c r="C377" s="244"/>
      <c r="D377" s="244"/>
      <c r="E377" s="244"/>
      <c r="F377" s="244"/>
      <c r="G377" s="244"/>
      <c r="H377" s="244"/>
      <c r="I377" s="298"/>
      <c r="J377" s="244" t="s">
        <v>318</v>
      </c>
      <c r="K377" s="245"/>
      <c r="L377" s="257"/>
      <c r="M377" s="591" t="s">
        <v>319</v>
      </c>
      <c r="N377" s="592"/>
      <c r="O377" s="179"/>
      <c r="P377" s="180"/>
      <c r="Q377" s="180">
        <v>182850000</v>
      </c>
      <c r="R377" s="181">
        <f t="shared" si="108"/>
        <v>52.055457495872005</v>
      </c>
      <c r="S377" s="181">
        <v>100</v>
      </c>
      <c r="T377" s="180">
        <f t="shared" si="101"/>
        <v>0</v>
      </c>
      <c r="U377" s="180">
        <f t="shared" si="107"/>
        <v>0</v>
      </c>
      <c r="V377" s="182">
        <f t="shared" si="92"/>
        <v>100</v>
      </c>
      <c r="W377" s="180"/>
      <c r="X377" s="180"/>
      <c r="Y377" s="180"/>
      <c r="Z377" s="180"/>
      <c r="AA377" s="180"/>
      <c r="AB377" s="180"/>
      <c r="AC377" s="180"/>
      <c r="AD377" s="180"/>
      <c r="AE377" s="180"/>
      <c r="AF377" s="180"/>
      <c r="AG377" s="180"/>
      <c r="AH377" s="180"/>
      <c r="AI377" s="180">
        <v>0</v>
      </c>
      <c r="AJ377" s="181">
        <f t="shared" si="102"/>
        <v>0</v>
      </c>
      <c r="AK377" s="246">
        <f t="shared" si="105"/>
        <v>182850000</v>
      </c>
      <c r="AL377" s="181">
        <f t="shared" si="103"/>
        <v>100</v>
      </c>
      <c r="AM377" s="243"/>
    </row>
    <row r="378" spans="1:39" ht="24.75" customHeight="1" x14ac:dyDescent="0.25">
      <c r="A378" s="243"/>
      <c r="B378" s="244"/>
      <c r="C378" s="244"/>
      <c r="D378" s="244"/>
      <c r="E378" s="244"/>
      <c r="F378" s="244"/>
      <c r="G378" s="244"/>
      <c r="H378" s="244"/>
      <c r="I378" s="298"/>
      <c r="J378" s="244" t="s">
        <v>284</v>
      </c>
      <c r="K378" s="245"/>
      <c r="L378" s="257"/>
      <c r="M378" s="591" t="s">
        <v>285</v>
      </c>
      <c r="N378" s="592"/>
      <c r="O378" s="179"/>
      <c r="P378" s="180"/>
      <c r="Q378" s="180">
        <v>1320000</v>
      </c>
      <c r="R378" s="181">
        <f t="shared" si="108"/>
        <v>0.37579001309571258</v>
      </c>
      <c r="S378" s="181">
        <v>100</v>
      </c>
      <c r="T378" s="180">
        <f t="shared" si="101"/>
        <v>0</v>
      </c>
      <c r="U378" s="180">
        <f t="shared" si="107"/>
        <v>0</v>
      </c>
      <c r="V378" s="182">
        <f t="shared" si="92"/>
        <v>100</v>
      </c>
      <c r="W378" s="180"/>
      <c r="X378" s="180"/>
      <c r="Y378" s="180"/>
      <c r="Z378" s="180"/>
      <c r="AA378" s="180"/>
      <c r="AB378" s="180"/>
      <c r="AC378" s="180"/>
      <c r="AD378" s="180"/>
      <c r="AE378" s="180"/>
      <c r="AF378" s="180"/>
      <c r="AG378" s="180"/>
      <c r="AH378" s="180"/>
      <c r="AI378" s="180">
        <v>0</v>
      </c>
      <c r="AJ378" s="181">
        <f t="shared" si="102"/>
        <v>0</v>
      </c>
      <c r="AK378" s="246">
        <f t="shared" si="105"/>
        <v>1320000</v>
      </c>
      <c r="AL378" s="181">
        <f t="shared" si="103"/>
        <v>100</v>
      </c>
      <c r="AM378" s="243"/>
    </row>
    <row r="379" spans="1:39" ht="24.75" customHeight="1" x14ac:dyDescent="0.25">
      <c r="A379" s="243"/>
      <c r="B379" s="244"/>
      <c r="C379" s="244"/>
      <c r="D379" s="244"/>
      <c r="E379" s="244"/>
      <c r="F379" s="244"/>
      <c r="G379" s="244"/>
      <c r="H379" s="244"/>
      <c r="I379" s="298"/>
      <c r="J379" s="244" t="s">
        <v>282</v>
      </c>
      <c r="K379" s="245"/>
      <c r="L379" s="257"/>
      <c r="M379" s="591" t="s">
        <v>283</v>
      </c>
      <c r="N379" s="592"/>
      <c r="O379" s="179"/>
      <c r="P379" s="180"/>
      <c r="Q379" s="180">
        <v>108410000</v>
      </c>
      <c r="R379" s="181">
        <f t="shared" si="108"/>
        <v>30.863178272504697</v>
      </c>
      <c r="S379" s="181">
        <v>100</v>
      </c>
      <c r="T379" s="180">
        <f t="shared" si="101"/>
        <v>0</v>
      </c>
      <c r="U379" s="180">
        <f t="shared" si="107"/>
        <v>0</v>
      </c>
      <c r="V379" s="182">
        <f t="shared" si="92"/>
        <v>100</v>
      </c>
      <c r="W379" s="180"/>
      <c r="X379" s="180"/>
      <c r="Y379" s="180"/>
      <c r="Z379" s="180"/>
      <c r="AA379" s="180"/>
      <c r="AB379" s="180"/>
      <c r="AC379" s="180"/>
      <c r="AD379" s="180"/>
      <c r="AE379" s="180"/>
      <c r="AF379" s="180"/>
      <c r="AG379" s="180"/>
      <c r="AH379" s="180"/>
      <c r="AI379" s="180">
        <v>0</v>
      </c>
      <c r="AJ379" s="181">
        <f t="shared" si="102"/>
        <v>0</v>
      </c>
      <c r="AK379" s="246">
        <f t="shared" si="105"/>
        <v>108410000</v>
      </c>
      <c r="AL379" s="181">
        <f t="shared" si="103"/>
        <v>100</v>
      </c>
      <c r="AM379" s="243"/>
    </row>
    <row r="380" spans="1:39" ht="24.75" customHeight="1" x14ac:dyDescent="0.25">
      <c r="A380" s="243"/>
      <c r="B380" s="244"/>
      <c r="C380" s="244"/>
      <c r="D380" s="244"/>
      <c r="E380" s="244"/>
      <c r="F380" s="244"/>
      <c r="G380" s="244"/>
      <c r="H380" s="244"/>
      <c r="I380" s="298"/>
      <c r="J380" s="244" t="s">
        <v>320</v>
      </c>
      <c r="K380" s="245"/>
      <c r="L380" s="257"/>
      <c r="M380" s="591" t="s">
        <v>321</v>
      </c>
      <c r="N380" s="592"/>
      <c r="O380" s="179"/>
      <c r="P380" s="180"/>
      <c r="Q380" s="180">
        <v>16800000</v>
      </c>
      <c r="R380" s="181">
        <f t="shared" si="108"/>
        <v>4.7827819848545232</v>
      </c>
      <c r="S380" s="181">
        <v>100</v>
      </c>
      <c r="T380" s="180">
        <f t="shared" si="101"/>
        <v>0</v>
      </c>
      <c r="U380" s="180">
        <f t="shared" si="107"/>
        <v>0</v>
      </c>
      <c r="V380" s="182">
        <f t="shared" si="92"/>
        <v>100</v>
      </c>
      <c r="W380" s="180"/>
      <c r="X380" s="180"/>
      <c r="Y380" s="180"/>
      <c r="Z380" s="180"/>
      <c r="AA380" s="180"/>
      <c r="AB380" s="180"/>
      <c r="AC380" s="180"/>
      <c r="AD380" s="180"/>
      <c r="AE380" s="180"/>
      <c r="AF380" s="180"/>
      <c r="AG380" s="180"/>
      <c r="AH380" s="180"/>
      <c r="AI380" s="180">
        <v>0</v>
      </c>
      <c r="AJ380" s="181">
        <f t="shared" si="102"/>
        <v>0</v>
      </c>
      <c r="AK380" s="246">
        <f t="shared" si="105"/>
        <v>16800000</v>
      </c>
      <c r="AL380" s="181">
        <f t="shared" si="103"/>
        <v>100</v>
      </c>
      <c r="AM380" s="243"/>
    </row>
    <row r="381" spans="1:39" ht="24.75" customHeight="1" x14ac:dyDescent="0.25">
      <c r="A381" s="243"/>
      <c r="B381" s="244"/>
      <c r="C381" s="244"/>
      <c r="D381" s="244"/>
      <c r="E381" s="244"/>
      <c r="F381" s="244"/>
      <c r="G381" s="244"/>
      <c r="H381" s="244"/>
      <c r="I381" s="298"/>
      <c r="J381" s="244" t="s">
        <v>407</v>
      </c>
      <c r="K381" s="245"/>
      <c r="L381" s="257"/>
      <c r="M381" s="591" t="s">
        <v>414</v>
      </c>
      <c r="N381" s="592"/>
      <c r="O381" s="179"/>
      <c r="P381" s="180"/>
      <c r="Q381" s="180">
        <v>3300000</v>
      </c>
      <c r="R381" s="181">
        <f t="shared" si="108"/>
        <v>0.93947503273928146</v>
      </c>
      <c r="S381" s="181">
        <v>100</v>
      </c>
      <c r="T381" s="180">
        <f t="shared" si="101"/>
        <v>0</v>
      </c>
      <c r="U381" s="180">
        <f t="shared" si="107"/>
        <v>0</v>
      </c>
      <c r="V381" s="182">
        <f t="shared" si="92"/>
        <v>100</v>
      </c>
      <c r="W381" s="180"/>
      <c r="X381" s="180"/>
      <c r="Y381" s="180"/>
      <c r="Z381" s="180"/>
      <c r="AA381" s="180"/>
      <c r="AB381" s="180"/>
      <c r="AC381" s="180"/>
      <c r="AD381" s="180"/>
      <c r="AE381" s="180"/>
      <c r="AF381" s="180"/>
      <c r="AG381" s="180"/>
      <c r="AH381" s="180"/>
      <c r="AI381" s="180">
        <v>0</v>
      </c>
      <c r="AJ381" s="181">
        <f t="shared" si="102"/>
        <v>0</v>
      </c>
      <c r="AK381" s="246">
        <f t="shared" si="105"/>
        <v>3300000</v>
      </c>
      <c r="AL381" s="181">
        <f t="shared" si="103"/>
        <v>100</v>
      </c>
      <c r="AM381" s="243"/>
    </row>
    <row r="382" spans="1:39" s="297" customFormat="1" ht="30.75" customHeight="1" x14ac:dyDescent="0.25">
      <c r="A382" s="227">
        <f>A372+1</f>
        <v>46</v>
      </c>
      <c r="B382" s="615" t="s">
        <v>148</v>
      </c>
      <c r="C382" s="615"/>
      <c r="D382" s="615"/>
      <c r="E382" s="615"/>
      <c r="F382" s="615"/>
      <c r="G382" s="615"/>
      <c r="H382" s="615"/>
      <c r="I382" s="614"/>
      <c r="J382" s="304" t="s">
        <v>496</v>
      </c>
      <c r="K382" s="230"/>
      <c r="L382" s="294"/>
      <c r="M382" s="610" t="s">
        <v>199</v>
      </c>
      <c r="N382" s="610"/>
      <c r="O382" s="309">
        <v>569155000</v>
      </c>
      <c r="P382" s="231">
        <f>O382</f>
        <v>569155000</v>
      </c>
      <c r="Q382" s="231">
        <f>SUM(Q383:Q394)</f>
        <v>303990300</v>
      </c>
      <c r="R382" s="233">
        <f>Q382/Q$243*100</f>
        <v>2.7362440149598708</v>
      </c>
      <c r="S382" s="233">
        <v>100</v>
      </c>
      <c r="T382" s="231">
        <f t="shared" si="101"/>
        <v>0</v>
      </c>
      <c r="U382" s="231">
        <f t="shared" si="107"/>
        <v>0</v>
      </c>
      <c r="V382" s="296">
        <f t="shared" si="92"/>
        <v>100</v>
      </c>
      <c r="W382" s="231"/>
      <c r="X382" s="231" t="e">
        <f>#REF!</f>
        <v>#REF!</v>
      </c>
      <c r="Y382" s="231" t="e">
        <f>#REF!</f>
        <v>#REF!</v>
      </c>
      <c r="Z382" s="231" t="e">
        <f>#REF!</f>
        <v>#REF!</v>
      </c>
      <c r="AA382" s="231" t="e">
        <f>#REF!</f>
        <v>#REF!</v>
      </c>
      <c r="AB382" s="231">
        <v>286887000</v>
      </c>
      <c r="AC382" s="231" t="e">
        <f>#REF!</f>
        <v>#REF!</v>
      </c>
      <c r="AD382" s="231" t="e">
        <f>#REF!</f>
        <v>#REF!</v>
      </c>
      <c r="AE382" s="231" t="e">
        <f>#REF!</f>
        <v>#REF!</v>
      </c>
      <c r="AF382" s="231" t="e">
        <f>[1]April!N69</f>
        <v>#REF!</v>
      </c>
      <c r="AG382" s="231" t="e">
        <f>[2]april!N69</f>
        <v>#REF!</v>
      </c>
      <c r="AH382" s="231">
        <f>'[3]DES SKPD'!$N69</f>
        <v>642713500</v>
      </c>
      <c r="AI382" s="231">
        <f>SUM(AI383:AI394)</f>
        <v>0</v>
      </c>
      <c r="AJ382" s="233">
        <f t="shared" si="102"/>
        <v>0</v>
      </c>
      <c r="AK382" s="234">
        <f t="shared" si="105"/>
        <v>303990300</v>
      </c>
      <c r="AL382" s="233">
        <f t="shared" si="103"/>
        <v>100</v>
      </c>
      <c r="AM382" s="227"/>
    </row>
    <row r="383" spans="1:39" ht="24.75" customHeight="1" x14ac:dyDescent="0.25">
      <c r="A383" s="243"/>
      <c r="B383" s="244"/>
      <c r="C383" s="244"/>
      <c r="D383" s="244"/>
      <c r="E383" s="244"/>
      <c r="F383" s="244"/>
      <c r="G383" s="244"/>
      <c r="H383" s="244"/>
      <c r="I383" s="298"/>
      <c r="J383" s="244" t="s">
        <v>259</v>
      </c>
      <c r="K383" s="245"/>
      <c r="L383" s="257"/>
      <c r="M383" s="591" t="s">
        <v>260</v>
      </c>
      <c r="N383" s="592"/>
      <c r="O383" s="179"/>
      <c r="P383" s="180"/>
      <c r="Q383" s="180">
        <v>1540000</v>
      </c>
      <c r="R383" s="181">
        <f t="shared" ref="R383:R394" si="109">Q383/Q$382*100</f>
        <v>0.50659511175192107</v>
      </c>
      <c r="S383" s="181">
        <v>100</v>
      </c>
      <c r="T383" s="180">
        <f t="shared" si="101"/>
        <v>0</v>
      </c>
      <c r="U383" s="180">
        <f t="shared" si="107"/>
        <v>0</v>
      </c>
      <c r="V383" s="182">
        <f t="shared" si="92"/>
        <v>100</v>
      </c>
      <c r="W383" s="180"/>
      <c r="X383" s="180"/>
      <c r="Y383" s="180"/>
      <c r="Z383" s="180"/>
      <c r="AA383" s="180"/>
      <c r="AB383" s="180"/>
      <c r="AC383" s="180"/>
      <c r="AD383" s="180"/>
      <c r="AE383" s="180"/>
      <c r="AF383" s="180"/>
      <c r="AG383" s="180"/>
      <c r="AH383" s="180"/>
      <c r="AI383" s="180">
        <v>0</v>
      </c>
      <c r="AJ383" s="181">
        <f t="shared" si="102"/>
        <v>0</v>
      </c>
      <c r="AK383" s="246">
        <f t="shared" si="105"/>
        <v>1540000</v>
      </c>
      <c r="AL383" s="181">
        <f t="shared" si="103"/>
        <v>100</v>
      </c>
      <c r="AM383" s="243"/>
    </row>
    <row r="384" spans="1:39" ht="24.75" customHeight="1" x14ac:dyDescent="0.25">
      <c r="A384" s="243"/>
      <c r="B384" s="244"/>
      <c r="C384" s="244"/>
      <c r="D384" s="244"/>
      <c r="E384" s="244"/>
      <c r="F384" s="244"/>
      <c r="G384" s="244"/>
      <c r="H384" s="244"/>
      <c r="I384" s="298"/>
      <c r="J384" s="244" t="s">
        <v>326</v>
      </c>
      <c r="K384" s="245"/>
      <c r="L384" s="257"/>
      <c r="M384" s="591" t="s">
        <v>327</v>
      </c>
      <c r="N384" s="592"/>
      <c r="O384" s="179"/>
      <c r="P384" s="180"/>
      <c r="Q384" s="180">
        <v>51150000</v>
      </c>
      <c r="R384" s="181">
        <f t="shared" si="109"/>
        <v>16.826194783188804</v>
      </c>
      <c r="S384" s="181">
        <v>100</v>
      </c>
      <c r="T384" s="180">
        <f t="shared" si="101"/>
        <v>0</v>
      </c>
      <c r="U384" s="180">
        <f t="shared" si="107"/>
        <v>0</v>
      </c>
      <c r="V384" s="182">
        <f t="shared" si="92"/>
        <v>100</v>
      </c>
      <c r="W384" s="180"/>
      <c r="X384" s="180"/>
      <c r="Y384" s="180"/>
      <c r="Z384" s="180"/>
      <c r="AA384" s="180"/>
      <c r="AB384" s="180"/>
      <c r="AC384" s="180"/>
      <c r="AD384" s="180"/>
      <c r="AE384" s="180"/>
      <c r="AF384" s="180"/>
      <c r="AG384" s="180"/>
      <c r="AH384" s="180"/>
      <c r="AI384" s="180">
        <v>0</v>
      </c>
      <c r="AJ384" s="181">
        <f t="shared" si="102"/>
        <v>0</v>
      </c>
      <c r="AK384" s="246">
        <f t="shared" si="105"/>
        <v>51150000</v>
      </c>
      <c r="AL384" s="181">
        <f t="shared" si="103"/>
        <v>100</v>
      </c>
      <c r="AM384" s="243"/>
    </row>
    <row r="385" spans="1:39" ht="24.75" customHeight="1" x14ac:dyDescent="0.25">
      <c r="A385" s="243"/>
      <c r="B385" s="244"/>
      <c r="C385" s="244"/>
      <c r="D385" s="244"/>
      <c r="E385" s="244"/>
      <c r="F385" s="244"/>
      <c r="G385" s="244"/>
      <c r="H385" s="244"/>
      <c r="I385" s="298"/>
      <c r="J385" s="244" t="s">
        <v>323</v>
      </c>
      <c r="K385" s="245"/>
      <c r="L385" s="257"/>
      <c r="M385" s="591" t="s">
        <v>324</v>
      </c>
      <c r="N385" s="592"/>
      <c r="O385" s="179"/>
      <c r="P385" s="180"/>
      <c r="Q385" s="180">
        <v>5000000</v>
      </c>
      <c r="R385" s="181">
        <f t="shared" si="109"/>
        <v>1.6447893238698736</v>
      </c>
      <c r="S385" s="181">
        <v>100</v>
      </c>
      <c r="T385" s="180">
        <f t="shared" si="101"/>
        <v>0</v>
      </c>
      <c r="U385" s="180">
        <f t="shared" si="107"/>
        <v>0</v>
      </c>
      <c r="V385" s="182">
        <f t="shared" si="92"/>
        <v>100</v>
      </c>
      <c r="W385" s="180"/>
      <c r="X385" s="180"/>
      <c r="Y385" s="180"/>
      <c r="Z385" s="180"/>
      <c r="AA385" s="180"/>
      <c r="AB385" s="180"/>
      <c r="AC385" s="180"/>
      <c r="AD385" s="180"/>
      <c r="AE385" s="180"/>
      <c r="AF385" s="180"/>
      <c r="AG385" s="180"/>
      <c r="AH385" s="180"/>
      <c r="AI385" s="180">
        <v>0</v>
      </c>
      <c r="AJ385" s="181">
        <f t="shared" si="102"/>
        <v>0</v>
      </c>
      <c r="AK385" s="246">
        <f t="shared" si="105"/>
        <v>5000000</v>
      </c>
      <c r="AL385" s="181">
        <f t="shared" si="103"/>
        <v>100</v>
      </c>
      <c r="AM385" s="243"/>
    </row>
    <row r="386" spans="1:39" ht="24.75" customHeight="1" x14ac:dyDescent="0.25">
      <c r="A386" s="243"/>
      <c r="B386" s="244"/>
      <c r="C386" s="244"/>
      <c r="D386" s="244"/>
      <c r="E386" s="244"/>
      <c r="F386" s="244"/>
      <c r="G386" s="244"/>
      <c r="H386" s="244"/>
      <c r="I386" s="298"/>
      <c r="J386" s="244" t="s">
        <v>269</v>
      </c>
      <c r="K386" s="245"/>
      <c r="L386" s="257"/>
      <c r="M386" s="591" t="s">
        <v>270</v>
      </c>
      <c r="N386" s="592"/>
      <c r="O386" s="179"/>
      <c r="P386" s="180"/>
      <c r="Q386" s="180">
        <v>22000000</v>
      </c>
      <c r="R386" s="181">
        <f t="shared" si="109"/>
        <v>7.2370730250274438</v>
      </c>
      <c r="S386" s="181">
        <v>100</v>
      </c>
      <c r="T386" s="180">
        <f t="shared" si="101"/>
        <v>0</v>
      </c>
      <c r="U386" s="180">
        <f t="shared" si="107"/>
        <v>0</v>
      </c>
      <c r="V386" s="182">
        <f t="shared" si="92"/>
        <v>100</v>
      </c>
      <c r="W386" s="180"/>
      <c r="X386" s="180"/>
      <c r="Y386" s="180"/>
      <c r="Z386" s="180"/>
      <c r="AA386" s="180"/>
      <c r="AB386" s="180"/>
      <c r="AC386" s="180"/>
      <c r="AD386" s="180"/>
      <c r="AE386" s="180"/>
      <c r="AF386" s="180"/>
      <c r="AG386" s="180"/>
      <c r="AH386" s="180"/>
      <c r="AI386" s="180">
        <v>0</v>
      </c>
      <c r="AJ386" s="181">
        <f t="shared" si="102"/>
        <v>0</v>
      </c>
      <c r="AK386" s="246">
        <f t="shared" si="105"/>
        <v>22000000</v>
      </c>
      <c r="AL386" s="181">
        <f t="shared" si="103"/>
        <v>100</v>
      </c>
      <c r="AM386" s="243"/>
    </row>
    <row r="387" spans="1:39" ht="24.75" customHeight="1" x14ac:dyDescent="0.25">
      <c r="A387" s="243"/>
      <c r="B387" s="244"/>
      <c r="C387" s="244"/>
      <c r="D387" s="244"/>
      <c r="E387" s="244"/>
      <c r="F387" s="244"/>
      <c r="G387" s="244"/>
      <c r="H387" s="244"/>
      <c r="I387" s="298"/>
      <c r="J387" s="244" t="s">
        <v>315</v>
      </c>
      <c r="K387" s="245"/>
      <c r="L387" s="257"/>
      <c r="M387" s="591" t="s">
        <v>271</v>
      </c>
      <c r="N387" s="592"/>
      <c r="O387" s="179"/>
      <c r="P387" s="180"/>
      <c r="Q387" s="180">
        <v>3400300</v>
      </c>
      <c r="R387" s="181">
        <f t="shared" si="109"/>
        <v>1.1185554275909462</v>
      </c>
      <c r="S387" s="181">
        <v>100</v>
      </c>
      <c r="T387" s="180">
        <f t="shared" si="101"/>
        <v>0</v>
      </c>
      <c r="U387" s="180">
        <f t="shared" si="107"/>
        <v>0</v>
      </c>
      <c r="V387" s="182">
        <f t="shared" si="92"/>
        <v>100</v>
      </c>
      <c r="W387" s="180"/>
      <c r="X387" s="180"/>
      <c r="Y387" s="180"/>
      <c r="Z387" s="180"/>
      <c r="AA387" s="180"/>
      <c r="AB387" s="180"/>
      <c r="AC387" s="180"/>
      <c r="AD387" s="180"/>
      <c r="AE387" s="180"/>
      <c r="AF387" s="180"/>
      <c r="AG387" s="180"/>
      <c r="AH387" s="180"/>
      <c r="AI387" s="180">
        <v>0</v>
      </c>
      <c r="AJ387" s="181">
        <f t="shared" si="102"/>
        <v>0</v>
      </c>
      <c r="AK387" s="246">
        <f t="shared" si="105"/>
        <v>3400300</v>
      </c>
      <c r="AL387" s="181">
        <f t="shared" si="103"/>
        <v>100</v>
      </c>
      <c r="AM387" s="243"/>
    </row>
    <row r="388" spans="1:39" ht="24.75" customHeight="1" x14ac:dyDescent="0.25">
      <c r="A388" s="243"/>
      <c r="B388" s="244"/>
      <c r="C388" s="244"/>
      <c r="D388" s="244"/>
      <c r="E388" s="244"/>
      <c r="F388" s="244"/>
      <c r="G388" s="244"/>
      <c r="H388" s="244"/>
      <c r="I388" s="298"/>
      <c r="J388" s="244" t="s">
        <v>328</v>
      </c>
      <c r="K388" s="245"/>
      <c r="L388" s="257"/>
      <c r="M388" s="591" t="s">
        <v>329</v>
      </c>
      <c r="N388" s="592"/>
      <c r="O388" s="179"/>
      <c r="P388" s="180"/>
      <c r="Q388" s="180">
        <v>15000000</v>
      </c>
      <c r="R388" s="181">
        <f t="shared" si="109"/>
        <v>4.9343679716096203</v>
      </c>
      <c r="S388" s="181">
        <v>100</v>
      </c>
      <c r="T388" s="180">
        <f t="shared" si="101"/>
        <v>0</v>
      </c>
      <c r="U388" s="180">
        <f t="shared" si="107"/>
        <v>0</v>
      </c>
      <c r="V388" s="182">
        <f t="shared" si="92"/>
        <v>100</v>
      </c>
      <c r="W388" s="180"/>
      <c r="X388" s="180"/>
      <c r="Y388" s="180"/>
      <c r="Z388" s="180"/>
      <c r="AA388" s="180"/>
      <c r="AB388" s="180"/>
      <c r="AC388" s="180"/>
      <c r="AD388" s="180"/>
      <c r="AE388" s="180"/>
      <c r="AF388" s="180"/>
      <c r="AG388" s="180"/>
      <c r="AH388" s="180"/>
      <c r="AI388" s="180">
        <v>0</v>
      </c>
      <c r="AJ388" s="181">
        <f t="shared" si="102"/>
        <v>0</v>
      </c>
      <c r="AK388" s="246">
        <f t="shared" si="105"/>
        <v>15000000</v>
      </c>
      <c r="AL388" s="181">
        <f t="shared" si="103"/>
        <v>100</v>
      </c>
      <c r="AM388" s="243"/>
    </row>
    <row r="389" spans="1:39" ht="27.75" customHeight="1" x14ac:dyDescent="0.25">
      <c r="A389" s="243"/>
      <c r="B389" s="244"/>
      <c r="C389" s="244"/>
      <c r="D389" s="244"/>
      <c r="E389" s="244"/>
      <c r="F389" s="244"/>
      <c r="G389" s="244"/>
      <c r="H389" s="244"/>
      <c r="I389" s="298"/>
      <c r="J389" s="244" t="s">
        <v>318</v>
      </c>
      <c r="K389" s="245"/>
      <c r="L389" s="257"/>
      <c r="M389" s="591" t="s">
        <v>319</v>
      </c>
      <c r="N389" s="592"/>
      <c r="O389" s="179"/>
      <c r="P389" s="180"/>
      <c r="Q389" s="180">
        <v>91000000</v>
      </c>
      <c r="R389" s="181">
        <f t="shared" si="109"/>
        <v>29.935165694431699</v>
      </c>
      <c r="S389" s="181">
        <v>100</v>
      </c>
      <c r="T389" s="180">
        <f t="shared" si="101"/>
        <v>0</v>
      </c>
      <c r="U389" s="180">
        <f t="shared" si="107"/>
        <v>0</v>
      </c>
      <c r="V389" s="182">
        <f t="shared" si="92"/>
        <v>100</v>
      </c>
      <c r="W389" s="180"/>
      <c r="X389" s="180"/>
      <c r="Y389" s="180"/>
      <c r="Z389" s="180"/>
      <c r="AA389" s="180"/>
      <c r="AB389" s="180"/>
      <c r="AC389" s="180"/>
      <c r="AD389" s="180"/>
      <c r="AE389" s="180"/>
      <c r="AF389" s="180"/>
      <c r="AG389" s="180"/>
      <c r="AH389" s="180"/>
      <c r="AI389" s="180">
        <v>0</v>
      </c>
      <c r="AJ389" s="181">
        <f t="shared" si="102"/>
        <v>0</v>
      </c>
      <c r="AK389" s="246">
        <f t="shared" si="105"/>
        <v>91000000</v>
      </c>
      <c r="AL389" s="181">
        <f t="shared" si="103"/>
        <v>100</v>
      </c>
      <c r="AM389" s="243"/>
    </row>
    <row r="390" spans="1:39" ht="24.75" customHeight="1" x14ac:dyDescent="0.25">
      <c r="A390" s="243"/>
      <c r="B390" s="244"/>
      <c r="C390" s="244"/>
      <c r="D390" s="244"/>
      <c r="E390" s="244"/>
      <c r="F390" s="244"/>
      <c r="G390" s="244"/>
      <c r="H390" s="244"/>
      <c r="I390" s="298"/>
      <c r="J390" s="244" t="s">
        <v>280</v>
      </c>
      <c r="K390" s="245"/>
      <c r="L390" s="257"/>
      <c r="M390" s="591" t="s">
        <v>281</v>
      </c>
      <c r="N390" s="592"/>
      <c r="O390" s="179"/>
      <c r="P390" s="180"/>
      <c r="Q390" s="180">
        <v>27500000</v>
      </c>
      <c r="R390" s="181">
        <f t="shared" si="109"/>
        <v>9.0463412812843043</v>
      </c>
      <c r="S390" s="181">
        <v>100</v>
      </c>
      <c r="T390" s="180">
        <f t="shared" si="101"/>
        <v>0</v>
      </c>
      <c r="U390" s="180">
        <f t="shared" si="107"/>
        <v>0</v>
      </c>
      <c r="V390" s="182">
        <f t="shared" si="92"/>
        <v>100</v>
      </c>
      <c r="W390" s="180"/>
      <c r="X390" s="180"/>
      <c r="Y390" s="180"/>
      <c r="Z390" s="180"/>
      <c r="AA390" s="180"/>
      <c r="AB390" s="180"/>
      <c r="AC390" s="180"/>
      <c r="AD390" s="180"/>
      <c r="AE390" s="180"/>
      <c r="AF390" s="180"/>
      <c r="AG390" s="180"/>
      <c r="AH390" s="180"/>
      <c r="AI390" s="180">
        <v>0</v>
      </c>
      <c r="AJ390" s="181">
        <f t="shared" si="102"/>
        <v>0</v>
      </c>
      <c r="AK390" s="246">
        <f t="shared" si="105"/>
        <v>27500000</v>
      </c>
      <c r="AL390" s="181">
        <f t="shared" si="103"/>
        <v>100</v>
      </c>
      <c r="AM390" s="243"/>
    </row>
    <row r="391" spans="1:39" ht="24.75" customHeight="1" x14ac:dyDescent="0.25">
      <c r="A391" s="243"/>
      <c r="B391" s="244"/>
      <c r="C391" s="244"/>
      <c r="D391" s="244"/>
      <c r="E391" s="244"/>
      <c r="F391" s="244"/>
      <c r="G391" s="244"/>
      <c r="H391" s="244"/>
      <c r="I391" s="298"/>
      <c r="J391" s="244" t="s">
        <v>284</v>
      </c>
      <c r="K391" s="245"/>
      <c r="L391" s="257"/>
      <c r="M391" s="591" t="s">
        <v>285</v>
      </c>
      <c r="N391" s="592"/>
      <c r="O391" s="179"/>
      <c r="P391" s="180"/>
      <c r="Q391" s="180">
        <v>6600000</v>
      </c>
      <c r="R391" s="181">
        <f t="shared" si="109"/>
        <v>2.1711219075082329</v>
      </c>
      <c r="S391" s="181">
        <v>100</v>
      </c>
      <c r="T391" s="180">
        <f t="shared" si="101"/>
        <v>0</v>
      </c>
      <c r="U391" s="180">
        <f t="shared" si="107"/>
        <v>0</v>
      </c>
      <c r="V391" s="182">
        <f t="shared" si="92"/>
        <v>100</v>
      </c>
      <c r="W391" s="180"/>
      <c r="X391" s="180"/>
      <c r="Y391" s="180"/>
      <c r="Z391" s="180"/>
      <c r="AA391" s="180"/>
      <c r="AB391" s="180"/>
      <c r="AC391" s="180"/>
      <c r="AD391" s="180"/>
      <c r="AE391" s="180"/>
      <c r="AF391" s="180"/>
      <c r="AG391" s="180"/>
      <c r="AH391" s="180"/>
      <c r="AI391" s="180">
        <v>0</v>
      </c>
      <c r="AJ391" s="181">
        <f t="shared" si="102"/>
        <v>0</v>
      </c>
      <c r="AK391" s="246">
        <f t="shared" si="105"/>
        <v>6600000</v>
      </c>
      <c r="AL391" s="181">
        <f t="shared" si="103"/>
        <v>100</v>
      </c>
      <c r="AM391" s="243"/>
    </row>
    <row r="392" spans="1:39" ht="24.75" customHeight="1" x14ac:dyDescent="0.25">
      <c r="A392" s="243"/>
      <c r="B392" s="244"/>
      <c r="C392" s="244"/>
      <c r="D392" s="244"/>
      <c r="E392" s="244"/>
      <c r="F392" s="244"/>
      <c r="G392" s="244"/>
      <c r="H392" s="244"/>
      <c r="I392" s="298"/>
      <c r="J392" s="244" t="s">
        <v>282</v>
      </c>
      <c r="K392" s="245"/>
      <c r="L392" s="257"/>
      <c r="M392" s="591" t="s">
        <v>283</v>
      </c>
      <c r="N392" s="592"/>
      <c r="O392" s="179"/>
      <c r="P392" s="180"/>
      <c r="Q392" s="180">
        <v>17400000</v>
      </c>
      <c r="R392" s="181">
        <f t="shared" si="109"/>
        <v>5.7238668470671596</v>
      </c>
      <c r="S392" s="181">
        <v>100</v>
      </c>
      <c r="T392" s="180">
        <f t="shared" si="101"/>
        <v>0</v>
      </c>
      <c r="U392" s="180">
        <f t="shared" si="107"/>
        <v>0</v>
      </c>
      <c r="V392" s="182">
        <f t="shared" si="92"/>
        <v>100</v>
      </c>
      <c r="W392" s="180"/>
      <c r="X392" s="180"/>
      <c r="Y392" s="180"/>
      <c r="Z392" s="180"/>
      <c r="AA392" s="180"/>
      <c r="AB392" s="180"/>
      <c r="AC392" s="180"/>
      <c r="AD392" s="180"/>
      <c r="AE392" s="180"/>
      <c r="AF392" s="180"/>
      <c r="AG392" s="180"/>
      <c r="AH392" s="180"/>
      <c r="AI392" s="180">
        <v>0</v>
      </c>
      <c r="AJ392" s="181">
        <f t="shared" si="102"/>
        <v>0</v>
      </c>
      <c r="AK392" s="246">
        <f t="shared" si="105"/>
        <v>17400000</v>
      </c>
      <c r="AL392" s="181">
        <f t="shared" si="103"/>
        <v>100</v>
      </c>
      <c r="AM392" s="243"/>
    </row>
    <row r="393" spans="1:39" ht="24.75" customHeight="1" x14ac:dyDescent="0.25">
      <c r="A393" s="243"/>
      <c r="B393" s="244"/>
      <c r="C393" s="244"/>
      <c r="D393" s="244"/>
      <c r="E393" s="244"/>
      <c r="F393" s="244"/>
      <c r="G393" s="244"/>
      <c r="H393" s="244"/>
      <c r="I393" s="298"/>
      <c r="J393" s="244" t="s">
        <v>320</v>
      </c>
      <c r="K393" s="245"/>
      <c r="L393" s="257"/>
      <c r="M393" s="591" t="s">
        <v>321</v>
      </c>
      <c r="N393" s="592"/>
      <c r="O393" s="179"/>
      <c r="P393" s="180"/>
      <c r="Q393" s="180">
        <v>50400000</v>
      </c>
      <c r="R393" s="181">
        <f t="shared" si="109"/>
        <v>16.579476384608324</v>
      </c>
      <c r="S393" s="181">
        <v>100</v>
      </c>
      <c r="T393" s="180">
        <f t="shared" si="101"/>
        <v>0</v>
      </c>
      <c r="U393" s="180">
        <f t="shared" si="107"/>
        <v>0</v>
      </c>
      <c r="V393" s="182">
        <f t="shared" si="92"/>
        <v>100</v>
      </c>
      <c r="W393" s="180"/>
      <c r="X393" s="180"/>
      <c r="Y393" s="180"/>
      <c r="Z393" s="180"/>
      <c r="AA393" s="180"/>
      <c r="AB393" s="180"/>
      <c r="AC393" s="180"/>
      <c r="AD393" s="180"/>
      <c r="AE393" s="180"/>
      <c r="AF393" s="180"/>
      <c r="AG393" s="180"/>
      <c r="AH393" s="180"/>
      <c r="AI393" s="180">
        <v>0</v>
      </c>
      <c r="AJ393" s="181">
        <f t="shared" si="102"/>
        <v>0</v>
      </c>
      <c r="AK393" s="246">
        <f t="shared" si="105"/>
        <v>50400000</v>
      </c>
      <c r="AL393" s="181">
        <f t="shared" si="103"/>
        <v>100</v>
      </c>
      <c r="AM393" s="243"/>
    </row>
    <row r="394" spans="1:39" ht="24.75" customHeight="1" x14ac:dyDescent="0.25">
      <c r="A394" s="243"/>
      <c r="B394" s="244"/>
      <c r="C394" s="244"/>
      <c r="D394" s="244"/>
      <c r="E394" s="244"/>
      <c r="F394" s="244"/>
      <c r="G394" s="244"/>
      <c r="H394" s="244"/>
      <c r="I394" s="298"/>
      <c r="J394" s="244" t="s">
        <v>407</v>
      </c>
      <c r="K394" s="245"/>
      <c r="L394" s="257"/>
      <c r="M394" s="619" t="s">
        <v>414</v>
      </c>
      <c r="N394" s="620"/>
      <c r="O394" s="179"/>
      <c r="P394" s="180"/>
      <c r="Q394" s="180">
        <v>13000000</v>
      </c>
      <c r="R394" s="181">
        <f t="shared" si="109"/>
        <v>4.2764522420616711</v>
      </c>
      <c r="S394" s="181"/>
      <c r="T394" s="180">
        <f t="shared" si="101"/>
        <v>0</v>
      </c>
      <c r="U394" s="180">
        <f t="shared" si="107"/>
        <v>0</v>
      </c>
      <c r="V394" s="182"/>
      <c r="W394" s="180"/>
      <c r="X394" s="180"/>
      <c r="Y394" s="180"/>
      <c r="Z394" s="180"/>
      <c r="AA394" s="180"/>
      <c r="AB394" s="180"/>
      <c r="AC394" s="180"/>
      <c r="AD394" s="180"/>
      <c r="AE394" s="180"/>
      <c r="AF394" s="180"/>
      <c r="AG394" s="180"/>
      <c r="AH394" s="180"/>
      <c r="AI394" s="180">
        <v>0</v>
      </c>
      <c r="AJ394" s="181">
        <f t="shared" si="102"/>
        <v>0</v>
      </c>
      <c r="AK394" s="246">
        <f t="shared" si="105"/>
        <v>13000000</v>
      </c>
      <c r="AL394" s="181">
        <f t="shared" si="103"/>
        <v>100</v>
      </c>
      <c r="AM394" s="243"/>
    </row>
    <row r="395" spans="1:39" s="297" customFormat="1" ht="29.25" customHeight="1" x14ac:dyDescent="0.25">
      <c r="A395" s="227">
        <f>A382+1</f>
        <v>47</v>
      </c>
      <c r="B395" s="615" t="s">
        <v>150</v>
      </c>
      <c r="C395" s="615"/>
      <c r="D395" s="615"/>
      <c r="E395" s="615"/>
      <c r="F395" s="615"/>
      <c r="G395" s="615"/>
      <c r="H395" s="615"/>
      <c r="I395" s="614"/>
      <c r="J395" s="304" t="s">
        <v>497</v>
      </c>
      <c r="K395" s="230"/>
      <c r="L395" s="294"/>
      <c r="M395" s="610" t="s">
        <v>51</v>
      </c>
      <c r="N395" s="610"/>
      <c r="O395" s="309">
        <v>316240000</v>
      </c>
      <c r="P395" s="231">
        <f>O395</f>
        <v>316240000</v>
      </c>
      <c r="Q395" s="231">
        <f>SUM(Q396:Q400)</f>
        <v>64500000</v>
      </c>
      <c r="R395" s="233">
        <f>Q395/Q$243*100</f>
        <v>0.58057029768683954</v>
      </c>
      <c r="S395" s="233">
        <v>100</v>
      </c>
      <c r="T395" s="231">
        <f t="shared" si="101"/>
        <v>0</v>
      </c>
      <c r="U395" s="231">
        <f t="shared" si="107"/>
        <v>0</v>
      </c>
      <c r="V395" s="296">
        <f t="shared" si="92"/>
        <v>100</v>
      </c>
      <c r="W395" s="231"/>
      <c r="X395" s="231" t="e">
        <f>#REF!</f>
        <v>#REF!</v>
      </c>
      <c r="Y395" s="231" t="e">
        <f>#REF!</f>
        <v>#REF!</v>
      </c>
      <c r="Z395" s="231" t="e">
        <f>#REF!</f>
        <v>#REF!</v>
      </c>
      <c r="AA395" s="231" t="e">
        <f>#REF!</f>
        <v>#REF!</v>
      </c>
      <c r="AB395" s="231">
        <v>13182000</v>
      </c>
      <c r="AC395" s="231" t="e">
        <f>#REF!</f>
        <v>#REF!</v>
      </c>
      <c r="AD395" s="231" t="e">
        <f>#REF!</f>
        <v>#REF!</v>
      </c>
      <c r="AE395" s="231" t="e">
        <f>#REF!</f>
        <v>#REF!</v>
      </c>
      <c r="AF395" s="231" t="e">
        <f>[1]April!N70</f>
        <v>#REF!</v>
      </c>
      <c r="AG395" s="231" t="e">
        <f>[2]april!N70</f>
        <v>#REF!</v>
      </c>
      <c r="AH395" s="231">
        <f>'[3]DES SKPD'!$N70</f>
        <v>293250450</v>
      </c>
      <c r="AI395" s="231">
        <f>SUM(AI396:AI402)</f>
        <v>0</v>
      </c>
      <c r="AJ395" s="233">
        <f t="shared" si="102"/>
        <v>0</v>
      </c>
      <c r="AK395" s="234">
        <f t="shared" si="105"/>
        <v>64500000</v>
      </c>
      <c r="AL395" s="233">
        <f t="shared" si="103"/>
        <v>100</v>
      </c>
      <c r="AM395" s="227"/>
    </row>
    <row r="396" spans="1:39" ht="29.25" customHeight="1" x14ac:dyDescent="0.25">
      <c r="A396" s="243"/>
      <c r="B396" s="244"/>
      <c r="C396" s="244"/>
      <c r="D396" s="244"/>
      <c r="E396" s="244"/>
      <c r="F396" s="244"/>
      <c r="G396" s="244"/>
      <c r="H396" s="244"/>
      <c r="I396" s="298"/>
      <c r="J396" s="244" t="s">
        <v>315</v>
      </c>
      <c r="K396" s="245"/>
      <c r="L396" s="257"/>
      <c r="M396" s="591" t="s">
        <v>271</v>
      </c>
      <c r="N396" s="592"/>
      <c r="O396" s="179"/>
      <c r="P396" s="180"/>
      <c r="Q396" s="180">
        <v>8000000</v>
      </c>
      <c r="R396" s="181">
        <f t="shared" ref="R396:R402" si="110">Q396/Q$395*100</f>
        <v>12.403100775193799</v>
      </c>
      <c r="S396" s="181">
        <v>100</v>
      </c>
      <c r="T396" s="180">
        <f t="shared" si="101"/>
        <v>0</v>
      </c>
      <c r="U396" s="180">
        <f t="shared" si="107"/>
        <v>0</v>
      </c>
      <c r="V396" s="182">
        <f t="shared" si="92"/>
        <v>100</v>
      </c>
      <c r="W396" s="180"/>
      <c r="X396" s="180"/>
      <c r="Y396" s="180"/>
      <c r="Z396" s="180"/>
      <c r="AA396" s="180"/>
      <c r="AB396" s="180"/>
      <c r="AC396" s="180"/>
      <c r="AD396" s="180"/>
      <c r="AE396" s="180"/>
      <c r="AF396" s="180"/>
      <c r="AG396" s="180"/>
      <c r="AH396" s="180"/>
      <c r="AI396" s="180">
        <v>0</v>
      </c>
      <c r="AJ396" s="181">
        <f t="shared" si="102"/>
        <v>0</v>
      </c>
      <c r="AK396" s="246">
        <f t="shared" si="105"/>
        <v>8000000</v>
      </c>
      <c r="AL396" s="181">
        <f t="shared" si="103"/>
        <v>100</v>
      </c>
      <c r="AM396" s="243"/>
    </row>
    <row r="397" spans="1:39" ht="29.25" customHeight="1" x14ac:dyDescent="0.25">
      <c r="A397" s="243"/>
      <c r="B397" s="244"/>
      <c r="C397" s="244"/>
      <c r="D397" s="244"/>
      <c r="E397" s="244"/>
      <c r="F397" s="244"/>
      <c r="G397" s="244"/>
      <c r="H397" s="244"/>
      <c r="I397" s="298"/>
      <c r="J397" s="244" t="s">
        <v>284</v>
      </c>
      <c r="K397" s="245"/>
      <c r="L397" s="257"/>
      <c r="M397" s="591" t="s">
        <v>319</v>
      </c>
      <c r="N397" s="592"/>
      <c r="O397" s="179"/>
      <c r="P397" s="180"/>
      <c r="Q397" s="180">
        <v>27000000</v>
      </c>
      <c r="R397" s="181">
        <f t="shared" si="110"/>
        <v>41.860465116279073</v>
      </c>
      <c r="S397" s="181">
        <v>100</v>
      </c>
      <c r="T397" s="180">
        <f t="shared" si="101"/>
        <v>0</v>
      </c>
      <c r="U397" s="180">
        <f t="shared" si="107"/>
        <v>0</v>
      </c>
      <c r="V397" s="182"/>
      <c r="W397" s="180"/>
      <c r="X397" s="180"/>
      <c r="Y397" s="180"/>
      <c r="Z397" s="180"/>
      <c r="AA397" s="180"/>
      <c r="AB397" s="180"/>
      <c r="AC397" s="180"/>
      <c r="AD397" s="180"/>
      <c r="AE397" s="180"/>
      <c r="AF397" s="180"/>
      <c r="AG397" s="180"/>
      <c r="AH397" s="180"/>
      <c r="AI397" s="180">
        <v>0</v>
      </c>
      <c r="AJ397" s="181">
        <f t="shared" si="102"/>
        <v>0</v>
      </c>
      <c r="AK397" s="246">
        <f t="shared" si="105"/>
        <v>27000000</v>
      </c>
      <c r="AL397" s="181">
        <f t="shared" si="103"/>
        <v>100</v>
      </c>
      <c r="AM397" s="243"/>
    </row>
    <row r="398" spans="1:39" ht="29.25" customHeight="1" x14ac:dyDescent="0.25">
      <c r="A398" s="243"/>
      <c r="B398" s="244"/>
      <c r="C398" s="244"/>
      <c r="D398" s="244"/>
      <c r="E398" s="244"/>
      <c r="F398" s="244"/>
      <c r="G398" s="244"/>
      <c r="H398" s="244"/>
      <c r="I398" s="298"/>
      <c r="J398" s="244" t="s">
        <v>282</v>
      </c>
      <c r="K398" s="245"/>
      <c r="L398" s="257"/>
      <c r="M398" s="591" t="s">
        <v>340</v>
      </c>
      <c r="N398" s="592"/>
      <c r="O398" s="179"/>
      <c r="P398" s="180"/>
      <c r="Q398" s="180">
        <v>5000000</v>
      </c>
      <c r="R398" s="181">
        <f t="shared" si="110"/>
        <v>7.7519379844961236</v>
      </c>
      <c r="S398" s="181">
        <v>100</v>
      </c>
      <c r="T398" s="180">
        <f t="shared" si="101"/>
        <v>0</v>
      </c>
      <c r="U398" s="180">
        <f t="shared" si="107"/>
        <v>0</v>
      </c>
      <c r="V398" s="182">
        <f t="shared" si="92"/>
        <v>100</v>
      </c>
      <c r="W398" s="180"/>
      <c r="X398" s="180"/>
      <c r="Y398" s="180"/>
      <c r="Z398" s="180"/>
      <c r="AA398" s="180"/>
      <c r="AB398" s="180"/>
      <c r="AC398" s="180"/>
      <c r="AD398" s="180"/>
      <c r="AE398" s="180"/>
      <c r="AF398" s="180"/>
      <c r="AG398" s="180"/>
      <c r="AH398" s="180"/>
      <c r="AI398" s="180">
        <v>0</v>
      </c>
      <c r="AJ398" s="181">
        <f t="shared" si="102"/>
        <v>0</v>
      </c>
      <c r="AK398" s="246">
        <f t="shared" si="105"/>
        <v>5000000</v>
      </c>
      <c r="AL398" s="181">
        <f t="shared" si="103"/>
        <v>100</v>
      </c>
      <c r="AM398" s="243"/>
    </row>
    <row r="399" spans="1:39" ht="29.25" customHeight="1" x14ac:dyDescent="0.25">
      <c r="A399" s="243"/>
      <c r="B399" s="244"/>
      <c r="C399" s="244"/>
      <c r="D399" s="244"/>
      <c r="E399" s="244"/>
      <c r="F399" s="244"/>
      <c r="G399" s="244"/>
      <c r="H399" s="244"/>
      <c r="I399" s="298"/>
      <c r="J399" s="244" t="s">
        <v>308</v>
      </c>
      <c r="K399" s="245"/>
      <c r="L399" s="257"/>
      <c r="M399" s="591" t="s">
        <v>590</v>
      </c>
      <c r="N399" s="592"/>
      <c r="O399" s="179"/>
      <c r="P399" s="180"/>
      <c r="Q399" s="180">
        <v>15000000</v>
      </c>
      <c r="R399" s="181">
        <f t="shared" si="110"/>
        <v>23.255813953488371</v>
      </c>
      <c r="S399" s="181">
        <v>100</v>
      </c>
      <c r="T399" s="180">
        <f t="shared" si="101"/>
        <v>0</v>
      </c>
      <c r="U399" s="180">
        <f t="shared" si="107"/>
        <v>0</v>
      </c>
      <c r="V399" s="182">
        <f t="shared" si="92"/>
        <v>100</v>
      </c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  <c r="AG399" s="180"/>
      <c r="AH399" s="180"/>
      <c r="AI399" s="180">
        <v>0</v>
      </c>
      <c r="AJ399" s="181">
        <f t="shared" si="102"/>
        <v>0</v>
      </c>
      <c r="AK399" s="246">
        <f t="shared" si="105"/>
        <v>15000000</v>
      </c>
      <c r="AL399" s="181">
        <f t="shared" si="103"/>
        <v>100</v>
      </c>
      <c r="AM399" s="243"/>
    </row>
    <row r="400" spans="1:39" ht="29.25" customHeight="1" x14ac:dyDescent="0.25">
      <c r="A400" s="243"/>
      <c r="B400" s="244"/>
      <c r="C400" s="244"/>
      <c r="D400" s="244"/>
      <c r="E400" s="244"/>
      <c r="F400" s="244"/>
      <c r="G400" s="244"/>
      <c r="H400" s="244"/>
      <c r="I400" s="298"/>
      <c r="J400" s="244" t="s">
        <v>309</v>
      </c>
      <c r="K400" s="245"/>
      <c r="L400" s="257"/>
      <c r="M400" s="591" t="s">
        <v>321</v>
      </c>
      <c r="N400" s="592"/>
      <c r="O400" s="179"/>
      <c r="P400" s="180"/>
      <c r="Q400" s="180">
        <v>9500000</v>
      </c>
      <c r="R400" s="181">
        <f t="shared" si="110"/>
        <v>14.728682170542637</v>
      </c>
      <c r="S400" s="181">
        <v>100</v>
      </c>
      <c r="T400" s="180">
        <f t="shared" si="101"/>
        <v>0</v>
      </c>
      <c r="U400" s="180">
        <f t="shared" si="107"/>
        <v>0</v>
      </c>
      <c r="V400" s="182">
        <f t="shared" si="92"/>
        <v>100</v>
      </c>
      <c r="W400" s="180"/>
      <c r="X400" s="180"/>
      <c r="Y400" s="180"/>
      <c r="Z400" s="180"/>
      <c r="AA400" s="180"/>
      <c r="AB400" s="180"/>
      <c r="AC400" s="180"/>
      <c r="AD400" s="180"/>
      <c r="AE400" s="180"/>
      <c r="AF400" s="180"/>
      <c r="AG400" s="180"/>
      <c r="AH400" s="180"/>
      <c r="AI400" s="180">
        <v>0</v>
      </c>
      <c r="AJ400" s="181">
        <f t="shared" si="102"/>
        <v>0</v>
      </c>
      <c r="AK400" s="246">
        <f t="shared" si="105"/>
        <v>9500000</v>
      </c>
      <c r="AL400" s="181">
        <f t="shared" si="103"/>
        <v>100</v>
      </c>
      <c r="AM400" s="243"/>
    </row>
    <row r="401" spans="1:39" ht="29.25" customHeight="1" x14ac:dyDescent="0.25">
      <c r="A401" s="243"/>
      <c r="B401" s="244"/>
      <c r="C401" s="244"/>
      <c r="D401" s="244"/>
      <c r="E401" s="244"/>
      <c r="F401" s="244"/>
      <c r="G401" s="244"/>
      <c r="H401" s="244"/>
      <c r="I401" s="298"/>
      <c r="J401" s="244" t="s">
        <v>309</v>
      </c>
      <c r="K401" s="245"/>
      <c r="L401" s="257"/>
      <c r="M401" s="591" t="s">
        <v>310</v>
      </c>
      <c r="N401" s="592"/>
      <c r="O401" s="179"/>
      <c r="P401" s="180"/>
      <c r="Q401" s="180">
        <v>200000000</v>
      </c>
      <c r="R401" s="181">
        <f t="shared" si="110"/>
        <v>310.077519379845</v>
      </c>
      <c r="S401" s="181">
        <v>100</v>
      </c>
      <c r="T401" s="180">
        <f t="shared" si="101"/>
        <v>0</v>
      </c>
      <c r="U401" s="180">
        <f t="shared" si="107"/>
        <v>0</v>
      </c>
      <c r="V401" s="182">
        <f t="shared" si="92"/>
        <v>100</v>
      </c>
      <c r="W401" s="180"/>
      <c r="X401" s="180"/>
      <c r="Y401" s="180"/>
      <c r="Z401" s="180"/>
      <c r="AA401" s="180"/>
      <c r="AB401" s="180"/>
      <c r="AC401" s="180"/>
      <c r="AD401" s="180"/>
      <c r="AE401" s="180"/>
      <c r="AF401" s="180"/>
      <c r="AG401" s="180"/>
      <c r="AH401" s="180"/>
      <c r="AI401" s="180">
        <v>0</v>
      </c>
      <c r="AJ401" s="181">
        <f t="shared" si="102"/>
        <v>0</v>
      </c>
      <c r="AK401" s="246">
        <f t="shared" si="105"/>
        <v>200000000</v>
      </c>
      <c r="AL401" s="181">
        <f t="shared" si="103"/>
        <v>100</v>
      </c>
      <c r="AM401" s="243"/>
    </row>
    <row r="402" spans="1:39" ht="29.25" customHeight="1" x14ac:dyDescent="0.25">
      <c r="A402" s="243"/>
      <c r="B402" s="244"/>
      <c r="C402" s="244"/>
      <c r="D402" s="244"/>
      <c r="E402" s="244"/>
      <c r="F402" s="244"/>
      <c r="G402" s="244"/>
      <c r="H402" s="244"/>
      <c r="I402" s="298"/>
      <c r="J402" s="244" t="s">
        <v>407</v>
      </c>
      <c r="K402" s="245"/>
      <c r="L402" s="257"/>
      <c r="M402" s="591" t="s">
        <v>610</v>
      </c>
      <c r="N402" s="592"/>
      <c r="O402" s="179"/>
      <c r="P402" s="180"/>
      <c r="Q402" s="180">
        <v>2000000</v>
      </c>
      <c r="R402" s="181">
        <f t="shared" si="110"/>
        <v>3.1007751937984498</v>
      </c>
      <c r="S402" s="181">
        <v>100</v>
      </c>
      <c r="T402" s="180">
        <f t="shared" si="101"/>
        <v>0</v>
      </c>
      <c r="U402" s="180">
        <f t="shared" si="107"/>
        <v>0</v>
      </c>
      <c r="V402" s="182">
        <f t="shared" si="92"/>
        <v>100</v>
      </c>
      <c r="W402" s="180"/>
      <c r="X402" s="180"/>
      <c r="Y402" s="180"/>
      <c r="Z402" s="180"/>
      <c r="AA402" s="180"/>
      <c r="AB402" s="180"/>
      <c r="AC402" s="180"/>
      <c r="AD402" s="180"/>
      <c r="AE402" s="180"/>
      <c r="AF402" s="180"/>
      <c r="AG402" s="180"/>
      <c r="AH402" s="180"/>
      <c r="AI402" s="180">
        <v>0</v>
      </c>
      <c r="AJ402" s="181">
        <f t="shared" si="102"/>
        <v>0</v>
      </c>
      <c r="AK402" s="246">
        <f t="shared" si="105"/>
        <v>2000000</v>
      </c>
      <c r="AL402" s="181">
        <f t="shared" si="103"/>
        <v>100</v>
      </c>
      <c r="AM402" s="243"/>
    </row>
    <row r="403" spans="1:39" s="297" customFormat="1" ht="30" customHeight="1" x14ac:dyDescent="0.25">
      <c r="A403" s="227">
        <f>A395+1</f>
        <v>48</v>
      </c>
      <c r="B403" s="615" t="s">
        <v>151</v>
      </c>
      <c r="C403" s="615"/>
      <c r="D403" s="615"/>
      <c r="E403" s="615"/>
      <c r="F403" s="615"/>
      <c r="G403" s="615"/>
      <c r="H403" s="615"/>
      <c r="I403" s="614"/>
      <c r="J403" s="304" t="s">
        <v>498</v>
      </c>
      <c r="K403" s="230"/>
      <c r="L403" s="294"/>
      <c r="M403" s="613" t="s">
        <v>52</v>
      </c>
      <c r="N403" s="613"/>
      <c r="O403" s="309">
        <v>252956000</v>
      </c>
      <c r="P403" s="231">
        <f>O403</f>
        <v>252956000</v>
      </c>
      <c r="Q403" s="231">
        <f>SUM(Q404:Q416)</f>
        <v>394282000</v>
      </c>
      <c r="R403" s="233">
        <f>Q403/Q$33*100</f>
        <v>1.273996421396391</v>
      </c>
      <c r="S403" s="233">
        <v>100</v>
      </c>
      <c r="T403" s="231">
        <f t="shared" si="101"/>
        <v>0</v>
      </c>
      <c r="U403" s="231">
        <f t="shared" si="107"/>
        <v>0</v>
      </c>
      <c r="V403" s="296">
        <f t="shared" si="92"/>
        <v>100</v>
      </c>
      <c r="W403" s="231"/>
      <c r="X403" s="231" t="e">
        <f>#REF!</f>
        <v>#REF!</v>
      </c>
      <c r="Y403" s="231" t="e">
        <f>#REF!</f>
        <v>#REF!</v>
      </c>
      <c r="Z403" s="231" t="e">
        <f>#REF!</f>
        <v>#REF!</v>
      </c>
      <c r="AA403" s="231" t="e">
        <f>#REF!</f>
        <v>#REF!</v>
      </c>
      <c r="AB403" s="231">
        <v>58582925</v>
      </c>
      <c r="AC403" s="231" t="e">
        <f>#REF!</f>
        <v>#REF!</v>
      </c>
      <c r="AD403" s="231" t="e">
        <f>#REF!</f>
        <v>#REF!</v>
      </c>
      <c r="AE403" s="231" t="e">
        <f>#REF!</f>
        <v>#REF!</v>
      </c>
      <c r="AF403" s="231" t="e">
        <f>[1]April!N71</f>
        <v>#REF!</v>
      </c>
      <c r="AG403" s="231" t="e">
        <f>[2]april!N71</f>
        <v>#REF!</v>
      </c>
      <c r="AH403" s="231">
        <f>'[3]DES SKPD'!$N71</f>
        <v>205056925</v>
      </c>
      <c r="AI403" s="231">
        <f>SUM(AI404:AI416)</f>
        <v>0</v>
      </c>
      <c r="AJ403" s="233">
        <f t="shared" si="102"/>
        <v>0</v>
      </c>
      <c r="AK403" s="234">
        <f t="shared" si="105"/>
        <v>394282000</v>
      </c>
      <c r="AL403" s="233">
        <f t="shared" si="103"/>
        <v>100</v>
      </c>
      <c r="AM403" s="227"/>
    </row>
    <row r="404" spans="1:39" ht="29.25" customHeight="1" x14ac:dyDescent="0.25">
      <c r="A404" s="243"/>
      <c r="B404" s="244"/>
      <c r="C404" s="244"/>
      <c r="D404" s="244"/>
      <c r="E404" s="244"/>
      <c r="F404" s="244"/>
      <c r="G404" s="244"/>
      <c r="H404" s="244"/>
      <c r="I404" s="298"/>
      <c r="J404" s="244" t="s">
        <v>415</v>
      </c>
      <c r="K404" s="245"/>
      <c r="L404" s="257"/>
      <c r="M404" s="604" t="s">
        <v>260</v>
      </c>
      <c r="N404" s="592"/>
      <c r="O404" s="179"/>
      <c r="P404" s="180"/>
      <c r="Q404" s="180">
        <v>2400000</v>
      </c>
      <c r="R404" s="181">
        <f>Q404/Q$403*100</f>
        <v>0.60870138631740733</v>
      </c>
      <c r="S404" s="181">
        <v>100</v>
      </c>
      <c r="T404" s="180">
        <f t="shared" si="101"/>
        <v>0</v>
      </c>
      <c r="U404" s="180">
        <f t="shared" si="107"/>
        <v>0</v>
      </c>
      <c r="V404" s="182">
        <f t="shared" si="92"/>
        <v>100</v>
      </c>
      <c r="W404" s="180"/>
      <c r="X404" s="180"/>
      <c r="Y404" s="180"/>
      <c r="Z404" s="180"/>
      <c r="AA404" s="180"/>
      <c r="AB404" s="180"/>
      <c r="AC404" s="180"/>
      <c r="AD404" s="180"/>
      <c r="AE404" s="180"/>
      <c r="AF404" s="180"/>
      <c r="AG404" s="180"/>
      <c r="AH404" s="180"/>
      <c r="AI404" s="180">
        <v>0</v>
      </c>
      <c r="AJ404" s="181">
        <f t="shared" ref="AJ404:AJ467" si="111">AI404/Q404*100</f>
        <v>0</v>
      </c>
      <c r="AK404" s="246">
        <f t="shared" si="105"/>
        <v>2400000</v>
      </c>
      <c r="AL404" s="181">
        <f t="shared" ref="AL404:AL467" si="112">AK404/Q404*100</f>
        <v>100</v>
      </c>
      <c r="AM404" s="243"/>
    </row>
    <row r="405" spans="1:39" ht="29.25" customHeight="1" x14ac:dyDescent="0.25">
      <c r="A405" s="243"/>
      <c r="B405" s="244"/>
      <c r="C405" s="244"/>
      <c r="D405" s="244"/>
      <c r="E405" s="244"/>
      <c r="F405" s="244"/>
      <c r="G405" s="244"/>
      <c r="H405" s="244"/>
      <c r="I405" s="298"/>
      <c r="J405" s="244" t="s">
        <v>326</v>
      </c>
      <c r="K405" s="245"/>
      <c r="L405" s="257"/>
      <c r="M405" s="604" t="s">
        <v>327</v>
      </c>
      <c r="N405" s="592"/>
      <c r="O405" s="179"/>
      <c r="P405" s="180"/>
      <c r="Q405" s="180">
        <v>32800000</v>
      </c>
      <c r="R405" s="181">
        <f t="shared" ref="R405:R416" si="113">Q405/Q$403*100</f>
        <v>8.3189189463379005</v>
      </c>
      <c r="S405" s="181">
        <v>100</v>
      </c>
      <c r="T405" s="180">
        <f t="shared" si="101"/>
        <v>0</v>
      </c>
      <c r="U405" s="180">
        <f t="shared" si="107"/>
        <v>0</v>
      </c>
      <c r="V405" s="182">
        <f t="shared" si="92"/>
        <v>100</v>
      </c>
      <c r="W405" s="180"/>
      <c r="X405" s="180"/>
      <c r="Y405" s="180"/>
      <c r="Z405" s="180"/>
      <c r="AA405" s="180"/>
      <c r="AB405" s="180"/>
      <c r="AC405" s="180"/>
      <c r="AD405" s="180"/>
      <c r="AE405" s="180"/>
      <c r="AF405" s="180"/>
      <c r="AG405" s="180"/>
      <c r="AH405" s="180"/>
      <c r="AI405" s="180">
        <v>0</v>
      </c>
      <c r="AJ405" s="181">
        <f t="shared" si="111"/>
        <v>0</v>
      </c>
      <c r="AK405" s="246">
        <f t="shared" si="105"/>
        <v>32800000</v>
      </c>
      <c r="AL405" s="181">
        <f t="shared" si="112"/>
        <v>100</v>
      </c>
      <c r="AM405" s="243"/>
    </row>
    <row r="406" spans="1:39" ht="29.25" customHeight="1" x14ac:dyDescent="0.25">
      <c r="A406" s="243"/>
      <c r="B406" s="244"/>
      <c r="C406" s="244"/>
      <c r="D406" s="244"/>
      <c r="E406" s="244"/>
      <c r="F406" s="244"/>
      <c r="G406" s="244"/>
      <c r="H406" s="244"/>
      <c r="I406" s="298"/>
      <c r="J406" s="244" t="s">
        <v>347</v>
      </c>
      <c r="K406" s="245"/>
      <c r="L406" s="257"/>
      <c r="M406" s="604" t="s">
        <v>348</v>
      </c>
      <c r="N406" s="592"/>
      <c r="O406" s="179"/>
      <c r="P406" s="180"/>
      <c r="Q406" s="180">
        <v>27800000</v>
      </c>
      <c r="R406" s="181">
        <f t="shared" si="113"/>
        <v>7.0507910581766353</v>
      </c>
      <c r="S406" s="181">
        <v>100</v>
      </c>
      <c r="T406" s="180">
        <f t="shared" si="101"/>
        <v>0</v>
      </c>
      <c r="U406" s="180">
        <f t="shared" si="107"/>
        <v>0</v>
      </c>
      <c r="V406" s="182">
        <f t="shared" si="92"/>
        <v>100</v>
      </c>
      <c r="W406" s="180"/>
      <c r="X406" s="180"/>
      <c r="Y406" s="180"/>
      <c r="Z406" s="180"/>
      <c r="AA406" s="180"/>
      <c r="AB406" s="180"/>
      <c r="AC406" s="180"/>
      <c r="AD406" s="180"/>
      <c r="AE406" s="180"/>
      <c r="AF406" s="180"/>
      <c r="AG406" s="180"/>
      <c r="AH406" s="180"/>
      <c r="AI406" s="180">
        <v>0</v>
      </c>
      <c r="AJ406" s="181">
        <f t="shared" si="111"/>
        <v>0</v>
      </c>
      <c r="AK406" s="246">
        <f t="shared" si="105"/>
        <v>27800000</v>
      </c>
      <c r="AL406" s="181">
        <f t="shared" si="112"/>
        <v>100</v>
      </c>
      <c r="AM406" s="243"/>
    </row>
    <row r="407" spans="1:39" ht="29.25" customHeight="1" x14ac:dyDescent="0.25">
      <c r="A407" s="243"/>
      <c r="B407" s="244"/>
      <c r="C407" s="244"/>
      <c r="D407" s="244"/>
      <c r="E407" s="244"/>
      <c r="F407" s="244"/>
      <c r="G407" s="244"/>
      <c r="H407" s="244"/>
      <c r="I407" s="298"/>
      <c r="J407" s="244" t="s">
        <v>323</v>
      </c>
      <c r="K407" s="245"/>
      <c r="L407" s="257"/>
      <c r="M407" s="604" t="s">
        <v>324</v>
      </c>
      <c r="N407" s="592"/>
      <c r="O407" s="179"/>
      <c r="P407" s="180"/>
      <c r="Q407" s="180">
        <v>35352000</v>
      </c>
      <c r="R407" s="181">
        <f t="shared" si="113"/>
        <v>8.9661714204554102</v>
      </c>
      <c r="S407" s="181">
        <v>100</v>
      </c>
      <c r="T407" s="180">
        <f t="shared" si="101"/>
        <v>0</v>
      </c>
      <c r="U407" s="180">
        <f t="shared" si="107"/>
        <v>0</v>
      </c>
      <c r="V407" s="182">
        <f t="shared" si="92"/>
        <v>100</v>
      </c>
      <c r="W407" s="180"/>
      <c r="X407" s="180"/>
      <c r="Y407" s="180"/>
      <c r="Z407" s="180"/>
      <c r="AA407" s="180"/>
      <c r="AB407" s="180"/>
      <c r="AC407" s="180"/>
      <c r="AD407" s="180"/>
      <c r="AE407" s="180"/>
      <c r="AF407" s="180"/>
      <c r="AG407" s="180"/>
      <c r="AH407" s="180"/>
      <c r="AI407" s="180">
        <v>0</v>
      </c>
      <c r="AJ407" s="181">
        <f t="shared" si="111"/>
        <v>0</v>
      </c>
      <c r="AK407" s="246">
        <f t="shared" si="105"/>
        <v>35352000</v>
      </c>
      <c r="AL407" s="181">
        <f t="shared" si="112"/>
        <v>100</v>
      </c>
      <c r="AM407" s="243"/>
    </row>
    <row r="408" spans="1:39" ht="29.25" customHeight="1" x14ac:dyDescent="0.25">
      <c r="A408" s="243"/>
      <c r="B408" s="244"/>
      <c r="C408" s="244"/>
      <c r="D408" s="244"/>
      <c r="E408" s="244"/>
      <c r="F408" s="244"/>
      <c r="G408" s="244"/>
      <c r="H408" s="244"/>
      <c r="I408" s="298"/>
      <c r="J408" s="244" t="s">
        <v>269</v>
      </c>
      <c r="K408" s="245"/>
      <c r="L408" s="257"/>
      <c r="M408" s="604" t="s">
        <v>270</v>
      </c>
      <c r="N408" s="592"/>
      <c r="O408" s="179"/>
      <c r="P408" s="180"/>
      <c r="Q408" s="180">
        <v>16330000</v>
      </c>
      <c r="R408" s="181">
        <f t="shared" si="113"/>
        <v>4.1417056827346919</v>
      </c>
      <c r="S408" s="181">
        <v>100</v>
      </c>
      <c r="T408" s="180">
        <f t="shared" si="101"/>
        <v>0</v>
      </c>
      <c r="U408" s="180">
        <f t="shared" si="107"/>
        <v>0</v>
      </c>
      <c r="V408" s="182">
        <f t="shared" si="92"/>
        <v>100</v>
      </c>
      <c r="W408" s="180"/>
      <c r="X408" s="180"/>
      <c r="Y408" s="180"/>
      <c r="Z408" s="180"/>
      <c r="AA408" s="180"/>
      <c r="AB408" s="180"/>
      <c r="AC408" s="180"/>
      <c r="AD408" s="180"/>
      <c r="AE408" s="180"/>
      <c r="AF408" s="180"/>
      <c r="AG408" s="180"/>
      <c r="AH408" s="180"/>
      <c r="AI408" s="180">
        <v>0</v>
      </c>
      <c r="AJ408" s="181">
        <f t="shared" si="111"/>
        <v>0</v>
      </c>
      <c r="AK408" s="246">
        <f t="shared" si="105"/>
        <v>16330000</v>
      </c>
      <c r="AL408" s="181">
        <f t="shared" si="112"/>
        <v>100</v>
      </c>
      <c r="AM408" s="243"/>
    </row>
    <row r="409" spans="1:39" ht="29.25" customHeight="1" x14ac:dyDescent="0.25">
      <c r="A409" s="243"/>
      <c r="B409" s="244"/>
      <c r="C409" s="244"/>
      <c r="D409" s="244"/>
      <c r="E409" s="244"/>
      <c r="F409" s="244"/>
      <c r="G409" s="244"/>
      <c r="H409" s="244"/>
      <c r="I409" s="298"/>
      <c r="J409" s="244" t="s">
        <v>315</v>
      </c>
      <c r="K409" s="245"/>
      <c r="L409" s="257"/>
      <c r="M409" s="604" t="s">
        <v>271</v>
      </c>
      <c r="N409" s="592"/>
      <c r="O409" s="179"/>
      <c r="P409" s="180"/>
      <c r="Q409" s="180">
        <v>21000000</v>
      </c>
      <c r="R409" s="181">
        <f t="shared" si="113"/>
        <v>5.3261371302773144</v>
      </c>
      <c r="S409" s="181">
        <v>100</v>
      </c>
      <c r="T409" s="180">
        <f t="shared" ref="T409:T618" si="114">AJ409</f>
        <v>0</v>
      </c>
      <c r="U409" s="180">
        <f t="shared" si="107"/>
        <v>0</v>
      </c>
      <c r="V409" s="182">
        <f t="shared" si="92"/>
        <v>100</v>
      </c>
      <c r="W409" s="180"/>
      <c r="X409" s="180"/>
      <c r="Y409" s="180"/>
      <c r="Z409" s="180"/>
      <c r="AA409" s="180"/>
      <c r="AB409" s="180"/>
      <c r="AC409" s="180"/>
      <c r="AD409" s="180"/>
      <c r="AE409" s="180"/>
      <c r="AF409" s="180"/>
      <c r="AG409" s="180"/>
      <c r="AH409" s="180"/>
      <c r="AI409" s="180">
        <v>0</v>
      </c>
      <c r="AJ409" s="181">
        <f t="shared" si="111"/>
        <v>0</v>
      </c>
      <c r="AK409" s="246">
        <f t="shared" si="105"/>
        <v>21000000</v>
      </c>
      <c r="AL409" s="181">
        <f t="shared" si="112"/>
        <v>100</v>
      </c>
      <c r="AM409" s="243"/>
    </row>
    <row r="410" spans="1:39" ht="29.25" customHeight="1" x14ac:dyDescent="0.25">
      <c r="A410" s="243"/>
      <c r="B410" s="244"/>
      <c r="C410" s="244"/>
      <c r="D410" s="244"/>
      <c r="E410" s="244"/>
      <c r="F410" s="244"/>
      <c r="G410" s="244"/>
      <c r="H410" s="244"/>
      <c r="I410" s="298"/>
      <c r="J410" s="244" t="s">
        <v>316</v>
      </c>
      <c r="K410" s="245"/>
      <c r="L410" s="257"/>
      <c r="M410" s="604" t="s">
        <v>317</v>
      </c>
      <c r="N410" s="592"/>
      <c r="O410" s="179"/>
      <c r="P410" s="180"/>
      <c r="Q410" s="180">
        <v>900000</v>
      </c>
      <c r="R410" s="181">
        <f t="shared" si="113"/>
        <v>0.22826301986902778</v>
      </c>
      <c r="S410" s="181">
        <v>100</v>
      </c>
      <c r="T410" s="180">
        <f t="shared" si="114"/>
        <v>0</v>
      </c>
      <c r="U410" s="180">
        <f t="shared" si="107"/>
        <v>0</v>
      </c>
      <c r="V410" s="182">
        <f t="shared" si="92"/>
        <v>100</v>
      </c>
      <c r="W410" s="180"/>
      <c r="X410" s="180"/>
      <c r="Y410" s="180"/>
      <c r="Z410" s="180"/>
      <c r="AA410" s="180"/>
      <c r="AB410" s="180"/>
      <c r="AC410" s="180"/>
      <c r="AD410" s="180"/>
      <c r="AE410" s="180"/>
      <c r="AF410" s="180"/>
      <c r="AG410" s="180"/>
      <c r="AH410" s="180"/>
      <c r="AI410" s="180">
        <v>0</v>
      </c>
      <c r="AJ410" s="181">
        <f t="shared" si="111"/>
        <v>0</v>
      </c>
      <c r="AK410" s="246">
        <f t="shared" si="105"/>
        <v>900000</v>
      </c>
      <c r="AL410" s="181">
        <f t="shared" si="112"/>
        <v>100</v>
      </c>
      <c r="AM410" s="243"/>
    </row>
    <row r="411" spans="1:39" ht="29.25" customHeight="1" x14ac:dyDescent="0.25">
      <c r="A411" s="243"/>
      <c r="B411" s="244"/>
      <c r="C411" s="244"/>
      <c r="D411" s="244"/>
      <c r="E411" s="244"/>
      <c r="F411" s="244"/>
      <c r="G411" s="244"/>
      <c r="H411" s="244"/>
      <c r="I411" s="298"/>
      <c r="J411" s="244" t="s">
        <v>318</v>
      </c>
      <c r="K411" s="245"/>
      <c r="L411" s="257"/>
      <c r="M411" s="604" t="s">
        <v>319</v>
      </c>
      <c r="N411" s="592"/>
      <c r="O411" s="179"/>
      <c r="P411" s="180"/>
      <c r="Q411" s="180">
        <v>109500000</v>
      </c>
      <c r="R411" s="181">
        <f t="shared" si="113"/>
        <v>27.772000750731713</v>
      </c>
      <c r="S411" s="181">
        <v>100</v>
      </c>
      <c r="T411" s="180">
        <f t="shared" si="114"/>
        <v>0</v>
      </c>
      <c r="U411" s="180">
        <f t="shared" si="107"/>
        <v>0</v>
      </c>
      <c r="V411" s="182">
        <f t="shared" si="92"/>
        <v>100</v>
      </c>
      <c r="W411" s="180"/>
      <c r="X411" s="180"/>
      <c r="Y411" s="180"/>
      <c r="Z411" s="180"/>
      <c r="AA411" s="180"/>
      <c r="AB411" s="180"/>
      <c r="AC411" s="180"/>
      <c r="AD411" s="180"/>
      <c r="AE411" s="180"/>
      <c r="AF411" s="180"/>
      <c r="AG411" s="180"/>
      <c r="AH411" s="180"/>
      <c r="AI411" s="180">
        <v>0</v>
      </c>
      <c r="AJ411" s="181">
        <f t="shared" si="111"/>
        <v>0</v>
      </c>
      <c r="AK411" s="246">
        <f t="shared" si="105"/>
        <v>109500000</v>
      </c>
      <c r="AL411" s="181">
        <f t="shared" si="112"/>
        <v>100</v>
      </c>
      <c r="AM411" s="243"/>
    </row>
    <row r="412" spans="1:39" ht="29.25" customHeight="1" x14ac:dyDescent="0.25">
      <c r="A412" s="243"/>
      <c r="B412" s="244"/>
      <c r="C412" s="244"/>
      <c r="D412" s="244"/>
      <c r="E412" s="244"/>
      <c r="F412" s="244"/>
      <c r="G412" s="244"/>
      <c r="H412" s="244"/>
      <c r="I412" s="298"/>
      <c r="J412" s="244" t="s">
        <v>284</v>
      </c>
      <c r="K412" s="245"/>
      <c r="L412" s="257"/>
      <c r="M412" s="604" t="s">
        <v>285</v>
      </c>
      <c r="N412" s="592"/>
      <c r="O412" s="179"/>
      <c r="P412" s="180"/>
      <c r="Q412" s="180">
        <v>25000000</v>
      </c>
      <c r="R412" s="181">
        <f t="shared" si="113"/>
        <v>6.3406394408063269</v>
      </c>
      <c r="S412" s="181">
        <v>100</v>
      </c>
      <c r="T412" s="180">
        <f t="shared" si="114"/>
        <v>0</v>
      </c>
      <c r="U412" s="180">
        <f t="shared" si="107"/>
        <v>0</v>
      </c>
      <c r="V412" s="182">
        <f t="shared" si="92"/>
        <v>100</v>
      </c>
      <c r="W412" s="180"/>
      <c r="X412" s="180"/>
      <c r="Y412" s="180"/>
      <c r="Z412" s="180"/>
      <c r="AA412" s="180"/>
      <c r="AB412" s="180"/>
      <c r="AC412" s="180"/>
      <c r="AD412" s="180"/>
      <c r="AE412" s="180"/>
      <c r="AF412" s="180"/>
      <c r="AG412" s="180"/>
      <c r="AH412" s="180"/>
      <c r="AI412" s="180">
        <v>0</v>
      </c>
      <c r="AJ412" s="181">
        <f t="shared" si="111"/>
        <v>0</v>
      </c>
      <c r="AK412" s="246">
        <f t="shared" si="105"/>
        <v>25000000</v>
      </c>
      <c r="AL412" s="181">
        <f t="shared" si="112"/>
        <v>100</v>
      </c>
      <c r="AM412" s="243"/>
    </row>
    <row r="413" spans="1:39" ht="29.25" customHeight="1" x14ac:dyDescent="0.25">
      <c r="A413" s="243"/>
      <c r="B413" s="244"/>
      <c r="C413" s="244"/>
      <c r="D413" s="244"/>
      <c r="E413" s="244"/>
      <c r="F413" s="244"/>
      <c r="G413" s="244"/>
      <c r="H413" s="244"/>
      <c r="I413" s="298"/>
      <c r="J413" s="244" t="s">
        <v>282</v>
      </c>
      <c r="K413" s="245"/>
      <c r="L413" s="257"/>
      <c r="M413" s="604" t="s">
        <v>283</v>
      </c>
      <c r="N413" s="592"/>
      <c r="O413" s="179"/>
      <c r="P413" s="180"/>
      <c r="Q413" s="180">
        <v>74100000</v>
      </c>
      <c r="R413" s="181">
        <f t="shared" si="113"/>
        <v>18.793655302549954</v>
      </c>
      <c r="S413" s="181">
        <v>100</v>
      </c>
      <c r="T413" s="180">
        <f t="shared" si="114"/>
        <v>0</v>
      </c>
      <c r="U413" s="180">
        <f t="shared" si="107"/>
        <v>0</v>
      </c>
      <c r="V413" s="182">
        <f t="shared" si="92"/>
        <v>100</v>
      </c>
      <c r="W413" s="180"/>
      <c r="X413" s="180"/>
      <c r="Y413" s="180"/>
      <c r="Z413" s="180"/>
      <c r="AA413" s="180"/>
      <c r="AB413" s="180"/>
      <c r="AC413" s="180"/>
      <c r="AD413" s="180"/>
      <c r="AE413" s="180"/>
      <c r="AF413" s="180"/>
      <c r="AG413" s="180"/>
      <c r="AH413" s="180"/>
      <c r="AI413" s="180">
        <v>0</v>
      </c>
      <c r="AJ413" s="181">
        <f t="shared" si="111"/>
        <v>0</v>
      </c>
      <c r="AK413" s="246">
        <f t="shared" si="105"/>
        <v>74100000</v>
      </c>
      <c r="AL413" s="181">
        <f t="shared" si="112"/>
        <v>100</v>
      </c>
      <c r="AM413" s="243"/>
    </row>
    <row r="414" spans="1:39" ht="29.25" customHeight="1" x14ac:dyDescent="0.25">
      <c r="A414" s="243"/>
      <c r="B414" s="244"/>
      <c r="C414" s="244"/>
      <c r="D414" s="244"/>
      <c r="E414" s="244"/>
      <c r="F414" s="244"/>
      <c r="G414" s="244"/>
      <c r="H414" s="244"/>
      <c r="I414" s="298"/>
      <c r="J414" s="244" t="s">
        <v>320</v>
      </c>
      <c r="K414" s="245"/>
      <c r="L414" s="257"/>
      <c r="M414" s="604" t="s">
        <v>321</v>
      </c>
      <c r="N414" s="592"/>
      <c r="O414" s="179"/>
      <c r="P414" s="180"/>
      <c r="Q414" s="180">
        <v>26600000</v>
      </c>
      <c r="R414" s="181">
        <f t="shared" si="113"/>
        <v>6.7464403650179321</v>
      </c>
      <c r="S414" s="181">
        <v>100</v>
      </c>
      <c r="T414" s="180">
        <f t="shared" si="114"/>
        <v>0</v>
      </c>
      <c r="U414" s="180">
        <f t="shared" si="107"/>
        <v>0</v>
      </c>
      <c r="V414" s="182">
        <f t="shared" si="92"/>
        <v>100</v>
      </c>
      <c r="W414" s="180"/>
      <c r="X414" s="180"/>
      <c r="Y414" s="180"/>
      <c r="Z414" s="180"/>
      <c r="AA414" s="180"/>
      <c r="AB414" s="180"/>
      <c r="AC414" s="180"/>
      <c r="AD414" s="180"/>
      <c r="AE414" s="180"/>
      <c r="AF414" s="180"/>
      <c r="AG414" s="180"/>
      <c r="AH414" s="180"/>
      <c r="AI414" s="180">
        <v>0</v>
      </c>
      <c r="AJ414" s="181">
        <f t="shared" si="111"/>
        <v>0</v>
      </c>
      <c r="AK414" s="246">
        <f t="shared" si="105"/>
        <v>26600000</v>
      </c>
      <c r="AL414" s="181">
        <f t="shared" si="112"/>
        <v>100</v>
      </c>
      <c r="AM414" s="243"/>
    </row>
    <row r="415" spans="1:39" ht="29.25" customHeight="1" x14ac:dyDescent="0.25">
      <c r="A415" s="243"/>
      <c r="B415" s="244"/>
      <c r="C415" s="244"/>
      <c r="D415" s="244"/>
      <c r="E415" s="244"/>
      <c r="F415" s="244"/>
      <c r="G415" s="244"/>
      <c r="H415" s="244"/>
      <c r="I415" s="298"/>
      <c r="J415" s="244" t="s">
        <v>309</v>
      </c>
      <c r="K415" s="245"/>
      <c r="L415" s="257"/>
      <c r="M415" s="604" t="s">
        <v>611</v>
      </c>
      <c r="N415" s="592"/>
      <c r="O415" s="179"/>
      <c r="P415" s="180"/>
      <c r="Q415" s="180">
        <v>12900000</v>
      </c>
      <c r="R415" s="181">
        <f t="shared" si="113"/>
        <v>3.2717699514560645</v>
      </c>
      <c r="S415" s="181">
        <v>100</v>
      </c>
      <c r="T415" s="180">
        <f t="shared" si="114"/>
        <v>0</v>
      </c>
      <c r="U415" s="180">
        <f t="shared" si="107"/>
        <v>0</v>
      </c>
      <c r="V415" s="182">
        <f t="shared" si="92"/>
        <v>100</v>
      </c>
      <c r="W415" s="180"/>
      <c r="X415" s="180"/>
      <c r="Y415" s="180"/>
      <c r="Z415" s="180"/>
      <c r="AA415" s="180"/>
      <c r="AB415" s="180"/>
      <c r="AC415" s="180"/>
      <c r="AD415" s="180"/>
      <c r="AE415" s="180"/>
      <c r="AF415" s="180"/>
      <c r="AG415" s="180"/>
      <c r="AH415" s="180"/>
      <c r="AI415" s="180">
        <v>0</v>
      </c>
      <c r="AJ415" s="181">
        <f t="shared" si="111"/>
        <v>0</v>
      </c>
      <c r="AK415" s="246">
        <f t="shared" si="105"/>
        <v>12900000</v>
      </c>
      <c r="AL415" s="181">
        <f t="shared" si="112"/>
        <v>100</v>
      </c>
      <c r="AM415" s="243"/>
    </row>
    <row r="416" spans="1:39" ht="29.25" customHeight="1" x14ac:dyDescent="0.25">
      <c r="A416" s="243"/>
      <c r="B416" s="244"/>
      <c r="C416" s="244"/>
      <c r="D416" s="244"/>
      <c r="E416" s="244"/>
      <c r="F416" s="244"/>
      <c r="G416" s="244"/>
      <c r="H416" s="244"/>
      <c r="I416" s="298"/>
      <c r="J416" s="244" t="s">
        <v>551</v>
      </c>
      <c r="K416" s="245"/>
      <c r="L416" s="257"/>
      <c r="M416" s="604" t="s">
        <v>550</v>
      </c>
      <c r="N416" s="592"/>
      <c r="O416" s="179"/>
      <c r="P416" s="180"/>
      <c r="Q416" s="180">
        <v>9600000</v>
      </c>
      <c r="R416" s="181">
        <f t="shared" si="113"/>
        <v>2.4348055452696293</v>
      </c>
      <c r="S416" s="181"/>
      <c r="T416" s="180">
        <f t="shared" si="114"/>
        <v>0</v>
      </c>
      <c r="U416" s="180">
        <f t="shared" si="107"/>
        <v>0</v>
      </c>
      <c r="V416" s="182"/>
      <c r="W416" s="180"/>
      <c r="X416" s="180"/>
      <c r="Y416" s="180"/>
      <c r="Z416" s="180"/>
      <c r="AA416" s="180"/>
      <c r="AB416" s="180"/>
      <c r="AC416" s="180"/>
      <c r="AD416" s="180"/>
      <c r="AE416" s="180"/>
      <c r="AF416" s="180"/>
      <c r="AG416" s="180"/>
      <c r="AH416" s="180"/>
      <c r="AI416" s="180">
        <v>0</v>
      </c>
      <c r="AJ416" s="181">
        <f t="shared" si="111"/>
        <v>0</v>
      </c>
      <c r="AK416" s="246">
        <f t="shared" si="105"/>
        <v>9600000</v>
      </c>
      <c r="AL416" s="181">
        <f t="shared" si="112"/>
        <v>100</v>
      </c>
      <c r="AM416" s="243"/>
    </row>
    <row r="417" spans="1:39" ht="29.25" customHeight="1" x14ac:dyDescent="0.25">
      <c r="A417" s="227">
        <v>49</v>
      </c>
      <c r="B417" s="244"/>
      <c r="C417" s="244"/>
      <c r="D417" s="244"/>
      <c r="E417" s="244"/>
      <c r="F417" s="244"/>
      <c r="G417" s="244"/>
      <c r="H417" s="244"/>
      <c r="I417" s="298"/>
      <c r="J417" s="304" t="s">
        <v>499</v>
      </c>
      <c r="K417" s="230"/>
      <c r="L417" s="294"/>
      <c r="M417" s="613" t="s">
        <v>500</v>
      </c>
      <c r="N417" s="613"/>
      <c r="O417" s="309">
        <v>252956000</v>
      </c>
      <c r="P417" s="231">
        <f>O417</f>
        <v>252956000</v>
      </c>
      <c r="Q417" s="231">
        <f>SUM(Q418:Q419)</f>
        <v>418500000</v>
      </c>
      <c r="R417" s="233">
        <f>Q417/Q$243*100</f>
        <v>3.7669561175494941</v>
      </c>
      <c r="S417" s="233">
        <v>100</v>
      </c>
      <c r="T417" s="231">
        <f t="shared" si="114"/>
        <v>0</v>
      </c>
      <c r="U417" s="231">
        <f t="shared" si="107"/>
        <v>0</v>
      </c>
      <c r="V417" s="296">
        <f t="shared" ref="V417:V419" si="115">S417-T417</f>
        <v>100</v>
      </c>
      <c r="W417" s="231"/>
      <c r="X417" s="231" t="e">
        <f>#REF!</f>
        <v>#REF!</v>
      </c>
      <c r="Y417" s="231" t="e">
        <f>#REF!</f>
        <v>#REF!</v>
      </c>
      <c r="Z417" s="231" t="e">
        <f>#REF!</f>
        <v>#REF!</v>
      </c>
      <c r="AA417" s="231" t="e">
        <f>#REF!</f>
        <v>#REF!</v>
      </c>
      <c r="AB417" s="231">
        <v>58582925</v>
      </c>
      <c r="AC417" s="231" t="e">
        <f>#REF!</f>
        <v>#REF!</v>
      </c>
      <c r="AD417" s="231" t="e">
        <f>#REF!</f>
        <v>#REF!</v>
      </c>
      <c r="AE417" s="231" t="e">
        <f>#REF!</f>
        <v>#REF!</v>
      </c>
      <c r="AF417" s="231" t="e">
        <f>[1]April!N86</f>
        <v>#REF!</v>
      </c>
      <c r="AG417" s="231" t="e">
        <f>[2]april!N86</f>
        <v>#REF!</v>
      </c>
      <c r="AH417" s="231">
        <f>'[3]DES SKPD'!$N86</f>
        <v>126710000</v>
      </c>
      <c r="AI417" s="231">
        <f>SUM(AI418:AI419)</f>
        <v>0</v>
      </c>
      <c r="AJ417" s="233">
        <f t="shared" si="111"/>
        <v>0</v>
      </c>
      <c r="AK417" s="234">
        <f t="shared" si="105"/>
        <v>418500000</v>
      </c>
      <c r="AL417" s="233">
        <f t="shared" si="112"/>
        <v>100</v>
      </c>
      <c r="AM417" s="243"/>
    </row>
    <row r="418" spans="1:39" ht="29.25" customHeight="1" x14ac:dyDescent="0.25">
      <c r="A418" s="243"/>
      <c r="B418" s="244"/>
      <c r="C418" s="244"/>
      <c r="D418" s="244"/>
      <c r="E418" s="244"/>
      <c r="F418" s="244"/>
      <c r="G418" s="244"/>
      <c r="H418" s="244"/>
      <c r="I418" s="298"/>
      <c r="J418" s="244" t="s">
        <v>537</v>
      </c>
      <c r="K418" s="245"/>
      <c r="L418" s="257"/>
      <c r="M418" s="604" t="s">
        <v>605</v>
      </c>
      <c r="N418" s="592"/>
      <c r="O418" s="179"/>
      <c r="P418" s="180"/>
      <c r="Q418" s="180">
        <v>38500000</v>
      </c>
      <c r="R418" s="181">
        <f t="shared" ref="R418:R419" si="116">Q418/Q$417*100</f>
        <v>9.1995221027479097</v>
      </c>
      <c r="S418" s="181">
        <v>100</v>
      </c>
      <c r="T418" s="180">
        <f t="shared" si="114"/>
        <v>0</v>
      </c>
      <c r="U418" s="180">
        <f t="shared" si="107"/>
        <v>0</v>
      </c>
      <c r="V418" s="182">
        <f t="shared" si="115"/>
        <v>100</v>
      </c>
      <c r="W418" s="180"/>
      <c r="X418" s="180"/>
      <c r="Y418" s="180"/>
      <c r="Z418" s="180"/>
      <c r="AA418" s="180"/>
      <c r="AB418" s="180"/>
      <c r="AC418" s="180"/>
      <c r="AD418" s="180"/>
      <c r="AE418" s="180"/>
      <c r="AF418" s="180"/>
      <c r="AG418" s="180"/>
      <c r="AH418" s="180"/>
      <c r="AI418" s="180">
        <v>0</v>
      </c>
      <c r="AJ418" s="181">
        <f t="shared" si="111"/>
        <v>0</v>
      </c>
      <c r="AK418" s="246">
        <f t="shared" si="105"/>
        <v>38500000</v>
      </c>
      <c r="AL418" s="181">
        <f t="shared" si="112"/>
        <v>100</v>
      </c>
      <c r="AM418" s="243"/>
    </row>
    <row r="419" spans="1:39" ht="29.25" customHeight="1" x14ac:dyDescent="0.25">
      <c r="A419" s="243"/>
      <c r="B419" s="244"/>
      <c r="C419" s="244"/>
      <c r="D419" s="244"/>
      <c r="E419" s="244"/>
      <c r="F419" s="244"/>
      <c r="G419" s="244"/>
      <c r="H419" s="244"/>
      <c r="I419" s="298"/>
      <c r="J419" s="244" t="s">
        <v>415</v>
      </c>
      <c r="K419" s="245"/>
      <c r="L419" s="257"/>
      <c r="M419" s="604" t="s">
        <v>303</v>
      </c>
      <c r="N419" s="592"/>
      <c r="O419" s="179"/>
      <c r="P419" s="180"/>
      <c r="Q419" s="180">
        <v>380000000</v>
      </c>
      <c r="R419" s="181">
        <f t="shared" si="116"/>
        <v>90.80047789725208</v>
      </c>
      <c r="S419" s="181">
        <v>100</v>
      </c>
      <c r="T419" s="180">
        <f t="shared" si="114"/>
        <v>0</v>
      </c>
      <c r="U419" s="180">
        <f t="shared" si="107"/>
        <v>0</v>
      </c>
      <c r="V419" s="182">
        <f t="shared" si="115"/>
        <v>100</v>
      </c>
      <c r="W419" s="180"/>
      <c r="X419" s="180"/>
      <c r="Y419" s="180"/>
      <c r="Z419" s="180"/>
      <c r="AA419" s="180"/>
      <c r="AB419" s="180"/>
      <c r="AC419" s="180"/>
      <c r="AD419" s="180"/>
      <c r="AE419" s="180"/>
      <c r="AF419" s="180"/>
      <c r="AG419" s="180"/>
      <c r="AH419" s="180"/>
      <c r="AI419" s="180">
        <v>0</v>
      </c>
      <c r="AJ419" s="181">
        <f t="shared" si="111"/>
        <v>0</v>
      </c>
      <c r="AK419" s="246">
        <f t="shared" si="105"/>
        <v>380000000</v>
      </c>
      <c r="AL419" s="181">
        <f t="shared" si="112"/>
        <v>100</v>
      </c>
      <c r="AM419" s="243"/>
    </row>
    <row r="420" spans="1:39" s="297" customFormat="1" ht="29.25" customHeight="1" x14ac:dyDescent="0.25">
      <c r="A420" s="227">
        <f>SUM(A417+1)</f>
        <v>50</v>
      </c>
      <c r="B420" s="615" t="s">
        <v>153</v>
      </c>
      <c r="C420" s="615"/>
      <c r="D420" s="615"/>
      <c r="E420" s="615"/>
      <c r="F420" s="615"/>
      <c r="G420" s="615"/>
      <c r="H420" s="615"/>
      <c r="I420" s="614"/>
      <c r="J420" s="304" t="s">
        <v>504</v>
      </c>
      <c r="K420" s="230"/>
      <c r="L420" s="294"/>
      <c r="M420" s="610" t="s">
        <v>53</v>
      </c>
      <c r="N420" s="610"/>
      <c r="O420" s="309">
        <v>420443450</v>
      </c>
      <c r="P420" s="231">
        <f>O420</f>
        <v>420443450</v>
      </c>
      <c r="Q420" s="231">
        <f>SUM(Q421:Q430)</f>
        <v>179508000</v>
      </c>
      <c r="R420" s="233">
        <f>Q420/Q$243*100</f>
        <v>1.6157676433669645</v>
      </c>
      <c r="S420" s="233">
        <v>100</v>
      </c>
      <c r="T420" s="231">
        <f t="shared" si="114"/>
        <v>0</v>
      </c>
      <c r="U420" s="231">
        <f t="shared" si="107"/>
        <v>0</v>
      </c>
      <c r="V420" s="296">
        <f t="shared" si="92"/>
        <v>100</v>
      </c>
      <c r="W420" s="231"/>
      <c r="X420" s="231" t="e">
        <f>#REF!</f>
        <v>#REF!</v>
      </c>
      <c r="Y420" s="231" t="e">
        <f>#REF!</f>
        <v>#REF!</v>
      </c>
      <c r="Z420" s="231" t="e">
        <f>#REF!</f>
        <v>#REF!</v>
      </c>
      <c r="AA420" s="231" t="e">
        <f>#REF!</f>
        <v>#REF!</v>
      </c>
      <c r="AB420" s="231">
        <v>55843500</v>
      </c>
      <c r="AC420" s="231" t="e">
        <f>#REF!</f>
        <v>#REF!</v>
      </c>
      <c r="AD420" s="231" t="e">
        <f>#REF!</f>
        <v>#REF!</v>
      </c>
      <c r="AE420" s="231" t="e">
        <f>#REF!</f>
        <v>#REF!</v>
      </c>
      <c r="AF420" s="231" t="e">
        <f>[1]April!N73</f>
        <v>#REF!</v>
      </c>
      <c r="AG420" s="231" t="e">
        <f>[2]april!N73</f>
        <v>#REF!</v>
      </c>
      <c r="AH420" s="231">
        <f>'[3]DES SKPD'!$N73</f>
        <v>192051900</v>
      </c>
      <c r="AI420" s="231">
        <f>SUM(AI421:AI430)</f>
        <v>0</v>
      </c>
      <c r="AJ420" s="233">
        <f t="shared" si="111"/>
        <v>0</v>
      </c>
      <c r="AK420" s="234">
        <f t="shared" ref="AK420:AK467" si="117">Q420-AI420</f>
        <v>179508000</v>
      </c>
      <c r="AL420" s="233">
        <f t="shared" si="112"/>
        <v>100</v>
      </c>
      <c r="AM420" s="227"/>
    </row>
    <row r="421" spans="1:39" ht="24.75" customHeight="1" x14ac:dyDescent="0.25">
      <c r="A421" s="243"/>
      <c r="B421" s="244"/>
      <c r="C421" s="244"/>
      <c r="D421" s="244"/>
      <c r="E421" s="244"/>
      <c r="F421" s="244"/>
      <c r="G421" s="244"/>
      <c r="H421" s="244"/>
      <c r="I421" s="298"/>
      <c r="J421" s="244" t="s">
        <v>273</v>
      </c>
      <c r="K421" s="245"/>
      <c r="L421" s="257"/>
      <c r="M421" s="591" t="s">
        <v>322</v>
      </c>
      <c r="N421" s="592"/>
      <c r="O421" s="179"/>
      <c r="P421" s="180"/>
      <c r="Q421" s="180">
        <v>20400000</v>
      </c>
      <c r="R421" s="181">
        <f t="shared" ref="R421:R430" si="118">Q421/Q$420*100</f>
        <v>11.364396015776455</v>
      </c>
      <c r="S421" s="181">
        <v>100</v>
      </c>
      <c r="T421" s="180">
        <f t="shared" si="114"/>
        <v>0</v>
      </c>
      <c r="U421" s="180">
        <f t="shared" si="107"/>
        <v>0</v>
      </c>
      <c r="V421" s="182">
        <f t="shared" si="92"/>
        <v>100</v>
      </c>
      <c r="W421" s="180"/>
      <c r="X421" s="180"/>
      <c r="Y421" s="180"/>
      <c r="Z421" s="180"/>
      <c r="AA421" s="180"/>
      <c r="AB421" s="180"/>
      <c r="AC421" s="180"/>
      <c r="AD421" s="180"/>
      <c r="AE421" s="180"/>
      <c r="AF421" s="180"/>
      <c r="AG421" s="180"/>
      <c r="AH421" s="180"/>
      <c r="AI421" s="180">
        <v>0</v>
      </c>
      <c r="AJ421" s="181">
        <f t="shared" si="111"/>
        <v>0</v>
      </c>
      <c r="AK421" s="246">
        <f t="shared" si="117"/>
        <v>20400000</v>
      </c>
      <c r="AL421" s="181">
        <f t="shared" si="112"/>
        <v>100</v>
      </c>
      <c r="AM421" s="243"/>
    </row>
    <row r="422" spans="1:39" ht="24.75" customHeight="1" x14ac:dyDescent="0.25">
      <c r="A422" s="243"/>
      <c r="B422" s="244"/>
      <c r="C422" s="244"/>
      <c r="D422" s="244"/>
      <c r="E422" s="244"/>
      <c r="F422" s="244"/>
      <c r="G422" s="244"/>
      <c r="H422" s="244"/>
      <c r="I422" s="298"/>
      <c r="J422" s="244" t="s">
        <v>323</v>
      </c>
      <c r="K422" s="245"/>
      <c r="L422" s="257"/>
      <c r="M422" s="591" t="s">
        <v>324</v>
      </c>
      <c r="N422" s="592"/>
      <c r="O422" s="179"/>
      <c r="P422" s="180"/>
      <c r="Q422" s="180">
        <v>8408000</v>
      </c>
      <c r="R422" s="181">
        <f t="shared" si="118"/>
        <v>4.6839138088553156</v>
      </c>
      <c r="S422" s="181">
        <v>100</v>
      </c>
      <c r="T422" s="180">
        <f t="shared" si="114"/>
        <v>0</v>
      </c>
      <c r="U422" s="180">
        <f t="shared" si="107"/>
        <v>0</v>
      </c>
      <c r="V422" s="182">
        <f t="shared" si="92"/>
        <v>100</v>
      </c>
      <c r="W422" s="180"/>
      <c r="X422" s="180"/>
      <c r="Y422" s="180"/>
      <c r="Z422" s="180"/>
      <c r="AA422" s="180"/>
      <c r="AB422" s="180"/>
      <c r="AC422" s="180"/>
      <c r="AD422" s="180"/>
      <c r="AE422" s="180"/>
      <c r="AF422" s="180"/>
      <c r="AG422" s="180"/>
      <c r="AH422" s="180"/>
      <c r="AI422" s="180">
        <v>0</v>
      </c>
      <c r="AJ422" s="181">
        <f t="shared" si="111"/>
        <v>0</v>
      </c>
      <c r="AK422" s="246">
        <f t="shared" si="117"/>
        <v>8408000</v>
      </c>
      <c r="AL422" s="181">
        <f t="shared" si="112"/>
        <v>100</v>
      </c>
      <c r="AM422" s="243"/>
    </row>
    <row r="423" spans="1:39" ht="24.75" customHeight="1" x14ac:dyDescent="0.25">
      <c r="A423" s="243"/>
      <c r="B423" s="244"/>
      <c r="C423" s="244"/>
      <c r="D423" s="244"/>
      <c r="E423" s="244"/>
      <c r="F423" s="244"/>
      <c r="G423" s="244"/>
      <c r="H423" s="244"/>
      <c r="I423" s="298"/>
      <c r="J423" s="244" t="s">
        <v>417</v>
      </c>
      <c r="K423" s="245"/>
      <c r="L423" s="257"/>
      <c r="M423" s="591" t="s">
        <v>408</v>
      </c>
      <c r="N423" s="592"/>
      <c r="O423" s="179"/>
      <c r="P423" s="180"/>
      <c r="Q423" s="180">
        <v>3000000</v>
      </c>
      <c r="R423" s="181">
        <f t="shared" si="118"/>
        <v>1.6712347082024199</v>
      </c>
      <c r="S423" s="181">
        <v>101</v>
      </c>
      <c r="T423" s="180">
        <f t="shared" si="114"/>
        <v>0</v>
      </c>
      <c r="U423" s="180">
        <f t="shared" si="107"/>
        <v>0</v>
      </c>
      <c r="V423" s="182">
        <f t="shared" si="92"/>
        <v>101</v>
      </c>
      <c r="W423" s="180"/>
      <c r="X423" s="180"/>
      <c r="Y423" s="180"/>
      <c r="Z423" s="180"/>
      <c r="AA423" s="180"/>
      <c r="AB423" s="180"/>
      <c r="AC423" s="180"/>
      <c r="AD423" s="180"/>
      <c r="AE423" s="180"/>
      <c r="AF423" s="180"/>
      <c r="AG423" s="180"/>
      <c r="AH423" s="180"/>
      <c r="AI423" s="180">
        <v>0</v>
      </c>
      <c r="AJ423" s="181">
        <f t="shared" si="111"/>
        <v>0</v>
      </c>
      <c r="AK423" s="246">
        <f t="shared" si="117"/>
        <v>3000000</v>
      </c>
      <c r="AL423" s="181">
        <f t="shared" si="112"/>
        <v>100</v>
      </c>
      <c r="AM423" s="243"/>
    </row>
    <row r="424" spans="1:39" ht="24.75" customHeight="1" x14ac:dyDescent="0.25">
      <c r="A424" s="243"/>
      <c r="B424" s="244"/>
      <c r="C424" s="244"/>
      <c r="D424" s="244"/>
      <c r="E424" s="244"/>
      <c r="F424" s="244"/>
      <c r="G424" s="244"/>
      <c r="H424" s="244"/>
      <c r="I424" s="298"/>
      <c r="J424" s="244" t="s">
        <v>315</v>
      </c>
      <c r="K424" s="245"/>
      <c r="L424" s="257"/>
      <c r="M424" s="591" t="s">
        <v>271</v>
      </c>
      <c r="N424" s="592"/>
      <c r="O424" s="179"/>
      <c r="P424" s="180"/>
      <c r="Q424" s="180">
        <v>4000000</v>
      </c>
      <c r="R424" s="181">
        <f t="shared" si="118"/>
        <v>2.2283129442698932</v>
      </c>
      <c r="S424" s="181">
        <v>100</v>
      </c>
      <c r="T424" s="180">
        <f t="shared" si="114"/>
        <v>0</v>
      </c>
      <c r="U424" s="180">
        <f t="shared" si="107"/>
        <v>0</v>
      </c>
      <c r="V424" s="182">
        <f t="shared" si="92"/>
        <v>100</v>
      </c>
      <c r="W424" s="180"/>
      <c r="X424" s="180"/>
      <c r="Y424" s="180"/>
      <c r="Z424" s="180"/>
      <c r="AA424" s="180"/>
      <c r="AB424" s="180"/>
      <c r="AC424" s="180"/>
      <c r="AD424" s="180"/>
      <c r="AE424" s="180"/>
      <c r="AF424" s="180"/>
      <c r="AG424" s="180"/>
      <c r="AH424" s="180"/>
      <c r="AI424" s="180">
        <v>0</v>
      </c>
      <c r="AJ424" s="181">
        <f t="shared" si="111"/>
        <v>0</v>
      </c>
      <c r="AK424" s="246">
        <f t="shared" si="117"/>
        <v>4000000</v>
      </c>
      <c r="AL424" s="181">
        <f t="shared" si="112"/>
        <v>100</v>
      </c>
      <c r="AM424" s="243"/>
    </row>
    <row r="425" spans="1:39" ht="29.25" customHeight="1" x14ac:dyDescent="0.25">
      <c r="A425" s="243"/>
      <c r="B425" s="244"/>
      <c r="C425" s="244"/>
      <c r="D425" s="244"/>
      <c r="E425" s="244"/>
      <c r="F425" s="244"/>
      <c r="G425" s="244"/>
      <c r="H425" s="244"/>
      <c r="I425" s="298"/>
      <c r="J425" s="244" t="s">
        <v>328</v>
      </c>
      <c r="K425" s="245"/>
      <c r="L425" s="257"/>
      <c r="M425" s="591" t="s">
        <v>329</v>
      </c>
      <c r="N425" s="592"/>
      <c r="O425" s="179"/>
      <c r="P425" s="180"/>
      <c r="Q425" s="180">
        <v>26000000</v>
      </c>
      <c r="R425" s="181">
        <f t="shared" si="118"/>
        <v>14.484034137754307</v>
      </c>
      <c r="S425" s="181">
        <v>100</v>
      </c>
      <c r="T425" s="180">
        <f t="shared" si="114"/>
        <v>0</v>
      </c>
      <c r="U425" s="180">
        <f t="shared" ref="U425:U650" si="119">R425*T425/100</f>
        <v>0</v>
      </c>
      <c r="V425" s="182">
        <f t="shared" si="92"/>
        <v>100</v>
      </c>
      <c r="W425" s="180"/>
      <c r="X425" s="180"/>
      <c r="Y425" s="180"/>
      <c r="Z425" s="180"/>
      <c r="AA425" s="180"/>
      <c r="AB425" s="180"/>
      <c r="AC425" s="180"/>
      <c r="AD425" s="180"/>
      <c r="AE425" s="180"/>
      <c r="AF425" s="180"/>
      <c r="AG425" s="180"/>
      <c r="AH425" s="180"/>
      <c r="AI425" s="180">
        <v>0</v>
      </c>
      <c r="AJ425" s="181">
        <f t="shared" si="111"/>
        <v>0</v>
      </c>
      <c r="AK425" s="246">
        <f t="shared" si="117"/>
        <v>26000000</v>
      </c>
      <c r="AL425" s="181">
        <f t="shared" si="112"/>
        <v>100</v>
      </c>
      <c r="AM425" s="243"/>
    </row>
    <row r="426" spans="1:39" ht="24.75" customHeight="1" x14ac:dyDescent="0.25">
      <c r="A426" s="243"/>
      <c r="B426" s="244"/>
      <c r="C426" s="244"/>
      <c r="D426" s="244"/>
      <c r="E426" s="244"/>
      <c r="F426" s="244"/>
      <c r="G426" s="244"/>
      <c r="H426" s="244"/>
      <c r="I426" s="298"/>
      <c r="J426" s="244" t="s">
        <v>280</v>
      </c>
      <c r="K426" s="245"/>
      <c r="L426" s="257"/>
      <c r="M426" s="591" t="s">
        <v>281</v>
      </c>
      <c r="N426" s="592"/>
      <c r="O426" s="179"/>
      <c r="P426" s="180"/>
      <c r="Q426" s="180">
        <v>48500000</v>
      </c>
      <c r="R426" s="181">
        <f t="shared" si="118"/>
        <v>27.018294449272457</v>
      </c>
      <c r="S426" s="181">
        <v>100</v>
      </c>
      <c r="T426" s="180">
        <f t="shared" si="114"/>
        <v>0</v>
      </c>
      <c r="U426" s="180">
        <f t="shared" si="119"/>
        <v>0</v>
      </c>
      <c r="V426" s="182">
        <f t="shared" si="92"/>
        <v>100</v>
      </c>
      <c r="W426" s="180"/>
      <c r="X426" s="180"/>
      <c r="Y426" s="180"/>
      <c r="Z426" s="180"/>
      <c r="AA426" s="180"/>
      <c r="AB426" s="180"/>
      <c r="AC426" s="180"/>
      <c r="AD426" s="180"/>
      <c r="AE426" s="180"/>
      <c r="AF426" s="180"/>
      <c r="AG426" s="180"/>
      <c r="AH426" s="180"/>
      <c r="AI426" s="180">
        <v>0</v>
      </c>
      <c r="AJ426" s="181">
        <f t="shared" si="111"/>
        <v>0</v>
      </c>
      <c r="AK426" s="246">
        <f t="shared" si="117"/>
        <v>48500000</v>
      </c>
      <c r="AL426" s="181">
        <f t="shared" si="112"/>
        <v>100</v>
      </c>
      <c r="AM426" s="243"/>
    </row>
    <row r="427" spans="1:39" ht="24.75" customHeight="1" x14ac:dyDescent="0.25">
      <c r="A427" s="243"/>
      <c r="B427" s="244"/>
      <c r="C427" s="244"/>
      <c r="D427" s="244"/>
      <c r="E427" s="244"/>
      <c r="F427" s="244"/>
      <c r="G427" s="244"/>
      <c r="H427" s="244"/>
      <c r="I427" s="298"/>
      <c r="J427" s="244" t="s">
        <v>284</v>
      </c>
      <c r="K427" s="245"/>
      <c r="L427" s="257"/>
      <c r="M427" s="591" t="s">
        <v>285</v>
      </c>
      <c r="N427" s="592"/>
      <c r="O427" s="179"/>
      <c r="P427" s="180"/>
      <c r="Q427" s="180">
        <v>10000000</v>
      </c>
      <c r="R427" s="181">
        <f t="shared" si="118"/>
        <v>5.5707823606747331</v>
      </c>
      <c r="S427" s="181">
        <v>100</v>
      </c>
      <c r="T427" s="180">
        <f t="shared" si="114"/>
        <v>0</v>
      </c>
      <c r="U427" s="180">
        <f t="shared" si="119"/>
        <v>0</v>
      </c>
      <c r="V427" s="182">
        <f t="shared" si="92"/>
        <v>100</v>
      </c>
      <c r="W427" s="180"/>
      <c r="X427" s="180"/>
      <c r="Y427" s="180"/>
      <c r="Z427" s="180"/>
      <c r="AA427" s="180"/>
      <c r="AB427" s="180"/>
      <c r="AC427" s="180"/>
      <c r="AD427" s="180"/>
      <c r="AE427" s="180"/>
      <c r="AF427" s="180"/>
      <c r="AG427" s="180"/>
      <c r="AH427" s="180"/>
      <c r="AI427" s="180">
        <v>0</v>
      </c>
      <c r="AJ427" s="181">
        <f t="shared" si="111"/>
        <v>0</v>
      </c>
      <c r="AK427" s="246">
        <f t="shared" si="117"/>
        <v>10000000</v>
      </c>
      <c r="AL427" s="181">
        <f t="shared" si="112"/>
        <v>100</v>
      </c>
      <c r="AM427" s="243"/>
    </row>
    <row r="428" spans="1:39" ht="24.75" customHeight="1" x14ac:dyDescent="0.25">
      <c r="A428" s="243"/>
      <c r="B428" s="244"/>
      <c r="C428" s="244"/>
      <c r="D428" s="244"/>
      <c r="E428" s="244"/>
      <c r="F428" s="244"/>
      <c r="G428" s="244"/>
      <c r="H428" s="244"/>
      <c r="I428" s="298"/>
      <c r="J428" s="244" t="s">
        <v>282</v>
      </c>
      <c r="K428" s="245"/>
      <c r="L428" s="257"/>
      <c r="M428" s="591" t="s">
        <v>283</v>
      </c>
      <c r="N428" s="592"/>
      <c r="O428" s="179"/>
      <c r="P428" s="180"/>
      <c r="Q428" s="180">
        <v>10000000</v>
      </c>
      <c r="R428" s="181">
        <f t="shared" si="118"/>
        <v>5.5707823606747331</v>
      </c>
      <c r="S428" s="181">
        <v>100</v>
      </c>
      <c r="T428" s="180">
        <f t="shared" si="114"/>
        <v>0</v>
      </c>
      <c r="U428" s="180">
        <f t="shared" si="119"/>
        <v>0</v>
      </c>
      <c r="V428" s="182">
        <f t="shared" si="92"/>
        <v>100</v>
      </c>
      <c r="W428" s="180"/>
      <c r="X428" s="180"/>
      <c r="Y428" s="180"/>
      <c r="Z428" s="180"/>
      <c r="AA428" s="180"/>
      <c r="AB428" s="180"/>
      <c r="AC428" s="180"/>
      <c r="AD428" s="180"/>
      <c r="AE428" s="180"/>
      <c r="AF428" s="180"/>
      <c r="AG428" s="180"/>
      <c r="AH428" s="180"/>
      <c r="AI428" s="180">
        <v>0</v>
      </c>
      <c r="AJ428" s="181">
        <f t="shared" si="111"/>
        <v>0</v>
      </c>
      <c r="AK428" s="246">
        <f t="shared" si="117"/>
        <v>10000000</v>
      </c>
      <c r="AL428" s="181">
        <f t="shared" si="112"/>
        <v>100</v>
      </c>
      <c r="AM428" s="243"/>
    </row>
    <row r="429" spans="1:39" ht="24.75" customHeight="1" x14ac:dyDescent="0.25">
      <c r="A429" s="243"/>
      <c r="B429" s="244"/>
      <c r="C429" s="244"/>
      <c r="D429" s="244"/>
      <c r="E429" s="244"/>
      <c r="F429" s="244"/>
      <c r="G429" s="244"/>
      <c r="H429" s="244"/>
      <c r="I429" s="298"/>
      <c r="J429" s="244" t="s">
        <v>309</v>
      </c>
      <c r="K429" s="245"/>
      <c r="L429" s="257"/>
      <c r="M429" s="591" t="s">
        <v>321</v>
      </c>
      <c r="N429" s="592"/>
      <c r="O429" s="179"/>
      <c r="P429" s="180"/>
      <c r="Q429" s="180">
        <v>39600000</v>
      </c>
      <c r="R429" s="181">
        <f t="shared" si="118"/>
        <v>22.060298148271944</v>
      </c>
      <c r="S429" s="181">
        <v>100</v>
      </c>
      <c r="T429" s="180">
        <f t="shared" si="114"/>
        <v>0</v>
      </c>
      <c r="U429" s="180">
        <f t="shared" si="119"/>
        <v>0</v>
      </c>
      <c r="V429" s="182">
        <f t="shared" si="92"/>
        <v>100</v>
      </c>
      <c r="W429" s="180"/>
      <c r="X429" s="180"/>
      <c r="Y429" s="180"/>
      <c r="Z429" s="180"/>
      <c r="AA429" s="180"/>
      <c r="AB429" s="180"/>
      <c r="AC429" s="180"/>
      <c r="AD429" s="180"/>
      <c r="AE429" s="180"/>
      <c r="AF429" s="180"/>
      <c r="AG429" s="180"/>
      <c r="AH429" s="180"/>
      <c r="AI429" s="180">
        <v>0</v>
      </c>
      <c r="AJ429" s="181">
        <f t="shared" si="111"/>
        <v>0</v>
      </c>
      <c r="AK429" s="246">
        <f t="shared" si="117"/>
        <v>39600000</v>
      </c>
      <c r="AL429" s="181">
        <f t="shared" si="112"/>
        <v>100</v>
      </c>
      <c r="AM429" s="243"/>
    </row>
    <row r="430" spans="1:39" ht="24.75" customHeight="1" x14ac:dyDescent="0.25">
      <c r="A430" s="243"/>
      <c r="B430" s="244"/>
      <c r="C430" s="244"/>
      <c r="D430" s="244"/>
      <c r="E430" s="244"/>
      <c r="F430" s="244"/>
      <c r="G430" s="244"/>
      <c r="H430" s="244"/>
      <c r="I430" s="298"/>
      <c r="J430" s="244" t="s">
        <v>407</v>
      </c>
      <c r="K430" s="245"/>
      <c r="L430" s="257"/>
      <c r="M430" s="591" t="s">
        <v>414</v>
      </c>
      <c r="N430" s="592"/>
      <c r="O430" s="179"/>
      <c r="P430" s="180"/>
      <c r="Q430" s="180">
        <v>9600000</v>
      </c>
      <c r="R430" s="181">
        <f t="shared" si="118"/>
        <v>5.3479510662477434</v>
      </c>
      <c r="S430" s="181"/>
      <c r="T430" s="180">
        <f t="shared" si="114"/>
        <v>0</v>
      </c>
      <c r="U430" s="180">
        <f t="shared" si="119"/>
        <v>0</v>
      </c>
      <c r="V430" s="182"/>
      <c r="W430" s="180"/>
      <c r="X430" s="180"/>
      <c r="Y430" s="180"/>
      <c r="Z430" s="180"/>
      <c r="AA430" s="180"/>
      <c r="AB430" s="180"/>
      <c r="AC430" s="180"/>
      <c r="AD430" s="180"/>
      <c r="AE430" s="180"/>
      <c r="AF430" s="180"/>
      <c r="AG430" s="180"/>
      <c r="AH430" s="180"/>
      <c r="AI430" s="180">
        <v>0</v>
      </c>
      <c r="AJ430" s="181">
        <f t="shared" si="111"/>
        <v>0</v>
      </c>
      <c r="AK430" s="246">
        <f t="shared" si="117"/>
        <v>9600000</v>
      </c>
      <c r="AL430" s="181">
        <f t="shared" si="112"/>
        <v>100</v>
      </c>
      <c r="AM430" s="243"/>
    </row>
    <row r="431" spans="1:39" s="297" customFormat="1" ht="24.75" customHeight="1" x14ac:dyDescent="0.25">
      <c r="A431" s="227">
        <f>A420+1</f>
        <v>51</v>
      </c>
      <c r="B431" s="615" t="s">
        <v>154</v>
      </c>
      <c r="C431" s="615"/>
      <c r="D431" s="615"/>
      <c r="E431" s="615"/>
      <c r="F431" s="615"/>
      <c r="G431" s="615"/>
      <c r="H431" s="615"/>
      <c r="I431" s="614"/>
      <c r="J431" s="304" t="s">
        <v>505</v>
      </c>
      <c r="K431" s="230"/>
      <c r="L431" s="294"/>
      <c r="M431" s="610" t="s">
        <v>54</v>
      </c>
      <c r="N431" s="610"/>
      <c r="O431" s="309">
        <v>255497500</v>
      </c>
      <c r="P431" s="231">
        <f>O431</f>
        <v>255497500</v>
      </c>
      <c r="Q431" s="231">
        <f>SUM(Q432:Q441)</f>
        <v>106707000</v>
      </c>
      <c r="R431" s="233">
        <f>Q431/Q$33*100</f>
        <v>0.34478960778819395</v>
      </c>
      <c r="S431" s="233">
        <v>100</v>
      </c>
      <c r="T431" s="231">
        <f t="shared" si="114"/>
        <v>0</v>
      </c>
      <c r="U431" s="231">
        <f t="shared" si="119"/>
        <v>0</v>
      </c>
      <c r="V431" s="296">
        <f t="shared" si="92"/>
        <v>100</v>
      </c>
      <c r="W431" s="231"/>
      <c r="X431" s="231" t="e">
        <f>#REF!</f>
        <v>#REF!</v>
      </c>
      <c r="Y431" s="231" t="e">
        <f>#REF!</f>
        <v>#REF!</v>
      </c>
      <c r="Z431" s="231" t="e">
        <f>#REF!</f>
        <v>#REF!</v>
      </c>
      <c r="AA431" s="231" t="e">
        <f>#REF!</f>
        <v>#REF!</v>
      </c>
      <c r="AB431" s="231">
        <v>62640000</v>
      </c>
      <c r="AC431" s="231" t="e">
        <f>#REF!</f>
        <v>#REF!</v>
      </c>
      <c r="AD431" s="231" t="e">
        <f>#REF!</f>
        <v>#REF!</v>
      </c>
      <c r="AE431" s="231" t="e">
        <f>#REF!</f>
        <v>#REF!</v>
      </c>
      <c r="AF431" s="231" t="e">
        <f>[1]April!N74</f>
        <v>#REF!</v>
      </c>
      <c r="AG431" s="231" t="e">
        <f>[2]april!N74</f>
        <v>#REF!</v>
      </c>
      <c r="AH431" s="231">
        <f>'[3]DES SKPD'!$N74</f>
        <v>327019800</v>
      </c>
      <c r="AI431" s="231">
        <f>SUM(AI432:AI441)</f>
        <v>0</v>
      </c>
      <c r="AJ431" s="233">
        <f t="shared" si="111"/>
        <v>0</v>
      </c>
      <c r="AK431" s="234">
        <f t="shared" si="117"/>
        <v>106707000</v>
      </c>
      <c r="AL431" s="233">
        <f t="shared" si="112"/>
        <v>100</v>
      </c>
      <c r="AM431" s="227"/>
    </row>
    <row r="432" spans="1:39" ht="24.75" customHeight="1" x14ac:dyDescent="0.25">
      <c r="A432" s="243"/>
      <c r="B432" s="244"/>
      <c r="C432" s="244"/>
      <c r="D432" s="244"/>
      <c r="E432" s="244"/>
      <c r="F432" s="244"/>
      <c r="G432" s="244"/>
      <c r="H432" s="244"/>
      <c r="I432" s="298"/>
      <c r="J432" s="244" t="s">
        <v>257</v>
      </c>
      <c r="K432" s="245"/>
      <c r="L432" s="257"/>
      <c r="M432" s="591" t="s">
        <v>324</v>
      </c>
      <c r="N432" s="592"/>
      <c r="O432" s="179"/>
      <c r="P432" s="180"/>
      <c r="Q432" s="180">
        <v>27357000</v>
      </c>
      <c r="R432" s="181">
        <f>Q432/Q$431*100</f>
        <v>25.637493322837301</v>
      </c>
      <c r="S432" s="181">
        <v>100</v>
      </c>
      <c r="T432" s="180">
        <f t="shared" si="114"/>
        <v>0</v>
      </c>
      <c r="U432" s="180">
        <f t="shared" si="119"/>
        <v>0</v>
      </c>
      <c r="V432" s="182">
        <f t="shared" si="92"/>
        <v>100</v>
      </c>
      <c r="W432" s="180"/>
      <c r="X432" s="180"/>
      <c r="Y432" s="180"/>
      <c r="Z432" s="180"/>
      <c r="AA432" s="180"/>
      <c r="AB432" s="180"/>
      <c r="AC432" s="180"/>
      <c r="AD432" s="180"/>
      <c r="AE432" s="180"/>
      <c r="AF432" s="180"/>
      <c r="AG432" s="180"/>
      <c r="AH432" s="180"/>
      <c r="AI432" s="180">
        <v>0</v>
      </c>
      <c r="AJ432" s="181">
        <f t="shared" si="111"/>
        <v>0</v>
      </c>
      <c r="AK432" s="246">
        <f t="shared" si="117"/>
        <v>27357000</v>
      </c>
      <c r="AL432" s="181">
        <f t="shared" si="112"/>
        <v>100</v>
      </c>
      <c r="AM432" s="243"/>
    </row>
    <row r="433" spans="1:39" ht="24.75" customHeight="1" x14ac:dyDescent="0.25">
      <c r="A433" s="243"/>
      <c r="B433" s="244"/>
      <c r="C433" s="244"/>
      <c r="D433" s="244"/>
      <c r="E433" s="244"/>
      <c r="F433" s="244"/>
      <c r="G433" s="244"/>
      <c r="H433" s="244"/>
      <c r="I433" s="298"/>
      <c r="J433" s="244" t="s">
        <v>269</v>
      </c>
      <c r="K433" s="245"/>
      <c r="L433" s="257"/>
      <c r="M433" s="591" t="s">
        <v>270</v>
      </c>
      <c r="N433" s="592"/>
      <c r="O433" s="179"/>
      <c r="P433" s="180"/>
      <c r="Q433" s="180">
        <v>4500000</v>
      </c>
      <c r="R433" s="181">
        <f t="shared" ref="R433:R441" si="120">Q433/Q$431*100</f>
        <v>4.2171553881188677</v>
      </c>
      <c r="S433" s="181">
        <v>100</v>
      </c>
      <c r="T433" s="180">
        <f t="shared" si="114"/>
        <v>0</v>
      </c>
      <c r="U433" s="180">
        <f t="shared" si="119"/>
        <v>0</v>
      </c>
      <c r="V433" s="182">
        <f t="shared" si="92"/>
        <v>100</v>
      </c>
      <c r="W433" s="180"/>
      <c r="X433" s="180"/>
      <c r="Y433" s="180"/>
      <c r="Z433" s="180"/>
      <c r="AA433" s="180"/>
      <c r="AB433" s="180"/>
      <c r="AC433" s="180"/>
      <c r="AD433" s="180"/>
      <c r="AE433" s="180"/>
      <c r="AF433" s="180"/>
      <c r="AG433" s="180"/>
      <c r="AH433" s="180"/>
      <c r="AI433" s="180">
        <v>0</v>
      </c>
      <c r="AJ433" s="181">
        <f t="shared" si="111"/>
        <v>0</v>
      </c>
      <c r="AK433" s="246">
        <f t="shared" si="117"/>
        <v>4500000</v>
      </c>
      <c r="AL433" s="181">
        <f t="shared" si="112"/>
        <v>100</v>
      </c>
      <c r="AM433" s="243"/>
    </row>
    <row r="434" spans="1:39" ht="24.75" customHeight="1" x14ac:dyDescent="0.25">
      <c r="A434" s="243"/>
      <c r="B434" s="244"/>
      <c r="C434" s="244"/>
      <c r="D434" s="244"/>
      <c r="E434" s="244"/>
      <c r="F434" s="244"/>
      <c r="G434" s="244"/>
      <c r="H434" s="244"/>
      <c r="I434" s="298"/>
      <c r="J434" s="244" t="s">
        <v>315</v>
      </c>
      <c r="K434" s="245"/>
      <c r="L434" s="257"/>
      <c r="M434" s="591" t="s">
        <v>271</v>
      </c>
      <c r="N434" s="592"/>
      <c r="O434" s="179"/>
      <c r="P434" s="180"/>
      <c r="Q434" s="180">
        <v>1850000</v>
      </c>
      <c r="R434" s="181">
        <f t="shared" si="120"/>
        <v>1.7337194373377565</v>
      </c>
      <c r="S434" s="181">
        <v>100</v>
      </c>
      <c r="T434" s="180">
        <f t="shared" si="114"/>
        <v>0</v>
      </c>
      <c r="U434" s="180">
        <f t="shared" si="119"/>
        <v>0</v>
      </c>
      <c r="V434" s="182">
        <f t="shared" si="92"/>
        <v>100</v>
      </c>
      <c r="W434" s="180"/>
      <c r="X434" s="180"/>
      <c r="Y434" s="180"/>
      <c r="Z434" s="180"/>
      <c r="AA434" s="180"/>
      <c r="AB434" s="180"/>
      <c r="AC434" s="180"/>
      <c r="AD434" s="180"/>
      <c r="AE434" s="180"/>
      <c r="AF434" s="180"/>
      <c r="AG434" s="180"/>
      <c r="AH434" s="180"/>
      <c r="AI434" s="180">
        <v>0</v>
      </c>
      <c r="AJ434" s="181">
        <f t="shared" si="111"/>
        <v>0</v>
      </c>
      <c r="AK434" s="246">
        <f t="shared" si="117"/>
        <v>1850000</v>
      </c>
      <c r="AL434" s="181">
        <f t="shared" si="112"/>
        <v>100</v>
      </c>
      <c r="AM434" s="243"/>
    </row>
    <row r="435" spans="1:39" ht="24.75" customHeight="1" x14ac:dyDescent="0.25">
      <c r="A435" s="243"/>
      <c r="B435" s="244"/>
      <c r="C435" s="244"/>
      <c r="D435" s="244"/>
      <c r="E435" s="244"/>
      <c r="F435" s="244"/>
      <c r="G435" s="244"/>
      <c r="H435" s="244"/>
      <c r="I435" s="298"/>
      <c r="J435" s="244" t="s">
        <v>328</v>
      </c>
      <c r="K435" s="245"/>
      <c r="L435" s="257"/>
      <c r="M435" s="591" t="s">
        <v>612</v>
      </c>
      <c r="N435" s="592"/>
      <c r="O435" s="179"/>
      <c r="P435" s="180"/>
      <c r="Q435" s="180">
        <v>500000</v>
      </c>
      <c r="R435" s="181">
        <f t="shared" si="120"/>
        <v>0.4685728209020964</v>
      </c>
      <c r="S435" s="181">
        <v>100</v>
      </c>
      <c r="T435" s="180">
        <f t="shared" si="114"/>
        <v>0</v>
      </c>
      <c r="U435" s="180">
        <f t="shared" si="119"/>
        <v>0</v>
      </c>
      <c r="V435" s="182">
        <f t="shared" si="92"/>
        <v>100</v>
      </c>
      <c r="W435" s="180"/>
      <c r="X435" s="180"/>
      <c r="Y435" s="180"/>
      <c r="Z435" s="180"/>
      <c r="AA435" s="180"/>
      <c r="AB435" s="180"/>
      <c r="AC435" s="180"/>
      <c r="AD435" s="180"/>
      <c r="AE435" s="180"/>
      <c r="AF435" s="180"/>
      <c r="AG435" s="180"/>
      <c r="AH435" s="180"/>
      <c r="AI435" s="180">
        <v>0</v>
      </c>
      <c r="AJ435" s="181">
        <f t="shared" si="111"/>
        <v>0</v>
      </c>
      <c r="AK435" s="246">
        <f t="shared" si="117"/>
        <v>500000</v>
      </c>
      <c r="AL435" s="181">
        <f t="shared" si="112"/>
        <v>100</v>
      </c>
      <c r="AM435" s="243"/>
    </row>
    <row r="436" spans="1:39" ht="29.25" customHeight="1" x14ac:dyDescent="0.25">
      <c r="A436" s="243"/>
      <c r="B436" s="244"/>
      <c r="C436" s="244"/>
      <c r="D436" s="244"/>
      <c r="E436" s="244"/>
      <c r="F436" s="244"/>
      <c r="G436" s="244"/>
      <c r="H436" s="244"/>
      <c r="I436" s="298"/>
      <c r="J436" s="244" t="s">
        <v>339</v>
      </c>
      <c r="K436" s="245"/>
      <c r="L436" s="257"/>
      <c r="M436" s="591" t="s">
        <v>613</v>
      </c>
      <c r="N436" s="592"/>
      <c r="O436" s="179"/>
      <c r="P436" s="180"/>
      <c r="Q436" s="180">
        <v>9400000</v>
      </c>
      <c r="R436" s="181">
        <f t="shared" si="120"/>
        <v>8.8091690329594119</v>
      </c>
      <c r="S436" s="181">
        <v>100</v>
      </c>
      <c r="T436" s="180">
        <f t="shared" si="114"/>
        <v>0</v>
      </c>
      <c r="U436" s="180">
        <f t="shared" si="119"/>
        <v>0</v>
      </c>
      <c r="V436" s="182">
        <f t="shared" si="92"/>
        <v>100</v>
      </c>
      <c r="W436" s="180"/>
      <c r="X436" s="180"/>
      <c r="Y436" s="180"/>
      <c r="Z436" s="180"/>
      <c r="AA436" s="180"/>
      <c r="AB436" s="180"/>
      <c r="AC436" s="180"/>
      <c r="AD436" s="180"/>
      <c r="AE436" s="180"/>
      <c r="AF436" s="180"/>
      <c r="AG436" s="180"/>
      <c r="AH436" s="180"/>
      <c r="AI436" s="180">
        <v>0</v>
      </c>
      <c r="AJ436" s="181">
        <f t="shared" si="111"/>
        <v>0</v>
      </c>
      <c r="AK436" s="246">
        <f t="shared" si="117"/>
        <v>9400000</v>
      </c>
      <c r="AL436" s="181">
        <f t="shared" si="112"/>
        <v>100</v>
      </c>
      <c r="AM436" s="243"/>
    </row>
    <row r="437" spans="1:39" ht="24.75" customHeight="1" x14ac:dyDescent="0.25">
      <c r="A437" s="243"/>
      <c r="B437" s="244"/>
      <c r="C437" s="244"/>
      <c r="D437" s="244"/>
      <c r="E437" s="244"/>
      <c r="F437" s="244"/>
      <c r="G437" s="244"/>
      <c r="H437" s="244"/>
      <c r="I437" s="298"/>
      <c r="J437" s="244" t="s">
        <v>284</v>
      </c>
      <c r="K437" s="245"/>
      <c r="L437" s="257"/>
      <c r="M437" s="591" t="s">
        <v>319</v>
      </c>
      <c r="N437" s="592"/>
      <c r="O437" s="179"/>
      <c r="P437" s="180"/>
      <c r="Q437" s="180">
        <v>24500000</v>
      </c>
      <c r="R437" s="181">
        <f t="shared" si="120"/>
        <v>22.960068224202722</v>
      </c>
      <c r="S437" s="181">
        <v>100</v>
      </c>
      <c r="T437" s="180">
        <f t="shared" si="114"/>
        <v>0</v>
      </c>
      <c r="U437" s="180">
        <f t="shared" si="119"/>
        <v>0</v>
      </c>
      <c r="V437" s="182">
        <f t="shared" si="92"/>
        <v>100</v>
      </c>
      <c r="W437" s="180"/>
      <c r="X437" s="180"/>
      <c r="Y437" s="180"/>
      <c r="Z437" s="180"/>
      <c r="AA437" s="180"/>
      <c r="AB437" s="180"/>
      <c r="AC437" s="180"/>
      <c r="AD437" s="180"/>
      <c r="AE437" s="180"/>
      <c r="AF437" s="180"/>
      <c r="AG437" s="180"/>
      <c r="AH437" s="180"/>
      <c r="AI437" s="180">
        <v>0</v>
      </c>
      <c r="AJ437" s="181">
        <f t="shared" si="111"/>
        <v>0</v>
      </c>
      <c r="AK437" s="246">
        <f t="shared" si="117"/>
        <v>24500000</v>
      </c>
      <c r="AL437" s="181">
        <f t="shared" si="112"/>
        <v>100</v>
      </c>
      <c r="AM437" s="243"/>
    </row>
    <row r="438" spans="1:39" ht="24.75" customHeight="1" x14ac:dyDescent="0.25">
      <c r="A438" s="243"/>
      <c r="B438" s="244"/>
      <c r="C438" s="244"/>
      <c r="D438" s="244"/>
      <c r="E438" s="244"/>
      <c r="F438" s="244"/>
      <c r="G438" s="244"/>
      <c r="H438" s="244"/>
      <c r="I438" s="298"/>
      <c r="J438" s="244" t="s">
        <v>282</v>
      </c>
      <c r="K438" s="245"/>
      <c r="L438" s="257"/>
      <c r="M438" s="591" t="s">
        <v>585</v>
      </c>
      <c r="N438" s="592"/>
      <c r="O438" s="179"/>
      <c r="P438" s="180"/>
      <c r="Q438" s="180">
        <v>2500000</v>
      </c>
      <c r="R438" s="181">
        <f t="shared" si="120"/>
        <v>2.3428641045104821</v>
      </c>
      <c r="S438" s="181">
        <v>100</v>
      </c>
      <c r="T438" s="180">
        <f t="shared" si="114"/>
        <v>0</v>
      </c>
      <c r="U438" s="180">
        <f t="shared" si="119"/>
        <v>0</v>
      </c>
      <c r="V438" s="182">
        <f t="shared" si="92"/>
        <v>100</v>
      </c>
      <c r="W438" s="180"/>
      <c r="X438" s="180"/>
      <c r="Y438" s="180"/>
      <c r="Z438" s="180"/>
      <c r="AA438" s="180"/>
      <c r="AB438" s="180"/>
      <c r="AC438" s="180"/>
      <c r="AD438" s="180"/>
      <c r="AE438" s="180"/>
      <c r="AF438" s="180"/>
      <c r="AG438" s="180"/>
      <c r="AH438" s="180"/>
      <c r="AI438" s="180">
        <v>0</v>
      </c>
      <c r="AJ438" s="181">
        <f t="shared" si="111"/>
        <v>0</v>
      </c>
      <c r="AK438" s="246">
        <f t="shared" si="117"/>
        <v>2500000</v>
      </c>
      <c r="AL438" s="181">
        <f t="shared" si="112"/>
        <v>100</v>
      </c>
      <c r="AM438" s="243"/>
    </row>
    <row r="439" spans="1:39" ht="24.75" customHeight="1" x14ac:dyDescent="0.25">
      <c r="A439" s="243"/>
      <c r="B439" s="244"/>
      <c r="C439" s="244"/>
      <c r="D439" s="244"/>
      <c r="E439" s="244"/>
      <c r="F439" s="244"/>
      <c r="G439" s="244"/>
      <c r="H439" s="244"/>
      <c r="I439" s="298"/>
      <c r="J439" s="244" t="s">
        <v>282</v>
      </c>
      <c r="K439" s="245"/>
      <c r="L439" s="257"/>
      <c r="M439" s="591" t="s">
        <v>503</v>
      </c>
      <c r="N439" s="592"/>
      <c r="O439" s="179"/>
      <c r="P439" s="180"/>
      <c r="Q439" s="180">
        <v>23900000</v>
      </c>
      <c r="R439" s="181">
        <f t="shared" si="120"/>
        <v>22.397780839120209</v>
      </c>
      <c r="S439" s="181">
        <v>100</v>
      </c>
      <c r="T439" s="180">
        <f t="shared" si="114"/>
        <v>0</v>
      </c>
      <c r="U439" s="180">
        <f t="shared" si="119"/>
        <v>0</v>
      </c>
      <c r="V439" s="182">
        <f t="shared" si="92"/>
        <v>100</v>
      </c>
      <c r="W439" s="180"/>
      <c r="X439" s="180"/>
      <c r="Y439" s="180"/>
      <c r="Z439" s="180"/>
      <c r="AA439" s="180"/>
      <c r="AB439" s="180"/>
      <c r="AC439" s="180"/>
      <c r="AD439" s="180"/>
      <c r="AE439" s="180"/>
      <c r="AF439" s="180"/>
      <c r="AG439" s="180"/>
      <c r="AH439" s="180"/>
      <c r="AI439" s="180">
        <v>0</v>
      </c>
      <c r="AJ439" s="181">
        <f t="shared" si="111"/>
        <v>0</v>
      </c>
      <c r="AK439" s="246">
        <f t="shared" si="117"/>
        <v>23900000</v>
      </c>
      <c r="AL439" s="181">
        <f t="shared" si="112"/>
        <v>100</v>
      </c>
      <c r="AM439" s="243"/>
    </row>
    <row r="440" spans="1:39" ht="24.75" customHeight="1" x14ac:dyDescent="0.25">
      <c r="A440" s="243"/>
      <c r="B440" s="244"/>
      <c r="C440" s="244"/>
      <c r="D440" s="244"/>
      <c r="E440" s="244"/>
      <c r="F440" s="244"/>
      <c r="G440" s="244"/>
      <c r="H440" s="244"/>
      <c r="I440" s="298"/>
      <c r="J440" s="244" t="s">
        <v>320</v>
      </c>
      <c r="K440" s="245"/>
      <c r="L440" s="257"/>
      <c r="M440" s="591" t="s">
        <v>321</v>
      </c>
      <c r="N440" s="592"/>
      <c r="O440" s="179"/>
      <c r="P440" s="180"/>
      <c r="Q440" s="180">
        <v>7400000</v>
      </c>
      <c r="R440" s="181">
        <f t="shared" si="120"/>
        <v>6.9348777493510259</v>
      </c>
      <c r="S440" s="181">
        <v>100</v>
      </c>
      <c r="T440" s="180">
        <f t="shared" si="114"/>
        <v>0</v>
      </c>
      <c r="U440" s="180">
        <f t="shared" si="119"/>
        <v>0</v>
      </c>
      <c r="V440" s="182">
        <f t="shared" si="92"/>
        <v>100</v>
      </c>
      <c r="W440" s="180"/>
      <c r="X440" s="180"/>
      <c r="Y440" s="180"/>
      <c r="Z440" s="180"/>
      <c r="AA440" s="180"/>
      <c r="AB440" s="180"/>
      <c r="AC440" s="180"/>
      <c r="AD440" s="180"/>
      <c r="AE440" s="180"/>
      <c r="AF440" s="180"/>
      <c r="AG440" s="180"/>
      <c r="AH440" s="180"/>
      <c r="AI440" s="180">
        <v>0</v>
      </c>
      <c r="AJ440" s="181">
        <f t="shared" si="111"/>
        <v>0</v>
      </c>
      <c r="AK440" s="246">
        <f t="shared" si="117"/>
        <v>7400000</v>
      </c>
      <c r="AL440" s="181">
        <f t="shared" si="112"/>
        <v>100</v>
      </c>
      <c r="AM440" s="243"/>
    </row>
    <row r="441" spans="1:39" ht="24.75" customHeight="1" x14ac:dyDescent="0.25">
      <c r="A441" s="243"/>
      <c r="B441" s="244"/>
      <c r="C441" s="244"/>
      <c r="D441" s="244"/>
      <c r="E441" s="244"/>
      <c r="F441" s="244"/>
      <c r="G441" s="244"/>
      <c r="H441" s="244"/>
      <c r="I441" s="298"/>
      <c r="J441" s="244" t="s">
        <v>407</v>
      </c>
      <c r="K441" s="245"/>
      <c r="L441" s="257"/>
      <c r="M441" s="591" t="s">
        <v>614</v>
      </c>
      <c r="N441" s="592"/>
      <c r="O441" s="179"/>
      <c r="P441" s="180"/>
      <c r="Q441" s="180">
        <v>4800000</v>
      </c>
      <c r="R441" s="181">
        <f t="shared" si="120"/>
        <v>4.4982990806601251</v>
      </c>
      <c r="S441" s="181">
        <v>100</v>
      </c>
      <c r="T441" s="180">
        <f t="shared" si="114"/>
        <v>0</v>
      </c>
      <c r="U441" s="180">
        <f t="shared" si="119"/>
        <v>0</v>
      </c>
      <c r="V441" s="182">
        <f t="shared" si="92"/>
        <v>100</v>
      </c>
      <c r="W441" s="180"/>
      <c r="X441" s="180"/>
      <c r="Y441" s="180"/>
      <c r="Z441" s="180"/>
      <c r="AA441" s="180"/>
      <c r="AB441" s="180"/>
      <c r="AC441" s="180"/>
      <c r="AD441" s="180"/>
      <c r="AE441" s="180"/>
      <c r="AF441" s="180"/>
      <c r="AG441" s="180"/>
      <c r="AH441" s="180"/>
      <c r="AI441" s="180">
        <v>0</v>
      </c>
      <c r="AJ441" s="181">
        <f t="shared" si="111"/>
        <v>0</v>
      </c>
      <c r="AK441" s="246">
        <f t="shared" si="117"/>
        <v>4800000</v>
      </c>
      <c r="AL441" s="181">
        <f t="shared" si="112"/>
        <v>100</v>
      </c>
      <c r="AM441" s="243"/>
    </row>
    <row r="442" spans="1:39" s="297" customFormat="1" ht="28.5" customHeight="1" x14ac:dyDescent="0.25">
      <c r="A442" s="227">
        <f>A431+1</f>
        <v>52</v>
      </c>
      <c r="B442" s="618" t="s">
        <v>155</v>
      </c>
      <c r="C442" s="615"/>
      <c r="D442" s="615"/>
      <c r="E442" s="615"/>
      <c r="F442" s="615"/>
      <c r="G442" s="615"/>
      <c r="H442" s="615"/>
      <c r="I442" s="614"/>
      <c r="J442" s="304" t="s">
        <v>506</v>
      </c>
      <c r="K442" s="230"/>
      <c r="L442" s="294"/>
      <c r="M442" s="610" t="s">
        <v>55</v>
      </c>
      <c r="N442" s="612"/>
      <c r="O442" s="309">
        <v>589234000</v>
      </c>
      <c r="P442" s="231">
        <f>O442</f>
        <v>589234000</v>
      </c>
      <c r="Q442" s="231">
        <f>SUM(Q443:Q451)</f>
        <v>131960000</v>
      </c>
      <c r="R442" s="233">
        <f>Q442/Q$243*100</f>
        <v>1.1877838214380674</v>
      </c>
      <c r="S442" s="233">
        <v>100</v>
      </c>
      <c r="T442" s="231">
        <f t="shared" si="114"/>
        <v>0</v>
      </c>
      <c r="U442" s="231">
        <f t="shared" si="119"/>
        <v>0</v>
      </c>
      <c r="V442" s="296">
        <f t="shared" si="92"/>
        <v>100</v>
      </c>
      <c r="W442" s="231"/>
      <c r="X442" s="231" t="e">
        <f>#REF!</f>
        <v>#REF!</v>
      </c>
      <c r="Y442" s="231" t="e">
        <f>#REF!</f>
        <v>#REF!</v>
      </c>
      <c r="Z442" s="231" t="e">
        <f>#REF!</f>
        <v>#REF!</v>
      </c>
      <c r="AA442" s="231" t="e">
        <f>#REF!</f>
        <v>#REF!</v>
      </c>
      <c r="AB442" s="231">
        <v>371113894</v>
      </c>
      <c r="AC442" s="231" t="e">
        <f>#REF!</f>
        <v>#REF!</v>
      </c>
      <c r="AD442" s="231" t="e">
        <f>#REF!</f>
        <v>#REF!</v>
      </c>
      <c r="AE442" s="231" t="e">
        <f>#REF!</f>
        <v>#REF!</v>
      </c>
      <c r="AF442" s="231" t="e">
        <f>[1]April!N75</f>
        <v>#REF!</v>
      </c>
      <c r="AG442" s="231" t="e">
        <f>[2]april!N75</f>
        <v>#REF!</v>
      </c>
      <c r="AH442" s="231">
        <f>'[3]DES SKPD'!$N75</f>
        <v>574563894</v>
      </c>
      <c r="AI442" s="231">
        <f>SUM(AI443:AI451)</f>
        <v>0</v>
      </c>
      <c r="AJ442" s="233">
        <f t="shared" si="111"/>
        <v>0</v>
      </c>
      <c r="AK442" s="234">
        <f t="shared" si="117"/>
        <v>131960000</v>
      </c>
      <c r="AL442" s="233">
        <f t="shared" si="112"/>
        <v>100</v>
      </c>
      <c r="AM442" s="227"/>
    </row>
    <row r="443" spans="1:39" ht="24.75" customHeight="1" x14ac:dyDescent="0.25">
      <c r="A443" s="243"/>
      <c r="B443" s="244"/>
      <c r="C443" s="244"/>
      <c r="D443" s="244"/>
      <c r="E443" s="244"/>
      <c r="F443" s="244"/>
      <c r="G443" s="244"/>
      <c r="H443" s="244"/>
      <c r="I443" s="298"/>
      <c r="J443" s="244" t="s">
        <v>259</v>
      </c>
      <c r="K443" s="245"/>
      <c r="L443" s="257"/>
      <c r="M443" s="591" t="s">
        <v>260</v>
      </c>
      <c r="N443" s="592"/>
      <c r="O443" s="179"/>
      <c r="P443" s="180"/>
      <c r="Q443" s="180">
        <v>1540000</v>
      </c>
      <c r="R443" s="181">
        <f t="shared" ref="R443:R451" si="121">Q443/Q$442*100</f>
        <v>1.1670203091846014</v>
      </c>
      <c r="S443" s="181">
        <v>100</v>
      </c>
      <c r="T443" s="180">
        <f t="shared" si="114"/>
        <v>0</v>
      </c>
      <c r="U443" s="180">
        <f t="shared" si="119"/>
        <v>0</v>
      </c>
      <c r="V443" s="182">
        <f t="shared" si="92"/>
        <v>100</v>
      </c>
      <c r="W443" s="180"/>
      <c r="X443" s="180"/>
      <c r="Y443" s="180"/>
      <c r="Z443" s="180"/>
      <c r="AA443" s="180"/>
      <c r="AB443" s="180"/>
      <c r="AC443" s="180"/>
      <c r="AD443" s="180"/>
      <c r="AE443" s="180"/>
      <c r="AF443" s="180"/>
      <c r="AG443" s="180"/>
      <c r="AH443" s="180"/>
      <c r="AI443" s="180">
        <v>0</v>
      </c>
      <c r="AJ443" s="181">
        <f t="shared" si="111"/>
        <v>0</v>
      </c>
      <c r="AK443" s="246">
        <f t="shared" si="117"/>
        <v>1540000</v>
      </c>
      <c r="AL443" s="181">
        <f t="shared" si="112"/>
        <v>100</v>
      </c>
      <c r="AM443" s="243"/>
    </row>
    <row r="444" spans="1:39" ht="39" customHeight="1" x14ac:dyDescent="0.25">
      <c r="A444" s="243"/>
      <c r="B444" s="244"/>
      <c r="C444" s="244"/>
      <c r="D444" s="244"/>
      <c r="E444" s="244"/>
      <c r="F444" s="244"/>
      <c r="G444" s="244"/>
      <c r="H444" s="244"/>
      <c r="I444" s="298"/>
      <c r="J444" s="244" t="s">
        <v>345</v>
      </c>
      <c r="K444" s="245"/>
      <c r="L444" s="257"/>
      <c r="M444" s="591" t="s">
        <v>346</v>
      </c>
      <c r="N444" s="592"/>
      <c r="O444" s="179"/>
      <c r="P444" s="180"/>
      <c r="Q444" s="180">
        <v>1400000</v>
      </c>
      <c r="R444" s="181">
        <f t="shared" si="121"/>
        <v>1.0609275538041831</v>
      </c>
      <c r="S444" s="181">
        <v>100</v>
      </c>
      <c r="T444" s="180">
        <f t="shared" si="114"/>
        <v>0</v>
      </c>
      <c r="U444" s="180">
        <f t="shared" si="119"/>
        <v>0</v>
      </c>
      <c r="V444" s="182">
        <f t="shared" si="92"/>
        <v>100</v>
      </c>
      <c r="W444" s="180"/>
      <c r="X444" s="180"/>
      <c r="Y444" s="180"/>
      <c r="Z444" s="180"/>
      <c r="AA444" s="180"/>
      <c r="AB444" s="180"/>
      <c r="AC444" s="180"/>
      <c r="AD444" s="180"/>
      <c r="AE444" s="180"/>
      <c r="AF444" s="180"/>
      <c r="AG444" s="180"/>
      <c r="AH444" s="180"/>
      <c r="AI444" s="180">
        <v>0</v>
      </c>
      <c r="AJ444" s="181">
        <f t="shared" si="111"/>
        <v>0</v>
      </c>
      <c r="AK444" s="246">
        <f t="shared" si="117"/>
        <v>1400000</v>
      </c>
      <c r="AL444" s="181">
        <f t="shared" si="112"/>
        <v>100</v>
      </c>
      <c r="AM444" s="243"/>
    </row>
    <row r="445" spans="1:39" ht="24.75" customHeight="1" x14ac:dyDescent="0.25">
      <c r="A445" s="243"/>
      <c r="B445" s="244"/>
      <c r="C445" s="244"/>
      <c r="D445" s="244"/>
      <c r="E445" s="244"/>
      <c r="F445" s="244"/>
      <c r="G445" s="244"/>
      <c r="H445" s="244"/>
      <c r="I445" s="298"/>
      <c r="J445" s="244" t="s">
        <v>315</v>
      </c>
      <c r="K445" s="245"/>
      <c r="L445" s="257"/>
      <c r="M445" s="591" t="s">
        <v>271</v>
      </c>
      <c r="N445" s="592"/>
      <c r="O445" s="179"/>
      <c r="P445" s="180"/>
      <c r="Q445" s="180">
        <v>3400000</v>
      </c>
      <c r="R445" s="181">
        <f t="shared" si="121"/>
        <v>2.5765383449530157</v>
      </c>
      <c r="S445" s="181">
        <v>100</v>
      </c>
      <c r="T445" s="180">
        <f t="shared" si="114"/>
        <v>0</v>
      </c>
      <c r="U445" s="180">
        <f t="shared" si="119"/>
        <v>0</v>
      </c>
      <c r="V445" s="182">
        <f t="shared" si="92"/>
        <v>100</v>
      </c>
      <c r="W445" s="180"/>
      <c r="X445" s="180"/>
      <c r="Y445" s="180"/>
      <c r="Z445" s="180"/>
      <c r="AA445" s="180"/>
      <c r="AB445" s="180"/>
      <c r="AC445" s="180"/>
      <c r="AD445" s="180"/>
      <c r="AE445" s="180"/>
      <c r="AF445" s="180"/>
      <c r="AG445" s="180"/>
      <c r="AH445" s="180"/>
      <c r="AI445" s="180">
        <v>0</v>
      </c>
      <c r="AJ445" s="181">
        <f t="shared" si="111"/>
        <v>0</v>
      </c>
      <c r="AK445" s="246">
        <f t="shared" si="117"/>
        <v>3400000</v>
      </c>
      <c r="AL445" s="181">
        <f t="shared" si="112"/>
        <v>100</v>
      </c>
      <c r="AM445" s="243"/>
    </row>
    <row r="446" spans="1:39" ht="27.75" customHeight="1" x14ac:dyDescent="0.25">
      <c r="A446" s="243"/>
      <c r="B446" s="244"/>
      <c r="C446" s="244"/>
      <c r="D446" s="244"/>
      <c r="E446" s="244"/>
      <c r="F446" s="244"/>
      <c r="G446" s="244"/>
      <c r="H446" s="244"/>
      <c r="I446" s="298"/>
      <c r="J446" s="244" t="s">
        <v>318</v>
      </c>
      <c r="K446" s="245"/>
      <c r="L446" s="257"/>
      <c r="M446" s="591" t="s">
        <v>319</v>
      </c>
      <c r="N446" s="592"/>
      <c r="O446" s="179"/>
      <c r="P446" s="180"/>
      <c r="Q446" s="180">
        <v>64800000</v>
      </c>
      <c r="R446" s="181">
        <f t="shared" si="121"/>
        <v>49.105789633222194</v>
      </c>
      <c r="S446" s="181">
        <v>100</v>
      </c>
      <c r="T446" s="180">
        <f t="shared" si="114"/>
        <v>0</v>
      </c>
      <c r="U446" s="180">
        <f t="shared" si="119"/>
        <v>0</v>
      </c>
      <c r="V446" s="182">
        <f t="shared" si="92"/>
        <v>100</v>
      </c>
      <c r="W446" s="180"/>
      <c r="X446" s="180"/>
      <c r="Y446" s="180"/>
      <c r="Z446" s="180"/>
      <c r="AA446" s="180"/>
      <c r="AB446" s="180"/>
      <c r="AC446" s="180"/>
      <c r="AD446" s="180"/>
      <c r="AE446" s="180"/>
      <c r="AF446" s="180"/>
      <c r="AG446" s="180"/>
      <c r="AH446" s="180"/>
      <c r="AI446" s="180">
        <v>0</v>
      </c>
      <c r="AJ446" s="181">
        <f t="shared" si="111"/>
        <v>0</v>
      </c>
      <c r="AK446" s="246">
        <f t="shared" si="117"/>
        <v>64800000</v>
      </c>
      <c r="AL446" s="181">
        <f t="shared" si="112"/>
        <v>100</v>
      </c>
      <c r="AM446" s="243"/>
    </row>
    <row r="447" spans="1:39" ht="24.75" customHeight="1" x14ac:dyDescent="0.25">
      <c r="A447" s="243"/>
      <c r="B447" s="244"/>
      <c r="C447" s="244"/>
      <c r="D447" s="244"/>
      <c r="E447" s="244"/>
      <c r="F447" s="244"/>
      <c r="G447" s="244"/>
      <c r="H447" s="244"/>
      <c r="I447" s="298"/>
      <c r="J447" s="244" t="s">
        <v>330</v>
      </c>
      <c r="K447" s="245"/>
      <c r="L447" s="257"/>
      <c r="M447" s="591" t="s">
        <v>331</v>
      </c>
      <c r="N447" s="592"/>
      <c r="O447" s="179"/>
      <c r="P447" s="180"/>
      <c r="Q447" s="180">
        <v>12000000</v>
      </c>
      <c r="R447" s="181">
        <f t="shared" si="121"/>
        <v>9.0936647468929976</v>
      </c>
      <c r="S447" s="181">
        <v>100</v>
      </c>
      <c r="T447" s="180">
        <f t="shared" si="114"/>
        <v>0</v>
      </c>
      <c r="U447" s="180">
        <f t="shared" si="119"/>
        <v>0</v>
      </c>
      <c r="V447" s="182">
        <f t="shared" si="92"/>
        <v>100</v>
      </c>
      <c r="W447" s="180"/>
      <c r="X447" s="180"/>
      <c r="Y447" s="180"/>
      <c r="Z447" s="180"/>
      <c r="AA447" s="180"/>
      <c r="AB447" s="180"/>
      <c r="AC447" s="180"/>
      <c r="AD447" s="180"/>
      <c r="AE447" s="180"/>
      <c r="AF447" s="180"/>
      <c r="AG447" s="180"/>
      <c r="AH447" s="180"/>
      <c r="AI447" s="180">
        <v>0</v>
      </c>
      <c r="AJ447" s="181">
        <f t="shared" si="111"/>
        <v>0</v>
      </c>
      <c r="AK447" s="246">
        <f t="shared" si="117"/>
        <v>12000000</v>
      </c>
      <c r="AL447" s="181">
        <f t="shared" si="112"/>
        <v>100</v>
      </c>
      <c r="AM447" s="243"/>
    </row>
    <row r="448" spans="1:39" ht="24.75" customHeight="1" x14ac:dyDescent="0.25">
      <c r="A448" s="243"/>
      <c r="B448" s="244"/>
      <c r="C448" s="244"/>
      <c r="D448" s="244"/>
      <c r="E448" s="244"/>
      <c r="F448" s="244"/>
      <c r="G448" s="244"/>
      <c r="H448" s="244"/>
      <c r="I448" s="298"/>
      <c r="J448" s="244" t="s">
        <v>284</v>
      </c>
      <c r="K448" s="245"/>
      <c r="L448" s="257"/>
      <c r="M448" s="591" t="s">
        <v>585</v>
      </c>
      <c r="N448" s="592"/>
      <c r="O448" s="179"/>
      <c r="P448" s="180"/>
      <c r="Q448" s="180">
        <v>300000</v>
      </c>
      <c r="R448" s="181">
        <f t="shared" si="121"/>
        <v>0.22734161867232497</v>
      </c>
      <c r="S448" s="181">
        <v>100</v>
      </c>
      <c r="T448" s="180">
        <f t="shared" si="114"/>
        <v>0</v>
      </c>
      <c r="U448" s="180">
        <f t="shared" si="119"/>
        <v>0</v>
      </c>
      <c r="V448" s="182">
        <f t="shared" si="92"/>
        <v>100</v>
      </c>
      <c r="W448" s="180"/>
      <c r="X448" s="180"/>
      <c r="Y448" s="180"/>
      <c r="Z448" s="180"/>
      <c r="AA448" s="180"/>
      <c r="AB448" s="180"/>
      <c r="AC448" s="180"/>
      <c r="AD448" s="180"/>
      <c r="AE448" s="180"/>
      <c r="AF448" s="180"/>
      <c r="AG448" s="180"/>
      <c r="AH448" s="180"/>
      <c r="AI448" s="180">
        <v>0</v>
      </c>
      <c r="AJ448" s="181">
        <f t="shared" si="111"/>
        <v>0</v>
      </c>
      <c r="AK448" s="246">
        <f t="shared" si="117"/>
        <v>300000</v>
      </c>
      <c r="AL448" s="181">
        <f t="shared" si="112"/>
        <v>100</v>
      </c>
      <c r="AM448" s="243"/>
    </row>
    <row r="449" spans="1:39" ht="24.75" customHeight="1" x14ac:dyDescent="0.25">
      <c r="A449" s="243"/>
      <c r="B449" s="244"/>
      <c r="C449" s="244"/>
      <c r="D449" s="244"/>
      <c r="E449" s="244"/>
      <c r="F449" s="244"/>
      <c r="G449" s="244"/>
      <c r="H449" s="244"/>
      <c r="I449" s="298"/>
      <c r="J449" s="244" t="s">
        <v>282</v>
      </c>
      <c r="K449" s="245"/>
      <c r="L449" s="257"/>
      <c r="M449" s="591" t="s">
        <v>503</v>
      </c>
      <c r="N449" s="592"/>
      <c r="O449" s="179"/>
      <c r="P449" s="180"/>
      <c r="Q449" s="180">
        <v>26720000</v>
      </c>
      <c r="R449" s="181">
        <f t="shared" si="121"/>
        <v>20.248560169748409</v>
      </c>
      <c r="S449" s="181">
        <v>100</v>
      </c>
      <c r="T449" s="180">
        <f t="shared" si="114"/>
        <v>0</v>
      </c>
      <c r="U449" s="180">
        <f t="shared" si="119"/>
        <v>0</v>
      </c>
      <c r="V449" s="182">
        <f t="shared" si="92"/>
        <v>100</v>
      </c>
      <c r="W449" s="180"/>
      <c r="X449" s="180"/>
      <c r="Y449" s="180"/>
      <c r="Z449" s="180"/>
      <c r="AA449" s="180"/>
      <c r="AB449" s="180"/>
      <c r="AC449" s="180"/>
      <c r="AD449" s="180"/>
      <c r="AE449" s="180"/>
      <c r="AF449" s="180"/>
      <c r="AG449" s="180"/>
      <c r="AH449" s="180"/>
      <c r="AI449" s="180">
        <v>0</v>
      </c>
      <c r="AJ449" s="181">
        <f t="shared" si="111"/>
        <v>0</v>
      </c>
      <c r="AK449" s="246">
        <f t="shared" si="117"/>
        <v>26720000</v>
      </c>
      <c r="AL449" s="181">
        <f t="shared" si="112"/>
        <v>100</v>
      </c>
      <c r="AM449" s="243"/>
    </row>
    <row r="450" spans="1:39" ht="24.75" customHeight="1" x14ac:dyDescent="0.25">
      <c r="A450" s="243"/>
      <c r="B450" s="244"/>
      <c r="C450" s="244"/>
      <c r="D450" s="244"/>
      <c r="E450" s="244"/>
      <c r="F450" s="244"/>
      <c r="G450" s="244"/>
      <c r="H450" s="244"/>
      <c r="I450" s="298"/>
      <c r="J450" s="244" t="s">
        <v>320</v>
      </c>
      <c r="K450" s="245"/>
      <c r="L450" s="257"/>
      <c r="M450" s="591" t="s">
        <v>321</v>
      </c>
      <c r="N450" s="592"/>
      <c r="O450" s="179"/>
      <c r="P450" s="180"/>
      <c r="Q450" s="180">
        <v>13800000</v>
      </c>
      <c r="R450" s="181">
        <f t="shared" si="121"/>
        <v>10.457714458926947</v>
      </c>
      <c r="S450" s="181">
        <v>100</v>
      </c>
      <c r="T450" s="180">
        <f t="shared" si="114"/>
        <v>0</v>
      </c>
      <c r="U450" s="180">
        <f t="shared" si="119"/>
        <v>0</v>
      </c>
      <c r="V450" s="182">
        <f t="shared" si="92"/>
        <v>100</v>
      </c>
      <c r="W450" s="180"/>
      <c r="X450" s="180"/>
      <c r="Y450" s="180"/>
      <c r="Z450" s="180"/>
      <c r="AA450" s="180"/>
      <c r="AB450" s="180"/>
      <c r="AC450" s="180"/>
      <c r="AD450" s="180"/>
      <c r="AE450" s="180"/>
      <c r="AF450" s="180"/>
      <c r="AG450" s="180"/>
      <c r="AH450" s="180"/>
      <c r="AI450" s="180">
        <v>0</v>
      </c>
      <c r="AJ450" s="181">
        <f t="shared" si="111"/>
        <v>0</v>
      </c>
      <c r="AK450" s="246">
        <f t="shared" si="117"/>
        <v>13800000</v>
      </c>
      <c r="AL450" s="181">
        <f t="shared" si="112"/>
        <v>100</v>
      </c>
      <c r="AM450" s="243"/>
    </row>
    <row r="451" spans="1:39" ht="24.75" customHeight="1" x14ac:dyDescent="0.25">
      <c r="A451" s="243"/>
      <c r="B451" s="244"/>
      <c r="C451" s="244"/>
      <c r="D451" s="244"/>
      <c r="E451" s="244"/>
      <c r="F451" s="244"/>
      <c r="G451" s="244"/>
      <c r="H451" s="244"/>
      <c r="I451" s="298"/>
      <c r="J451" s="244" t="s">
        <v>407</v>
      </c>
      <c r="K451" s="245"/>
      <c r="L451" s="257"/>
      <c r="M451" s="591" t="s">
        <v>414</v>
      </c>
      <c r="N451" s="592"/>
      <c r="O451" s="179"/>
      <c r="P451" s="180"/>
      <c r="Q451" s="180">
        <v>8000000</v>
      </c>
      <c r="R451" s="181">
        <f t="shared" si="121"/>
        <v>6.0624431645953321</v>
      </c>
      <c r="S451" s="181"/>
      <c r="T451" s="180">
        <f t="shared" si="114"/>
        <v>0</v>
      </c>
      <c r="U451" s="180">
        <f t="shared" si="119"/>
        <v>0</v>
      </c>
      <c r="V451" s="182"/>
      <c r="W451" s="180"/>
      <c r="X451" s="180"/>
      <c r="Y451" s="180"/>
      <c r="Z451" s="180"/>
      <c r="AA451" s="180"/>
      <c r="AB451" s="180"/>
      <c r="AC451" s="180"/>
      <c r="AD451" s="180"/>
      <c r="AE451" s="180"/>
      <c r="AF451" s="180"/>
      <c r="AG451" s="180"/>
      <c r="AH451" s="180"/>
      <c r="AI451" s="180">
        <v>0</v>
      </c>
      <c r="AJ451" s="181">
        <f t="shared" si="111"/>
        <v>0</v>
      </c>
      <c r="AK451" s="246">
        <f t="shared" si="117"/>
        <v>8000000</v>
      </c>
      <c r="AL451" s="181">
        <f t="shared" si="112"/>
        <v>100</v>
      </c>
      <c r="AM451" s="243"/>
    </row>
    <row r="452" spans="1:39" s="297" customFormat="1" ht="30" customHeight="1" x14ac:dyDescent="0.25">
      <c r="A452" s="227">
        <f>A442+1</f>
        <v>53</v>
      </c>
      <c r="B452" s="615" t="s">
        <v>156</v>
      </c>
      <c r="C452" s="615"/>
      <c r="D452" s="615"/>
      <c r="E452" s="615"/>
      <c r="F452" s="615"/>
      <c r="G452" s="615"/>
      <c r="H452" s="615"/>
      <c r="I452" s="614"/>
      <c r="J452" s="304" t="s">
        <v>507</v>
      </c>
      <c r="K452" s="230"/>
      <c r="L452" s="294"/>
      <c r="M452" s="610" t="s">
        <v>157</v>
      </c>
      <c r="N452" s="610"/>
      <c r="O452" s="309">
        <v>1493981000</v>
      </c>
      <c r="P452" s="231">
        <f>O452</f>
        <v>1493981000</v>
      </c>
      <c r="Q452" s="231">
        <f>SUM(Q453:Q459)</f>
        <v>759011476</v>
      </c>
      <c r="R452" s="233">
        <f>Q452/Q$243*100</f>
        <v>6.8319305204503484</v>
      </c>
      <c r="S452" s="233">
        <v>100</v>
      </c>
      <c r="T452" s="231">
        <f t="shared" si="114"/>
        <v>0</v>
      </c>
      <c r="U452" s="231">
        <f t="shared" si="119"/>
        <v>0</v>
      </c>
      <c r="V452" s="296">
        <f t="shared" si="92"/>
        <v>100</v>
      </c>
      <c r="W452" s="231"/>
      <c r="X452" s="231" t="e">
        <f>#REF!</f>
        <v>#REF!</v>
      </c>
      <c r="Y452" s="231" t="e">
        <f>#REF!</f>
        <v>#REF!</v>
      </c>
      <c r="Z452" s="231" t="e">
        <f>#REF!</f>
        <v>#REF!</v>
      </c>
      <c r="AA452" s="231" t="e">
        <f>#REF!</f>
        <v>#REF!</v>
      </c>
      <c r="AB452" s="231">
        <v>366754000</v>
      </c>
      <c r="AC452" s="231" t="e">
        <f>#REF!</f>
        <v>#REF!</v>
      </c>
      <c r="AD452" s="231" t="e">
        <f>#REF!</f>
        <v>#REF!</v>
      </c>
      <c r="AE452" s="231" t="e">
        <f>#REF!</f>
        <v>#REF!</v>
      </c>
      <c r="AF452" s="231" t="e">
        <f>[1]April!N76</f>
        <v>#REF!</v>
      </c>
      <c r="AG452" s="231" t="e">
        <f>[2]april!N76</f>
        <v>#REF!</v>
      </c>
      <c r="AH452" s="231">
        <f>'[3]DES SKPD'!$N76</f>
        <v>1083037500</v>
      </c>
      <c r="AI452" s="231">
        <f>SUM(AI453:AI459)</f>
        <v>0</v>
      </c>
      <c r="AJ452" s="233">
        <f t="shared" si="111"/>
        <v>0</v>
      </c>
      <c r="AK452" s="234">
        <f t="shared" si="117"/>
        <v>759011476</v>
      </c>
      <c r="AL452" s="233">
        <f t="shared" si="112"/>
        <v>100</v>
      </c>
      <c r="AM452" s="227"/>
    </row>
    <row r="453" spans="1:39" ht="30" customHeight="1" x14ac:dyDescent="0.25">
      <c r="A453" s="243"/>
      <c r="B453" s="244"/>
      <c r="C453" s="244"/>
      <c r="D453" s="244"/>
      <c r="E453" s="244"/>
      <c r="F453" s="244"/>
      <c r="G453" s="244"/>
      <c r="H453" s="244"/>
      <c r="I453" s="298"/>
      <c r="J453" s="244" t="s">
        <v>259</v>
      </c>
      <c r="K453" s="245"/>
      <c r="L453" s="257"/>
      <c r="M453" s="591" t="s">
        <v>615</v>
      </c>
      <c r="N453" s="592"/>
      <c r="O453" s="179"/>
      <c r="P453" s="180"/>
      <c r="Q453" s="180">
        <v>3850000</v>
      </c>
      <c r="R453" s="181">
        <f t="shared" ref="R453:R459" si="122">Q453/Q$452*100</f>
        <v>0.5072387074158019</v>
      </c>
      <c r="S453" s="181">
        <v>100</v>
      </c>
      <c r="T453" s="180">
        <f t="shared" si="114"/>
        <v>0</v>
      </c>
      <c r="U453" s="180">
        <f t="shared" si="119"/>
        <v>0</v>
      </c>
      <c r="V453" s="182">
        <f t="shared" si="92"/>
        <v>100</v>
      </c>
      <c r="W453" s="180"/>
      <c r="X453" s="180"/>
      <c r="Y453" s="180"/>
      <c r="Z453" s="180"/>
      <c r="AA453" s="180"/>
      <c r="AB453" s="180"/>
      <c r="AC453" s="180"/>
      <c r="AD453" s="180"/>
      <c r="AE453" s="180"/>
      <c r="AF453" s="180"/>
      <c r="AG453" s="180"/>
      <c r="AH453" s="180"/>
      <c r="AI453" s="180">
        <v>0</v>
      </c>
      <c r="AJ453" s="181">
        <f t="shared" si="111"/>
        <v>0</v>
      </c>
      <c r="AK453" s="246">
        <f t="shared" si="117"/>
        <v>3850000</v>
      </c>
      <c r="AL453" s="181">
        <f t="shared" si="112"/>
        <v>100</v>
      </c>
      <c r="AM453" s="243"/>
    </row>
    <row r="454" spans="1:39" ht="30" customHeight="1" x14ac:dyDescent="0.25">
      <c r="A454" s="243"/>
      <c r="B454" s="244"/>
      <c r="C454" s="244"/>
      <c r="D454" s="244"/>
      <c r="E454" s="244"/>
      <c r="F454" s="244"/>
      <c r="G454" s="244"/>
      <c r="H454" s="244"/>
      <c r="I454" s="298"/>
      <c r="J454" s="244" t="s">
        <v>269</v>
      </c>
      <c r="K454" s="245"/>
      <c r="L454" s="257"/>
      <c r="M454" s="591" t="s">
        <v>354</v>
      </c>
      <c r="N454" s="592"/>
      <c r="O454" s="179"/>
      <c r="P454" s="180"/>
      <c r="Q454" s="180">
        <v>155506476</v>
      </c>
      <c r="R454" s="181">
        <f t="shared" si="122"/>
        <v>20.488026982084786</v>
      </c>
      <c r="S454" s="181">
        <v>100</v>
      </c>
      <c r="T454" s="180">
        <f t="shared" si="114"/>
        <v>0</v>
      </c>
      <c r="U454" s="180">
        <f t="shared" si="119"/>
        <v>0</v>
      </c>
      <c r="V454" s="182">
        <f t="shared" si="92"/>
        <v>100</v>
      </c>
      <c r="W454" s="180"/>
      <c r="X454" s="180"/>
      <c r="Y454" s="180"/>
      <c r="Z454" s="180"/>
      <c r="AA454" s="180"/>
      <c r="AB454" s="180"/>
      <c r="AC454" s="180"/>
      <c r="AD454" s="180"/>
      <c r="AE454" s="180"/>
      <c r="AF454" s="180"/>
      <c r="AG454" s="180"/>
      <c r="AH454" s="180"/>
      <c r="AI454" s="180">
        <v>0</v>
      </c>
      <c r="AJ454" s="181">
        <f t="shared" si="111"/>
        <v>0</v>
      </c>
      <c r="AK454" s="246">
        <f t="shared" si="117"/>
        <v>155506476</v>
      </c>
      <c r="AL454" s="181">
        <f t="shared" si="112"/>
        <v>100</v>
      </c>
      <c r="AM454" s="243"/>
    </row>
    <row r="455" spans="1:39" ht="30" customHeight="1" x14ac:dyDescent="0.25">
      <c r="A455" s="243"/>
      <c r="B455" s="244"/>
      <c r="C455" s="244"/>
      <c r="D455" s="244"/>
      <c r="E455" s="244"/>
      <c r="F455" s="244"/>
      <c r="G455" s="244"/>
      <c r="H455" s="244"/>
      <c r="I455" s="298"/>
      <c r="J455" s="244" t="s">
        <v>306</v>
      </c>
      <c r="K455" s="245"/>
      <c r="L455" s="257"/>
      <c r="M455" s="591" t="s">
        <v>352</v>
      </c>
      <c r="N455" s="592"/>
      <c r="O455" s="179"/>
      <c r="P455" s="180"/>
      <c r="Q455" s="180">
        <v>47955000</v>
      </c>
      <c r="R455" s="181">
        <f t="shared" si="122"/>
        <v>6.3180862893830607</v>
      </c>
      <c r="S455" s="181">
        <v>100</v>
      </c>
      <c r="T455" s="180">
        <f t="shared" si="114"/>
        <v>0</v>
      </c>
      <c r="U455" s="180">
        <f t="shared" si="119"/>
        <v>0</v>
      </c>
      <c r="V455" s="182">
        <f t="shared" si="92"/>
        <v>100</v>
      </c>
      <c r="W455" s="180"/>
      <c r="X455" s="180"/>
      <c r="Y455" s="180"/>
      <c r="Z455" s="180"/>
      <c r="AA455" s="180"/>
      <c r="AB455" s="180"/>
      <c r="AC455" s="180"/>
      <c r="AD455" s="180"/>
      <c r="AE455" s="180"/>
      <c r="AF455" s="180"/>
      <c r="AG455" s="180"/>
      <c r="AH455" s="180"/>
      <c r="AI455" s="180">
        <v>0</v>
      </c>
      <c r="AJ455" s="181">
        <f t="shared" si="111"/>
        <v>0</v>
      </c>
      <c r="AK455" s="246">
        <f t="shared" si="117"/>
        <v>47955000</v>
      </c>
      <c r="AL455" s="181">
        <f t="shared" si="112"/>
        <v>100</v>
      </c>
      <c r="AM455" s="243"/>
    </row>
    <row r="456" spans="1:39" ht="30" customHeight="1" x14ac:dyDescent="0.25">
      <c r="A456" s="243"/>
      <c r="B456" s="244"/>
      <c r="C456" s="244"/>
      <c r="D456" s="244"/>
      <c r="E456" s="244"/>
      <c r="F456" s="244"/>
      <c r="G456" s="244"/>
      <c r="H456" s="244"/>
      <c r="I456" s="298"/>
      <c r="J456" s="244" t="s">
        <v>308</v>
      </c>
      <c r="K456" s="245"/>
      <c r="L456" s="257"/>
      <c r="M456" s="591" t="s">
        <v>612</v>
      </c>
      <c r="N456" s="592"/>
      <c r="O456" s="179"/>
      <c r="P456" s="180"/>
      <c r="Q456" s="180">
        <v>5000000</v>
      </c>
      <c r="R456" s="181">
        <f t="shared" si="122"/>
        <v>0.65875156807247004</v>
      </c>
      <c r="S456" s="181">
        <v>100</v>
      </c>
      <c r="T456" s="180">
        <f t="shared" si="114"/>
        <v>0</v>
      </c>
      <c r="U456" s="180">
        <f t="shared" si="119"/>
        <v>0</v>
      </c>
      <c r="V456" s="182">
        <f t="shared" si="92"/>
        <v>100</v>
      </c>
      <c r="W456" s="180"/>
      <c r="X456" s="180"/>
      <c r="Y456" s="180"/>
      <c r="Z456" s="180"/>
      <c r="AA456" s="180"/>
      <c r="AB456" s="180"/>
      <c r="AC456" s="180"/>
      <c r="AD456" s="180"/>
      <c r="AE456" s="180"/>
      <c r="AF456" s="180"/>
      <c r="AG456" s="180"/>
      <c r="AH456" s="180"/>
      <c r="AI456" s="180">
        <v>0</v>
      </c>
      <c r="AJ456" s="181">
        <f t="shared" si="111"/>
        <v>0</v>
      </c>
      <c r="AK456" s="246">
        <f t="shared" si="117"/>
        <v>5000000</v>
      </c>
      <c r="AL456" s="181">
        <f t="shared" si="112"/>
        <v>100</v>
      </c>
      <c r="AM456" s="243"/>
    </row>
    <row r="457" spans="1:39" ht="30" customHeight="1" x14ac:dyDescent="0.25">
      <c r="A457" s="243"/>
      <c r="B457" s="244"/>
      <c r="C457" s="244"/>
      <c r="D457" s="244"/>
      <c r="E457" s="244"/>
      <c r="F457" s="244"/>
      <c r="G457" s="244"/>
      <c r="H457" s="244"/>
      <c r="I457" s="298"/>
      <c r="J457" s="244" t="s">
        <v>282</v>
      </c>
      <c r="K457" s="245"/>
      <c r="L457" s="257"/>
      <c r="M457" s="591" t="s">
        <v>616</v>
      </c>
      <c r="N457" s="592"/>
      <c r="O457" s="179"/>
      <c r="P457" s="180"/>
      <c r="Q457" s="180">
        <v>63700000</v>
      </c>
      <c r="R457" s="181">
        <f t="shared" si="122"/>
        <v>8.3924949772432687</v>
      </c>
      <c r="S457" s="181">
        <v>100</v>
      </c>
      <c r="T457" s="180">
        <f t="shared" si="114"/>
        <v>0</v>
      </c>
      <c r="U457" s="180">
        <f t="shared" si="119"/>
        <v>0</v>
      </c>
      <c r="V457" s="182">
        <f t="shared" si="92"/>
        <v>100</v>
      </c>
      <c r="W457" s="180"/>
      <c r="X457" s="180"/>
      <c r="Y457" s="180"/>
      <c r="Z457" s="180"/>
      <c r="AA457" s="180"/>
      <c r="AB457" s="180"/>
      <c r="AC457" s="180"/>
      <c r="AD457" s="180"/>
      <c r="AE457" s="180"/>
      <c r="AF457" s="180"/>
      <c r="AG457" s="180"/>
      <c r="AH457" s="180"/>
      <c r="AI457" s="180">
        <v>0</v>
      </c>
      <c r="AJ457" s="181">
        <f t="shared" si="111"/>
        <v>0</v>
      </c>
      <c r="AK457" s="246">
        <f t="shared" si="117"/>
        <v>63700000</v>
      </c>
      <c r="AL457" s="181">
        <f t="shared" si="112"/>
        <v>100</v>
      </c>
      <c r="AM457" s="243"/>
    </row>
    <row r="458" spans="1:39" ht="30" customHeight="1" x14ac:dyDescent="0.25">
      <c r="A458" s="243"/>
      <c r="B458" s="244"/>
      <c r="C458" s="244"/>
      <c r="D458" s="244"/>
      <c r="E458" s="244"/>
      <c r="F458" s="244"/>
      <c r="G458" s="244"/>
      <c r="H458" s="244"/>
      <c r="I458" s="298"/>
      <c r="J458" s="244" t="s">
        <v>308</v>
      </c>
      <c r="K458" s="245"/>
      <c r="L458" s="257"/>
      <c r="M458" s="591" t="s">
        <v>601</v>
      </c>
      <c r="N458" s="592"/>
      <c r="O458" s="179"/>
      <c r="P458" s="180"/>
      <c r="Q458" s="180">
        <v>225000000</v>
      </c>
      <c r="R458" s="181">
        <f t="shared" si="122"/>
        <v>29.643820563261151</v>
      </c>
      <c r="S458" s="181">
        <v>100</v>
      </c>
      <c r="T458" s="180">
        <f t="shared" si="114"/>
        <v>0</v>
      </c>
      <c r="U458" s="180">
        <f t="shared" si="119"/>
        <v>0</v>
      </c>
      <c r="V458" s="182">
        <f t="shared" si="92"/>
        <v>100</v>
      </c>
      <c r="W458" s="180"/>
      <c r="X458" s="180"/>
      <c r="Y458" s="180"/>
      <c r="Z458" s="180"/>
      <c r="AA458" s="180"/>
      <c r="AB458" s="180"/>
      <c r="AC458" s="180"/>
      <c r="AD458" s="180"/>
      <c r="AE458" s="180"/>
      <c r="AF458" s="180"/>
      <c r="AG458" s="180"/>
      <c r="AH458" s="180"/>
      <c r="AI458" s="180">
        <v>0</v>
      </c>
      <c r="AJ458" s="181">
        <f t="shared" si="111"/>
        <v>0</v>
      </c>
      <c r="AK458" s="246">
        <f t="shared" si="117"/>
        <v>225000000</v>
      </c>
      <c r="AL458" s="181">
        <f t="shared" si="112"/>
        <v>100</v>
      </c>
      <c r="AM458" s="243"/>
    </row>
    <row r="459" spans="1:39" ht="30" customHeight="1" x14ac:dyDescent="0.25">
      <c r="A459" s="243"/>
      <c r="B459" s="244"/>
      <c r="C459" s="244"/>
      <c r="D459" s="244"/>
      <c r="E459" s="244"/>
      <c r="F459" s="244"/>
      <c r="G459" s="244"/>
      <c r="H459" s="244"/>
      <c r="I459" s="298"/>
      <c r="J459" s="244" t="s">
        <v>309</v>
      </c>
      <c r="K459" s="245"/>
      <c r="L459" s="257"/>
      <c r="M459" s="591" t="s">
        <v>310</v>
      </c>
      <c r="N459" s="592"/>
      <c r="O459" s="179"/>
      <c r="P459" s="180"/>
      <c r="Q459" s="180">
        <v>258000000</v>
      </c>
      <c r="R459" s="181">
        <f t="shared" si="122"/>
        <v>33.991580912539455</v>
      </c>
      <c r="S459" s="181">
        <v>100</v>
      </c>
      <c r="T459" s="180">
        <f t="shared" si="114"/>
        <v>0</v>
      </c>
      <c r="U459" s="180">
        <f t="shared" si="119"/>
        <v>0</v>
      </c>
      <c r="V459" s="182">
        <f t="shared" si="92"/>
        <v>100</v>
      </c>
      <c r="W459" s="180"/>
      <c r="X459" s="180"/>
      <c r="Y459" s="180"/>
      <c r="Z459" s="180"/>
      <c r="AA459" s="180"/>
      <c r="AB459" s="180"/>
      <c r="AC459" s="180"/>
      <c r="AD459" s="180"/>
      <c r="AE459" s="180"/>
      <c r="AF459" s="180"/>
      <c r="AG459" s="180"/>
      <c r="AH459" s="180"/>
      <c r="AI459" s="180">
        <v>0</v>
      </c>
      <c r="AJ459" s="181">
        <f t="shared" si="111"/>
        <v>0</v>
      </c>
      <c r="AK459" s="246">
        <f t="shared" si="117"/>
        <v>258000000</v>
      </c>
      <c r="AL459" s="181">
        <f t="shared" si="112"/>
        <v>100</v>
      </c>
      <c r="AM459" s="243"/>
    </row>
    <row r="460" spans="1:39" s="297" customFormat="1" ht="31.5" customHeight="1" x14ac:dyDescent="0.25">
      <c r="A460" s="227">
        <f>A452+1</f>
        <v>54</v>
      </c>
      <c r="B460" s="615" t="s">
        <v>158</v>
      </c>
      <c r="C460" s="615"/>
      <c r="D460" s="615"/>
      <c r="E460" s="615"/>
      <c r="F460" s="615"/>
      <c r="G460" s="615"/>
      <c r="H460" s="615"/>
      <c r="I460" s="614"/>
      <c r="J460" s="304" t="s">
        <v>508</v>
      </c>
      <c r="K460" s="230"/>
      <c r="L460" s="294"/>
      <c r="M460" s="609" t="s">
        <v>159</v>
      </c>
      <c r="N460" s="609"/>
      <c r="O460" s="309">
        <v>355300000</v>
      </c>
      <c r="P460" s="231">
        <f>O460</f>
        <v>355300000</v>
      </c>
      <c r="Q460" s="231">
        <f>SUM(Q461:Q469)</f>
        <v>83400000</v>
      </c>
      <c r="R460" s="233">
        <f>Q460/Q$33*100</f>
        <v>0.26948047728392116</v>
      </c>
      <c r="S460" s="233">
        <v>100</v>
      </c>
      <c r="T460" s="231">
        <f t="shared" si="114"/>
        <v>0</v>
      </c>
      <c r="U460" s="231">
        <f t="shared" si="119"/>
        <v>0</v>
      </c>
      <c r="V460" s="296">
        <f t="shared" si="92"/>
        <v>100</v>
      </c>
      <c r="W460" s="231"/>
      <c r="X460" s="231" t="e">
        <f>#REF!</f>
        <v>#REF!</v>
      </c>
      <c r="Y460" s="231" t="e">
        <f>#REF!</f>
        <v>#REF!</v>
      </c>
      <c r="Z460" s="231" t="e">
        <f>#REF!</f>
        <v>#REF!</v>
      </c>
      <c r="AA460" s="231" t="e">
        <f>#REF!</f>
        <v>#REF!</v>
      </c>
      <c r="AB460" s="231">
        <v>131395500</v>
      </c>
      <c r="AC460" s="231" t="e">
        <f>#REF!</f>
        <v>#REF!</v>
      </c>
      <c r="AD460" s="231" t="e">
        <f>#REF!</f>
        <v>#REF!</v>
      </c>
      <c r="AE460" s="231" t="e">
        <f>#REF!</f>
        <v>#REF!</v>
      </c>
      <c r="AF460" s="231" t="e">
        <f>[1]April!N67</f>
        <v>#REF!</v>
      </c>
      <c r="AG460" s="231" t="e">
        <f>[2]april!N77</f>
        <v>#REF!</v>
      </c>
      <c r="AH460" s="231">
        <f>'[3]DES SKPD'!$N77</f>
        <v>318242454</v>
      </c>
      <c r="AI460" s="231">
        <f>SUM(AI461:AI469)</f>
        <v>0</v>
      </c>
      <c r="AJ460" s="233">
        <f t="shared" si="111"/>
        <v>0</v>
      </c>
      <c r="AK460" s="234">
        <f t="shared" si="117"/>
        <v>83400000</v>
      </c>
      <c r="AL460" s="233">
        <f t="shared" si="112"/>
        <v>100</v>
      </c>
      <c r="AM460" s="227"/>
    </row>
    <row r="461" spans="1:39" ht="24.75" customHeight="1" x14ac:dyDescent="0.25">
      <c r="A461" s="243"/>
      <c r="B461" s="244"/>
      <c r="C461" s="244"/>
      <c r="D461" s="244"/>
      <c r="E461" s="244"/>
      <c r="F461" s="244"/>
      <c r="G461" s="244"/>
      <c r="H461" s="244"/>
      <c r="I461" s="298"/>
      <c r="J461" s="244" t="s">
        <v>257</v>
      </c>
      <c r="K461" s="245"/>
      <c r="L461" s="257"/>
      <c r="M461" s="591" t="s">
        <v>258</v>
      </c>
      <c r="N461" s="592"/>
      <c r="O461" s="179"/>
      <c r="P461" s="180"/>
      <c r="Q461" s="180">
        <v>2600000</v>
      </c>
      <c r="R461" s="181">
        <f>Q461/Q$460*100</f>
        <v>3.1175059952038371</v>
      </c>
      <c r="S461" s="181">
        <v>100</v>
      </c>
      <c r="T461" s="180">
        <f t="shared" si="114"/>
        <v>0</v>
      </c>
      <c r="U461" s="180">
        <f t="shared" si="119"/>
        <v>0</v>
      </c>
      <c r="V461" s="182">
        <f t="shared" si="92"/>
        <v>100</v>
      </c>
      <c r="W461" s="180"/>
      <c r="X461" s="180"/>
      <c r="Y461" s="180"/>
      <c r="Z461" s="180"/>
      <c r="AA461" s="180"/>
      <c r="AB461" s="180"/>
      <c r="AC461" s="180"/>
      <c r="AD461" s="180"/>
      <c r="AE461" s="180"/>
      <c r="AF461" s="180"/>
      <c r="AG461" s="180"/>
      <c r="AH461" s="180"/>
      <c r="AI461" s="180">
        <v>0</v>
      </c>
      <c r="AJ461" s="181">
        <f t="shared" si="111"/>
        <v>0</v>
      </c>
      <c r="AK461" s="246">
        <f t="shared" si="117"/>
        <v>2600000</v>
      </c>
      <c r="AL461" s="181">
        <f t="shared" si="112"/>
        <v>100</v>
      </c>
      <c r="AM461" s="243"/>
    </row>
    <row r="462" spans="1:39" ht="24.75" customHeight="1" x14ac:dyDescent="0.25">
      <c r="A462" s="243"/>
      <c r="B462" s="244"/>
      <c r="C462" s="244"/>
      <c r="D462" s="244"/>
      <c r="E462" s="244"/>
      <c r="F462" s="244"/>
      <c r="G462" s="244"/>
      <c r="H462" s="244"/>
      <c r="I462" s="298"/>
      <c r="J462" s="244" t="s">
        <v>269</v>
      </c>
      <c r="K462" s="245"/>
      <c r="L462" s="257"/>
      <c r="M462" s="591" t="s">
        <v>352</v>
      </c>
      <c r="N462" s="592"/>
      <c r="O462" s="179"/>
      <c r="P462" s="180"/>
      <c r="Q462" s="180">
        <v>3000000</v>
      </c>
      <c r="R462" s="181">
        <f t="shared" ref="R462:R469" si="123">Q462/Q$460*100</f>
        <v>3.5971223021582732</v>
      </c>
      <c r="S462" s="181">
        <v>100</v>
      </c>
      <c r="T462" s="180">
        <f t="shared" si="114"/>
        <v>0</v>
      </c>
      <c r="U462" s="180">
        <f t="shared" si="119"/>
        <v>0</v>
      </c>
      <c r="V462" s="182">
        <f t="shared" si="92"/>
        <v>100</v>
      </c>
      <c r="W462" s="180"/>
      <c r="X462" s="180"/>
      <c r="Y462" s="180"/>
      <c r="Z462" s="180"/>
      <c r="AA462" s="180"/>
      <c r="AB462" s="180"/>
      <c r="AC462" s="180"/>
      <c r="AD462" s="180"/>
      <c r="AE462" s="180"/>
      <c r="AF462" s="180"/>
      <c r="AG462" s="180"/>
      <c r="AH462" s="180"/>
      <c r="AI462" s="180">
        <v>0</v>
      </c>
      <c r="AJ462" s="181">
        <f t="shared" si="111"/>
        <v>0</v>
      </c>
      <c r="AK462" s="246">
        <f t="shared" si="117"/>
        <v>3000000</v>
      </c>
      <c r="AL462" s="181">
        <f t="shared" si="112"/>
        <v>100</v>
      </c>
      <c r="AM462" s="243"/>
    </row>
    <row r="463" spans="1:39" ht="24.75" customHeight="1" x14ac:dyDescent="0.25">
      <c r="A463" s="243"/>
      <c r="B463" s="244"/>
      <c r="C463" s="244"/>
      <c r="D463" s="244"/>
      <c r="E463" s="244"/>
      <c r="F463" s="244"/>
      <c r="G463" s="244"/>
      <c r="H463" s="244"/>
      <c r="I463" s="298"/>
      <c r="J463" s="244" t="s">
        <v>315</v>
      </c>
      <c r="K463" s="245"/>
      <c r="L463" s="257"/>
      <c r="M463" s="591" t="s">
        <v>271</v>
      </c>
      <c r="N463" s="592"/>
      <c r="O463" s="179"/>
      <c r="P463" s="180"/>
      <c r="Q463" s="180">
        <v>1400000</v>
      </c>
      <c r="R463" s="181">
        <f t="shared" si="123"/>
        <v>1.6786570743405276</v>
      </c>
      <c r="S463" s="181">
        <v>100</v>
      </c>
      <c r="T463" s="180">
        <f t="shared" si="114"/>
        <v>0</v>
      </c>
      <c r="U463" s="180">
        <f t="shared" si="119"/>
        <v>0</v>
      </c>
      <c r="V463" s="182">
        <f t="shared" si="92"/>
        <v>100</v>
      </c>
      <c r="W463" s="180"/>
      <c r="X463" s="180"/>
      <c r="Y463" s="180"/>
      <c r="Z463" s="180"/>
      <c r="AA463" s="180"/>
      <c r="AB463" s="180"/>
      <c r="AC463" s="180"/>
      <c r="AD463" s="180"/>
      <c r="AE463" s="180"/>
      <c r="AF463" s="180"/>
      <c r="AG463" s="180"/>
      <c r="AH463" s="180"/>
      <c r="AI463" s="180">
        <v>0</v>
      </c>
      <c r="AJ463" s="181">
        <f t="shared" si="111"/>
        <v>0</v>
      </c>
      <c r="AK463" s="246">
        <f t="shared" si="117"/>
        <v>1400000</v>
      </c>
      <c r="AL463" s="181">
        <f t="shared" si="112"/>
        <v>100</v>
      </c>
      <c r="AM463" s="243"/>
    </row>
    <row r="464" spans="1:39" ht="24.75" customHeight="1" x14ac:dyDescent="0.25">
      <c r="A464" s="243"/>
      <c r="B464" s="244"/>
      <c r="C464" s="244"/>
      <c r="D464" s="244"/>
      <c r="E464" s="244"/>
      <c r="F464" s="244"/>
      <c r="G464" s="244"/>
      <c r="H464" s="244"/>
      <c r="I464" s="298"/>
      <c r="J464" s="244"/>
      <c r="K464" s="245"/>
      <c r="L464" s="257"/>
      <c r="M464" s="591" t="s">
        <v>612</v>
      </c>
      <c r="N464" s="592"/>
      <c r="O464" s="179"/>
      <c r="P464" s="180"/>
      <c r="Q464" s="180">
        <v>1200000</v>
      </c>
      <c r="R464" s="181">
        <f t="shared" ref="R464" si="124">Q464/Q$460*100</f>
        <v>1.4388489208633095</v>
      </c>
      <c r="S464" s="181">
        <v>100</v>
      </c>
      <c r="T464" s="180">
        <f t="shared" ref="T464" si="125">AJ464</f>
        <v>0</v>
      </c>
      <c r="U464" s="180">
        <f t="shared" ref="U464" si="126">R464*T464/100</f>
        <v>0</v>
      </c>
      <c r="V464" s="182">
        <f t="shared" ref="V464" si="127">S464-T464</f>
        <v>100</v>
      </c>
      <c r="W464" s="180"/>
      <c r="X464" s="180"/>
      <c r="Y464" s="180"/>
      <c r="Z464" s="180"/>
      <c r="AA464" s="180"/>
      <c r="AB464" s="180"/>
      <c r="AC464" s="180"/>
      <c r="AD464" s="180"/>
      <c r="AE464" s="180"/>
      <c r="AF464" s="180"/>
      <c r="AG464" s="180"/>
      <c r="AH464" s="180"/>
      <c r="AI464" s="180">
        <v>0</v>
      </c>
      <c r="AJ464" s="181">
        <f t="shared" ref="AJ464" si="128">AI464/Q464*100</f>
        <v>0</v>
      </c>
      <c r="AK464" s="246">
        <f t="shared" ref="AK464" si="129">Q464-AI464</f>
        <v>1200000</v>
      </c>
      <c r="AL464" s="181">
        <f t="shared" ref="AL464" si="130">AK464/Q464*100</f>
        <v>100</v>
      </c>
      <c r="AM464" s="243"/>
    </row>
    <row r="465" spans="1:39" ht="33" customHeight="1" x14ac:dyDescent="0.25">
      <c r="A465" s="243"/>
      <c r="B465" s="244"/>
      <c r="C465" s="244"/>
      <c r="D465" s="244"/>
      <c r="E465" s="244"/>
      <c r="F465" s="244"/>
      <c r="G465" s="244"/>
      <c r="H465" s="244"/>
      <c r="I465" s="298"/>
      <c r="J465" s="244" t="s">
        <v>318</v>
      </c>
      <c r="K465" s="245"/>
      <c r="L465" s="257"/>
      <c r="M465" s="591" t="s">
        <v>319</v>
      </c>
      <c r="N465" s="592"/>
      <c r="O465" s="179"/>
      <c r="P465" s="180"/>
      <c r="Q465" s="180">
        <v>36000000</v>
      </c>
      <c r="R465" s="181">
        <f t="shared" si="123"/>
        <v>43.165467625899282</v>
      </c>
      <c r="S465" s="181">
        <v>100</v>
      </c>
      <c r="T465" s="180">
        <f t="shared" si="114"/>
        <v>0</v>
      </c>
      <c r="U465" s="180">
        <f t="shared" si="119"/>
        <v>0</v>
      </c>
      <c r="V465" s="182">
        <f t="shared" si="92"/>
        <v>100</v>
      </c>
      <c r="W465" s="180"/>
      <c r="X465" s="180"/>
      <c r="Y465" s="180"/>
      <c r="Z465" s="180"/>
      <c r="AA465" s="180"/>
      <c r="AB465" s="180"/>
      <c r="AC465" s="180"/>
      <c r="AD465" s="180"/>
      <c r="AE465" s="180"/>
      <c r="AF465" s="180"/>
      <c r="AG465" s="180"/>
      <c r="AH465" s="180"/>
      <c r="AI465" s="180">
        <v>0</v>
      </c>
      <c r="AJ465" s="181">
        <f t="shared" si="111"/>
        <v>0</v>
      </c>
      <c r="AK465" s="246">
        <f t="shared" si="117"/>
        <v>36000000</v>
      </c>
      <c r="AL465" s="181">
        <f t="shared" si="112"/>
        <v>100</v>
      </c>
      <c r="AM465" s="243"/>
    </row>
    <row r="466" spans="1:39" ht="24.75" customHeight="1" x14ac:dyDescent="0.25">
      <c r="A466" s="243"/>
      <c r="B466" s="244"/>
      <c r="C466" s="244"/>
      <c r="D466" s="244"/>
      <c r="E466" s="244"/>
      <c r="F466" s="244"/>
      <c r="G466" s="244"/>
      <c r="H466" s="244"/>
      <c r="I466" s="298"/>
      <c r="J466" s="244" t="s">
        <v>284</v>
      </c>
      <c r="K466" s="245"/>
      <c r="L466" s="257"/>
      <c r="M466" s="591" t="s">
        <v>285</v>
      </c>
      <c r="N466" s="592"/>
      <c r="O466" s="179"/>
      <c r="P466" s="180"/>
      <c r="Q466" s="180">
        <v>10000000</v>
      </c>
      <c r="R466" s="181">
        <f t="shared" si="123"/>
        <v>11.990407673860911</v>
      </c>
      <c r="S466" s="181">
        <v>100</v>
      </c>
      <c r="T466" s="180">
        <f t="shared" si="114"/>
        <v>0</v>
      </c>
      <c r="U466" s="180">
        <f t="shared" si="119"/>
        <v>0</v>
      </c>
      <c r="V466" s="182">
        <f t="shared" si="92"/>
        <v>100</v>
      </c>
      <c r="W466" s="180"/>
      <c r="X466" s="180"/>
      <c r="Y466" s="180"/>
      <c r="Z466" s="180"/>
      <c r="AA466" s="180"/>
      <c r="AB466" s="180"/>
      <c r="AC466" s="180"/>
      <c r="AD466" s="180"/>
      <c r="AE466" s="180"/>
      <c r="AF466" s="180"/>
      <c r="AG466" s="180"/>
      <c r="AH466" s="180"/>
      <c r="AI466" s="180">
        <v>0</v>
      </c>
      <c r="AJ466" s="181">
        <f t="shared" si="111"/>
        <v>0</v>
      </c>
      <c r="AK466" s="246">
        <f t="shared" si="117"/>
        <v>10000000</v>
      </c>
      <c r="AL466" s="181">
        <f t="shared" si="112"/>
        <v>100</v>
      </c>
      <c r="AM466" s="243"/>
    </row>
    <row r="467" spans="1:39" ht="24.75" customHeight="1" x14ac:dyDescent="0.25">
      <c r="A467" s="243"/>
      <c r="B467" s="244"/>
      <c r="C467" s="244"/>
      <c r="D467" s="244"/>
      <c r="E467" s="244"/>
      <c r="F467" s="244"/>
      <c r="G467" s="244"/>
      <c r="H467" s="244"/>
      <c r="I467" s="298"/>
      <c r="J467" s="244"/>
      <c r="K467" s="245"/>
      <c r="L467" s="257"/>
      <c r="M467" s="591" t="s">
        <v>503</v>
      </c>
      <c r="N467" s="592"/>
      <c r="O467" s="179"/>
      <c r="P467" s="180"/>
      <c r="Q467" s="180">
        <v>12000000</v>
      </c>
      <c r="R467" s="181">
        <f t="shared" si="123"/>
        <v>14.388489208633093</v>
      </c>
      <c r="S467" s="181">
        <v>100</v>
      </c>
      <c r="T467" s="180">
        <f t="shared" si="114"/>
        <v>0</v>
      </c>
      <c r="U467" s="180">
        <f t="shared" si="119"/>
        <v>0</v>
      </c>
      <c r="V467" s="182">
        <f t="shared" si="92"/>
        <v>100</v>
      </c>
      <c r="W467" s="180"/>
      <c r="X467" s="180"/>
      <c r="Y467" s="180"/>
      <c r="Z467" s="180"/>
      <c r="AA467" s="180"/>
      <c r="AB467" s="180"/>
      <c r="AC467" s="180"/>
      <c r="AD467" s="180"/>
      <c r="AE467" s="180"/>
      <c r="AF467" s="180"/>
      <c r="AG467" s="180"/>
      <c r="AH467" s="180"/>
      <c r="AI467" s="180">
        <v>0</v>
      </c>
      <c r="AJ467" s="181">
        <f t="shared" si="111"/>
        <v>0</v>
      </c>
      <c r="AK467" s="246">
        <f t="shared" si="117"/>
        <v>12000000</v>
      </c>
      <c r="AL467" s="181">
        <f t="shared" si="112"/>
        <v>100</v>
      </c>
      <c r="AM467" s="243"/>
    </row>
    <row r="468" spans="1:39" ht="24.75" customHeight="1" x14ac:dyDescent="0.25">
      <c r="A468" s="243"/>
      <c r="B468" s="244"/>
      <c r="C468" s="244"/>
      <c r="D468" s="244"/>
      <c r="E468" s="244"/>
      <c r="F468" s="244"/>
      <c r="G468" s="244"/>
      <c r="H468" s="244"/>
      <c r="I468" s="298"/>
      <c r="J468" s="244" t="s">
        <v>320</v>
      </c>
      <c r="K468" s="245"/>
      <c r="L468" s="257"/>
      <c r="M468" s="611" t="s">
        <v>321</v>
      </c>
      <c r="N468" s="598"/>
      <c r="O468" s="179"/>
      <c r="P468" s="180"/>
      <c r="Q468" s="180">
        <v>11600000</v>
      </c>
      <c r="R468" s="181">
        <f t="shared" si="123"/>
        <v>13.908872901678656</v>
      </c>
      <c r="S468" s="181">
        <v>100</v>
      </c>
      <c r="T468" s="180">
        <f t="shared" si="114"/>
        <v>0</v>
      </c>
      <c r="U468" s="180">
        <f t="shared" si="119"/>
        <v>0</v>
      </c>
      <c r="V468" s="182">
        <f t="shared" si="92"/>
        <v>100</v>
      </c>
      <c r="W468" s="180"/>
      <c r="X468" s="180"/>
      <c r="Y468" s="180"/>
      <c r="Z468" s="180"/>
      <c r="AA468" s="180"/>
      <c r="AB468" s="180"/>
      <c r="AC468" s="180"/>
      <c r="AD468" s="180"/>
      <c r="AE468" s="180"/>
      <c r="AF468" s="180"/>
      <c r="AG468" s="180"/>
      <c r="AH468" s="180"/>
      <c r="AI468" s="180">
        <v>0</v>
      </c>
      <c r="AJ468" s="181">
        <f t="shared" ref="AJ468:AJ531" si="131">AI468/Q468*100</f>
        <v>0</v>
      </c>
      <c r="AK468" s="246">
        <f t="shared" ref="AK468:AK489" si="132">Q468-AI468</f>
        <v>11600000</v>
      </c>
      <c r="AL468" s="181">
        <f t="shared" ref="AL468:AL505" si="133">AK468/Q468*100</f>
        <v>100</v>
      </c>
      <c r="AM468" s="243"/>
    </row>
    <row r="469" spans="1:39" ht="24.75" customHeight="1" x14ac:dyDescent="0.25">
      <c r="A469" s="243"/>
      <c r="B469" s="244"/>
      <c r="C469" s="244"/>
      <c r="D469" s="244"/>
      <c r="E469" s="244"/>
      <c r="F469" s="244"/>
      <c r="G469" s="244"/>
      <c r="H469" s="244"/>
      <c r="I469" s="298"/>
      <c r="J469" s="244" t="s">
        <v>407</v>
      </c>
      <c r="K469" s="245"/>
      <c r="L469" s="257"/>
      <c r="M469" s="591" t="s">
        <v>414</v>
      </c>
      <c r="N469" s="592"/>
      <c r="O469" s="179"/>
      <c r="P469" s="180"/>
      <c r="Q469" s="180">
        <v>5600000</v>
      </c>
      <c r="R469" s="181">
        <f t="shared" si="123"/>
        <v>6.7146282973621103</v>
      </c>
      <c r="S469" s="181">
        <v>100</v>
      </c>
      <c r="T469" s="180">
        <f t="shared" si="114"/>
        <v>0</v>
      </c>
      <c r="U469" s="180">
        <f t="shared" si="119"/>
        <v>0</v>
      </c>
      <c r="V469" s="182">
        <f t="shared" si="92"/>
        <v>100</v>
      </c>
      <c r="W469" s="180"/>
      <c r="X469" s="180"/>
      <c r="Y469" s="180"/>
      <c r="Z469" s="180"/>
      <c r="AA469" s="180"/>
      <c r="AB469" s="180"/>
      <c r="AC469" s="180"/>
      <c r="AD469" s="180"/>
      <c r="AE469" s="180"/>
      <c r="AF469" s="180"/>
      <c r="AG469" s="180"/>
      <c r="AH469" s="180"/>
      <c r="AI469" s="180">
        <v>0</v>
      </c>
      <c r="AJ469" s="181">
        <f t="shared" si="131"/>
        <v>0</v>
      </c>
      <c r="AK469" s="246">
        <f t="shared" si="132"/>
        <v>5600000</v>
      </c>
      <c r="AL469" s="181">
        <f t="shared" si="133"/>
        <v>100</v>
      </c>
      <c r="AM469" s="243"/>
    </row>
    <row r="470" spans="1:39" ht="33.75" customHeight="1" x14ac:dyDescent="0.25">
      <c r="A470" s="227">
        <v>55</v>
      </c>
      <c r="B470" s="244"/>
      <c r="C470" s="244"/>
      <c r="D470" s="244"/>
      <c r="E470" s="244"/>
      <c r="F470" s="244"/>
      <c r="G470" s="244"/>
      <c r="H470" s="244"/>
      <c r="I470" s="298"/>
      <c r="J470" s="304" t="s">
        <v>511</v>
      </c>
      <c r="K470" s="230"/>
      <c r="L470" s="294"/>
      <c r="M470" s="609" t="s">
        <v>512</v>
      </c>
      <c r="N470" s="609"/>
      <c r="O470" s="309">
        <v>355300000</v>
      </c>
      <c r="P470" s="231">
        <f>O470</f>
        <v>355300000</v>
      </c>
      <c r="Q470" s="231">
        <f>SUM(Q471:Q476)</f>
        <v>14850000</v>
      </c>
      <c r="R470" s="233">
        <f>Q470/Q$243*100</f>
        <v>0.13366618481627238</v>
      </c>
      <c r="S470" s="233">
        <v>100</v>
      </c>
      <c r="T470" s="231">
        <f t="shared" si="114"/>
        <v>0</v>
      </c>
      <c r="U470" s="231">
        <f t="shared" si="119"/>
        <v>0</v>
      </c>
      <c r="V470" s="296">
        <f t="shared" si="92"/>
        <v>100</v>
      </c>
      <c r="W470" s="231"/>
      <c r="X470" s="231" t="e">
        <f>#REF!</f>
        <v>#REF!</v>
      </c>
      <c r="Y470" s="231" t="e">
        <f>#REF!</f>
        <v>#REF!</v>
      </c>
      <c r="Z470" s="231" t="e">
        <f>#REF!</f>
        <v>#REF!</v>
      </c>
      <c r="AA470" s="231" t="e">
        <f>#REF!</f>
        <v>#REF!</v>
      </c>
      <c r="AB470" s="231">
        <v>131395500</v>
      </c>
      <c r="AC470" s="231" t="e">
        <f>#REF!</f>
        <v>#REF!</v>
      </c>
      <c r="AD470" s="231" t="e">
        <f>#REF!</f>
        <v>#REF!</v>
      </c>
      <c r="AE470" s="231" t="e">
        <f>#REF!</f>
        <v>#REF!</v>
      </c>
      <c r="AF470" s="231" t="e">
        <f>[1]April!N80</f>
        <v>#REF!</v>
      </c>
      <c r="AG470" s="231" t="e">
        <f>[2]april!N90</f>
        <v>#REF!</v>
      </c>
      <c r="AH470" s="231" t="e">
        <f>'[3]DES SKPD'!$N90</f>
        <v>#REF!</v>
      </c>
      <c r="AI470" s="231">
        <f>SUM(AI471:AI476)</f>
        <v>0</v>
      </c>
      <c r="AJ470" s="233">
        <f t="shared" si="131"/>
        <v>0</v>
      </c>
      <c r="AK470" s="234">
        <f t="shared" si="132"/>
        <v>14850000</v>
      </c>
      <c r="AL470" s="233">
        <f t="shared" si="133"/>
        <v>100</v>
      </c>
      <c r="AM470" s="227"/>
    </row>
    <row r="471" spans="1:39" ht="24.75" customHeight="1" x14ac:dyDescent="0.25">
      <c r="A471" s="243"/>
      <c r="B471" s="244"/>
      <c r="C471" s="244"/>
      <c r="D471" s="244"/>
      <c r="E471" s="244"/>
      <c r="F471" s="244"/>
      <c r="G471" s="244"/>
      <c r="H471" s="244"/>
      <c r="I471" s="298"/>
      <c r="J471" s="244" t="s">
        <v>257</v>
      </c>
      <c r="K471" s="245"/>
      <c r="L471" s="257"/>
      <c r="M471" s="591" t="s">
        <v>260</v>
      </c>
      <c r="N471" s="592"/>
      <c r="O471" s="179"/>
      <c r="P471" s="180"/>
      <c r="Q471" s="180">
        <v>650000</v>
      </c>
      <c r="R471" s="181">
        <f t="shared" ref="R471:R476" si="134">Q471/Q$470*100</f>
        <v>4.3771043771043772</v>
      </c>
      <c r="S471" s="181">
        <v>100</v>
      </c>
      <c r="T471" s="180">
        <f t="shared" si="114"/>
        <v>0</v>
      </c>
      <c r="U471" s="180">
        <f t="shared" si="119"/>
        <v>0</v>
      </c>
      <c r="V471" s="182">
        <f t="shared" si="92"/>
        <v>100</v>
      </c>
      <c r="W471" s="180"/>
      <c r="X471" s="180"/>
      <c r="Y471" s="180"/>
      <c r="Z471" s="180"/>
      <c r="AA471" s="180"/>
      <c r="AB471" s="180"/>
      <c r="AC471" s="180"/>
      <c r="AD471" s="180"/>
      <c r="AE471" s="180"/>
      <c r="AF471" s="180"/>
      <c r="AG471" s="180"/>
      <c r="AH471" s="180"/>
      <c r="AI471" s="180">
        <v>0</v>
      </c>
      <c r="AJ471" s="181">
        <f t="shared" si="131"/>
        <v>0</v>
      </c>
      <c r="AK471" s="246">
        <f t="shared" si="132"/>
        <v>650000</v>
      </c>
      <c r="AL471" s="181">
        <f t="shared" si="133"/>
        <v>100</v>
      </c>
      <c r="AM471" s="243"/>
    </row>
    <row r="472" spans="1:39" ht="24.75" customHeight="1" x14ac:dyDescent="0.25">
      <c r="A472" s="243"/>
      <c r="B472" s="244"/>
      <c r="C472" s="244"/>
      <c r="D472" s="244"/>
      <c r="E472" s="244"/>
      <c r="F472" s="244"/>
      <c r="G472" s="244"/>
      <c r="H472" s="244"/>
      <c r="I472" s="298"/>
      <c r="J472" s="244" t="s">
        <v>326</v>
      </c>
      <c r="K472" s="245"/>
      <c r="L472" s="257"/>
      <c r="M472" s="591" t="s">
        <v>351</v>
      </c>
      <c r="N472" s="592"/>
      <c r="O472" s="179"/>
      <c r="P472" s="180"/>
      <c r="Q472" s="180">
        <v>250000</v>
      </c>
      <c r="R472" s="181">
        <f t="shared" si="134"/>
        <v>1.6835016835016834</v>
      </c>
      <c r="S472" s="181">
        <v>100</v>
      </c>
      <c r="T472" s="180">
        <f t="shared" si="114"/>
        <v>0</v>
      </c>
      <c r="U472" s="180">
        <f t="shared" si="119"/>
        <v>0</v>
      </c>
      <c r="V472" s="182">
        <f t="shared" si="92"/>
        <v>100</v>
      </c>
      <c r="W472" s="180"/>
      <c r="X472" s="180"/>
      <c r="Y472" s="180"/>
      <c r="Z472" s="180"/>
      <c r="AA472" s="180"/>
      <c r="AB472" s="180"/>
      <c r="AC472" s="180"/>
      <c r="AD472" s="180"/>
      <c r="AE472" s="180"/>
      <c r="AF472" s="180"/>
      <c r="AG472" s="180"/>
      <c r="AH472" s="180"/>
      <c r="AI472" s="180">
        <v>0</v>
      </c>
      <c r="AJ472" s="181">
        <f t="shared" si="131"/>
        <v>0</v>
      </c>
      <c r="AK472" s="246">
        <f t="shared" si="132"/>
        <v>250000</v>
      </c>
      <c r="AL472" s="181">
        <f t="shared" si="133"/>
        <v>100</v>
      </c>
      <c r="AM472" s="243"/>
    </row>
    <row r="473" spans="1:39" ht="24.75" customHeight="1" x14ac:dyDescent="0.25">
      <c r="A473" s="243"/>
      <c r="B473" s="244"/>
      <c r="C473" s="244"/>
      <c r="D473" s="244"/>
      <c r="E473" s="244"/>
      <c r="F473" s="244"/>
      <c r="G473" s="244"/>
      <c r="H473" s="244"/>
      <c r="I473" s="298"/>
      <c r="J473" s="244" t="s">
        <v>315</v>
      </c>
      <c r="K473" s="245"/>
      <c r="L473" s="257"/>
      <c r="M473" s="591" t="s">
        <v>271</v>
      </c>
      <c r="N473" s="592"/>
      <c r="O473" s="179"/>
      <c r="P473" s="180"/>
      <c r="Q473" s="180">
        <v>250000</v>
      </c>
      <c r="R473" s="181">
        <f t="shared" si="134"/>
        <v>1.6835016835016834</v>
      </c>
      <c r="S473" s="181">
        <v>100</v>
      </c>
      <c r="T473" s="180">
        <f t="shared" si="114"/>
        <v>0</v>
      </c>
      <c r="U473" s="180">
        <f t="shared" si="119"/>
        <v>0</v>
      </c>
      <c r="V473" s="182">
        <f t="shared" si="92"/>
        <v>100</v>
      </c>
      <c r="W473" s="180"/>
      <c r="X473" s="180"/>
      <c r="Y473" s="180"/>
      <c r="Z473" s="180"/>
      <c r="AA473" s="180"/>
      <c r="AB473" s="180"/>
      <c r="AC473" s="180"/>
      <c r="AD473" s="180"/>
      <c r="AE473" s="180"/>
      <c r="AF473" s="180"/>
      <c r="AG473" s="180"/>
      <c r="AH473" s="180"/>
      <c r="AI473" s="180">
        <v>0</v>
      </c>
      <c r="AJ473" s="181">
        <f t="shared" si="131"/>
        <v>0</v>
      </c>
      <c r="AK473" s="246">
        <f t="shared" si="132"/>
        <v>250000</v>
      </c>
      <c r="AL473" s="181">
        <f t="shared" si="133"/>
        <v>100</v>
      </c>
      <c r="AM473" s="243"/>
    </row>
    <row r="474" spans="1:39" ht="29.25" customHeight="1" x14ac:dyDescent="0.25">
      <c r="A474" s="243"/>
      <c r="B474" s="244"/>
      <c r="C474" s="244"/>
      <c r="D474" s="244"/>
      <c r="E474" s="244"/>
      <c r="F474" s="244"/>
      <c r="G474" s="244"/>
      <c r="H474" s="244"/>
      <c r="I474" s="298"/>
      <c r="J474" s="244" t="s">
        <v>318</v>
      </c>
      <c r="K474" s="245"/>
      <c r="L474" s="257"/>
      <c r="M474" s="591" t="s">
        <v>329</v>
      </c>
      <c r="N474" s="592"/>
      <c r="O474" s="179"/>
      <c r="P474" s="180"/>
      <c r="Q474" s="180">
        <v>5000000</v>
      </c>
      <c r="R474" s="181">
        <f t="shared" si="134"/>
        <v>33.670033670033675</v>
      </c>
      <c r="S474" s="181">
        <v>100</v>
      </c>
      <c r="T474" s="180">
        <f t="shared" si="114"/>
        <v>0</v>
      </c>
      <c r="U474" s="180">
        <f t="shared" si="119"/>
        <v>0</v>
      </c>
      <c r="V474" s="182">
        <f t="shared" si="92"/>
        <v>100</v>
      </c>
      <c r="W474" s="180"/>
      <c r="X474" s="180"/>
      <c r="Y474" s="180"/>
      <c r="Z474" s="180"/>
      <c r="AA474" s="180"/>
      <c r="AB474" s="180"/>
      <c r="AC474" s="180"/>
      <c r="AD474" s="180"/>
      <c r="AE474" s="180"/>
      <c r="AF474" s="180"/>
      <c r="AG474" s="180"/>
      <c r="AH474" s="180"/>
      <c r="AI474" s="180">
        <v>0</v>
      </c>
      <c r="AJ474" s="181">
        <f t="shared" si="131"/>
        <v>0</v>
      </c>
      <c r="AK474" s="246">
        <f t="shared" si="132"/>
        <v>5000000</v>
      </c>
      <c r="AL474" s="181">
        <f t="shared" si="133"/>
        <v>100</v>
      </c>
      <c r="AM474" s="243"/>
    </row>
    <row r="475" spans="1:39" ht="29.25" customHeight="1" x14ac:dyDescent="0.25">
      <c r="A475" s="243"/>
      <c r="B475" s="244"/>
      <c r="C475" s="244"/>
      <c r="D475" s="244"/>
      <c r="E475" s="244"/>
      <c r="F475" s="244"/>
      <c r="G475" s="244"/>
      <c r="H475" s="244"/>
      <c r="I475" s="298"/>
      <c r="J475" s="244" t="s">
        <v>284</v>
      </c>
      <c r="K475" s="245"/>
      <c r="L475" s="257"/>
      <c r="M475" s="591" t="s">
        <v>285</v>
      </c>
      <c r="N475" s="592"/>
      <c r="O475" s="179"/>
      <c r="P475" s="180"/>
      <c r="Q475" s="180">
        <v>2200000</v>
      </c>
      <c r="R475" s="181">
        <f t="shared" si="134"/>
        <v>14.814814814814813</v>
      </c>
      <c r="S475" s="181">
        <v>100</v>
      </c>
      <c r="T475" s="180">
        <f t="shared" si="114"/>
        <v>0</v>
      </c>
      <c r="U475" s="180">
        <f t="shared" si="119"/>
        <v>0</v>
      </c>
      <c r="V475" s="182">
        <f t="shared" si="92"/>
        <v>100</v>
      </c>
      <c r="W475" s="180"/>
      <c r="X475" s="180"/>
      <c r="Y475" s="180"/>
      <c r="Z475" s="180"/>
      <c r="AA475" s="180"/>
      <c r="AB475" s="180"/>
      <c r="AC475" s="180"/>
      <c r="AD475" s="180"/>
      <c r="AE475" s="180"/>
      <c r="AF475" s="180"/>
      <c r="AG475" s="180"/>
      <c r="AH475" s="180"/>
      <c r="AI475" s="180">
        <v>0</v>
      </c>
      <c r="AJ475" s="181">
        <f t="shared" si="131"/>
        <v>0</v>
      </c>
      <c r="AK475" s="246">
        <f t="shared" si="132"/>
        <v>2200000</v>
      </c>
      <c r="AL475" s="181">
        <f t="shared" si="133"/>
        <v>100</v>
      </c>
      <c r="AM475" s="243"/>
    </row>
    <row r="476" spans="1:39" ht="24.75" customHeight="1" x14ac:dyDescent="0.25">
      <c r="A476" s="243"/>
      <c r="B476" s="244"/>
      <c r="C476" s="244"/>
      <c r="D476" s="244"/>
      <c r="E476" s="244"/>
      <c r="F476" s="244"/>
      <c r="G476" s="244"/>
      <c r="H476" s="244"/>
      <c r="I476" s="298"/>
      <c r="J476" s="244" t="s">
        <v>282</v>
      </c>
      <c r="K476" s="245"/>
      <c r="L476" s="257"/>
      <c r="M476" s="616" t="s">
        <v>418</v>
      </c>
      <c r="N476" s="617"/>
      <c r="O476" s="179"/>
      <c r="P476" s="180"/>
      <c r="Q476" s="180">
        <v>6500000</v>
      </c>
      <c r="R476" s="181">
        <f t="shared" si="134"/>
        <v>43.771043771043772</v>
      </c>
      <c r="S476" s="181">
        <v>100</v>
      </c>
      <c r="T476" s="180">
        <f t="shared" si="114"/>
        <v>0</v>
      </c>
      <c r="U476" s="180">
        <f t="shared" si="119"/>
        <v>0</v>
      </c>
      <c r="V476" s="182">
        <f t="shared" si="92"/>
        <v>100</v>
      </c>
      <c r="W476" s="180"/>
      <c r="X476" s="180"/>
      <c r="Y476" s="180"/>
      <c r="Z476" s="180"/>
      <c r="AA476" s="180"/>
      <c r="AB476" s="180"/>
      <c r="AC476" s="180"/>
      <c r="AD476" s="180"/>
      <c r="AE476" s="180"/>
      <c r="AF476" s="180"/>
      <c r="AG476" s="180"/>
      <c r="AH476" s="180"/>
      <c r="AI476" s="180">
        <v>0</v>
      </c>
      <c r="AJ476" s="181">
        <f t="shared" si="131"/>
        <v>0</v>
      </c>
      <c r="AK476" s="246">
        <f t="shared" si="132"/>
        <v>6500000</v>
      </c>
      <c r="AL476" s="181">
        <f t="shared" si="133"/>
        <v>100</v>
      </c>
      <c r="AM476" s="243"/>
    </row>
    <row r="477" spans="1:39" ht="30.75" customHeight="1" x14ac:dyDescent="0.25">
      <c r="A477" s="227">
        <v>56</v>
      </c>
      <c r="B477" s="244"/>
      <c r="C477" s="244"/>
      <c r="D477" s="244"/>
      <c r="E477" s="244"/>
      <c r="F477" s="244"/>
      <c r="G477" s="244"/>
      <c r="H477" s="244"/>
      <c r="I477" s="298"/>
      <c r="J477" s="304" t="s">
        <v>513</v>
      </c>
      <c r="M477" s="609" t="s">
        <v>160</v>
      </c>
      <c r="N477" s="609"/>
      <c r="O477" s="309">
        <v>355300000</v>
      </c>
      <c r="P477" s="231">
        <f>O477</f>
        <v>355300000</v>
      </c>
      <c r="Q477" s="231">
        <f>SUM(Q478:Q483)</f>
        <v>241740393</v>
      </c>
      <c r="R477" s="233">
        <f>Q477/Q$243*100</f>
        <v>2.1759270066192804</v>
      </c>
      <c r="S477" s="233">
        <v>100</v>
      </c>
      <c r="T477" s="231">
        <f t="shared" si="114"/>
        <v>0</v>
      </c>
      <c r="U477" s="231">
        <f t="shared" si="119"/>
        <v>0</v>
      </c>
      <c r="V477" s="296">
        <f t="shared" si="92"/>
        <v>100</v>
      </c>
      <c r="W477" s="231"/>
      <c r="X477" s="231" t="e">
        <f>#REF!</f>
        <v>#REF!</v>
      </c>
      <c r="Y477" s="231" t="e">
        <f>#REF!</f>
        <v>#REF!</v>
      </c>
      <c r="Z477" s="231" t="e">
        <f>#REF!</f>
        <v>#REF!</v>
      </c>
      <c r="AA477" s="231" t="e">
        <f>#REF!</f>
        <v>#REF!</v>
      </c>
      <c r="AB477" s="231">
        <v>131395500</v>
      </c>
      <c r="AC477" s="231" t="e">
        <f>#REF!</f>
        <v>#REF!</v>
      </c>
      <c r="AD477" s="231" t="e">
        <f>#REF!</f>
        <v>#REF!</v>
      </c>
      <c r="AE477" s="231" t="e">
        <f>#REF!</f>
        <v>#REF!</v>
      </c>
      <c r="AF477" s="231" t="e">
        <f>[1]April!N89</f>
        <v>#REF!</v>
      </c>
      <c r="AG477" s="231" t="e">
        <f>[2]april!N99</f>
        <v>#REF!</v>
      </c>
      <c r="AH477" s="231" t="e">
        <f>'[3]DES SKPD'!$N99</f>
        <v>#REF!</v>
      </c>
      <c r="AI477" s="231">
        <f>SUM(AI478:AI483)</f>
        <v>0</v>
      </c>
      <c r="AJ477" s="233">
        <f t="shared" si="131"/>
        <v>0</v>
      </c>
      <c r="AK477" s="234">
        <f>Q477-AI477</f>
        <v>241740393</v>
      </c>
      <c r="AL477" s="233">
        <f>AK477/Q477*100</f>
        <v>100</v>
      </c>
      <c r="AM477" s="243"/>
    </row>
    <row r="478" spans="1:39" ht="24.75" customHeight="1" x14ac:dyDescent="0.25">
      <c r="A478" s="243"/>
      <c r="B478" s="244"/>
      <c r="C478" s="244"/>
      <c r="D478" s="244"/>
      <c r="E478" s="244"/>
      <c r="F478" s="244"/>
      <c r="G478" s="244"/>
      <c r="H478" s="244"/>
      <c r="I478" s="298"/>
      <c r="J478" s="244" t="s">
        <v>257</v>
      </c>
      <c r="K478" s="245"/>
      <c r="L478" s="257"/>
      <c r="M478" s="591" t="s">
        <v>324</v>
      </c>
      <c r="N478" s="592"/>
      <c r="O478" s="179"/>
      <c r="P478" s="180"/>
      <c r="Q478" s="180">
        <v>15000000</v>
      </c>
      <c r="R478" s="181">
        <f>Q478/Q477*100</f>
        <v>6.2050035634714966</v>
      </c>
      <c r="S478" s="181">
        <v>100</v>
      </c>
      <c r="T478" s="180">
        <f t="shared" si="114"/>
        <v>0</v>
      </c>
      <c r="U478" s="180">
        <f t="shared" si="119"/>
        <v>0</v>
      </c>
      <c r="V478" s="182">
        <f t="shared" si="92"/>
        <v>100</v>
      </c>
      <c r="W478" s="180"/>
      <c r="X478" s="180"/>
      <c r="Y478" s="180"/>
      <c r="Z478" s="180"/>
      <c r="AA478" s="180"/>
      <c r="AB478" s="180"/>
      <c r="AC478" s="180"/>
      <c r="AD478" s="180"/>
      <c r="AE478" s="180"/>
      <c r="AF478" s="180"/>
      <c r="AG478" s="180"/>
      <c r="AH478" s="180"/>
      <c r="AI478" s="180">
        <v>0</v>
      </c>
      <c r="AJ478" s="181">
        <f t="shared" si="131"/>
        <v>0</v>
      </c>
      <c r="AK478" s="246">
        <f t="shared" si="132"/>
        <v>15000000</v>
      </c>
      <c r="AL478" s="181">
        <f t="shared" si="133"/>
        <v>100</v>
      </c>
      <c r="AM478" s="243"/>
    </row>
    <row r="479" spans="1:39" ht="24.75" customHeight="1" x14ac:dyDescent="0.25">
      <c r="A479" s="243"/>
      <c r="B479" s="244"/>
      <c r="C479" s="244"/>
      <c r="D479" s="244"/>
      <c r="E479" s="244"/>
      <c r="F479" s="244"/>
      <c r="G479" s="244"/>
      <c r="H479" s="244"/>
      <c r="I479" s="298"/>
      <c r="J479" s="244" t="s">
        <v>326</v>
      </c>
      <c r="K479" s="245"/>
      <c r="L479" s="257"/>
      <c r="M479" s="591" t="s">
        <v>428</v>
      </c>
      <c r="N479" s="592"/>
      <c r="O479" s="179"/>
      <c r="P479" s="180"/>
      <c r="Q479" s="180">
        <v>8000000</v>
      </c>
      <c r="R479" s="181">
        <f>Q479/Q477*100</f>
        <v>3.3093352338514648</v>
      </c>
      <c r="S479" s="181">
        <v>100</v>
      </c>
      <c r="T479" s="180">
        <f t="shared" si="114"/>
        <v>0</v>
      </c>
      <c r="U479" s="180">
        <f t="shared" si="119"/>
        <v>0</v>
      </c>
      <c r="V479" s="182">
        <f t="shared" si="92"/>
        <v>100</v>
      </c>
      <c r="W479" s="180"/>
      <c r="X479" s="180"/>
      <c r="Y479" s="180"/>
      <c r="Z479" s="180"/>
      <c r="AA479" s="180"/>
      <c r="AB479" s="180"/>
      <c r="AC479" s="180"/>
      <c r="AD479" s="180"/>
      <c r="AE479" s="180"/>
      <c r="AF479" s="180"/>
      <c r="AG479" s="180"/>
      <c r="AH479" s="180"/>
      <c r="AI479" s="180">
        <v>0</v>
      </c>
      <c r="AJ479" s="181">
        <f t="shared" si="131"/>
        <v>0</v>
      </c>
      <c r="AK479" s="246">
        <f t="shared" si="132"/>
        <v>8000000</v>
      </c>
      <c r="AL479" s="181">
        <f t="shared" si="133"/>
        <v>100</v>
      </c>
      <c r="AM479" s="243"/>
    </row>
    <row r="480" spans="1:39" ht="24.75" customHeight="1" x14ac:dyDescent="0.25">
      <c r="A480" s="227"/>
      <c r="B480" s="244"/>
      <c r="C480" s="244"/>
      <c r="D480" s="244"/>
      <c r="E480" s="244"/>
      <c r="F480" s="244"/>
      <c r="G480" s="244"/>
      <c r="H480" s="244"/>
      <c r="I480" s="298"/>
      <c r="J480" s="244" t="s">
        <v>315</v>
      </c>
      <c r="K480" s="245"/>
      <c r="L480" s="257"/>
      <c r="M480" s="591" t="s">
        <v>329</v>
      </c>
      <c r="N480" s="592"/>
      <c r="O480" s="179"/>
      <c r="P480" s="180"/>
      <c r="Q480" s="180">
        <v>24000000</v>
      </c>
      <c r="R480" s="181">
        <f>Q480/Q477*100</f>
        <v>9.9280057015543939</v>
      </c>
      <c r="S480" s="181">
        <v>100</v>
      </c>
      <c r="T480" s="180">
        <f t="shared" si="114"/>
        <v>0</v>
      </c>
      <c r="U480" s="180">
        <f t="shared" si="119"/>
        <v>0</v>
      </c>
      <c r="V480" s="182">
        <f t="shared" si="92"/>
        <v>100</v>
      </c>
      <c r="W480" s="180"/>
      <c r="X480" s="180"/>
      <c r="Y480" s="180"/>
      <c r="Z480" s="180"/>
      <c r="AA480" s="180"/>
      <c r="AB480" s="180"/>
      <c r="AC480" s="180"/>
      <c r="AD480" s="180"/>
      <c r="AE480" s="180"/>
      <c r="AF480" s="180"/>
      <c r="AG480" s="180"/>
      <c r="AH480" s="180"/>
      <c r="AI480" s="180">
        <v>0</v>
      </c>
      <c r="AJ480" s="181">
        <f t="shared" si="131"/>
        <v>0</v>
      </c>
      <c r="AK480" s="246">
        <f t="shared" si="132"/>
        <v>24000000</v>
      </c>
      <c r="AL480" s="181">
        <f t="shared" si="133"/>
        <v>100</v>
      </c>
      <c r="AM480" s="243"/>
    </row>
    <row r="481" spans="1:39" ht="24.75" customHeight="1" x14ac:dyDescent="0.25">
      <c r="A481" s="243"/>
      <c r="B481" s="244"/>
      <c r="C481" s="244"/>
      <c r="D481" s="244"/>
      <c r="E481" s="244"/>
      <c r="F481" s="244"/>
      <c r="G481" s="244"/>
      <c r="H481" s="244"/>
      <c r="I481" s="298"/>
      <c r="J481" s="244" t="s">
        <v>280</v>
      </c>
      <c r="K481" s="245"/>
      <c r="L481" s="257"/>
      <c r="M481" s="591" t="s">
        <v>585</v>
      </c>
      <c r="N481" s="592"/>
      <c r="O481" s="179"/>
      <c r="P481" s="180"/>
      <c r="Q481" s="180">
        <v>15000000</v>
      </c>
      <c r="R481" s="181">
        <f>Q481/Q477*100</f>
        <v>6.2050035634714966</v>
      </c>
      <c r="S481" s="181">
        <v>100</v>
      </c>
      <c r="T481" s="180">
        <f t="shared" si="114"/>
        <v>0</v>
      </c>
      <c r="U481" s="180">
        <f t="shared" si="119"/>
        <v>0</v>
      </c>
      <c r="V481" s="182">
        <f t="shared" si="92"/>
        <v>100</v>
      </c>
      <c r="W481" s="180"/>
      <c r="X481" s="180"/>
      <c r="Y481" s="180"/>
      <c r="Z481" s="180"/>
      <c r="AA481" s="180"/>
      <c r="AB481" s="180"/>
      <c r="AC481" s="180"/>
      <c r="AD481" s="180"/>
      <c r="AE481" s="180"/>
      <c r="AF481" s="180"/>
      <c r="AG481" s="180"/>
      <c r="AH481" s="180"/>
      <c r="AI481" s="180">
        <v>0</v>
      </c>
      <c r="AJ481" s="181">
        <f t="shared" si="131"/>
        <v>0</v>
      </c>
      <c r="AK481" s="246">
        <f t="shared" si="132"/>
        <v>15000000</v>
      </c>
      <c r="AL481" s="181">
        <f t="shared" si="133"/>
        <v>100</v>
      </c>
      <c r="AM481" s="243"/>
    </row>
    <row r="482" spans="1:39" ht="24.75" customHeight="1" x14ac:dyDescent="0.25">
      <c r="A482" s="243"/>
      <c r="B482" s="244"/>
      <c r="C482" s="244"/>
      <c r="D482" s="244"/>
      <c r="E482" s="244"/>
      <c r="F482" s="244"/>
      <c r="G482" s="244"/>
      <c r="H482" s="244"/>
      <c r="I482" s="298"/>
      <c r="J482" s="244" t="s">
        <v>284</v>
      </c>
      <c r="K482" s="245"/>
      <c r="L482" s="257"/>
      <c r="M482" s="591" t="s">
        <v>503</v>
      </c>
      <c r="N482" s="592"/>
      <c r="O482" s="179"/>
      <c r="P482" s="180"/>
      <c r="Q482" s="180">
        <v>29740393</v>
      </c>
      <c r="R482" s="181">
        <f>Q482/Q477*100</f>
        <v>12.302616302936183</v>
      </c>
      <c r="S482" s="181">
        <v>100</v>
      </c>
      <c r="T482" s="180">
        <f t="shared" si="114"/>
        <v>0</v>
      </c>
      <c r="U482" s="180">
        <f t="shared" si="119"/>
        <v>0</v>
      </c>
      <c r="V482" s="182">
        <f t="shared" si="92"/>
        <v>100</v>
      </c>
      <c r="W482" s="180"/>
      <c r="X482" s="180"/>
      <c r="Y482" s="180"/>
      <c r="Z482" s="180"/>
      <c r="AA482" s="180"/>
      <c r="AB482" s="180"/>
      <c r="AC482" s="180"/>
      <c r="AD482" s="180"/>
      <c r="AE482" s="180"/>
      <c r="AF482" s="180"/>
      <c r="AG482" s="180"/>
      <c r="AH482" s="180"/>
      <c r="AI482" s="180">
        <v>0</v>
      </c>
      <c r="AJ482" s="181">
        <f t="shared" si="131"/>
        <v>0</v>
      </c>
      <c r="AK482" s="246">
        <f t="shared" si="132"/>
        <v>29740393</v>
      </c>
      <c r="AL482" s="181">
        <f t="shared" si="133"/>
        <v>100</v>
      </c>
      <c r="AM482" s="243"/>
    </row>
    <row r="483" spans="1:39" ht="24.75" customHeight="1" x14ac:dyDescent="0.25">
      <c r="A483" s="243"/>
      <c r="B483" s="244"/>
      <c r="C483" s="244"/>
      <c r="D483" s="244"/>
      <c r="E483" s="244"/>
      <c r="F483" s="244"/>
      <c r="G483" s="244"/>
      <c r="H483" s="244"/>
      <c r="I483" s="298"/>
      <c r="J483" s="244" t="s">
        <v>282</v>
      </c>
      <c r="K483" s="245"/>
      <c r="L483" s="257"/>
      <c r="M483" s="591" t="s">
        <v>591</v>
      </c>
      <c r="N483" s="592"/>
      <c r="O483" s="179"/>
      <c r="P483" s="180"/>
      <c r="Q483" s="180">
        <v>150000000</v>
      </c>
      <c r="R483" s="181">
        <f>Q483/Q477*100</f>
        <v>62.050035634714959</v>
      </c>
      <c r="S483" s="181">
        <v>100</v>
      </c>
      <c r="T483" s="180">
        <f t="shared" si="114"/>
        <v>0</v>
      </c>
      <c r="U483" s="180">
        <f t="shared" si="119"/>
        <v>0</v>
      </c>
      <c r="V483" s="182">
        <f t="shared" si="92"/>
        <v>100</v>
      </c>
      <c r="W483" s="180"/>
      <c r="X483" s="180"/>
      <c r="Y483" s="180"/>
      <c r="Z483" s="180"/>
      <c r="AA483" s="180"/>
      <c r="AB483" s="180"/>
      <c r="AC483" s="180"/>
      <c r="AD483" s="180"/>
      <c r="AE483" s="180"/>
      <c r="AF483" s="180"/>
      <c r="AG483" s="180"/>
      <c r="AH483" s="180"/>
      <c r="AI483" s="180">
        <v>0</v>
      </c>
      <c r="AJ483" s="181">
        <f t="shared" si="131"/>
        <v>0</v>
      </c>
      <c r="AK483" s="246">
        <f t="shared" si="132"/>
        <v>150000000</v>
      </c>
      <c r="AL483" s="181">
        <f t="shared" si="133"/>
        <v>100</v>
      </c>
      <c r="AM483" s="243"/>
    </row>
    <row r="484" spans="1:39" s="297" customFormat="1" ht="27.75" customHeight="1" x14ac:dyDescent="0.25">
      <c r="A484" s="227">
        <v>56</v>
      </c>
      <c r="B484" s="228"/>
      <c r="C484" s="228"/>
      <c r="D484" s="228"/>
      <c r="E484" s="228"/>
      <c r="F484" s="228"/>
      <c r="G484" s="228"/>
      <c r="H484" s="228"/>
      <c r="I484" s="229"/>
      <c r="J484" s="304" t="s">
        <v>514</v>
      </c>
      <c r="K484" s="230"/>
      <c r="L484" s="294"/>
      <c r="M484" s="610" t="s">
        <v>200</v>
      </c>
      <c r="N484" s="612"/>
      <c r="O484" s="309"/>
      <c r="P484" s="231"/>
      <c r="Q484" s="231">
        <f>SUM(Q485:Q488)</f>
        <v>395380000</v>
      </c>
      <c r="R484" s="233">
        <f>Q484/Q$243*100</f>
        <v>3.5588509193708937</v>
      </c>
      <c r="S484" s="233">
        <v>100</v>
      </c>
      <c r="T484" s="231">
        <f t="shared" si="114"/>
        <v>0</v>
      </c>
      <c r="U484" s="231">
        <f t="shared" si="119"/>
        <v>0</v>
      </c>
      <c r="V484" s="296">
        <f t="shared" si="92"/>
        <v>100</v>
      </c>
      <c r="W484" s="231"/>
      <c r="X484" s="231"/>
      <c r="Y484" s="231"/>
      <c r="Z484" s="231"/>
      <c r="AA484" s="231"/>
      <c r="AB484" s="231"/>
      <c r="AC484" s="231"/>
      <c r="AD484" s="231"/>
      <c r="AE484" s="231"/>
      <c r="AF484" s="231"/>
      <c r="AG484" s="231"/>
      <c r="AH484" s="231"/>
      <c r="AI484" s="231">
        <f>SUM(AI485:AI488)</f>
        <v>0</v>
      </c>
      <c r="AJ484" s="233">
        <f t="shared" si="131"/>
        <v>0</v>
      </c>
      <c r="AK484" s="234">
        <f t="shared" si="132"/>
        <v>395380000</v>
      </c>
      <c r="AL484" s="233">
        <f t="shared" si="133"/>
        <v>100</v>
      </c>
      <c r="AM484" s="227"/>
    </row>
    <row r="485" spans="1:39" ht="29.25" customHeight="1" x14ac:dyDescent="0.25">
      <c r="A485" s="243"/>
      <c r="B485" s="244"/>
      <c r="C485" s="244"/>
      <c r="D485" s="244"/>
      <c r="E485" s="244"/>
      <c r="F485" s="244"/>
      <c r="G485" s="244"/>
      <c r="H485" s="244"/>
      <c r="I485" s="298"/>
      <c r="J485" s="244" t="s">
        <v>315</v>
      </c>
      <c r="K485" s="245"/>
      <c r="L485" s="257"/>
      <c r="M485" s="591" t="s">
        <v>271</v>
      </c>
      <c r="N485" s="592"/>
      <c r="O485" s="179"/>
      <c r="P485" s="180"/>
      <c r="Q485" s="180">
        <v>20295000</v>
      </c>
      <c r="R485" s="181">
        <f>Q485/Q$484*100</f>
        <v>5.1330365724113509</v>
      </c>
      <c r="S485" s="181">
        <v>100</v>
      </c>
      <c r="T485" s="180">
        <f t="shared" si="114"/>
        <v>0</v>
      </c>
      <c r="U485" s="180">
        <f t="shared" si="119"/>
        <v>0</v>
      </c>
      <c r="V485" s="182">
        <f t="shared" si="92"/>
        <v>100</v>
      </c>
      <c r="W485" s="180"/>
      <c r="X485" s="180"/>
      <c r="Y485" s="180"/>
      <c r="Z485" s="180"/>
      <c r="AA485" s="180"/>
      <c r="AB485" s="180"/>
      <c r="AC485" s="180"/>
      <c r="AD485" s="180"/>
      <c r="AE485" s="180"/>
      <c r="AF485" s="180"/>
      <c r="AG485" s="180"/>
      <c r="AH485" s="180"/>
      <c r="AI485" s="180">
        <v>0</v>
      </c>
      <c r="AJ485" s="181">
        <f t="shared" si="131"/>
        <v>0</v>
      </c>
      <c r="AK485" s="246">
        <f t="shared" si="132"/>
        <v>20295000</v>
      </c>
      <c r="AL485" s="181">
        <f t="shared" si="133"/>
        <v>100</v>
      </c>
      <c r="AM485" s="243"/>
    </row>
    <row r="486" spans="1:39" ht="24.75" customHeight="1" x14ac:dyDescent="0.25">
      <c r="A486" s="243"/>
      <c r="B486" s="244"/>
      <c r="C486" s="244"/>
      <c r="D486" s="244"/>
      <c r="E486" s="244"/>
      <c r="F486" s="244"/>
      <c r="G486" s="244"/>
      <c r="H486" s="244"/>
      <c r="I486" s="298"/>
      <c r="J486" s="244" t="s">
        <v>284</v>
      </c>
      <c r="K486" s="245"/>
      <c r="L486" s="257"/>
      <c r="M486" s="591" t="s">
        <v>285</v>
      </c>
      <c r="N486" s="592"/>
      <c r="O486" s="179"/>
      <c r="P486" s="180"/>
      <c r="Q486" s="180">
        <v>5000000</v>
      </c>
      <c r="R486" s="181">
        <f>Q486/Q$484*100</f>
        <v>1.2646062016288129</v>
      </c>
      <c r="S486" s="181">
        <v>100</v>
      </c>
      <c r="T486" s="180">
        <f t="shared" si="114"/>
        <v>0</v>
      </c>
      <c r="U486" s="180">
        <f t="shared" si="119"/>
        <v>0</v>
      </c>
      <c r="V486" s="182">
        <f t="shared" si="92"/>
        <v>100</v>
      </c>
      <c r="W486" s="180"/>
      <c r="X486" s="180"/>
      <c r="Y486" s="180"/>
      <c r="Z486" s="180"/>
      <c r="AA486" s="180"/>
      <c r="AB486" s="180"/>
      <c r="AC486" s="180"/>
      <c r="AD486" s="180"/>
      <c r="AE486" s="180"/>
      <c r="AF486" s="180"/>
      <c r="AG486" s="180"/>
      <c r="AH486" s="180"/>
      <c r="AI486" s="180">
        <v>0</v>
      </c>
      <c r="AJ486" s="181">
        <f t="shared" si="131"/>
        <v>0</v>
      </c>
      <c r="AK486" s="246">
        <f t="shared" si="132"/>
        <v>5000000</v>
      </c>
      <c r="AL486" s="181">
        <f t="shared" si="133"/>
        <v>100</v>
      </c>
      <c r="AM486" s="243"/>
    </row>
    <row r="487" spans="1:39" ht="24.75" customHeight="1" x14ac:dyDescent="0.25">
      <c r="A487" s="243"/>
      <c r="B487" s="244"/>
      <c r="C487" s="244"/>
      <c r="D487" s="244"/>
      <c r="E487" s="244"/>
      <c r="F487" s="244"/>
      <c r="G487" s="244"/>
      <c r="H487" s="244"/>
      <c r="I487" s="298"/>
      <c r="J487" s="244" t="s">
        <v>309</v>
      </c>
      <c r="K487" s="245"/>
      <c r="L487" s="257"/>
      <c r="M487" s="591" t="s">
        <v>310</v>
      </c>
      <c r="N487" s="592"/>
      <c r="O487" s="179"/>
      <c r="P487" s="180"/>
      <c r="Q487" s="180">
        <v>219362000</v>
      </c>
      <c r="R487" s="181">
        <f>Q487/Q$484*100</f>
        <v>55.48130912033993</v>
      </c>
      <c r="S487" s="181">
        <v>100</v>
      </c>
      <c r="T487" s="180">
        <f t="shared" si="114"/>
        <v>0</v>
      </c>
      <c r="U487" s="180">
        <f t="shared" si="119"/>
        <v>0</v>
      </c>
      <c r="V487" s="182">
        <f t="shared" si="92"/>
        <v>100</v>
      </c>
      <c r="W487" s="180"/>
      <c r="X487" s="180"/>
      <c r="Y487" s="180"/>
      <c r="Z487" s="180"/>
      <c r="AA487" s="180"/>
      <c r="AB487" s="180"/>
      <c r="AC487" s="180"/>
      <c r="AD487" s="180"/>
      <c r="AE487" s="180"/>
      <c r="AF487" s="180"/>
      <c r="AG487" s="180"/>
      <c r="AH487" s="180"/>
      <c r="AI487" s="180">
        <v>0</v>
      </c>
      <c r="AJ487" s="181">
        <f t="shared" si="131"/>
        <v>0</v>
      </c>
      <c r="AK487" s="246">
        <f t="shared" si="132"/>
        <v>219362000</v>
      </c>
      <c r="AL487" s="181">
        <f t="shared" si="133"/>
        <v>100</v>
      </c>
      <c r="AM487" s="243"/>
    </row>
    <row r="488" spans="1:39" ht="24.75" customHeight="1" x14ac:dyDescent="0.25">
      <c r="A488" s="243"/>
      <c r="B488" s="244"/>
      <c r="C488" s="244"/>
      <c r="D488" s="244"/>
      <c r="E488" s="244"/>
      <c r="F488" s="244"/>
      <c r="G488" s="244"/>
      <c r="H488" s="244"/>
      <c r="I488" s="298"/>
      <c r="J488" s="244" t="s">
        <v>342</v>
      </c>
      <c r="K488" s="245"/>
      <c r="L488" s="257"/>
      <c r="M488" s="591" t="s">
        <v>617</v>
      </c>
      <c r="N488" s="592"/>
      <c r="O488" s="179"/>
      <c r="P488" s="180"/>
      <c r="Q488" s="180">
        <v>150723000</v>
      </c>
      <c r="R488" s="181">
        <f>Q488/Q$484*100</f>
        <v>38.121048105619906</v>
      </c>
      <c r="S488" s="181">
        <v>100</v>
      </c>
      <c r="T488" s="180">
        <f t="shared" si="114"/>
        <v>0</v>
      </c>
      <c r="U488" s="180">
        <f t="shared" si="119"/>
        <v>0</v>
      </c>
      <c r="V488" s="182">
        <f t="shared" si="92"/>
        <v>100</v>
      </c>
      <c r="W488" s="180"/>
      <c r="X488" s="180"/>
      <c r="Y488" s="180"/>
      <c r="Z488" s="180"/>
      <c r="AA488" s="180"/>
      <c r="AB488" s="180"/>
      <c r="AC488" s="180"/>
      <c r="AD488" s="180"/>
      <c r="AE488" s="180"/>
      <c r="AF488" s="180"/>
      <c r="AG488" s="180"/>
      <c r="AH488" s="180"/>
      <c r="AI488" s="180">
        <v>0</v>
      </c>
      <c r="AJ488" s="181">
        <f t="shared" si="131"/>
        <v>0</v>
      </c>
      <c r="AK488" s="246">
        <f t="shared" si="132"/>
        <v>150723000</v>
      </c>
      <c r="AL488" s="181">
        <f t="shared" si="133"/>
        <v>100</v>
      </c>
      <c r="AM488" s="243"/>
    </row>
    <row r="489" spans="1:39" s="297" customFormat="1" ht="29.25" customHeight="1" x14ac:dyDescent="0.25">
      <c r="A489" s="227">
        <f>SUM(A484+1)</f>
        <v>57</v>
      </c>
      <c r="B489" s="615" t="s">
        <v>158</v>
      </c>
      <c r="C489" s="615"/>
      <c r="D489" s="615"/>
      <c r="E489" s="615"/>
      <c r="F489" s="615"/>
      <c r="G489" s="615"/>
      <c r="H489" s="615"/>
      <c r="I489" s="614"/>
      <c r="J489" s="304" t="s">
        <v>515</v>
      </c>
      <c r="K489" s="230"/>
      <c r="L489" s="294"/>
      <c r="M489" s="610" t="s">
        <v>161</v>
      </c>
      <c r="N489" s="610"/>
      <c r="O489" s="309">
        <v>355300000</v>
      </c>
      <c r="P489" s="231">
        <v>0</v>
      </c>
      <c r="Q489" s="231">
        <f>SUM(Q490:Q497)</f>
        <v>20233874</v>
      </c>
      <c r="R489" s="233">
        <f>Q489/Q$243*100</f>
        <v>0.18212691862849617</v>
      </c>
      <c r="S489" s="233">
        <v>100</v>
      </c>
      <c r="T489" s="231">
        <f t="shared" si="114"/>
        <v>0</v>
      </c>
      <c r="U489" s="231">
        <f t="shared" si="119"/>
        <v>0</v>
      </c>
      <c r="V489" s="296">
        <f t="shared" si="92"/>
        <v>100</v>
      </c>
      <c r="W489" s="231"/>
      <c r="X489" s="231"/>
      <c r="Y489" s="231"/>
      <c r="Z489" s="231"/>
      <c r="AA489" s="231"/>
      <c r="AB489" s="231"/>
      <c r="AC489" s="231"/>
      <c r="AD489" s="231"/>
      <c r="AE489" s="231"/>
      <c r="AF489" s="231"/>
      <c r="AG489" s="231" t="e">
        <f>[2]april!N82</f>
        <v>#REF!</v>
      </c>
      <c r="AH489" s="231">
        <f>'[3]DES SKPD'!$N82</f>
        <v>34370000</v>
      </c>
      <c r="AI489" s="231">
        <f>SUM(AI490:AI497)</f>
        <v>0</v>
      </c>
      <c r="AJ489" s="233">
        <f t="shared" si="131"/>
        <v>0</v>
      </c>
      <c r="AK489" s="234">
        <f t="shared" si="132"/>
        <v>20233874</v>
      </c>
      <c r="AL489" s="233">
        <f t="shared" si="133"/>
        <v>100</v>
      </c>
      <c r="AM489" s="227"/>
    </row>
    <row r="490" spans="1:39" ht="29.25" customHeight="1" x14ac:dyDescent="0.25">
      <c r="A490" s="243"/>
      <c r="B490" s="244"/>
      <c r="C490" s="244"/>
      <c r="D490" s="244"/>
      <c r="E490" s="244"/>
      <c r="F490" s="244"/>
      <c r="G490" s="244"/>
      <c r="H490" s="244"/>
      <c r="I490" s="298"/>
      <c r="J490" s="244" t="s">
        <v>257</v>
      </c>
      <c r="K490" s="245"/>
      <c r="L490" s="257"/>
      <c r="M490" s="591" t="s">
        <v>260</v>
      </c>
      <c r="N490" s="592"/>
      <c r="O490" s="179"/>
      <c r="P490" s="180"/>
      <c r="Q490" s="180">
        <v>650000</v>
      </c>
      <c r="R490" s="181">
        <f>Q490/Q$489*100</f>
        <v>3.2124347517435363</v>
      </c>
      <c r="S490" s="181">
        <v>100</v>
      </c>
      <c r="T490" s="180">
        <f t="shared" si="114"/>
        <v>0</v>
      </c>
      <c r="U490" s="180">
        <f t="shared" si="119"/>
        <v>0</v>
      </c>
      <c r="V490" s="182">
        <f t="shared" si="92"/>
        <v>100</v>
      </c>
      <c r="W490" s="180"/>
      <c r="X490" s="180"/>
      <c r="Y490" s="180"/>
      <c r="Z490" s="180"/>
      <c r="AA490" s="180"/>
      <c r="AB490" s="180"/>
      <c r="AC490" s="180"/>
      <c r="AD490" s="180"/>
      <c r="AE490" s="180"/>
      <c r="AF490" s="180"/>
      <c r="AG490" s="180"/>
      <c r="AH490" s="180"/>
      <c r="AI490" s="180">
        <v>0</v>
      </c>
      <c r="AJ490" s="181">
        <f t="shared" si="131"/>
        <v>0</v>
      </c>
      <c r="AK490" s="180">
        <f>SUM(Q490-AI490)</f>
        <v>650000</v>
      </c>
      <c r="AL490" s="181">
        <f t="shared" si="133"/>
        <v>100</v>
      </c>
      <c r="AM490" s="243"/>
    </row>
    <row r="491" spans="1:39" ht="42" customHeight="1" x14ac:dyDescent="0.25">
      <c r="A491" s="243"/>
      <c r="B491" s="244"/>
      <c r="C491" s="244"/>
      <c r="D491" s="244"/>
      <c r="E491" s="244"/>
      <c r="F491" s="244"/>
      <c r="G491" s="244"/>
      <c r="H491" s="244"/>
      <c r="I491" s="298"/>
      <c r="J491" s="244" t="s">
        <v>345</v>
      </c>
      <c r="K491" s="245"/>
      <c r="L491" s="257"/>
      <c r="M491" s="591" t="s">
        <v>351</v>
      </c>
      <c r="N491" s="592"/>
      <c r="O491" s="179"/>
      <c r="P491" s="180"/>
      <c r="Q491" s="180">
        <v>250000</v>
      </c>
      <c r="R491" s="181">
        <f t="shared" ref="R491:R497" si="135">Q491/Q$489*100</f>
        <v>1.2355518275936679</v>
      </c>
      <c r="S491" s="181">
        <v>100</v>
      </c>
      <c r="T491" s="180">
        <f t="shared" si="114"/>
        <v>0</v>
      </c>
      <c r="U491" s="180">
        <f t="shared" si="119"/>
        <v>0</v>
      </c>
      <c r="V491" s="182">
        <f t="shared" si="92"/>
        <v>100</v>
      </c>
      <c r="W491" s="180"/>
      <c r="X491" s="180"/>
      <c r="Y491" s="180"/>
      <c r="Z491" s="180"/>
      <c r="AA491" s="180"/>
      <c r="AB491" s="180"/>
      <c r="AC491" s="180"/>
      <c r="AD491" s="180"/>
      <c r="AE491" s="180"/>
      <c r="AF491" s="180"/>
      <c r="AG491" s="180"/>
      <c r="AH491" s="180"/>
      <c r="AI491" s="180">
        <v>0</v>
      </c>
      <c r="AJ491" s="181">
        <f t="shared" si="131"/>
        <v>0</v>
      </c>
      <c r="AK491" s="180">
        <f t="shared" ref="AK491:AK497" si="136">SUM(Q491-AI491)</f>
        <v>250000</v>
      </c>
      <c r="AL491" s="181">
        <f t="shared" si="133"/>
        <v>100</v>
      </c>
      <c r="AM491" s="243"/>
    </row>
    <row r="492" spans="1:39" ht="29.25" customHeight="1" x14ac:dyDescent="0.25">
      <c r="A492" s="243"/>
      <c r="B492" s="244"/>
      <c r="C492" s="244"/>
      <c r="D492" s="244"/>
      <c r="E492" s="244"/>
      <c r="F492" s="244"/>
      <c r="G492" s="244"/>
      <c r="H492" s="244"/>
      <c r="I492" s="298"/>
      <c r="J492" s="244" t="s">
        <v>315</v>
      </c>
      <c r="K492" s="245"/>
      <c r="L492" s="257"/>
      <c r="M492" s="591" t="s">
        <v>271</v>
      </c>
      <c r="N492" s="592"/>
      <c r="O492" s="179"/>
      <c r="P492" s="180"/>
      <c r="Q492" s="180">
        <v>250000</v>
      </c>
      <c r="R492" s="181">
        <f t="shared" si="135"/>
        <v>1.2355518275936679</v>
      </c>
      <c r="S492" s="181">
        <v>100</v>
      </c>
      <c r="T492" s="180">
        <f t="shared" si="114"/>
        <v>0</v>
      </c>
      <c r="U492" s="180">
        <f t="shared" si="119"/>
        <v>0</v>
      </c>
      <c r="V492" s="182">
        <f t="shared" si="92"/>
        <v>100</v>
      </c>
      <c r="W492" s="180"/>
      <c r="X492" s="180"/>
      <c r="Y492" s="180"/>
      <c r="Z492" s="180"/>
      <c r="AA492" s="180"/>
      <c r="AB492" s="180"/>
      <c r="AC492" s="180"/>
      <c r="AD492" s="180"/>
      <c r="AE492" s="180"/>
      <c r="AF492" s="180"/>
      <c r="AG492" s="180"/>
      <c r="AH492" s="180"/>
      <c r="AI492" s="180">
        <v>0</v>
      </c>
      <c r="AJ492" s="181">
        <f t="shared" si="131"/>
        <v>0</v>
      </c>
      <c r="AK492" s="180">
        <f t="shared" si="136"/>
        <v>250000</v>
      </c>
      <c r="AL492" s="181">
        <f t="shared" si="133"/>
        <v>100</v>
      </c>
      <c r="AM492" s="243"/>
    </row>
    <row r="493" spans="1:39" ht="29.25" customHeight="1" x14ac:dyDescent="0.25">
      <c r="A493" s="243"/>
      <c r="B493" s="244"/>
      <c r="C493" s="244"/>
      <c r="D493" s="244"/>
      <c r="E493" s="244"/>
      <c r="F493" s="244"/>
      <c r="G493" s="244"/>
      <c r="H493" s="244"/>
      <c r="I493" s="298"/>
      <c r="J493" s="244" t="s">
        <v>342</v>
      </c>
      <c r="K493" s="245"/>
      <c r="L493" s="257"/>
      <c r="M493" s="591" t="s">
        <v>612</v>
      </c>
      <c r="N493" s="592"/>
      <c r="O493" s="179"/>
      <c r="P493" s="180"/>
      <c r="Q493" s="180">
        <v>250000</v>
      </c>
      <c r="R493" s="181">
        <f t="shared" si="135"/>
        <v>1.2355518275936679</v>
      </c>
      <c r="S493" s="181">
        <v>100</v>
      </c>
      <c r="T493" s="180">
        <f t="shared" si="114"/>
        <v>0</v>
      </c>
      <c r="U493" s="180">
        <f t="shared" si="119"/>
        <v>0</v>
      </c>
      <c r="V493" s="182">
        <f t="shared" si="92"/>
        <v>100</v>
      </c>
      <c r="W493" s="180"/>
      <c r="X493" s="180"/>
      <c r="Y493" s="180"/>
      <c r="Z493" s="180"/>
      <c r="AA493" s="180"/>
      <c r="AB493" s="180"/>
      <c r="AC493" s="180"/>
      <c r="AD493" s="180"/>
      <c r="AE493" s="180"/>
      <c r="AF493" s="180"/>
      <c r="AG493" s="180"/>
      <c r="AH493" s="180"/>
      <c r="AI493" s="180">
        <v>0</v>
      </c>
      <c r="AJ493" s="181">
        <f t="shared" si="131"/>
        <v>0</v>
      </c>
      <c r="AK493" s="180">
        <f t="shared" si="136"/>
        <v>250000</v>
      </c>
      <c r="AL493" s="181">
        <f t="shared" si="133"/>
        <v>100</v>
      </c>
      <c r="AM493" s="243"/>
    </row>
    <row r="494" spans="1:39" ht="29.25" customHeight="1" x14ac:dyDescent="0.25">
      <c r="A494" s="243"/>
      <c r="B494" s="244"/>
      <c r="C494" s="244"/>
      <c r="D494" s="244"/>
      <c r="E494" s="244"/>
      <c r="F494" s="244"/>
      <c r="G494" s="244"/>
      <c r="H494" s="244"/>
      <c r="I494" s="298"/>
      <c r="J494" s="244" t="s">
        <v>318</v>
      </c>
      <c r="K494" s="245"/>
      <c r="L494" s="257"/>
      <c r="M494" s="591" t="s">
        <v>319</v>
      </c>
      <c r="N494" s="592"/>
      <c r="O494" s="179"/>
      <c r="P494" s="180"/>
      <c r="Q494" s="180">
        <v>10500000</v>
      </c>
      <c r="R494" s="181">
        <f t="shared" si="135"/>
        <v>51.893176758934054</v>
      </c>
      <c r="S494" s="181">
        <v>100</v>
      </c>
      <c r="T494" s="180">
        <f t="shared" si="114"/>
        <v>0</v>
      </c>
      <c r="U494" s="180">
        <f t="shared" si="119"/>
        <v>0</v>
      </c>
      <c r="V494" s="182">
        <f t="shared" si="92"/>
        <v>100</v>
      </c>
      <c r="W494" s="180"/>
      <c r="X494" s="180"/>
      <c r="Y494" s="180"/>
      <c r="Z494" s="180"/>
      <c r="AA494" s="180"/>
      <c r="AB494" s="180"/>
      <c r="AC494" s="180"/>
      <c r="AD494" s="180"/>
      <c r="AE494" s="180"/>
      <c r="AF494" s="180"/>
      <c r="AG494" s="180"/>
      <c r="AH494" s="180"/>
      <c r="AI494" s="180">
        <v>0</v>
      </c>
      <c r="AJ494" s="181">
        <f t="shared" si="131"/>
        <v>0</v>
      </c>
      <c r="AK494" s="180">
        <f t="shared" si="136"/>
        <v>10500000</v>
      </c>
      <c r="AL494" s="181">
        <f t="shared" si="133"/>
        <v>100</v>
      </c>
      <c r="AM494" s="243"/>
    </row>
    <row r="495" spans="1:39" ht="29.25" customHeight="1" x14ac:dyDescent="0.25">
      <c r="A495" s="243"/>
      <c r="B495" s="244"/>
      <c r="C495" s="244"/>
      <c r="D495" s="244"/>
      <c r="E495" s="244"/>
      <c r="F495" s="244"/>
      <c r="G495" s="244"/>
      <c r="H495" s="244"/>
      <c r="I495" s="298"/>
      <c r="J495" s="244" t="s">
        <v>284</v>
      </c>
      <c r="K495" s="245"/>
      <c r="L495" s="257"/>
      <c r="M495" s="591" t="s">
        <v>285</v>
      </c>
      <c r="N495" s="592"/>
      <c r="O495" s="179"/>
      <c r="P495" s="180"/>
      <c r="Q495" s="180">
        <v>2890000</v>
      </c>
      <c r="R495" s="181">
        <f t="shared" si="135"/>
        <v>14.2829791269828</v>
      </c>
      <c r="S495" s="181">
        <v>100</v>
      </c>
      <c r="T495" s="180">
        <f t="shared" si="114"/>
        <v>0</v>
      </c>
      <c r="U495" s="180">
        <f t="shared" si="119"/>
        <v>0</v>
      </c>
      <c r="V495" s="182">
        <f t="shared" si="92"/>
        <v>100</v>
      </c>
      <c r="W495" s="180"/>
      <c r="X495" s="180"/>
      <c r="Y495" s="180"/>
      <c r="Z495" s="180"/>
      <c r="AA495" s="180"/>
      <c r="AB495" s="180"/>
      <c r="AC495" s="180"/>
      <c r="AD495" s="180"/>
      <c r="AE495" s="180"/>
      <c r="AF495" s="180"/>
      <c r="AG495" s="180"/>
      <c r="AH495" s="180"/>
      <c r="AI495" s="180">
        <v>0</v>
      </c>
      <c r="AJ495" s="181">
        <f t="shared" si="131"/>
        <v>0</v>
      </c>
      <c r="AK495" s="180">
        <f t="shared" si="136"/>
        <v>2890000</v>
      </c>
      <c r="AL495" s="181">
        <f t="shared" si="133"/>
        <v>100</v>
      </c>
      <c r="AM495" s="243"/>
    </row>
    <row r="496" spans="1:39" ht="29.25" customHeight="1" x14ac:dyDescent="0.25">
      <c r="A496" s="243"/>
      <c r="B496" s="244"/>
      <c r="C496" s="244"/>
      <c r="D496" s="244"/>
      <c r="E496" s="244"/>
      <c r="F496" s="244"/>
      <c r="G496" s="244"/>
      <c r="H496" s="244"/>
      <c r="I496" s="298"/>
      <c r="J496" s="244" t="s">
        <v>282</v>
      </c>
      <c r="K496" s="245"/>
      <c r="L496" s="257"/>
      <c r="M496" s="591" t="s">
        <v>283</v>
      </c>
      <c r="N496" s="592"/>
      <c r="O496" s="179"/>
      <c r="P496" s="180"/>
      <c r="Q496" s="180">
        <v>2943874</v>
      </c>
      <c r="R496" s="181">
        <f t="shared" si="135"/>
        <v>14.549235603621927</v>
      </c>
      <c r="S496" s="181">
        <v>100</v>
      </c>
      <c r="T496" s="180">
        <f t="shared" si="114"/>
        <v>0</v>
      </c>
      <c r="U496" s="180">
        <f t="shared" si="119"/>
        <v>0</v>
      </c>
      <c r="V496" s="182">
        <f t="shared" si="92"/>
        <v>100</v>
      </c>
      <c r="W496" s="180"/>
      <c r="X496" s="180"/>
      <c r="Y496" s="180"/>
      <c r="Z496" s="180"/>
      <c r="AA496" s="180"/>
      <c r="AB496" s="180"/>
      <c r="AC496" s="180"/>
      <c r="AD496" s="180"/>
      <c r="AE496" s="180"/>
      <c r="AF496" s="180"/>
      <c r="AG496" s="180"/>
      <c r="AH496" s="180"/>
      <c r="AI496" s="180">
        <v>0</v>
      </c>
      <c r="AJ496" s="181">
        <f t="shared" si="131"/>
        <v>0</v>
      </c>
      <c r="AK496" s="180">
        <f t="shared" si="136"/>
        <v>2943874</v>
      </c>
      <c r="AL496" s="181">
        <f t="shared" si="133"/>
        <v>100</v>
      </c>
      <c r="AM496" s="243"/>
    </row>
    <row r="497" spans="1:39" ht="29.25" customHeight="1" x14ac:dyDescent="0.25">
      <c r="A497" s="243"/>
      <c r="B497" s="244"/>
      <c r="C497" s="244"/>
      <c r="D497" s="244"/>
      <c r="E497" s="244"/>
      <c r="F497" s="244"/>
      <c r="G497" s="244"/>
      <c r="H497" s="244"/>
      <c r="I497" s="298"/>
      <c r="J497" s="244" t="s">
        <v>320</v>
      </c>
      <c r="K497" s="245"/>
      <c r="L497" s="257"/>
      <c r="M497" s="591" t="s">
        <v>321</v>
      </c>
      <c r="N497" s="592"/>
      <c r="O497" s="179"/>
      <c r="P497" s="180"/>
      <c r="Q497" s="180">
        <v>2500000</v>
      </c>
      <c r="R497" s="181">
        <f t="shared" si="135"/>
        <v>12.35551827593668</v>
      </c>
      <c r="S497" s="181">
        <v>100</v>
      </c>
      <c r="T497" s="180">
        <f t="shared" si="114"/>
        <v>0</v>
      </c>
      <c r="U497" s="180">
        <f t="shared" si="119"/>
        <v>0</v>
      </c>
      <c r="V497" s="182">
        <f t="shared" si="92"/>
        <v>100</v>
      </c>
      <c r="W497" s="180"/>
      <c r="X497" s="180"/>
      <c r="Y497" s="180"/>
      <c r="Z497" s="180"/>
      <c r="AA497" s="180"/>
      <c r="AB497" s="180"/>
      <c r="AC497" s="180"/>
      <c r="AD497" s="180"/>
      <c r="AE497" s="180"/>
      <c r="AF497" s="180"/>
      <c r="AG497" s="180"/>
      <c r="AH497" s="180"/>
      <c r="AI497" s="180">
        <v>0</v>
      </c>
      <c r="AJ497" s="181">
        <f t="shared" si="131"/>
        <v>0</v>
      </c>
      <c r="AK497" s="180">
        <f t="shared" si="136"/>
        <v>2500000</v>
      </c>
      <c r="AL497" s="181">
        <f t="shared" si="133"/>
        <v>100</v>
      </c>
      <c r="AM497" s="243"/>
    </row>
    <row r="498" spans="1:39" s="297" customFormat="1" ht="29.25" customHeight="1" x14ac:dyDescent="0.25">
      <c r="A498" s="227">
        <f>A489+1</f>
        <v>58</v>
      </c>
      <c r="B498" s="615" t="s">
        <v>158</v>
      </c>
      <c r="C498" s="615"/>
      <c r="D498" s="615"/>
      <c r="E498" s="615"/>
      <c r="F498" s="615"/>
      <c r="G498" s="615"/>
      <c r="H498" s="615"/>
      <c r="I498" s="614"/>
      <c r="J498" s="304" t="s">
        <v>516</v>
      </c>
      <c r="K498" s="230"/>
      <c r="L498" s="294"/>
      <c r="M498" s="610" t="s">
        <v>162</v>
      </c>
      <c r="N498" s="610"/>
      <c r="O498" s="309">
        <v>355300000</v>
      </c>
      <c r="P498" s="231">
        <v>0</v>
      </c>
      <c r="Q498" s="231">
        <f>SUM(Q499:Q504)</f>
        <v>381500000</v>
      </c>
      <c r="R498" s="233">
        <f>Q498/Q$243*100</f>
        <v>3.4339157917446403</v>
      </c>
      <c r="S498" s="233">
        <v>100</v>
      </c>
      <c r="T498" s="231">
        <f t="shared" si="114"/>
        <v>0</v>
      </c>
      <c r="U498" s="231">
        <f t="shared" si="119"/>
        <v>0</v>
      </c>
      <c r="V498" s="296">
        <f t="shared" si="92"/>
        <v>100</v>
      </c>
      <c r="W498" s="231"/>
      <c r="X498" s="231"/>
      <c r="Y498" s="231"/>
      <c r="Z498" s="231"/>
      <c r="AA498" s="231"/>
      <c r="AB498" s="231"/>
      <c r="AC498" s="231"/>
      <c r="AD498" s="231"/>
      <c r="AE498" s="231"/>
      <c r="AF498" s="231"/>
      <c r="AG498" s="231" t="e">
        <f>[2]april!N83</f>
        <v>#REF!</v>
      </c>
      <c r="AH498" s="231">
        <f>'[3]DES SKPD'!$N83</f>
        <v>33663000</v>
      </c>
      <c r="AI498" s="231">
        <f>SUM(AI499:AI504)</f>
        <v>0</v>
      </c>
      <c r="AJ498" s="233">
        <f t="shared" si="131"/>
        <v>0</v>
      </c>
      <c r="AK498" s="234">
        <f>Q498-AI498</f>
        <v>381500000</v>
      </c>
      <c r="AL498" s="233">
        <f t="shared" si="133"/>
        <v>100</v>
      </c>
      <c r="AM498" s="227"/>
    </row>
    <row r="499" spans="1:39" ht="29.25" customHeight="1" x14ac:dyDescent="0.25">
      <c r="A499" s="243"/>
      <c r="B499" s="244"/>
      <c r="C499" s="244"/>
      <c r="D499" s="244"/>
      <c r="E499" s="244"/>
      <c r="F499" s="244"/>
      <c r="G499" s="244"/>
      <c r="H499" s="244"/>
      <c r="I499" s="298"/>
      <c r="J499" s="244" t="s">
        <v>332</v>
      </c>
      <c r="K499" s="245"/>
      <c r="L499" s="257"/>
      <c r="M499" s="591" t="s">
        <v>351</v>
      </c>
      <c r="N499" s="592"/>
      <c r="O499" s="179"/>
      <c r="P499" s="180"/>
      <c r="Q499" s="180">
        <v>500000</v>
      </c>
      <c r="R499" s="181">
        <f t="shared" ref="R499:R504" si="137">Q499/Q$498*100</f>
        <v>0.13106159895150721</v>
      </c>
      <c r="S499" s="181">
        <v>100</v>
      </c>
      <c r="T499" s="180">
        <f t="shared" si="114"/>
        <v>0</v>
      </c>
      <c r="U499" s="180">
        <f t="shared" si="119"/>
        <v>0</v>
      </c>
      <c r="V499" s="182">
        <f t="shared" si="92"/>
        <v>100</v>
      </c>
      <c r="W499" s="180"/>
      <c r="X499" s="180"/>
      <c r="Y499" s="180"/>
      <c r="Z499" s="180"/>
      <c r="AA499" s="180"/>
      <c r="AB499" s="180"/>
      <c r="AC499" s="180"/>
      <c r="AD499" s="180"/>
      <c r="AE499" s="180"/>
      <c r="AF499" s="180"/>
      <c r="AG499" s="180"/>
      <c r="AH499" s="180"/>
      <c r="AI499" s="180">
        <v>0</v>
      </c>
      <c r="AJ499" s="181">
        <f t="shared" si="131"/>
        <v>0</v>
      </c>
      <c r="AK499" s="180">
        <f t="shared" ref="AK499:AK504" si="138">SUM(Q499-AI499)</f>
        <v>500000</v>
      </c>
      <c r="AL499" s="181">
        <f t="shared" si="133"/>
        <v>100</v>
      </c>
      <c r="AM499" s="243"/>
    </row>
    <row r="500" spans="1:39" ht="29.25" customHeight="1" x14ac:dyDescent="0.25">
      <c r="A500" s="243"/>
      <c r="B500" s="244"/>
      <c r="C500" s="244"/>
      <c r="D500" s="244"/>
      <c r="E500" s="244"/>
      <c r="F500" s="244"/>
      <c r="G500" s="244"/>
      <c r="H500" s="244"/>
      <c r="I500" s="298"/>
      <c r="J500" s="244" t="s">
        <v>269</v>
      </c>
      <c r="K500" s="245"/>
      <c r="L500" s="257"/>
      <c r="M500" s="591" t="s">
        <v>270</v>
      </c>
      <c r="N500" s="592"/>
      <c r="O500" s="179"/>
      <c r="P500" s="180"/>
      <c r="Q500" s="180">
        <v>30000000</v>
      </c>
      <c r="R500" s="181">
        <f t="shared" si="137"/>
        <v>7.8636959370904327</v>
      </c>
      <c r="S500" s="181">
        <v>100</v>
      </c>
      <c r="T500" s="180">
        <f t="shared" si="114"/>
        <v>0</v>
      </c>
      <c r="U500" s="180">
        <f t="shared" si="119"/>
        <v>0</v>
      </c>
      <c r="V500" s="182">
        <f t="shared" si="92"/>
        <v>100</v>
      </c>
      <c r="W500" s="180"/>
      <c r="X500" s="180"/>
      <c r="Y500" s="180"/>
      <c r="Z500" s="180"/>
      <c r="AA500" s="180"/>
      <c r="AB500" s="180"/>
      <c r="AC500" s="180"/>
      <c r="AD500" s="180"/>
      <c r="AE500" s="180"/>
      <c r="AF500" s="180"/>
      <c r="AG500" s="180"/>
      <c r="AH500" s="180"/>
      <c r="AI500" s="180">
        <v>0</v>
      </c>
      <c r="AJ500" s="181">
        <f t="shared" si="131"/>
        <v>0</v>
      </c>
      <c r="AK500" s="180">
        <f t="shared" si="138"/>
        <v>30000000</v>
      </c>
      <c r="AL500" s="181">
        <f t="shared" si="133"/>
        <v>100</v>
      </c>
      <c r="AM500" s="243"/>
    </row>
    <row r="501" spans="1:39" ht="29.25" customHeight="1" x14ac:dyDescent="0.25">
      <c r="A501" s="243"/>
      <c r="B501" s="244"/>
      <c r="C501" s="244"/>
      <c r="D501" s="244"/>
      <c r="E501" s="244"/>
      <c r="F501" s="244"/>
      <c r="G501" s="244"/>
      <c r="H501" s="244"/>
      <c r="I501" s="298"/>
      <c r="J501" s="244" t="s">
        <v>315</v>
      </c>
      <c r="K501" s="245"/>
      <c r="L501" s="257"/>
      <c r="M501" s="591" t="s">
        <v>271</v>
      </c>
      <c r="N501" s="592"/>
      <c r="O501" s="179"/>
      <c r="P501" s="180"/>
      <c r="Q501" s="180">
        <v>2500000</v>
      </c>
      <c r="R501" s="181">
        <f t="shared" si="137"/>
        <v>0.65530799475753598</v>
      </c>
      <c r="S501" s="181">
        <v>100</v>
      </c>
      <c r="T501" s="180">
        <f t="shared" si="114"/>
        <v>0</v>
      </c>
      <c r="U501" s="180">
        <f t="shared" si="119"/>
        <v>0</v>
      </c>
      <c r="V501" s="182">
        <f t="shared" si="92"/>
        <v>100</v>
      </c>
      <c r="W501" s="180"/>
      <c r="X501" s="180"/>
      <c r="Y501" s="180"/>
      <c r="Z501" s="180"/>
      <c r="AA501" s="180"/>
      <c r="AB501" s="180"/>
      <c r="AC501" s="180"/>
      <c r="AD501" s="180"/>
      <c r="AE501" s="180"/>
      <c r="AF501" s="180"/>
      <c r="AG501" s="180"/>
      <c r="AH501" s="180"/>
      <c r="AI501" s="180">
        <v>0</v>
      </c>
      <c r="AJ501" s="181">
        <f t="shared" si="131"/>
        <v>0</v>
      </c>
      <c r="AK501" s="180">
        <f t="shared" si="138"/>
        <v>2500000</v>
      </c>
      <c r="AL501" s="181">
        <f t="shared" si="133"/>
        <v>100</v>
      </c>
      <c r="AM501" s="243"/>
    </row>
    <row r="502" spans="1:39" ht="29.25" customHeight="1" x14ac:dyDescent="0.25">
      <c r="A502" s="243"/>
      <c r="B502" s="244"/>
      <c r="C502" s="244"/>
      <c r="D502" s="244"/>
      <c r="E502" s="244"/>
      <c r="F502" s="244"/>
      <c r="G502" s="244"/>
      <c r="H502" s="244"/>
      <c r="I502" s="298"/>
      <c r="J502" s="244" t="s">
        <v>284</v>
      </c>
      <c r="K502" s="245"/>
      <c r="L502" s="257"/>
      <c r="M502" s="591" t="s">
        <v>285</v>
      </c>
      <c r="N502" s="592"/>
      <c r="O502" s="179"/>
      <c r="P502" s="180"/>
      <c r="Q502" s="180">
        <v>15400000</v>
      </c>
      <c r="R502" s="181">
        <f t="shared" si="137"/>
        <v>4.0366972477064227</v>
      </c>
      <c r="S502" s="181">
        <v>100</v>
      </c>
      <c r="T502" s="180">
        <f t="shared" si="114"/>
        <v>0</v>
      </c>
      <c r="U502" s="180">
        <f t="shared" si="119"/>
        <v>0</v>
      </c>
      <c r="V502" s="182">
        <f t="shared" si="92"/>
        <v>100</v>
      </c>
      <c r="W502" s="180"/>
      <c r="X502" s="180"/>
      <c r="Y502" s="180"/>
      <c r="Z502" s="180"/>
      <c r="AA502" s="180"/>
      <c r="AB502" s="180"/>
      <c r="AC502" s="180"/>
      <c r="AD502" s="180"/>
      <c r="AE502" s="180"/>
      <c r="AF502" s="180"/>
      <c r="AG502" s="180"/>
      <c r="AH502" s="180"/>
      <c r="AI502" s="180">
        <v>0</v>
      </c>
      <c r="AJ502" s="181">
        <f t="shared" si="131"/>
        <v>0</v>
      </c>
      <c r="AK502" s="180">
        <f t="shared" si="138"/>
        <v>15400000</v>
      </c>
      <c r="AL502" s="181">
        <f t="shared" si="133"/>
        <v>100</v>
      </c>
      <c r="AM502" s="243"/>
    </row>
    <row r="503" spans="1:39" ht="29.25" customHeight="1" x14ac:dyDescent="0.25">
      <c r="A503" s="243"/>
      <c r="B503" s="244"/>
      <c r="C503" s="244"/>
      <c r="D503" s="244"/>
      <c r="E503" s="244"/>
      <c r="F503" s="244"/>
      <c r="G503" s="244"/>
      <c r="H503" s="244"/>
      <c r="I503" s="298"/>
      <c r="J503" s="244" t="s">
        <v>282</v>
      </c>
      <c r="K503" s="245"/>
      <c r="L503" s="257"/>
      <c r="M503" s="591" t="s">
        <v>283</v>
      </c>
      <c r="N503" s="592"/>
      <c r="O503" s="179"/>
      <c r="P503" s="180"/>
      <c r="Q503" s="180">
        <v>18700000</v>
      </c>
      <c r="R503" s="181">
        <f t="shared" si="137"/>
        <v>4.9017038007863691</v>
      </c>
      <c r="S503" s="181">
        <v>100</v>
      </c>
      <c r="T503" s="180">
        <f t="shared" si="114"/>
        <v>0</v>
      </c>
      <c r="U503" s="180">
        <f t="shared" si="119"/>
        <v>0</v>
      </c>
      <c r="V503" s="182">
        <f t="shared" si="92"/>
        <v>100</v>
      </c>
      <c r="W503" s="180"/>
      <c r="X503" s="180"/>
      <c r="Y503" s="180"/>
      <c r="Z503" s="180"/>
      <c r="AA503" s="180"/>
      <c r="AB503" s="180"/>
      <c r="AC503" s="180"/>
      <c r="AD503" s="180"/>
      <c r="AE503" s="180"/>
      <c r="AF503" s="180"/>
      <c r="AG503" s="180"/>
      <c r="AH503" s="180"/>
      <c r="AI503" s="180">
        <v>0</v>
      </c>
      <c r="AJ503" s="181">
        <f t="shared" si="131"/>
        <v>0</v>
      </c>
      <c r="AK503" s="180">
        <f t="shared" si="138"/>
        <v>18700000</v>
      </c>
      <c r="AL503" s="181">
        <f t="shared" si="133"/>
        <v>100</v>
      </c>
      <c r="AM503" s="243"/>
    </row>
    <row r="504" spans="1:39" ht="29.25" customHeight="1" x14ac:dyDescent="0.25">
      <c r="A504" s="243"/>
      <c r="B504" s="244"/>
      <c r="C504" s="244"/>
      <c r="D504" s="244"/>
      <c r="E504" s="244"/>
      <c r="F504" s="244"/>
      <c r="G504" s="244"/>
      <c r="H504" s="244"/>
      <c r="I504" s="298"/>
      <c r="J504" s="244" t="s">
        <v>551</v>
      </c>
      <c r="K504" s="245"/>
      <c r="L504" s="257"/>
      <c r="M504" s="591" t="s">
        <v>550</v>
      </c>
      <c r="N504" s="592"/>
      <c r="O504" s="179"/>
      <c r="P504" s="180"/>
      <c r="Q504" s="180">
        <v>314400000</v>
      </c>
      <c r="R504" s="181">
        <f t="shared" si="137"/>
        <v>82.411533420707727</v>
      </c>
      <c r="S504" s="181">
        <v>100</v>
      </c>
      <c r="T504" s="180">
        <f t="shared" si="114"/>
        <v>0</v>
      </c>
      <c r="U504" s="180">
        <f t="shared" si="119"/>
        <v>0</v>
      </c>
      <c r="V504" s="182">
        <f t="shared" si="92"/>
        <v>100</v>
      </c>
      <c r="W504" s="180"/>
      <c r="X504" s="180"/>
      <c r="Y504" s="180"/>
      <c r="Z504" s="180"/>
      <c r="AA504" s="180"/>
      <c r="AB504" s="180"/>
      <c r="AC504" s="180"/>
      <c r="AD504" s="180"/>
      <c r="AE504" s="180"/>
      <c r="AF504" s="180"/>
      <c r="AG504" s="180"/>
      <c r="AH504" s="180"/>
      <c r="AI504" s="180">
        <v>0</v>
      </c>
      <c r="AJ504" s="181">
        <f t="shared" si="131"/>
        <v>0</v>
      </c>
      <c r="AK504" s="180">
        <f t="shared" si="138"/>
        <v>314400000</v>
      </c>
      <c r="AL504" s="181">
        <f t="shared" si="133"/>
        <v>100</v>
      </c>
      <c r="AM504" s="243"/>
    </row>
    <row r="505" spans="1:39" s="297" customFormat="1" ht="29.25" customHeight="1" x14ac:dyDescent="0.25">
      <c r="A505" s="227">
        <f>SUM(A498+1)</f>
        <v>59</v>
      </c>
      <c r="B505" s="228"/>
      <c r="C505" s="228"/>
      <c r="D505" s="228"/>
      <c r="E505" s="228"/>
      <c r="F505" s="228"/>
      <c r="G505" s="228"/>
      <c r="H505" s="228"/>
      <c r="I505" s="229"/>
      <c r="J505" s="304" t="s">
        <v>517</v>
      </c>
      <c r="K505" s="230"/>
      <c r="L505" s="294"/>
      <c r="M505" s="610" t="s">
        <v>369</v>
      </c>
      <c r="N505" s="612"/>
      <c r="O505" s="309"/>
      <c r="P505" s="231"/>
      <c r="Q505" s="231">
        <f>SUM(Q506:Q515)</f>
        <v>834946970</v>
      </c>
      <c r="R505" s="233">
        <f>Q505/Q$243*100</f>
        <v>7.515432727529066</v>
      </c>
      <c r="S505" s="233">
        <v>100</v>
      </c>
      <c r="T505" s="231">
        <f t="shared" si="114"/>
        <v>0</v>
      </c>
      <c r="U505" s="231">
        <f t="shared" si="119"/>
        <v>0</v>
      </c>
      <c r="V505" s="296">
        <f t="shared" si="92"/>
        <v>100</v>
      </c>
      <c r="W505" s="231"/>
      <c r="X505" s="231"/>
      <c r="Y505" s="231"/>
      <c r="Z505" s="231"/>
      <c r="AA505" s="231"/>
      <c r="AB505" s="231"/>
      <c r="AC505" s="231"/>
      <c r="AD505" s="231"/>
      <c r="AE505" s="231"/>
      <c r="AF505" s="231"/>
      <c r="AG505" s="231" t="e">
        <f>[2]april!N91</f>
        <v>#REF!</v>
      </c>
      <c r="AH505" s="231" t="e">
        <f>'[3]DES SKPD'!$N91</f>
        <v>#REF!</v>
      </c>
      <c r="AI505" s="231">
        <f>SUM(AI506:AI516)</f>
        <v>0</v>
      </c>
      <c r="AJ505" s="233">
        <f t="shared" si="131"/>
        <v>0</v>
      </c>
      <c r="AK505" s="234">
        <f>Q505-AI505</f>
        <v>834946970</v>
      </c>
      <c r="AL505" s="233">
        <f t="shared" si="133"/>
        <v>100</v>
      </c>
      <c r="AM505" s="227"/>
    </row>
    <row r="506" spans="1:39" s="297" customFormat="1" ht="29.25" customHeight="1" x14ac:dyDescent="0.25">
      <c r="A506" s="227"/>
      <c r="B506" s="228"/>
      <c r="C506" s="228"/>
      <c r="D506" s="228"/>
      <c r="E506" s="228"/>
      <c r="F506" s="228"/>
      <c r="G506" s="228"/>
      <c r="H506" s="228"/>
      <c r="I506" s="229"/>
      <c r="J506" s="228" t="s">
        <v>421</v>
      </c>
      <c r="K506" s="230"/>
      <c r="L506" s="294"/>
      <c r="M506" s="591" t="s">
        <v>324</v>
      </c>
      <c r="N506" s="592"/>
      <c r="O506" s="309"/>
      <c r="P506" s="231"/>
      <c r="Q506" s="180">
        <v>10814970</v>
      </c>
      <c r="R506" s="181">
        <f>Q506/Q$505*100</f>
        <v>1.2952882504621821</v>
      </c>
      <c r="S506" s="181">
        <v>100</v>
      </c>
      <c r="T506" s="180">
        <f t="shared" si="114"/>
        <v>0</v>
      </c>
      <c r="U506" s="180">
        <f t="shared" si="119"/>
        <v>0</v>
      </c>
      <c r="V506" s="182">
        <f t="shared" si="92"/>
        <v>100</v>
      </c>
      <c r="W506" s="180"/>
      <c r="X506" s="180"/>
      <c r="Y506" s="180"/>
      <c r="Z506" s="180"/>
      <c r="AA506" s="180"/>
      <c r="AB506" s="180"/>
      <c r="AC506" s="180"/>
      <c r="AD506" s="180"/>
      <c r="AE506" s="180"/>
      <c r="AF506" s="180"/>
      <c r="AG506" s="180"/>
      <c r="AH506" s="180"/>
      <c r="AI506" s="180">
        <v>0</v>
      </c>
      <c r="AJ506" s="181">
        <f t="shared" si="131"/>
        <v>0</v>
      </c>
      <c r="AK506" s="180">
        <f>SUM(Q506-AI506)</f>
        <v>10814970</v>
      </c>
      <c r="AL506" s="233"/>
      <c r="AM506" s="227"/>
    </row>
    <row r="507" spans="1:39" ht="29.25" customHeight="1" x14ac:dyDescent="0.25">
      <c r="A507" s="243"/>
      <c r="B507" s="244"/>
      <c r="C507" s="244"/>
      <c r="D507" s="244"/>
      <c r="E507" s="244"/>
      <c r="F507" s="244"/>
      <c r="G507" s="244"/>
      <c r="H507" s="244"/>
      <c r="I507" s="298"/>
      <c r="J507" s="244" t="s">
        <v>315</v>
      </c>
      <c r="K507" s="245"/>
      <c r="L507" s="257"/>
      <c r="M507" s="591" t="s">
        <v>271</v>
      </c>
      <c r="N507" s="592"/>
      <c r="O507" s="179"/>
      <c r="P507" s="180"/>
      <c r="Q507" s="180">
        <v>12500000</v>
      </c>
      <c r="R507" s="181">
        <f>Q507/Q$505*100</f>
        <v>1.4971010673887468</v>
      </c>
      <c r="S507" s="181">
        <v>100</v>
      </c>
      <c r="T507" s="180">
        <f t="shared" si="114"/>
        <v>0</v>
      </c>
      <c r="U507" s="180">
        <f t="shared" si="119"/>
        <v>0</v>
      </c>
      <c r="V507" s="182">
        <f t="shared" si="92"/>
        <v>100</v>
      </c>
      <c r="W507" s="180"/>
      <c r="X507" s="180"/>
      <c r="Y507" s="180"/>
      <c r="Z507" s="180"/>
      <c r="AA507" s="180"/>
      <c r="AB507" s="180"/>
      <c r="AC507" s="180"/>
      <c r="AD507" s="180"/>
      <c r="AE507" s="180"/>
      <c r="AF507" s="180"/>
      <c r="AG507" s="180"/>
      <c r="AH507" s="180"/>
      <c r="AI507" s="180">
        <v>0</v>
      </c>
      <c r="AJ507" s="181">
        <f t="shared" si="131"/>
        <v>0</v>
      </c>
      <c r="AK507" s="180">
        <f t="shared" ref="AK507:AK516" si="139">SUM(Q507-AI507)</f>
        <v>12500000</v>
      </c>
      <c r="AL507" s="181">
        <f t="shared" ref="AL507:AL544" si="140">AK507/Q507*100</f>
        <v>100</v>
      </c>
      <c r="AM507" s="243"/>
    </row>
    <row r="508" spans="1:39" ht="29.25" customHeight="1" x14ac:dyDescent="0.25">
      <c r="A508" s="243"/>
      <c r="B508" s="244"/>
      <c r="C508" s="244"/>
      <c r="D508" s="244"/>
      <c r="E508" s="244"/>
      <c r="F508" s="244"/>
      <c r="G508" s="244"/>
      <c r="H508" s="244"/>
      <c r="I508" s="298"/>
      <c r="J508" s="244" t="s">
        <v>328</v>
      </c>
      <c r="K508" s="245"/>
      <c r="L508" s="257"/>
      <c r="M508" s="591" t="s">
        <v>329</v>
      </c>
      <c r="N508" s="592"/>
      <c r="O508" s="179"/>
      <c r="P508" s="180"/>
      <c r="Q508" s="180">
        <v>5000000</v>
      </c>
      <c r="R508" s="181">
        <f>Q508/Q$505*100</f>
        <v>0.59884042695549877</v>
      </c>
      <c r="S508" s="181">
        <v>100</v>
      </c>
      <c r="T508" s="180">
        <f t="shared" si="114"/>
        <v>0</v>
      </c>
      <c r="U508" s="180">
        <f t="shared" si="119"/>
        <v>0</v>
      </c>
      <c r="V508" s="182">
        <f t="shared" si="92"/>
        <v>100</v>
      </c>
      <c r="W508" s="180"/>
      <c r="X508" s="180"/>
      <c r="Y508" s="180"/>
      <c r="Z508" s="180"/>
      <c r="AA508" s="180"/>
      <c r="AB508" s="180"/>
      <c r="AC508" s="180"/>
      <c r="AD508" s="180"/>
      <c r="AE508" s="180"/>
      <c r="AF508" s="180"/>
      <c r="AG508" s="180"/>
      <c r="AH508" s="180"/>
      <c r="AI508" s="180">
        <v>0</v>
      </c>
      <c r="AJ508" s="181">
        <f t="shared" si="131"/>
        <v>0</v>
      </c>
      <c r="AK508" s="180">
        <f t="shared" si="139"/>
        <v>5000000</v>
      </c>
      <c r="AL508" s="181">
        <f t="shared" si="140"/>
        <v>100</v>
      </c>
      <c r="AM508" s="243"/>
    </row>
    <row r="509" spans="1:39" ht="29.25" customHeight="1" x14ac:dyDescent="0.25">
      <c r="A509" s="243"/>
      <c r="B509" s="244"/>
      <c r="C509" s="244"/>
      <c r="D509" s="244"/>
      <c r="E509" s="244"/>
      <c r="F509" s="244"/>
      <c r="G509" s="244"/>
      <c r="H509" s="244"/>
      <c r="I509" s="298"/>
      <c r="J509" s="244" t="s">
        <v>370</v>
      </c>
      <c r="K509" s="245"/>
      <c r="L509" s="257"/>
      <c r="M509" s="591" t="s">
        <v>371</v>
      </c>
      <c r="N509" s="592"/>
      <c r="O509" s="179"/>
      <c r="P509" s="180"/>
      <c r="Q509" s="180">
        <v>47450000</v>
      </c>
      <c r="R509" s="181">
        <f t="shared" ref="R509:R516" si="141">Q509/Q$505*100</f>
        <v>5.6829956518076834</v>
      </c>
      <c r="S509" s="181">
        <v>100</v>
      </c>
      <c r="T509" s="180">
        <f t="shared" si="114"/>
        <v>0</v>
      </c>
      <c r="U509" s="180">
        <f t="shared" si="119"/>
        <v>0</v>
      </c>
      <c r="V509" s="182">
        <f t="shared" si="92"/>
        <v>100</v>
      </c>
      <c r="W509" s="180"/>
      <c r="X509" s="180"/>
      <c r="Y509" s="180"/>
      <c r="Z509" s="180"/>
      <c r="AA509" s="180"/>
      <c r="AB509" s="180"/>
      <c r="AC509" s="180"/>
      <c r="AD509" s="180"/>
      <c r="AE509" s="180"/>
      <c r="AF509" s="180"/>
      <c r="AG509" s="180"/>
      <c r="AH509" s="180"/>
      <c r="AI509" s="180">
        <v>0</v>
      </c>
      <c r="AJ509" s="181">
        <f t="shared" si="131"/>
        <v>0</v>
      </c>
      <c r="AK509" s="180">
        <f t="shared" si="139"/>
        <v>47450000</v>
      </c>
      <c r="AL509" s="181">
        <f t="shared" si="140"/>
        <v>100</v>
      </c>
      <c r="AM509" s="243"/>
    </row>
    <row r="510" spans="1:39" ht="29.25" customHeight="1" x14ac:dyDescent="0.25">
      <c r="A510" s="243"/>
      <c r="B510" s="244"/>
      <c r="C510" s="244"/>
      <c r="D510" s="244"/>
      <c r="E510" s="244"/>
      <c r="F510" s="244"/>
      <c r="G510" s="244"/>
      <c r="H510" s="244"/>
      <c r="I510" s="298"/>
      <c r="J510" s="244" t="s">
        <v>280</v>
      </c>
      <c r="K510" s="245"/>
      <c r="L510" s="257"/>
      <c r="M510" s="591" t="s">
        <v>422</v>
      </c>
      <c r="N510" s="592"/>
      <c r="O510" s="179"/>
      <c r="P510" s="180"/>
      <c r="Q510" s="180">
        <v>2000000</v>
      </c>
      <c r="R510" s="181">
        <f t="shared" si="141"/>
        <v>0.23953617078219949</v>
      </c>
      <c r="S510" s="181">
        <v>100</v>
      </c>
      <c r="T510" s="180">
        <f t="shared" si="114"/>
        <v>0</v>
      </c>
      <c r="U510" s="180">
        <f t="shared" si="119"/>
        <v>0</v>
      </c>
      <c r="V510" s="182">
        <f t="shared" si="92"/>
        <v>100</v>
      </c>
      <c r="W510" s="180"/>
      <c r="X510" s="180"/>
      <c r="Y510" s="180"/>
      <c r="Z510" s="180"/>
      <c r="AA510" s="180"/>
      <c r="AB510" s="180"/>
      <c r="AC510" s="180"/>
      <c r="AD510" s="180"/>
      <c r="AE510" s="180"/>
      <c r="AF510" s="180"/>
      <c r="AG510" s="180"/>
      <c r="AH510" s="180"/>
      <c r="AI510" s="180">
        <v>0</v>
      </c>
      <c r="AJ510" s="181">
        <f t="shared" si="131"/>
        <v>0</v>
      </c>
      <c r="AK510" s="180">
        <f t="shared" si="139"/>
        <v>2000000</v>
      </c>
      <c r="AL510" s="181">
        <f t="shared" si="140"/>
        <v>100</v>
      </c>
      <c r="AM510" s="243"/>
    </row>
    <row r="511" spans="1:39" ht="29.25" customHeight="1" x14ac:dyDescent="0.25">
      <c r="A511" s="243"/>
      <c r="B511" s="244"/>
      <c r="C511" s="244"/>
      <c r="D511" s="244"/>
      <c r="E511" s="244"/>
      <c r="F511" s="244"/>
      <c r="G511" s="244"/>
      <c r="H511" s="244"/>
      <c r="I511" s="298"/>
      <c r="J511" s="244" t="s">
        <v>339</v>
      </c>
      <c r="K511" s="245"/>
      <c r="L511" s="257"/>
      <c r="M511" s="591" t="s">
        <v>340</v>
      </c>
      <c r="N511" s="592"/>
      <c r="O511" s="179"/>
      <c r="P511" s="180"/>
      <c r="Q511" s="180">
        <v>71500000</v>
      </c>
      <c r="R511" s="181">
        <f t="shared" si="141"/>
        <v>8.5634181054636329</v>
      </c>
      <c r="S511" s="181">
        <v>100</v>
      </c>
      <c r="T511" s="180">
        <f t="shared" si="114"/>
        <v>0</v>
      </c>
      <c r="U511" s="180">
        <f t="shared" si="119"/>
        <v>0</v>
      </c>
      <c r="V511" s="182">
        <f t="shared" si="92"/>
        <v>100</v>
      </c>
      <c r="W511" s="180"/>
      <c r="X511" s="180"/>
      <c r="Y511" s="180"/>
      <c r="Z511" s="180"/>
      <c r="AA511" s="180"/>
      <c r="AB511" s="180"/>
      <c r="AC511" s="180"/>
      <c r="AD511" s="180"/>
      <c r="AE511" s="180"/>
      <c r="AF511" s="180"/>
      <c r="AG511" s="180"/>
      <c r="AH511" s="180"/>
      <c r="AI511" s="180">
        <v>0</v>
      </c>
      <c r="AJ511" s="181">
        <f t="shared" si="131"/>
        <v>0</v>
      </c>
      <c r="AK511" s="180">
        <f t="shared" si="139"/>
        <v>71500000</v>
      </c>
      <c r="AL511" s="181">
        <f t="shared" si="140"/>
        <v>100</v>
      </c>
      <c r="AM511" s="243"/>
    </row>
    <row r="512" spans="1:39" ht="29.25" customHeight="1" x14ac:dyDescent="0.25">
      <c r="A512" s="243"/>
      <c r="B512" s="244"/>
      <c r="C512" s="244"/>
      <c r="D512" s="244"/>
      <c r="E512" s="244"/>
      <c r="F512" s="244"/>
      <c r="G512" s="244"/>
      <c r="H512" s="244"/>
      <c r="I512" s="298"/>
      <c r="J512" s="244" t="s">
        <v>284</v>
      </c>
      <c r="K512" s="245"/>
      <c r="L512" s="257"/>
      <c r="M512" s="591" t="s">
        <v>285</v>
      </c>
      <c r="N512" s="592"/>
      <c r="O512" s="179"/>
      <c r="P512" s="180"/>
      <c r="Q512" s="180">
        <v>8900000</v>
      </c>
      <c r="R512" s="181">
        <f t="shared" si="141"/>
        <v>1.0659359599807878</v>
      </c>
      <c r="S512" s="181">
        <v>100</v>
      </c>
      <c r="T512" s="180">
        <f t="shared" si="114"/>
        <v>0</v>
      </c>
      <c r="U512" s="180">
        <f t="shared" si="119"/>
        <v>0</v>
      </c>
      <c r="V512" s="182">
        <f t="shared" si="92"/>
        <v>100</v>
      </c>
      <c r="W512" s="180"/>
      <c r="X512" s="180"/>
      <c r="Y512" s="180"/>
      <c r="Z512" s="180"/>
      <c r="AA512" s="180"/>
      <c r="AB512" s="180"/>
      <c r="AC512" s="180"/>
      <c r="AD512" s="180"/>
      <c r="AE512" s="180"/>
      <c r="AF512" s="180"/>
      <c r="AG512" s="180"/>
      <c r="AH512" s="180"/>
      <c r="AI512" s="180">
        <v>0</v>
      </c>
      <c r="AJ512" s="181">
        <f t="shared" si="131"/>
        <v>0</v>
      </c>
      <c r="AK512" s="180">
        <f t="shared" si="139"/>
        <v>8900000</v>
      </c>
      <c r="AL512" s="181">
        <f t="shared" si="140"/>
        <v>100</v>
      </c>
      <c r="AM512" s="243"/>
    </row>
    <row r="513" spans="1:39" ht="29.25" customHeight="1" x14ac:dyDescent="0.25">
      <c r="A513" s="243"/>
      <c r="B513" s="244"/>
      <c r="C513" s="244"/>
      <c r="D513" s="244"/>
      <c r="E513" s="244"/>
      <c r="F513" s="244"/>
      <c r="G513" s="244"/>
      <c r="H513" s="244"/>
      <c r="I513" s="298"/>
      <c r="J513" s="244"/>
      <c r="K513" s="245"/>
      <c r="L513" s="257"/>
      <c r="M513" s="591" t="s">
        <v>503</v>
      </c>
      <c r="N513" s="592"/>
      <c r="O513" s="179"/>
      <c r="P513" s="180"/>
      <c r="Q513" s="180">
        <v>48070000</v>
      </c>
      <c r="R513" s="181">
        <f t="shared" si="141"/>
        <v>5.7572518647501649</v>
      </c>
      <c r="S513" s="181">
        <v>100</v>
      </c>
      <c r="T513" s="180">
        <f t="shared" si="114"/>
        <v>0</v>
      </c>
      <c r="U513" s="180">
        <f t="shared" si="119"/>
        <v>0</v>
      </c>
      <c r="V513" s="182">
        <f t="shared" si="92"/>
        <v>100</v>
      </c>
      <c r="W513" s="180"/>
      <c r="X513" s="180"/>
      <c r="Y513" s="180"/>
      <c r="Z513" s="180"/>
      <c r="AA513" s="180"/>
      <c r="AB513" s="180"/>
      <c r="AC513" s="180"/>
      <c r="AD513" s="180"/>
      <c r="AE513" s="180"/>
      <c r="AF513" s="180"/>
      <c r="AG513" s="180"/>
      <c r="AH513" s="180"/>
      <c r="AI513" s="180">
        <v>0</v>
      </c>
      <c r="AJ513" s="181">
        <f t="shared" si="131"/>
        <v>0</v>
      </c>
      <c r="AK513" s="180">
        <f t="shared" si="139"/>
        <v>48070000</v>
      </c>
      <c r="AL513" s="181">
        <f t="shared" si="140"/>
        <v>100</v>
      </c>
      <c r="AM513" s="243"/>
    </row>
    <row r="514" spans="1:39" ht="29.25" customHeight="1" x14ac:dyDescent="0.25">
      <c r="A514" s="243"/>
      <c r="B514" s="244"/>
      <c r="C514" s="244"/>
      <c r="D514" s="244"/>
      <c r="E514" s="244"/>
      <c r="F514" s="244"/>
      <c r="G514" s="244"/>
      <c r="H514" s="244"/>
      <c r="I514" s="298"/>
      <c r="J514" s="244" t="s">
        <v>309</v>
      </c>
      <c r="K514" s="245"/>
      <c r="L514" s="257"/>
      <c r="M514" s="591" t="s">
        <v>310</v>
      </c>
      <c r="N514" s="592"/>
      <c r="O514" s="179"/>
      <c r="P514" s="180"/>
      <c r="Q514" s="180">
        <v>485712000</v>
      </c>
      <c r="R514" s="181">
        <f t="shared" si="141"/>
        <v>58.172796291481845</v>
      </c>
      <c r="S514" s="181">
        <v>100</v>
      </c>
      <c r="T514" s="180">
        <f t="shared" si="114"/>
        <v>0</v>
      </c>
      <c r="U514" s="180">
        <f t="shared" si="119"/>
        <v>0</v>
      </c>
      <c r="V514" s="182">
        <f t="shared" si="92"/>
        <v>100</v>
      </c>
      <c r="W514" s="180"/>
      <c r="X514" s="180"/>
      <c r="Y514" s="180"/>
      <c r="Z514" s="180"/>
      <c r="AA514" s="180"/>
      <c r="AB514" s="180"/>
      <c r="AC514" s="180"/>
      <c r="AD514" s="180"/>
      <c r="AE514" s="180"/>
      <c r="AF514" s="180"/>
      <c r="AG514" s="180"/>
      <c r="AH514" s="180"/>
      <c r="AI514" s="180">
        <v>0</v>
      </c>
      <c r="AJ514" s="181">
        <f t="shared" si="131"/>
        <v>0</v>
      </c>
      <c r="AK514" s="180">
        <f t="shared" si="139"/>
        <v>485712000</v>
      </c>
      <c r="AL514" s="181">
        <f t="shared" si="140"/>
        <v>100</v>
      </c>
      <c r="AM514" s="243"/>
    </row>
    <row r="515" spans="1:39" ht="29.25" customHeight="1" x14ac:dyDescent="0.25">
      <c r="A515" s="243"/>
      <c r="B515" s="244"/>
      <c r="C515" s="244"/>
      <c r="D515" s="244"/>
      <c r="E515" s="244"/>
      <c r="F515" s="244"/>
      <c r="G515" s="244"/>
      <c r="H515" s="244"/>
      <c r="I515" s="298"/>
      <c r="J515" s="244" t="s">
        <v>372</v>
      </c>
      <c r="K515" s="245"/>
      <c r="L515" s="257"/>
      <c r="M515" s="591" t="s">
        <v>373</v>
      </c>
      <c r="N515" s="592"/>
      <c r="O515" s="179"/>
      <c r="P515" s="180"/>
      <c r="Q515" s="180">
        <v>143000000</v>
      </c>
      <c r="R515" s="181">
        <f t="shared" si="141"/>
        <v>17.126836210927266</v>
      </c>
      <c r="S515" s="181">
        <v>100</v>
      </c>
      <c r="T515" s="180">
        <f t="shared" si="114"/>
        <v>0</v>
      </c>
      <c r="U515" s="180">
        <f t="shared" si="119"/>
        <v>0</v>
      </c>
      <c r="V515" s="182">
        <f t="shared" si="92"/>
        <v>100</v>
      </c>
      <c r="W515" s="180"/>
      <c r="X515" s="180"/>
      <c r="Y515" s="180"/>
      <c r="Z515" s="180"/>
      <c r="AA515" s="180"/>
      <c r="AB515" s="180"/>
      <c r="AC515" s="180"/>
      <c r="AD515" s="180"/>
      <c r="AE515" s="180"/>
      <c r="AF515" s="180"/>
      <c r="AG515" s="180"/>
      <c r="AH515" s="180"/>
      <c r="AI515" s="180">
        <v>0</v>
      </c>
      <c r="AJ515" s="181">
        <f t="shared" si="131"/>
        <v>0</v>
      </c>
      <c r="AK515" s="180">
        <f t="shared" si="139"/>
        <v>143000000</v>
      </c>
      <c r="AL515" s="181">
        <f t="shared" si="140"/>
        <v>100</v>
      </c>
      <c r="AM515" s="243"/>
    </row>
    <row r="516" spans="1:39" ht="29.25" customHeight="1" x14ac:dyDescent="0.25">
      <c r="A516" s="243"/>
      <c r="B516" s="244"/>
      <c r="C516" s="244"/>
      <c r="D516" s="244"/>
      <c r="E516" s="244"/>
      <c r="F516" s="244"/>
      <c r="G516" s="244"/>
      <c r="H516" s="244"/>
      <c r="I516" s="298"/>
      <c r="J516" s="244" t="s">
        <v>551</v>
      </c>
      <c r="K516" s="245"/>
      <c r="L516" s="257"/>
      <c r="M516" s="591" t="s">
        <v>550</v>
      </c>
      <c r="N516" s="592"/>
      <c r="O516" s="179"/>
      <c r="P516" s="180"/>
      <c r="Q516" s="180">
        <v>175264000</v>
      </c>
      <c r="R516" s="181">
        <f t="shared" si="141"/>
        <v>20.991033717985708</v>
      </c>
      <c r="S516" s="181">
        <v>100</v>
      </c>
      <c r="T516" s="180">
        <f t="shared" si="114"/>
        <v>0</v>
      </c>
      <c r="U516" s="180">
        <f t="shared" si="119"/>
        <v>0</v>
      </c>
      <c r="V516" s="182">
        <f t="shared" si="92"/>
        <v>100</v>
      </c>
      <c r="W516" s="180"/>
      <c r="X516" s="180"/>
      <c r="Y516" s="180"/>
      <c r="Z516" s="180"/>
      <c r="AA516" s="180"/>
      <c r="AB516" s="180"/>
      <c r="AC516" s="180"/>
      <c r="AD516" s="180"/>
      <c r="AE516" s="180"/>
      <c r="AF516" s="180"/>
      <c r="AG516" s="180"/>
      <c r="AH516" s="180"/>
      <c r="AI516" s="180">
        <v>0</v>
      </c>
      <c r="AJ516" s="181">
        <f t="shared" si="131"/>
        <v>0</v>
      </c>
      <c r="AK516" s="180">
        <f t="shared" si="139"/>
        <v>175264000</v>
      </c>
      <c r="AL516" s="181">
        <f t="shared" si="140"/>
        <v>100</v>
      </c>
      <c r="AM516" s="243"/>
    </row>
    <row r="517" spans="1:39" s="297" customFormat="1" ht="28.5" customHeight="1" x14ac:dyDescent="0.25">
      <c r="A517" s="227">
        <f>A505+1</f>
        <v>60</v>
      </c>
      <c r="B517" s="615" t="s">
        <v>158</v>
      </c>
      <c r="C517" s="615"/>
      <c r="D517" s="615"/>
      <c r="E517" s="615"/>
      <c r="F517" s="615"/>
      <c r="G517" s="615"/>
      <c r="H517" s="615"/>
      <c r="I517" s="614"/>
      <c r="J517" s="304" t="s">
        <v>518</v>
      </c>
      <c r="K517" s="230"/>
      <c r="L517" s="294"/>
      <c r="M517" s="610" t="s">
        <v>163</v>
      </c>
      <c r="N517" s="610"/>
      <c r="O517" s="309">
        <v>355300000</v>
      </c>
      <c r="P517" s="231">
        <v>0</v>
      </c>
      <c r="Q517" s="231">
        <f>SUM(Q518:Q523)</f>
        <v>130200000</v>
      </c>
      <c r="R517" s="233">
        <f>Q517/Q$243*100</f>
        <v>1.1719419032376204</v>
      </c>
      <c r="S517" s="233">
        <v>100</v>
      </c>
      <c r="T517" s="231">
        <f t="shared" si="114"/>
        <v>0</v>
      </c>
      <c r="U517" s="231">
        <f t="shared" si="119"/>
        <v>0</v>
      </c>
      <c r="V517" s="296">
        <f t="shared" si="92"/>
        <v>100</v>
      </c>
      <c r="W517" s="231"/>
      <c r="X517" s="231"/>
      <c r="Y517" s="231"/>
      <c r="Z517" s="231"/>
      <c r="AA517" s="231"/>
      <c r="AB517" s="231"/>
      <c r="AC517" s="231"/>
      <c r="AD517" s="231"/>
      <c r="AE517" s="231"/>
      <c r="AF517" s="231"/>
      <c r="AG517" s="231" t="e">
        <f>[2]april!N84</f>
        <v>#REF!</v>
      </c>
      <c r="AH517" s="231">
        <f>'[3]DES SKPD'!$N84</f>
        <v>52275000</v>
      </c>
      <c r="AI517" s="231">
        <f>SUM(AI519:AI523)</f>
        <v>0</v>
      </c>
      <c r="AJ517" s="233">
        <f t="shared" si="131"/>
        <v>0</v>
      </c>
      <c r="AK517" s="234">
        <f t="shared" ref="AK517:AK524" si="142">Q517-AI517</f>
        <v>130200000</v>
      </c>
      <c r="AL517" s="233">
        <f t="shared" si="140"/>
        <v>100</v>
      </c>
      <c r="AM517" s="227"/>
    </row>
    <row r="518" spans="1:39" s="297" customFormat="1" ht="28.5" customHeight="1" x14ac:dyDescent="0.25">
      <c r="A518" s="227"/>
      <c r="B518" s="228"/>
      <c r="C518" s="228"/>
      <c r="D518" s="228"/>
      <c r="E518" s="228"/>
      <c r="F518" s="228"/>
      <c r="G518" s="228"/>
      <c r="H518" s="228"/>
      <c r="I518" s="229"/>
      <c r="J518" s="244" t="s">
        <v>323</v>
      </c>
      <c r="K518" s="230"/>
      <c r="L518" s="294"/>
      <c r="M518" s="591" t="s">
        <v>324</v>
      </c>
      <c r="N518" s="592"/>
      <c r="O518" s="309"/>
      <c r="P518" s="231"/>
      <c r="Q518" s="180">
        <v>6000000</v>
      </c>
      <c r="R518" s="181">
        <f t="shared" ref="R518:R523" si="143">Q518/Q$517*100</f>
        <v>4.6082949308755765</v>
      </c>
      <c r="S518" s="181">
        <v>100</v>
      </c>
      <c r="T518" s="180">
        <f t="shared" si="114"/>
        <v>0</v>
      </c>
      <c r="U518" s="180">
        <f t="shared" si="119"/>
        <v>0</v>
      </c>
      <c r="V518" s="182">
        <f t="shared" si="92"/>
        <v>100</v>
      </c>
      <c r="W518" s="180"/>
      <c r="X518" s="180"/>
      <c r="Y518" s="180"/>
      <c r="Z518" s="180"/>
      <c r="AA518" s="180"/>
      <c r="AB518" s="180"/>
      <c r="AC518" s="180"/>
      <c r="AD518" s="180"/>
      <c r="AE518" s="180"/>
      <c r="AF518" s="180"/>
      <c r="AG518" s="180"/>
      <c r="AH518" s="180"/>
      <c r="AI518" s="180">
        <v>0</v>
      </c>
      <c r="AJ518" s="181">
        <f t="shared" si="131"/>
        <v>0</v>
      </c>
      <c r="AK518" s="246">
        <f t="shared" si="142"/>
        <v>6000000</v>
      </c>
      <c r="AL518" s="181">
        <f t="shared" si="140"/>
        <v>100</v>
      </c>
      <c r="AM518" s="227"/>
    </row>
    <row r="519" spans="1:39" s="313" customFormat="1" ht="24.75" customHeight="1" x14ac:dyDescent="0.25">
      <c r="A519" s="243"/>
      <c r="B519" s="244"/>
      <c r="C519" s="244"/>
      <c r="D519" s="244"/>
      <c r="E519" s="244"/>
      <c r="F519" s="244"/>
      <c r="G519" s="244"/>
      <c r="H519" s="244"/>
      <c r="I519" s="298"/>
      <c r="J519" s="244" t="s">
        <v>315</v>
      </c>
      <c r="K519" s="245"/>
      <c r="L519" s="257"/>
      <c r="M519" s="591" t="s">
        <v>271</v>
      </c>
      <c r="N519" s="592"/>
      <c r="O519" s="179"/>
      <c r="P519" s="180"/>
      <c r="Q519" s="180">
        <v>4000000</v>
      </c>
      <c r="R519" s="181">
        <f t="shared" si="143"/>
        <v>3.0721966205837172</v>
      </c>
      <c r="S519" s="181">
        <v>100</v>
      </c>
      <c r="T519" s="180">
        <f t="shared" si="114"/>
        <v>0</v>
      </c>
      <c r="U519" s="180">
        <f t="shared" si="119"/>
        <v>0</v>
      </c>
      <c r="V519" s="182">
        <f t="shared" si="92"/>
        <v>100</v>
      </c>
      <c r="W519" s="180"/>
      <c r="X519" s="180"/>
      <c r="Y519" s="180"/>
      <c r="Z519" s="180"/>
      <c r="AA519" s="180"/>
      <c r="AB519" s="180"/>
      <c r="AC519" s="180"/>
      <c r="AD519" s="180"/>
      <c r="AE519" s="180"/>
      <c r="AF519" s="180"/>
      <c r="AG519" s="180"/>
      <c r="AH519" s="180"/>
      <c r="AI519" s="180">
        <v>0</v>
      </c>
      <c r="AJ519" s="181">
        <f t="shared" si="131"/>
        <v>0</v>
      </c>
      <c r="AK519" s="246">
        <f t="shared" si="142"/>
        <v>4000000</v>
      </c>
      <c r="AL519" s="181">
        <f t="shared" si="140"/>
        <v>100</v>
      </c>
      <c r="AM519" s="243"/>
    </row>
    <row r="520" spans="1:39" s="313" customFormat="1" ht="24.75" customHeight="1" x14ac:dyDescent="0.25">
      <c r="A520" s="243"/>
      <c r="B520" s="244"/>
      <c r="C520" s="244"/>
      <c r="D520" s="244"/>
      <c r="E520" s="244"/>
      <c r="F520" s="244"/>
      <c r="G520" s="244"/>
      <c r="H520" s="244"/>
      <c r="I520" s="298"/>
      <c r="J520" s="244" t="s">
        <v>280</v>
      </c>
      <c r="K520" s="245"/>
      <c r="L520" s="257"/>
      <c r="M520" s="591" t="s">
        <v>423</v>
      </c>
      <c r="N520" s="592"/>
      <c r="O520" s="179"/>
      <c r="P520" s="180"/>
      <c r="Q520" s="180">
        <v>1000000</v>
      </c>
      <c r="R520" s="181">
        <f t="shared" si="143"/>
        <v>0.76804915514592931</v>
      </c>
      <c r="S520" s="181">
        <v>100</v>
      </c>
      <c r="T520" s="180">
        <f t="shared" si="114"/>
        <v>0</v>
      </c>
      <c r="U520" s="180">
        <f t="shared" si="119"/>
        <v>0</v>
      </c>
      <c r="V520" s="182">
        <f t="shared" si="92"/>
        <v>100</v>
      </c>
      <c r="W520" s="180"/>
      <c r="X520" s="180"/>
      <c r="Y520" s="180"/>
      <c r="Z520" s="180"/>
      <c r="AA520" s="180"/>
      <c r="AB520" s="180"/>
      <c r="AC520" s="180"/>
      <c r="AD520" s="180"/>
      <c r="AE520" s="180"/>
      <c r="AF520" s="180"/>
      <c r="AG520" s="180"/>
      <c r="AH520" s="180"/>
      <c r="AI520" s="180">
        <v>0</v>
      </c>
      <c r="AJ520" s="181">
        <f t="shared" si="131"/>
        <v>0</v>
      </c>
      <c r="AK520" s="246">
        <f t="shared" si="142"/>
        <v>1000000</v>
      </c>
      <c r="AL520" s="181">
        <f t="shared" si="140"/>
        <v>100</v>
      </c>
      <c r="AM520" s="243"/>
    </row>
    <row r="521" spans="1:39" s="313" customFormat="1" ht="24.75" customHeight="1" x14ac:dyDescent="0.25">
      <c r="A521" s="243"/>
      <c r="B521" s="244"/>
      <c r="C521" s="244"/>
      <c r="D521" s="244"/>
      <c r="E521" s="244"/>
      <c r="F521" s="244"/>
      <c r="G521" s="244"/>
      <c r="H521" s="244"/>
      <c r="I521" s="298"/>
      <c r="J521" s="244" t="s">
        <v>284</v>
      </c>
      <c r="K521" s="245"/>
      <c r="L521" s="257"/>
      <c r="M521" s="591" t="s">
        <v>285</v>
      </c>
      <c r="N521" s="592"/>
      <c r="O521" s="179"/>
      <c r="P521" s="180"/>
      <c r="Q521" s="180">
        <v>5000000</v>
      </c>
      <c r="R521" s="181">
        <f t="shared" si="143"/>
        <v>3.8402457757296471</v>
      </c>
      <c r="S521" s="181">
        <v>100</v>
      </c>
      <c r="T521" s="180">
        <f t="shared" si="114"/>
        <v>0</v>
      </c>
      <c r="U521" s="180">
        <f t="shared" si="119"/>
        <v>0</v>
      </c>
      <c r="V521" s="182">
        <f t="shared" si="92"/>
        <v>100</v>
      </c>
      <c r="W521" s="180"/>
      <c r="X521" s="180"/>
      <c r="Y521" s="180"/>
      <c r="Z521" s="180"/>
      <c r="AA521" s="180"/>
      <c r="AB521" s="180"/>
      <c r="AC521" s="180"/>
      <c r="AD521" s="180"/>
      <c r="AE521" s="180"/>
      <c r="AF521" s="180"/>
      <c r="AG521" s="180"/>
      <c r="AH521" s="180"/>
      <c r="AI521" s="180">
        <v>0</v>
      </c>
      <c r="AJ521" s="181">
        <f t="shared" si="131"/>
        <v>0</v>
      </c>
      <c r="AK521" s="246">
        <f t="shared" si="142"/>
        <v>5000000</v>
      </c>
      <c r="AL521" s="181">
        <f t="shared" si="140"/>
        <v>100</v>
      </c>
      <c r="AM521" s="243"/>
    </row>
    <row r="522" spans="1:39" s="313" customFormat="1" ht="24.75" customHeight="1" x14ac:dyDescent="0.25">
      <c r="A522" s="243"/>
      <c r="B522" s="244"/>
      <c r="C522" s="244"/>
      <c r="D522" s="244"/>
      <c r="E522" s="244"/>
      <c r="F522" s="244"/>
      <c r="G522" s="244"/>
      <c r="H522" s="244"/>
      <c r="I522" s="298"/>
      <c r="J522" s="244"/>
      <c r="K522" s="245"/>
      <c r="L522" s="257"/>
      <c r="M522" s="591" t="s">
        <v>503</v>
      </c>
      <c r="N522" s="592"/>
      <c r="O522" s="179"/>
      <c r="P522" s="180"/>
      <c r="Q522" s="180">
        <v>10000000</v>
      </c>
      <c r="R522" s="181">
        <f t="shared" si="143"/>
        <v>7.6804915514592942</v>
      </c>
      <c r="S522" s="181">
        <v>100</v>
      </c>
      <c r="T522" s="180">
        <f t="shared" si="114"/>
        <v>0</v>
      </c>
      <c r="U522" s="180">
        <f t="shared" si="119"/>
        <v>0</v>
      </c>
      <c r="V522" s="182">
        <f t="shared" si="92"/>
        <v>100</v>
      </c>
      <c r="W522" s="180"/>
      <c r="X522" s="180"/>
      <c r="Y522" s="180"/>
      <c r="Z522" s="180"/>
      <c r="AA522" s="180"/>
      <c r="AB522" s="180"/>
      <c r="AC522" s="180"/>
      <c r="AD522" s="180"/>
      <c r="AE522" s="180"/>
      <c r="AF522" s="180"/>
      <c r="AG522" s="180"/>
      <c r="AH522" s="180"/>
      <c r="AI522" s="180">
        <v>0</v>
      </c>
      <c r="AJ522" s="181">
        <f t="shared" si="131"/>
        <v>0</v>
      </c>
      <c r="AK522" s="246">
        <f t="shared" si="142"/>
        <v>10000000</v>
      </c>
      <c r="AL522" s="181">
        <f t="shared" si="140"/>
        <v>100</v>
      </c>
      <c r="AM522" s="243"/>
    </row>
    <row r="523" spans="1:39" ht="24.75" customHeight="1" x14ac:dyDescent="0.25">
      <c r="A523" s="243"/>
      <c r="B523" s="244"/>
      <c r="C523" s="244"/>
      <c r="D523" s="244"/>
      <c r="E523" s="244"/>
      <c r="F523" s="244"/>
      <c r="G523" s="244"/>
      <c r="H523" s="244"/>
      <c r="I523" s="298"/>
      <c r="J523" s="244" t="s">
        <v>309</v>
      </c>
      <c r="K523" s="245"/>
      <c r="L523" s="257"/>
      <c r="M523" s="591" t="s">
        <v>310</v>
      </c>
      <c r="N523" s="592"/>
      <c r="O523" s="179"/>
      <c r="P523" s="180"/>
      <c r="Q523" s="180">
        <v>104200000</v>
      </c>
      <c r="R523" s="181">
        <f t="shared" si="143"/>
        <v>80.030721966205846</v>
      </c>
      <c r="S523" s="181">
        <v>100</v>
      </c>
      <c r="T523" s="180">
        <f t="shared" si="114"/>
        <v>0</v>
      </c>
      <c r="U523" s="180">
        <f t="shared" si="119"/>
        <v>0</v>
      </c>
      <c r="V523" s="182">
        <f t="shared" si="92"/>
        <v>100</v>
      </c>
      <c r="W523" s="180"/>
      <c r="X523" s="180"/>
      <c r="Y523" s="180"/>
      <c r="Z523" s="180"/>
      <c r="AA523" s="180"/>
      <c r="AB523" s="180"/>
      <c r="AC523" s="180"/>
      <c r="AD523" s="180"/>
      <c r="AE523" s="180"/>
      <c r="AF523" s="180"/>
      <c r="AG523" s="180"/>
      <c r="AH523" s="180"/>
      <c r="AI523" s="180">
        <v>0</v>
      </c>
      <c r="AJ523" s="181">
        <f t="shared" si="131"/>
        <v>0</v>
      </c>
      <c r="AK523" s="246">
        <f t="shared" si="142"/>
        <v>104200000</v>
      </c>
      <c r="AL523" s="181">
        <f t="shared" si="140"/>
        <v>100</v>
      </c>
      <c r="AM523" s="243"/>
    </row>
    <row r="524" spans="1:39" s="297" customFormat="1" ht="29.25" customHeight="1" x14ac:dyDescent="0.25">
      <c r="A524" s="227">
        <f>A517+1</f>
        <v>61</v>
      </c>
      <c r="B524" s="615" t="s">
        <v>158</v>
      </c>
      <c r="C524" s="615"/>
      <c r="D524" s="615"/>
      <c r="E524" s="615"/>
      <c r="F524" s="615"/>
      <c r="G524" s="615"/>
      <c r="H524" s="615"/>
      <c r="I524" s="614"/>
      <c r="J524" s="304" t="s">
        <v>519</v>
      </c>
      <c r="K524" s="230"/>
      <c r="L524" s="294"/>
      <c r="M524" s="610" t="s">
        <v>164</v>
      </c>
      <c r="N524" s="610"/>
      <c r="O524" s="309">
        <v>355300000</v>
      </c>
      <c r="P524" s="231">
        <v>0</v>
      </c>
      <c r="Q524" s="231">
        <f>SUM(Q525:Q535)</f>
        <v>154081000</v>
      </c>
      <c r="R524" s="233">
        <f>Q524/Q$243*100</f>
        <v>1.3868969308199368</v>
      </c>
      <c r="S524" s="233">
        <v>100</v>
      </c>
      <c r="T524" s="231">
        <f t="shared" si="114"/>
        <v>0</v>
      </c>
      <c r="U524" s="231">
        <f t="shared" si="119"/>
        <v>0</v>
      </c>
      <c r="V524" s="296">
        <f t="shared" si="92"/>
        <v>100</v>
      </c>
      <c r="W524" s="231"/>
      <c r="X524" s="231"/>
      <c r="Y524" s="231"/>
      <c r="Z524" s="231"/>
      <c r="AA524" s="231"/>
      <c r="AB524" s="231"/>
      <c r="AC524" s="231"/>
      <c r="AD524" s="231"/>
      <c r="AE524" s="231"/>
      <c r="AF524" s="231"/>
      <c r="AG524" s="231" t="e">
        <f>[2]april!N85</f>
        <v>#REF!</v>
      </c>
      <c r="AH524" s="231">
        <f>'[3]DES SKPD'!$N85</f>
        <v>78380000</v>
      </c>
      <c r="AI524" s="231">
        <f>SUM(AI525:AI535)</f>
        <v>0</v>
      </c>
      <c r="AJ524" s="233">
        <f t="shared" si="131"/>
        <v>0</v>
      </c>
      <c r="AK524" s="234">
        <f t="shared" si="142"/>
        <v>154081000</v>
      </c>
      <c r="AL524" s="233">
        <f t="shared" si="140"/>
        <v>100</v>
      </c>
      <c r="AM524" s="227"/>
    </row>
    <row r="525" spans="1:39" ht="29.25" customHeight="1" x14ac:dyDescent="0.25">
      <c r="A525" s="243"/>
      <c r="B525" s="244"/>
      <c r="C525" s="244"/>
      <c r="D525" s="244"/>
      <c r="E525" s="244"/>
      <c r="F525" s="244"/>
      <c r="G525" s="244"/>
      <c r="H525" s="244"/>
      <c r="I525" s="298"/>
      <c r="J525" s="244" t="s">
        <v>259</v>
      </c>
      <c r="K525" s="245"/>
      <c r="L525" s="257"/>
      <c r="M525" s="591" t="s">
        <v>619</v>
      </c>
      <c r="N525" s="592"/>
      <c r="O525" s="179"/>
      <c r="P525" s="180"/>
      <c r="Q525" s="180">
        <v>1300000</v>
      </c>
      <c r="R525" s="181">
        <f>Q525/Q$524*100</f>
        <v>0.84371207351977218</v>
      </c>
      <c r="S525" s="181">
        <v>100</v>
      </c>
      <c r="T525" s="180">
        <f t="shared" si="114"/>
        <v>0</v>
      </c>
      <c r="U525" s="180">
        <f t="shared" si="119"/>
        <v>0</v>
      </c>
      <c r="V525" s="182">
        <f t="shared" si="92"/>
        <v>100</v>
      </c>
      <c r="W525" s="180"/>
      <c r="X525" s="180"/>
      <c r="Y525" s="180"/>
      <c r="Z525" s="180"/>
      <c r="AA525" s="180"/>
      <c r="AB525" s="180"/>
      <c r="AC525" s="180"/>
      <c r="AD525" s="180"/>
      <c r="AE525" s="180"/>
      <c r="AF525" s="180"/>
      <c r="AG525" s="180"/>
      <c r="AH525" s="180"/>
      <c r="AI525" s="180">
        <v>0</v>
      </c>
      <c r="AJ525" s="181">
        <f t="shared" si="131"/>
        <v>0</v>
      </c>
      <c r="AK525" s="180">
        <f>SUM(Q525-AI525)</f>
        <v>1300000</v>
      </c>
      <c r="AL525" s="181">
        <f t="shared" si="140"/>
        <v>100</v>
      </c>
      <c r="AM525" s="243"/>
    </row>
    <row r="526" spans="1:39" ht="29.25" customHeight="1" x14ac:dyDescent="0.25">
      <c r="A526" s="243"/>
      <c r="B526" s="244"/>
      <c r="C526" s="244"/>
      <c r="D526" s="244"/>
      <c r="E526" s="244"/>
      <c r="F526" s="244"/>
      <c r="G526" s="244"/>
      <c r="H526" s="244"/>
      <c r="I526" s="298"/>
      <c r="J526" s="244" t="s">
        <v>618</v>
      </c>
      <c r="K526" s="245"/>
      <c r="L526" s="257"/>
      <c r="M526" s="591" t="s">
        <v>351</v>
      </c>
      <c r="N526" s="592"/>
      <c r="O526" s="179"/>
      <c r="P526" s="180"/>
      <c r="Q526" s="180">
        <v>986000</v>
      </c>
      <c r="R526" s="181">
        <f t="shared" ref="R526:R535" si="144">Q526/Q$524*100</f>
        <v>0.63992315730038096</v>
      </c>
      <c r="S526" s="181">
        <v>100</v>
      </c>
      <c r="T526" s="180">
        <f t="shared" si="114"/>
        <v>0</v>
      </c>
      <c r="U526" s="180">
        <f t="shared" si="119"/>
        <v>0</v>
      </c>
      <c r="V526" s="182">
        <f t="shared" si="92"/>
        <v>100</v>
      </c>
      <c r="W526" s="180"/>
      <c r="X526" s="180"/>
      <c r="Y526" s="180"/>
      <c r="Z526" s="180"/>
      <c r="AA526" s="180"/>
      <c r="AB526" s="180"/>
      <c r="AC526" s="180"/>
      <c r="AD526" s="180"/>
      <c r="AE526" s="180"/>
      <c r="AF526" s="180"/>
      <c r="AG526" s="180"/>
      <c r="AH526" s="180"/>
      <c r="AI526" s="180">
        <v>0</v>
      </c>
      <c r="AJ526" s="181">
        <f t="shared" si="131"/>
        <v>0</v>
      </c>
      <c r="AK526" s="180">
        <f t="shared" ref="AK526:AK535" si="145">SUM(Q526-AI526)</f>
        <v>986000</v>
      </c>
      <c r="AL526" s="181">
        <f t="shared" si="140"/>
        <v>100</v>
      </c>
      <c r="AM526" s="243"/>
    </row>
    <row r="527" spans="1:39" ht="29.25" customHeight="1" x14ac:dyDescent="0.25">
      <c r="A527" s="243"/>
      <c r="B527" s="244"/>
      <c r="C527" s="244"/>
      <c r="D527" s="244"/>
      <c r="E527" s="244"/>
      <c r="F527" s="244"/>
      <c r="G527" s="244"/>
      <c r="H527" s="244"/>
      <c r="I527" s="298"/>
      <c r="J527" s="244" t="s">
        <v>332</v>
      </c>
      <c r="K527" s="245"/>
      <c r="L527" s="257"/>
      <c r="M527" s="591" t="s">
        <v>354</v>
      </c>
      <c r="N527" s="592"/>
      <c r="O527" s="179"/>
      <c r="P527" s="180"/>
      <c r="Q527" s="180">
        <v>75000000</v>
      </c>
      <c r="R527" s="181">
        <f t="shared" si="144"/>
        <v>48.675696549217619</v>
      </c>
      <c r="S527" s="181">
        <v>100</v>
      </c>
      <c r="T527" s="180">
        <f t="shared" si="114"/>
        <v>0</v>
      </c>
      <c r="U527" s="180">
        <f t="shared" si="119"/>
        <v>0</v>
      </c>
      <c r="V527" s="182">
        <f t="shared" si="92"/>
        <v>100</v>
      </c>
      <c r="W527" s="180"/>
      <c r="X527" s="180"/>
      <c r="Y527" s="180"/>
      <c r="Z527" s="180"/>
      <c r="AA527" s="180"/>
      <c r="AB527" s="180"/>
      <c r="AC527" s="180"/>
      <c r="AD527" s="180"/>
      <c r="AE527" s="180"/>
      <c r="AF527" s="180"/>
      <c r="AG527" s="180"/>
      <c r="AH527" s="180"/>
      <c r="AI527" s="180">
        <v>0</v>
      </c>
      <c r="AJ527" s="181">
        <f t="shared" si="131"/>
        <v>0</v>
      </c>
      <c r="AK527" s="180">
        <f t="shared" si="145"/>
        <v>75000000</v>
      </c>
      <c r="AL527" s="181">
        <f t="shared" si="140"/>
        <v>100</v>
      </c>
      <c r="AM527" s="243"/>
    </row>
    <row r="528" spans="1:39" ht="29.25" customHeight="1" x14ac:dyDescent="0.25">
      <c r="A528" s="243"/>
      <c r="B528" s="244"/>
      <c r="C528" s="244"/>
      <c r="D528" s="244"/>
      <c r="E528" s="244"/>
      <c r="F528" s="244"/>
      <c r="G528" s="244"/>
      <c r="H528" s="244"/>
      <c r="I528" s="298"/>
      <c r="J528" s="244" t="s">
        <v>374</v>
      </c>
      <c r="K528" s="245"/>
      <c r="L528" s="257"/>
      <c r="M528" s="591" t="s">
        <v>428</v>
      </c>
      <c r="N528" s="592"/>
      <c r="O528" s="179"/>
      <c r="P528" s="180"/>
      <c r="Q528" s="180">
        <v>500000</v>
      </c>
      <c r="R528" s="181">
        <f t="shared" si="144"/>
        <v>0.32450464366145082</v>
      </c>
      <c r="S528" s="181">
        <v>100</v>
      </c>
      <c r="T528" s="180">
        <f t="shared" si="114"/>
        <v>0</v>
      </c>
      <c r="U528" s="180">
        <f t="shared" si="119"/>
        <v>0</v>
      </c>
      <c r="V528" s="182">
        <f t="shared" si="92"/>
        <v>100</v>
      </c>
      <c r="W528" s="180"/>
      <c r="X528" s="180"/>
      <c r="Y528" s="180"/>
      <c r="Z528" s="180"/>
      <c r="AA528" s="180"/>
      <c r="AB528" s="180"/>
      <c r="AC528" s="180"/>
      <c r="AD528" s="180"/>
      <c r="AE528" s="180"/>
      <c r="AF528" s="180"/>
      <c r="AG528" s="180"/>
      <c r="AH528" s="180"/>
      <c r="AI528" s="180">
        <v>0</v>
      </c>
      <c r="AJ528" s="181">
        <f t="shared" si="131"/>
        <v>0</v>
      </c>
      <c r="AK528" s="180">
        <f t="shared" si="145"/>
        <v>500000</v>
      </c>
      <c r="AL528" s="181">
        <f t="shared" si="140"/>
        <v>100</v>
      </c>
      <c r="AM528" s="243"/>
    </row>
    <row r="529" spans="1:39" ht="29.25" customHeight="1" x14ac:dyDescent="0.25">
      <c r="A529" s="243"/>
      <c r="B529" s="244"/>
      <c r="C529" s="244"/>
      <c r="D529" s="244"/>
      <c r="E529" s="244"/>
      <c r="F529" s="244"/>
      <c r="G529" s="244"/>
      <c r="H529" s="244"/>
      <c r="I529" s="298"/>
      <c r="J529" s="244" t="s">
        <v>316</v>
      </c>
      <c r="K529" s="245"/>
      <c r="L529" s="257"/>
      <c r="M529" s="591" t="s">
        <v>317</v>
      </c>
      <c r="N529" s="592"/>
      <c r="O529" s="179"/>
      <c r="P529" s="180"/>
      <c r="Q529" s="180">
        <v>17300000</v>
      </c>
      <c r="R529" s="181">
        <f t="shared" si="144"/>
        <v>11.227860670686198</v>
      </c>
      <c r="S529" s="181">
        <v>100</v>
      </c>
      <c r="T529" s="180">
        <f t="shared" si="114"/>
        <v>0</v>
      </c>
      <c r="U529" s="180">
        <f t="shared" si="119"/>
        <v>0</v>
      </c>
      <c r="V529" s="182">
        <f t="shared" si="92"/>
        <v>100</v>
      </c>
      <c r="W529" s="180"/>
      <c r="X529" s="180"/>
      <c r="Y529" s="180"/>
      <c r="Z529" s="180"/>
      <c r="AA529" s="180"/>
      <c r="AB529" s="180"/>
      <c r="AC529" s="180"/>
      <c r="AD529" s="180"/>
      <c r="AE529" s="180"/>
      <c r="AF529" s="180"/>
      <c r="AG529" s="180"/>
      <c r="AH529" s="180"/>
      <c r="AI529" s="180">
        <v>0</v>
      </c>
      <c r="AJ529" s="181">
        <f t="shared" si="131"/>
        <v>0</v>
      </c>
      <c r="AK529" s="180">
        <f t="shared" si="145"/>
        <v>17300000</v>
      </c>
      <c r="AL529" s="181">
        <f t="shared" si="140"/>
        <v>100</v>
      </c>
      <c r="AM529" s="243"/>
    </row>
    <row r="530" spans="1:39" ht="29.25" customHeight="1" x14ac:dyDescent="0.25">
      <c r="A530" s="243"/>
      <c r="B530" s="244"/>
      <c r="C530" s="244"/>
      <c r="D530" s="244"/>
      <c r="E530" s="244"/>
      <c r="F530" s="244"/>
      <c r="G530" s="244"/>
      <c r="H530" s="244"/>
      <c r="I530" s="298"/>
      <c r="J530" s="244" t="s">
        <v>318</v>
      </c>
      <c r="K530" s="245"/>
      <c r="L530" s="257"/>
      <c r="M530" s="591" t="s">
        <v>319</v>
      </c>
      <c r="N530" s="592"/>
      <c r="O530" s="179"/>
      <c r="P530" s="180"/>
      <c r="Q530" s="180">
        <v>26250000</v>
      </c>
      <c r="R530" s="181">
        <f t="shared" si="144"/>
        <v>17.036493792226167</v>
      </c>
      <c r="S530" s="181">
        <v>100</v>
      </c>
      <c r="T530" s="180">
        <f t="shared" si="114"/>
        <v>0</v>
      </c>
      <c r="U530" s="180">
        <f t="shared" si="119"/>
        <v>0</v>
      </c>
      <c r="V530" s="182">
        <f t="shared" si="92"/>
        <v>100</v>
      </c>
      <c r="W530" s="180"/>
      <c r="X530" s="180"/>
      <c r="Y530" s="180"/>
      <c r="Z530" s="180"/>
      <c r="AA530" s="180"/>
      <c r="AB530" s="180"/>
      <c r="AC530" s="180"/>
      <c r="AD530" s="180"/>
      <c r="AE530" s="180"/>
      <c r="AF530" s="180"/>
      <c r="AG530" s="180"/>
      <c r="AH530" s="180"/>
      <c r="AI530" s="180">
        <v>0</v>
      </c>
      <c r="AJ530" s="181">
        <f t="shared" si="131"/>
        <v>0</v>
      </c>
      <c r="AK530" s="180">
        <f t="shared" si="145"/>
        <v>26250000</v>
      </c>
      <c r="AL530" s="181">
        <f t="shared" si="140"/>
        <v>100</v>
      </c>
      <c r="AM530" s="243"/>
    </row>
    <row r="531" spans="1:39" ht="29.25" customHeight="1" x14ac:dyDescent="0.25">
      <c r="A531" s="243"/>
      <c r="B531" s="244"/>
      <c r="C531" s="244"/>
      <c r="D531" s="244"/>
      <c r="E531" s="244"/>
      <c r="F531" s="244"/>
      <c r="G531" s="244"/>
      <c r="H531" s="244"/>
      <c r="I531" s="298"/>
      <c r="J531" s="244" t="s">
        <v>284</v>
      </c>
      <c r="K531" s="245"/>
      <c r="L531" s="257"/>
      <c r="M531" s="591" t="s">
        <v>285</v>
      </c>
      <c r="N531" s="592"/>
      <c r="O531" s="179"/>
      <c r="P531" s="180"/>
      <c r="Q531" s="180">
        <v>3000000</v>
      </c>
      <c r="R531" s="181">
        <f t="shared" si="144"/>
        <v>1.9470278619687049</v>
      </c>
      <c r="S531" s="181">
        <v>100</v>
      </c>
      <c r="T531" s="180">
        <f t="shared" si="114"/>
        <v>0</v>
      </c>
      <c r="U531" s="180">
        <f t="shared" si="119"/>
        <v>0</v>
      </c>
      <c r="V531" s="182">
        <f t="shared" si="92"/>
        <v>100</v>
      </c>
      <c r="W531" s="180"/>
      <c r="X531" s="180"/>
      <c r="Y531" s="180"/>
      <c r="Z531" s="180"/>
      <c r="AA531" s="180"/>
      <c r="AB531" s="180"/>
      <c r="AC531" s="180"/>
      <c r="AD531" s="180"/>
      <c r="AE531" s="180"/>
      <c r="AF531" s="180"/>
      <c r="AG531" s="180"/>
      <c r="AH531" s="180"/>
      <c r="AI531" s="180">
        <v>0</v>
      </c>
      <c r="AJ531" s="181">
        <f t="shared" si="131"/>
        <v>0</v>
      </c>
      <c r="AK531" s="180">
        <f t="shared" si="145"/>
        <v>3000000</v>
      </c>
      <c r="AL531" s="181">
        <f t="shared" si="140"/>
        <v>100</v>
      </c>
      <c r="AM531" s="243"/>
    </row>
    <row r="532" spans="1:39" ht="29.25" customHeight="1" x14ac:dyDescent="0.25">
      <c r="A532" s="243"/>
      <c r="B532" s="244"/>
      <c r="C532" s="244"/>
      <c r="D532" s="244"/>
      <c r="E532" s="244"/>
      <c r="F532" s="244"/>
      <c r="G532" s="244"/>
      <c r="H532" s="244"/>
      <c r="I532" s="298"/>
      <c r="J532" s="244" t="s">
        <v>282</v>
      </c>
      <c r="K532" s="245"/>
      <c r="L532" s="257"/>
      <c r="M532" s="591" t="s">
        <v>283</v>
      </c>
      <c r="N532" s="592"/>
      <c r="O532" s="179"/>
      <c r="P532" s="180"/>
      <c r="Q532" s="180">
        <v>10245000</v>
      </c>
      <c r="R532" s="181">
        <f t="shared" si="144"/>
        <v>6.6491001486231269</v>
      </c>
      <c r="S532" s="181">
        <v>100</v>
      </c>
      <c r="T532" s="180">
        <f t="shared" si="114"/>
        <v>0</v>
      </c>
      <c r="U532" s="180">
        <f t="shared" si="119"/>
        <v>0</v>
      </c>
      <c r="V532" s="182">
        <f t="shared" ref="V532:V657" si="146">S532-T532</f>
        <v>100</v>
      </c>
      <c r="W532" s="180"/>
      <c r="X532" s="180"/>
      <c r="Y532" s="180"/>
      <c r="Z532" s="180"/>
      <c r="AA532" s="180"/>
      <c r="AB532" s="180"/>
      <c r="AC532" s="180"/>
      <c r="AD532" s="180"/>
      <c r="AE532" s="180"/>
      <c r="AF532" s="180"/>
      <c r="AG532" s="180"/>
      <c r="AH532" s="180"/>
      <c r="AI532" s="180">
        <v>0</v>
      </c>
      <c r="AJ532" s="181">
        <f t="shared" ref="AJ532:AJ598" si="147">AI532/Q532*100</f>
        <v>0</v>
      </c>
      <c r="AK532" s="180">
        <f t="shared" si="145"/>
        <v>10245000</v>
      </c>
      <c r="AL532" s="181">
        <f t="shared" si="140"/>
        <v>100</v>
      </c>
      <c r="AM532" s="243"/>
    </row>
    <row r="533" spans="1:39" ht="29.25" customHeight="1" x14ac:dyDescent="0.25">
      <c r="A533" s="243"/>
      <c r="B533" s="244"/>
      <c r="C533" s="244"/>
      <c r="D533" s="244"/>
      <c r="E533" s="244"/>
      <c r="F533" s="244"/>
      <c r="G533" s="244"/>
      <c r="H533" s="244"/>
      <c r="I533" s="298"/>
      <c r="J533" s="244" t="s">
        <v>320</v>
      </c>
      <c r="K533" s="245"/>
      <c r="L533" s="257"/>
      <c r="M533" s="591" t="s">
        <v>321</v>
      </c>
      <c r="N533" s="592"/>
      <c r="O533" s="179"/>
      <c r="P533" s="180"/>
      <c r="Q533" s="180">
        <v>5800000</v>
      </c>
      <c r="R533" s="181">
        <f t="shared" si="144"/>
        <v>3.7642538664728291</v>
      </c>
      <c r="S533" s="181">
        <v>100</v>
      </c>
      <c r="T533" s="180">
        <f t="shared" si="114"/>
        <v>0</v>
      </c>
      <c r="U533" s="180">
        <f t="shared" si="119"/>
        <v>0</v>
      </c>
      <c r="V533" s="182">
        <f t="shared" si="146"/>
        <v>100</v>
      </c>
      <c r="W533" s="180"/>
      <c r="X533" s="180"/>
      <c r="Y533" s="180"/>
      <c r="Z533" s="180"/>
      <c r="AA533" s="180"/>
      <c r="AB533" s="180"/>
      <c r="AC533" s="180"/>
      <c r="AD533" s="180"/>
      <c r="AE533" s="180"/>
      <c r="AF533" s="180"/>
      <c r="AG533" s="180"/>
      <c r="AH533" s="180"/>
      <c r="AI533" s="180">
        <v>0</v>
      </c>
      <c r="AJ533" s="181">
        <f t="shared" si="147"/>
        <v>0</v>
      </c>
      <c r="AK533" s="180">
        <f t="shared" si="145"/>
        <v>5800000</v>
      </c>
      <c r="AL533" s="181">
        <f t="shared" si="140"/>
        <v>100</v>
      </c>
      <c r="AM533" s="243"/>
    </row>
    <row r="534" spans="1:39" ht="29.25" customHeight="1" x14ac:dyDescent="0.25">
      <c r="A534" s="243"/>
      <c r="B534" s="244"/>
      <c r="C534" s="244"/>
      <c r="D534" s="244"/>
      <c r="E534" s="244"/>
      <c r="F534" s="244"/>
      <c r="G534" s="244"/>
      <c r="H534" s="244"/>
      <c r="I534" s="298"/>
      <c r="J534" s="244" t="s">
        <v>309</v>
      </c>
      <c r="K534" s="245"/>
      <c r="L534" s="257"/>
      <c r="M534" s="591" t="s">
        <v>607</v>
      </c>
      <c r="N534" s="592"/>
      <c r="O534" s="179"/>
      <c r="P534" s="180"/>
      <c r="Q534" s="180">
        <v>2450000</v>
      </c>
      <c r="R534" s="181">
        <f t="shared" si="144"/>
        <v>1.5900727539411088</v>
      </c>
      <c r="S534" s="181">
        <v>100</v>
      </c>
      <c r="T534" s="180">
        <f t="shared" si="114"/>
        <v>0</v>
      </c>
      <c r="U534" s="180">
        <f t="shared" si="119"/>
        <v>0</v>
      </c>
      <c r="V534" s="182">
        <f t="shared" si="146"/>
        <v>100</v>
      </c>
      <c r="W534" s="180"/>
      <c r="X534" s="180"/>
      <c r="Y534" s="180"/>
      <c r="Z534" s="180"/>
      <c r="AA534" s="180"/>
      <c r="AB534" s="180"/>
      <c r="AC534" s="180"/>
      <c r="AD534" s="180"/>
      <c r="AE534" s="180"/>
      <c r="AF534" s="180"/>
      <c r="AG534" s="180"/>
      <c r="AH534" s="180"/>
      <c r="AI534" s="180">
        <v>0</v>
      </c>
      <c r="AJ534" s="181">
        <f t="shared" si="147"/>
        <v>0</v>
      </c>
      <c r="AK534" s="180">
        <f t="shared" si="145"/>
        <v>2450000</v>
      </c>
      <c r="AL534" s="181">
        <f t="shared" si="140"/>
        <v>100</v>
      </c>
      <c r="AM534" s="243"/>
    </row>
    <row r="535" spans="1:39" ht="29.25" customHeight="1" x14ac:dyDescent="0.25">
      <c r="A535" s="243"/>
      <c r="B535" s="244"/>
      <c r="C535" s="244"/>
      <c r="D535" s="244"/>
      <c r="E535" s="244"/>
      <c r="F535" s="244"/>
      <c r="G535" s="244"/>
      <c r="H535" s="244"/>
      <c r="I535" s="298"/>
      <c r="J535" s="244" t="s">
        <v>372</v>
      </c>
      <c r="K535" s="245"/>
      <c r="L535" s="257"/>
      <c r="M535" s="591" t="s">
        <v>373</v>
      </c>
      <c r="N535" s="592"/>
      <c r="O535" s="179"/>
      <c r="P535" s="180"/>
      <c r="Q535" s="180">
        <v>11250000</v>
      </c>
      <c r="R535" s="181">
        <f t="shared" si="144"/>
        <v>7.3013544823826422</v>
      </c>
      <c r="S535" s="181"/>
      <c r="T535" s="180">
        <f t="shared" si="114"/>
        <v>0</v>
      </c>
      <c r="U535" s="180">
        <f t="shared" si="119"/>
        <v>0</v>
      </c>
      <c r="V535" s="182">
        <f t="shared" si="146"/>
        <v>0</v>
      </c>
      <c r="W535" s="180"/>
      <c r="X535" s="180"/>
      <c r="Y535" s="180"/>
      <c r="Z535" s="180"/>
      <c r="AA535" s="180"/>
      <c r="AB535" s="180"/>
      <c r="AC535" s="180"/>
      <c r="AD535" s="180"/>
      <c r="AE535" s="180"/>
      <c r="AF535" s="180"/>
      <c r="AG535" s="180"/>
      <c r="AH535" s="180"/>
      <c r="AI535" s="180">
        <v>0</v>
      </c>
      <c r="AJ535" s="181">
        <f t="shared" si="147"/>
        <v>0</v>
      </c>
      <c r="AK535" s="180">
        <f t="shared" si="145"/>
        <v>11250000</v>
      </c>
      <c r="AL535" s="181">
        <f t="shared" si="140"/>
        <v>100</v>
      </c>
      <c r="AM535" s="243"/>
    </row>
    <row r="536" spans="1:39" s="297" customFormat="1" ht="31.5" customHeight="1" x14ac:dyDescent="0.25">
      <c r="A536" s="227">
        <f>A524+1</f>
        <v>62</v>
      </c>
      <c r="B536" s="615" t="s">
        <v>158</v>
      </c>
      <c r="C536" s="615"/>
      <c r="D536" s="615"/>
      <c r="E536" s="615"/>
      <c r="F536" s="615"/>
      <c r="G536" s="615"/>
      <c r="H536" s="615"/>
      <c r="I536" s="614"/>
      <c r="J536" s="304" t="s">
        <v>520</v>
      </c>
      <c r="K536" s="230"/>
      <c r="L536" s="294"/>
      <c r="M536" s="610" t="s">
        <v>165</v>
      </c>
      <c r="N536" s="610"/>
      <c r="O536" s="309">
        <v>355300000</v>
      </c>
      <c r="P536" s="231">
        <v>0</v>
      </c>
      <c r="Q536" s="231">
        <f>SUM(Q537:Q546)</f>
        <v>237999131</v>
      </c>
      <c r="R536" s="233">
        <f>Q536/Q$243*100</f>
        <v>2.1422515710678933</v>
      </c>
      <c r="S536" s="233">
        <v>100</v>
      </c>
      <c r="T536" s="231">
        <f t="shared" si="114"/>
        <v>0</v>
      </c>
      <c r="U536" s="231">
        <f t="shared" si="119"/>
        <v>0</v>
      </c>
      <c r="V536" s="296">
        <f t="shared" si="146"/>
        <v>100</v>
      </c>
      <c r="W536" s="231"/>
      <c r="X536" s="231"/>
      <c r="Y536" s="231"/>
      <c r="Z536" s="231"/>
      <c r="AA536" s="231"/>
      <c r="AB536" s="231"/>
      <c r="AC536" s="231"/>
      <c r="AD536" s="231"/>
      <c r="AE536" s="231"/>
      <c r="AF536" s="231"/>
      <c r="AG536" s="231" t="e">
        <f>[2]april!N86</f>
        <v>#REF!</v>
      </c>
      <c r="AH536" s="231">
        <f>'[3]DES SKPD'!$N86</f>
        <v>126710000</v>
      </c>
      <c r="AI536" s="231">
        <f>SUM(AI537:AI546)</f>
        <v>0</v>
      </c>
      <c r="AJ536" s="233">
        <f t="shared" si="147"/>
        <v>0</v>
      </c>
      <c r="AK536" s="234">
        <f>Q536-AI536</f>
        <v>237999131</v>
      </c>
      <c r="AL536" s="233">
        <f t="shared" si="140"/>
        <v>100</v>
      </c>
      <c r="AM536" s="227"/>
    </row>
    <row r="537" spans="1:39" ht="42.75" customHeight="1" x14ac:dyDescent="0.25">
      <c r="A537" s="243"/>
      <c r="B537" s="244"/>
      <c r="C537" s="244"/>
      <c r="D537" s="244"/>
      <c r="E537" s="244"/>
      <c r="F537" s="244"/>
      <c r="G537" s="244"/>
      <c r="H537" s="244"/>
      <c r="I537" s="298"/>
      <c r="J537" s="244" t="s">
        <v>251</v>
      </c>
      <c r="K537" s="245"/>
      <c r="L537" s="257"/>
      <c r="M537" s="591" t="s">
        <v>324</v>
      </c>
      <c r="N537" s="592"/>
      <c r="O537" s="179"/>
      <c r="P537" s="180"/>
      <c r="Q537" s="180">
        <v>3199131</v>
      </c>
      <c r="R537" s="181">
        <f>Q537/Q$536*100</f>
        <v>1.3441775970182008</v>
      </c>
      <c r="S537" s="181">
        <v>100</v>
      </c>
      <c r="T537" s="180">
        <f t="shared" si="114"/>
        <v>0</v>
      </c>
      <c r="U537" s="180">
        <f t="shared" si="119"/>
        <v>0</v>
      </c>
      <c r="V537" s="182">
        <f t="shared" si="146"/>
        <v>100</v>
      </c>
      <c r="W537" s="180"/>
      <c r="X537" s="180"/>
      <c r="Y537" s="180"/>
      <c r="Z537" s="180"/>
      <c r="AA537" s="180"/>
      <c r="AB537" s="180"/>
      <c r="AC537" s="180"/>
      <c r="AD537" s="180"/>
      <c r="AE537" s="180"/>
      <c r="AF537" s="180"/>
      <c r="AG537" s="180"/>
      <c r="AH537" s="180"/>
      <c r="AI537" s="180">
        <v>0</v>
      </c>
      <c r="AJ537" s="181">
        <f t="shared" si="147"/>
        <v>0</v>
      </c>
      <c r="AK537" s="246">
        <f>SUM(Q537-AI537)</f>
        <v>3199131</v>
      </c>
      <c r="AL537" s="181">
        <f t="shared" si="140"/>
        <v>100</v>
      </c>
      <c r="AM537" s="243"/>
    </row>
    <row r="538" spans="1:39" ht="42.75" customHeight="1" x14ac:dyDescent="0.25">
      <c r="A538" s="243"/>
      <c r="B538" s="244"/>
      <c r="C538" s="244"/>
      <c r="D538" s="244"/>
      <c r="E538" s="244"/>
      <c r="F538" s="244"/>
      <c r="G538" s="244"/>
      <c r="H538" s="244"/>
      <c r="I538" s="298"/>
      <c r="J538" s="244"/>
      <c r="K538" s="245"/>
      <c r="L538" s="257"/>
      <c r="M538" s="591" t="s">
        <v>346</v>
      </c>
      <c r="N538" s="592"/>
      <c r="O538" s="179"/>
      <c r="P538" s="180"/>
      <c r="Q538" s="180">
        <v>16500000</v>
      </c>
      <c r="R538" s="181">
        <f>Q538/Q$536*100</f>
        <v>6.9327984226967621</v>
      </c>
      <c r="S538" s="181">
        <v>100</v>
      </c>
      <c r="T538" s="180">
        <f t="shared" si="114"/>
        <v>0</v>
      </c>
      <c r="U538" s="180">
        <f t="shared" si="119"/>
        <v>0</v>
      </c>
      <c r="V538" s="182">
        <f t="shared" si="146"/>
        <v>100</v>
      </c>
      <c r="W538" s="180"/>
      <c r="X538" s="180"/>
      <c r="Y538" s="180"/>
      <c r="Z538" s="180"/>
      <c r="AA538" s="180"/>
      <c r="AB538" s="180"/>
      <c r="AC538" s="180"/>
      <c r="AD538" s="180"/>
      <c r="AE538" s="180"/>
      <c r="AF538" s="180"/>
      <c r="AG538" s="180"/>
      <c r="AH538" s="180"/>
      <c r="AI538" s="180">
        <v>0</v>
      </c>
      <c r="AJ538" s="181">
        <f t="shared" si="147"/>
        <v>0</v>
      </c>
      <c r="AK538" s="246">
        <f>SUM(Q538-AI538)</f>
        <v>16500000</v>
      </c>
      <c r="AL538" s="181">
        <f t="shared" si="140"/>
        <v>100</v>
      </c>
      <c r="AM538" s="243"/>
    </row>
    <row r="539" spans="1:39" ht="24.75" customHeight="1" x14ac:dyDescent="0.25">
      <c r="A539" s="243"/>
      <c r="B539" s="244"/>
      <c r="C539" s="244"/>
      <c r="D539" s="244"/>
      <c r="E539" s="244"/>
      <c r="F539" s="244"/>
      <c r="G539" s="244"/>
      <c r="H539" s="244"/>
      <c r="I539" s="298"/>
      <c r="J539" s="244" t="s">
        <v>315</v>
      </c>
      <c r="K539" s="245"/>
      <c r="L539" s="257"/>
      <c r="M539" s="591" t="s">
        <v>271</v>
      </c>
      <c r="N539" s="592"/>
      <c r="O539" s="179"/>
      <c r="P539" s="180"/>
      <c r="Q539" s="180">
        <v>4000000</v>
      </c>
      <c r="R539" s="181">
        <f t="shared" ref="R539:R546" si="148">Q539/Q$536*100</f>
        <v>1.6806784055022455</v>
      </c>
      <c r="S539" s="181">
        <v>100</v>
      </c>
      <c r="T539" s="180">
        <f t="shared" si="114"/>
        <v>0</v>
      </c>
      <c r="U539" s="180">
        <f t="shared" si="119"/>
        <v>0</v>
      </c>
      <c r="V539" s="182">
        <f t="shared" si="146"/>
        <v>100</v>
      </c>
      <c r="W539" s="180"/>
      <c r="X539" s="180"/>
      <c r="Y539" s="180"/>
      <c r="Z539" s="180"/>
      <c r="AA539" s="180"/>
      <c r="AB539" s="180"/>
      <c r="AC539" s="180"/>
      <c r="AD539" s="180"/>
      <c r="AE539" s="180"/>
      <c r="AF539" s="180"/>
      <c r="AG539" s="180"/>
      <c r="AH539" s="180"/>
      <c r="AI539" s="180">
        <v>0</v>
      </c>
      <c r="AJ539" s="181">
        <f t="shared" si="147"/>
        <v>0</v>
      </c>
      <c r="AK539" s="246">
        <f t="shared" ref="AK539:AK546" si="149">SUM(Q539-AI539)</f>
        <v>4000000</v>
      </c>
      <c r="AL539" s="181">
        <f t="shared" si="140"/>
        <v>100</v>
      </c>
      <c r="AM539" s="243"/>
    </row>
    <row r="540" spans="1:39" ht="24.75" customHeight="1" x14ac:dyDescent="0.25">
      <c r="A540" s="243"/>
      <c r="B540" s="244"/>
      <c r="C540" s="244"/>
      <c r="D540" s="244"/>
      <c r="E540" s="244"/>
      <c r="F540" s="244"/>
      <c r="G540" s="244"/>
      <c r="H540" s="244"/>
      <c r="I540" s="298"/>
      <c r="J540" s="244" t="s">
        <v>316</v>
      </c>
      <c r="K540" s="245"/>
      <c r="L540" s="257"/>
      <c r="M540" s="591" t="s">
        <v>317</v>
      </c>
      <c r="N540" s="592"/>
      <c r="O540" s="179"/>
      <c r="P540" s="180"/>
      <c r="Q540" s="180">
        <v>3600000</v>
      </c>
      <c r="R540" s="181">
        <f t="shared" si="148"/>
        <v>1.5126105649520207</v>
      </c>
      <c r="S540" s="181">
        <v>100</v>
      </c>
      <c r="T540" s="180">
        <f t="shared" si="114"/>
        <v>0</v>
      </c>
      <c r="U540" s="180">
        <f t="shared" si="119"/>
        <v>0</v>
      </c>
      <c r="V540" s="182">
        <f t="shared" si="146"/>
        <v>100</v>
      </c>
      <c r="W540" s="180"/>
      <c r="X540" s="180"/>
      <c r="Y540" s="180"/>
      <c r="Z540" s="180"/>
      <c r="AA540" s="180"/>
      <c r="AB540" s="180"/>
      <c r="AC540" s="180"/>
      <c r="AD540" s="180"/>
      <c r="AE540" s="180"/>
      <c r="AF540" s="180"/>
      <c r="AG540" s="180"/>
      <c r="AH540" s="180"/>
      <c r="AI540" s="180">
        <v>0</v>
      </c>
      <c r="AJ540" s="181">
        <f t="shared" si="147"/>
        <v>0</v>
      </c>
      <c r="AK540" s="246">
        <f t="shared" si="149"/>
        <v>3600000</v>
      </c>
      <c r="AL540" s="181">
        <f t="shared" si="140"/>
        <v>100</v>
      </c>
      <c r="AM540" s="243"/>
    </row>
    <row r="541" spans="1:39" ht="24.75" customHeight="1" x14ac:dyDescent="0.25">
      <c r="A541" s="243"/>
      <c r="B541" s="244"/>
      <c r="C541" s="244"/>
      <c r="D541" s="244"/>
      <c r="E541" s="244"/>
      <c r="F541" s="244"/>
      <c r="G541" s="244"/>
      <c r="H541" s="244"/>
      <c r="I541" s="298"/>
      <c r="J541" s="244" t="s">
        <v>370</v>
      </c>
      <c r="K541" s="245"/>
      <c r="L541" s="257"/>
      <c r="M541" s="591" t="s">
        <v>371</v>
      </c>
      <c r="N541" s="592"/>
      <c r="O541" s="179"/>
      <c r="P541" s="180"/>
      <c r="Q541" s="180">
        <v>27000000</v>
      </c>
      <c r="R541" s="181">
        <f t="shared" si="148"/>
        <v>11.344579237140156</v>
      </c>
      <c r="S541" s="181">
        <v>100</v>
      </c>
      <c r="T541" s="180">
        <f t="shared" si="114"/>
        <v>0</v>
      </c>
      <c r="U541" s="180">
        <f t="shared" si="119"/>
        <v>0</v>
      </c>
      <c r="V541" s="182">
        <f t="shared" si="146"/>
        <v>100</v>
      </c>
      <c r="W541" s="180"/>
      <c r="X541" s="180"/>
      <c r="Y541" s="180"/>
      <c r="Z541" s="180"/>
      <c r="AA541" s="180"/>
      <c r="AB541" s="180"/>
      <c r="AC541" s="180"/>
      <c r="AD541" s="180"/>
      <c r="AE541" s="180"/>
      <c r="AF541" s="180"/>
      <c r="AG541" s="180"/>
      <c r="AH541" s="180"/>
      <c r="AI541" s="180">
        <v>0</v>
      </c>
      <c r="AJ541" s="181">
        <f t="shared" si="147"/>
        <v>0</v>
      </c>
      <c r="AK541" s="246">
        <f t="shared" si="149"/>
        <v>27000000</v>
      </c>
      <c r="AL541" s="181">
        <f t="shared" si="140"/>
        <v>100</v>
      </c>
      <c r="AM541" s="243"/>
    </row>
    <row r="542" spans="1:39" ht="30" customHeight="1" x14ac:dyDescent="0.25">
      <c r="A542" s="243"/>
      <c r="B542" s="244"/>
      <c r="C542" s="244"/>
      <c r="D542" s="244"/>
      <c r="E542" s="244"/>
      <c r="F542" s="244"/>
      <c r="G542" s="244"/>
      <c r="H542" s="244"/>
      <c r="I542" s="298"/>
      <c r="J542" s="244" t="s">
        <v>339</v>
      </c>
      <c r="K542" s="245"/>
      <c r="L542" s="257"/>
      <c r="M542" s="591" t="s">
        <v>340</v>
      </c>
      <c r="N542" s="592"/>
      <c r="O542" s="179"/>
      <c r="P542" s="180"/>
      <c r="Q542" s="180">
        <v>41000000</v>
      </c>
      <c r="R542" s="181">
        <f t="shared" si="148"/>
        <v>17.226953656398013</v>
      </c>
      <c r="S542" s="181">
        <v>100</v>
      </c>
      <c r="T542" s="180">
        <f t="shared" si="114"/>
        <v>0</v>
      </c>
      <c r="U542" s="180">
        <f t="shared" si="119"/>
        <v>0</v>
      </c>
      <c r="V542" s="182">
        <f t="shared" si="146"/>
        <v>100</v>
      </c>
      <c r="W542" s="180"/>
      <c r="X542" s="180"/>
      <c r="Y542" s="180"/>
      <c r="Z542" s="180"/>
      <c r="AA542" s="180"/>
      <c r="AB542" s="180"/>
      <c r="AC542" s="180"/>
      <c r="AD542" s="180"/>
      <c r="AE542" s="180"/>
      <c r="AF542" s="180"/>
      <c r="AG542" s="180"/>
      <c r="AH542" s="180"/>
      <c r="AI542" s="180">
        <v>0</v>
      </c>
      <c r="AJ542" s="181">
        <f t="shared" si="147"/>
        <v>0</v>
      </c>
      <c r="AK542" s="246">
        <f t="shared" si="149"/>
        <v>41000000</v>
      </c>
      <c r="AL542" s="181">
        <f t="shared" si="140"/>
        <v>100</v>
      </c>
      <c r="AM542" s="243"/>
    </row>
    <row r="543" spans="1:39" ht="24.75" customHeight="1" x14ac:dyDescent="0.25">
      <c r="A543" s="243"/>
      <c r="B543" s="244"/>
      <c r="C543" s="244"/>
      <c r="D543" s="244"/>
      <c r="E543" s="244"/>
      <c r="F543" s="244"/>
      <c r="G543" s="244"/>
      <c r="H543" s="244"/>
      <c r="I543" s="298"/>
      <c r="J543" s="244" t="s">
        <v>284</v>
      </c>
      <c r="K543" s="245"/>
      <c r="L543" s="257"/>
      <c r="M543" s="591" t="s">
        <v>285</v>
      </c>
      <c r="N543" s="592"/>
      <c r="O543" s="179"/>
      <c r="P543" s="180"/>
      <c r="Q543" s="180">
        <v>4400000</v>
      </c>
      <c r="R543" s="181">
        <f t="shared" si="148"/>
        <v>1.8487462460524697</v>
      </c>
      <c r="S543" s="181">
        <v>100</v>
      </c>
      <c r="T543" s="180">
        <f t="shared" si="114"/>
        <v>0</v>
      </c>
      <c r="U543" s="180">
        <f t="shared" si="119"/>
        <v>0</v>
      </c>
      <c r="V543" s="182">
        <f t="shared" si="146"/>
        <v>100</v>
      </c>
      <c r="W543" s="180"/>
      <c r="X543" s="180"/>
      <c r="Y543" s="180"/>
      <c r="Z543" s="180"/>
      <c r="AA543" s="180"/>
      <c r="AB543" s="180"/>
      <c r="AC543" s="180"/>
      <c r="AD543" s="180"/>
      <c r="AE543" s="180"/>
      <c r="AF543" s="180"/>
      <c r="AG543" s="180"/>
      <c r="AH543" s="180"/>
      <c r="AI543" s="180">
        <v>0</v>
      </c>
      <c r="AJ543" s="181">
        <f t="shared" si="147"/>
        <v>0</v>
      </c>
      <c r="AK543" s="246">
        <f t="shared" si="149"/>
        <v>4400000</v>
      </c>
      <c r="AL543" s="181">
        <f t="shared" si="140"/>
        <v>100</v>
      </c>
      <c r="AM543" s="243"/>
    </row>
    <row r="544" spans="1:39" ht="24.75" customHeight="1" x14ac:dyDescent="0.25">
      <c r="A544" s="243"/>
      <c r="B544" s="244"/>
      <c r="C544" s="244"/>
      <c r="D544" s="244"/>
      <c r="E544" s="244"/>
      <c r="F544" s="244"/>
      <c r="G544" s="244"/>
      <c r="H544" s="244"/>
      <c r="I544" s="298"/>
      <c r="J544" s="244" t="s">
        <v>320</v>
      </c>
      <c r="K544" s="245"/>
      <c r="L544" s="257"/>
      <c r="M544" s="591" t="s">
        <v>321</v>
      </c>
      <c r="N544" s="592"/>
      <c r="O544" s="179"/>
      <c r="P544" s="180"/>
      <c r="Q544" s="180">
        <v>33600000</v>
      </c>
      <c r="R544" s="181">
        <f t="shared" si="148"/>
        <v>14.117698606218859</v>
      </c>
      <c r="S544" s="181">
        <v>100</v>
      </c>
      <c r="T544" s="180">
        <f t="shared" si="114"/>
        <v>0</v>
      </c>
      <c r="U544" s="180">
        <f t="shared" si="119"/>
        <v>0</v>
      </c>
      <c r="V544" s="182">
        <f t="shared" si="146"/>
        <v>100</v>
      </c>
      <c r="W544" s="180"/>
      <c r="X544" s="180"/>
      <c r="Y544" s="180"/>
      <c r="Z544" s="180"/>
      <c r="AA544" s="180"/>
      <c r="AB544" s="180"/>
      <c r="AC544" s="180"/>
      <c r="AD544" s="180"/>
      <c r="AE544" s="180"/>
      <c r="AF544" s="180"/>
      <c r="AG544" s="180"/>
      <c r="AH544" s="180"/>
      <c r="AI544" s="180">
        <v>0</v>
      </c>
      <c r="AJ544" s="181">
        <f t="shared" si="147"/>
        <v>0</v>
      </c>
      <c r="AK544" s="246">
        <f t="shared" si="149"/>
        <v>33600000</v>
      </c>
      <c r="AL544" s="181">
        <f t="shared" si="140"/>
        <v>100</v>
      </c>
      <c r="AM544" s="243"/>
    </row>
    <row r="545" spans="1:39" ht="24.75" customHeight="1" x14ac:dyDescent="0.25">
      <c r="A545" s="243"/>
      <c r="B545" s="244"/>
      <c r="C545" s="244"/>
      <c r="D545" s="244"/>
      <c r="E545" s="244"/>
      <c r="F545" s="244"/>
      <c r="G545" s="244"/>
      <c r="H545" s="244"/>
      <c r="I545" s="298"/>
      <c r="J545" s="244" t="s">
        <v>407</v>
      </c>
      <c r="K545" s="245"/>
      <c r="L545" s="257"/>
      <c r="M545" s="591" t="s">
        <v>414</v>
      </c>
      <c r="N545" s="592"/>
      <c r="O545" s="179"/>
      <c r="P545" s="180"/>
      <c r="Q545" s="180">
        <v>2700000</v>
      </c>
      <c r="R545" s="181">
        <f t="shared" si="148"/>
        <v>1.1344579237140155</v>
      </c>
      <c r="S545" s="181"/>
      <c r="T545" s="180">
        <f t="shared" si="114"/>
        <v>0</v>
      </c>
      <c r="U545" s="180">
        <f t="shared" si="119"/>
        <v>0</v>
      </c>
      <c r="V545" s="182"/>
      <c r="W545" s="180"/>
      <c r="X545" s="180"/>
      <c r="Y545" s="180"/>
      <c r="Z545" s="180"/>
      <c r="AA545" s="180"/>
      <c r="AB545" s="180"/>
      <c r="AC545" s="180"/>
      <c r="AD545" s="180"/>
      <c r="AE545" s="180"/>
      <c r="AF545" s="180"/>
      <c r="AG545" s="180"/>
      <c r="AH545" s="180"/>
      <c r="AI545" s="180">
        <v>0</v>
      </c>
      <c r="AJ545" s="181">
        <f t="shared" si="147"/>
        <v>0</v>
      </c>
      <c r="AK545" s="246">
        <f t="shared" si="149"/>
        <v>2700000</v>
      </c>
      <c r="AL545" s="181"/>
      <c r="AM545" s="243"/>
    </row>
    <row r="546" spans="1:39" ht="24.75" customHeight="1" x14ac:dyDescent="0.25">
      <c r="A546" s="243"/>
      <c r="B546" s="244"/>
      <c r="C546" s="244"/>
      <c r="D546" s="244"/>
      <c r="E546" s="244"/>
      <c r="F546" s="244"/>
      <c r="G546" s="244"/>
      <c r="H546" s="244"/>
      <c r="I546" s="298"/>
      <c r="J546" s="244" t="s">
        <v>372</v>
      </c>
      <c r="K546" s="245"/>
      <c r="L546" s="257"/>
      <c r="M546" s="591" t="s">
        <v>373</v>
      </c>
      <c r="N546" s="592"/>
      <c r="O546" s="179"/>
      <c r="P546" s="180"/>
      <c r="Q546" s="180">
        <v>102000000</v>
      </c>
      <c r="R546" s="181">
        <f t="shared" si="148"/>
        <v>42.85729934030725</v>
      </c>
      <c r="S546" s="181">
        <v>100</v>
      </c>
      <c r="T546" s="180">
        <f t="shared" si="114"/>
        <v>0</v>
      </c>
      <c r="U546" s="180">
        <f t="shared" si="119"/>
        <v>0</v>
      </c>
      <c r="V546" s="182">
        <f t="shared" si="146"/>
        <v>100</v>
      </c>
      <c r="W546" s="180"/>
      <c r="X546" s="180"/>
      <c r="Y546" s="180"/>
      <c r="Z546" s="180"/>
      <c r="AA546" s="180"/>
      <c r="AB546" s="180"/>
      <c r="AC546" s="180"/>
      <c r="AD546" s="180"/>
      <c r="AE546" s="180"/>
      <c r="AF546" s="180"/>
      <c r="AG546" s="180"/>
      <c r="AH546" s="180"/>
      <c r="AI546" s="180">
        <v>0</v>
      </c>
      <c r="AJ546" s="181">
        <f t="shared" si="147"/>
        <v>0</v>
      </c>
      <c r="AK546" s="246">
        <f t="shared" si="149"/>
        <v>102000000</v>
      </c>
      <c r="AL546" s="181">
        <f t="shared" ref="AL546:AL609" si="150">AK546/Q546*100</f>
        <v>100</v>
      </c>
      <c r="AM546" s="243"/>
    </row>
    <row r="547" spans="1:39" s="297" customFormat="1" ht="29.25" customHeight="1" x14ac:dyDescent="0.25">
      <c r="A547" s="227">
        <f>SUM(A536+1)</f>
        <v>63</v>
      </c>
      <c r="B547" s="228"/>
      <c r="C547" s="228"/>
      <c r="D547" s="228"/>
      <c r="E547" s="228"/>
      <c r="F547" s="228"/>
      <c r="G547" s="228"/>
      <c r="H547" s="228"/>
      <c r="I547" s="229"/>
      <c r="J547" s="304" t="s">
        <v>521</v>
      </c>
      <c r="K547" s="230"/>
      <c r="L547" s="294"/>
      <c r="M547" s="609" t="s">
        <v>201</v>
      </c>
      <c r="N547" s="614"/>
      <c r="O547" s="309"/>
      <c r="P547" s="231"/>
      <c r="Q547" s="231">
        <f>SUM(Q548:Q554)</f>
        <v>168812754</v>
      </c>
      <c r="R547" s="233">
        <f>Q547/Q$243*100</f>
        <v>1.5194987727614762</v>
      </c>
      <c r="S547" s="233">
        <v>100</v>
      </c>
      <c r="T547" s="231">
        <f t="shared" si="114"/>
        <v>0</v>
      </c>
      <c r="U547" s="231">
        <f t="shared" si="119"/>
        <v>0</v>
      </c>
      <c r="V547" s="296">
        <f t="shared" si="146"/>
        <v>100</v>
      </c>
      <c r="W547" s="231"/>
      <c r="X547" s="231"/>
      <c r="Y547" s="231"/>
      <c r="Z547" s="231"/>
      <c r="AA547" s="231"/>
      <c r="AB547" s="231"/>
      <c r="AC547" s="231"/>
      <c r="AD547" s="231"/>
      <c r="AE547" s="231"/>
      <c r="AF547" s="231"/>
      <c r="AG547" s="231"/>
      <c r="AH547" s="231"/>
      <c r="AI547" s="231">
        <f>SUM(AI548:AI555)</f>
        <v>0</v>
      </c>
      <c r="AJ547" s="233">
        <f t="shared" si="147"/>
        <v>0</v>
      </c>
      <c r="AK547" s="234">
        <f>Q547-AI547</f>
        <v>168812754</v>
      </c>
      <c r="AL547" s="233">
        <f t="shared" si="150"/>
        <v>100</v>
      </c>
      <c r="AM547" s="227"/>
    </row>
    <row r="548" spans="1:39" ht="27" customHeight="1" x14ac:dyDescent="0.25">
      <c r="A548" s="243"/>
      <c r="B548" s="244"/>
      <c r="C548" s="244"/>
      <c r="D548" s="244"/>
      <c r="E548" s="244"/>
      <c r="F548" s="244"/>
      <c r="G548" s="244"/>
      <c r="H548" s="244"/>
      <c r="I548" s="298"/>
      <c r="J548" s="244" t="s">
        <v>257</v>
      </c>
      <c r="K548" s="245"/>
      <c r="L548" s="257"/>
      <c r="M548" s="591" t="s">
        <v>324</v>
      </c>
      <c r="N548" s="592"/>
      <c r="O548" s="179"/>
      <c r="P548" s="180"/>
      <c r="Q548" s="180">
        <v>3000000</v>
      </c>
      <c r="R548" s="181">
        <f>Q548/Q$547*100</f>
        <v>1.7771169114390493</v>
      </c>
      <c r="S548" s="181">
        <v>100</v>
      </c>
      <c r="T548" s="180">
        <f t="shared" si="114"/>
        <v>0</v>
      </c>
      <c r="U548" s="180">
        <f t="shared" si="119"/>
        <v>0</v>
      </c>
      <c r="V548" s="182">
        <f t="shared" si="146"/>
        <v>100</v>
      </c>
      <c r="W548" s="180"/>
      <c r="X548" s="180"/>
      <c r="Y548" s="180"/>
      <c r="Z548" s="180"/>
      <c r="AA548" s="180"/>
      <c r="AB548" s="180"/>
      <c r="AC548" s="180"/>
      <c r="AD548" s="180"/>
      <c r="AE548" s="180"/>
      <c r="AF548" s="180"/>
      <c r="AG548" s="180"/>
      <c r="AH548" s="180"/>
      <c r="AI548" s="180">
        <v>0</v>
      </c>
      <c r="AJ548" s="181">
        <f t="shared" si="147"/>
        <v>0</v>
      </c>
      <c r="AK548" s="246">
        <f>SUM(Q548-AI548)</f>
        <v>3000000</v>
      </c>
      <c r="AL548" s="181">
        <f t="shared" si="150"/>
        <v>100</v>
      </c>
      <c r="AM548" s="243"/>
    </row>
    <row r="549" spans="1:39" ht="24.75" customHeight="1" x14ac:dyDescent="0.25">
      <c r="A549" s="243"/>
      <c r="B549" s="244"/>
      <c r="C549" s="244"/>
      <c r="D549" s="244"/>
      <c r="E549" s="244"/>
      <c r="F549" s="244"/>
      <c r="G549" s="244"/>
      <c r="H549" s="244"/>
      <c r="I549" s="298"/>
      <c r="J549" s="244" t="s">
        <v>315</v>
      </c>
      <c r="K549" s="245"/>
      <c r="L549" s="257"/>
      <c r="M549" s="591" t="s">
        <v>271</v>
      </c>
      <c r="N549" s="592"/>
      <c r="O549" s="179"/>
      <c r="P549" s="180"/>
      <c r="Q549" s="180">
        <v>8120000</v>
      </c>
      <c r="R549" s="181">
        <f t="shared" ref="R549:R555" si="151">Q549/Q$547*100</f>
        <v>4.8100631069616933</v>
      </c>
      <c r="S549" s="181">
        <v>100</v>
      </c>
      <c r="T549" s="180">
        <f t="shared" si="114"/>
        <v>0</v>
      </c>
      <c r="U549" s="180">
        <f t="shared" si="119"/>
        <v>0</v>
      </c>
      <c r="V549" s="182">
        <f t="shared" si="146"/>
        <v>100</v>
      </c>
      <c r="W549" s="180"/>
      <c r="X549" s="180"/>
      <c r="Y549" s="180"/>
      <c r="Z549" s="180"/>
      <c r="AA549" s="180"/>
      <c r="AB549" s="180"/>
      <c r="AC549" s="180"/>
      <c r="AD549" s="180"/>
      <c r="AE549" s="180"/>
      <c r="AF549" s="180"/>
      <c r="AG549" s="180"/>
      <c r="AH549" s="180"/>
      <c r="AI549" s="180">
        <v>0</v>
      </c>
      <c r="AJ549" s="181">
        <f t="shared" si="147"/>
        <v>0</v>
      </c>
      <c r="AK549" s="246">
        <f t="shared" ref="AK549:AK555" si="152">SUM(Q549-AI549)</f>
        <v>8120000</v>
      </c>
      <c r="AL549" s="181">
        <f t="shared" si="150"/>
        <v>100</v>
      </c>
      <c r="AM549" s="243"/>
    </row>
    <row r="550" spans="1:39" ht="24.75" customHeight="1" x14ac:dyDescent="0.25">
      <c r="A550" s="243"/>
      <c r="B550" s="244"/>
      <c r="C550" s="244"/>
      <c r="D550" s="244"/>
      <c r="E550" s="244"/>
      <c r="F550" s="244"/>
      <c r="G550" s="244"/>
      <c r="H550" s="244"/>
      <c r="I550" s="298"/>
      <c r="J550" s="244" t="s">
        <v>316</v>
      </c>
      <c r="K550" s="245"/>
      <c r="L550" s="257"/>
      <c r="M550" s="591" t="s">
        <v>317</v>
      </c>
      <c r="N550" s="592"/>
      <c r="O550" s="179"/>
      <c r="P550" s="180"/>
      <c r="Q550" s="180">
        <v>5700000</v>
      </c>
      <c r="R550" s="181">
        <f t="shared" si="151"/>
        <v>3.3765221317341934</v>
      </c>
      <c r="S550" s="181">
        <v>100</v>
      </c>
      <c r="T550" s="180">
        <f t="shared" si="114"/>
        <v>0</v>
      </c>
      <c r="U550" s="180">
        <f t="shared" si="119"/>
        <v>0</v>
      </c>
      <c r="V550" s="182">
        <f t="shared" si="146"/>
        <v>100</v>
      </c>
      <c r="W550" s="180"/>
      <c r="X550" s="180"/>
      <c r="Y550" s="180"/>
      <c r="Z550" s="180"/>
      <c r="AA550" s="180"/>
      <c r="AB550" s="180"/>
      <c r="AC550" s="180"/>
      <c r="AD550" s="180"/>
      <c r="AE550" s="180"/>
      <c r="AF550" s="180"/>
      <c r="AG550" s="180"/>
      <c r="AH550" s="180"/>
      <c r="AI550" s="180">
        <v>0</v>
      </c>
      <c r="AJ550" s="181">
        <f t="shared" si="147"/>
        <v>0</v>
      </c>
      <c r="AK550" s="246">
        <f t="shared" si="152"/>
        <v>5700000</v>
      </c>
      <c r="AL550" s="181">
        <f t="shared" si="150"/>
        <v>100</v>
      </c>
      <c r="AM550" s="243"/>
    </row>
    <row r="551" spans="1:39" ht="24.75" customHeight="1" x14ac:dyDescent="0.25">
      <c r="A551" s="243"/>
      <c r="B551" s="244"/>
      <c r="C551" s="244"/>
      <c r="D551" s="244"/>
      <c r="E551" s="244"/>
      <c r="F551" s="244"/>
      <c r="G551" s="244"/>
      <c r="H551" s="244"/>
      <c r="I551" s="298"/>
      <c r="J551" s="244" t="s">
        <v>339</v>
      </c>
      <c r="K551" s="245"/>
      <c r="L551" s="257"/>
      <c r="M551" s="591" t="s">
        <v>329</v>
      </c>
      <c r="N551" s="592"/>
      <c r="O551" s="179"/>
      <c r="P551" s="180"/>
      <c r="Q551" s="180">
        <v>35000000</v>
      </c>
      <c r="R551" s="181">
        <f t="shared" si="151"/>
        <v>20.733030633455574</v>
      </c>
      <c r="S551" s="181">
        <v>100</v>
      </c>
      <c r="T551" s="180">
        <f t="shared" si="114"/>
        <v>0</v>
      </c>
      <c r="U551" s="180">
        <f t="shared" si="119"/>
        <v>0</v>
      </c>
      <c r="V551" s="182">
        <f t="shared" si="146"/>
        <v>100</v>
      </c>
      <c r="W551" s="180"/>
      <c r="X551" s="180"/>
      <c r="Y551" s="180"/>
      <c r="Z551" s="180"/>
      <c r="AA551" s="180"/>
      <c r="AB551" s="180"/>
      <c r="AC551" s="180"/>
      <c r="AD551" s="180"/>
      <c r="AE551" s="180"/>
      <c r="AF551" s="180"/>
      <c r="AG551" s="180"/>
      <c r="AH551" s="180"/>
      <c r="AI551" s="180">
        <v>0</v>
      </c>
      <c r="AJ551" s="181">
        <f t="shared" si="147"/>
        <v>0</v>
      </c>
      <c r="AK551" s="246">
        <f t="shared" si="152"/>
        <v>35000000</v>
      </c>
      <c r="AL551" s="181">
        <f t="shared" si="150"/>
        <v>100</v>
      </c>
      <c r="AM551" s="243"/>
    </row>
    <row r="552" spans="1:39" ht="24.75" customHeight="1" x14ac:dyDescent="0.25">
      <c r="A552" s="243"/>
      <c r="B552" s="244"/>
      <c r="C552" s="244"/>
      <c r="D552" s="244"/>
      <c r="E552" s="244"/>
      <c r="F552" s="244"/>
      <c r="G552" s="244"/>
      <c r="H552" s="244"/>
      <c r="I552" s="298"/>
      <c r="J552" s="244" t="s">
        <v>284</v>
      </c>
      <c r="K552" s="245"/>
      <c r="L552" s="257"/>
      <c r="M552" s="591" t="s">
        <v>620</v>
      </c>
      <c r="N552" s="592"/>
      <c r="O552" s="179"/>
      <c r="P552" s="180"/>
      <c r="Q552" s="180">
        <v>36000000</v>
      </c>
      <c r="R552" s="181">
        <f t="shared" si="151"/>
        <v>21.325402937268588</v>
      </c>
      <c r="S552" s="181"/>
      <c r="T552" s="180">
        <f t="shared" si="114"/>
        <v>0</v>
      </c>
      <c r="U552" s="180">
        <f t="shared" si="119"/>
        <v>0</v>
      </c>
      <c r="V552" s="182"/>
      <c r="W552" s="180"/>
      <c r="X552" s="180"/>
      <c r="Y552" s="180"/>
      <c r="Z552" s="180"/>
      <c r="AA552" s="180"/>
      <c r="AB552" s="180"/>
      <c r="AC552" s="180"/>
      <c r="AD552" s="180"/>
      <c r="AE552" s="180"/>
      <c r="AF552" s="180"/>
      <c r="AG552" s="180"/>
      <c r="AH552" s="180"/>
      <c r="AI552" s="180">
        <v>0</v>
      </c>
      <c r="AJ552" s="181">
        <f t="shared" si="147"/>
        <v>0</v>
      </c>
      <c r="AK552" s="246">
        <f t="shared" si="152"/>
        <v>36000000</v>
      </c>
      <c r="AL552" s="181">
        <f t="shared" si="150"/>
        <v>100</v>
      </c>
      <c r="AM552" s="243"/>
    </row>
    <row r="553" spans="1:39" ht="24.75" customHeight="1" x14ac:dyDescent="0.25">
      <c r="A553" s="243"/>
      <c r="B553" s="244"/>
      <c r="C553" s="244"/>
      <c r="D553" s="244"/>
      <c r="E553" s="244"/>
      <c r="F553" s="244"/>
      <c r="G553" s="244"/>
      <c r="H553" s="244"/>
      <c r="I553" s="298"/>
      <c r="J553" s="244" t="s">
        <v>320</v>
      </c>
      <c r="K553" s="245"/>
      <c r="L553" s="257"/>
      <c r="M553" s="591" t="s">
        <v>621</v>
      </c>
      <c r="N553" s="592"/>
      <c r="O553" s="179"/>
      <c r="P553" s="180"/>
      <c r="Q553" s="180">
        <v>10592754</v>
      </c>
      <c r="R553" s="181">
        <f t="shared" si="151"/>
        <v>6.2748540907045447</v>
      </c>
      <c r="S553" s="181">
        <v>100</v>
      </c>
      <c r="T553" s="180">
        <f t="shared" si="114"/>
        <v>0</v>
      </c>
      <c r="U553" s="180">
        <f t="shared" si="119"/>
        <v>0</v>
      </c>
      <c r="V553" s="182">
        <f t="shared" si="146"/>
        <v>100</v>
      </c>
      <c r="W553" s="180"/>
      <c r="X553" s="180"/>
      <c r="Y553" s="180"/>
      <c r="Z553" s="180"/>
      <c r="AA553" s="180"/>
      <c r="AB553" s="180"/>
      <c r="AC553" s="180"/>
      <c r="AD553" s="180"/>
      <c r="AE553" s="180"/>
      <c r="AF553" s="180"/>
      <c r="AG553" s="180"/>
      <c r="AH553" s="180"/>
      <c r="AI553" s="180">
        <v>0</v>
      </c>
      <c r="AJ553" s="181">
        <f t="shared" si="147"/>
        <v>0</v>
      </c>
      <c r="AK553" s="246">
        <f t="shared" si="152"/>
        <v>10592754</v>
      </c>
      <c r="AL553" s="181">
        <f t="shared" si="150"/>
        <v>100</v>
      </c>
      <c r="AM553" s="243"/>
    </row>
    <row r="554" spans="1:39" ht="24.75" customHeight="1" x14ac:dyDescent="0.25">
      <c r="A554" s="243"/>
      <c r="B554" s="244"/>
      <c r="C554" s="244"/>
      <c r="D554" s="244"/>
      <c r="E554" s="244"/>
      <c r="F554" s="244"/>
      <c r="G554" s="244"/>
      <c r="H554" s="244"/>
      <c r="I554" s="298"/>
      <c r="J554" s="244" t="s">
        <v>407</v>
      </c>
      <c r="K554" s="245"/>
      <c r="L554" s="257"/>
      <c r="M554" s="591" t="s">
        <v>321</v>
      </c>
      <c r="N554" s="592"/>
      <c r="O554" s="179"/>
      <c r="P554" s="180"/>
      <c r="Q554" s="180">
        <v>70400000</v>
      </c>
      <c r="R554" s="181">
        <f t="shared" si="151"/>
        <v>41.703010188436359</v>
      </c>
      <c r="S554" s="181">
        <v>100</v>
      </c>
      <c r="T554" s="180">
        <f t="shared" si="114"/>
        <v>0</v>
      </c>
      <c r="U554" s="180">
        <f t="shared" si="119"/>
        <v>0</v>
      </c>
      <c r="V554" s="182">
        <f t="shared" si="146"/>
        <v>100</v>
      </c>
      <c r="W554" s="180"/>
      <c r="X554" s="180"/>
      <c r="Y554" s="180"/>
      <c r="Z554" s="180"/>
      <c r="AA554" s="180"/>
      <c r="AB554" s="180"/>
      <c r="AC554" s="180"/>
      <c r="AD554" s="180"/>
      <c r="AE554" s="180"/>
      <c r="AF554" s="180"/>
      <c r="AG554" s="180"/>
      <c r="AH554" s="180"/>
      <c r="AI554" s="180">
        <v>0</v>
      </c>
      <c r="AJ554" s="181">
        <f t="shared" si="147"/>
        <v>0</v>
      </c>
      <c r="AK554" s="246">
        <f t="shared" si="152"/>
        <v>70400000</v>
      </c>
      <c r="AL554" s="181">
        <f t="shared" si="150"/>
        <v>100</v>
      </c>
      <c r="AM554" s="243"/>
    </row>
    <row r="555" spans="1:39" ht="24.75" customHeight="1" x14ac:dyDescent="0.25">
      <c r="A555" s="243"/>
      <c r="B555" s="244"/>
      <c r="C555" s="244"/>
      <c r="D555" s="244"/>
      <c r="E555" s="244"/>
      <c r="F555" s="244"/>
      <c r="G555" s="244"/>
      <c r="H555" s="244"/>
      <c r="I555" s="298"/>
      <c r="J555" s="244" t="s">
        <v>343</v>
      </c>
      <c r="K555" s="245"/>
      <c r="L555" s="257"/>
      <c r="M555" s="591" t="s">
        <v>414</v>
      </c>
      <c r="N555" s="592"/>
      <c r="O555" s="179"/>
      <c r="P555" s="180"/>
      <c r="Q555" s="180">
        <v>10200000</v>
      </c>
      <c r="R555" s="181">
        <f t="shared" si="151"/>
        <v>6.0421974988927669</v>
      </c>
      <c r="S555" s="181">
        <v>100</v>
      </c>
      <c r="T555" s="180">
        <f t="shared" si="114"/>
        <v>0</v>
      </c>
      <c r="U555" s="180">
        <f t="shared" si="119"/>
        <v>0</v>
      </c>
      <c r="V555" s="182">
        <f t="shared" si="146"/>
        <v>100</v>
      </c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>
        <v>0</v>
      </c>
      <c r="AJ555" s="181">
        <f t="shared" si="147"/>
        <v>0</v>
      </c>
      <c r="AK555" s="246">
        <f t="shared" si="152"/>
        <v>10200000</v>
      </c>
      <c r="AL555" s="181">
        <f t="shared" si="150"/>
        <v>100</v>
      </c>
      <c r="AM555" s="243"/>
    </row>
    <row r="556" spans="1:39" s="297" customFormat="1" ht="24.75" customHeight="1" x14ac:dyDescent="0.25">
      <c r="A556" s="227">
        <f>SUM(A547+1)</f>
        <v>64</v>
      </c>
      <c r="B556" s="228"/>
      <c r="C556" s="228"/>
      <c r="D556" s="228"/>
      <c r="E556" s="228"/>
      <c r="F556" s="228"/>
      <c r="G556" s="228"/>
      <c r="H556" s="228"/>
      <c r="I556" s="229"/>
      <c r="J556" s="304" t="s">
        <v>522</v>
      </c>
      <c r="K556" s="230"/>
      <c r="L556" s="294"/>
      <c r="M556" s="610" t="s">
        <v>202</v>
      </c>
      <c r="N556" s="612"/>
      <c r="O556" s="309"/>
      <c r="P556" s="231"/>
      <c r="Q556" s="231">
        <f>SUM(Q557:Q565)</f>
        <v>311010000</v>
      </c>
      <c r="R556" s="233">
        <f>Q556/Q$243*100</f>
        <v>2.7994289656369609</v>
      </c>
      <c r="S556" s="233">
        <v>100</v>
      </c>
      <c r="T556" s="231">
        <f t="shared" si="114"/>
        <v>0</v>
      </c>
      <c r="U556" s="231">
        <f t="shared" si="119"/>
        <v>0</v>
      </c>
      <c r="V556" s="296">
        <f t="shared" si="146"/>
        <v>100</v>
      </c>
      <c r="W556" s="231"/>
      <c r="X556" s="231"/>
      <c r="Y556" s="231"/>
      <c r="Z556" s="231"/>
      <c r="AA556" s="231"/>
      <c r="AB556" s="231"/>
      <c r="AC556" s="231"/>
      <c r="AD556" s="231"/>
      <c r="AE556" s="231"/>
      <c r="AF556" s="231"/>
      <c r="AG556" s="231"/>
      <c r="AH556" s="231"/>
      <c r="AI556" s="231">
        <f>SUM(AI557:AI565)</f>
        <v>0</v>
      </c>
      <c r="AJ556" s="233">
        <f t="shared" si="147"/>
        <v>0</v>
      </c>
      <c r="AK556" s="234">
        <f>Q556-AI556</f>
        <v>311010000</v>
      </c>
      <c r="AL556" s="233">
        <f t="shared" si="150"/>
        <v>100</v>
      </c>
      <c r="AM556" s="227"/>
    </row>
    <row r="557" spans="1:39" ht="24.75" customHeight="1" x14ac:dyDescent="0.25">
      <c r="A557" s="243"/>
      <c r="B557" s="244"/>
      <c r="C557" s="244"/>
      <c r="D557" s="244"/>
      <c r="E557" s="244"/>
      <c r="F557" s="244"/>
      <c r="G557" s="244"/>
      <c r="H557" s="244"/>
      <c r="I557" s="298"/>
      <c r="J557" s="244" t="s">
        <v>259</v>
      </c>
      <c r="K557" s="245"/>
      <c r="L557" s="257"/>
      <c r="M557" s="591" t="s">
        <v>260</v>
      </c>
      <c r="N557" s="592"/>
      <c r="O557" s="179"/>
      <c r="P557" s="180"/>
      <c r="Q557" s="180">
        <v>2220000</v>
      </c>
      <c r="R557" s="181">
        <f t="shared" ref="R557:R564" si="153">Q557/Q$556*100</f>
        <v>0.71380341468120001</v>
      </c>
      <c r="S557" s="181">
        <v>100</v>
      </c>
      <c r="T557" s="180">
        <f t="shared" si="114"/>
        <v>0</v>
      </c>
      <c r="U557" s="180">
        <f t="shared" si="119"/>
        <v>0</v>
      </c>
      <c r="V557" s="182">
        <f t="shared" si="146"/>
        <v>100</v>
      </c>
      <c r="W557" s="180"/>
      <c r="X557" s="180"/>
      <c r="Y557" s="180"/>
      <c r="Z557" s="180"/>
      <c r="AA557" s="180"/>
      <c r="AB557" s="180"/>
      <c r="AC557" s="180"/>
      <c r="AD557" s="180"/>
      <c r="AE557" s="180"/>
      <c r="AF557" s="180"/>
      <c r="AG557" s="180"/>
      <c r="AH557" s="180"/>
      <c r="AI557" s="180">
        <v>0</v>
      </c>
      <c r="AJ557" s="181">
        <f t="shared" si="147"/>
        <v>0</v>
      </c>
      <c r="AK557" s="246">
        <f t="shared" ref="AK557:AK564" si="154">SUM(Q557-AI557)</f>
        <v>2220000</v>
      </c>
      <c r="AL557" s="181">
        <f t="shared" si="150"/>
        <v>100</v>
      </c>
      <c r="AM557" s="243"/>
    </row>
    <row r="558" spans="1:39" ht="24.75" customHeight="1" x14ac:dyDescent="0.25">
      <c r="A558" s="243"/>
      <c r="B558" s="244"/>
      <c r="C558" s="244"/>
      <c r="D558" s="244"/>
      <c r="E558" s="244"/>
      <c r="F558" s="244"/>
      <c r="G558" s="244"/>
      <c r="H558" s="244"/>
      <c r="I558" s="298"/>
      <c r="J558" s="244" t="s">
        <v>347</v>
      </c>
      <c r="K558" s="245"/>
      <c r="L558" s="257"/>
      <c r="M558" s="591" t="s">
        <v>622</v>
      </c>
      <c r="N558" s="592"/>
      <c r="O558" s="179"/>
      <c r="P558" s="180"/>
      <c r="Q558" s="180">
        <v>44250000</v>
      </c>
      <c r="R558" s="181">
        <f t="shared" si="153"/>
        <v>14.227838333172565</v>
      </c>
      <c r="S558" s="181">
        <v>100</v>
      </c>
      <c r="T558" s="180">
        <f t="shared" si="114"/>
        <v>0</v>
      </c>
      <c r="U558" s="180"/>
      <c r="V558" s="182">
        <f t="shared" si="146"/>
        <v>100</v>
      </c>
      <c r="W558" s="180"/>
      <c r="X558" s="180"/>
      <c r="Y558" s="180"/>
      <c r="Z558" s="180"/>
      <c r="AA558" s="180"/>
      <c r="AB558" s="180"/>
      <c r="AC558" s="180"/>
      <c r="AD558" s="180"/>
      <c r="AE558" s="180"/>
      <c r="AF558" s="180"/>
      <c r="AG558" s="180"/>
      <c r="AH558" s="180"/>
      <c r="AI558" s="180">
        <v>0</v>
      </c>
      <c r="AJ558" s="181">
        <f t="shared" si="147"/>
        <v>0</v>
      </c>
      <c r="AK558" s="246">
        <f t="shared" si="154"/>
        <v>44250000</v>
      </c>
      <c r="AL558" s="181">
        <f t="shared" si="150"/>
        <v>100</v>
      </c>
      <c r="AM558" s="243"/>
    </row>
    <row r="559" spans="1:39" ht="24.75" customHeight="1" x14ac:dyDescent="0.25">
      <c r="A559" s="243"/>
      <c r="B559" s="244"/>
      <c r="C559" s="244"/>
      <c r="D559" s="244"/>
      <c r="E559" s="244"/>
      <c r="F559" s="244"/>
      <c r="G559" s="244"/>
      <c r="H559" s="244"/>
      <c r="I559" s="298"/>
      <c r="J559" s="244" t="s">
        <v>269</v>
      </c>
      <c r="K559" s="245"/>
      <c r="L559" s="257"/>
      <c r="M559" s="591" t="s">
        <v>270</v>
      </c>
      <c r="N559" s="592"/>
      <c r="O559" s="179"/>
      <c r="P559" s="180"/>
      <c r="Q559" s="180">
        <v>15000000</v>
      </c>
      <c r="R559" s="181">
        <f t="shared" si="153"/>
        <v>4.8229960451432428</v>
      </c>
      <c r="S559" s="181">
        <v>100</v>
      </c>
      <c r="T559" s="180">
        <f t="shared" si="114"/>
        <v>0</v>
      </c>
      <c r="U559" s="180">
        <f t="shared" si="119"/>
        <v>0</v>
      </c>
      <c r="V559" s="182">
        <f t="shared" si="146"/>
        <v>100</v>
      </c>
      <c r="W559" s="180"/>
      <c r="X559" s="180"/>
      <c r="Y559" s="180"/>
      <c r="Z559" s="180"/>
      <c r="AA559" s="180"/>
      <c r="AB559" s="180"/>
      <c r="AC559" s="180"/>
      <c r="AD559" s="180"/>
      <c r="AE559" s="180"/>
      <c r="AF559" s="180"/>
      <c r="AG559" s="180"/>
      <c r="AH559" s="180"/>
      <c r="AI559" s="180">
        <v>0</v>
      </c>
      <c r="AJ559" s="181">
        <f t="shared" si="147"/>
        <v>0</v>
      </c>
      <c r="AK559" s="246">
        <f t="shared" si="154"/>
        <v>15000000</v>
      </c>
      <c r="AL559" s="181">
        <f t="shared" si="150"/>
        <v>100</v>
      </c>
      <c r="AM559" s="243"/>
    </row>
    <row r="560" spans="1:39" ht="24.75" customHeight="1" x14ac:dyDescent="0.25">
      <c r="A560" s="243"/>
      <c r="B560" s="244"/>
      <c r="C560" s="244"/>
      <c r="D560" s="244"/>
      <c r="E560" s="244"/>
      <c r="F560" s="244"/>
      <c r="G560" s="244"/>
      <c r="H560" s="244"/>
      <c r="I560" s="298"/>
      <c r="J560" s="244" t="s">
        <v>315</v>
      </c>
      <c r="K560" s="245"/>
      <c r="L560" s="257"/>
      <c r="M560" s="591" t="s">
        <v>271</v>
      </c>
      <c r="N560" s="592"/>
      <c r="O560" s="179"/>
      <c r="P560" s="180"/>
      <c r="Q560" s="180">
        <v>10710000</v>
      </c>
      <c r="R560" s="181">
        <f t="shared" si="153"/>
        <v>3.443619176232275</v>
      </c>
      <c r="S560" s="181">
        <v>100</v>
      </c>
      <c r="T560" s="180">
        <f t="shared" si="114"/>
        <v>0</v>
      </c>
      <c r="U560" s="180">
        <f t="shared" si="119"/>
        <v>0</v>
      </c>
      <c r="V560" s="182">
        <f t="shared" si="146"/>
        <v>100</v>
      </c>
      <c r="W560" s="180"/>
      <c r="X560" s="180"/>
      <c r="Y560" s="180"/>
      <c r="Z560" s="180"/>
      <c r="AA560" s="180"/>
      <c r="AB560" s="180"/>
      <c r="AC560" s="180"/>
      <c r="AD560" s="180"/>
      <c r="AE560" s="180"/>
      <c r="AF560" s="180"/>
      <c r="AG560" s="180"/>
      <c r="AH560" s="180"/>
      <c r="AI560" s="180">
        <v>0</v>
      </c>
      <c r="AJ560" s="181">
        <f t="shared" si="147"/>
        <v>0</v>
      </c>
      <c r="AK560" s="246">
        <f t="shared" si="154"/>
        <v>10710000</v>
      </c>
      <c r="AL560" s="181">
        <f t="shared" si="150"/>
        <v>100</v>
      </c>
      <c r="AM560" s="243"/>
    </row>
    <row r="561" spans="1:39" ht="24.75" customHeight="1" x14ac:dyDescent="0.25">
      <c r="A561" s="243"/>
      <c r="B561" s="244"/>
      <c r="C561" s="244"/>
      <c r="D561" s="244"/>
      <c r="E561" s="244"/>
      <c r="F561" s="244"/>
      <c r="G561" s="244"/>
      <c r="H561" s="244"/>
      <c r="I561" s="298"/>
      <c r="J561" s="244" t="s">
        <v>318</v>
      </c>
      <c r="K561" s="245"/>
      <c r="L561" s="257"/>
      <c r="M561" s="591" t="s">
        <v>319</v>
      </c>
      <c r="N561" s="592"/>
      <c r="O561" s="179"/>
      <c r="P561" s="180"/>
      <c r="Q561" s="180">
        <v>179970000</v>
      </c>
      <c r="R561" s="181">
        <f t="shared" si="153"/>
        <v>57.866306549628632</v>
      </c>
      <c r="S561" s="181">
        <v>100</v>
      </c>
      <c r="T561" s="180">
        <f t="shared" si="114"/>
        <v>0</v>
      </c>
      <c r="U561" s="180">
        <f t="shared" si="119"/>
        <v>0</v>
      </c>
      <c r="V561" s="182">
        <f t="shared" si="146"/>
        <v>100</v>
      </c>
      <c r="W561" s="180"/>
      <c r="X561" s="180"/>
      <c r="Y561" s="180"/>
      <c r="Z561" s="180"/>
      <c r="AA561" s="180"/>
      <c r="AB561" s="180"/>
      <c r="AC561" s="180"/>
      <c r="AD561" s="180"/>
      <c r="AE561" s="180"/>
      <c r="AF561" s="180"/>
      <c r="AG561" s="180"/>
      <c r="AH561" s="180"/>
      <c r="AI561" s="180">
        <v>0</v>
      </c>
      <c r="AJ561" s="181">
        <f t="shared" si="147"/>
        <v>0</v>
      </c>
      <c r="AK561" s="246">
        <f t="shared" si="154"/>
        <v>179970000</v>
      </c>
      <c r="AL561" s="181">
        <f t="shared" si="150"/>
        <v>100</v>
      </c>
      <c r="AM561" s="243"/>
    </row>
    <row r="562" spans="1:39" ht="24.75" customHeight="1" x14ac:dyDescent="0.25">
      <c r="A562" s="243"/>
      <c r="B562" s="244"/>
      <c r="C562" s="244"/>
      <c r="D562" s="244"/>
      <c r="E562" s="244"/>
      <c r="F562" s="244"/>
      <c r="G562" s="244"/>
      <c r="H562" s="244"/>
      <c r="I562" s="298"/>
      <c r="J562" s="244" t="s">
        <v>284</v>
      </c>
      <c r="K562" s="245"/>
      <c r="L562" s="257"/>
      <c r="M562" s="591" t="s">
        <v>285</v>
      </c>
      <c r="N562" s="592"/>
      <c r="O562" s="179"/>
      <c r="P562" s="180"/>
      <c r="Q562" s="180">
        <v>1320000</v>
      </c>
      <c r="R562" s="181">
        <f t="shared" si="153"/>
        <v>0.4244236519726054</v>
      </c>
      <c r="S562" s="181">
        <v>100</v>
      </c>
      <c r="T562" s="180">
        <f t="shared" si="114"/>
        <v>0</v>
      </c>
      <c r="U562" s="180">
        <f t="shared" si="119"/>
        <v>0</v>
      </c>
      <c r="V562" s="182">
        <f t="shared" si="146"/>
        <v>100</v>
      </c>
      <c r="W562" s="180"/>
      <c r="X562" s="180"/>
      <c r="Y562" s="180"/>
      <c r="Z562" s="180"/>
      <c r="AA562" s="180"/>
      <c r="AB562" s="180"/>
      <c r="AC562" s="180"/>
      <c r="AD562" s="180"/>
      <c r="AE562" s="180"/>
      <c r="AF562" s="180"/>
      <c r="AG562" s="180"/>
      <c r="AH562" s="180"/>
      <c r="AI562" s="180">
        <v>0</v>
      </c>
      <c r="AJ562" s="181">
        <f t="shared" si="147"/>
        <v>0</v>
      </c>
      <c r="AK562" s="246">
        <f t="shared" si="154"/>
        <v>1320000</v>
      </c>
      <c r="AL562" s="181">
        <f t="shared" si="150"/>
        <v>100</v>
      </c>
      <c r="AM562" s="243"/>
    </row>
    <row r="563" spans="1:39" ht="24.75" customHeight="1" x14ac:dyDescent="0.25">
      <c r="A563" s="243"/>
      <c r="B563" s="244"/>
      <c r="C563" s="244"/>
      <c r="D563" s="244"/>
      <c r="E563" s="244"/>
      <c r="F563" s="244"/>
      <c r="G563" s="244"/>
      <c r="H563" s="244"/>
      <c r="I563" s="298"/>
      <c r="J563" s="244" t="s">
        <v>282</v>
      </c>
      <c r="K563" s="245"/>
      <c r="L563" s="257"/>
      <c r="M563" s="591" t="s">
        <v>283</v>
      </c>
      <c r="N563" s="592"/>
      <c r="O563" s="179"/>
      <c r="P563" s="180"/>
      <c r="Q563" s="180">
        <v>39540000</v>
      </c>
      <c r="R563" s="181">
        <f t="shared" si="153"/>
        <v>12.713417574997587</v>
      </c>
      <c r="S563" s="181">
        <v>100</v>
      </c>
      <c r="T563" s="180">
        <f t="shared" si="114"/>
        <v>0</v>
      </c>
      <c r="U563" s="180">
        <f t="shared" si="119"/>
        <v>0</v>
      </c>
      <c r="V563" s="182">
        <f t="shared" si="146"/>
        <v>100</v>
      </c>
      <c r="W563" s="180"/>
      <c r="X563" s="180"/>
      <c r="Y563" s="180"/>
      <c r="Z563" s="180"/>
      <c r="AA563" s="180"/>
      <c r="AB563" s="180"/>
      <c r="AC563" s="180"/>
      <c r="AD563" s="180"/>
      <c r="AE563" s="180"/>
      <c r="AF563" s="180"/>
      <c r="AG563" s="180"/>
      <c r="AH563" s="180"/>
      <c r="AI563" s="180">
        <v>0</v>
      </c>
      <c r="AJ563" s="181">
        <f t="shared" si="147"/>
        <v>0</v>
      </c>
      <c r="AK563" s="246">
        <f t="shared" si="154"/>
        <v>39540000</v>
      </c>
      <c r="AL563" s="181">
        <f t="shared" si="150"/>
        <v>100</v>
      </c>
      <c r="AM563" s="243"/>
    </row>
    <row r="564" spans="1:39" ht="24.75" customHeight="1" x14ac:dyDescent="0.25">
      <c r="A564" s="243"/>
      <c r="B564" s="244"/>
      <c r="C564" s="244"/>
      <c r="D564" s="244"/>
      <c r="E564" s="244"/>
      <c r="F564" s="244"/>
      <c r="G564" s="244"/>
      <c r="H564" s="244"/>
      <c r="I564" s="298"/>
      <c r="J564" s="244" t="s">
        <v>320</v>
      </c>
      <c r="K564" s="245"/>
      <c r="L564" s="257"/>
      <c r="M564" s="591" t="s">
        <v>321</v>
      </c>
      <c r="N564" s="592"/>
      <c r="O564" s="179"/>
      <c r="P564" s="180"/>
      <c r="Q564" s="180">
        <v>16200000</v>
      </c>
      <c r="R564" s="181">
        <f t="shared" si="153"/>
        <v>5.2088357287547025</v>
      </c>
      <c r="S564" s="181">
        <v>100</v>
      </c>
      <c r="T564" s="180">
        <f t="shared" si="114"/>
        <v>0</v>
      </c>
      <c r="U564" s="180">
        <f t="shared" si="119"/>
        <v>0</v>
      </c>
      <c r="V564" s="182">
        <f t="shared" si="146"/>
        <v>100</v>
      </c>
      <c r="W564" s="180"/>
      <c r="X564" s="180"/>
      <c r="Y564" s="180"/>
      <c r="Z564" s="180"/>
      <c r="AA564" s="180"/>
      <c r="AB564" s="180"/>
      <c r="AC564" s="180"/>
      <c r="AD564" s="180"/>
      <c r="AE564" s="180"/>
      <c r="AF564" s="180"/>
      <c r="AG564" s="180"/>
      <c r="AH564" s="180"/>
      <c r="AI564" s="180">
        <v>0</v>
      </c>
      <c r="AJ564" s="181">
        <f t="shared" si="147"/>
        <v>0</v>
      </c>
      <c r="AK564" s="246">
        <f t="shared" si="154"/>
        <v>16200000</v>
      </c>
      <c r="AL564" s="181">
        <f t="shared" si="150"/>
        <v>100</v>
      </c>
      <c r="AM564" s="243"/>
    </row>
    <row r="565" spans="1:39" ht="24.75" customHeight="1" x14ac:dyDescent="0.25">
      <c r="A565" s="243"/>
      <c r="B565" s="244"/>
      <c r="C565" s="244"/>
      <c r="D565" s="244"/>
      <c r="E565" s="244"/>
      <c r="F565" s="244"/>
      <c r="G565" s="244"/>
      <c r="H565" s="244"/>
      <c r="I565" s="298"/>
      <c r="J565" s="244" t="s">
        <v>407</v>
      </c>
      <c r="K565" s="245"/>
      <c r="L565" s="257"/>
      <c r="M565" s="591" t="s">
        <v>414</v>
      </c>
      <c r="N565" s="592"/>
      <c r="O565" s="179"/>
      <c r="P565" s="180"/>
      <c r="Q565" s="180">
        <v>1800000</v>
      </c>
      <c r="R565" s="181">
        <f>Q565/Q$556*100</f>
        <v>0.57875952541718911</v>
      </c>
      <c r="S565" s="181">
        <v>100</v>
      </c>
      <c r="T565" s="180">
        <f t="shared" si="114"/>
        <v>0</v>
      </c>
      <c r="U565" s="180">
        <f t="shared" si="119"/>
        <v>0</v>
      </c>
      <c r="V565" s="182">
        <f t="shared" si="146"/>
        <v>100</v>
      </c>
      <c r="W565" s="180"/>
      <c r="X565" s="180"/>
      <c r="Y565" s="180"/>
      <c r="Z565" s="180"/>
      <c r="AA565" s="180"/>
      <c r="AB565" s="180"/>
      <c r="AC565" s="180"/>
      <c r="AD565" s="180"/>
      <c r="AE565" s="180"/>
      <c r="AF565" s="180"/>
      <c r="AG565" s="180"/>
      <c r="AH565" s="180"/>
      <c r="AI565" s="180">
        <v>0</v>
      </c>
      <c r="AJ565" s="181">
        <f t="shared" si="147"/>
        <v>0</v>
      </c>
      <c r="AK565" s="246">
        <f t="shared" ref="AK565:AK628" si="155">Q565-AI565</f>
        <v>1800000</v>
      </c>
      <c r="AL565" s="181">
        <f t="shared" si="150"/>
        <v>100</v>
      </c>
      <c r="AM565" s="243"/>
    </row>
    <row r="566" spans="1:39" s="311" customFormat="1" ht="24.75" customHeight="1" x14ac:dyDescent="0.25">
      <c r="A566" s="227">
        <f>SUM(A556+1)</f>
        <v>65</v>
      </c>
      <c r="B566" s="228"/>
      <c r="C566" s="228"/>
      <c r="D566" s="228"/>
      <c r="E566" s="228"/>
      <c r="F566" s="228"/>
      <c r="G566" s="228"/>
      <c r="H566" s="228"/>
      <c r="I566" s="229"/>
      <c r="J566" s="304" t="s">
        <v>523</v>
      </c>
      <c r="K566" s="230"/>
      <c r="L566" s="294"/>
      <c r="M566" s="609" t="s">
        <v>203</v>
      </c>
      <c r="N566" s="614"/>
      <c r="O566" s="310"/>
      <c r="P566" s="231"/>
      <c r="Q566" s="231">
        <f>SUM(Q567:Q578)</f>
        <v>363103120</v>
      </c>
      <c r="R566" s="233">
        <f>Q566/Q$243*100</f>
        <v>3.2683238212313213</v>
      </c>
      <c r="S566" s="233">
        <v>100</v>
      </c>
      <c r="T566" s="231">
        <f t="shared" si="114"/>
        <v>0</v>
      </c>
      <c r="U566" s="231">
        <f t="shared" si="119"/>
        <v>0</v>
      </c>
      <c r="V566" s="296">
        <f t="shared" si="146"/>
        <v>100</v>
      </c>
      <c r="W566" s="231"/>
      <c r="X566" s="231"/>
      <c r="Y566" s="231"/>
      <c r="Z566" s="231"/>
      <c r="AA566" s="231"/>
      <c r="AB566" s="231"/>
      <c r="AC566" s="231"/>
      <c r="AD566" s="231"/>
      <c r="AE566" s="231"/>
      <c r="AF566" s="231"/>
      <c r="AG566" s="231"/>
      <c r="AH566" s="231"/>
      <c r="AI566" s="231">
        <f>SUM(AI567:AI578)</f>
        <v>0</v>
      </c>
      <c r="AJ566" s="233">
        <f t="shared" si="147"/>
        <v>0</v>
      </c>
      <c r="AK566" s="234">
        <f t="shared" si="155"/>
        <v>363103120</v>
      </c>
      <c r="AL566" s="233">
        <f t="shared" si="150"/>
        <v>100</v>
      </c>
      <c r="AM566" s="227"/>
    </row>
    <row r="567" spans="1:39" ht="24.75" customHeight="1" x14ac:dyDescent="0.25">
      <c r="A567" s="243"/>
      <c r="B567" s="244"/>
      <c r="C567" s="244"/>
      <c r="D567" s="244"/>
      <c r="E567" s="244"/>
      <c r="F567" s="244"/>
      <c r="G567" s="244"/>
      <c r="H567" s="244"/>
      <c r="I567" s="298"/>
      <c r="J567" s="244" t="s">
        <v>259</v>
      </c>
      <c r="K567" s="245"/>
      <c r="L567" s="257"/>
      <c r="M567" s="591" t="s">
        <v>260</v>
      </c>
      <c r="N567" s="592"/>
      <c r="O567" s="179"/>
      <c r="P567" s="180"/>
      <c r="Q567" s="180">
        <v>2310000</v>
      </c>
      <c r="R567" s="181">
        <f t="shared" ref="R567:R578" si="156">Q567/Q$566*100</f>
        <v>0.63618291134485438</v>
      </c>
      <c r="S567" s="181">
        <v>100</v>
      </c>
      <c r="T567" s="180">
        <f t="shared" si="114"/>
        <v>0</v>
      </c>
      <c r="U567" s="180">
        <f t="shared" si="119"/>
        <v>0</v>
      </c>
      <c r="V567" s="182">
        <f t="shared" si="146"/>
        <v>100</v>
      </c>
      <c r="W567" s="180"/>
      <c r="X567" s="180"/>
      <c r="Y567" s="180"/>
      <c r="Z567" s="180"/>
      <c r="AA567" s="180"/>
      <c r="AB567" s="180"/>
      <c r="AC567" s="180"/>
      <c r="AD567" s="180"/>
      <c r="AE567" s="180"/>
      <c r="AF567" s="180"/>
      <c r="AG567" s="180"/>
      <c r="AH567" s="180"/>
      <c r="AI567" s="180">
        <v>0</v>
      </c>
      <c r="AJ567" s="181">
        <f t="shared" si="147"/>
        <v>0</v>
      </c>
      <c r="AK567" s="246">
        <f t="shared" si="155"/>
        <v>2310000</v>
      </c>
      <c r="AL567" s="181">
        <f t="shared" si="150"/>
        <v>100</v>
      </c>
      <c r="AM567" s="243"/>
    </row>
    <row r="568" spans="1:39" ht="24.75" customHeight="1" x14ac:dyDescent="0.25">
      <c r="A568" s="243"/>
      <c r="B568" s="244"/>
      <c r="C568" s="244"/>
      <c r="D568" s="244"/>
      <c r="E568" s="244"/>
      <c r="F568" s="244"/>
      <c r="G568" s="244"/>
      <c r="H568" s="244"/>
      <c r="I568" s="298"/>
      <c r="J568" s="244" t="s">
        <v>326</v>
      </c>
      <c r="K568" s="245"/>
      <c r="L568" s="257"/>
      <c r="M568" s="591" t="s">
        <v>327</v>
      </c>
      <c r="N568" s="592"/>
      <c r="O568" s="179"/>
      <c r="P568" s="180"/>
      <c r="Q568" s="180">
        <v>140400000</v>
      </c>
      <c r="R568" s="181">
        <f t="shared" si="156"/>
        <v>38.666701624596342</v>
      </c>
      <c r="S568" s="181">
        <v>100</v>
      </c>
      <c r="T568" s="180">
        <f t="shared" si="114"/>
        <v>0</v>
      </c>
      <c r="U568" s="180">
        <f t="shared" si="119"/>
        <v>0</v>
      </c>
      <c r="V568" s="182">
        <f t="shared" si="146"/>
        <v>100</v>
      </c>
      <c r="W568" s="180"/>
      <c r="X568" s="180"/>
      <c r="Y568" s="180"/>
      <c r="Z568" s="180"/>
      <c r="AA568" s="180"/>
      <c r="AB568" s="180"/>
      <c r="AC568" s="180"/>
      <c r="AD568" s="180"/>
      <c r="AE568" s="180"/>
      <c r="AF568" s="180"/>
      <c r="AG568" s="180"/>
      <c r="AH568" s="180"/>
      <c r="AI568" s="180">
        <v>0</v>
      </c>
      <c r="AJ568" s="181">
        <f t="shared" si="147"/>
        <v>0</v>
      </c>
      <c r="AK568" s="246">
        <f t="shared" si="155"/>
        <v>140400000</v>
      </c>
      <c r="AL568" s="181">
        <f t="shared" si="150"/>
        <v>100</v>
      </c>
      <c r="AM568" s="243"/>
    </row>
    <row r="569" spans="1:39" ht="24.75" customHeight="1" x14ac:dyDescent="0.25">
      <c r="A569" s="243"/>
      <c r="B569" s="244"/>
      <c r="C569" s="244"/>
      <c r="D569" s="244"/>
      <c r="E569" s="244"/>
      <c r="F569" s="244"/>
      <c r="G569" s="244"/>
      <c r="H569" s="244"/>
      <c r="I569" s="298"/>
      <c r="J569" s="244" t="s">
        <v>269</v>
      </c>
      <c r="K569" s="245"/>
      <c r="L569" s="257"/>
      <c r="M569" s="591" t="s">
        <v>270</v>
      </c>
      <c r="N569" s="592"/>
      <c r="O569" s="179"/>
      <c r="P569" s="180"/>
      <c r="Q569" s="180">
        <v>22000000</v>
      </c>
      <c r="R569" s="181">
        <f t="shared" si="156"/>
        <v>6.0588848699509938</v>
      </c>
      <c r="S569" s="181">
        <v>100</v>
      </c>
      <c r="T569" s="180">
        <f t="shared" si="114"/>
        <v>0</v>
      </c>
      <c r="U569" s="180">
        <f t="shared" si="119"/>
        <v>0</v>
      </c>
      <c r="V569" s="182">
        <f t="shared" si="146"/>
        <v>100</v>
      </c>
      <c r="W569" s="180"/>
      <c r="X569" s="180"/>
      <c r="Y569" s="180"/>
      <c r="Z569" s="180"/>
      <c r="AA569" s="180"/>
      <c r="AB569" s="180"/>
      <c r="AC569" s="180"/>
      <c r="AD569" s="180"/>
      <c r="AE569" s="180"/>
      <c r="AF569" s="180"/>
      <c r="AG569" s="180"/>
      <c r="AH569" s="180"/>
      <c r="AI569" s="180">
        <v>0</v>
      </c>
      <c r="AJ569" s="181">
        <f t="shared" si="147"/>
        <v>0</v>
      </c>
      <c r="AK569" s="246">
        <f t="shared" si="155"/>
        <v>22000000</v>
      </c>
      <c r="AL569" s="181">
        <f t="shared" si="150"/>
        <v>100</v>
      </c>
      <c r="AM569" s="243"/>
    </row>
    <row r="570" spans="1:39" ht="24.75" customHeight="1" x14ac:dyDescent="0.25">
      <c r="A570" s="243"/>
      <c r="B570" s="244"/>
      <c r="C570" s="244"/>
      <c r="D570" s="244"/>
      <c r="E570" s="244"/>
      <c r="F570" s="244"/>
      <c r="G570" s="244"/>
      <c r="H570" s="244"/>
      <c r="I570" s="298"/>
      <c r="J570" s="244" t="s">
        <v>315</v>
      </c>
      <c r="K570" s="245"/>
      <c r="L570" s="257"/>
      <c r="M570" s="591" t="s">
        <v>271</v>
      </c>
      <c r="N570" s="592"/>
      <c r="O570" s="179"/>
      <c r="P570" s="180"/>
      <c r="Q570" s="180">
        <v>4500000</v>
      </c>
      <c r="R570" s="181">
        <f t="shared" si="156"/>
        <v>1.2393173597627032</v>
      </c>
      <c r="S570" s="181">
        <v>100</v>
      </c>
      <c r="T570" s="180">
        <f t="shared" si="114"/>
        <v>0</v>
      </c>
      <c r="U570" s="180">
        <f t="shared" si="119"/>
        <v>0</v>
      </c>
      <c r="V570" s="182">
        <f t="shared" si="146"/>
        <v>100</v>
      </c>
      <c r="W570" s="180"/>
      <c r="X570" s="180"/>
      <c r="Y570" s="180"/>
      <c r="Z570" s="180"/>
      <c r="AA570" s="180"/>
      <c r="AB570" s="180"/>
      <c r="AC570" s="180"/>
      <c r="AD570" s="180"/>
      <c r="AE570" s="180"/>
      <c r="AF570" s="180"/>
      <c r="AG570" s="180"/>
      <c r="AH570" s="180"/>
      <c r="AI570" s="180">
        <v>0</v>
      </c>
      <c r="AJ570" s="181">
        <f t="shared" si="147"/>
        <v>0</v>
      </c>
      <c r="AK570" s="246">
        <f t="shared" si="155"/>
        <v>4500000</v>
      </c>
      <c r="AL570" s="181">
        <f t="shared" si="150"/>
        <v>100</v>
      </c>
      <c r="AM570" s="243"/>
    </row>
    <row r="571" spans="1:39" ht="24.75" customHeight="1" x14ac:dyDescent="0.25">
      <c r="A571" s="243"/>
      <c r="B571" s="244"/>
      <c r="C571" s="244"/>
      <c r="D571" s="244"/>
      <c r="E571" s="244"/>
      <c r="F571" s="244"/>
      <c r="G571" s="244"/>
      <c r="H571" s="244"/>
      <c r="I571" s="298"/>
      <c r="J571" s="244" t="s">
        <v>316</v>
      </c>
      <c r="K571" s="245"/>
      <c r="L571" s="257"/>
      <c r="M571" s="591" t="s">
        <v>317</v>
      </c>
      <c r="N571" s="592"/>
      <c r="O571" s="179"/>
      <c r="P571" s="180"/>
      <c r="Q571" s="180">
        <v>600000</v>
      </c>
      <c r="R571" s="181">
        <f t="shared" si="156"/>
        <v>0.16524231463502709</v>
      </c>
      <c r="S571" s="181">
        <v>100</v>
      </c>
      <c r="T571" s="180">
        <f t="shared" si="114"/>
        <v>0</v>
      </c>
      <c r="U571" s="180">
        <f t="shared" si="119"/>
        <v>0</v>
      </c>
      <c r="V571" s="182">
        <f t="shared" si="146"/>
        <v>100</v>
      </c>
      <c r="W571" s="180"/>
      <c r="X571" s="180"/>
      <c r="Y571" s="180"/>
      <c r="Z571" s="180"/>
      <c r="AA571" s="180"/>
      <c r="AB571" s="180"/>
      <c r="AC571" s="180"/>
      <c r="AD571" s="180"/>
      <c r="AE571" s="180"/>
      <c r="AF571" s="180"/>
      <c r="AG571" s="180"/>
      <c r="AH571" s="180"/>
      <c r="AI571" s="180">
        <v>0</v>
      </c>
      <c r="AJ571" s="181">
        <f t="shared" si="147"/>
        <v>0</v>
      </c>
      <c r="AK571" s="246">
        <f t="shared" si="155"/>
        <v>600000</v>
      </c>
      <c r="AL571" s="181">
        <f t="shared" si="150"/>
        <v>100</v>
      </c>
      <c r="AM571" s="243"/>
    </row>
    <row r="572" spans="1:39" ht="24.75" customHeight="1" x14ac:dyDescent="0.25">
      <c r="A572" s="243"/>
      <c r="B572" s="244"/>
      <c r="C572" s="244"/>
      <c r="D572" s="244"/>
      <c r="E572" s="244"/>
      <c r="F572" s="244"/>
      <c r="G572" s="244"/>
      <c r="H572" s="244"/>
      <c r="I572" s="298"/>
      <c r="J572" s="244" t="s">
        <v>328</v>
      </c>
      <c r="K572" s="245"/>
      <c r="L572" s="257"/>
      <c r="M572" s="591" t="s">
        <v>329</v>
      </c>
      <c r="N572" s="592"/>
      <c r="O572" s="179"/>
      <c r="P572" s="180"/>
      <c r="Q572" s="180">
        <v>8250000</v>
      </c>
      <c r="R572" s="181">
        <f t="shared" si="156"/>
        <v>2.2720818262316222</v>
      </c>
      <c r="S572" s="181">
        <v>100</v>
      </c>
      <c r="T572" s="180">
        <f t="shared" si="114"/>
        <v>0</v>
      </c>
      <c r="U572" s="180">
        <f t="shared" si="119"/>
        <v>0</v>
      </c>
      <c r="V572" s="182">
        <f t="shared" si="146"/>
        <v>100</v>
      </c>
      <c r="W572" s="180"/>
      <c r="X572" s="180"/>
      <c r="Y572" s="180"/>
      <c r="Z572" s="180"/>
      <c r="AA572" s="180"/>
      <c r="AB572" s="180"/>
      <c r="AC572" s="180"/>
      <c r="AD572" s="180"/>
      <c r="AE572" s="180"/>
      <c r="AF572" s="180"/>
      <c r="AG572" s="180"/>
      <c r="AH572" s="180"/>
      <c r="AI572" s="180">
        <v>0</v>
      </c>
      <c r="AJ572" s="181">
        <f t="shared" si="147"/>
        <v>0</v>
      </c>
      <c r="AK572" s="246">
        <f t="shared" si="155"/>
        <v>8250000</v>
      </c>
      <c r="AL572" s="181">
        <f t="shared" si="150"/>
        <v>100</v>
      </c>
      <c r="AM572" s="243"/>
    </row>
    <row r="573" spans="1:39" ht="24.75" customHeight="1" x14ac:dyDescent="0.25">
      <c r="A573" s="243"/>
      <c r="B573" s="244"/>
      <c r="C573" s="244"/>
      <c r="D573" s="244"/>
      <c r="E573" s="244"/>
      <c r="F573" s="244"/>
      <c r="G573" s="244"/>
      <c r="H573" s="244"/>
      <c r="I573" s="298"/>
      <c r="J573" s="244" t="s">
        <v>318</v>
      </c>
      <c r="K573" s="245"/>
      <c r="L573" s="257"/>
      <c r="M573" s="591" t="s">
        <v>319</v>
      </c>
      <c r="N573" s="592"/>
      <c r="O573" s="179"/>
      <c r="P573" s="180"/>
      <c r="Q573" s="180">
        <v>100000000</v>
      </c>
      <c r="R573" s="181">
        <f t="shared" si="156"/>
        <v>27.540385772504518</v>
      </c>
      <c r="S573" s="181">
        <v>100</v>
      </c>
      <c r="T573" s="180">
        <f t="shared" si="114"/>
        <v>0</v>
      </c>
      <c r="U573" s="180">
        <f t="shared" si="119"/>
        <v>0</v>
      </c>
      <c r="V573" s="182">
        <v>100</v>
      </c>
      <c r="W573" s="180"/>
      <c r="X573" s="180"/>
      <c r="Y573" s="180"/>
      <c r="Z573" s="180"/>
      <c r="AA573" s="180"/>
      <c r="AB573" s="180"/>
      <c r="AC573" s="180"/>
      <c r="AD573" s="180"/>
      <c r="AE573" s="180"/>
      <c r="AF573" s="180"/>
      <c r="AG573" s="180"/>
      <c r="AH573" s="180"/>
      <c r="AI573" s="180">
        <v>0</v>
      </c>
      <c r="AJ573" s="181">
        <f t="shared" si="147"/>
        <v>0</v>
      </c>
      <c r="AK573" s="246">
        <f t="shared" si="155"/>
        <v>100000000</v>
      </c>
      <c r="AL573" s="181">
        <f t="shared" si="150"/>
        <v>100</v>
      </c>
      <c r="AM573" s="243"/>
    </row>
    <row r="574" spans="1:39" ht="24.75" customHeight="1" x14ac:dyDescent="0.25">
      <c r="A574" s="243"/>
      <c r="B574" s="244"/>
      <c r="C574" s="244"/>
      <c r="D574" s="244"/>
      <c r="E574" s="244"/>
      <c r="F574" s="244"/>
      <c r="G574" s="244"/>
      <c r="H574" s="244"/>
      <c r="I574" s="298"/>
      <c r="J574" s="244" t="s">
        <v>280</v>
      </c>
      <c r="K574" s="245"/>
      <c r="L574" s="257"/>
      <c r="M574" s="591" t="s">
        <v>281</v>
      </c>
      <c r="N574" s="592"/>
      <c r="O574" s="179"/>
      <c r="P574" s="180"/>
      <c r="Q574" s="180">
        <v>9500000</v>
      </c>
      <c r="R574" s="181">
        <f t="shared" si="156"/>
        <v>2.6163366483879291</v>
      </c>
      <c r="S574" s="181">
        <v>100</v>
      </c>
      <c r="T574" s="180">
        <f t="shared" si="114"/>
        <v>0</v>
      </c>
      <c r="U574" s="180">
        <f t="shared" si="119"/>
        <v>0</v>
      </c>
      <c r="V574" s="182">
        <f t="shared" si="146"/>
        <v>100</v>
      </c>
      <c r="W574" s="180"/>
      <c r="X574" s="180"/>
      <c r="Y574" s="180"/>
      <c r="Z574" s="180"/>
      <c r="AA574" s="180"/>
      <c r="AB574" s="180"/>
      <c r="AC574" s="180"/>
      <c r="AD574" s="180"/>
      <c r="AE574" s="180"/>
      <c r="AF574" s="180"/>
      <c r="AG574" s="180"/>
      <c r="AH574" s="180"/>
      <c r="AI574" s="180">
        <v>0</v>
      </c>
      <c r="AJ574" s="181">
        <f t="shared" si="147"/>
        <v>0</v>
      </c>
      <c r="AK574" s="246">
        <f t="shared" si="155"/>
        <v>9500000</v>
      </c>
      <c r="AL574" s="181">
        <f t="shared" si="150"/>
        <v>100</v>
      </c>
      <c r="AM574" s="243"/>
    </row>
    <row r="575" spans="1:39" ht="24.75" customHeight="1" x14ac:dyDescent="0.25">
      <c r="A575" s="243"/>
      <c r="B575" s="244"/>
      <c r="C575" s="244"/>
      <c r="D575" s="244"/>
      <c r="E575" s="244"/>
      <c r="F575" s="244"/>
      <c r="G575" s="244"/>
      <c r="H575" s="244"/>
      <c r="I575" s="298"/>
      <c r="J575" s="244" t="s">
        <v>284</v>
      </c>
      <c r="K575" s="245"/>
      <c r="L575" s="257"/>
      <c r="M575" s="591" t="s">
        <v>285</v>
      </c>
      <c r="N575" s="592"/>
      <c r="O575" s="179"/>
      <c r="P575" s="180"/>
      <c r="Q575" s="180">
        <v>3000000</v>
      </c>
      <c r="R575" s="181">
        <f t="shared" si="156"/>
        <v>0.82621157317513538</v>
      </c>
      <c r="S575" s="181">
        <v>100</v>
      </c>
      <c r="T575" s="180">
        <f t="shared" si="114"/>
        <v>0</v>
      </c>
      <c r="U575" s="180">
        <f t="shared" si="119"/>
        <v>0</v>
      </c>
      <c r="V575" s="182">
        <f t="shared" si="146"/>
        <v>100</v>
      </c>
      <c r="W575" s="180"/>
      <c r="X575" s="180"/>
      <c r="Y575" s="180"/>
      <c r="Z575" s="180"/>
      <c r="AA575" s="180"/>
      <c r="AB575" s="180"/>
      <c r="AC575" s="180"/>
      <c r="AD575" s="180"/>
      <c r="AE575" s="180"/>
      <c r="AF575" s="180"/>
      <c r="AG575" s="180"/>
      <c r="AH575" s="180"/>
      <c r="AI575" s="180">
        <v>0</v>
      </c>
      <c r="AJ575" s="181">
        <f t="shared" si="147"/>
        <v>0</v>
      </c>
      <c r="AK575" s="246">
        <f t="shared" si="155"/>
        <v>3000000</v>
      </c>
      <c r="AL575" s="181">
        <f t="shared" si="150"/>
        <v>100</v>
      </c>
      <c r="AM575" s="243"/>
    </row>
    <row r="576" spans="1:39" ht="24.75" customHeight="1" x14ac:dyDescent="0.25">
      <c r="A576" s="243"/>
      <c r="B576" s="244"/>
      <c r="C576" s="244"/>
      <c r="D576" s="244"/>
      <c r="E576" s="244"/>
      <c r="F576" s="244"/>
      <c r="G576" s="244"/>
      <c r="H576" s="244"/>
      <c r="I576" s="298"/>
      <c r="J576" s="244" t="s">
        <v>282</v>
      </c>
      <c r="K576" s="245"/>
      <c r="L576" s="257"/>
      <c r="M576" s="591" t="s">
        <v>283</v>
      </c>
      <c r="N576" s="592"/>
      <c r="O576" s="179"/>
      <c r="P576" s="180"/>
      <c r="Q576" s="180">
        <v>32443120</v>
      </c>
      <c r="R576" s="181">
        <f t="shared" si="156"/>
        <v>8.934960404636568</v>
      </c>
      <c r="S576" s="181">
        <v>100</v>
      </c>
      <c r="T576" s="180">
        <f t="shared" si="114"/>
        <v>0</v>
      </c>
      <c r="U576" s="180">
        <f t="shared" si="119"/>
        <v>0</v>
      </c>
      <c r="V576" s="182">
        <f t="shared" si="146"/>
        <v>100</v>
      </c>
      <c r="W576" s="180"/>
      <c r="X576" s="180"/>
      <c r="Y576" s="180"/>
      <c r="Z576" s="180"/>
      <c r="AA576" s="180"/>
      <c r="AB576" s="180"/>
      <c r="AC576" s="180"/>
      <c r="AD576" s="180"/>
      <c r="AE576" s="180"/>
      <c r="AF576" s="180"/>
      <c r="AG576" s="180"/>
      <c r="AH576" s="180"/>
      <c r="AI576" s="180">
        <v>0</v>
      </c>
      <c r="AJ576" s="181">
        <f t="shared" si="147"/>
        <v>0</v>
      </c>
      <c r="AK576" s="246">
        <f t="shared" si="155"/>
        <v>32443120</v>
      </c>
      <c r="AL576" s="181">
        <f t="shared" si="150"/>
        <v>100</v>
      </c>
      <c r="AM576" s="243"/>
    </row>
    <row r="577" spans="1:39" ht="24.75" customHeight="1" x14ac:dyDescent="0.25">
      <c r="A577" s="243"/>
      <c r="B577" s="244"/>
      <c r="C577" s="244"/>
      <c r="D577" s="244"/>
      <c r="E577" s="244"/>
      <c r="F577" s="244"/>
      <c r="G577" s="244"/>
      <c r="H577" s="244"/>
      <c r="I577" s="298"/>
      <c r="J577" s="244" t="s">
        <v>320</v>
      </c>
      <c r="K577" s="245"/>
      <c r="L577" s="257"/>
      <c r="M577" s="591" t="s">
        <v>321</v>
      </c>
      <c r="N577" s="592"/>
      <c r="O577" s="179"/>
      <c r="P577" s="180"/>
      <c r="Q577" s="180">
        <v>20000000</v>
      </c>
      <c r="R577" s="181">
        <f t="shared" si="156"/>
        <v>5.5080771545009029</v>
      </c>
      <c r="S577" s="181">
        <v>100</v>
      </c>
      <c r="T577" s="180">
        <f t="shared" si="114"/>
        <v>0</v>
      </c>
      <c r="U577" s="180">
        <f t="shared" si="119"/>
        <v>0</v>
      </c>
      <c r="V577" s="182">
        <f t="shared" si="146"/>
        <v>100</v>
      </c>
      <c r="W577" s="180"/>
      <c r="X577" s="180"/>
      <c r="Y577" s="180"/>
      <c r="Z577" s="180"/>
      <c r="AA577" s="180"/>
      <c r="AB577" s="180"/>
      <c r="AC577" s="180"/>
      <c r="AD577" s="180"/>
      <c r="AE577" s="180"/>
      <c r="AF577" s="180"/>
      <c r="AG577" s="180"/>
      <c r="AH577" s="180"/>
      <c r="AI577" s="180">
        <v>0</v>
      </c>
      <c r="AJ577" s="181">
        <f t="shared" si="147"/>
        <v>0</v>
      </c>
      <c r="AK577" s="246">
        <f t="shared" si="155"/>
        <v>20000000</v>
      </c>
      <c r="AL577" s="181">
        <f t="shared" si="150"/>
        <v>100</v>
      </c>
      <c r="AM577" s="243"/>
    </row>
    <row r="578" spans="1:39" ht="24.75" customHeight="1" x14ac:dyDescent="0.25">
      <c r="A578" s="243"/>
      <c r="B578" s="244"/>
      <c r="C578" s="244"/>
      <c r="D578" s="244"/>
      <c r="E578" s="244"/>
      <c r="F578" s="244"/>
      <c r="G578" s="244"/>
      <c r="H578" s="244"/>
      <c r="I578" s="298"/>
      <c r="J578" s="244" t="s">
        <v>407</v>
      </c>
      <c r="K578" s="245"/>
      <c r="L578" s="257"/>
      <c r="M578" s="591" t="s">
        <v>414</v>
      </c>
      <c r="N578" s="592"/>
      <c r="O578" s="179"/>
      <c r="P578" s="180"/>
      <c r="Q578" s="180">
        <v>20100000</v>
      </c>
      <c r="R578" s="181">
        <f t="shared" si="156"/>
        <v>5.5356175402734076</v>
      </c>
      <c r="S578" s="181">
        <v>100</v>
      </c>
      <c r="T578" s="180">
        <f t="shared" si="114"/>
        <v>0</v>
      </c>
      <c r="U578" s="180">
        <f t="shared" si="119"/>
        <v>0</v>
      </c>
      <c r="V578" s="182">
        <v>100</v>
      </c>
      <c r="W578" s="180"/>
      <c r="X578" s="180"/>
      <c r="Y578" s="180"/>
      <c r="Z578" s="180"/>
      <c r="AA578" s="180"/>
      <c r="AB578" s="180"/>
      <c r="AC578" s="180"/>
      <c r="AD578" s="180"/>
      <c r="AE578" s="180"/>
      <c r="AF578" s="180"/>
      <c r="AG578" s="180"/>
      <c r="AH578" s="180"/>
      <c r="AI578" s="180">
        <v>0</v>
      </c>
      <c r="AJ578" s="181">
        <f t="shared" si="147"/>
        <v>0</v>
      </c>
      <c r="AK578" s="246">
        <f t="shared" si="155"/>
        <v>20100000</v>
      </c>
      <c r="AL578" s="181">
        <f t="shared" si="150"/>
        <v>100</v>
      </c>
      <c r="AM578" s="243"/>
    </row>
    <row r="579" spans="1:39" s="311" customFormat="1" ht="24.75" customHeight="1" x14ac:dyDescent="0.25">
      <c r="A579" s="227">
        <f>SUM(A566+1)</f>
        <v>66</v>
      </c>
      <c r="B579" s="228"/>
      <c r="C579" s="228"/>
      <c r="D579" s="228"/>
      <c r="E579" s="228"/>
      <c r="F579" s="228"/>
      <c r="G579" s="228"/>
      <c r="H579" s="228"/>
      <c r="I579" s="229"/>
      <c r="J579" s="304" t="s">
        <v>524</v>
      </c>
      <c r="K579" s="230"/>
      <c r="L579" s="294"/>
      <c r="M579" s="609" t="s">
        <v>204</v>
      </c>
      <c r="N579" s="614"/>
      <c r="O579" s="310"/>
      <c r="P579" s="231"/>
      <c r="Q579" s="231">
        <f>SUM(Q580:Q586)</f>
        <v>161972105</v>
      </c>
      <c r="R579" s="233">
        <f>Q579/Q$243*100</f>
        <v>1.4579254762296749</v>
      </c>
      <c r="S579" s="233">
        <v>100</v>
      </c>
      <c r="T579" s="231">
        <f t="shared" si="114"/>
        <v>0</v>
      </c>
      <c r="U579" s="231">
        <f t="shared" si="119"/>
        <v>0</v>
      </c>
      <c r="V579" s="296">
        <f t="shared" si="146"/>
        <v>100</v>
      </c>
      <c r="W579" s="231"/>
      <c r="X579" s="231"/>
      <c r="Y579" s="231"/>
      <c r="Z579" s="231"/>
      <c r="AA579" s="231"/>
      <c r="AB579" s="231"/>
      <c r="AC579" s="231"/>
      <c r="AD579" s="231"/>
      <c r="AE579" s="231"/>
      <c r="AF579" s="231"/>
      <c r="AG579" s="231"/>
      <c r="AH579" s="231"/>
      <c r="AI579" s="231">
        <f>SUM(AI580:AI586)</f>
        <v>0</v>
      </c>
      <c r="AJ579" s="233">
        <f t="shared" si="147"/>
        <v>0</v>
      </c>
      <c r="AK579" s="234">
        <f t="shared" si="155"/>
        <v>161972105</v>
      </c>
      <c r="AL579" s="233">
        <f t="shared" si="150"/>
        <v>100</v>
      </c>
      <c r="AM579" s="227"/>
    </row>
    <row r="580" spans="1:39" ht="24.75" customHeight="1" x14ac:dyDescent="0.25">
      <c r="A580" s="243"/>
      <c r="B580" s="244"/>
      <c r="C580" s="244"/>
      <c r="D580" s="244"/>
      <c r="E580" s="244"/>
      <c r="F580" s="244"/>
      <c r="G580" s="244"/>
      <c r="H580" s="244"/>
      <c r="I580" s="298"/>
      <c r="J580" s="244" t="s">
        <v>257</v>
      </c>
      <c r="K580" s="245"/>
      <c r="L580" s="257"/>
      <c r="M580" s="591" t="s">
        <v>260</v>
      </c>
      <c r="N580" s="592"/>
      <c r="O580" s="179"/>
      <c r="P580" s="180"/>
      <c r="Q580" s="180">
        <v>1540000</v>
      </c>
      <c r="R580" s="181">
        <f>Q580/Q$579*100</f>
        <v>0.95078100022222956</v>
      </c>
      <c r="S580" s="181">
        <v>100</v>
      </c>
      <c r="T580" s="180">
        <f t="shared" si="114"/>
        <v>0</v>
      </c>
      <c r="U580" s="180">
        <f t="shared" si="119"/>
        <v>0</v>
      </c>
      <c r="V580" s="182">
        <f t="shared" si="146"/>
        <v>100</v>
      </c>
      <c r="W580" s="180"/>
      <c r="X580" s="180"/>
      <c r="Y580" s="180"/>
      <c r="Z580" s="180"/>
      <c r="AA580" s="180"/>
      <c r="AB580" s="180"/>
      <c r="AC580" s="180"/>
      <c r="AD580" s="180"/>
      <c r="AE580" s="180"/>
      <c r="AF580" s="180"/>
      <c r="AG580" s="180"/>
      <c r="AH580" s="180"/>
      <c r="AI580" s="180">
        <v>0</v>
      </c>
      <c r="AJ580" s="181">
        <f t="shared" si="147"/>
        <v>0</v>
      </c>
      <c r="AK580" s="246">
        <f t="shared" si="155"/>
        <v>1540000</v>
      </c>
      <c r="AL580" s="181">
        <f t="shared" si="150"/>
        <v>100</v>
      </c>
      <c r="AM580" s="243"/>
    </row>
    <row r="581" spans="1:39" ht="24.75" customHeight="1" x14ac:dyDescent="0.25">
      <c r="A581" s="243"/>
      <c r="B581" s="244"/>
      <c r="C581" s="244"/>
      <c r="D581" s="244"/>
      <c r="E581" s="244"/>
      <c r="F581" s="244"/>
      <c r="G581" s="244"/>
      <c r="H581" s="244"/>
      <c r="I581" s="298"/>
      <c r="J581" s="244" t="s">
        <v>315</v>
      </c>
      <c r="K581" s="245"/>
      <c r="L581" s="257"/>
      <c r="M581" s="591" t="s">
        <v>271</v>
      </c>
      <c r="N581" s="592"/>
      <c r="O581" s="179"/>
      <c r="P581" s="180"/>
      <c r="Q581" s="180">
        <v>2000000</v>
      </c>
      <c r="R581" s="181">
        <f t="shared" ref="R581:R586" si="157">Q581/Q$579*100</f>
        <v>1.2347805197691293</v>
      </c>
      <c r="S581" s="181">
        <v>100</v>
      </c>
      <c r="T581" s="180">
        <f t="shared" si="114"/>
        <v>0</v>
      </c>
      <c r="U581" s="180">
        <f t="shared" si="119"/>
        <v>0</v>
      </c>
      <c r="V581" s="182">
        <f t="shared" si="146"/>
        <v>100</v>
      </c>
      <c r="W581" s="180"/>
      <c r="X581" s="180"/>
      <c r="Y581" s="180"/>
      <c r="Z581" s="180"/>
      <c r="AA581" s="180"/>
      <c r="AB581" s="180"/>
      <c r="AC581" s="180"/>
      <c r="AD581" s="180"/>
      <c r="AE581" s="180"/>
      <c r="AF581" s="180"/>
      <c r="AG581" s="180"/>
      <c r="AH581" s="180"/>
      <c r="AI581" s="180">
        <v>0</v>
      </c>
      <c r="AJ581" s="181">
        <f t="shared" si="147"/>
        <v>0</v>
      </c>
      <c r="AK581" s="246">
        <f t="shared" si="155"/>
        <v>2000000</v>
      </c>
      <c r="AL581" s="181">
        <f t="shared" si="150"/>
        <v>100</v>
      </c>
      <c r="AM581" s="243"/>
    </row>
    <row r="582" spans="1:39" ht="30" customHeight="1" x14ac:dyDescent="0.25">
      <c r="A582" s="243"/>
      <c r="B582" s="244"/>
      <c r="C582" s="244"/>
      <c r="D582" s="244"/>
      <c r="E582" s="244"/>
      <c r="F582" s="244"/>
      <c r="G582" s="244"/>
      <c r="H582" s="244"/>
      <c r="I582" s="298"/>
      <c r="J582" s="244" t="s">
        <v>318</v>
      </c>
      <c r="K582" s="245"/>
      <c r="L582" s="257"/>
      <c r="M582" s="591" t="s">
        <v>319</v>
      </c>
      <c r="N582" s="592"/>
      <c r="O582" s="179"/>
      <c r="P582" s="180"/>
      <c r="Q582" s="180">
        <v>74250000</v>
      </c>
      <c r="R582" s="181">
        <f t="shared" si="157"/>
        <v>45.841226796428927</v>
      </c>
      <c r="S582" s="181">
        <v>100</v>
      </c>
      <c r="T582" s="180">
        <f t="shared" si="114"/>
        <v>0</v>
      </c>
      <c r="U582" s="180">
        <f t="shared" si="119"/>
        <v>0</v>
      </c>
      <c r="V582" s="182">
        <f t="shared" si="146"/>
        <v>100</v>
      </c>
      <c r="W582" s="180"/>
      <c r="X582" s="180"/>
      <c r="Y582" s="180"/>
      <c r="Z582" s="180"/>
      <c r="AA582" s="180"/>
      <c r="AB582" s="180"/>
      <c r="AC582" s="180"/>
      <c r="AD582" s="180"/>
      <c r="AE582" s="180"/>
      <c r="AF582" s="180"/>
      <c r="AG582" s="180"/>
      <c r="AH582" s="180"/>
      <c r="AI582" s="180">
        <v>0</v>
      </c>
      <c r="AJ582" s="181">
        <f t="shared" si="147"/>
        <v>0</v>
      </c>
      <c r="AK582" s="246">
        <f t="shared" si="155"/>
        <v>74250000</v>
      </c>
      <c r="AL582" s="181">
        <f t="shared" si="150"/>
        <v>100</v>
      </c>
      <c r="AM582" s="243"/>
    </row>
    <row r="583" spans="1:39" ht="24.75" customHeight="1" x14ac:dyDescent="0.25">
      <c r="A583" s="243"/>
      <c r="B583" s="244"/>
      <c r="C583" s="244"/>
      <c r="D583" s="244"/>
      <c r="E583" s="244"/>
      <c r="F583" s="244"/>
      <c r="G583" s="244"/>
      <c r="H583" s="244"/>
      <c r="I583" s="298"/>
      <c r="J583" s="244" t="s">
        <v>280</v>
      </c>
      <c r="K583" s="245"/>
      <c r="L583" s="257"/>
      <c r="M583" s="591" t="s">
        <v>281</v>
      </c>
      <c r="N583" s="592"/>
      <c r="O583" s="179"/>
      <c r="P583" s="180"/>
      <c r="Q583" s="180">
        <v>2925000</v>
      </c>
      <c r="R583" s="181">
        <f t="shared" si="157"/>
        <v>1.8058665101623517</v>
      </c>
      <c r="S583" s="181">
        <v>100</v>
      </c>
      <c r="T583" s="180">
        <f t="shared" si="114"/>
        <v>0</v>
      </c>
      <c r="U583" s="180">
        <f t="shared" si="119"/>
        <v>0</v>
      </c>
      <c r="V583" s="182">
        <f t="shared" si="146"/>
        <v>100</v>
      </c>
      <c r="W583" s="180"/>
      <c r="X583" s="180"/>
      <c r="Y583" s="180"/>
      <c r="Z583" s="180"/>
      <c r="AA583" s="180"/>
      <c r="AB583" s="180"/>
      <c r="AC583" s="180"/>
      <c r="AD583" s="180"/>
      <c r="AE583" s="180"/>
      <c r="AF583" s="180"/>
      <c r="AG583" s="180"/>
      <c r="AH583" s="180"/>
      <c r="AI583" s="180">
        <v>0</v>
      </c>
      <c r="AJ583" s="181">
        <f t="shared" si="147"/>
        <v>0</v>
      </c>
      <c r="AK583" s="246">
        <f t="shared" si="155"/>
        <v>2925000</v>
      </c>
      <c r="AL583" s="181">
        <f t="shared" si="150"/>
        <v>100</v>
      </c>
      <c r="AM583" s="243"/>
    </row>
    <row r="584" spans="1:39" ht="24.75" customHeight="1" x14ac:dyDescent="0.25">
      <c r="A584" s="243"/>
      <c r="B584" s="244"/>
      <c r="C584" s="244"/>
      <c r="D584" s="244"/>
      <c r="E584" s="244"/>
      <c r="F584" s="244"/>
      <c r="G584" s="244"/>
      <c r="H584" s="244"/>
      <c r="I584" s="298"/>
      <c r="J584" s="244" t="s">
        <v>284</v>
      </c>
      <c r="K584" s="245"/>
      <c r="L584" s="257"/>
      <c r="M584" s="591" t="s">
        <v>285</v>
      </c>
      <c r="N584" s="592"/>
      <c r="O584" s="179"/>
      <c r="P584" s="180"/>
      <c r="Q584" s="180">
        <v>2000000</v>
      </c>
      <c r="R584" s="181">
        <f t="shared" si="157"/>
        <v>1.2347805197691293</v>
      </c>
      <c r="S584" s="181">
        <v>100</v>
      </c>
      <c r="T584" s="180">
        <f t="shared" si="114"/>
        <v>0</v>
      </c>
      <c r="U584" s="180">
        <f t="shared" si="119"/>
        <v>0</v>
      </c>
      <c r="V584" s="182">
        <f t="shared" si="146"/>
        <v>100</v>
      </c>
      <c r="W584" s="180"/>
      <c r="X584" s="180"/>
      <c r="Y584" s="180"/>
      <c r="Z584" s="180"/>
      <c r="AA584" s="180"/>
      <c r="AB584" s="180"/>
      <c r="AC584" s="180"/>
      <c r="AD584" s="180"/>
      <c r="AE584" s="180"/>
      <c r="AF584" s="180"/>
      <c r="AG584" s="180"/>
      <c r="AH584" s="180"/>
      <c r="AI584" s="180">
        <v>0</v>
      </c>
      <c r="AJ584" s="181">
        <f t="shared" si="147"/>
        <v>0</v>
      </c>
      <c r="AK584" s="246">
        <f t="shared" si="155"/>
        <v>2000000</v>
      </c>
      <c r="AL584" s="181">
        <f t="shared" si="150"/>
        <v>100</v>
      </c>
      <c r="AM584" s="243"/>
    </row>
    <row r="585" spans="1:39" ht="24.75" customHeight="1" x14ac:dyDescent="0.25">
      <c r="A585" s="243"/>
      <c r="B585" s="244"/>
      <c r="C585" s="244"/>
      <c r="D585" s="244"/>
      <c r="E585" s="244"/>
      <c r="F585" s="244"/>
      <c r="G585" s="244"/>
      <c r="H585" s="244"/>
      <c r="I585" s="298"/>
      <c r="J585" s="244" t="s">
        <v>282</v>
      </c>
      <c r="K585" s="245"/>
      <c r="L585" s="257"/>
      <c r="M585" s="591" t="s">
        <v>283</v>
      </c>
      <c r="N585" s="592"/>
      <c r="O585" s="179"/>
      <c r="P585" s="180"/>
      <c r="Q585" s="180">
        <v>73857105</v>
      </c>
      <c r="R585" s="181">
        <f t="shared" si="157"/>
        <v>45.598657250271586</v>
      </c>
      <c r="S585" s="181">
        <v>100</v>
      </c>
      <c r="T585" s="180">
        <f t="shared" si="114"/>
        <v>0</v>
      </c>
      <c r="U585" s="180">
        <f t="shared" si="119"/>
        <v>0</v>
      </c>
      <c r="V585" s="182">
        <f t="shared" si="146"/>
        <v>100</v>
      </c>
      <c r="W585" s="180"/>
      <c r="X585" s="180"/>
      <c r="Y585" s="180"/>
      <c r="Z585" s="180"/>
      <c r="AA585" s="180"/>
      <c r="AB585" s="180"/>
      <c r="AC585" s="180"/>
      <c r="AD585" s="180"/>
      <c r="AE585" s="180"/>
      <c r="AF585" s="180"/>
      <c r="AG585" s="180"/>
      <c r="AH585" s="180"/>
      <c r="AI585" s="180">
        <v>0</v>
      </c>
      <c r="AJ585" s="181">
        <f t="shared" si="147"/>
        <v>0</v>
      </c>
      <c r="AK585" s="246">
        <f t="shared" si="155"/>
        <v>73857105</v>
      </c>
      <c r="AL585" s="181">
        <f t="shared" si="150"/>
        <v>100</v>
      </c>
      <c r="AM585" s="243"/>
    </row>
    <row r="586" spans="1:39" ht="24.75" customHeight="1" x14ac:dyDescent="0.25">
      <c r="A586" s="243"/>
      <c r="B586" s="244"/>
      <c r="C586" s="244"/>
      <c r="D586" s="244"/>
      <c r="E586" s="244"/>
      <c r="F586" s="244"/>
      <c r="G586" s="244"/>
      <c r="H586" s="244"/>
      <c r="I586" s="298"/>
      <c r="J586" s="244" t="s">
        <v>407</v>
      </c>
      <c r="K586" s="245"/>
      <c r="L586" s="257"/>
      <c r="M586" s="591" t="s">
        <v>414</v>
      </c>
      <c r="N586" s="592"/>
      <c r="O586" s="179"/>
      <c r="P586" s="180"/>
      <c r="Q586" s="180">
        <v>5400000</v>
      </c>
      <c r="R586" s="181">
        <f t="shared" si="157"/>
        <v>3.3339074033766494</v>
      </c>
      <c r="S586" s="181">
        <v>100</v>
      </c>
      <c r="T586" s="180">
        <f t="shared" si="114"/>
        <v>0</v>
      </c>
      <c r="U586" s="180">
        <f t="shared" si="119"/>
        <v>0</v>
      </c>
      <c r="V586" s="182">
        <v>100</v>
      </c>
      <c r="W586" s="180"/>
      <c r="X586" s="180"/>
      <c r="Y586" s="180"/>
      <c r="Z586" s="180"/>
      <c r="AA586" s="180"/>
      <c r="AB586" s="180"/>
      <c r="AC586" s="180"/>
      <c r="AD586" s="180"/>
      <c r="AE586" s="180"/>
      <c r="AF586" s="180"/>
      <c r="AG586" s="180"/>
      <c r="AH586" s="180"/>
      <c r="AI586" s="180">
        <v>0</v>
      </c>
      <c r="AJ586" s="181">
        <f t="shared" si="147"/>
        <v>0</v>
      </c>
      <c r="AK586" s="246">
        <f t="shared" si="155"/>
        <v>5400000</v>
      </c>
      <c r="AL586" s="181">
        <f t="shared" si="150"/>
        <v>100</v>
      </c>
      <c r="AM586" s="243"/>
    </row>
    <row r="587" spans="1:39" s="297" customFormat="1" ht="24.75" customHeight="1" x14ac:dyDescent="0.25">
      <c r="A587" s="227">
        <f>SUM(A579+1)</f>
        <v>67</v>
      </c>
      <c r="B587" s="228"/>
      <c r="C587" s="228"/>
      <c r="D587" s="228"/>
      <c r="E587" s="228"/>
      <c r="F587" s="228"/>
      <c r="G587" s="228"/>
      <c r="H587" s="228"/>
      <c r="I587" s="229"/>
      <c r="J587" s="304" t="s">
        <v>525</v>
      </c>
      <c r="K587" s="230"/>
      <c r="L587" s="294"/>
      <c r="M587" s="610" t="s">
        <v>205</v>
      </c>
      <c r="N587" s="612"/>
      <c r="O587" s="309"/>
      <c r="P587" s="231"/>
      <c r="Q587" s="231">
        <f>SUM(Q588:Q600)</f>
        <v>420363277</v>
      </c>
      <c r="R587" s="233">
        <f>Q587/Q$243*100</f>
        <v>3.7837276413101613</v>
      </c>
      <c r="S587" s="233">
        <v>100</v>
      </c>
      <c r="T587" s="231">
        <f t="shared" si="114"/>
        <v>0</v>
      </c>
      <c r="U587" s="231">
        <f t="shared" si="119"/>
        <v>0</v>
      </c>
      <c r="V587" s="296">
        <f t="shared" si="146"/>
        <v>100</v>
      </c>
      <c r="W587" s="231"/>
      <c r="X587" s="231"/>
      <c r="Y587" s="231"/>
      <c r="Z587" s="231"/>
      <c r="AA587" s="231"/>
      <c r="AB587" s="231"/>
      <c r="AC587" s="231"/>
      <c r="AD587" s="231"/>
      <c r="AE587" s="231"/>
      <c r="AF587" s="231"/>
      <c r="AG587" s="231"/>
      <c r="AH587" s="231"/>
      <c r="AI587" s="231">
        <f>SUM(AI588:AI600)</f>
        <v>0</v>
      </c>
      <c r="AJ587" s="233">
        <f t="shared" si="147"/>
        <v>0</v>
      </c>
      <c r="AK587" s="234">
        <f t="shared" si="155"/>
        <v>420363277</v>
      </c>
      <c r="AL587" s="233">
        <f t="shared" si="150"/>
        <v>100</v>
      </c>
      <c r="AM587" s="227"/>
    </row>
    <row r="588" spans="1:39" ht="24.75" customHeight="1" x14ac:dyDescent="0.25">
      <c r="A588" s="243"/>
      <c r="B588" s="244"/>
      <c r="C588" s="244"/>
      <c r="D588" s="244"/>
      <c r="E588" s="244"/>
      <c r="F588" s="244"/>
      <c r="G588" s="244"/>
      <c r="H588" s="244"/>
      <c r="I588" s="298"/>
      <c r="J588" s="244" t="s">
        <v>259</v>
      </c>
      <c r="K588" s="245"/>
      <c r="L588" s="257"/>
      <c r="M588" s="591" t="s">
        <v>260</v>
      </c>
      <c r="N588" s="592"/>
      <c r="O588" s="179"/>
      <c r="P588" s="180"/>
      <c r="Q588" s="180">
        <v>2400000</v>
      </c>
      <c r="R588" s="181">
        <f t="shared" ref="R588:R600" si="158">Q588/Q$587*100</f>
        <v>0.57093474414036416</v>
      </c>
      <c r="S588" s="181">
        <v>100</v>
      </c>
      <c r="T588" s="180">
        <f t="shared" si="114"/>
        <v>0</v>
      </c>
      <c r="U588" s="180">
        <f t="shared" si="119"/>
        <v>0</v>
      </c>
      <c r="V588" s="182">
        <f t="shared" si="146"/>
        <v>100</v>
      </c>
      <c r="W588" s="180"/>
      <c r="X588" s="180"/>
      <c r="Y588" s="180"/>
      <c r="Z588" s="180"/>
      <c r="AA588" s="180"/>
      <c r="AB588" s="180"/>
      <c r="AC588" s="180"/>
      <c r="AD588" s="180"/>
      <c r="AE588" s="180"/>
      <c r="AF588" s="180"/>
      <c r="AG588" s="180"/>
      <c r="AH588" s="180"/>
      <c r="AI588" s="180">
        <v>0</v>
      </c>
      <c r="AJ588" s="181">
        <f t="shared" si="147"/>
        <v>0</v>
      </c>
      <c r="AK588" s="246">
        <f t="shared" si="155"/>
        <v>2400000</v>
      </c>
      <c r="AL588" s="181">
        <f t="shared" si="150"/>
        <v>100</v>
      </c>
      <c r="AM588" s="243"/>
    </row>
    <row r="589" spans="1:39" ht="24.75" customHeight="1" x14ac:dyDescent="0.25">
      <c r="A589" s="243"/>
      <c r="B589" s="244"/>
      <c r="C589" s="244"/>
      <c r="D589" s="244"/>
      <c r="E589" s="244"/>
      <c r="F589" s="244"/>
      <c r="G589" s="244"/>
      <c r="H589" s="244"/>
      <c r="I589" s="298"/>
      <c r="J589" s="244" t="s">
        <v>273</v>
      </c>
      <c r="K589" s="245"/>
      <c r="L589" s="257"/>
      <c r="M589" s="591" t="s">
        <v>322</v>
      </c>
      <c r="N589" s="592"/>
      <c r="O589" s="179"/>
      <c r="P589" s="180"/>
      <c r="Q589" s="180">
        <v>22500000</v>
      </c>
      <c r="R589" s="181">
        <f t="shared" si="158"/>
        <v>5.3525132263159136</v>
      </c>
      <c r="S589" s="181">
        <v>100</v>
      </c>
      <c r="T589" s="180">
        <f t="shared" si="114"/>
        <v>0</v>
      </c>
      <c r="U589" s="180">
        <f t="shared" si="119"/>
        <v>0</v>
      </c>
      <c r="V589" s="182">
        <f t="shared" si="146"/>
        <v>100</v>
      </c>
      <c r="W589" s="180"/>
      <c r="X589" s="180"/>
      <c r="Y589" s="180"/>
      <c r="Z589" s="180"/>
      <c r="AA589" s="180"/>
      <c r="AB589" s="180"/>
      <c r="AC589" s="180"/>
      <c r="AD589" s="180"/>
      <c r="AE589" s="180"/>
      <c r="AF589" s="180"/>
      <c r="AG589" s="180"/>
      <c r="AH589" s="180"/>
      <c r="AI589" s="180">
        <v>0</v>
      </c>
      <c r="AJ589" s="181">
        <f t="shared" si="147"/>
        <v>0</v>
      </c>
      <c r="AK589" s="246">
        <f t="shared" si="155"/>
        <v>22500000</v>
      </c>
      <c r="AL589" s="181">
        <f t="shared" si="150"/>
        <v>100</v>
      </c>
      <c r="AM589" s="243"/>
    </row>
    <row r="590" spans="1:39" ht="24.75" customHeight="1" x14ac:dyDescent="0.25">
      <c r="A590" s="243"/>
      <c r="B590" s="244"/>
      <c r="C590" s="244"/>
      <c r="D590" s="244"/>
      <c r="E590" s="244"/>
      <c r="F590" s="244"/>
      <c r="G590" s="244"/>
      <c r="H590" s="244"/>
      <c r="I590" s="298"/>
      <c r="J590" s="244" t="s">
        <v>326</v>
      </c>
      <c r="K590" s="245"/>
      <c r="L590" s="257"/>
      <c r="M590" s="591" t="s">
        <v>327</v>
      </c>
      <c r="N590" s="592"/>
      <c r="O590" s="179"/>
      <c r="P590" s="180"/>
      <c r="Q590" s="180">
        <v>50250000</v>
      </c>
      <c r="R590" s="181">
        <f t="shared" si="158"/>
        <v>11.953946205438873</v>
      </c>
      <c r="S590" s="181">
        <v>100</v>
      </c>
      <c r="T590" s="180">
        <f t="shared" si="114"/>
        <v>0</v>
      </c>
      <c r="U590" s="180">
        <f t="shared" si="119"/>
        <v>0</v>
      </c>
      <c r="V590" s="182">
        <f t="shared" si="146"/>
        <v>100</v>
      </c>
      <c r="W590" s="180"/>
      <c r="X590" s="180"/>
      <c r="Y590" s="180"/>
      <c r="Z590" s="180"/>
      <c r="AA590" s="180"/>
      <c r="AB590" s="180"/>
      <c r="AC590" s="180"/>
      <c r="AD590" s="180"/>
      <c r="AE590" s="180"/>
      <c r="AF590" s="180"/>
      <c r="AG590" s="180"/>
      <c r="AH590" s="180"/>
      <c r="AI590" s="180">
        <v>0</v>
      </c>
      <c r="AJ590" s="181">
        <f t="shared" si="147"/>
        <v>0</v>
      </c>
      <c r="AK590" s="246">
        <f t="shared" si="155"/>
        <v>50250000</v>
      </c>
      <c r="AL590" s="181">
        <f t="shared" si="150"/>
        <v>100</v>
      </c>
      <c r="AM590" s="243"/>
    </row>
    <row r="591" spans="1:39" ht="24.75" customHeight="1" x14ac:dyDescent="0.25">
      <c r="A591" s="243"/>
      <c r="B591" s="244"/>
      <c r="C591" s="244"/>
      <c r="D591" s="244"/>
      <c r="E591" s="244"/>
      <c r="F591" s="244"/>
      <c r="G591" s="244"/>
      <c r="H591" s="244"/>
      <c r="I591" s="298"/>
      <c r="J591" s="244" t="s">
        <v>323</v>
      </c>
      <c r="K591" s="245"/>
      <c r="L591" s="257"/>
      <c r="M591" s="591" t="s">
        <v>324</v>
      </c>
      <c r="N591" s="592"/>
      <c r="O591" s="179"/>
      <c r="P591" s="180"/>
      <c r="Q591" s="180">
        <v>18165000</v>
      </c>
      <c r="R591" s="181">
        <f t="shared" si="158"/>
        <v>4.3212623447123812</v>
      </c>
      <c r="S591" s="181">
        <v>100</v>
      </c>
      <c r="T591" s="180">
        <f t="shared" si="114"/>
        <v>0</v>
      </c>
      <c r="U591" s="180">
        <f t="shared" si="119"/>
        <v>0</v>
      </c>
      <c r="V591" s="182">
        <f t="shared" si="146"/>
        <v>100</v>
      </c>
      <c r="W591" s="180"/>
      <c r="X591" s="180"/>
      <c r="Y591" s="180"/>
      <c r="Z591" s="180"/>
      <c r="AA591" s="180"/>
      <c r="AB591" s="180"/>
      <c r="AC591" s="180"/>
      <c r="AD591" s="180"/>
      <c r="AE591" s="180"/>
      <c r="AF591" s="180"/>
      <c r="AG591" s="180"/>
      <c r="AH591" s="180"/>
      <c r="AI591" s="180">
        <v>0</v>
      </c>
      <c r="AJ591" s="181">
        <f t="shared" si="147"/>
        <v>0</v>
      </c>
      <c r="AK591" s="246">
        <f t="shared" si="155"/>
        <v>18165000</v>
      </c>
      <c r="AL591" s="181">
        <f t="shared" si="150"/>
        <v>100</v>
      </c>
      <c r="AM591" s="243"/>
    </row>
    <row r="592" spans="1:39" ht="24.75" customHeight="1" x14ac:dyDescent="0.25">
      <c r="A592" s="243"/>
      <c r="B592" s="244"/>
      <c r="C592" s="244"/>
      <c r="D592" s="244"/>
      <c r="E592" s="244"/>
      <c r="F592" s="244"/>
      <c r="G592" s="244"/>
      <c r="H592" s="244"/>
      <c r="I592" s="298"/>
      <c r="J592" s="244" t="s">
        <v>269</v>
      </c>
      <c r="K592" s="245"/>
      <c r="L592" s="257"/>
      <c r="M592" s="591" t="s">
        <v>270</v>
      </c>
      <c r="N592" s="592"/>
      <c r="O592" s="179"/>
      <c r="P592" s="180"/>
      <c r="Q592" s="180">
        <v>7500000</v>
      </c>
      <c r="R592" s="181">
        <f t="shared" si="158"/>
        <v>1.7841710754386377</v>
      </c>
      <c r="S592" s="181">
        <v>100</v>
      </c>
      <c r="T592" s="180">
        <f t="shared" si="114"/>
        <v>0</v>
      </c>
      <c r="U592" s="180">
        <f t="shared" si="119"/>
        <v>0</v>
      </c>
      <c r="V592" s="182">
        <f t="shared" si="146"/>
        <v>100</v>
      </c>
      <c r="W592" s="180"/>
      <c r="X592" s="180"/>
      <c r="Y592" s="180"/>
      <c r="Z592" s="180"/>
      <c r="AA592" s="180"/>
      <c r="AB592" s="180"/>
      <c r="AC592" s="180"/>
      <c r="AD592" s="180"/>
      <c r="AE592" s="180"/>
      <c r="AF592" s="180"/>
      <c r="AG592" s="180"/>
      <c r="AH592" s="180"/>
      <c r="AI592" s="180">
        <v>0</v>
      </c>
      <c r="AJ592" s="181">
        <f t="shared" si="147"/>
        <v>0</v>
      </c>
      <c r="AK592" s="246">
        <f t="shared" si="155"/>
        <v>7500000</v>
      </c>
      <c r="AL592" s="181">
        <f t="shared" si="150"/>
        <v>100</v>
      </c>
      <c r="AM592" s="243"/>
    </row>
    <row r="593" spans="1:39" ht="24.75" customHeight="1" x14ac:dyDescent="0.25">
      <c r="A593" s="243"/>
      <c r="B593" s="244"/>
      <c r="C593" s="244"/>
      <c r="D593" s="244"/>
      <c r="E593" s="244"/>
      <c r="F593" s="244"/>
      <c r="G593" s="244"/>
      <c r="H593" s="244"/>
      <c r="I593" s="298"/>
      <c r="J593" s="244" t="s">
        <v>315</v>
      </c>
      <c r="K593" s="245"/>
      <c r="L593" s="257"/>
      <c r="M593" s="591" t="s">
        <v>271</v>
      </c>
      <c r="N593" s="592"/>
      <c r="O593" s="179"/>
      <c r="P593" s="180"/>
      <c r="Q593" s="180">
        <v>9928277</v>
      </c>
      <c r="R593" s="181">
        <f t="shared" si="158"/>
        <v>2.361832620312359</v>
      </c>
      <c r="S593" s="181">
        <v>100</v>
      </c>
      <c r="T593" s="180">
        <f t="shared" si="114"/>
        <v>0</v>
      </c>
      <c r="U593" s="180">
        <f t="shared" si="119"/>
        <v>0</v>
      </c>
      <c r="V593" s="182">
        <f t="shared" si="146"/>
        <v>100</v>
      </c>
      <c r="W593" s="180"/>
      <c r="X593" s="180"/>
      <c r="Y593" s="180"/>
      <c r="Z593" s="180"/>
      <c r="AA593" s="180"/>
      <c r="AB593" s="180"/>
      <c r="AC593" s="180"/>
      <c r="AD593" s="180"/>
      <c r="AE593" s="180"/>
      <c r="AF593" s="180"/>
      <c r="AG593" s="180"/>
      <c r="AH593" s="180"/>
      <c r="AI593" s="180">
        <v>0</v>
      </c>
      <c r="AJ593" s="181">
        <f t="shared" si="147"/>
        <v>0</v>
      </c>
      <c r="AK593" s="246">
        <f t="shared" si="155"/>
        <v>9928277</v>
      </c>
      <c r="AL593" s="181">
        <f t="shared" si="150"/>
        <v>100</v>
      </c>
      <c r="AM593" s="243"/>
    </row>
    <row r="594" spans="1:39" ht="24.75" customHeight="1" x14ac:dyDescent="0.25">
      <c r="A594" s="243"/>
      <c r="B594" s="244"/>
      <c r="C594" s="244"/>
      <c r="D594" s="244"/>
      <c r="E594" s="244"/>
      <c r="F594" s="244"/>
      <c r="G594" s="244"/>
      <c r="H594" s="244"/>
      <c r="I594" s="298"/>
      <c r="J594" s="244" t="s">
        <v>328</v>
      </c>
      <c r="K594" s="245"/>
      <c r="L594" s="257"/>
      <c r="M594" s="591" t="s">
        <v>329</v>
      </c>
      <c r="N594" s="592"/>
      <c r="O594" s="179"/>
      <c r="P594" s="180"/>
      <c r="Q594" s="180">
        <v>149600000</v>
      </c>
      <c r="R594" s="181">
        <f t="shared" si="158"/>
        <v>35.588265718082695</v>
      </c>
      <c r="S594" s="181">
        <v>100</v>
      </c>
      <c r="T594" s="180">
        <f t="shared" si="114"/>
        <v>0</v>
      </c>
      <c r="U594" s="180">
        <f t="shared" si="119"/>
        <v>0</v>
      </c>
      <c r="V594" s="182">
        <f t="shared" si="146"/>
        <v>100</v>
      </c>
      <c r="W594" s="180"/>
      <c r="X594" s="180"/>
      <c r="Y594" s="180"/>
      <c r="Z594" s="180"/>
      <c r="AA594" s="180"/>
      <c r="AB594" s="180"/>
      <c r="AC594" s="180"/>
      <c r="AD594" s="180"/>
      <c r="AE594" s="180"/>
      <c r="AF594" s="180"/>
      <c r="AG594" s="180"/>
      <c r="AH594" s="180"/>
      <c r="AI594" s="180">
        <v>0</v>
      </c>
      <c r="AJ594" s="181">
        <f t="shared" si="147"/>
        <v>0</v>
      </c>
      <c r="AK594" s="246">
        <f t="shared" si="155"/>
        <v>149600000</v>
      </c>
      <c r="AL594" s="181">
        <f t="shared" si="150"/>
        <v>100</v>
      </c>
      <c r="AM594" s="243"/>
    </row>
    <row r="595" spans="1:39" ht="24.75" customHeight="1" x14ac:dyDescent="0.25">
      <c r="A595" s="243"/>
      <c r="B595" s="244"/>
      <c r="C595" s="244"/>
      <c r="D595" s="244"/>
      <c r="E595" s="244"/>
      <c r="F595" s="244"/>
      <c r="G595" s="244"/>
      <c r="H595" s="244"/>
      <c r="I595" s="298"/>
      <c r="J595" s="244" t="s">
        <v>280</v>
      </c>
      <c r="K595" s="245"/>
      <c r="L595" s="257"/>
      <c r="M595" s="591" t="s">
        <v>281</v>
      </c>
      <c r="N595" s="592"/>
      <c r="O595" s="179"/>
      <c r="P595" s="180"/>
      <c r="Q595" s="180">
        <v>22500000</v>
      </c>
      <c r="R595" s="181">
        <f t="shared" si="158"/>
        <v>5.3525132263159136</v>
      </c>
      <c r="S595" s="181">
        <v>100</v>
      </c>
      <c r="T595" s="180">
        <f t="shared" si="114"/>
        <v>0</v>
      </c>
      <c r="U595" s="180">
        <f t="shared" si="119"/>
        <v>0</v>
      </c>
      <c r="V595" s="182">
        <f t="shared" si="146"/>
        <v>100</v>
      </c>
      <c r="W595" s="180"/>
      <c r="X595" s="180"/>
      <c r="Y595" s="180"/>
      <c r="Z595" s="180"/>
      <c r="AA595" s="180"/>
      <c r="AB595" s="180"/>
      <c r="AC595" s="180"/>
      <c r="AD595" s="180"/>
      <c r="AE595" s="180"/>
      <c r="AF595" s="180"/>
      <c r="AG595" s="180"/>
      <c r="AH595" s="180"/>
      <c r="AI595" s="180">
        <v>0</v>
      </c>
      <c r="AJ595" s="181">
        <f t="shared" si="147"/>
        <v>0</v>
      </c>
      <c r="AK595" s="246">
        <f t="shared" si="155"/>
        <v>22500000</v>
      </c>
      <c r="AL595" s="181">
        <f t="shared" si="150"/>
        <v>100</v>
      </c>
      <c r="AM595" s="243"/>
    </row>
    <row r="596" spans="1:39" ht="24.75" customHeight="1" x14ac:dyDescent="0.25">
      <c r="A596" s="243"/>
      <c r="B596" s="244"/>
      <c r="C596" s="244"/>
      <c r="D596" s="244"/>
      <c r="E596" s="244"/>
      <c r="F596" s="244"/>
      <c r="G596" s="244"/>
      <c r="H596" s="244"/>
      <c r="I596" s="298"/>
      <c r="J596" s="244" t="s">
        <v>284</v>
      </c>
      <c r="K596" s="245"/>
      <c r="L596" s="257"/>
      <c r="M596" s="591" t="s">
        <v>285</v>
      </c>
      <c r="N596" s="592"/>
      <c r="O596" s="179"/>
      <c r="P596" s="180"/>
      <c r="Q596" s="180">
        <v>22520000</v>
      </c>
      <c r="R596" s="181">
        <f t="shared" si="158"/>
        <v>5.357271015850416</v>
      </c>
      <c r="S596" s="181">
        <v>100</v>
      </c>
      <c r="T596" s="180">
        <f t="shared" si="114"/>
        <v>0</v>
      </c>
      <c r="U596" s="180">
        <f t="shared" si="119"/>
        <v>0</v>
      </c>
      <c r="V596" s="182">
        <f t="shared" si="146"/>
        <v>100</v>
      </c>
      <c r="W596" s="180"/>
      <c r="X596" s="180"/>
      <c r="Y596" s="180"/>
      <c r="Z596" s="180"/>
      <c r="AA596" s="180"/>
      <c r="AB596" s="180"/>
      <c r="AC596" s="180"/>
      <c r="AD596" s="180"/>
      <c r="AE596" s="180"/>
      <c r="AF596" s="180"/>
      <c r="AG596" s="180"/>
      <c r="AH596" s="180"/>
      <c r="AI596" s="180">
        <v>0</v>
      </c>
      <c r="AJ596" s="181">
        <f t="shared" si="147"/>
        <v>0</v>
      </c>
      <c r="AK596" s="246">
        <f t="shared" si="155"/>
        <v>22520000</v>
      </c>
      <c r="AL596" s="181">
        <f t="shared" si="150"/>
        <v>100</v>
      </c>
      <c r="AM596" s="243"/>
    </row>
    <row r="597" spans="1:39" ht="24.75" customHeight="1" x14ac:dyDescent="0.25">
      <c r="A597" s="243"/>
      <c r="B597" s="244"/>
      <c r="C597" s="244"/>
      <c r="D597" s="244"/>
      <c r="E597" s="244"/>
      <c r="F597" s="244"/>
      <c r="G597" s="244"/>
      <c r="H597" s="244"/>
      <c r="I597" s="298"/>
      <c r="J597" s="244" t="s">
        <v>282</v>
      </c>
      <c r="K597" s="245"/>
      <c r="L597" s="257"/>
      <c r="M597" s="591" t="s">
        <v>283</v>
      </c>
      <c r="N597" s="592"/>
      <c r="O597" s="179"/>
      <c r="P597" s="180"/>
      <c r="Q597" s="180">
        <v>19800000</v>
      </c>
      <c r="R597" s="181">
        <f t="shared" si="158"/>
        <v>4.710211639158004</v>
      </c>
      <c r="S597" s="181">
        <v>100</v>
      </c>
      <c r="T597" s="180">
        <f t="shared" si="114"/>
        <v>0</v>
      </c>
      <c r="U597" s="180">
        <f t="shared" si="119"/>
        <v>0</v>
      </c>
      <c r="V597" s="182">
        <f t="shared" si="146"/>
        <v>100</v>
      </c>
      <c r="W597" s="180"/>
      <c r="X597" s="180"/>
      <c r="Y597" s="180"/>
      <c r="Z597" s="180"/>
      <c r="AA597" s="180"/>
      <c r="AB597" s="180"/>
      <c r="AC597" s="180"/>
      <c r="AD597" s="180"/>
      <c r="AE597" s="180"/>
      <c r="AF597" s="180"/>
      <c r="AG597" s="180"/>
      <c r="AH597" s="180"/>
      <c r="AI597" s="180">
        <v>0</v>
      </c>
      <c r="AJ597" s="181">
        <f t="shared" si="147"/>
        <v>0</v>
      </c>
      <c r="AK597" s="246">
        <f t="shared" si="155"/>
        <v>19800000</v>
      </c>
      <c r="AL597" s="181">
        <f t="shared" si="150"/>
        <v>100</v>
      </c>
      <c r="AM597" s="243"/>
    </row>
    <row r="598" spans="1:39" ht="24.75" customHeight="1" x14ac:dyDescent="0.25">
      <c r="A598" s="243"/>
      <c r="B598" s="244"/>
      <c r="C598" s="244"/>
      <c r="D598" s="244"/>
      <c r="E598" s="244"/>
      <c r="F598" s="244"/>
      <c r="G598" s="244"/>
      <c r="H598" s="244"/>
      <c r="I598" s="298"/>
      <c r="J598" s="244" t="s">
        <v>320</v>
      </c>
      <c r="K598" s="245"/>
      <c r="L598" s="257"/>
      <c r="M598" s="591" t="s">
        <v>321</v>
      </c>
      <c r="N598" s="592"/>
      <c r="O598" s="179"/>
      <c r="P598" s="180"/>
      <c r="Q598" s="180">
        <v>10800000</v>
      </c>
      <c r="R598" s="181">
        <f t="shared" si="158"/>
        <v>2.5692063486316385</v>
      </c>
      <c r="S598" s="181">
        <v>100</v>
      </c>
      <c r="T598" s="180">
        <f t="shared" si="114"/>
        <v>0</v>
      </c>
      <c r="U598" s="180">
        <f t="shared" si="119"/>
        <v>0</v>
      </c>
      <c r="V598" s="182">
        <f t="shared" si="146"/>
        <v>100</v>
      </c>
      <c r="W598" s="180"/>
      <c r="X598" s="180"/>
      <c r="Y598" s="180"/>
      <c r="Z598" s="180"/>
      <c r="AA598" s="180"/>
      <c r="AB598" s="180"/>
      <c r="AC598" s="180"/>
      <c r="AD598" s="180"/>
      <c r="AE598" s="180"/>
      <c r="AF598" s="180"/>
      <c r="AG598" s="180"/>
      <c r="AH598" s="180"/>
      <c r="AI598" s="180">
        <v>0</v>
      </c>
      <c r="AJ598" s="181">
        <f t="shared" si="147"/>
        <v>0</v>
      </c>
      <c r="AK598" s="246">
        <f t="shared" si="155"/>
        <v>10800000</v>
      </c>
      <c r="AL598" s="181">
        <f t="shared" si="150"/>
        <v>100</v>
      </c>
      <c r="AM598" s="243"/>
    </row>
    <row r="599" spans="1:39" ht="24.75" customHeight="1" x14ac:dyDescent="0.25">
      <c r="A599" s="243"/>
      <c r="B599" s="244"/>
      <c r="C599" s="244"/>
      <c r="D599" s="244"/>
      <c r="E599" s="244"/>
      <c r="F599" s="244"/>
      <c r="G599" s="244"/>
      <c r="H599" s="244"/>
      <c r="I599" s="298"/>
      <c r="J599" s="244" t="s">
        <v>309</v>
      </c>
      <c r="K599" s="245"/>
      <c r="L599" s="257"/>
      <c r="M599" s="591" t="s">
        <v>310</v>
      </c>
      <c r="N599" s="592"/>
      <c r="O599" s="179"/>
      <c r="P599" s="180"/>
      <c r="Q599" s="180">
        <v>75000000</v>
      </c>
      <c r="R599" s="181">
        <f t="shared" si="158"/>
        <v>17.841710754386376</v>
      </c>
      <c r="S599" s="181">
        <v>100</v>
      </c>
      <c r="T599" s="180">
        <f t="shared" si="114"/>
        <v>0</v>
      </c>
      <c r="U599" s="180">
        <f t="shared" si="119"/>
        <v>0</v>
      </c>
      <c r="V599" s="182">
        <f t="shared" si="146"/>
        <v>100</v>
      </c>
      <c r="W599" s="180"/>
      <c r="X599" s="180"/>
      <c r="Y599" s="180"/>
      <c r="Z599" s="180"/>
      <c r="AA599" s="180"/>
      <c r="AB599" s="180"/>
      <c r="AC599" s="180"/>
      <c r="AD599" s="180"/>
      <c r="AE599" s="180"/>
      <c r="AF599" s="180"/>
      <c r="AG599" s="180"/>
      <c r="AH599" s="180"/>
      <c r="AI599" s="180">
        <v>0</v>
      </c>
      <c r="AJ599" s="181">
        <f t="shared" ref="AJ599:AJ662" si="159">AI599/Q599*100</f>
        <v>0</v>
      </c>
      <c r="AK599" s="246">
        <f t="shared" si="155"/>
        <v>75000000</v>
      </c>
      <c r="AL599" s="181">
        <f t="shared" si="150"/>
        <v>100</v>
      </c>
      <c r="AM599" s="243"/>
    </row>
    <row r="600" spans="1:39" ht="24.75" customHeight="1" x14ac:dyDescent="0.25">
      <c r="A600" s="243"/>
      <c r="B600" s="244"/>
      <c r="C600" s="244"/>
      <c r="D600" s="244"/>
      <c r="E600" s="244"/>
      <c r="F600" s="244"/>
      <c r="G600" s="244"/>
      <c r="H600" s="244"/>
      <c r="I600" s="298"/>
      <c r="J600" s="244" t="s">
        <v>407</v>
      </c>
      <c r="K600" s="245"/>
      <c r="L600" s="257"/>
      <c r="M600" s="591" t="s">
        <v>607</v>
      </c>
      <c r="N600" s="592"/>
      <c r="O600" s="179"/>
      <c r="P600" s="180"/>
      <c r="Q600" s="180">
        <v>9400000</v>
      </c>
      <c r="R600" s="181">
        <f t="shared" si="158"/>
        <v>2.2361610812164261</v>
      </c>
      <c r="S600" s="181">
        <v>100</v>
      </c>
      <c r="T600" s="180">
        <f t="shared" si="114"/>
        <v>0</v>
      </c>
      <c r="U600" s="180">
        <f t="shared" si="119"/>
        <v>0</v>
      </c>
      <c r="V600" s="182">
        <f t="shared" si="146"/>
        <v>100</v>
      </c>
      <c r="W600" s="180"/>
      <c r="X600" s="180"/>
      <c r="Y600" s="180"/>
      <c r="Z600" s="180"/>
      <c r="AA600" s="180"/>
      <c r="AB600" s="180"/>
      <c r="AC600" s="180"/>
      <c r="AD600" s="180"/>
      <c r="AE600" s="180"/>
      <c r="AF600" s="180"/>
      <c r="AG600" s="180"/>
      <c r="AH600" s="180"/>
      <c r="AI600" s="180">
        <v>0</v>
      </c>
      <c r="AJ600" s="181">
        <f t="shared" si="159"/>
        <v>0</v>
      </c>
      <c r="AK600" s="246">
        <f t="shared" si="155"/>
        <v>9400000</v>
      </c>
      <c r="AL600" s="181">
        <f t="shared" si="150"/>
        <v>100</v>
      </c>
      <c r="AM600" s="243"/>
    </row>
    <row r="601" spans="1:39" s="297" customFormat="1" ht="31.5" customHeight="1" x14ac:dyDescent="0.25">
      <c r="A601" s="227">
        <f>SUM(A587+1)</f>
        <v>68</v>
      </c>
      <c r="B601" s="228"/>
      <c r="C601" s="228"/>
      <c r="D601" s="228"/>
      <c r="E601" s="228"/>
      <c r="F601" s="228"/>
      <c r="G601" s="228"/>
      <c r="H601" s="228"/>
      <c r="I601" s="229"/>
      <c r="J601" s="304" t="s">
        <v>526</v>
      </c>
      <c r="K601" s="230"/>
      <c r="L601" s="294"/>
      <c r="M601" s="610" t="s">
        <v>206</v>
      </c>
      <c r="N601" s="612"/>
      <c r="O601" s="309"/>
      <c r="P601" s="231"/>
      <c r="Q601" s="231">
        <f>SUM(Q602:Q610)</f>
        <v>252438140</v>
      </c>
      <c r="R601" s="233">
        <f>Q601/Q$243*100</f>
        <v>2.2722183889505749</v>
      </c>
      <c r="S601" s="233">
        <v>100</v>
      </c>
      <c r="T601" s="231">
        <f t="shared" si="114"/>
        <v>0</v>
      </c>
      <c r="U601" s="231">
        <f t="shared" si="119"/>
        <v>0</v>
      </c>
      <c r="V601" s="296">
        <f t="shared" si="146"/>
        <v>100</v>
      </c>
      <c r="W601" s="231"/>
      <c r="X601" s="231"/>
      <c r="Y601" s="231"/>
      <c r="Z601" s="231"/>
      <c r="AA601" s="231"/>
      <c r="AB601" s="231"/>
      <c r="AC601" s="231"/>
      <c r="AD601" s="231"/>
      <c r="AE601" s="231"/>
      <c r="AF601" s="231"/>
      <c r="AG601" s="231"/>
      <c r="AH601" s="231"/>
      <c r="AI601" s="231">
        <f>SUM(AI602:AI610)</f>
        <v>0</v>
      </c>
      <c r="AJ601" s="233">
        <f t="shared" si="159"/>
        <v>0</v>
      </c>
      <c r="AK601" s="234">
        <f t="shared" si="155"/>
        <v>252438140</v>
      </c>
      <c r="AL601" s="233">
        <f t="shared" si="150"/>
        <v>100</v>
      </c>
      <c r="AM601" s="227"/>
    </row>
    <row r="602" spans="1:39" ht="31.5" customHeight="1" x14ac:dyDescent="0.25">
      <c r="A602" s="243"/>
      <c r="B602" s="244"/>
      <c r="C602" s="244"/>
      <c r="D602" s="244"/>
      <c r="E602" s="244"/>
      <c r="F602" s="244"/>
      <c r="G602" s="244"/>
      <c r="H602" s="244"/>
      <c r="I602" s="298"/>
      <c r="J602" s="244" t="s">
        <v>257</v>
      </c>
      <c r="K602" s="245"/>
      <c r="L602" s="257"/>
      <c r="M602" s="591" t="s">
        <v>260</v>
      </c>
      <c r="N602" s="592"/>
      <c r="O602" s="179"/>
      <c r="P602" s="180"/>
      <c r="Q602" s="180">
        <v>2300000</v>
      </c>
      <c r="R602" s="181">
        <f>Q602/Q$601*100</f>
        <v>0.91111430309223485</v>
      </c>
      <c r="S602" s="181">
        <v>100</v>
      </c>
      <c r="T602" s="180">
        <f t="shared" si="114"/>
        <v>0</v>
      </c>
      <c r="U602" s="180">
        <f t="shared" si="119"/>
        <v>0</v>
      </c>
      <c r="V602" s="182">
        <f t="shared" si="146"/>
        <v>100</v>
      </c>
      <c r="W602" s="180"/>
      <c r="X602" s="180"/>
      <c r="Y602" s="180"/>
      <c r="Z602" s="180"/>
      <c r="AA602" s="180"/>
      <c r="AB602" s="180"/>
      <c r="AC602" s="180"/>
      <c r="AD602" s="180"/>
      <c r="AE602" s="180"/>
      <c r="AF602" s="180"/>
      <c r="AG602" s="180"/>
      <c r="AH602" s="180"/>
      <c r="AI602" s="180">
        <v>0</v>
      </c>
      <c r="AJ602" s="181">
        <f t="shared" si="159"/>
        <v>0</v>
      </c>
      <c r="AK602" s="246">
        <f t="shared" si="155"/>
        <v>2300000</v>
      </c>
      <c r="AL602" s="181">
        <f t="shared" si="150"/>
        <v>100</v>
      </c>
      <c r="AM602" s="243"/>
    </row>
    <row r="603" spans="1:39" ht="31.5" customHeight="1" x14ac:dyDescent="0.25">
      <c r="A603" s="243"/>
      <c r="B603" s="244"/>
      <c r="C603" s="244"/>
      <c r="D603" s="244"/>
      <c r="E603" s="244"/>
      <c r="F603" s="244"/>
      <c r="G603" s="244"/>
      <c r="H603" s="244"/>
      <c r="I603" s="298"/>
      <c r="J603" s="244" t="s">
        <v>273</v>
      </c>
      <c r="K603" s="245"/>
      <c r="L603" s="257"/>
      <c r="M603" s="591" t="s">
        <v>322</v>
      </c>
      <c r="N603" s="592"/>
      <c r="O603" s="179"/>
      <c r="P603" s="180"/>
      <c r="Q603" s="180">
        <v>20400000</v>
      </c>
      <c r="R603" s="181">
        <f t="shared" ref="R603:R609" si="160">Q603/Q$601*100</f>
        <v>8.0811877317746035</v>
      </c>
      <c r="S603" s="181">
        <v>100</v>
      </c>
      <c r="T603" s="180">
        <f t="shared" si="114"/>
        <v>0</v>
      </c>
      <c r="U603" s="180">
        <f t="shared" si="119"/>
        <v>0</v>
      </c>
      <c r="V603" s="182">
        <f t="shared" si="146"/>
        <v>100</v>
      </c>
      <c r="W603" s="180"/>
      <c r="X603" s="180"/>
      <c r="Y603" s="180"/>
      <c r="Z603" s="180"/>
      <c r="AA603" s="180"/>
      <c r="AB603" s="180"/>
      <c r="AC603" s="180"/>
      <c r="AD603" s="180"/>
      <c r="AE603" s="180"/>
      <c r="AF603" s="180"/>
      <c r="AG603" s="180"/>
      <c r="AH603" s="180"/>
      <c r="AI603" s="180">
        <v>0</v>
      </c>
      <c r="AJ603" s="181">
        <f t="shared" si="159"/>
        <v>0</v>
      </c>
      <c r="AK603" s="246">
        <f t="shared" si="155"/>
        <v>20400000</v>
      </c>
      <c r="AL603" s="181">
        <f t="shared" si="150"/>
        <v>100</v>
      </c>
      <c r="AM603" s="243"/>
    </row>
    <row r="604" spans="1:39" ht="31.5" customHeight="1" x14ac:dyDescent="0.25">
      <c r="A604" s="243"/>
      <c r="B604" s="244"/>
      <c r="C604" s="244"/>
      <c r="D604" s="244"/>
      <c r="E604" s="244"/>
      <c r="F604" s="244"/>
      <c r="G604" s="244"/>
      <c r="H604" s="244"/>
      <c r="I604" s="298"/>
      <c r="J604" s="244" t="s">
        <v>323</v>
      </c>
      <c r="K604" s="245"/>
      <c r="L604" s="257"/>
      <c r="M604" s="591" t="s">
        <v>324</v>
      </c>
      <c r="N604" s="592"/>
      <c r="O604" s="179"/>
      <c r="P604" s="180"/>
      <c r="Q604" s="180">
        <v>33513000</v>
      </c>
      <c r="R604" s="181">
        <f t="shared" si="160"/>
        <v>13.275727669360899</v>
      </c>
      <c r="S604" s="181">
        <v>100</v>
      </c>
      <c r="T604" s="180">
        <f t="shared" si="114"/>
        <v>0</v>
      </c>
      <c r="U604" s="180">
        <f t="shared" si="119"/>
        <v>0</v>
      </c>
      <c r="V604" s="182">
        <f t="shared" si="146"/>
        <v>100</v>
      </c>
      <c r="W604" s="180"/>
      <c r="X604" s="180"/>
      <c r="Y604" s="180"/>
      <c r="Z604" s="180"/>
      <c r="AA604" s="180"/>
      <c r="AB604" s="180"/>
      <c r="AC604" s="180"/>
      <c r="AD604" s="180"/>
      <c r="AE604" s="180"/>
      <c r="AF604" s="180"/>
      <c r="AG604" s="180"/>
      <c r="AH604" s="180"/>
      <c r="AI604" s="180">
        <v>0</v>
      </c>
      <c r="AJ604" s="181">
        <f t="shared" si="159"/>
        <v>0</v>
      </c>
      <c r="AK604" s="246">
        <f t="shared" si="155"/>
        <v>33513000</v>
      </c>
      <c r="AL604" s="181">
        <f t="shared" si="150"/>
        <v>100</v>
      </c>
      <c r="AM604" s="243"/>
    </row>
    <row r="605" spans="1:39" ht="31.5" customHeight="1" x14ac:dyDescent="0.25">
      <c r="A605" s="243"/>
      <c r="B605" s="244"/>
      <c r="C605" s="244"/>
      <c r="D605" s="244"/>
      <c r="E605" s="244"/>
      <c r="F605" s="244"/>
      <c r="G605" s="244"/>
      <c r="H605" s="244"/>
      <c r="I605" s="298"/>
      <c r="J605" s="244" t="s">
        <v>269</v>
      </c>
      <c r="K605" s="245"/>
      <c r="L605" s="257"/>
      <c r="M605" s="591" t="s">
        <v>270</v>
      </c>
      <c r="N605" s="592"/>
      <c r="O605" s="179"/>
      <c r="P605" s="180"/>
      <c r="Q605" s="180">
        <v>24000000</v>
      </c>
      <c r="R605" s="181">
        <f t="shared" si="160"/>
        <v>9.5072796844407108</v>
      </c>
      <c r="S605" s="181">
        <v>100</v>
      </c>
      <c r="T605" s="180">
        <f t="shared" si="114"/>
        <v>0</v>
      </c>
      <c r="U605" s="180">
        <f t="shared" si="119"/>
        <v>0</v>
      </c>
      <c r="V605" s="182">
        <f t="shared" si="146"/>
        <v>100</v>
      </c>
      <c r="W605" s="180"/>
      <c r="X605" s="180"/>
      <c r="Y605" s="180"/>
      <c r="Z605" s="180"/>
      <c r="AA605" s="180"/>
      <c r="AB605" s="180"/>
      <c r="AC605" s="180"/>
      <c r="AD605" s="180"/>
      <c r="AE605" s="180"/>
      <c r="AF605" s="180"/>
      <c r="AG605" s="180"/>
      <c r="AH605" s="180"/>
      <c r="AI605" s="180">
        <v>0</v>
      </c>
      <c r="AJ605" s="181">
        <f t="shared" si="159"/>
        <v>0</v>
      </c>
      <c r="AK605" s="246">
        <f t="shared" si="155"/>
        <v>24000000</v>
      </c>
      <c r="AL605" s="181">
        <f t="shared" si="150"/>
        <v>100</v>
      </c>
      <c r="AM605" s="243"/>
    </row>
    <row r="606" spans="1:39" ht="31.5" customHeight="1" x14ac:dyDescent="0.25">
      <c r="A606" s="243"/>
      <c r="B606" s="244"/>
      <c r="C606" s="244"/>
      <c r="D606" s="244"/>
      <c r="E606" s="244"/>
      <c r="F606" s="244"/>
      <c r="G606" s="244"/>
      <c r="H606" s="244"/>
      <c r="I606" s="298"/>
      <c r="J606" s="244" t="s">
        <v>315</v>
      </c>
      <c r="K606" s="245"/>
      <c r="L606" s="257"/>
      <c r="M606" s="591" t="s">
        <v>271</v>
      </c>
      <c r="N606" s="592"/>
      <c r="O606" s="179"/>
      <c r="P606" s="180"/>
      <c r="Q606" s="180">
        <v>1965000</v>
      </c>
      <c r="R606" s="181">
        <f t="shared" si="160"/>
        <v>0.77840852416358319</v>
      </c>
      <c r="S606" s="181">
        <v>100</v>
      </c>
      <c r="T606" s="180">
        <f t="shared" si="114"/>
        <v>0</v>
      </c>
      <c r="U606" s="180">
        <f t="shared" si="119"/>
        <v>0</v>
      </c>
      <c r="V606" s="182">
        <f t="shared" si="146"/>
        <v>100</v>
      </c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  <c r="AG606" s="180"/>
      <c r="AH606" s="180"/>
      <c r="AI606" s="180">
        <v>0</v>
      </c>
      <c r="AJ606" s="181">
        <f t="shared" si="159"/>
        <v>0</v>
      </c>
      <c r="AK606" s="246">
        <f t="shared" si="155"/>
        <v>1965000</v>
      </c>
      <c r="AL606" s="181">
        <f t="shared" si="150"/>
        <v>100</v>
      </c>
      <c r="AM606" s="243"/>
    </row>
    <row r="607" spans="1:39" ht="31.5" customHeight="1" x14ac:dyDescent="0.25">
      <c r="A607" s="243"/>
      <c r="B607" s="244"/>
      <c r="C607" s="244"/>
      <c r="D607" s="244"/>
      <c r="E607" s="244"/>
      <c r="F607" s="244"/>
      <c r="G607" s="244"/>
      <c r="H607" s="244"/>
      <c r="I607" s="298"/>
      <c r="J607" s="244" t="s">
        <v>328</v>
      </c>
      <c r="K607" s="245"/>
      <c r="L607" s="257"/>
      <c r="M607" s="591" t="s">
        <v>329</v>
      </c>
      <c r="N607" s="592"/>
      <c r="O607" s="179"/>
      <c r="P607" s="180"/>
      <c r="Q607" s="180">
        <v>107000000</v>
      </c>
      <c r="R607" s="181">
        <f t="shared" si="160"/>
        <v>42.386621926464834</v>
      </c>
      <c r="S607" s="181">
        <v>100</v>
      </c>
      <c r="T607" s="180">
        <f t="shared" si="114"/>
        <v>0</v>
      </c>
      <c r="U607" s="180">
        <f t="shared" si="119"/>
        <v>0</v>
      </c>
      <c r="V607" s="182">
        <f t="shared" si="146"/>
        <v>100</v>
      </c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  <c r="AG607" s="180"/>
      <c r="AH607" s="180"/>
      <c r="AI607" s="180">
        <v>0</v>
      </c>
      <c r="AJ607" s="181">
        <f t="shared" si="159"/>
        <v>0</v>
      </c>
      <c r="AK607" s="246">
        <f t="shared" si="155"/>
        <v>107000000</v>
      </c>
      <c r="AL607" s="181">
        <f t="shared" si="150"/>
        <v>100</v>
      </c>
      <c r="AM607" s="243"/>
    </row>
    <row r="608" spans="1:39" ht="31.5" customHeight="1" x14ac:dyDescent="0.25">
      <c r="A608" s="243"/>
      <c r="B608" s="244"/>
      <c r="C608" s="244"/>
      <c r="D608" s="244"/>
      <c r="E608" s="244"/>
      <c r="F608" s="244"/>
      <c r="G608" s="244"/>
      <c r="H608" s="244"/>
      <c r="I608" s="298"/>
      <c r="J608" s="244" t="s">
        <v>339</v>
      </c>
      <c r="K608" s="245"/>
      <c r="L608" s="257"/>
      <c r="M608" s="591" t="s">
        <v>340</v>
      </c>
      <c r="N608" s="592"/>
      <c r="O608" s="179"/>
      <c r="P608" s="180"/>
      <c r="Q608" s="180">
        <v>37200000</v>
      </c>
      <c r="R608" s="181">
        <f t="shared" si="160"/>
        <v>14.736283510883103</v>
      </c>
      <c r="S608" s="181">
        <v>100</v>
      </c>
      <c r="T608" s="180">
        <f t="shared" si="114"/>
        <v>0</v>
      </c>
      <c r="U608" s="180">
        <f t="shared" si="119"/>
        <v>0</v>
      </c>
      <c r="V608" s="182">
        <f t="shared" si="146"/>
        <v>100</v>
      </c>
      <c r="W608" s="180"/>
      <c r="X608" s="180"/>
      <c r="Y608" s="180"/>
      <c r="Z608" s="180"/>
      <c r="AA608" s="180"/>
      <c r="AB608" s="180"/>
      <c r="AC608" s="180"/>
      <c r="AD608" s="180"/>
      <c r="AE608" s="180"/>
      <c r="AF608" s="180"/>
      <c r="AG608" s="180"/>
      <c r="AH608" s="180"/>
      <c r="AI608" s="180">
        <v>0</v>
      </c>
      <c r="AJ608" s="181">
        <f t="shared" si="159"/>
        <v>0</v>
      </c>
      <c r="AK608" s="246">
        <f t="shared" si="155"/>
        <v>37200000</v>
      </c>
      <c r="AL608" s="181">
        <f t="shared" si="150"/>
        <v>100</v>
      </c>
      <c r="AM608" s="243"/>
    </row>
    <row r="609" spans="1:39" ht="31.5" customHeight="1" x14ac:dyDescent="0.25">
      <c r="A609" s="243"/>
      <c r="B609" s="244"/>
      <c r="C609" s="244"/>
      <c r="D609" s="244"/>
      <c r="E609" s="244"/>
      <c r="F609" s="244"/>
      <c r="G609" s="244"/>
      <c r="H609" s="244"/>
      <c r="I609" s="298"/>
      <c r="J609" s="244" t="s">
        <v>284</v>
      </c>
      <c r="K609" s="245"/>
      <c r="L609" s="257"/>
      <c r="M609" s="591" t="s">
        <v>285</v>
      </c>
      <c r="N609" s="592"/>
      <c r="O609" s="179"/>
      <c r="P609" s="180"/>
      <c r="Q609" s="180">
        <v>7560000</v>
      </c>
      <c r="R609" s="181">
        <f t="shared" si="160"/>
        <v>2.994793100598824</v>
      </c>
      <c r="S609" s="181">
        <v>100</v>
      </c>
      <c r="T609" s="180">
        <f t="shared" si="114"/>
        <v>0</v>
      </c>
      <c r="U609" s="180">
        <f t="shared" si="119"/>
        <v>0</v>
      </c>
      <c r="V609" s="182">
        <f t="shared" si="146"/>
        <v>100</v>
      </c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  <c r="AG609" s="180"/>
      <c r="AH609" s="180"/>
      <c r="AI609" s="180">
        <v>0</v>
      </c>
      <c r="AJ609" s="181">
        <f t="shared" si="159"/>
        <v>0</v>
      </c>
      <c r="AK609" s="246">
        <f t="shared" si="155"/>
        <v>7560000</v>
      </c>
      <c r="AL609" s="181">
        <f t="shared" si="150"/>
        <v>100</v>
      </c>
      <c r="AM609" s="243"/>
    </row>
    <row r="610" spans="1:39" ht="31.5" customHeight="1" x14ac:dyDescent="0.25">
      <c r="A610" s="243"/>
      <c r="B610" s="244"/>
      <c r="C610" s="244"/>
      <c r="D610" s="244"/>
      <c r="E610" s="244"/>
      <c r="F610" s="244"/>
      <c r="G610" s="244"/>
      <c r="H610" s="244"/>
      <c r="I610" s="298"/>
      <c r="J610" s="244" t="s">
        <v>282</v>
      </c>
      <c r="K610" s="245"/>
      <c r="L610" s="257"/>
      <c r="M610" s="591" t="s">
        <v>283</v>
      </c>
      <c r="N610" s="592"/>
      <c r="O610" s="179"/>
      <c r="P610" s="180"/>
      <c r="Q610" s="180">
        <v>18500140</v>
      </c>
      <c r="R610" s="181">
        <f>Q610/Q$601*100</f>
        <v>7.3285835492212072</v>
      </c>
      <c r="S610" s="181">
        <v>100</v>
      </c>
      <c r="T610" s="180">
        <f t="shared" si="114"/>
        <v>0</v>
      </c>
      <c r="U610" s="180">
        <f t="shared" si="119"/>
        <v>0</v>
      </c>
      <c r="V610" s="182">
        <f t="shared" si="146"/>
        <v>100</v>
      </c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  <c r="AG610" s="180"/>
      <c r="AH610" s="180"/>
      <c r="AI610" s="180">
        <v>0</v>
      </c>
      <c r="AJ610" s="181">
        <f t="shared" si="159"/>
        <v>0</v>
      </c>
      <c r="AK610" s="246">
        <f t="shared" si="155"/>
        <v>18500140</v>
      </c>
      <c r="AL610" s="181">
        <f t="shared" ref="AL610:AL665" si="161">AK610/Q610*100</f>
        <v>100</v>
      </c>
      <c r="AM610" s="243"/>
    </row>
    <row r="611" spans="1:39" s="297" customFormat="1" ht="28.5" customHeight="1" x14ac:dyDescent="0.25">
      <c r="A611" s="227">
        <f>SUM(A601+1)</f>
        <v>69</v>
      </c>
      <c r="B611" s="228"/>
      <c r="C611" s="228"/>
      <c r="D611" s="228"/>
      <c r="E611" s="228"/>
      <c r="F611" s="228"/>
      <c r="G611" s="228"/>
      <c r="H611" s="228"/>
      <c r="I611" s="229"/>
      <c r="J611" s="304" t="s">
        <v>527</v>
      </c>
      <c r="K611" s="230"/>
      <c r="L611" s="294"/>
      <c r="M611" s="609" t="s">
        <v>207</v>
      </c>
      <c r="N611" s="614"/>
      <c r="O611" s="309"/>
      <c r="P611" s="231"/>
      <c r="Q611" s="231">
        <f>SUM(Q612:Q619)</f>
        <v>195716927</v>
      </c>
      <c r="R611" s="233">
        <f>Q611/Q$601*100</f>
        <v>77.530648498677735</v>
      </c>
      <c r="S611" s="233">
        <v>100</v>
      </c>
      <c r="T611" s="231">
        <f t="shared" si="114"/>
        <v>0</v>
      </c>
      <c r="U611" s="231">
        <f t="shared" si="119"/>
        <v>0</v>
      </c>
      <c r="V611" s="296">
        <f t="shared" si="146"/>
        <v>100</v>
      </c>
      <c r="W611" s="231"/>
      <c r="X611" s="231"/>
      <c r="Y611" s="231"/>
      <c r="Z611" s="231"/>
      <c r="AA611" s="231"/>
      <c r="AB611" s="231"/>
      <c r="AC611" s="231"/>
      <c r="AD611" s="231"/>
      <c r="AE611" s="231"/>
      <c r="AF611" s="231"/>
      <c r="AG611" s="231"/>
      <c r="AH611" s="231"/>
      <c r="AI611" s="231">
        <f>SUM(AI612:AI619)</f>
        <v>0</v>
      </c>
      <c r="AJ611" s="233">
        <f t="shared" si="159"/>
        <v>0</v>
      </c>
      <c r="AK611" s="234">
        <f t="shared" si="155"/>
        <v>195716927</v>
      </c>
      <c r="AL611" s="233">
        <f t="shared" si="161"/>
        <v>100</v>
      </c>
      <c r="AM611" s="227"/>
    </row>
    <row r="612" spans="1:39" ht="28.5" customHeight="1" x14ac:dyDescent="0.25">
      <c r="A612" s="243"/>
      <c r="B612" s="244"/>
      <c r="C612" s="244"/>
      <c r="D612" s="244"/>
      <c r="E612" s="244"/>
      <c r="F612" s="244"/>
      <c r="G612" s="244"/>
      <c r="H612" s="244"/>
      <c r="I612" s="298"/>
      <c r="J612" s="244" t="s">
        <v>273</v>
      </c>
      <c r="K612" s="245"/>
      <c r="L612" s="257"/>
      <c r="M612" s="591" t="s">
        <v>322</v>
      </c>
      <c r="N612" s="592"/>
      <c r="O612" s="179"/>
      <c r="P612" s="180"/>
      <c r="Q612" s="180">
        <v>25200000</v>
      </c>
      <c r="R612" s="181">
        <f t="shared" ref="R612:R619" si="162">Q612/Q$611*100</f>
        <v>12.875738642677545</v>
      </c>
      <c r="S612" s="181">
        <v>100</v>
      </c>
      <c r="T612" s="180">
        <f t="shared" si="114"/>
        <v>0</v>
      </c>
      <c r="U612" s="180">
        <f t="shared" si="119"/>
        <v>0</v>
      </c>
      <c r="V612" s="182">
        <f t="shared" si="146"/>
        <v>100</v>
      </c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  <c r="AG612" s="180"/>
      <c r="AH612" s="180"/>
      <c r="AI612" s="180">
        <v>0</v>
      </c>
      <c r="AJ612" s="181">
        <f t="shared" si="159"/>
        <v>0</v>
      </c>
      <c r="AK612" s="246">
        <f t="shared" si="155"/>
        <v>25200000</v>
      </c>
      <c r="AL612" s="181">
        <f t="shared" si="161"/>
        <v>100</v>
      </c>
      <c r="AM612" s="243"/>
    </row>
    <row r="613" spans="1:39" ht="28.5" customHeight="1" x14ac:dyDescent="0.25">
      <c r="A613" s="243"/>
      <c r="B613" s="244"/>
      <c r="C613" s="244"/>
      <c r="D613" s="244"/>
      <c r="E613" s="244"/>
      <c r="F613" s="244"/>
      <c r="G613" s="244"/>
      <c r="H613" s="244"/>
      <c r="I613" s="298"/>
      <c r="J613" s="244" t="s">
        <v>323</v>
      </c>
      <c r="K613" s="245"/>
      <c r="L613" s="257"/>
      <c r="M613" s="591" t="s">
        <v>324</v>
      </c>
      <c r="N613" s="592"/>
      <c r="O613" s="179"/>
      <c r="P613" s="180"/>
      <c r="Q613" s="180">
        <v>33468000</v>
      </c>
      <c r="R613" s="181">
        <f t="shared" si="162"/>
        <v>17.100207178298891</v>
      </c>
      <c r="S613" s="181">
        <v>100</v>
      </c>
      <c r="T613" s="180">
        <f t="shared" si="114"/>
        <v>0</v>
      </c>
      <c r="U613" s="180">
        <f t="shared" si="119"/>
        <v>0</v>
      </c>
      <c r="V613" s="182">
        <f t="shared" si="146"/>
        <v>100</v>
      </c>
      <c r="W613" s="180"/>
      <c r="X613" s="180"/>
      <c r="Y613" s="180"/>
      <c r="Z613" s="180"/>
      <c r="AA613" s="180"/>
      <c r="AB613" s="180"/>
      <c r="AC613" s="180"/>
      <c r="AD613" s="180"/>
      <c r="AE613" s="180"/>
      <c r="AF613" s="180"/>
      <c r="AG613" s="180"/>
      <c r="AH613" s="180"/>
      <c r="AI613" s="180">
        <v>0</v>
      </c>
      <c r="AJ613" s="181">
        <f t="shared" si="159"/>
        <v>0</v>
      </c>
      <c r="AK613" s="246">
        <f t="shared" si="155"/>
        <v>33468000</v>
      </c>
      <c r="AL613" s="181">
        <f t="shared" si="161"/>
        <v>100</v>
      </c>
      <c r="AM613" s="243"/>
    </row>
    <row r="614" spans="1:39" ht="28.5" customHeight="1" x14ac:dyDescent="0.25">
      <c r="A614" s="243"/>
      <c r="B614" s="244"/>
      <c r="C614" s="244"/>
      <c r="D614" s="244"/>
      <c r="E614" s="244"/>
      <c r="F614" s="244"/>
      <c r="G614" s="244"/>
      <c r="H614" s="244"/>
      <c r="I614" s="298"/>
      <c r="J614" s="244" t="s">
        <v>269</v>
      </c>
      <c r="K614" s="245"/>
      <c r="L614" s="257"/>
      <c r="M614" s="591" t="s">
        <v>270</v>
      </c>
      <c r="N614" s="592"/>
      <c r="O614" s="179"/>
      <c r="P614" s="180"/>
      <c r="Q614" s="180">
        <v>5400000</v>
      </c>
      <c r="R614" s="181">
        <f t="shared" si="162"/>
        <v>2.7590868520023308</v>
      </c>
      <c r="S614" s="181">
        <v>100</v>
      </c>
      <c r="T614" s="180">
        <f t="shared" si="114"/>
        <v>0</v>
      </c>
      <c r="U614" s="180">
        <f t="shared" si="119"/>
        <v>0</v>
      </c>
      <c r="V614" s="182">
        <f t="shared" si="146"/>
        <v>100</v>
      </c>
      <c r="W614" s="180"/>
      <c r="X614" s="180"/>
      <c r="Y614" s="180"/>
      <c r="Z614" s="180"/>
      <c r="AA614" s="180"/>
      <c r="AB614" s="180"/>
      <c r="AC614" s="180"/>
      <c r="AD614" s="180"/>
      <c r="AE614" s="180"/>
      <c r="AF614" s="180"/>
      <c r="AG614" s="180"/>
      <c r="AH614" s="180"/>
      <c r="AI614" s="180">
        <v>0</v>
      </c>
      <c r="AJ614" s="181">
        <f t="shared" si="159"/>
        <v>0</v>
      </c>
      <c r="AK614" s="246">
        <f t="shared" si="155"/>
        <v>5400000</v>
      </c>
      <c r="AL614" s="181">
        <f t="shared" si="161"/>
        <v>100</v>
      </c>
      <c r="AM614" s="243"/>
    </row>
    <row r="615" spans="1:39" ht="28.5" customHeight="1" x14ac:dyDescent="0.25">
      <c r="A615" s="243"/>
      <c r="B615" s="244"/>
      <c r="C615" s="244"/>
      <c r="D615" s="244"/>
      <c r="E615" s="244"/>
      <c r="F615" s="244"/>
      <c r="G615" s="244"/>
      <c r="H615" s="244"/>
      <c r="I615" s="298"/>
      <c r="J615" s="244" t="s">
        <v>315</v>
      </c>
      <c r="K615" s="245"/>
      <c r="L615" s="257"/>
      <c r="M615" s="591" t="s">
        <v>271</v>
      </c>
      <c r="N615" s="592"/>
      <c r="O615" s="179"/>
      <c r="P615" s="180"/>
      <c r="Q615" s="180">
        <v>9600000</v>
      </c>
      <c r="R615" s="181">
        <f t="shared" si="162"/>
        <v>4.9050432924485881</v>
      </c>
      <c r="S615" s="181">
        <v>100</v>
      </c>
      <c r="T615" s="180">
        <f t="shared" si="114"/>
        <v>0</v>
      </c>
      <c r="U615" s="180">
        <f t="shared" si="119"/>
        <v>0</v>
      </c>
      <c r="V615" s="182">
        <f t="shared" si="146"/>
        <v>100</v>
      </c>
      <c r="W615" s="180"/>
      <c r="X615" s="180"/>
      <c r="Y615" s="180"/>
      <c r="Z615" s="180"/>
      <c r="AA615" s="180"/>
      <c r="AB615" s="180"/>
      <c r="AC615" s="180"/>
      <c r="AD615" s="180"/>
      <c r="AE615" s="180"/>
      <c r="AF615" s="180"/>
      <c r="AG615" s="180"/>
      <c r="AH615" s="180"/>
      <c r="AI615" s="180">
        <v>0</v>
      </c>
      <c r="AJ615" s="181">
        <f t="shared" si="159"/>
        <v>0</v>
      </c>
      <c r="AK615" s="246">
        <f t="shared" si="155"/>
        <v>9600000</v>
      </c>
      <c r="AL615" s="181">
        <f t="shared" si="161"/>
        <v>100</v>
      </c>
      <c r="AM615" s="243"/>
    </row>
    <row r="616" spans="1:39" ht="28.5" customHeight="1" x14ac:dyDescent="0.25">
      <c r="A616" s="243"/>
      <c r="B616" s="244"/>
      <c r="C616" s="244"/>
      <c r="D616" s="244"/>
      <c r="E616" s="244"/>
      <c r="F616" s="244"/>
      <c r="G616" s="244"/>
      <c r="H616" s="244"/>
      <c r="I616" s="298"/>
      <c r="J616" s="244" t="s">
        <v>280</v>
      </c>
      <c r="K616" s="245"/>
      <c r="L616" s="257"/>
      <c r="M616" s="591" t="s">
        <v>281</v>
      </c>
      <c r="N616" s="592"/>
      <c r="O616" s="179"/>
      <c r="P616" s="180"/>
      <c r="Q616" s="180">
        <v>48000000</v>
      </c>
      <c r="R616" s="181">
        <f t="shared" si="162"/>
        <v>24.525216462242941</v>
      </c>
      <c r="S616" s="181">
        <v>100</v>
      </c>
      <c r="T616" s="180">
        <f t="shared" si="114"/>
        <v>0</v>
      </c>
      <c r="U616" s="180">
        <f t="shared" si="119"/>
        <v>0</v>
      </c>
      <c r="V616" s="182">
        <f t="shared" si="146"/>
        <v>100</v>
      </c>
      <c r="W616" s="180"/>
      <c r="X616" s="180"/>
      <c r="Y616" s="180"/>
      <c r="Z616" s="180"/>
      <c r="AA616" s="180"/>
      <c r="AB616" s="180"/>
      <c r="AC616" s="180"/>
      <c r="AD616" s="180"/>
      <c r="AE616" s="180"/>
      <c r="AF616" s="180"/>
      <c r="AG616" s="180"/>
      <c r="AH616" s="180"/>
      <c r="AI616" s="180">
        <v>0</v>
      </c>
      <c r="AJ616" s="181">
        <f t="shared" si="159"/>
        <v>0</v>
      </c>
      <c r="AK616" s="246">
        <f t="shared" si="155"/>
        <v>48000000</v>
      </c>
      <c r="AL616" s="181">
        <f t="shared" si="161"/>
        <v>100</v>
      </c>
      <c r="AM616" s="243"/>
    </row>
    <row r="617" spans="1:39" ht="28.5" customHeight="1" x14ac:dyDescent="0.25">
      <c r="A617" s="243"/>
      <c r="B617" s="244"/>
      <c r="C617" s="244"/>
      <c r="D617" s="244"/>
      <c r="E617" s="244"/>
      <c r="F617" s="244"/>
      <c r="G617" s="244"/>
      <c r="H617" s="244"/>
      <c r="I617" s="298"/>
      <c r="J617" s="244" t="s">
        <v>284</v>
      </c>
      <c r="K617" s="245"/>
      <c r="L617" s="257"/>
      <c r="M617" s="591" t="s">
        <v>285</v>
      </c>
      <c r="N617" s="592"/>
      <c r="O617" s="179"/>
      <c r="P617" s="180"/>
      <c r="Q617" s="180">
        <v>4658927</v>
      </c>
      <c r="R617" s="181">
        <f t="shared" si="162"/>
        <v>2.3804415240997527</v>
      </c>
      <c r="S617" s="181">
        <v>100</v>
      </c>
      <c r="T617" s="180">
        <f t="shared" si="114"/>
        <v>0</v>
      </c>
      <c r="U617" s="180">
        <f t="shared" si="119"/>
        <v>0</v>
      </c>
      <c r="V617" s="182">
        <f t="shared" si="146"/>
        <v>100</v>
      </c>
      <c r="W617" s="180"/>
      <c r="X617" s="180"/>
      <c r="Y617" s="180"/>
      <c r="Z617" s="180"/>
      <c r="AA617" s="180"/>
      <c r="AB617" s="180"/>
      <c r="AC617" s="180"/>
      <c r="AD617" s="180"/>
      <c r="AE617" s="180"/>
      <c r="AF617" s="180"/>
      <c r="AG617" s="180"/>
      <c r="AH617" s="180"/>
      <c r="AI617" s="180">
        <v>0</v>
      </c>
      <c r="AJ617" s="181">
        <f t="shared" si="159"/>
        <v>0</v>
      </c>
      <c r="AK617" s="246">
        <f t="shared" si="155"/>
        <v>4658927</v>
      </c>
      <c r="AL617" s="181">
        <f t="shared" si="161"/>
        <v>100</v>
      </c>
      <c r="AM617" s="243"/>
    </row>
    <row r="618" spans="1:39" ht="28.5" customHeight="1" x14ac:dyDescent="0.25">
      <c r="A618" s="243"/>
      <c r="B618" s="244"/>
      <c r="C618" s="244"/>
      <c r="D618" s="244"/>
      <c r="E618" s="244"/>
      <c r="F618" s="244"/>
      <c r="G618" s="244"/>
      <c r="H618" s="244"/>
      <c r="I618" s="298"/>
      <c r="J618" s="244" t="s">
        <v>282</v>
      </c>
      <c r="K618" s="245"/>
      <c r="L618" s="257"/>
      <c r="M618" s="591" t="s">
        <v>283</v>
      </c>
      <c r="N618" s="592"/>
      <c r="O618" s="179"/>
      <c r="P618" s="180"/>
      <c r="Q618" s="180">
        <v>59790000</v>
      </c>
      <c r="R618" s="181">
        <f t="shared" si="162"/>
        <v>30.549222755781365</v>
      </c>
      <c r="S618" s="181">
        <v>100</v>
      </c>
      <c r="T618" s="180">
        <f t="shared" si="114"/>
        <v>0</v>
      </c>
      <c r="U618" s="180">
        <f t="shared" si="119"/>
        <v>0</v>
      </c>
      <c r="V618" s="182">
        <f t="shared" si="146"/>
        <v>100</v>
      </c>
      <c r="W618" s="180"/>
      <c r="X618" s="180"/>
      <c r="Y618" s="180"/>
      <c r="Z618" s="180"/>
      <c r="AA618" s="180"/>
      <c r="AB618" s="180"/>
      <c r="AC618" s="180"/>
      <c r="AD618" s="180"/>
      <c r="AE618" s="180"/>
      <c r="AF618" s="180"/>
      <c r="AG618" s="180"/>
      <c r="AH618" s="180"/>
      <c r="AI618" s="180">
        <v>0</v>
      </c>
      <c r="AJ618" s="181">
        <f t="shared" si="159"/>
        <v>0</v>
      </c>
      <c r="AK618" s="246">
        <f t="shared" si="155"/>
        <v>59790000</v>
      </c>
      <c r="AL618" s="181">
        <f t="shared" si="161"/>
        <v>100</v>
      </c>
      <c r="AM618" s="243"/>
    </row>
    <row r="619" spans="1:39" ht="28.5" customHeight="1" x14ac:dyDescent="0.25">
      <c r="A619" s="243"/>
      <c r="B619" s="244"/>
      <c r="C619" s="244"/>
      <c r="D619" s="244"/>
      <c r="E619" s="244"/>
      <c r="F619" s="244"/>
      <c r="G619" s="244"/>
      <c r="H619" s="244"/>
      <c r="I619" s="298"/>
      <c r="J619" s="244" t="s">
        <v>551</v>
      </c>
      <c r="K619" s="245"/>
      <c r="L619" s="257"/>
      <c r="M619" s="591" t="s">
        <v>550</v>
      </c>
      <c r="N619" s="592"/>
      <c r="O619" s="179"/>
      <c r="P619" s="180"/>
      <c r="Q619" s="180">
        <v>9600000</v>
      </c>
      <c r="R619" s="181">
        <f t="shared" si="162"/>
        <v>4.9050432924485881</v>
      </c>
      <c r="S619" s="181">
        <v>100</v>
      </c>
      <c r="T619" s="180">
        <f t="shared" ref="T619:T657" si="163">AJ619</f>
        <v>0</v>
      </c>
      <c r="U619" s="180">
        <f t="shared" si="119"/>
        <v>0</v>
      </c>
      <c r="V619" s="182">
        <f t="shared" si="146"/>
        <v>100</v>
      </c>
      <c r="W619" s="180"/>
      <c r="X619" s="180"/>
      <c r="Y619" s="180"/>
      <c r="Z619" s="180"/>
      <c r="AA619" s="180"/>
      <c r="AB619" s="180"/>
      <c r="AC619" s="180"/>
      <c r="AD619" s="180"/>
      <c r="AE619" s="180"/>
      <c r="AF619" s="180"/>
      <c r="AG619" s="180"/>
      <c r="AH619" s="180"/>
      <c r="AI619" s="180">
        <v>0</v>
      </c>
      <c r="AJ619" s="181">
        <f t="shared" si="159"/>
        <v>0</v>
      </c>
      <c r="AK619" s="246">
        <f t="shared" si="155"/>
        <v>9600000</v>
      </c>
      <c r="AL619" s="181">
        <f t="shared" si="161"/>
        <v>100</v>
      </c>
      <c r="AM619" s="243"/>
    </row>
    <row r="620" spans="1:39" s="297" customFormat="1" ht="24.75" customHeight="1" x14ac:dyDescent="0.25">
      <c r="A620" s="227">
        <f>SUM(A611+1)</f>
        <v>70</v>
      </c>
      <c r="B620" s="228"/>
      <c r="C620" s="228"/>
      <c r="D620" s="228"/>
      <c r="E620" s="228"/>
      <c r="F620" s="228"/>
      <c r="G620" s="228"/>
      <c r="H620" s="228"/>
      <c r="I620" s="229"/>
      <c r="J620" s="304" t="s">
        <v>528</v>
      </c>
      <c r="K620" s="230"/>
      <c r="L620" s="294"/>
      <c r="M620" s="613" t="s">
        <v>208</v>
      </c>
      <c r="N620" s="612"/>
      <c r="O620" s="309"/>
      <c r="P620" s="231"/>
      <c r="Q620" s="231">
        <f>SUM(Q621:Q629)</f>
        <v>148625471</v>
      </c>
      <c r="R620" s="233">
        <f>Q620/Q$243*100</f>
        <v>1.3377912239118874</v>
      </c>
      <c r="S620" s="233">
        <v>100</v>
      </c>
      <c r="T620" s="231">
        <f t="shared" si="163"/>
        <v>0</v>
      </c>
      <c r="U620" s="231">
        <f t="shared" si="119"/>
        <v>0</v>
      </c>
      <c r="V620" s="296">
        <f t="shared" si="146"/>
        <v>100</v>
      </c>
      <c r="W620" s="231"/>
      <c r="X620" s="231"/>
      <c r="Y620" s="231"/>
      <c r="Z620" s="231"/>
      <c r="AA620" s="231"/>
      <c r="AB620" s="231"/>
      <c r="AC620" s="231"/>
      <c r="AD620" s="231"/>
      <c r="AE620" s="231"/>
      <c r="AF620" s="231"/>
      <c r="AG620" s="231"/>
      <c r="AH620" s="231"/>
      <c r="AI620" s="231">
        <f>SUM(AI621:AI629)</f>
        <v>0</v>
      </c>
      <c r="AJ620" s="233">
        <f t="shared" si="159"/>
        <v>0</v>
      </c>
      <c r="AK620" s="234">
        <f t="shared" si="155"/>
        <v>148625471</v>
      </c>
      <c r="AL620" s="233">
        <f t="shared" si="161"/>
        <v>100</v>
      </c>
      <c r="AM620" s="227"/>
    </row>
    <row r="621" spans="1:39" ht="24.75" customHeight="1" x14ac:dyDescent="0.25">
      <c r="A621" s="243"/>
      <c r="B621" s="244"/>
      <c r="C621" s="244"/>
      <c r="D621" s="244"/>
      <c r="E621" s="244"/>
      <c r="F621" s="244"/>
      <c r="G621" s="244"/>
      <c r="H621" s="244"/>
      <c r="I621" s="298"/>
      <c r="J621" s="244" t="s">
        <v>257</v>
      </c>
      <c r="K621" s="245"/>
      <c r="L621" s="257"/>
      <c r="M621" s="604" t="s">
        <v>260</v>
      </c>
      <c r="N621" s="592"/>
      <c r="O621" s="179"/>
      <c r="P621" s="180"/>
      <c r="Q621" s="180">
        <v>800000</v>
      </c>
      <c r="R621" s="181">
        <f>Q621/Q$620*100</f>
        <v>0.53826574584917553</v>
      </c>
      <c r="S621" s="181">
        <v>100</v>
      </c>
      <c r="T621" s="180">
        <f t="shared" si="163"/>
        <v>0</v>
      </c>
      <c r="U621" s="180">
        <f t="shared" si="119"/>
        <v>0</v>
      </c>
      <c r="V621" s="182">
        <f t="shared" si="146"/>
        <v>100</v>
      </c>
      <c r="W621" s="180"/>
      <c r="X621" s="180"/>
      <c r="Y621" s="180"/>
      <c r="Z621" s="180"/>
      <c r="AA621" s="180"/>
      <c r="AB621" s="180"/>
      <c r="AC621" s="180"/>
      <c r="AD621" s="180"/>
      <c r="AE621" s="180"/>
      <c r="AF621" s="180"/>
      <c r="AG621" s="180"/>
      <c r="AH621" s="180"/>
      <c r="AI621" s="180">
        <v>0</v>
      </c>
      <c r="AJ621" s="181">
        <f t="shared" si="159"/>
        <v>0</v>
      </c>
      <c r="AK621" s="246">
        <f t="shared" si="155"/>
        <v>800000</v>
      </c>
      <c r="AL621" s="181">
        <f t="shared" si="161"/>
        <v>100</v>
      </c>
      <c r="AM621" s="243"/>
    </row>
    <row r="622" spans="1:39" ht="24.75" customHeight="1" x14ac:dyDescent="0.25">
      <c r="A622" s="243"/>
      <c r="B622" s="244"/>
      <c r="C622" s="244"/>
      <c r="D622" s="244"/>
      <c r="E622" s="244"/>
      <c r="F622" s="244"/>
      <c r="G622" s="244"/>
      <c r="H622" s="244"/>
      <c r="I622" s="298"/>
      <c r="J622" s="244" t="s">
        <v>315</v>
      </c>
      <c r="K622" s="245"/>
      <c r="L622" s="257"/>
      <c r="M622" s="604" t="s">
        <v>271</v>
      </c>
      <c r="N622" s="592"/>
      <c r="O622" s="179"/>
      <c r="P622" s="180"/>
      <c r="Q622" s="180">
        <v>10500000</v>
      </c>
      <c r="R622" s="181">
        <f>Q622/Q$620*100</f>
        <v>7.0647379142704274</v>
      </c>
      <c r="S622" s="181">
        <v>100</v>
      </c>
      <c r="T622" s="180">
        <f t="shared" si="163"/>
        <v>0</v>
      </c>
      <c r="U622" s="180">
        <f t="shared" si="119"/>
        <v>0</v>
      </c>
      <c r="V622" s="182">
        <f t="shared" si="146"/>
        <v>100</v>
      </c>
      <c r="W622" s="180"/>
      <c r="X622" s="180"/>
      <c r="Y622" s="180"/>
      <c r="Z622" s="180"/>
      <c r="AA622" s="180"/>
      <c r="AB622" s="180"/>
      <c r="AC622" s="180"/>
      <c r="AD622" s="180"/>
      <c r="AE622" s="180"/>
      <c r="AF622" s="180"/>
      <c r="AG622" s="180"/>
      <c r="AH622" s="180"/>
      <c r="AI622" s="180">
        <v>0</v>
      </c>
      <c r="AJ622" s="181">
        <f t="shared" si="159"/>
        <v>0</v>
      </c>
      <c r="AK622" s="246">
        <f t="shared" si="155"/>
        <v>10500000</v>
      </c>
      <c r="AL622" s="181">
        <f t="shared" si="161"/>
        <v>100</v>
      </c>
      <c r="AM622" s="243"/>
    </row>
    <row r="623" spans="1:39" ht="24.75" customHeight="1" x14ac:dyDescent="0.25">
      <c r="A623" s="243"/>
      <c r="B623" s="244"/>
      <c r="C623" s="244"/>
      <c r="D623" s="244"/>
      <c r="E623" s="244"/>
      <c r="F623" s="244"/>
      <c r="G623" s="244"/>
      <c r="H623" s="244"/>
      <c r="I623" s="298"/>
      <c r="J623" s="244" t="s">
        <v>316</v>
      </c>
      <c r="K623" s="245"/>
      <c r="L623" s="257"/>
      <c r="M623" s="604" t="s">
        <v>317</v>
      </c>
      <c r="N623" s="592"/>
      <c r="O623" s="179"/>
      <c r="P623" s="180"/>
      <c r="Q623" s="180">
        <v>500000</v>
      </c>
      <c r="R623" s="181">
        <f t="shared" ref="R623:R629" si="164">Q623/Q$620*100</f>
        <v>0.33641609115573468</v>
      </c>
      <c r="S623" s="181">
        <v>100</v>
      </c>
      <c r="T623" s="180">
        <f t="shared" si="163"/>
        <v>0</v>
      </c>
      <c r="U623" s="180">
        <f t="shared" si="119"/>
        <v>0</v>
      </c>
      <c r="V623" s="182">
        <f t="shared" si="146"/>
        <v>100</v>
      </c>
      <c r="W623" s="180"/>
      <c r="X623" s="180"/>
      <c r="Y623" s="180"/>
      <c r="Z623" s="180"/>
      <c r="AA623" s="180"/>
      <c r="AB623" s="180"/>
      <c r="AC623" s="180"/>
      <c r="AD623" s="180"/>
      <c r="AE623" s="180"/>
      <c r="AF623" s="180"/>
      <c r="AG623" s="180"/>
      <c r="AH623" s="180"/>
      <c r="AI623" s="180">
        <v>0</v>
      </c>
      <c r="AJ623" s="181">
        <f t="shared" si="159"/>
        <v>0</v>
      </c>
      <c r="AK623" s="246">
        <f t="shared" si="155"/>
        <v>500000</v>
      </c>
      <c r="AL623" s="181">
        <f t="shared" si="161"/>
        <v>100</v>
      </c>
      <c r="AM623" s="243"/>
    </row>
    <row r="624" spans="1:39" ht="24.75" customHeight="1" x14ac:dyDescent="0.25">
      <c r="A624" s="243"/>
      <c r="B624" s="244"/>
      <c r="C624" s="244"/>
      <c r="D624" s="244"/>
      <c r="E624" s="244"/>
      <c r="F624" s="244"/>
      <c r="G624" s="244"/>
      <c r="H624" s="244"/>
      <c r="I624" s="298"/>
      <c r="J624" s="244" t="s">
        <v>328</v>
      </c>
      <c r="K624" s="245"/>
      <c r="L624" s="257"/>
      <c r="M624" s="604" t="s">
        <v>319</v>
      </c>
      <c r="N624" s="592"/>
      <c r="O624" s="179"/>
      <c r="P624" s="180"/>
      <c r="Q624" s="180">
        <v>65000000</v>
      </c>
      <c r="R624" s="181">
        <f t="shared" si="164"/>
        <v>43.734091850245512</v>
      </c>
      <c r="S624" s="181">
        <v>100</v>
      </c>
      <c r="T624" s="180">
        <f t="shared" si="163"/>
        <v>0</v>
      </c>
      <c r="U624" s="180">
        <f t="shared" si="119"/>
        <v>0</v>
      </c>
      <c r="V624" s="182">
        <f t="shared" si="146"/>
        <v>100</v>
      </c>
      <c r="W624" s="180"/>
      <c r="X624" s="180"/>
      <c r="Y624" s="180"/>
      <c r="Z624" s="180"/>
      <c r="AA624" s="180"/>
      <c r="AB624" s="180"/>
      <c r="AC624" s="180"/>
      <c r="AD624" s="180"/>
      <c r="AE624" s="180"/>
      <c r="AF624" s="180"/>
      <c r="AG624" s="180"/>
      <c r="AH624" s="180"/>
      <c r="AI624" s="180">
        <v>0</v>
      </c>
      <c r="AJ624" s="181">
        <f t="shared" si="159"/>
        <v>0</v>
      </c>
      <c r="AK624" s="246">
        <f t="shared" si="155"/>
        <v>65000000</v>
      </c>
      <c r="AL624" s="181">
        <f t="shared" si="161"/>
        <v>100</v>
      </c>
      <c r="AM624" s="243"/>
    </row>
    <row r="625" spans="1:39" ht="24.75" customHeight="1" x14ac:dyDescent="0.25">
      <c r="A625" s="243"/>
      <c r="B625" s="244"/>
      <c r="C625" s="244"/>
      <c r="D625" s="244"/>
      <c r="E625" s="244"/>
      <c r="F625" s="244"/>
      <c r="G625" s="244"/>
      <c r="H625" s="244"/>
      <c r="I625" s="298"/>
      <c r="J625" s="244" t="s">
        <v>284</v>
      </c>
      <c r="K625" s="245"/>
      <c r="L625" s="257"/>
      <c r="M625" s="604" t="s">
        <v>285</v>
      </c>
      <c r="N625" s="592"/>
      <c r="O625" s="179"/>
      <c r="P625" s="180"/>
      <c r="Q625" s="180">
        <v>10000000</v>
      </c>
      <c r="R625" s="181">
        <f t="shared" si="164"/>
        <v>6.728321823114694</v>
      </c>
      <c r="S625" s="181">
        <v>100</v>
      </c>
      <c r="T625" s="180">
        <f t="shared" si="163"/>
        <v>0</v>
      </c>
      <c r="U625" s="180">
        <f t="shared" si="119"/>
        <v>0</v>
      </c>
      <c r="V625" s="182">
        <f t="shared" si="146"/>
        <v>100</v>
      </c>
      <c r="W625" s="180"/>
      <c r="X625" s="180"/>
      <c r="Y625" s="180"/>
      <c r="Z625" s="180"/>
      <c r="AA625" s="180"/>
      <c r="AB625" s="180"/>
      <c r="AC625" s="180"/>
      <c r="AD625" s="180"/>
      <c r="AE625" s="180"/>
      <c r="AF625" s="180"/>
      <c r="AG625" s="180"/>
      <c r="AH625" s="180"/>
      <c r="AI625" s="180">
        <v>0</v>
      </c>
      <c r="AJ625" s="181">
        <f t="shared" si="159"/>
        <v>0</v>
      </c>
      <c r="AK625" s="246">
        <f t="shared" si="155"/>
        <v>10000000</v>
      </c>
      <c r="AL625" s="181">
        <f t="shared" si="161"/>
        <v>100</v>
      </c>
      <c r="AM625" s="243"/>
    </row>
    <row r="626" spans="1:39" ht="24.75" customHeight="1" x14ac:dyDescent="0.25">
      <c r="A626" s="243"/>
      <c r="B626" s="244"/>
      <c r="C626" s="244"/>
      <c r="D626" s="244"/>
      <c r="E626" s="244"/>
      <c r="F626" s="244"/>
      <c r="G626" s="244"/>
      <c r="H626" s="244"/>
      <c r="I626" s="298"/>
      <c r="J626" s="244" t="s">
        <v>282</v>
      </c>
      <c r="K626" s="245"/>
      <c r="L626" s="257"/>
      <c r="M626" s="604" t="s">
        <v>283</v>
      </c>
      <c r="N626" s="592"/>
      <c r="O626" s="179"/>
      <c r="P626" s="180"/>
      <c r="Q626" s="180">
        <v>34125471</v>
      </c>
      <c r="R626" s="181">
        <f t="shared" si="164"/>
        <v>22.960715125336762</v>
      </c>
      <c r="S626" s="181">
        <v>100</v>
      </c>
      <c r="T626" s="180">
        <f t="shared" si="163"/>
        <v>0</v>
      </c>
      <c r="U626" s="180">
        <f t="shared" si="119"/>
        <v>0</v>
      </c>
      <c r="V626" s="182">
        <f t="shared" si="146"/>
        <v>100</v>
      </c>
      <c r="W626" s="180"/>
      <c r="X626" s="180"/>
      <c r="Y626" s="180"/>
      <c r="Z626" s="180"/>
      <c r="AA626" s="180"/>
      <c r="AB626" s="180"/>
      <c r="AC626" s="180"/>
      <c r="AD626" s="180"/>
      <c r="AE626" s="180"/>
      <c r="AF626" s="180"/>
      <c r="AG626" s="180"/>
      <c r="AH626" s="180"/>
      <c r="AI626" s="180">
        <v>0</v>
      </c>
      <c r="AJ626" s="181">
        <f t="shared" si="159"/>
        <v>0</v>
      </c>
      <c r="AK626" s="246">
        <f t="shared" si="155"/>
        <v>34125471</v>
      </c>
      <c r="AL626" s="181">
        <f t="shared" si="161"/>
        <v>100</v>
      </c>
      <c r="AM626" s="243"/>
    </row>
    <row r="627" spans="1:39" ht="24.75" customHeight="1" x14ac:dyDescent="0.25">
      <c r="A627" s="243"/>
      <c r="B627" s="244"/>
      <c r="C627" s="244"/>
      <c r="D627" s="244"/>
      <c r="E627" s="244"/>
      <c r="F627" s="244"/>
      <c r="G627" s="244"/>
      <c r="H627" s="244"/>
      <c r="I627" s="298"/>
      <c r="J627" s="244" t="s">
        <v>320</v>
      </c>
      <c r="K627" s="245"/>
      <c r="L627" s="257"/>
      <c r="M627" s="604" t="s">
        <v>321</v>
      </c>
      <c r="N627" s="592"/>
      <c r="O627" s="179"/>
      <c r="P627" s="180"/>
      <c r="Q627" s="180">
        <v>9800000</v>
      </c>
      <c r="R627" s="181">
        <f t="shared" si="164"/>
        <v>6.5937553866524006</v>
      </c>
      <c r="S627" s="181">
        <v>100</v>
      </c>
      <c r="T627" s="180">
        <f t="shared" si="163"/>
        <v>0</v>
      </c>
      <c r="U627" s="180">
        <f t="shared" si="119"/>
        <v>0</v>
      </c>
      <c r="V627" s="182">
        <f t="shared" si="146"/>
        <v>100</v>
      </c>
      <c r="W627" s="180"/>
      <c r="X627" s="180"/>
      <c r="Y627" s="180"/>
      <c r="Z627" s="180"/>
      <c r="AA627" s="180"/>
      <c r="AB627" s="180"/>
      <c r="AC627" s="180"/>
      <c r="AD627" s="180"/>
      <c r="AE627" s="180"/>
      <c r="AF627" s="180"/>
      <c r="AG627" s="180"/>
      <c r="AH627" s="180"/>
      <c r="AI627" s="180">
        <v>0</v>
      </c>
      <c r="AJ627" s="181">
        <f t="shared" si="159"/>
        <v>0</v>
      </c>
      <c r="AK627" s="246">
        <f t="shared" si="155"/>
        <v>9800000</v>
      </c>
      <c r="AL627" s="181">
        <f t="shared" si="161"/>
        <v>100</v>
      </c>
      <c r="AM627" s="243"/>
    </row>
    <row r="628" spans="1:39" ht="24.75" customHeight="1" x14ac:dyDescent="0.25">
      <c r="A628" s="243"/>
      <c r="B628" s="244"/>
      <c r="C628" s="244"/>
      <c r="D628" s="244"/>
      <c r="E628" s="244"/>
      <c r="F628" s="244"/>
      <c r="G628" s="244"/>
      <c r="H628" s="244"/>
      <c r="I628" s="298"/>
      <c r="J628" s="244" t="s">
        <v>407</v>
      </c>
      <c r="K628" s="245"/>
      <c r="L628" s="257"/>
      <c r="M628" s="604" t="s">
        <v>623</v>
      </c>
      <c r="N628" s="592"/>
      <c r="O628" s="179"/>
      <c r="P628" s="180"/>
      <c r="Q628" s="180">
        <v>2900000</v>
      </c>
      <c r="R628" s="181">
        <f t="shared" si="164"/>
        <v>1.9512133287032611</v>
      </c>
      <c r="S628" s="181">
        <v>100</v>
      </c>
      <c r="T628" s="180">
        <f t="shared" si="163"/>
        <v>0</v>
      </c>
      <c r="U628" s="180">
        <f t="shared" si="119"/>
        <v>0</v>
      </c>
      <c r="V628" s="182">
        <f t="shared" si="146"/>
        <v>100</v>
      </c>
      <c r="W628" s="180"/>
      <c r="X628" s="180"/>
      <c r="Y628" s="180"/>
      <c r="Z628" s="180"/>
      <c r="AA628" s="180"/>
      <c r="AB628" s="180"/>
      <c r="AC628" s="180"/>
      <c r="AD628" s="180"/>
      <c r="AE628" s="180"/>
      <c r="AF628" s="180"/>
      <c r="AG628" s="180"/>
      <c r="AH628" s="180"/>
      <c r="AI628" s="180">
        <v>0</v>
      </c>
      <c r="AJ628" s="181">
        <f t="shared" si="159"/>
        <v>0</v>
      </c>
      <c r="AK628" s="246">
        <f t="shared" si="155"/>
        <v>2900000</v>
      </c>
      <c r="AL628" s="181">
        <f t="shared" si="161"/>
        <v>100</v>
      </c>
      <c r="AM628" s="243"/>
    </row>
    <row r="629" spans="1:39" ht="24.75" customHeight="1" x14ac:dyDescent="0.25">
      <c r="A629" s="243"/>
      <c r="B629" s="244"/>
      <c r="C629" s="244"/>
      <c r="D629" s="244"/>
      <c r="E629" s="244"/>
      <c r="F629" s="244"/>
      <c r="G629" s="244"/>
      <c r="H629" s="244"/>
      <c r="I629" s="298"/>
      <c r="J629" s="244" t="s">
        <v>372</v>
      </c>
      <c r="K629" s="245"/>
      <c r="L629" s="257"/>
      <c r="M629" s="604" t="s">
        <v>373</v>
      </c>
      <c r="N629" s="592"/>
      <c r="O629" s="179"/>
      <c r="P629" s="180"/>
      <c r="Q629" s="180">
        <v>15000000</v>
      </c>
      <c r="R629" s="181">
        <f t="shared" si="164"/>
        <v>10.092482734672039</v>
      </c>
      <c r="S629" s="181">
        <v>100</v>
      </c>
      <c r="T629" s="180">
        <f t="shared" si="163"/>
        <v>0</v>
      </c>
      <c r="U629" s="180">
        <f t="shared" si="119"/>
        <v>0</v>
      </c>
      <c r="V629" s="182">
        <v>100</v>
      </c>
      <c r="W629" s="180"/>
      <c r="X629" s="180"/>
      <c r="Y629" s="180"/>
      <c r="Z629" s="180"/>
      <c r="AA629" s="180"/>
      <c r="AB629" s="180"/>
      <c r="AC629" s="180"/>
      <c r="AD629" s="180"/>
      <c r="AE629" s="180"/>
      <c r="AF629" s="180"/>
      <c r="AG629" s="180"/>
      <c r="AH629" s="180"/>
      <c r="AI629" s="180">
        <v>0</v>
      </c>
      <c r="AJ629" s="181">
        <f t="shared" si="159"/>
        <v>0</v>
      </c>
      <c r="AK629" s="246">
        <f t="shared" ref="AK629:AK665" si="165">Q629-AI629</f>
        <v>15000000</v>
      </c>
      <c r="AL629" s="181">
        <f t="shared" si="161"/>
        <v>100</v>
      </c>
      <c r="AM629" s="243"/>
    </row>
    <row r="630" spans="1:39" s="297" customFormat="1" ht="31.5" customHeight="1" x14ac:dyDescent="0.25">
      <c r="A630" s="227">
        <f>SUM(A620+1)</f>
        <v>71</v>
      </c>
      <c r="B630" s="228"/>
      <c r="C630" s="228"/>
      <c r="D630" s="228"/>
      <c r="E630" s="228"/>
      <c r="F630" s="228"/>
      <c r="G630" s="228"/>
      <c r="H630" s="228"/>
      <c r="I630" s="229"/>
      <c r="J630" s="304" t="s">
        <v>529</v>
      </c>
      <c r="K630" s="230"/>
      <c r="L630" s="294"/>
      <c r="M630" s="610" t="s">
        <v>209</v>
      </c>
      <c r="N630" s="612"/>
      <c r="O630" s="309"/>
      <c r="P630" s="231"/>
      <c r="Q630" s="231">
        <f>SUM(Q631:Q636)</f>
        <v>60110918</v>
      </c>
      <c r="R630" s="233">
        <f>Q630/Q$243*100</f>
        <v>0.54106377608510392</v>
      </c>
      <c r="S630" s="233">
        <v>100</v>
      </c>
      <c r="T630" s="231">
        <f t="shared" si="163"/>
        <v>0</v>
      </c>
      <c r="U630" s="231">
        <f t="shared" si="119"/>
        <v>0</v>
      </c>
      <c r="V630" s="296">
        <f t="shared" si="146"/>
        <v>100</v>
      </c>
      <c r="W630" s="231"/>
      <c r="X630" s="231"/>
      <c r="Y630" s="231"/>
      <c r="Z630" s="231"/>
      <c r="AA630" s="231"/>
      <c r="AB630" s="231"/>
      <c r="AC630" s="231"/>
      <c r="AD630" s="231"/>
      <c r="AE630" s="231"/>
      <c r="AF630" s="231"/>
      <c r="AG630" s="231"/>
      <c r="AH630" s="231"/>
      <c r="AI630" s="231">
        <f>SUM(AI631:AI636)</f>
        <v>0</v>
      </c>
      <c r="AJ630" s="233">
        <f t="shared" si="159"/>
        <v>0</v>
      </c>
      <c r="AK630" s="234">
        <f t="shared" si="165"/>
        <v>60110918</v>
      </c>
      <c r="AL630" s="233">
        <f t="shared" si="161"/>
        <v>100</v>
      </c>
      <c r="AM630" s="227"/>
    </row>
    <row r="631" spans="1:39" ht="24.75" customHeight="1" x14ac:dyDescent="0.25">
      <c r="A631" s="243"/>
      <c r="B631" s="244"/>
      <c r="C631" s="244"/>
      <c r="D631" s="244"/>
      <c r="E631" s="244"/>
      <c r="F631" s="244"/>
      <c r="G631" s="244"/>
      <c r="H631" s="244"/>
      <c r="I631" s="298"/>
      <c r="J631" s="244" t="s">
        <v>347</v>
      </c>
      <c r="K631" s="245"/>
      <c r="L631" s="257"/>
      <c r="M631" s="591" t="s">
        <v>348</v>
      </c>
      <c r="N631" s="592"/>
      <c r="O631" s="179"/>
      <c r="P631" s="180"/>
      <c r="Q631" s="180">
        <v>13900000</v>
      </c>
      <c r="R631" s="181">
        <f t="shared" ref="R631:R636" si="166">Q631/Q$630*100</f>
        <v>23.123919019170529</v>
      </c>
      <c r="S631" s="181">
        <v>100</v>
      </c>
      <c r="T631" s="180">
        <f t="shared" si="163"/>
        <v>0</v>
      </c>
      <c r="U631" s="180">
        <f t="shared" si="119"/>
        <v>0</v>
      </c>
      <c r="V631" s="182">
        <f t="shared" si="146"/>
        <v>100</v>
      </c>
      <c r="W631" s="180"/>
      <c r="X631" s="180"/>
      <c r="Y631" s="180"/>
      <c r="Z631" s="180"/>
      <c r="AA631" s="180"/>
      <c r="AB631" s="180"/>
      <c r="AC631" s="180"/>
      <c r="AD631" s="180"/>
      <c r="AE631" s="180"/>
      <c r="AF631" s="180"/>
      <c r="AG631" s="180"/>
      <c r="AH631" s="180"/>
      <c r="AI631" s="180">
        <v>0</v>
      </c>
      <c r="AJ631" s="181">
        <f t="shared" si="159"/>
        <v>0</v>
      </c>
      <c r="AK631" s="246">
        <f t="shared" si="165"/>
        <v>13900000</v>
      </c>
      <c r="AL631" s="181">
        <f t="shared" si="161"/>
        <v>100</v>
      </c>
      <c r="AM631" s="243"/>
    </row>
    <row r="632" spans="1:39" ht="24.75" customHeight="1" x14ac:dyDescent="0.25">
      <c r="A632" s="243"/>
      <c r="B632" s="244"/>
      <c r="C632" s="244"/>
      <c r="D632" s="244"/>
      <c r="E632" s="244"/>
      <c r="F632" s="244"/>
      <c r="G632" s="244"/>
      <c r="H632" s="244"/>
      <c r="I632" s="298"/>
      <c r="J632" s="244" t="s">
        <v>251</v>
      </c>
      <c r="K632" s="245"/>
      <c r="L632" s="257"/>
      <c r="M632" s="591" t="s">
        <v>324</v>
      </c>
      <c r="N632" s="592"/>
      <c r="O632" s="179"/>
      <c r="P632" s="180"/>
      <c r="Q632" s="180">
        <v>5710918</v>
      </c>
      <c r="R632" s="181">
        <f t="shared" si="166"/>
        <v>9.5006334789297355</v>
      </c>
      <c r="S632" s="181">
        <v>100</v>
      </c>
      <c r="T632" s="180">
        <f t="shared" si="163"/>
        <v>0</v>
      </c>
      <c r="U632" s="180">
        <f t="shared" si="119"/>
        <v>0</v>
      </c>
      <c r="V632" s="182">
        <f t="shared" si="146"/>
        <v>100</v>
      </c>
      <c r="W632" s="180"/>
      <c r="X632" s="180"/>
      <c r="Y632" s="180"/>
      <c r="Z632" s="180"/>
      <c r="AA632" s="180"/>
      <c r="AB632" s="180"/>
      <c r="AC632" s="180"/>
      <c r="AD632" s="180"/>
      <c r="AE632" s="180"/>
      <c r="AF632" s="180"/>
      <c r="AG632" s="180"/>
      <c r="AH632" s="180"/>
      <c r="AI632" s="180">
        <v>0</v>
      </c>
      <c r="AJ632" s="181">
        <f t="shared" si="159"/>
        <v>0</v>
      </c>
      <c r="AK632" s="246">
        <f t="shared" si="165"/>
        <v>5710918</v>
      </c>
      <c r="AL632" s="181">
        <f t="shared" si="161"/>
        <v>100</v>
      </c>
      <c r="AM632" s="243"/>
    </row>
    <row r="633" spans="1:39" ht="33" customHeight="1" x14ac:dyDescent="0.25">
      <c r="A633" s="243"/>
      <c r="B633" s="244"/>
      <c r="C633" s="244"/>
      <c r="D633" s="244"/>
      <c r="E633" s="244"/>
      <c r="F633" s="244"/>
      <c r="G633" s="244"/>
      <c r="H633" s="244"/>
      <c r="I633" s="298"/>
      <c r="J633" s="244" t="s">
        <v>318</v>
      </c>
      <c r="K633" s="245"/>
      <c r="L633" s="257"/>
      <c r="M633" s="591" t="s">
        <v>352</v>
      </c>
      <c r="N633" s="592"/>
      <c r="O633" s="179"/>
      <c r="P633" s="180"/>
      <c r="Q633" s="180">
        <v>12000000</v>
      </c>
      <c r="R633" s="181">
        <f t="shared" si="166"/>
        <v>19.963095556118439</v>
      </c>
      <c r="S633" s="181">
        <v>100</v>
      </c>
      <c r="T633" s="180">
        <f t="shared" si="163"/>
        <v>0</v>
      </c>
      <c r="U633" s="180">
        <f t="shared" si="119"/>
        <v>0</v>
      </c>
      <c r="V633" s="182">
        <f t="shared" si="146"/>
        <v>100</v>
      </c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  <c r="AG633" s="180"/>
      <c r="AH633" s="180"/>
      <c r="AI633" s="180">
        <v>0</v>
      </c>
      <c r="AJ633" s="181">
        <f t="shared" si="159"/>
        <v>0</v>
      </c>
      <c r="AK633" s="246">
        <f t="shared" si="165"/>
        <v>12000000</v>
      </c>
      <c r="AL633" s="181">
        <f t="shared" si="161"/>
        <v>100</v>
      </c>
      <c r="AM633" s="243"/>
    </row>
    <row r="634" spans="1:39" ht="24.75" customHeight="1" x14ac:dyDescent="0.25">
      <c r="A634" s="243"/>
      <c r="B634" s="244"/>
      <c r="C634" s="244"/>
      <c r="D634" s="244"/>
      <c r="E634" s="244"/>
      <c r="F634" s="244"/>
      <c r="G634" s="244"/>
      <c r="H634" s="244"/>
      <c r="I634" s="298"/>
      <c r="J634" s="244" t="s">
        <v>315</v>
      </c>
      <c r="K634" s="245"/>
      <c r="L634" s="257"/>
      <c r="M634" s="591" t="s">
        <v>428</v>
      </c>
      <c r="N634" s="592"/>
      <c r="O634" s="179"/>
      <c r="P634" s="180"/>
      <c r="Q634" s="180">
        <v>6000000</v>
      </c>
      <c r="R634" s="181">
        <f t="shared" si="166"/>
        <v>9.9815477780592197</v>
      </c>
      <c r="S634" s="181">
        <v>100</v>
      </c>
      <c r="T634" s="180">
        <f t="shared" si="163"/>
        <v>0</v>
      </c>
      <c r="U634" s="180">
        <f t="shared" si="119"/>
        <v>0</v>
      </c>
      <c r="V634" s="182">
        <f t="shared" si="146"/>
        <v>100</v>
      </c>
      <c r="W634" s="180"/>
      <c r="X634" s="180"/>
      <c r="Y634" s="180"/>
      <c r="Z634" s="180"/>
      <c r="AA634" s="180"/>
      <c r="AB634" s="180"/>
      <c r="AC634" s="180"/>
      <c r="AD634" s="180"/>
      <c r="AE634" s="180"/>
      <c r="AF634" s="180"/>
      <c r="AG634" s="180"/>
      <c r="AH634" s="180"/>
      <c r="AI634" s="180">
        <v>0</v>
      </c>
      <c r="AJ634" s="181">
        <f t="shared" si="159"/>
        <v>0</v>
      </c>
      <c r="AK634" s="246">
        <f t="shared" si="165"/>
        <v>6000000</v>
      </c>
      <c r="AL634" s="181">
        <f t="shared" si="161"/>
        <v>100</v>
      </c>
      <c r="AM634" s="243"/>
    </row>
    <row r="635" spans="1:39" ht="24.75" customHeight="1" x14ac:dyDescent="0.25">
      <c r="A635" s="243"/>
      <c r="B635" s="244"/>
      <c r="C635" s="244"/>
      <c r="D635" s="244"/>
      <c r="E635" s="244"/>
      <c r="F635" s="244"/>
      <c r="G635" s="244"/>
      <c r="H635" s="244"/>
      <c r="I635" s="298"/>
      <c r="J635" s="244" t="s">
        <v>318</v>
      </c>
      <c r="K635" s="245"/>
      <c r="L635" s="257"/>
      <c r="M635" s="591" t="s">
        <v>319</v>
      </c>
      <c r="N635" s="592"/>
      <c r="O635" s="179"/>
      <c r="P635" s="180"/>
      <c r="Q635" s="180">
        <v>10500000</v>
      </c>
      <c r="R635" s="181">
        <f t="shared" si="166"/>
        <v>17.467708611603637</v>
      </c>
      <c r="S635" s="181">
        <v>100</v>
      </c>
      <c r="T635" s="180">
        <f t="shared" si="163"/>
        <v>0</v>
      </c>
      <c r="U635" s="180">
        <f t="shared" si="119"/>
        <v>0</v>
      </c>
      <c r="V635" s="182">
        <f t="shared" si="146"/>
        <v>100</v>
      </c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  <c r="AG635" s="180"/>
      <c r="AH635" s="180"/>
      <c r="AI635" s="180">
        <v>0</v>
      </c>
      <c r="AJ635" s="181">
        <f t="shared" si="159"/>
        <v>0</v>
      </c>
      <c r="AK635" s="246">
        <f t="shared" si="165"/>
        <v>10500000</v>
      </c>
      <c r="AL635" s="181">
        <f t="shared" si="161"/>
        <v>100</v>
      </c>
      <c r="AM635" s="243"/>
    </row>
    <row r="636" spans="1:39" ht="24.75" customHeight="1" x14ac:dyDescent="0.25">
      <c r="A636" s="243"/>
      <c r="B636" s="244"/>
      <c r="C636" s="244"/>
      <c r="D636" s="244"/>
      <c r="E636" s="244"/>
      <c r="F636" s="244"/>
      <c r="G636" s="244"/>
      <c r="H636" s="244"/>
      <c r="I636" s="298"/>
      <c r="J636" s="244" t="s">
        <v>624</v>
      </c>
      <c r="K636" s="245"/>
      <c r="L636" s="257"/>
      <c r="M636" s="591" t="s">
        <v>281</v>
      </c>
      <c r="N636" s="592"/>
      <c r="O636" s="179"/>
      <c r="P636" s="180"/>
      <c r="Q636" s="180">
        <v>12000000</v>
      </c>
      <c r="R636" s="181">
        <f t="shared" si="166"/>
        <v>19.963095556118439</v>
      </c>
      <c r="S636" s="181">
        <v>100</v>
      </c>
      <c r="T636" s="180">
        <f t="shared" si="163"/>
        <v>0</v>
      </c>
      <c r="U636" s="180">
        <f t="shared" si="119"/>
        <v>0</v>
      </c>
      <c r="V636" s="182">
        <f t="shared" si="146"/>
        <v>100</v>
      </c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  <c r="AG636" s="180"/>
      <c r="AH636" s="180"/>
      <c r="AI636" s="180">
        <v>0</v>
      </c>
      <c r="AJ636" s="181">
        <f t="shared" si="159"/>
        <v>0</v>
      </c>
      <c r="AK636" s="246">
        <f t="shared" si="165"/>
        <v>12000000</v>
      </c>
      <c r="AL636" s="181">
        <f t="shared" si="161"/>
        <v>100</v>
      </c>
      <c r="AM636" s="243"/>
    </row>
    <row r="637" spans="1:39" s="297" customFormat="1" ht="28.5" customHeight="1" x14ac:dyDescent="0.25">
      <c r="A637" s="227">
        <f>SUM(A630+1)</f>
        <v>72</v>
      </c>
      <c r="B637" s="228"/>
      <c r="C637" s="228"/>
      <c r="D637" s="228"/>
      <c r="E637" s="228"/>
      <c r="F637" s="228"/>
      <c r="G637" s="228"/>
      <c r="H637" s="228"/>
      <c r="I637" s="229"/>
      <c r="J637" s="304" t="s">
        <v>530</v>
      </c>
      <c r="K637" s="230"/>
      <c r="L637" s="294"/>
      <c r="M637" s="610" t="s">
        <v>210</v>
      </c>
      <c r="N637" s="610"/>
      <c r="O637" s="309"/>
      <c r="P637" s="231"/>
      <c r="Q637" s="231">
        <f>SUM(Q638:Q650)</f>
        <v>221952061</v>
      </c>
      <c r="R637" s="233">
        <f>Q637/Q$33*100</f>
        <v>0.7171672342017984</v>
      </c>
      <c r="S637" s="233">
        <v>100</v>
      </c>
      <c r="T637" s="231">
        <f t="shared" si="163"/>
        <v>0</v>
      </c>
      <c r="U637" s="231">
        <f t="shared" si="119"/>
        <v>0</v>
      </c>
      <c r="V637" s="296">
        <f t="shared" si="146"/>
        <v>100</v>
      </c>
      <c r="W637" s="231"/>
      <c r="X637" s="231"/>
      <c r="Y637" s="231"/>
      <c r="Z637" s="231"/>
      <c r="AA637" s="231"/>
      <c r="AB637" s="231"/>
      <c r="AC637" s="231"/>
      <c r="AD637" s="231"/>
      <c r="AE637" s="231"/>
      <c r="AF637" s="231"/>
      <c r="AG637" s="231"/>
      <c r="AH637" s="231"/>
      <c r="AI637" s="231">
        <f>SUM(AI638:AI650)</f>
        <v>0</v>
      </c>
      <c r="AJ637" s="233">
        <f t="shared" si="159"/>
        <v>0</v>
      </c>
      <c r="AK637" s="234">
        <f t="shared" si="165"/>
        <v>221952061</v>
      </c>
      <c r="AL637" s="233">
        <f t="shared" si="161"/>
        <v>100</v>
      </c>
      <c r="AM637" s="227"/>
    </row>
    <row r="638" spans="1:39" ht="28.5" customHeight="1" x14ac:dyDescent="0.25">
      <c r="A638" s="243"/>
      <c r="B638" s="244"/>
      <c r="C638" s="244"/>
      <c r="D638" s="244"/>
      <c r="E638" s="244"/>
      <c r="F638" s="244"/>
      <c r="G638" s="244"/>
      <c r="H638" s="244"/>
      <c r="I638" s="298"/>
      <c r="J638" s="244" t="s">
        <v>259</v>
      </c>
      <c r="K638" s="245"/>
      <c r="L638" s="257"/>
      <c r="M638" s="591" t="s">
        <v>260</v>
      </c>
      <c r="N638" s="592"/>
      <c r="O638" s="179"/>
      <c r="P638" s="180"/>
      <c r="Q638" s="180">
        <v>650000</v>
      </c>
      <c r="R638" s="181">
        <f t="shared" ref="R638:R650" si="167">Q638/Q$637*100</f>
        <v>0.29285603254659576</v>
      </c>
      <c r="S638" s="181">
        <v>100</v>
      </c>
      <c r="T638" s="180">
        <f t="shared" si="163"/>
        <v>0</v>
      </c>
      <c r="U638" s="180">
        <f t="shared" si="119"/>
        <v>0</v>
      </c>
      <c r="V638" s="182">
        <f t="shared" si="146"/>
        <v>100</v>
      </c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  <c r="AG638" s="180"/>
      <c r="AH638" s="180"/>
      <c r="AI638" s="180">
        <v>0</v>
      </c>
      <c r="AJ638" s="181">
        <f t="shared" si="159"/>
        <v>0</v>
      </c>
      <c r="AK638" s="246">
        <f t="shared" si="165"/>
        <v>650000</v>
      </c>
      <c r="AL638" s="181">
        <f t="shared" si="161"/>
        <v>100</v>
      </c>
      <c r="AM638" s="243"/>
    </row>
    <row r="639" spans="1:39" ht="28.5" customHeight="1" x14ac:dyDescent="0.25">
      <c r="A639" s="243"/>
      <c r="B639" s="244"/>
      <c r="C639" s="244"/>
      <c r="D639" s="244"/>
      <c r="E639" s="244"/>
      <c r="F639" s="244"/>
      <c r="G639" s="244"/>
      <c r="H639" s="244"/>
      <c r="I639" s="298"/>
      <c r="J639" s="244" t="s">
        <v>375</v>
      </c>
      <c r="K639" s="245"/>
      <c r="L639" s="257"/>
      <c r="M639" s="611" t="s">
        <v>376</v>
      </c>
      <c r="N639" s="598"/>
      <c r="O639" s="179"/>
      <c r="P639" s="180"/>
      <c r="Q639" s="180">
        <v>124500000</v>
      </c>
      <c r="R639" s="181">
        <f t="shared" si="167"/>
        <v>56.093193926232566</v>
      </c>
      <c r="S639" s="181">
        <v>100</v>
      </c>
      <c r="T639" s="180">
        <f t="shared" si="163"/>
        <v>0</v>
      </c>
      <c r="U639" s="180">
        <f t="shared" si="119"/>
        <v>0</v>
      </c>
      <c r="V639" s="182">
        <f t="shared" si="146"/>
        <v>100</v>
      </c>
      <c r="W639" s="180"/>
      <c r="X639" s="180"/>
      <c r="Y639" s="180"/>
      <c r="Z639" s="180"/>
      <c r="AA639" s="180"/>
      <c r="AB639" s="180"/>
      <c r="AC639" s="180"/>
      <c r="AD639" s="180"/>
      <c r="AE639" s="180"/>
      <c r="AF639" s="180"/>
      <c r="AG639" s="180"/>
      <c r="AH639" s="180"/>
      <c r="AI639" s="180">
        <v>0</v>
      </c>
      <c r="AJ639" s="181">
        <f t="shared" si="159"/>
        <v>0</v>
      </c>
      <c r="AK639" s="246">
        <f t="shared" si="165"/>
        <v>124500000</v>
      </c>
      <c r="AL639" s="181">
        <f t="shared" si="161"/>
        <v>100</v>
      </c>
      <c r="AM639" s="243"/>
    </row>
    <row r="640" spans="1:39" ht="28.5" customHeight="1" x14ac:dyDescent="0.25">
      <c r="A640" s="243"/>
      <c r="B640" s="244"/>
      <c r="C640" s="244"/>
      <c r="D640" s="244"/>
      <c r="E640" s="244"/>
      <c r="F640" s="244"/>
      <c r="G640" s="244"/>
      <c r="H640" s="244"/>
      <c r="I640" s="298"/>
      <c r="J640" s="244" t="s">
        <v>267</v>
      </c>
      <c r="K640" s="245"/>
      <c r="L640" s="257"/>
      <c r="M640" s="591" t="s">
        <v>268</v>
      </c>
      <c r="N640" s="592"/>
      <c r="O640" s="179"/>
      <c r="P640" s="180"/>
      <c r="Q640" s="180">
        <v>12500000</v>
      </c>
      <c r="R640" s="181">
        <f t="shared" si="167"/>
        <v>5.6318467797422258</v>
      </c>
      <c r="S640" s="181">
        <v>100</v>
      </c>
      <c r="T640" s="180">
        <f t="shared" si="163"/>
        <v>0</v>
      </c>
      <c r="U640" s="180">
        <f t="shared" si="119"/>
        <v>0</v>
      </c>
      <c r="V640" s="182">
        <f t="shared" si="146"/>
        <v>100</v>
      </c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  <c r="AG640" s="180"/>
      <c r="AH640" s="180"/>
      <c r="AI640" s="180">
        <v>0</v>
      </c>
      <c r="AJ640" s="181">
        <f t="shared" si="159"/>
        <v>0</v>
      </c>
      <c r="AK640" s="246">
        <f t="shared" si="165"/>
        <v>12500000</v>
      </c>
      <c r="AL640" s="181">
        <f t="shared" si="161"/>
        <v>100</v>
      </c>
      <c r="AM640" s="243"/>
    </row>
    <row r="641" spans="1:39" ht="28.5" customHeight="1" x14ac:dyDescent="0.25">
      <c r="A641" s="243"/>
      <c r="B641" s="244"/>
      <c r="C641" s="244"/>
      <c r="D641" s="244"/>
      <c r="E641" s="244"/>
      <c r="F641" s="244"/>
      <c r="G641" s="244"/>
      <c r="H641" s="244"/>
      <c r="I641" s="298"/>
      <c r="J641" s="244" t="s">
        <v>332</v>
      </c>
      <c r="K641" s="245"/>
      <c r="L641" s="257"/>
      <c r="M641" s="591" t="s">
        <v>351</v>
      </c>
      <c r="N641" s="592"/>
      <c r="O641" s="179"/>
      <c r="P641" s="180"/>
      <c r="Q641" s="180">
        <v>500000</v>
      </c>
      <c r="R641" s="181">
        <f t="shared" si="167"/>
        <v>0.22527387118968903</v>
      </c>
      <c r="S641" s="181">
        <v>100</v>
      </c>
      <c r="T641" s="180">
        <f t="shared" si="163"/>
        <v>0</v>
      </c>
      <c r="U641" s="180">
        <f t="shared" si="119"/>
        <v>0</v>
      </c>
      <c r="V641" s="182">
        <f t="shared" si="146"/>
        <v>100</v>
      </c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  <c r="AG641" s="180"/>
      <c r="AH641" s="180"/>
      <c r="AI641" s="180">
        <v>0</v>
      </c>
      <c r="AJ641" s="181">
        <f t="shared" si="159"/>
        <v>0</v>
      </c>
      <c r="AK641" s="246">
        <f t="shared" si="165"/>
        <v>500000</v>
      </c>
      <c r="AL641" s="181">
        <f t="shared" si="161"/>
        <v>100</v>
      </c>
      <c r="AM641" s="243"/>
    </row>
    <row r="642" spans="1:39" ht="28.5" customHeight="1" x14ac:dyDescent="0.25">
      <c r="A642" s="243"/>
      <c r="B642" s="244"/>
      <c r="C642" s="244"/>
      <c r="D642" s="244"/>
      <c r="E642" s="244"/>
      <c r="F642" s="244"/>
      <c r="G642" s="244"/>
      <c r="H642" s="244"/>
      <c r="I642" s="298"/>
      <c r="J642" s="244" t="s">
        <v>315</v>
      </c>
      <c r="K642" s="245"/>
      <c r="L642" s="257"/>
      <c r="M642" s="591" t="s">
        <v>271</v>
      </c>
      <c r="N642" s="592"/>
      <c r="O642" s="179"/>
      <c r="P642" s="180"/>
      <c r="Q642" s="180">
        <v>977061</v>
      </c>
      <c r="R642" s="181">
        <f t="shared" si="167"/>
        <v>0.44021262771693753</v>
      </c>
      <c r="S642" s="181">
        <v>100</v>
      </c>
      <c r="T642" s="180">
        <f t="shared" si="163"/>
        <v>0</v>
      </c>
      <c r="U642" s="180">
        <f t="shared" si="119"/>
        <v>0</v>
      </c>
      <c r="V642" s="182">
        <f t="shared" si="146"/>
        <v>100</v>
      </c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  <c r="AG642" s="180"/>
      <c r="AH642" s="180"/>
      <c r="AI642" s="180">
        <v>0</v>
      </c>
      <c r="AJ642" s="181">
        <f t="shared" si="159"/>
        <v>0</v>
      </c>
      <c r="AK642" s="246">
        <f t="shared" si="165"/>
        <v>977061</v>
      </c>
      <c r="AL642" s="181">
        <f t="shared" si="161"/>
        <v>100</v>
      </c>
      <c r="AM642" s="243"/>
    </row>
    <row r="643" spans="1:39" ht="28.5" customHeight="1" x14ac:dyDescent="0.25">
      <c r="A643" s="243"/>
      <c r="B643" s="244"/>
      <c r="C643" s="244"/>
      <c r="D643" s="244"/>
      <c r="E643" s="244"/>
      <c r="F643" s="244"/>
      <c r="G643" s="244"/>
      <c r="H643" s="244"/>
      <c r="I643" s="298"/>
      <c r="J643" s="244" t="s">
        <v>316</v>
      </c>
      <c r="K643" s="245"/>
      <c r="L643" s="257"/>
      <c r="M643" s="591" t="s">
        <v>317</v>
      </c>
      <c r="N643" s="592"/>
      <c r="O643" s="179"/>
      <c r="P643" s="180"/>
      <c r="Q643" s="180">
        <v>400000</v>
      </c>
      <c r="R643" s="181">
        <f t="shared" si="167"/>
        <v>0.18021909695175123</v>
      </c>
      <c r="S643" s="181">
        <v>100</v>
      </c>
      <c r="T643" s="180">
        <f t="shared" si="163"/>
        <v>0</v>
      </c>
      <c r="U643" s="180">
        <f t="shared" si="119"/>
        <v>0</v>
      </c>
      <c r="V643" s="182">
        <f t="shared" si="146"/>
        <v>100</v>
      </c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  <c r="AG643" s="180"/>
      <c r="AH643" s="180"/>
      <c r="AI643" s="180">
        <v>0</v>
      </c>
      <c r="AJ643" s="181">
        <f t="shared" si="159"/>
        <v>0</v>
      </c>
      <c r="AK643" s="246">
        <f t="shared" si="165"/>
        <v>400000</v>
      </c>
      <c r="AL643" s="181">
        <f t="shared" si="161"/>
        <v>100</v>
      </c>
      <c r="AM643" s="243"/>
    </row>
    <row r="644" spans="1:39" ht="28.5" customHeight="1" x14ac:dyDescent="0.25">
      <c r="A644" s="243"/>
      <c r="B644" s="244"/>
      <c r="C644" s="244"/>
      <c r="D644" s="244"/>
      <c r="E644" s="244"/>
      <c r="F644" s="244"/>
      <c r="G644" s="244"/>
      <c r="H644" s="244"/>
      <c r="I644" s="298"/>
      <c r="J644" s="244" t="s">
        <v>318</v>
      </c>
      <c r="K644" s="245"/>
      <c r="L644" s="257"/>
      <c r="M644" s="591" t="s">
        <v>319</v>
      </c>
      <c r="N644" s="592"/>
      <c r="O644" s="179"/>
      <c r="P644" s="180"/>
      <c r="Q644" s="180">
        <v>35000000</v>
      </c>
      <c r="R644" s="181">
        <f t="shared" si="167"/>
        <v>15.769170983278229</v>
      </c>
      <c r="S644" s="181">
        <v>100</v>
      </c>
      <c r="T644" s="180">
        <f t="shared" si="163"/>
        <v>0</v>
      </c>
      <c r="U644" s="180">
        <f t="shared" si="119"/>
        <v>0</v>
      </c>
      <c r="V644" s="182">
        <f t="shared" si="146"/>
        <v>100</v>
      </c>
      <c r="W644" s="180"/>
      <c r="X644" s="180"/>
      <c r="Y644" s="180"/>
      <c r="Z644" s="180"/>
      <c r="AA644" s="180"/>
      <c r="AB644" s="180"/>
      <c r="AC644" s="180"/>
      <c r="AD644" s="180"/>
      <c r="AE644" s="180"/>
      <c r="AF644" s="180"/>
      <c r="AG644" s="180"/>
      <c r="AH644" s="180"/>
      <c r="AI644" s="180">
        <v>0</v>
      </c>
      <c r="AJ644" s="181">
        <f t="shared" si="159"/>
        <v>0</v>
      </c>
      <c r="AK644" s="246">
        <f t="shared" si="165"/>
        <v>35000000</v>
      </c>
      <c r="AL644" s="181">
        <f t="shared" si="161"/>
        <v>100</v>
      </c>
      <c r="AM644" s="243"/>
    </row>
    <row r="645" spans="1:39" ht="28.5" customHeight="1" x14ac:dyDescent="0.25">
      <c r="A645" s="243"/>
      <c r="B645" s="244"/>
      <c r="C645" s="244"/>
      <c r="D645" s="244"/>
      <c r="E645" s="244"/>
      <c r="F645" s="244"/>
      <c r="G645" s="244"/>
      <c r="H645" s="244"/>
      <c r="I645" s="298"/>
      <c r="J645" s="244" t="s">
        <v>280</v>
      </c>
      <c r="K645" s="245"/>
      <c r="L645" s="257"/>
      <c r="M645" s="591" t="s">
        <v>281</v>
      </c>
      <c r="N645" s="592"/>
      <c r="O645" s="179"/>
      <c r="P645" s="180"/>
      <c r="Q645" s="180">
        <v>1250000</v>
      </c>
      <c r="R645" s="181">
        <f t="shared" si="167"/>
        <v>0.56318467797422256</v>
      </c>
      <c r="S645" s="181">
        <v>100</v>
      </c>
      <c r="T645" s="180">
        <f t="shared" si="163"/>
        <v>0</v>
      </c>
      <c r="U645" s="180">
        <f t="shared" si="119"/>
        <v>0</v>
      </c>
      <c r="V645" s="182">
        <f t="shared" si="146"/>
        <v>100</v>
      </c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  <c r="AG645" s="180"/>
      <c r="AH645" s="180"/>
      <c r="AI645" s="180">
        <v>0</v>
      </c>
      <c r="AJ645" s="181">
        <f t="shared" si="159"/>
        <v>0</v>
      </c>
      <c r="AK645" s="246">
        <f t="shared" si="165"/>
        <v>1250000</v>
      </c>
      <c r="AL645" s="181">
        <f t="shared" si="161"/>
        <v>100</v>
      </c>
      <c r="AM645" s="243"/>
    </row>
    <row r="646" spans="1:39" ht="28.5" customHeight="1" x14ac:dyDescent="0.25">
      <c r="A646" s="243"/>
      <c r="B646" s="244"/>
      <c r="C646" s="244"/>
      <c r="D646" s="244"/>
      <c r="E646" s="244"/>
      <c r="F646" s="244"/>
      <c r="G646" s="244"/>
      <c r="H646" s="244"/>
      <c r="I646" s="298"/>
      <c r="J646" s="244" t="s">
        <v>284</v>
      </c>
      <c r="K646" s="245"/>
      <c r="L646" s="257"/>
      <c r="M646" s="591" t="s">
        <v>285</v>
      </c>
      <c r="N646" s="592"/>
      <c r="O646" s="179"/>
      <c r="P646" s="180"/>
      <c r="Q646" s="180">
        <v>2925000</v>
      </c>
      <c r="R646" s="181">
        <f t="shared" si="167"/>
        <v>1.3178521464596809</v>
      </c>
      <c r="S646" s="181">
        <v>100</v>
      </c>
      <c r="T646" s="180">
        <f t="shared" si="163"/>
        <v>0</v>
      </c>
      <c r="U646" s="180">
        <f t="shared" si="119"/>
        <v>0</v>
      </c>
      <c r="V646" s="182">
        <f t="shared" si="146"/>
        <v>100</v>
      </c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  <c r="AG646" s="180"/>
      <c r="AH646" s="180"/>
      <c r="AI646" s="180">
        <v>0</v>
      </c>
      <c r="AJ646" s="181">
        <f t="shared" si="159"/>
        <v>0</v>
      </c>
      <c r="AK646" s="246">
        <f t="shared" si="165"/>
        <v>2925000</v>
      </c>
      <c r="AL646" s="181">
        <f t="shared" si="161"/>
        <v>100</v>
      </c>
      <c r="AM646" s="243"/>
    </row>
    <row r="647" spans="1:39" ht="28.5" customHeight="1" x14ac:dyDescent="0.25">
      <c r="A647" s="243"/>
      <c r="B647" s="244"/>
      <c r="C647" s="244"/>
      <c r="D647" s="244"/>
      <c r="E647" s="244"/>
      <c r="F647" s="244"/>
      <c r="G647" s="244"/>
      <c r="H647" s="244"/>
      <c r="I647" s="298"/>
      <c r="J647" s="244" t="s">
        <v>282</v>
      </c>
      <c r="K647" s="245"/>
      <c r="L647" s="257"/>
      <c r="M647" s="591" t="s">
        <v>283</v>
      </c>
      <c r="N647" s="592"/>
      <c r="O647" s="179"/>
      <c r="P647" s="180"/>
      <c r="Q647" s="180">
        <v>21300000</v>
      </c>
      <c r="R647" s="181">
        <f t="shared" si="167"/>
        <v>9.5966669126807531</v>
      </c>
      <c r="S647" s="181">
        <v>100</v>
      </c>
      <c r="T647" s="180">
        <f t="shared" si="163"/>
        <v>0</v>
      </c>
      <c r="U647" s="180">
        <f t="shared" si="119"/>
        <v>0</v>
      </c>
      <c r="V647" s="182">
        <f t="shared" si="146"/>
        <v>100</v>
      </c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  <c r="AG647" s="180"/>
      <c r="AH647" s="180"/>
      <c r="AI647" s="180">
        <v>0</v>
      </c>
      <c r="AJ647" s="181">
        <f t="shared" si="159"/>
        <v>0</v>
      </c>
      <c r="AK647" s="246">
        <f t="shared" si="165"/>
        <v>21300000</v>
      </c>
      <c r="AL647" s="181">
        <f t="shared" si="161"/>
        <v>100</v>
      </c>
      <c r="AM647" s="243"/>
    </row>
    <row r="648" spans="1:39" ht="28.5" customHeight="1" x14ac:dyDescent="0.25">
      <c r="A648" s="243"/>
      <c r="B648" s="244"/>
      <c r="C648" s="244"/>
      <c r="D648" s="244"/>
      <c r="E648" s="244"/>
      <c r="F648" s="244"/>
      <c r="G648" s="244"/>
      <c r="H648" s="244"/>
      <c r="I648" s="298"/>
      <c r="J648" s="244" t="s">
        <v>320</v>
      </c>
      <c r="K648" s="245"/>
      <c r="L648" s="257"/>
      <c r="M648" s="591" t="s">
        <v>321</v>
      </c>
      <c r="N648" s="592"/>
      <c r="O648" s="179"/>
      <c r="P648" s="180"/>
      <c r="Q648" s="180">
        <v>4300000</v>
      </c>
      <c r="R648" s="181">
        <f t="shared" si="167"/>
        <v>1.9373552922313255</v>
      </c>
      <c r="S648" s="181">
        <v>100</v>
      </c>
      <c r="T648" s="180">
        <f t="shared" si="163"/>
        <v>0</v>
      </c>
      <c r="U648" s="180">
        <f t="shared" si="119"/>
        <v>0</v>
      </c>
      <c r="V648" s="182">
        <f t="shared" si="146"/>
        <v>100</v>
      </c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  <c r="AG648" s="180"/>
      <c r="AH648" s="180"/>
      <c r="AI648" s="180">
        <v>0</v>
      </c>
      <c r="AJ648" s="181">
        <f t="shared" si="159"/>
        <v>0</v>
      </c>
      <c r="AK648" s="246">
        <f t="shared" si="165"/>
        <v>4300000</v>
      </c>
      <c r="AL648" s="181">
        <f t="shared" si="161"/>
        <v>100</v>
      </c>
      <c r="AM648" s="243"/>
    </row>
    <row r="649" spans="1:39" ht="28.5" customHeight="1" x14ac:dyDescent="0.25">
      <c r="A649" s="243"/>
      <c r="B649" s="244"/>
      <c r="C649" s="244"/>
      <c r="D649" s="244"/>
      <c r="E649" s="244"/>
      <c r="F649" s="244"/>
      <c r="G649" s="244"/>
      <c r="H649" s="244"/>
      <c r="I649" s="298"/>
      <c r="J649" s="244" t="s">
        <v>407</v>
      </c>
      <c r="K649" s="245"/>
      <c r="L649" s="257"/>
      <c r="M649" s="591" t="s">
        <v>607</v>
      </c>
      <c r="N649" s="592"/>
      <c r="O649" s="179"/>
      <c r="P649" s="180"/>
      <c r="Q649" s="180">
        <v>2650000</v>
      </c>
      <c r="R649" s="181">
        <f t="shared" si="167"/>
        <v>1.1939515173053519</v>
      </c>
      <c r="S649" s="181">
        <v>100</v>
      </c>
      <c r="T649" s="180">
        <f t="shared" si="163"/>
        <v>0</v>
      </c>
      <c r="U649" s="180">
        <f t="shared" si="119"/>
        <v>0</v>
      </c>
      <c r="V649" s="182">
        <f t="shared" si="146"/>
        <v>100</v>
      </c>
      <c r="W649" s="180"/>
      <c r="X649" s="180"/>
      <c r="Y649" s="180"/>
      <c r="Z649" s="180"/>
      <c r="AA649" s="180"/>
      <c r="AB649" s="180"/>
      <c r="AC649" s="180"/>
      <c r="AD649" s="180"/>
      <c r="AE649" s="180"/>
      <c r="AF649" s="180"/>
      <c r="AG649" s="180"/>
      <c r="AH649" s="180"/>
      <c r="AI649" s="180">
        <v>0</v>
      </c>
      <c r="AJ649" s="181">
        <f t="shared" si="159"/>
        <v>0</v>
      </c>
      <c r="AK649" s="246">
        <f t="shared" si="165"/>
        <v>2650000</v>
      </c>
      <c r="AL649" s="181">
        <f t="shared" si="161"/>
        <v>100</v>
      </c>
      <c r="AM649" s="243"/>
    </row>
    <row r="650" spans="1:39" ht="28.5" customHeight="1" x14ac:dyDescent="0.25">
      <c r="A650" s="243"/>
      <c r="B650" s="244"/>
      <c r="C650" s="244"/>
      <c r="D650" s="244"/>
      <c r="E650" s="244"/>
      <c r="F650" s="244"/>
      <c r="G650" s="244"/>
      <c r="H650" s="244"/>
      <c r="I650" s="298"/>
      <c r="J650" s="244" t="s">
        <v>372</v>
      </c>
      <c r="K650" s="245"/>
      <c r="L650" s="257"/>
      <c r="M650" s="591" t="s">
        <v>373</v>
      </c>
      <c r="N650" s="592"/>
      <c r="O650" s="179"/>
      <c r="P650" s="180"/>
      <c r="Q650" s="180">
        <v>15000000</v>
      </c>
      <c r="R650" s="181">
        <f t="shared" si="167"/>
        <v>6.7582161356906703</v>
      </c>
      <c r="S650" s="181">
        <v>100</v>
      </c>
      <c r="T650" s="180">
        <f t="shared" si="163"/>
        <v>0</v>
      </c>
      <c r="U650" s="180">
        <f t="shared" si="119"/>
        <v>0</v>
      </c>
      <c r="V650" s="182">
        <v>100</v>
      </c>
      <c r="W650" s="180"/>
      <c r="X650" s="180"/>
      <c r="Y650" s="180"/>
      <c r="Z650" s="180"/>
      <c r="AA650" s="180"/>
      <c r="AB650" s="180"/>
      <c r="AC650" s="180"/>
      <c r="AD650" s="180"/>
      <c r="AE650" s="180"/>
      <c r="AF650" s="180"/>
      <c r="AG650" s="180"/>
      <c r="AH650" s="180"/>
      <c r="AI650" s="180">
        <v>0</v>
      </c>
      <c r="AJ650" s="181">
        <f t="shared" si="159"/>
        <v>0</v>
      </c>
      <c r="AK650" s="246">
        <f t="shared" si="165"/>
        <v>15000000</v>
      </c>
      <c r="AL650" s="181">
        <f t="shared" si="161"/>
        <v>100</v>
      </c>
      <c r="AM650" s="243"/>
    </row>
    <row r="651" spans="1:39" s="297" customFormat="1" ht="28.5" customHeight="1" x14ac:dyDescent="0.25">
      <c r="A651" s="227">
        <f>SUM(A637+1)</f>
        <v>73</v>
      </c>
      <c r="B651" s="228"/>
      <c r="C651" s="228"/>
      <c r="D651" s="228"/>
      <c r="E651" s="228"/>
      <c r="F651" s="228"/>
      <c r="G651" s="228"/>
      <c r="H651" s="228"/>
      <c r="I651" s="229"/>
      <c r="J651" s="228" t="s">
        <v>377</v>
      </c>
      <c r="K651" s="230"/>
      <c r="L651" s="294"/>
      <c r="M651" s="610" t="s">
        <v>378</v>
      </c>
      <c r="N651" s="610"/>
      <c r="O651" s="309">
        <v>355300000</v>
      </c>
      <c r="P651" s="231">
        <v>0</v>
      </c>
      <c r="Q651" s="231">
        <f>SUM(Q652:Q656)</f>
        <v>88840644</v>
      </c>
      <c r="R651" s="233">
        <f>Q651/Q$33*100</f>
        <v>0.28706018162267299</v>
      </c>
      <c r="S651" s="233">
        <v>100</v>
      </c>
      <c r="T651" s="231">
        <f t="shared" si="163"/>
        <v>0</v>
      </c>
      <c r="U651" s="231">
        <f>R651*T651/100</f>
        <v>0</v>
      </c>
      <c r="V651" s="296">
        <f t="shared" si="146"/>
        <v>100</v>
      </c>
      <c r="W651" s="231"/>
      <c r="X651" s="231"/>
      <c r="Y651" s="231"/>
      <c r="Z651" s="231"/>
      <c r="AA651" s="231"/>
      <c r="AB651" s="231"/>
      <c r="AC651" s="231"/>
      <c r="AD651" s="231"/>
      <c r="AE651" s="231"/>
      <c r="AF651" s="231"/>
      <c r="AG651" s="231" t="e">
        <f>[2]april!N78</f>
        <v>#REF!</v>
      </c>
      <c r="AH651" s="231">
        <f>'[3]DES SKPD'!$N78</f>
        <v>0</v>
      </c>
      <c r="AI651" s="231">
        <f>SUM(AI652:AI656)</f>
        <v>0</v>
      </c>
      <c r="AJ651" s="233">
        <f t="shared" si="159"/>
        <v>0</v>
      </c>
      <c r="AK651" s="234">
        <f t="shared" si="165"/>
        <v>88840644</v>
      </c>
      <c r="AL651" s="233">
        <f t="shared" si="161"/>
        <v>100</v>
      </c>
      <c r="AM651" s="227"/>
    </row>
    <row r="652" spans="1:39" ht="28.5" customHeight="1" x14ac:dyDescent="0.25">
      <c r="A652" s="243"/>
      <c r="B652" s="244"/>
      <c r="C652" s="244"/>
      <c r="D652" s="244"/>
      <c r="E652" s="244"/>
      <c r="F652" s="244"/>
      <c r="G652" s="244"/>
      <c r="H652" s="244"/>
      <c r="I652" s="298"/>
      <c r="J652" s="244" t="s">
        <v>323</v>
      </c>
      <c r="K652" s="245"/>
      <c r="L652" s="257"/>
      <c r="M652" s="591" t="s">
        <v>324</v>
      </c>
      <c r="N652" s="592"/>
      <c r="O652" s="179"/>
      <c r="P652" s="180"/>
      <c r="Q652" s="180">
        <v>25000000</v>
      </c>
      <c r="R652" s="181">
        <f>Q652/Q$651*100</f>
        <v>28.140273274020842</v>
      </c>
      <c r="S652" s="181">
        <v>100</v>
      </c>
      <c r="T652" s="180">
        <f t="shared" si="163"/>
        <v>0</v>
      </c>
      <c r="U652" s="180">
        <f t="shared" ref="U652:U657" si="168">R652*T652/100</f>
        <v>0</v>
      </c>
      <c r="V652" s="182">
        <f t="shared" si="146"/>
        <v>100</v>
      </c>
      <c r="W652" s="180"/>
      <c r="X652" s="180"/>
      <c r="Y652" s="180"/>
      <c r="Z652" s="180"/>
      <c r="AA652" s="180"/>
      <c r="AB652" s="180"/>
      <c r="AC652" s="180"/>
      <c r="AD652" s="180"/>
      <c r="AE652" s="180"/>
      <c r="AF652" s="180"/>
      <c r="AG652" s="180"/>
      <c r="AH652" s="180"/>
      <c r="AI652" s="180">
        <v>0</v>
      </c>
      <c r="AJ652" s="181">
        <f t="shared" si="159"/>
        <v>0</v>
      </c>
      <c r="AK652" s="246">
        <f t="shared" si="165"/>
        <v>25000000</v>
      </c>
      <c r="AL652" s="181">
        <f t="shared" si="161"/>
        <v>100</v>
      </c>
      <c r="AM652" s="243"/>
    </row>
    <row r="653" spans="1:39" ht="28.5" customHeight="1" x14ac:dyDescent="0.25">
      <c r="A653" s="243"/>
      <c r="B653" s="244"/>
      <c r="C653" s="244"/>
      <c r="D653" s="244"/>
      <c r="E653" s="244"/>
      <c r="F653" s="244"/>
      <c r="G653" s="244"/>
      <c r="H653" s="244"/>
      <c r="I653" s="298"/>
      <c r="J653" s="244" t="s">
        <v>315</v>
      </c>
      <c r="K653" s="245"/>
      <c r="L653" s="257"/>
      <c r="M653" s="591" t="s">
        <v>271</v>
      </c>
      <c r="N653" s="592"/>
      <c r="O653" s="179"/>
      <c r="P653" s="180"/>
      <c r="Q653" s="180">
        <v>2000000</v>
      </c>
      <c r="R653" s="181">
        <f t="shared" ref="R653:R656" si="169">Q653/Q$651*100</f>
        <v>2.2512218619216671</v>
      </c>
      <c r="S653" s="181">
        <v>100</v>
      </c>
      <c r="T653" s="180">
        <f t="shared" si="163"/>
        <v>0</v>
      </c>
      <c r="U653" s="180">
        <f t="shared" si="168"/>
        <v>0</v>
      </c>
      <c r="V653" s="182">
        <f t="shared" si="146"/>
        <v>100</v>
      </c>
      <c r="W653" s="180"/>
      <c r="X653" s="180"/>
      <c r="Y653" s="180"/>
      <c r="Z653" s="180"/>
      <c r="AA653" s="180"/>
      <c r="AB653" s="180"/>
      <c r="AC653" s="180"/>
      <c r="AD653" s="180"/>
      <c r="AE653" s="180"/>
      <c r="AF653" s="180"/>
      <c r="AG653" s="180"/>
      <c r="AH653" s="180"/>
      <c r="AI653" s="180">
        <v>0</v>
      </c>
      <c r="AJ653" s="181">
        <f t="shared" si="159"/>
        <v>0</v>
      </c>
      <c r="AK653" s="246">
        <f t="shared" si="165"/>
        <v>2000000</v>
      </c>
      <c r="AL653" s="181">
        <f t="shared" si="161"/>
        <v>100</v>
      </c>
      <c r="AM653" s="243"/>
    </row>
    <row r="654" spans="1:39" ht="28.5" customHeight="1" x14ac:dyDescent="0.25">
      <c r="A654" s="243"/>
      <c r="B654" s="244"/>
      <c r="C654" s="244"/>
      <c r="D654" s="244"/>
      <c r="E654" s="244"/>
      <c r="F654" s="244"/>
      <c r="G654" s="244"/>
      <c r="H654" s="244"/>
      <c r="I654" s="298"/>
      <c r="J654" s="244" t="s">
        <v>280</v>
      </c>
      <c r="K654" s="245"/>
      <c r="L654" s="257"/>
      <c r="M654" s="591" t="s">
        <v>425</v>
      </c>
      <c r="N654" s="592"/>
      <c r="O654" s="179"/>
      <c r="P654" s="180"/>
      <c r="Q654" s="180">
        <v>7500000</v>
      </c>
      <c r="R654" s="181">
        <f t="shared" si="169"/>
        <v>8.4420819822062523</v>
      </c>
      <c r="S654" s="181">
        <v>100</v>
      </c>
      <c r="T654" s="180">
        <f t="shared" si="163"/>
        <v>0</v>
      </c>
      <c r="U654" s="180">
        <f t="shared" si="168"/>
        <v>0</v>
      </c>
      <c r="V654" s="182">
        <f t="shared" si="146"/>
        <v>100</v>
      </c>
      <c r="W654" s="180"/>
      <c r="X654" s="180"/>
      <c r="Y654" s="180"/>
      <c r="Z654" s="180"/>
      <c r="AA654" s="180"/>
      <c r="AB654" s="180"/>
      <c r="AC654" s="180"/>
      <c r="AD654" s="180"/>
      <c r="AE654" s="180"/>
      <c r="AF654" s="180"/>
      <c r="AG654" s="180"/>
      <c r="AH654" s="180"/>
      <c r="AI654" s="180">
        <v>0</v>
      </c>
      <c r="AJ654" s="181">
        <f t="shared" si="159"/>
        <v>0</v>
      </c>
      <c r="AK654" s="246">
        <f t="shared" si="165"/>
        <v>7500000</v>
      </c>
      <c r="AL654" s="181">
        <f t="shared" si="161"/>
        <v>100</v>
      </c>
      <c r="AM654" s="243"/>
    </row>
    <row r="655" spans="1:39" ht="28.5" customHeight="1" x14ac:dyDescent="0.25">
      <c r="A655" s="243"/>
      <c r="B655" s="244"/>
      <c r="C655" s="244"/>
      <c r="D655" s="244"/>
      <c r="E655" s="244"/>
      <c r="F655" s="244"/>
      <c r="G655" s="244"/>
      <c r="H655" s="244"/>
      <c r="I655" s="298"/>
      <c r="J655" s="244" t="s">
        <v>284</v>
      </c>
      <c r="K655" s="245"/>
      <c r="L655" s="257"/>
      <c r="M655" s="591" t="s">
        <v>285</v>
      </c>
      <c r="N655" s="592"/>
      <c r="O655" s="179"/>
      <c r="P655" s="180"/>
      <c r="Q655" s="180">
        <v>24500000</v>
      </c>
      <c r="R655" s="181">
        <f t="shared" si="169"/>
        <v>27.577467808540423</v>
      </c>
      <c r="S655" s="181">
        <v>100</v>
      </c>
      <c r="T655" s="180">
        <f t="shared" si="163"/>
        <v>0</v>
      </c>
      <c r="U655" s="180">
        <f t="shared" si="168"/>
        <v>0</v>
      </c>
      <c r="V655" s="182">
        <f t="shared" si="146"/>
        <v>100</v>
      </c>
      <c r="W655" s="180"/>
      <c r="X655" s="180"/>
      <c r="Y655" s="180"/>
      <c r="Z655" s="180"/>
      <c r="AA655" s="180"/>
      <c r="AB655" s="180"/>
      <c r="AC655" s="180"/>
      <c r="AD655" s="180"/>
      <c r="AE655" s="180"/>
      <c r="AF655" s="180"/>
      <c r="AG655" s="180"/>
      <c r="AH655" s="180"/>
      <c r="AI655" s="180">
        <v>0</v>
      </c>
      <c r="AJ655" s="181">
        <f t="shared" si="159"/>
        <v>0</v>
      </c>
      <c r="AK655" s="246">
        <f t="shared" si="165"/>
        <v>24500000</v>
      </c>
      <c r="AL655" s="181">
        <f t="shared" si="161"/>
        <v>100</v>
      </c>
      <c r="AM655" s="243"/>
    </row>
    <row r="656" spans="1:39" ht="28.5" customHeight="1" x14ac:dyDescent="0.25">
      <c r="A656" s="243"/>
      <c r="B656" s="244"/>
      <c r="C656" s="244"/>
      <c r="D656" s="244"/>
      <c r="E656" s="244"/>
      <c r="F656" s="244"/>
      <c r="G656" s="244"/>
      <c r="H656" s="244"/>
      <c r="I656" s="298"/>
      <c r="J656" s="244" t="s">
        <v>282</v>
      </c>
      <c r="K656" s="245"/>
      <c r="L656" s="257"/>
      <c r="M656" s="591" t="s">
        <v>283</v>
      </c>
      <c r="N656" s="592"/>
      <c r="O656" s="179"/>
      <c r="P656" s="180"/>
      <c r="Q656" s="180">
        <v>29840644</v>
      </c>
      <c r="R656" s="181">
        <f t="shared" si="169"/>
        <v>33.588955073310814</v>
      </c>
      <c r="S656" s="181">
        <v>100</v>
      </c>
      <c r="T656" s="180">
        <f t="shared" si="163"/>
        <v>0</v>
      </c>
      <c r="U656" s="180">
        <f t="shared" si="168"/>
        <v>0</v>
      </c>
      <c r="V656" s="182">
        <f t="shared" si="146"/>
        <v>100</v>
      </c>
      <c r="W656" s="180"/>
      <c r="X656" s="180"/>
      <c r="Y656" s="180"/>
      <c r="Z656" s="180"/>
      <c r="AA656" s="180"/>
      <c r="AB656" s="180"/>
      <c r="AC656" s="180"/>
      <c r="AD656" s="180"/>
      <c r="AE656" s="180"/>
      <c r="AF656" s="180"/>
      <c r="AG656" s="180"/>
      <c r="AH656" s="180"/>
      <c r="AI656" s="180">
        <v>0</v>
      </c>
      <c r="AJ656" s="181">
        <f t="shared" si="159"/>
        <v>0</v>
      </c>
      <c r="AK656" s="246">
        <f t="shared" si="165"/>
        <v>29840644</v>
      </c>
      <c r="AL656" s="181">
        <f t="shared" si="161"/>
        <v>100</v>
      </c>
      <c r="AM656" s="243"/>
    </row>
    <row r="657" spans="1:83" ht="28.5" customHeight="1" x14ac:dyDescent="0.25">
      <c r="A657" s="289" t="s">
        <v>38</v>
      </c>
      <c r="B657" s="607" t="s">
        <v>145</v>
      </c>
      <c r="C657" s="607"/>
      <c r="D657" s="607"/>
      <c r="E657" s="607"/>
      <c r="F657" s="607"/>
      <c r="G657" s="607"/>
      <c r="H657" s="607"/>
      <c r="I657" s="608"/>
      <c r="J657" s="303" t="s">
        <v>531</v>
      </c>
      <c r="K657" s="291"/>
      <c r="L657" s="607" t="s">
        <v>532</v>
      </c>
      <c r="M657" s="607"/>
      <c r="N657" s="608"/>
      <c r="O657" s="263" t="e">
        <f>SUM(O658:O1132)</f>
        <v>#REF!</v>
      </c>
      <c r="P657" s="263" t="e">
        <f>SUM(P658:P1132)</f>
        <v>#REF!</v>
      </c>
      <c r="Q657" s="263">
        <f>SUM(Q658)</f>
        <v>649500000</v>
      </c>
      <c r="R657" s="222">
        <f>Q657/Q$53*100</f>
        <v>3.3581252238770185</v>
      </c>
      <c r="S657" s="222">
        <v>100</v>
      </c>
      <c r="T657" s="263">
        <f t="shared" si="163"/>
        <v>0</v>
      </c>
      <c r="U657" s="308">
        <f t="shared" si="168"/>
        <v>0</v>
      </c>
      <c r="V657" s="292">
        <f t="shared" si="146"/>
        <v>100</v>
      </c>
      <c r="W657" s="263">
        <f t="shared" ref="W657:AH657" si="170">SUM(W658:W1132)</f>
        <v>0</v>
      </c>
      <c r="X657" s="263">
        <f t="shared" si="170"/>
        <v>0</v>
      </c>
      <c r="Y657" s="263">
        <f t="shared" si="170"/>
        <v>0</v>
      </c>
      <c r="Z657" s="263">
        <f t="shared" si="170"/>
        <v>0</v>
      </c>
      <c r="AA657" s="263">
        <f t="shared" si="170"/>
        <v>0</v>
      </c>
      <c r="AB657" s="263">
        <f t="shared" si="170"/>
        <v>0</v>
      </c>
      <c r="AC657" s="263">
        <f t="shared" si="170"/>
        <v>0</v>
      </c>
      <c r="AD657" s="263">
        <f t="shared" si="170"/>
        <v>0</v>
      </c>
      <c r="AE657" s="263">
        <f t="shared" si="170"/>
        <v>0</v>
      </c>
      <c r="AF657" s="263">
        <f t="shared" si="170"/>
        <v>0</v>
      </c>
      <c r="AG657" s="263" t="e">
        <f t="shared" si="170"/>
        <v>#REF!</v>
      </c>
      <c r="AH657" s="263">
        <f t="shared" si="170"/>
        <v>0</v>
      </c>
      <c r="AI657" s="263">
        <f>SUM(AI658)</f>
        <v>0</v>
      </c>
      <c r="AJ657" s="222">
        <f t="shared" si="159"/>
        <v>0</v>
      </c>
      <c r="AK657" s="265">
        <f>SUM(Q657-AI657)</f>
        <v>649500000</v>
      </c>
      <c r="AL657" s="222">
        <f t="shared" si="161"/>
        <v>100</v>
      </c>
      <c r="AM657" s="289"/>
    </row>
    <row r="658" spans="1:83" s="297" customFormat="1" ht="28.5" customHeight="1" x14ac:dyDescent="0.25">
      <c r="A658" s="227">
        <f>SUM(A651+1)</f>
        <v>74</v>
      </c>
      <c r="B658" s="228"/>
      <c r="C658" s="228"/>
      <c r="D658" s="228"/>
      <c r="E658" s="228"/>
      <c r="F658" s="228"/>
      <c r="G658" s="228"/>
      <c r="H658" s="228"/>
      <c r="I658" s="229"/>
      <c r="J658" s="228" t="s">
        <v>381</v>
      </c>
      <c r="K658" s="230"/>
      <c r="L658" s="294"/>
      <c r="M658" s="609" t="s">
        <v>533</v>
      </c>
      <c r="N658" s="609"/>
      <c r="O658" s="309">
        <v>355300000</v>
      </c>
      <c r="P658" s="231">
        <v>0</v>
      </c>
      <c r="Q658" s="231">
        <f>SUM(Q659:Q665)</f>
        <v>649500000</v>
      </c>
      <c r="R658" s="233">
        <f>Q658/Q$33*100</f>
        <v>2.0986519184161487</v>
      </c>
      <c r="S658" s="233">
        <v>100</v>
      </c>
      <c r="T658" s="231">
        <f>AJ658</f>
        <v>0</v>
      </c>
      <c r="U658" s="231">
        <f>R658*T658/100</f>
        <v>0</v>
      </c>
      <c r="V658" s="296">
        <f>S658-T658</f>
        <v>100</v>
      </c>
      <c r="W658" s="231"/>
      <c r="X658" s="231"/>
      <c r="Y658" s="231"/>
      <c r="Z658" s="231"/>
      <c r="AA658" s="231"/>
      <c r="AB658" s="231"/>
      <c r="AC658" s="231"/>
      <c r="AD658" s="231"/>
      <c r="AE658" s="231"/>
      <c r="AF658" s="231"/>
      <c r="AG658" s="231" t="e">
        <f>[2]april!N87</f>
        <v>#REF!</v>
      </c>
      <c r="AH658" s="231">
        <f>'[3]DES SKPD'!$N87</f>
        <v>0</v>
      </c>
      <c r="AI658" s="231">
        <f>SUM(AI659:AI665)</f>
        <v>0</v>
      </c>
      <c r="AJ658" s="181">
        <f t="shared" si="159"/>
        <v>0</v>
      </c>
      <c r="AK658" s="234">
        <f t="shared" si="165"/>
        <v>649500000</v>
      </c>
      <c r="AL658" s="233">
        <f t="shared" si="161"/>
        <v>100</v>
      </c>
      <c r="AM658" s="227"/>
    </row>
    <row r="659" spans="1:83" ht="28.5" customHeight="1" x14ac:dyDescent="0.25">
      <c r="A659" s="243"/>
      <c r="B659" s="244"/>
      <c r="C659" s="244"/>
      <c r="D659" s="244"/>
      <c r="E659" s="244"/>
      <c r="F659" s="244"/>
      <c r="G659" s="244"/>
      <c r="H659" s="244"/>
      <c r="I659" s="298"/>
      <c r="J659" s="244" t="s">
        <v>536</v>
      </c>
      <c r="K659" s="245"/>
      <c r="L659" s="257"/>
      <c r="M659" s="604" t="s">
        <v>271</v>
      </c>
      <c r="N659" s="592"/>
      <c r="O659" s="179"/>
      <c r="P659" s="180"/>
      <c r="Q659" s="180">
        <v>14900000</v>
      </c>
      <c r="R659" s="181">
        <f t="shared" ref="R659:R665" si="171">Q659/Q$658*100</f>
        <v>2.2940723633564279</v>
      </c>
      <c r="S659" s="181">
        <v>100</v>
      </c>
      <c r="T659" s="180">
        <f t="shared" ref="T659:T665" si="172">AJ659</f>
        <v>0</v>
      </c>
      <c r="U659" s="180">
        <f t="shared" ref="U659:U665" si="173">R659*T659/100</f>
        <v>0</v>
      </c>
      <c r="V659" s="182">
        <f t="shared" ref="V659:V665" si="174">S659-T659</f>
        <v>100</v>
      </c>
      <c r="W659" s="180"/>
      <c r="X659" s="180"/>
      <c r="Y659" s="180"/>
      <c r="Z659" s="180"/>
      <c r="AA659" s="180"/>
      <c r="AB659" s="180"/>
      <c r="AC659" s="180"/>
      <c r="AD659" s="180"/>
      <c r="AE659" s="180"/>
      <c r="AF659" s="180"/>
      <c r="AG659" s="180"/>
      <c r="AH659" s="180"/>
      <c r="AI659" s="180">
        <v>0</v>
      </c>
      <c r="AJ659" s="181">
        <f t="shared" si="159"/>
        <v>0</v>
      </c>
      <c r="AK659" s="246">
        <f t="shared" si="165"/>
        <v>14900000</v>
      </c>
      <c r="AL659" s="181">
        <f t="shared" si="161"/>
        <v>100</v>
      </c>
      <c r="AM659" s="243"/>
    </row>
    <row r="660" spans="1:83" ht="28.5" customHeight="1" x14ac:dyDescent="0.25">
      <c r="A660" s="243"/>
      <c r="B660" s="244"/>
      <c r="C660" s="244"/>
      <c r="D660" s="244"/>
      <c r="E660" s="244"/>
      <c r="F660" s="244"/>
      <c r="G660" s="244"/>
      <c r="H660" s="244"/>
      <c r="I660" s="298"/>
      <c r="J660" s="244" t="s">
        <v>502</v>
      </c>
      <c r="K660" s="245"/>
      <c r="L660" s="257"/>
      <c r="M660" s="604" t="s">
        <v>319</v>
      </c>
      <c r="N660" s="592"/>
      <c r="O660" s="179"/>
      <c r="P660" s="180"/>
      <c r="Q660" s="180">
        <v>200200000</v>
      </c>
      <c r="R660" s="181">
        <f>Q660/Q$658*100</f>
        <v>30.82371054657429</v>
      </c>
      <c r="S660" s="181">
        <v>100</v>
      </c>
      <c r="T660" s="180">
        <f t="shared" si="172"/>
        <v>0</v>
      </c>
      <c r="U660" s="180">
        <f t="shared" si="173"/>
        <v>0</v>
      </c>
      <c r="V660" s="182">
        <f t="shared" si="174"/>
        <v>100</v>
      </c>
      <c r="W660" s="180"/>
      <c r="X660" s="180"/>
      <c r="Y660" s="180"/>
      <c r="Z660" s="180"/>
      <c r="AA660" s="180"/>
      <c r="AB660" s="180"/>
      <c r="AC660" s="180"/>
      <c r="AD660" s="180"/>
      <c r="AE660" s="180"/>
      <c r="AF660" s="180"/>
      <c r="AG660" s="180"/>
      <c r="AH660" s="180"/>
      <c r="AI660" s="180">
        <v>0</v>
      </c>
      <c r="AJ660" s="181">
        <f t="shared" si="159"/>
        <v>0</v>
      </c>
      <c r="AK660" s="246">
        <f t="shared" si="165"/>
        <v>200200000</v>
      </c>
      <c r="AL660" s="181">
        <f t="shared" si="161"/>
        <v>100</v>
      </c>
      <c r="AM660" s="243"/>
    </row>
    <row r="661" spans="1:83" ht="28.5" customHeight="1" x14ac:dyDescent="0.25">
      <c r="A661" s="243"/>
      <c r="B661" s="244"/>
      <c r="C661" s="244"/>
      <c r="D661" s="244"/>
      <c r="E661" s="244"/>
      <c r="F661" s="244"/>
      <c r="G661" s="244"/>
      <c r="H661" s="244"/>
      <c r="I661" s="298"/>
      <c r="J661" s="244" t="s">
        <v>625</v>
      </c>
      <c r="K661" s="245"/>
      <c r="L661" s="257"/>
      <c r="M661" s="604" t="s">
        <v>281</v>
      </c>
      <c r="N661" s="592"/>
      <c r="O661" s="179"/>
      <c r="P661" s="180"/>
      <c r="Q661" s="180">
        <v>25200000</v>
      </c>
      <c r="R661" s="181">
        <f>Q661/Q$658*100</f>
        <v>3.8799076212471131</v>
      </c>
      <c r="S661" s="181">
        <v>100</v>
      </c>
      <c r="T661" s="180">
        <f t="shared" si="172"/>
        <v>0</v>
      </c>
      <c r="U661" s="180">
        <f t="shared" si="173"/>
        <v>0</v>
      </c>
      <c r="V661" s="182">
        <f t="shared" si="174"/>
        <v>100</v>
      </c>
      <c r="W661" s="180"/>
      <c r="X661" s="180"/>
      <c r="Y661" s="180"/>
      <c r="Z661" s="180"/>
      <c r="AA661" s="180"/>
      <c r="AB661" s="180"/>
      <c r="AC661" s="180"/>
      <c r="AD661" s="180"/>
      <c r="AE661" s="180"/>
      <c r="AF661" s="180"/>
      <c r="AG661" s="180"/>
      <c r="AH661" s="180"/>
      <c r="AI661" s="180">
        <v>0</v>
      </c>
      <c r="AJ661" s="181">
        <f t="shared" si="159"/>
        <v>0</v>
      </c>
      <c r="AK661" s="246">
        <f t="shared" si="165"/>
        <v>25200000</v>
      </c>
      <c r="AL661" s="181">
        <f t="shared" si="161"/>
        <v>100</v>
      </c>
      <c r="AM661" s="243"/>
    </row>
    <row r="662" spans="1:83" ht="28.5" customHeight="1" x14ac:dyDescent="0.25">
      <c r="A662" s="243"/>
      <c r="B662" s="244"/>
      <c r="C662" s="244"/>
      <c r="D662" s="244"/>
      <c r="E662" s="244"/>
      <c r="F662" s="244"/>
      <c r="G662" s="244"/>
      <c r="H662" s="244"/>
      <c r="I662" s="298"/>
      <c r="J662" s="244" t="s">
        <v>538</v>
      </c>
      <c r="K662" s="245"/>
      <c r="L662" s="257"/>
      <c r="M662" s="605" t="s">
        <v>626</v>
      </c>
      <c r="N662" s="606"/>
      <c r="O662" s="179"/>
      <c r="P662" s="180"/>
      <c r="Q662" s="180">
        <v>92000000</v>
      </c>
      <c r="R662" s="181">
        <f t="shared" si="171"/>
        <v>14.164742109314856</v>
      </c>
      <c r="S662" s="181">
        <v>100</v>
      </c>
      <c r="T662" s="180">
        <f t="shared" si="172"/>
        <v>0</v>
      </c>
      <c r="U662" s="180">
        <f t="shared" si="173"/>
        <v>0</v>
      </c>
      <c r="V662" s="182">
        <f t="shared" si="174"/>
        <v>100</v>
      </c>
      <c r="W662" s="180"/>
      <c r="X662" s="180"/>
      <c r="Y662" s="180"/>
      <c r="Z662" s="180"/>
      <c r="AA662" s="180"/>
      <c r="AB662" s="180"/>
      <c r="AC662" s="180"/>
      <c r="AD662" s="180"/>
      <c r="AE662" s="180"/>
      <c r="AF662" s="180"/>
      <c r="AG662" s="180"/>
      <c r="AH662" s="180"/>
      <c r="AI662" s="180">
        <v>0</v>
      </c>
      <c r="AJ662" s="181">
        <f t="shared" si="159"/>
        <v>0</v>
      </c>
      <c r="AK662" s="246">
        <f t="shared" si="165"/>
        <v>92000000</v>
      </c>
      <c r="AL662" s="181">
        <f t="shared" si="161"/>
        <v>100</v>
      </c>
      <c r="AM662" s="243"/>
    </row>
    <row r="663" spans="1:83" ht="28.5" customHeight="1" x14ac:dyDescent="0.25">
      <c r="A663" s="243"/>
      <c r="B663" s="244"/>
      <c r="C663" s="244"/>
      <c r="D663" s="244"/>
      <c r="E663" s="244"/>
      <c r="F663" s="244"/>
      <c r="G663" s="244"/>
      <c r="H663" s="244"/>
      <c r="I663" s="298"/>
      <c r="J663" s="244" t="s">
        <v>629</v>
      </c>
      <c r="K663" s="245"/>
      <c r="L663" s="257"/>
      <c r="M663" s="605" t="s">
        <v>321</v>
      </c>
      <c r="N663" s="606"/>
      <c r="O663" s="179"/>
      <c r="P663" s="180"/>
      <c r="Q663" s="180">
        <v>9200000</v>
      </c>
      <c r="R663" s="181">
        <f t="shared" si="171"/>
        <v>1.4164742109314856</v>
      </c>
      <c r="S663" s="181">
        <v>100</v>
      </c>
      <c r="T663" s="180">
        <f t="shared" si="172"/>
        <v>0</v>
      </c>
      <c r="U663" s="180">
        <f t="shared" si="173"/>
        <v>0</v>
      </c>
      <c r="V663" s="182">
        <f t="shared" si="174"/>
        <v>100</v>
      </c>
      <c r="W663" s="180"/>
      <c r="X663" s="180"/>
      <c r="Y663" s="180"/>
      <c r="Z663" s="180"/>
      <c r="AA663" s="180"/>
      <c r="AB663" s="180"/>
      <c r="AC663" s="180"/>
      <c r="AD663" s="180"/>
      <c r="AE663" s="180"/>
      <c r="AF663" s="180"/>
      <c r="AG663" s="180"/>
      <c r="AH663" s="180"/>
      <c r="AI663" s="180">
        <v>0</v>
      </c>
      <c r="AJ663" s="181">
        <f t="shared" ref="AJ663:AJ665" si="175">AI663/Q663*100</f>
        <v>0</v>
      </c>
      <c r="AK663" s="246">
        <f t="shared" si="165"/>
        <v>9200000</v>
      </c>
      <c r="AL663" s="181">
        <f t="shared" si="161"/>
        <v>100</v>
      </c>
      <c r="AM663" s="243"/>
    </row>
    <row r="664" spans="1:83" ht="28.5" customHeight="1" x14ac:dyDescent="0.25">
      <c r="A664" s="243"/>
      <c r="B664" s="244"/>
      <c r="C664" s="244"/>
      <c r="D664" s="244"/>
      <c r="E664" s="244"/>
      <c r="F664" s="244"/>
      <c r="G664" s="244"/>
      <c r="H664" s="244"/>
      <c r="I664" s="298"/>
      <c r="J664" s="244" t="s">
        <v>628</v>
      </c>
      <c r="K664" s="245"/>
      <c r="L664" s="257"/>
      <c r="M664" s="605" t="s">
        <v>310</v>
      </c>
      <c r="N664" s="606"/>
      <c r="O664" s="179"/>
      <c r="P664" s="180"/>
      <c r="Q664" s="180">
        <v>300000000</v>
      </c>
      <c r="R664" s="181">
        <f t="shared" si="171"/>
        <v>46.189376443418013</v>
      </c>
      <c r="S664" s="181">
        <v>100</v>
      </c>
      <c r="T664" s="180">
        <f t="shared" si="172"/>
        <v>0</v>
      </c>
      <c r="U664" s="180">
        <f t="shared" si="173"/>
        <v>0</v>
      </c>
      <c r="V664" s="182">
        <f t="shared" si="174"/>
        <v>100</v>
      </c>
      <c r="W664" s="180"/>
      <c r="X664" s="180"/>
      <c r="Y664" s="180"/>
      <c r="Z664" s="180"/>
      <c r="AA664" s="180"/>
      <c r="AB664" s="180"/>
      <c r="AC664" s="180"/>
      <c r="AD664" s="180"/>
      <c r="AE664" s="180"/>
      <c r="AF664" s="180"/>
      <c r="AG664" s="180"/>
      <c r="AH664" s="180"/>
      <c r="AI664" s="180">
        <v>0</v>
      </c>
      <c r="AJ664" s="181">
        <f t="shared" si="175"/>
        <v>0</v>
      </c>
      <c r="AK664" s="246">
        <f t="shared" si="165"/>
        <v>300000000</v>
      </c>
      <c r="AL664" s="181">
        <f t="shared" si="161"/>
        <v>100</v>
      </c>
      <c r="AM664" s="243"/>
    </row>
    <row r="665" spans="1:83" ht="24.75" customHeight="1" x14ac:dyDescent="0.25">
      <c r="A665" s="243"/>
      <c r="B665" s="597" t="s">
        <v>158</v>
      </c>
      <c r="C665" s="597"/>
      <c r="D665" s="597"/>
      <c r="E665" s="597"/>
      <c r="F665" s="597"/>
      <c r="G665" s="597"/>
      <c r="H665" s="597"/>
      <c r="I665" s="598"/>
      <c r="J665" s="244" t="s">
        <v>627</v>
      </c>
      <c r="K665" s="314"/>
      <c r="L665" s="315"/>
      <c r="M665" s="599" t="s">
        <v>607</v>
      </c>
      <c r="N665" s="600"/>
      <c r="O665" s="316"/>
      <c r="P665" s="316"/>
      <c r="Q665" s="317">
        <v>8000000</v>
      </c>
      <c r="R665" s="181">
        <f t="shared" si="171"/>
        <v>1.2317167051578137</v>
      </c>
      <c r="S665" s="181">
        <v>100</v>
      </c>
      <c r="T665" s="180">
        <f t="shared" si="172"/>
        <v>0</v>
      </c>
      <c r="U665" s="180">
        <f t="shared" si="173"/>
        <v>0</v>
      </c>
      <c r="V665" s="182">
        <f t="shared" si="174"/>
        <v>100</v>
      </c>
      <c r="W665" s="316"/>
      <c r="X665" s="316"/>
      <c r="Y665" s="316"/>
      <c r="Z665" s="316"/>
      <c r="AA665" s="316"/>
      <c r="AB665" s="316"/>
      <c r="AC665" s="316"/>
      <c r="AD665" s="316"/>
      <c r="AE665" s="316"/>
      <c r="AF665" s="316"/>
      <c r="AG665" s="316"/>
      <c r="AH665" s="316"/>
      <c r="AI665" s="180">
        <v>0</v>
      </c>
      <c r="AJ665" s="181">
        <f t="shared" si="175"/>
        <v>0</v>
      </c>
      <c r="AK665" s="246">
        <f t="shared" si="165"/>
        <v>8000000</v>
      </c>
      <c r="AL665" s="181">
        <f t="shared" si="161"/>
        <v>100</v>
      </c>
      <c r="AM665" s="243"/>
      <c r="AQ665" s="318"/>
      <c r="AR665" s="318"/>
      <c r="AS665" s="318"/>
      <c r="AT665" s="318"/>
      <c r="AU665" s="318"/>
      <c r="AV665" s="318"/>
      <c r="AW665" s="318"/>
      <c r="AX665" s="318"/>
      <c r="AY665" s="318"/>
      <c r="AZ665" s="318"/>
      <c r="BA665" s="318"/>
      <c r="BB665" s="318"/>
      <c r="BC665" s="318"/>
      <c r="BD665" s="318"/>
      <c r="BE665" s="318"/>
      <c r="BF665" s="318"/>
      <c r="BG665" s="318"/>
      <c r="BH665" s="318"/>
      <c r="BI665" s="318"/>
      <c r="BJ665" s="318"/>
      <c r="BK665" s="318"/>
      <c r="BL665" s="318"/>
      <c r="BM665" s="318"/>
      <c r="BN665" s="318"/>
      <c r="BO665" s="318"/>
      <c r="BP665" s="318"/>
      <c r="BQ665" s="318"/>
      <c r="BR665" s="318"/>
      <c r="BS665" s="318"/>
      <c r="BT665" s="318"/>
      <c r="BU665" s="318"/>
      <c r="BV665" s="318"/>
      <c r="BW665" s="318"/>
      <c r="BX665" s="318"/>
      <c r="BY665" s="318"/>
      <c r="BZ665" s="318"/>
      <c r="CA665" s="318"/>
      <c r="CB665" s="318"/>
      <c r="CC665" s="318"/>
      <c r="CD665" s="318"/>
      <c r="CE665" s="318"/>
    </row>
    <row r="666" spans="1:83" s="319" customFormat="1" ht="24" customHeight="1" x14ac:dyDescent="0.25">
      <c r="B666" s="601" t="s">
        <v>166</v>
      </c>
      <c r="C666" s="601"/>
      <c r="D666" s="601"/>
      <c r="E666" s="601"/>
      <c r="F666" s="601"/>
      <c r="G666" s="601"/>
      <c r="H666" s="601"/>
      <c r="I666" s="601"/>
      <c r="J666" s="320"/>
      <c r="L666" s="601"/>
      <c r="M666" s="601"/>
      <c r="N666" s="601"/>
      <c r="O666" s="321" t="e">
        <f>SUM(#REF!)</f>
        <v>#REF!</v>
      </c>
      <c r="P666" s="321" t="e">
        <f>SUM(#REF!)</f>
        <v>#REF!</v>
      </c>
      <c r="Q666" s="321"/>
      <c r="R666" s="322"/>
      <c r="S666" s="322"/>
      <c r="T666" s="321"/>
      <c r="U666" s="321"/>
      <c r="V666" s="323"/>
      <c r="W666" s="321"/>
      <c r="X666" s="321"/>
      <c r="Y666" s="321"/>
      <c r="Z666" s="321"/>
      <c r="AA666" s="321"/>
      <c r="AB666" s="321"/>
      <c r="AC666" s="321"/>
      <c r="AD666" s="321"/>
      <c r="AE666" s="321"/>
      <c r="AF666" s="321"/>
      <c r="AG666" s="321"/>
      <c r="AH666" s="321"/>
      <c r="AI666" s="321"/>
      <c r="AJ666" s="322"/>
      <c r="AK666" s="324"/>
      <c r="AL666" s="322"/>
      <c r="AQ666" s="325"/>
      <c r="AR666" s="325"/>
      <c r="AS666" s="325"/>
      <c r="AT666" s="325"/>
      <c r="AU666" s="325"/>
      <c r="AV666" s="325"/>
      <c r="AW666" s="325"/>
      <c r="AX666" s="325"/>
      <c r="AY666" s="325"/>
      <c r="AZ666" s="325"/>
      <c r="BA666" s="325"/>
      <c r="BB666" s="325"/>
      <c r="BC666" s="325"/>
      <c r="BD666" s="325"/>
      <c r="BE666" s="325"/>
      <c r="BF666" s="325"/>
      <c r="BG666" s="325"/>
      <c r="BH666" s="325"/>
      <c r="BI666" s="325"/>
      <c r="BJ666" s="325"/>
      <c r="BK666" s="325"/>
      <c r="BL666" s="325"/>
      <c r="BM666" s="325"/>
      <c r="BN666" s="325"/>
      <c r="BO666" s="325"/>
      <c r="BP666" s="325"/>
      <c r="BQ666" s="325"/>
      <c r="BR666" s="325"/>
      <c r="BS666" s="325"/>
      <c r="BT666" s="325"/>
      <c r="BU666" s="325"/>
      <c r="BV666" s="325"/>
      <c r="BW666" s="325"/>
      <c r="BX666" s="325"/>
      <c r="BY666" s="325"/>
      <c r="BZ666" s="325"/>
      <c r="CA666" s="325"/>
      <c r="CB666" s="325"/>
      <c r="CC666" s="325"/>
      <c r="CD666" s="325"/>
      <c r="CE666" s="325"/>
    </row>
    <row r="667" spans="1:83" s="325" customFormat="1" ht="24" customHeight="1" x14ac:dyDescent="0.25">
      <c r="B667" s="326"/>
      <c r="C667" s="326"/>
      <c r="D667" s="326"/>
      <c r="E667" s="326"/>
      <c r="F667" s="326"/>
      <c r="G667" s="326"/>
      <c r="H667" s="326"/>
      <c r="I667" s="326"/>
      <c r="J667" s="326"/>
      <c r="L667" s="326"/>
      <c r="M667" s="326"/>
      <c r="N667" s="326"/>
      <c r="O667" s="327"/>
      <c r="P667" s="327"/>
      <c r="Q667" s="327"/>
      <c r="R667" s="328"/>
      <c r="S667" s="328"/>
      <c r="T667" s="327"/>
      <c r="U667" s="327"/>
      <c r="V667" s="329"/>
      <c r="W667" s="327"/>
      <c r="X667" s="327"/>
      <c r="Y667" s="327"/>
      <c r="Z667" s="327"/>
      <c r="AA667" s="327"/>
      <c r="AB667" s="327"/>
      <c r="AC667" s="327"/>
      <c r="AD667" s="327"/>
      <c r="AE667" s="327"/>
      <c r="AF667" s="327"/>
      <c r="AG667" s="327"/>
      <c r="AH667" s="327"/>
      <c r="AI667" s="602" t="s">
        <v>542</v>
      </c>
      <c r="AJ667" s="602"/>
      <c r="AK667" s="602"/>
      <c r="AL667" s="602"/>
    </row>
    <row r="668" spans="1:83" s="325" customFormat="1" ht="24" customHeight="1" x14ac:dyDescent="0.25">
      <c r="B668" s="326"/>
      <c r="C668" s="326"/>
      <c r="D668" s="326"/>
      <c r="E668" s="326"/>
      <c r="F668" s="326"/>
      <c r="G668" s="326"/>
      <c r="H668" s="326"/>
      <c r="I668" s="326"/>
      <c r="J668" s="326"/>
      <c r="L668" s="326"/>
      <c r="M668" s="326"/>
      <c r="N668" s="326"/>
      <c r="O668" s="327"/>
      <c r="P668" s="327"/>
      <c r="Q668" s="327"/>
      <c r="R668" s="328"/>
      <c r="S668" s="328"/>
      <c r="T668" s="327"/>
      <c r="U668" s="327"/>
      <c r="V668" s="329"/>
      <c r="W668" s="327"/>
      <c r="X668" s="327"/>
      <c r="Y668" s="327"/>
      <c r="Z668" s="327"/>
      <c r="AA668" s="327"/>
      <c r="AB668" s="327"/>
      <c r="AC668" s="327"/>
      <c r="AD668" s="327"/>
      <c r="AE668" s="327"/>
      <c r="AF668" s="327"/>
      <c r="AG668" s="327"/>
      <c r="AH668" s="327"/>
      <c r="AI668" s="603" t="s">
        <v>543</v>
      </c>
      <c r="AJ668" s="603"/>
      <c r="AK668" s="603"/>
      <c r="AL668" s="603"/>
    </row>
    <row r="669" spans="1:83" s="325" customFormat="1" ht="24" customHeight="1" x14ac:dyDescent="0.25">
      <c r="B669" s="326"/>
      <c r="C669" s="326"/>
      <c r="D669" s="326"/>
      <c r="E669" s="326"/>
      <c r="F669" s="326"/>
      <c r="G669" s="326"/>
      <c r="H669" s="326"/>
      <c r="I669" s="326"/>
      <c r="J669" s="326"/>
      <c r="L669" s="326"/>
      <c r="M669" s="326"/>
      <c r="N669" s="326"/>
      <c r="O669" s="327"/>
      <c r="P669" s="327"/>
      <c r="Q669" s="327"/>
      <c r="R669" s="328"/>
      <c r="S669" s="328"/>
      <c r="T669" s="327"/>
      <c r="U669" s="327"/>
      <c r="V669" s="329"/>
      <c r="W669" s="327"/>
      <c r="X669" s="327"/>
      <c r="Y669" s="327"/>
      <c r="Z669" s="327"/>
      <c r="AA669" s="327"/>
      <c r="AB669" s="327"/>
      <c r="AC669" s="327"/>
      <c r="AD669" s="327"/>
      <c r="AE669" s="327"/>
      <c r="AF669" s="327"/>
      <c r="AG669" s="327"/>
      <c r="AH669" s="327"/>
      <c r="AI669" s="311"/>
      <c r="AJ669" s="297"/>
      <c r="AK669" s="330"/>
      <c r="AL669" s="328"/>
    </row>
    <row r="670" spans="1:83" ht="13.5" customHeight="1" x14ac:dyDescent="0.25">
      <c r="AI670" s="311"/>
      <c r="AJ670" s="297"/>
      <c r="AK670" s="330"/>
    </row>
    <row r="671" spans="1:83" ht="13.5" customHeight="1" x14ac:dyDescent="0.25">
      <c r="A671" s="204"/>
      <c r="B671" s="204"/>
      <c r="C671" s="204"/>
      <c r="D671" s="204"/>
      <c r="E671" s="204"/>
      <c r="F671" s="204"/>
      <c r="G671" s="204"/>
      <c r="H671" s="204"/>
      <c r="I671" s="204"/>
      <c r="J671" s="204"/>
      <c r="K671" s="204"/>
      <c r="L671" s="204"/>
      <c r="M671" s="204"/>
      <c r="N671" s="332"/>
      <c r="O671" s="204"/>
      <c r="P671" s="204"/>
      <c r="Q671" s="204"/>
      <c r="R671" s="204"/>
      <c r="S671" s="204"/>
      <c r="T671" s="204"/>
      <c r="U671" s="204"/>
      <c r="V671" s="333"/>
      <c r="W671" s="204"/>
      <c r="X671" s="204"/>
      <c r="Y671" s="204"/>
      <c r="Z671" s="204"/>
      <c r="AA671" s="204"/>
      <c r="AB671" s="204"/>
      <c r="AC671" s="204"/>
      <c r="AD671" s="204"/>
      <c r="AE671" s="204"/>
      <c r="AF671" s="204"/>
      <c r="AG671" s="204"/>
      <c r="AH671" s="204"/>
      <c r="AI671" s="311"/>
      <c r="AJ671" s="297"/>
      <c r="AK671" s="330"/>
      <c r="AL671" s="204"/>
      <c r="AM671" s="204"/>
    </row>
    <row r="672" spans="1:83" ht="13.5" customHeight="1" x14ac:dyDescent="0.25">
      <c r="A672" s="204"/>
      <c r="B672" s="204"/>
      <c r="C672" s="204"/>
      <c r="D672" s="204"/>
      <c r="E672" s="204"/>
      <c r="F672" s="204"/>
      <c r="G672" s="204"/>
      <c r="H672" s="204"/>
      <c r="I672" s="204"/>
      <c r="J672" s="204"/>
      <c r="K672" s="204"/>
      <c r="L672" s="204"/>
      <c r="M672" s="204"/>
      <c r="N672" s="204"/>
      <c r="O672" s="204"/>
      <c r="P672" s="204"/>
      <c r="Q672" s="204"/>
      <c r="R672" s="204"/>
      <c r="S672" s="204"/>
      <c r="T672" s="204"/>
      <c r="U672" s="204"/>
      <c r="V672" s="333"/>
      <c r="W672" s="204"/>
      <c r="X672" s="204"/>
      <c r="Y672" s="204"/>
      <c r="Z672" s="204"/>
      <c r="AA672" s="204"/>
      <c r="AB672" s="204"/>
      <c r="AC672" s="204"/>
      <c r="AD672" s="204"/>
      <c r="AE672" s="204"/>
      <c r="AF672" s="204"/>
      <c r="AG672" s="204"/>
      <c r="AH672" s="204"/>
      <c r="AI672" s="311"/>
      <c r="AJ672" s="297"/>
      <c r="AK672" s="330"/>
      <c r="AL672" s="204"/>
      <c r="AM672" s="204"/>
    </row>
    <row r="673" spans="1:38" ht="13.5" customHeight="1" x14ac:dyDescent="0.25">
      <c r="A673" s="204"/>
      <c r="B673" s="204"/>
      <c r="C673" s="204"/>
      <c r="D673" s="204"/>
      <c r="E673" s="204"/>
      <c r="F673" s="204"/>
      <c r="G673" s="204"/>
      <c r="H673" s="204"/>
      <c r="I673" s="204"/>
      <c r="J673" s="204"/>
      <c r="K673" s="204"/>
      <c r="L673" s="204"/>
      <c r="M673" s="204"/>
      <c r="N673" s="204"/>
      <c r="AI673" s="595" t="s">
        <v>216</v>
      </c>
      <c r="AJ673" s="595"/>
      <c r="AK673" s="595"/>
      <c r="AL673" s="595"/>
    </row>
    <row r="674" spans="1:38" ht="13.5" customHeight="1" x14ac:dyDescent="0.25">
      <c r="A674" s="334"/>
      <c r="B674" s="204"/>
      <c r="C674" s="204"/>
      <c r="D674" s="204"/>
      <c r="E674" s="204"/>
      <c r="F674" s="204"/>
      <c r="G674" s="204"/>
      <c r="H674" s="204"/>
      <c r="I674" s="204"/>
      <c r="J674" s="204"/>
      <c r="K674" s="204"/>
      <c r="L674" s="204"/>
      <c r="M674" s="204"/>
      <c r="N674" s="204"/>
      <c r="AI674" s="596" t="s">
        <v>217</v>
      </c>
      <c r="AJ674" s="596"/>
      <c r="AK674" s="596"/>
      <c r="AL674" s="596"/>
    </row>
    <row r="675" spans="1:38" ht="13.5" customHeight="1" x14ac:dyDescent="0.25">
      <c r="A675" s="204"/>
      <c r="B675" s="204"/>
      <c r="C675" s="204"/>
      <c r="D675" s="204"/>
      <c r="E675" s="204"/>
      <c r="F675" s="204"/>
      <c r="G675" s="204"/>
      <c r="H675" s="204"/>
      <c r="I675" s="204"/>
      <c r="J675" s="204"/>
      <c r="K675" s="204"/>
      <c r="L675" s="204"/>
      <c r="M675" s="204"/>
      <c r="N675" s="204"/>
    </row>
    <row r="676" spans="1:38" ht="13.5" customHeight="1" x14ac:dyDescent="0.25">
      <c r="A676" s="204"/>
      <c r="B676" s="204"/>
      <c r="C676" s="204"/>
      <c r="D676" s="204"/>
      <c r="E676" s="204"/>
      <c r="F676" s="204"/>
      <c r="G676" s="204"/>
      <c r="H676" s="204"/>
      <c r="I676" s="204"/>
      <c r="J676" s="204"/>
      <c r="K676" s="204"/>
      <c r="L676" s="204"/>
      <c r="M676" s="204"/>
      <c r="N676" s="204"/>
    </row>
    <row r="677" spans="1:38" ht="13.5" customHeight="1" x14ac:dyDescent="0.25">
      <c r="A677" s="337"/>
      <c r="B677" s="204"/>
      <c r="C677" s="204"/>
      <c r="D677" s="204"/>
      <c r="E677" s="204"/>
      <c r="F677" s="204"/>
      <c r="G677" s="204"/>
      <c r="H677" s="204"/>
      <c r="I677" s="204"/>
      <c r="J677" s="204"/>
      <c r="K677" s="204"/>
      <c r="L677" s="204"/>
      <c r="M677" s="204"/>
      <c r="N677" s="204"/>
    </row>
    <row r="678" spans="1:38" ht="13.5" customHeight="1" x14ac:dyDescent="0.25">
      <c r="A678" s="204"/>
      <c r="B678" s="204"/>
      <c r="C678" s="204"/>
      <c r="D678" s="204"/>
      <c r="E678" s="204"/>
      <c r="F678" s="204"/>
      <c r="G678" s="204"/>
      <c r="H678" s="204"/>
      <c r="I678" s="204"/>
      <c r="J678" s="204"/>
      <c r="K678" s="204"/>
      <c r="L678" s="204"/>
      <c r="M678" s="204"/>
      <c r="N678" s="204"/>
    </row>
    <row r="679" spans="1:38" ht="13.5" customHeight="1" x14ac:dyDescent="0.25">
      <c r="A679" s="204"/>
      <c r="B679" s="204"/>
      <c r="C679" s="204"/>
      <c r="D679" s="204"/>
      <c r="E679" s="204"/>
      <c r="F679" s="204"/>
      <c r="G679" s="204"/>
      <c r="H679" s="204"/>
      <c r="I679" s="204"/>
      <c r="J679" s="204"/>
      <c r="K679" s="204"/>
      <c r="L679" s="204"/>
      <c r="M679" s="204"/>
      <c r="N679" s="204"/>
    </row>
    <row r="680" spans="1:38" ht="13.5" customHeight="1" x14ac:dyDescent="0.25">
      <c r="A680" s="204"/>
      <c r="B680" s="204"/>
      <c r="C680" s="204"/>
      <c r="D680" s="204"/>
      <c r="E680" s="204"/>
      <c r="F680" s="204"/>
      <c r="G680" s="204"/>
      <c r="H680" s="204"/>
      <c r="I680" s="204"/>
      <c r="J680" s="204"/>
      <c r="K680" s="204"/>
      <c r="L680" s="204"/>
      <c r="M680" s="204"/>
      <c r="N680" s="204"/>
    </row>
    <row r="681" spans="1:38" ht="13.5" customHeight="1" x14ac:dyDescent="0.25">
      <c r="A681" s="337"/>
      <c r="B681" s="204"/>
      <c r="C681" s="204"/>
      <c r="D681" s="204"/>
      <c r="E681" s="204"/>
      <c r="F681" s="204"/>
      <c r="G681" s="204"/>
      <c r="H681" s="204"/>
      <c r="I681" s="204"/>
      <c r="J681" s="204"/>
      <c r="K681" s="204"/>
      <c r="L681" s="204"/>
      <c r="M681" s="204"/>
      <c r="N681" s="204"/>
    </row>
    <row r="682" spans="1:38" ht="13.5" customHeight="1" x14ac:dyDescent="0.25">
      <c r="A682" s="204"/>
      <c r="B682" s="204"/>
      <c r="C682" s="204"/>
      <c r="D682" s="204"/>
      <c r="E682" s="204"/>
      <c r="F682" s="204"/>
      <c r="G682" s="204"/>
      <c r="H682" s="204"/>
      <c r="I682" s="204"/>
      <c r="J682" s="204"/>
      <c r="K682" s="204"/>
      <c r="L682" s="204"/>
      <c r="M682" s="204"/>
      <c r="N682" s="204"/>
    </row>
    <row r="683" spans="1:38" ht="13.5" customHeight="1" x14ac:dyDescent="0.25">
      <c r="A683" s="204"/>
      <c r="B683" s="204"/>
      <c r="C683" s="204"/>
      <c r="D683" s="204"/>
      <c r="E683" s="204"/>
      <c r="F683" s="204"/>
      <c r="G683" s="204"/>
      <c r="H683" s="204"/>
      <c r="I683" s="204"/>
      <c r="J683" s="204"/>
      <c r="K683" s="204"/>
      <c r="L683" s="204"/>
      <c r="M683" s="204"/>
      <c r="N683" s="204"/>
    </row>
    <row r="684" spans="1:38" ht="13.5" customHeight="1" x14ac:dyDescent="0.25">
      <c r="A684" s="334"/>
      <c r="B684" s="204"/>
      <c r="C684" s="204"/>
      <c r="D684" s="204"/>
      <c r="E684" s="204"/>
      <c r="F684" s="204"/>
      <c r="G684" s="204"/>
      <c r="H684" s="204"/>
      <c r="I684" s="204"/>
      <c r="J684" s="204"/>
      <c r="K684" s="204"/>
      <c r="L684" s="204"/>
      <c r="M684" s="204"/>
      <c r="N684" s="204"/>
    </row>
    <row r="685" spans="1:38" ht="13.5" customHeight="1" x14ac:dyDescent="0.25">
      <c r="A685" s="333"/>
      <c r="B685" s="338"/>
      <c r="C685" s="338"/>
      <c r="D685" s="338"/>
      <c r="E685" s="338"/>
      <c r="F685" s="338"/>
      <c r="G685" s="338"/>
      <c r="H685" s="338"/>
      <c r="I685" s="338"/>
      <c r="J685" s="338"/>
      <c r="K685" s="333"/>
      <c r="L685" s="204"/>
      <c r="M685" s="204"/>
      <c r="N685" s="204"/>
    </row>
    <row r="686" spans="1:38" ht="13.5" customHeight="1" x14ac:dyDescent="0.25">
      <c r="A686" s="333">
        <v>0</v>
      </c>
      <c r="B686" s="338"/>
      <c r="C686" s="338"/>
      <c r="D686" s="338"/>
      <c r="E686" s="338"/>
      <c r="F686" s="338"/>
      <c r="G686" s="338"/>
      <c r="H686" s="338"/>
      <c r="I686" s="338"/>
      <c r="J686" s="338"/>
      <c r="K686" s="333" t="s">
        <v>190</v>
      </c>
      <c r="L686" s="204"/>
      <c r="M686" s="204"/>
      <c r="N686" s="204"/>
    </row>
    <row r="687" spans="1:38" ht="13.5" customHeight="1" x14ac:dyDescent="0.25">
      <c r="A687" s="333">
        <f>A685-A686</f>
        <v>0</v>
      </c>
      <c r="B687" s="338"/>
      <c r="C687" s="338"/>
      <c r="D687" s="338"/>
      <c r="E687" s="338"/>
      <c r="F687" s="338"/>
      <c r="G687" s="338"/>
      <c r="H687" s="338"/>
      <c r="I687" s="338"/>
      <c r="J687" s="338"/>
      <c r="K687" s="333" t="s">
        <v>191</v>
      </c>
      <c r="L687" s="204"/>
      <c r="M687" s="204"/>
      <c r="N687" s="204"/>
    </row>
    <row r="688" spans="1:38" ht="13.5" customHeight="1" x14ac:dyDescent="0.25">
      <c r="A688" s="204"/>
      <c r="B688" s="204"/>
      <c r="C688" s="204"/>
      <c r="D688" s="204"/>
      <c r="E688" s="204"/>
      <c r="F688" s="204"/>
      <c r="G688" s="204"/>
      <c r="H688" s="204"/>
      <c r="I688" s="204"/>
      <c r="J688" s="204"/>
      <c r="K688" s="204"/>
      <c r="L688" s="204"/>
      <c r="M688" s="204"/>
      <c r="N688" s="204"/>
    </row>
    <row r="689" spans="1:37" ht="13.5" customHeight="1" x14ac:dyDescent="0.25">
      <c r="A689" s="204">
        <v>7</v>
      </c>
      <c r="B689" s="204"/>
      <c r="C689" s="204"/>
      <c r="D689" s="204"/>
      <c r="E689" s="204"/>
      <c r="F689" s="204"/>
      <c r="G689" s="204"/>
      <c r="H689" s="204"/>
      <c r="I689" s="204"/>
      <c r="J689" s="204"/>
      <c r="K689" s="204" t="s">
        <v>168</v>
      </c>
      <c r="L689" s="204"/>
      <c r="M689" s="204"/>
      <c r="N689" s="332" t="s">
        <v>169</v>
      </c>
      <c r="O689" s="204"/>
      <c r="P689" s="204"/>
      <c r="Q689" s="204"/>
      <c r="R689" s="204"/>
      <c r="S689" s="204"/>
      <c r="T689" s="204"/>
      <c r="U689" s="204"/>
    </row>
    <row r="690" spans="1:37" ht="13.5" customHeight="1" x14ac:dyDescent="0.25">
      <c r="A690" s="204" t="e">
        <f>#REF!</f>
        <v>#REF!</v>
      </c>
      <c r="B690" s="204"/>
      <c r="C690" s="204"/>
      <c r="D690" s="204"/>
      <c r="E690" s="204"/>
      <c r="F690" s="204"/>
      <c r="G690" s="204"/>
      <c r="H690" s="204"/>
      <c r="I690" s="204"/>
      <c r="J690" s="204"/>
      <c r="K690" s="204" t="s">
        <v>170</v>
      </c>
      <c r="L690" s="204"/>
      <c r="M690" s="204"/>
      <c r="N690" s="204" t="s">
        <v>171</v>
      </c>
      <c r="O690" s="204"/>
      <c r="P690" s="204"/>
      <c r="Q690" s="204"/>
      <c r="R690" s="204"/>
      <c r="S690" s="204"/>
      <c r="T690" s="204"/>
      <c r="U690" s="204"/>
      <c r="V690" s="205"/>
      <c r="AI690" s="205"/>
      <c r="AK690" s="205"/>
    </row>
    <row r="691" spans="1:37" ht="13.5" customHeight="1" x14ac:dyDescent="0.25">
      <c r="A691" s="204"/>
      <c r="B691" s="204"/>
      <c r="C691" s="204"/>
      <c r="D691" s="204"/>
      <c r="E691" s="204"/>
      <c r="F691" s="204"/>
      <c r="G691" s="204"/>
      <c r="H691" s="204"/>
      <c r="I691" s="204"/>
      <c r="J691" s="204"/>
      <c r="K691" s="204"/>
      <c r="L691" s="204"/>
      <c r="M691" s="204"/>
      <c r="N691" s="204" t="s">
        <v>172</v>
      </c>
      <c r="V691" s="205"/>
      <c r="AI691" s="205"/>
      <c r="AK691" s="205"/>
    </row>
    <row r="692" spans="1:37" ht="13.5" customHeight="1" x14ac:dyDescent="0.25">
      <c r="A692" s="334">
        <f>COUNTIF(T139:T684,"&gt;=95")</f>
        <v>0</v>
      </c>
      <c r="B692" s="204"/>
      <c r="C692" s="204"/>
      <c r="D692" s="204"/>
      <c r="E692" s="204"/>
      <c r="F692" s="204"/>
      <c r="G692" s="204"/>
      <c r="H692" s="204"/>
      <c r="I692" s="204"/>
      <c r="J692" s="204"/>
      <c r="K692" s="204" t="s">
        <v>173</v>
      </c>
      <c r="L692" s="204"/>
      <c r="M692" s="204"/>
      <c r="N692" s="204" t="s">
        <v>174</v>
      </c>
      <c r="V692" s="205"/>
      <c r="AI692" s="205"/>
      <c r="AK692" s="205"/>
    </row>
    <row r="693" spans="1:37" ht="13.5" customHeight="1" x14ac:dyDescent="0.25">
      <c r="A693" s="204" t="e">
        <f>A690-A692</f>
        <v>#REF!</v>
      </c>
      <c r="B693" s="204"/>
      <c r="C693" s="204"/>
      <c r="D693" s="204"/>
      <c r="E693" s="204"/>
      <c r="F693" s="204"/>
      <c r="G693" s="204"/>
      <c r="H693" s="204"/>
      <c r="I693" s="204"/>
      <c r="J693" s="204"/>
      <c r="K693" s="204"/>
      <c r="L693" s="204"/>
      <c r="M693" s="204"/>
      <c r="N693" s="204" t="s">
        <v>175</v>
      </c>
      <c r="V693" s="205"/>
      <c r="AI693" s="205"/>
      <c r="AK693" s="205"/>
    </row>
    <row r="694" spans="1:37" ht="13.5" customHeight="1" x14ac:dyDescent="0.25">
      <c r="A694" s="204"/>
      <c r="B694" s="204"/>
      <c r="C694" s="204"/>
      <c r="D694" s="204"/>
      <c r="E694" s="204"/>
      <c r="F694" s="204"/>
      <c r="G694" s="204"/>
      <c r="H694" s="204"/>
      <c r="I694" s="204"/>
      <c r="J694" s="204"/>
      <c r="K694" s="204"/>
      <c r="L694" s="204"/>
      <c r="M694" s="204"/>
      <c r="N694" s="204" t="s">
        <v>176</v>
      </c>
      <c r="V694" s="205"/>
      <c r="AI694" s="205"/>
      <c r="AK694" s="205"/>
    </row>
    <row r="695" spans="1:37" ht="13.5" customHeight="1" x14ac:dyDescent="0.25">
      <c r="A695" s="337">
        <v>2</v>
      </c>
      <c r="B695" s="204"/>
      <c r="C695" s="204"/>
      <c r="D695" s="204"/>
      <c r="E695" s="204"/>
      <c r="F695" s="204"/>
      <c r="G695" s="204"/>
      <c r="H695" s="204"/>
      <c r="I695" s="204"/>
      <c r="J695" s="204"/>
      <c r="K695" s="204" t="s">
        <v>177</v>
      </c>
      <c r="L695" s="204"/>
      <c r="M695" s="204"/>
      <c r="N695" s="204" t="s">
        <v>178</v>
      </c>
      <c r="V695" s="205"/>
      <c r="AI695" s="205"/>
      <c r="AK695" s="205"/>
    </row>
    <row r="696" spans="1:37" ht="13.5" customHeight="1" x14ac:dyDescent="0.25">
      <c r="A696" s="204">
        <f>A689-A695</f>
        <v>5</v>
      </c>
      <c r="B696" s="204"/>
      <c r="C696" s="204"/>
      <c r="D696" s="204"/>
      <c r="E696" s="204"/>
      <c r="F696" s="204"/>
      <c r="G696" s="204"/>
      <c r="H696" s="204"/>
      <c r="I696" s="204"/>
      <c r="J696" s="204"/>
      <c r="K696" s="204"/>
      <c r="L696" s="204"/>
      <c r="M696" s="204"/>
      <c r="N696" s="204" t="s">
        <v>179</v>
      </c>
      <c r="V696" s="205"/>
      <c r="AI696" s="205"/>
      <c r="AK696" s="205"/>
    </row>
    <row r="697" spans="1:37" ht="13.5" customHeight="1" x14ac:dyDescent="0.25">
      <c r="A697" s="204"/>
      <c r="B697" s="204"/>
      <c r="C697" s="204"/>
      <c r="D697" s="204"/>
      <c r="E697" s="204"/>
      <c r="F697" s="204"/>
      <c r="G697" s="204"/>
      <c r="H697" s="204"/>
      <c r="I697" s="204"/>
      <c r="J697" s="204"/>
      <c r="K697" s="204"/>
      <c r="L697" s="204"/>
      <c r="M697" s="204"/>
      <c r="N697" s="204" t="s">
        <v>180</v>
      </c>
      <c r="V697" s="205"/>
      <c r="AI697" s="205"/>
      <c r="AK697" s="205"/>
    </row>
    <row r="698" spans="1:37" ht="13.5" customHeight="1" x14ac:dyDescent="0.25">
      <c r="A698" s="204">
        <v>7</v>
      </c>
      <c r="B698" s="204"/>
      <c r="C698" s="204"/>
      <c r="D698" s="204"/>
      <c r="E698" s="204"/>
      <c r="F698" s="204"/>
      <c r="G698" s="204"/>
      <c r="H698" s="204"/>
      <c r="I698" s="204"/>
      <c r="J698" s="204"/>
      <c r="K698" s="204" t="s">
        <v>181</v>
      </c>
      <c r="L698" s="204"/>
      <c r="M698" s="204"/>
      <c r="N698" s="204" t="s">
        <v>182</v>
      </c>
      <c r="V698" s="205"/>
      <c r="AI698" s="205"/>
      <c r="AK698" s="205"/>
    </row>
    <row r="699" spans="1:37" ht="13.5" customHeight="1" x14ac:dyDescent="0.25">
      <c r="A699" s="337">
        <v>3</v>
      </c>
      <c r="B699" s="204"/>
      <c r="C699" s="204"/>
      <c r="D699" s="204"/>
      <c r="E699" s="204"/>
      <c r="F699" s="204"/>
      <c r="G699" s="204"/>
      <c r="H699" s="204"/>
      <c r="I699" s="204"/>
      <c r="J699" s="204"/>
      <c r="K699" s="204" t="s">
        <v>183</v>
      </c>
      <c r="L699" s="204"/>
      <c r="M699" s="204"/>
      <c r="N699" s="204" t="s">
        <v>184</v>
      </c>
      <c r="V699" s="205"/>
      <c r="AI699" s="205"/>
      <c r="AK699" s="205"/>
    </row>
    <row r="700" spans="1:37" ht="13.5" customHeight="1" x14ac:dyDescent="0.25">
      <c r="A700" s="204">
        <f>A698-A699</f>
        <v>4</v>
      </c>
      <c r="B700" s="204"/>
      <c r="C700" s="204"/>
      <c r="D700" s="204"/>
      <c r="E700" s="204"/>
      <c r="F700" s="204"/>
      <c r="G700" s="204"/>
      <c r="H700" s="204"/>
      <c r="I700" s="204"/>
      <c r="J700" s="204"/>
      <c r="K700" s="204"/>
      <c r="L700" s="204"/>
      <c r="M700" s="204"/>
      <c r="N700" s="204" t="s">
        <v>185</v>
      </c>
      <c r="V700" s="205"/>
      <c r="AI700" s="205"/>
      <c r="AK700" s="205"/>
    </row>
    <row r="701" spans="1:37" ht="13.5" customHeight="1" x14ac:dyDescent="0.25">
      <c r="A701" s="204"/>
      <c r="B701" s="204"/>
      <c r="C701" s="204"/>
      <c r="D701" s="204"/>
      <c r="E701" s="204"/>
      <c r="F701" s="204"/>
      <c r="G701" s="204"/>
      <c r="H701" s="204"/>
      <c r="I701" s="204"/>
      <c r="J701" s="204"/>
      <c r="K701" s="204"/>
      <c r="L701" s="204"/>
      <c r="M701" s="204"/>
      <c r="N701" s="204" t="s">
        <v>186</v>
      </c>
      <c r="V701" s="205"/>
      <c r="AI701" s="205"/>
      <c r="AK701" s="205"/>
    </row>
    <row r="702" spans="1:37" ht="13.5" customHeight="1" x14ac:dyDescent="0.25">
      <c r="A702" s="334">
        <f>COUNTIF(T139:T684,"0")</f>
        <v>527</v>
      </c>
      <c r="B702" s="204"/>
      <c r="C702" s="204"/>
      <c r="D702" s="204"/>
      <c r="E702" s="204"/>
      <c r="F702" s="204"/>
      <c r="G702" s="204"/>
      <c r="H702" s="204"/>
      <c r="I702" s="204"/>
      <c r="J702" s="204"/>
      <c r="K702" s="204" t="s">
        <v>187</v>
      </c>
      <c r="L702" s="204"/>
      <c r="M702" s="204"/>
      <c r="N702" s="204" t="s">
        <v>188</v>
      </c>
      <c r="V702" s="205"/>
      <c r="AI702" s="205"/>
      <c r="AK702" s="205"/>
    </row>
    <row r="703" spans="1:37" ht="13.5" customHeight="1" x14ac:dyDescent="0.25">
      <c r="A703" s="333" t="e">
        <f>A690-(A692+A702)</f>
        <v>#REF!</v>
      </c>
      <c r="B703" s="338"/>
      <c r="C703" s="338"/>
      <c r="D703" s="338"/>
      <c r="E703" s="338"/>
      <c r="F703" s="338"/>
      <c r="G703" s="338"/>
      <c r="H703" s="338"/>
      <c r="I703" s="338"/>
      <c r="J703" s="338"/>
      <c r="K703" s="333" t="s">
        <v>189</v>
      </c>
      <c r="L703" s="204"/>
      <c r="M703" s="204"/>
      <c r="N703" s="204"/>
      <c r="V703" s="205"/>
      <c r="AI703" s="205"/>
      <c r="AK703" s="205"/>
    </row>
  </sheetData>
  <autoFilter ref="A1:A703" xr:uid="{00000000-0009-0000-0000-000002000000}"/>
  <mergeCells count="778">
    <mergeCell ref="B1:AM1"/>
    <mergeCell ref="A2:AM2"/>
    <mergeCell ref="A3:AO3"/>
    <mergeCell ref="A5:A7"/>
    <mergeCell ref="B5:I7"/>
    <mergeCell ref="J5:J7"/>
    <mergeCell ref="K5:N7"/>
    <mergeCell ref="O5:O7"/>
    <mergeCell ref="P5:P7"/>
    <mergeCell ref="Q5:Q7"/>
    <mergeCell ref="AO5:AO7"/>
    <mergeCell ref="AP5:AP7"/>
    <mergeCell ref="T6:U6"/>
    <mergeCell ref="V6:V7"/>
    <mergeCell ref="W6:W7"/>
    <mergeCell ref="X6:X7"/>
    <mergeCell ref="Y6:Y7"/>
    <mergeCell ref="Z6:Z7"/>
    <mergeCell ref="R5:R7"/>
    <mergeCell ref="S5:S7"/>
    <mergeCell ref="T5:AI5"/>
    <mergeCell ref="AJ5:AJ7"/>
    <mergeCell ref="AK5:AK7"/>
    <mergeCell ref="AL5:AL7"/>
    <mergeCell ref="AA6:AA7"/>
    <mergeCell ref="AB6:AB7"/>
    <mergeCell ref="AC6:AC7"/>
    <mergeCell ref="AD6:AD7"/>
    <mergeCell ref="AE6:AE7"/>
    <mergeCell ref="AF6:AF7"/>
    <mergeCell ref="AG6:AG7"/>
    <mergeCell ref="AH6:AH7"/>
    <mergeCell ref="AI6:AI7"/>
    <mergeCell ref="B8:I8"/>
    <mergeCell ref="K8:N8"/>
    <mergeCell ref="AM5:AM7"/>
    <mergeCell ref="AN5:AN7"/>
    <mergeCell ref="B15:I15"/>
    <mergeCell ref="L15:N15"/>
    <mergeCell ref="B16:I16"/>
    <mergeCell ref="L16:N16"/>
    <mergeCell ref="B17:I17"/>
    <mergeCell ref="L17:N17"/>
    <mergeCell ref="B10:I10"/>
    <mergeCell ref="L10:N10"/>
    <mergeCell ref="B12:I12"/>
    <mergeCell ref="L12:N12"/>
    <mergeCell ref="B14:I14"/>
    <mergeCell ref="L14:N14"/>
    <mergeCell ref="B21:I21"/>
    <mergeCell ref="L21:N21"/>
    <mergeCell ref="B22:I22"/>
    <mergeCell ref="L22:N22"/>
    <mergeCell ref="B23:I23"/>
    <mergeCell ref="L23:N23"/>
    <mergeCell ref="B18:I18"/>
    <mergeCell ref="L18:N18"/>
    <mergeCell ref="B19:I19"/>
    <mergeCell ref="L19:N19"/>
    <mergeCell ref="B20:I20"/>
    <mergeCell ref="L20:N20"/>
    <mergeCell ref="B27:I27"/>
    <mergeCell ref="L27:N27"/>
    <mergeCell ref="B28:I28"/>
    <mergeCell ref="L28:N28"/>
    <mergeCell ref="B29:I29"/>
    <mergeCell ref="L29:N29"/>
    <mergeCell ref="B24:I24"/>
    <mergeCell ref="L24:N24"/>
    <mergeCell ref="B25:I25"/>
    <mergeCell ref="L25:N25"/>
    <mergeCell ref="B26:I26"/>
    <mergeCell ref="L26:N26"/>
    <mergeCell ref="B35:I35"/>
    <mergeCell ref="L35:N35"/>
    <mergeCell ref="L36:N36"/>
    <mergeCell ref="L37:N37"/>
    <mergeCell ref="L38:N38"/>
    <mergeCell ref="L39:N39"/>
    <mergeCell ref="B30:I30"/>
    <mergeCell ref="L30:N30"/>
    <mergeCell ref="L31:N31"/>
    <mergeCell ref="B32:I32"/>
    <mergeCell ref="L32:N32"/>
    <mergeCell ref="L33:N33"/>
    <mergeCell ref="L46:N46"/>
    <mergeCell ref="L47:N47"/>
    <mergeCell ref="L48:N48"/>
    <mergeCell ref="L49:N49"/>
    <mergeCell ref="L50:N50"/>
    <mergeCell ref="L51:N51"/>
    <mergeCell ref="L40:N40"/>
    <mergeCell ref="L41:N41"/>
    <mergeCell ref="L42:N42"/>
    <mergeCell ref="L43:N43"/>
    <mergeCell ref="L44:N44"/>
    <mergeCell ref="L45:N45"/>
    <mergeCell ref="M56:N56"/>
    <mergeCell ref="B57:I57"/>
    <mergeCell ref="M57:N57"/>
    <mergeCell ref="M58:N58"/>
    <mergeCell ref="M59:N59"/>
    <mergeCell ref="M60:N60"/>
    <mergeCell ref="B53:I53"/>
    <mergeCell ref="L53:N53"/>
    <mergeCell ref="B54:I54"/>
    <mergeCell ref="L54:N54"/>
    <mergeCell ref="B55:I55"/>
    <mergeCell ref="M55:N55"/>
    <mergeCell ref="M65:N65"/>
    <mergeCell ref="M66:N66"/>
    <mergeCell ref="B67:I67"/>
    <mergeCell ref="M67:N67"/>
    <mergeCell ref="M68:N68"/>
    <mergeCell ref="M69:N69"/>
    <mergeCell ref="B61:I61"/>
    <mergeCell ref="M61:N61"/>
    <mergeCell ref="M62:N62"/>
    <mergeCell ref="B63:I63"/>
    <mergeCell ref="M63:N63"/>
    <mergeCell ref="M64:N64"/>
    <mergeCell ref="M75:N75"/>
    <mergeCell ref="B76:I76"/>
    <mergeCell ref="M76:N76"/>
    <mergeCell ref="M77:N77"/>
    <mergeCell ref="M78:N78"/>
    <mergeCell ref="M79:N79"/>
    <mergeCell ref="B70:I70"/>
    <mergeCell ref="M70:N70"/>
    <mergeCell ref="M71:N71"/>
    <mergeCell ref="M72:N72"/>
    <mergeCell ref="M73:N73"/>
    <mergeCell ref="M74:N74"/>
    <mergeCell ref="M85:N85"/>
    <mergeCell ref="M86:N86"/>
    <mergeCell ref="B87:I87"/>
    <mergeCell ref="M87:N87"/>
    <mergeCell ref="M88:N88"/>
    <mergeCell ref="B89:I89"/>
    <mergeCell ref="M89:N89"/>
    <mergeCell ref="M80:N80"/>
    <mergeCell ref="B81:I81"/>
    <mergeCell ref="M81:N81"/>
    <mergeCell ref="M82:N82"/>
    <mergeCell ref="M83:N83"/>
    <mergeCell ref="B84:I84"/>
    <mergeCell ref="M84:N84"/>
    <mergeCell ref="B105:I105"/>
    <mergeCell ref="M105:N105"/>
    <mergeCell ref="M95:N95"/>
    <mergeCell ref="M96:N96"/>
    <mergeCell ref="M97:N97"/>
    <mergeCell ref="M98:N98"/>
    <mergeCell ref="M99:N99"/>
    <mergeCell ref="M100:N100"/>
    <mergeCell ref="M90:N90"/>
    <mergeCell ref="B91:I91"/>
    <mergeCell ref="M91:N91"/>
    <mergeCell ref="M92:N92"/>
    <mergeCell ref="M93:N93"/>
    <mergeCell ref="M94:N94"/>
    <mergeCell ref="M106:N106"/>
    <mergeCell ref="M107:N107"/>
    <mergeCell ref="M108:N108"/>
    <mergeCell ref="M109:N109"/>
    <mergeCell ref="M110:N110"/>
    <mergeCell ref="M111:N111"/>
    <mergeCell ref="M101:N101"/>
    <mergeCell ref="M102:N102"/>
    <mergeCell ref="M103:N103"/>
    <mergeCell ref="M104:N104"/>
    <mergeCell ref="M118:N118"/>
    <mergeCell ref="B119:I119"/>
    <mergeCell ref="L119:N119"/>
    <mergeCell ref="B120:I120"/>
    <mergeCell ref="M120:N120"/>
    <mergeCell ref="M121:N121"/>
    <mergeCell ref="M112:N112"/>
    <mergeCell ref="M113:N113"/>
    <mergeCell ref="M114:N114"/>
    <mergeCell ref="M115:N115"/>
    <mergeCell ref="M116:N116"/>
    <mergeCell ref="M117:N117"/>
    <mergeCell ref="M127:N127"/>
    <mergeCell ref="M128:N128"/>
    <mergeCell ref="M129:N129"/>
    <mergeCell ref="M130:N130"/>
    <mergeCell ref="M131:N131"/>
    <mergeCell ref="M132:N132"/>
    <mergeCell ref="B122:I122"/>
    <mergeCell ref="M122:N122"/>
    <mergeCell ref="M123:N123"/>
    <mergeCell ref="M124:N124"/>
    <mergeCell ref="M125:N125"/>
    <mergeCell ref="M126:N126"/>
    <mergeCell ref="M137:N137"/>
    <mergeCell ref="M138:N138"/>
    <mergeCell ref="B139:I139"/>
    <mergeCell ref="M139:N139"/>
    <mergeCell ref="M140:N140"/>
    <mergeCell ref="M141:N141"/>
    <mergeCell ref="M133:N133"/>
    <mergeCell ref="B134:I134"/>
    <mergeCell ref="M134:N134"/>
    <mergeCell ref="M135:N135"/>
    <mergeCell ref="B136:I136"/>
    <mergeCell ref="M136:N136"/>
    <mergeCell ref="M147:N147"/>
    <mergeCell ref="M148:N148"/>
    <mergeCell ref="M149:N149"/>
    <mergeCell ref="B150:I150"/>
    <mergeCell ref="M150:N150"/>
    <mergeCell ref="M151:N151"/>
    <mergeCell ref="M142:N142"/>
    <mergeCell ref="B143:I143"/>
    <mergeCell ref="M143:N143"/>
    <mergeCell ref="M144:N144"/>
    <mergeCell ref="M145:N145"/>
    <mergeCell ref="M146:N146"/>
    <mergeCell ref="M157:N157"/>
    <mergeCell ref="M158:N158"/>
    <mergeCell ref="M159:N159"/>
    <mergeCell ref="B160:I160"/>
    <mergeCell ref="M160:N160"/>
    <mergeCell ref="M161:N161"/>
    <mergeCell ref="M152:N152"/>
    <mergeCell ref="M153:N153"/>
    <mergeCell ref="M154:N154"/>
    <mergeCell ref="M155:N155"/>
    <mergeCell ref="B156:I156"/>
    <mergeCell ref="L156:N156"/>
    <mergeCell ref="B166:I166"/>
    <mergeCell ref="M166:N166"/>
    <mergeCell ref="M167:N167"/>
    <mergeCell ref="M168:N168"/>
    <mergeCell ref="M169:N169"/>
    <mergeCell ref="M170:N170"/>
    <mergeCell ref="M162:N162"/>
    <mergeCell ref="B163:I163"/>
    <mergeCell ref="L163:N163"/>
    <mergeCell ref="B164:I164"/>
    <mergeCell ref="M164:N164"/>
    <mergeCell ref="M165:N165"/>
    <mergeCell ref="B176:I176"/>
    <mergeCell ref="M176:N176"/>
    <mergeCell ref="M177:N177"/>
    <mergeCell ref="M178:N178"/>
    <mergeCell ref="M179:N179"/>
    <mergeCell ref="M180:N180"/>
    <mergeCell ref="M171:N171"/>
    <mergeCell ref="M172:N172"/>
    <mergeCell ref="M173:N173"/>
    <mergeCell ref="M174:N174"/>
    <mergeCell ref="B175:I175"/>
    <mergeCell ref="L175:N175"/>
    <mergeCell ref="M187:N187"/>
    <mergeCell ref="B188:I188"/>
    <mergeCell ref="M188:N188"/>
    <mergeCell ref="M189:N189"/>
    <mergeCell ref="M190:N190"/>
    <mergeCell ref="M191:N191"/>
    <mergeCell ref="M181:N181"/>
    <mergeCell ref="M182:N182"/>
    <mergeCell ref="M183:N183"/>
    <mergeCell ref="M184:N184"/>
    <mergeCell ref="M185:N185"/>
    <mergeCell ref="M186:N186"/>
    <mergeCell ref="M198:N198"/>
    <mergeCell ref="M199:N199"/>
    <mergeCell ref="M200:N200"/>
    <mergeCell ref="M201:N201"/>
    <mergeCell ref="M202:N202"/>
    <mergeCell ref="M203:N203"/>
    <mergeCell ref="M192:N192"/>
    <mergeCell ref="M193:N193"/>
    <mergeCell ref="M194:N194"/>
    <mergeCell ref="M195:N195"/>
    <mergeCell ref="M196:N196"/>
    <mergeCell ref="M197:N197"/>
    <mergeCell ref="M209:N209"/>
    <mergeCell ref="M210:N210"/>
    <mergeCell ref="B211:I211"/>
    <mergeCell ref="M211:N211"/>
    <mergeCell ref="M212:N212"/>
    <mergeCell ref="M213:N213"/>
    <mergeCell ref="B204:I204"/>
    <mergeCell ref="M204:N204"/>
    <mergeCell ref="M205:N205"/>
    <mergeCell ref="M206:N206"/>
    <mergeCell ref="M207:N207"/>
    <mergeCell ref="M208:N208"/>
    <mergeCell ref="M220:N220"/>
    <mergeCell ref="M221:N221"/>
    <mergeCell ref="M222:N222"/>
    <mergeCell ref="M223:N223"/>
    <mergeCell ref="M224:N224"/>
    <mergeCell ref="B225:I225"/>
    <mergeCell ref="M225:N225"/>
    <mergeCell ref="M214:N214"/>
    <mergeCell ref="M215:N215"/>
    <mergeCell ref="M216:N216"/>
    <mergeCell ref="M217:N217"/>
    <mergeCell ref="M218:N218"/>
    <mergeCell ref="M219:N219"/>
    <mergeCell ref="M232:N232"/>
    <mergeCell ref="M233:N233"/>
    <mergeCell ref="M234:N234"/>
    <mergeCell ref="M235:N235"/>
    <mergeCell ref="B236:I236"/>
    <mergeCell ref="M236:N236"/>
    <mergeCell ref="M226:N226"/>
    <mergeCell ref="M227:N227"/>
    <mergeCell ref="M228:N228"/>
    <mergeCell ref="M229:N229"/>
    <mergeCell ref="M230:N230"/>
    <mergeCell ref="M231:N231"/>
    <mergeCell ref="B243:I243"/>
    <mergeCell ref="L243:N243"/>
    <mergeCell ref="B244:I244"/>
    <mergeCell ref="M244:N244"/>
    <mergeCell ref="M245:N245"/>
    <mergeCell ref="M246:N246"/>
    <mergeCell ref="M237:N237"/>
    <mergeCell ref="M238:N238"/>
    <mergeCell ref="M239:N239"/>
    <mergeCell ref="M240:N240"/>
    <mergeCell ref="M241:N241"/>
    <mergeCell ref="M242:N242"/>
    <mergeCell ref="M253:N253"/>
    <mergeCell ref="M254:N254"/>
    <mergeCell ref="M255:N255"/>
    <mergeCell ref="M256:N256"/>
    <mergeCell ref="M257:N257"/>
    <mergeCell ref="M258:N258"/>
    <mergeCell ref="M247:N247"/>
    <mergeCell ref="M248:N248"/>
    <mergeCell ref="M249:N249"/>
    <mergeCell ref="M250:N250"/>
    <mergeCell ref="M251:N251"/>
    <mergeCell ref="M252:N252"/>
    <mergeCell ref="M265:N265"/>
    <mergeCell ref="M266:N266"/>
    <mergeCell ref="M267:N267"/>
    <mergeCell ref="M268:N268"/>
    <mergeCell ref="M269:N269"/>
    <mergeCell ref="B270:I270"/>
    <mergeCell ref="M270:N270"/>
    <mergeCell ref="M259:N259"/>
    <mergeCell ref="M260:N260"/>
    <mergeCell ref="M261:N261"/>
    <mergeCell ref="M262:N262"/>
    <mergeCell ref="M263:N263"/>
    <mergeCell ref="M264:N264"/>
    <mergeCell ref="M277:N277"/>
    <mergeCell ref="M278:N278"/>
    <mergeCell ref="M279:N279"/>
    <mergeCell ref="M280:N280"/>
    <mergeCell ref="M281:N281"/>
    <mergeCell ref="B282:I282"/>
    <mergeCell ref="M282:N282"/>
    <mergeCell ref="M271:N271"/>
    <mergeCell ref="M272:N272"/>
    <mergeCell ref="M273:N273"/>
    <mergeCell ref="M274:N274"/>
    <mergeCell ref="M275:N275"/>
    <mergeCell ref="M276:N276"/>
    <mergeCell ref="M289:N289"/>
    <mergeCell ref="M290:N290"/>
    <mergeCell ref="M291:N291"/>
    <mergeCell ref="B292:I292"/>
    <mergeCell ref="M292:N292"/>
    <mergeCell ref="M293:N293"/>
    <mergeCell ref="M283:N283"/>
    <mergeCell ref="M284:N284"/>
    <mergeCell ref="M285:N285"/>
    <mergeCell ref="M286:N286"/>
    <mergeCell ref="M287:N287"/>
    <mergeCell ref="M288:N288"/>
    <mergeCell ref="M300:N300"/>
    <mergeCell ref="M301:N301"/>
    <mergeCell ref="M302:N302"/>
    <mergeCell ref="M303:N303"/>
    <mergeCell ref="B304:I304"/>
    <mergeCell ref="M304:N304"/>
    <mergeCell ref="M294:N294"/>
    <mergeCell ref="M295:N295"/>
    <mergeCell ref="M296:N296"/>
    <mergeCell ref="M297:N297"/>
    <mergeCell ref="M298:N298"/>
    <mergeCell ref="M299:N299"/>
    <mergeCell ref="B320:I320"/>
    <mergeCell ref="M320:N320"/>
    <mergeCell ref="M311:N311"/>
    <mergeCell ref="B312:I312"/>
    <mergeCell ref="M312:N312"/>
    <mergeCell ref="M313:N313"/>
    <mergeCell ref="M314:N314"/>
    <mergeCell ref="M315:N315"/>
    <mergeCell ref="M305:N305"/>
    <mergeCell ref="M306:N306"/>
    <mergeCell ref="M307:N307"/>
    <mergeCell ref="M308:N308"/>
    <mergeCell ref="M309:N309"/>
    <mergeCell ref="M310:N310"/>
    <mergeCell ref="M321:N321"/>
    <mergeCell ref="M322:N322"/>
    <mergeCell ref="M323:N323"/>
    <mergeCell ref="M324:N324"/>
    <mergeCell ref="M325:N325"/>
    <mergeCell ref="M326:N326"/>
    <mergeCell ref="M316:N316"/>
    <mergeCell ref="M317:N317"/>
    <mergeCell ref="M318:N318"/>
    <mergeCell ref="M319:N319"/>
    <mergeCell ref="M333:N333"/>
    <mergeCell ref="B334:I334"/>
    <mergeCell ref="M334:N334"/>
    <mergeCell ref="M335:N335"/>
    <mergeCell ref="M336:N336"/>
    <mergeCell ref="M337:N337"/>
    <mergeCell ref="M327:N327"/>
    <mergeCell ref="M328:N328"/>
    <mergeCell ref="M329:N329"/>
    <mergeCell ref="M330:N330"/>
    <mergeCell ref="M331:N331"/>
    <mergeCell ref="M332:N332"/>
    <mergeCell ref="M344:N344"/>
    <mergeCell ref="B345:I345"/>
    <mergeCell ref="M345:N345"/>
    <mergeCell ref="M346:N346"/>
    <mergeCell ref="M347:N347"/>
    <mergeCell ref="M348:N348"/>
    <mergeCell ref="M338:N338"/>
    <mergeCell ref="M339:N339"/>
    <mergeCell ref="M340:N340"/>
    <mergeCell ref="M341:N341"/>
    <mergeCell ref="M342:N342"/>
    <mergeCell ref="M343:N343"/>
    <mergeCell ref="M355:N355"/>
    <mergeCell ref="M356:N356"/>
    <mergeCell ref="M357:N357"/>
    <mergeCell ref="M358:N358"/>
    <mergeCell ref="B359:I359"/>
    <mergeCell ref="M359:N359"/>
    <mergeCell ref="M349:N349"/>
    <mergeCell ref="M350:N350"/>
    <mergeCell ref="M351:N351"/>
    <mergeCell ref="M352:N352"/>
    <mergeCell ref="M353:N353"/>
    <mergeCell ref="M354:N354"/>
    <mergeCell ref="M366:N366"/>
    <mergeCell ref="M367:N367"/>
    <mergeCell ref="M368:N368"/>
    <mergeCell ref="M369:N369"/>
    <mergeCell ref="M370:N370"/>
    <mergeCell ref="M371:N371"/>
    <mergeCell ref="M360:N360"/>
    <mergeCell ref="M361:N361"/>
    <mergeCell ref="M362:N362"/>
    <mergeCell ref="M363:N363"/>
    <mergeCell ref="M364:N364"/>
    <mergeCell ref="M365:N365"/>
    <mergeCell ref="M377:N377"/>
    <mergeCell ref="M378:N378"/>
    <mergeCell ref="M379:N379"/>
    <mergeCell ref="M380:N380"/>
    <mergeCell ref="M381:N381"/>
    <mergeCell ref="B382:I382"/>
    <mergeCell ref="M382:N382"/>
    <mergeCell ref="B372:I372"/>
    <mergeCell ref="M372:N372"/>
    <mergeCell ref="M373:N373"/>
    <mergeCell ref="M374:N374"/>
    <mergeCell ref="M375:N375"/>
    <mergeCell ref="M376:N376"/>
    <mergeCell ref="M389:N389"/>
    <mergeCell ref="M390:N390"/>
    <mergeCell ref="M391:N391"/>
    <mergeCell ref="M392:N392"/>
    <mergeCell ref="M393:N393"/>
    <mergeCell ref="M394:N394"/>
    <mergeCell ref="M383:N383"/>
    <mergeCell ref="M384:N384"/>
    <mergeCell ref="M385:N385"/>
    <mergeCell ref="M386:N386"/>
    <mergeCell ref="M387:N387"/>
    <mergeCell ref="M388:N388"/>
    <mergeCell ref="B403:I403"/>
    <mergeCell ref="M403:N403"/>
    <mergeCell ref="M404:N404"/>
    <mergeCell ref="B395:I395"/>
    <mergeCell ref="M395:N395"/>
    <mergeCell ref="M396:N396"/>
    <mergeCell ref="M397:N397"/>
    <mergeCell ref="M398:N398"/>
    <mergeCell ref="M399:N399"/>
    <mergeCell ref="M405:N405"/>
    <mergeCell ref="M406:N406"/>
    <mergeCell ref="M407:N407"/>
    <mergeCell ref="M408:N408"/>
    <mergeCell ref="M409:N409"/>
    <mergeCell ref="M410:N410"/>
    <mergeCell ref="M400:N400"/>
    <mergeCell ref="M401:N401"/>
    <mergeCell ref="M402:N402"/>
    <mergeCell ref="M417:N417"/>
    <mergeCell ref="M418:N418"/>
    <mergeCell ref="M419:N419"/>
    <mergeCell ref="B420:I420"/>
    <mergeCell ref="M420:N420"/>
    <mergeCell ref="M421:N421"/>
    <mergeCell ref="M411:N411"/>
    <mergeCell ref="M412:N412"/>
    <mergeCell ref="M413:N413"/>
    <mergeCell ref="M414:N414"/>
    <mergeCell ref="M415:N415"/>
    <mergeCell ref="M416:N416"/>
    <mergeCell ref="M428:N428"/>
    <mergeCell ref="M429:N429"/>
    <mergeCell ref="M430:N430"/>
    <mergeCell ref="B431:I431"/>
    <mergeCell ref="M431:N431"/>
    <mergeCell ref="M432:N432"/>
    <mergeCell ref="M422:N422"/>
    <mergeCell ref="M423:N423"/>
    <mergeCell ref="M424:N424"/>
    <mergeCell ref="M425:N425"/>
    <mergeCell ref="M426:N426"/>
    <mergeCell ref="M427:N427"/>
    <mergeCell ref="B442:I442"/>
    <mergeCell ref="M442:N442"/>
    <mergeCell ref="M443:N443"/>
    <mergeCell ref="M433:N433"/>
    <mergeCell ref="M434:N434"/>
    <mergeCell ref="M435:N435"/>
    <mergeCell ref="M436:N436"/>
    <mergeCell ref="M437:N437"/>
    <mergeCell ref="M438:N438"/>
    <mergeCell ref="M444:N444"/>
    <mergeCell ref="M445:N445"/>
    <mergeCell ref="M446:N446"/>
    <mergeCell ref="M447:N447"/>
    <mergeCell ref="M448:N448"/>
    <mergeCell ref="M449:N449"/>
    <mergeCell ref="M439:N439"/>
    <mergeCell ref="M440:N440"/>
    <mergeCell ref="M441:N441"/>
    <mergeCell ref="M455:N455"/>
    <mergeCell ref="M456:N456"/>
    <mergeCell ref="M457:N457"/>
    <mergeCell ref="M458:N458"/>
    <mergeCell ref="M459:N459"/>
    <mergeCell ref="B460:I460"/>
    <mergeCell ref="M460:N460"/>
    <mergeCell ref="M450:N450"/>
    <mergeCell ref="M451:N451"/>
    <mergeCell ref="B452:I452"/>
    <mergeCell ref="M452:N452"/>
    <mergeCell ref="M453:N453"/>
    <mergeCell ref="M454:N454"/>
    <mergeCell ref="M467:N467"/>
    <mergeCell ref="M468:N468"/>
    <mergeCell ref="M469:N469"/>
    <mergeCell ref="M470:N470"/>
    <mergeCell ref="M471:N471"/>
    <mergeCell ref="M472:N472"/>
    <mergeCell ref="M461:N461"/>
    <mergeCell ref="M462:N462"/>
    <mergeCell ref="M463:N463"/>
    <mergeCell ref="M464:N464"/>
    <mergeCell ref="M465:N465"/>
    <mergeCell ref="M466:N466"/>
    <mergeCell ref="B489:I489"/>
    <mergeCell ref="M489:N489"/>
    <mergeCell ref="M479:N479"/>
    <mergeCell ref="M480:N480"/>
    <mergeCell ref="M481:N481"/>
    <mergeCell ref="M482:N482"/>
    <mergeCell ref="M483:N483"/>
    <mergeCell ref="M484:N484"/>
    <mergeCell ref="M473:N473"/>
    <mergeCell ref="M474:N474"/>
    <mergeCell ref="M475:N475"/>
    <mergeCell ref="M476:N476"/>
    <mergeCell ref="M477:N477"/>
    <mergeCell ref="M478:N478"/>
    <mergeCell ref="M490:N490"/>
    <mergeCell ref="M491:N491"/>
    <mergeCell ref="M492:N492"/>
    <mergeCell ref="M493:N493"/>
    <mergeCell ref="M494:N494"/>
    <mergeCell ref="M495:N495"/>
    <mergeCell ref="M485:N485"/>
    <mergeCell ref="M486:N486"/>
    <mergeCell ref="M487:N487"/>
    <mergeCell ref="M488:N488"/>
    <mergeCell ref="M501:N501"/>
    <mergeCell ref="M502:N502"/>
    <mergeCell ref="M503:N503"/>
    <mergeCell ref="M504:N504"/>
    <mergeCell ref="M505:N505"/>
    <mergeCell ref="M506:N506"/>
    <mergeCell ref="M496:N496"/>
    <mergeCell ref="M497:N497"/>
    <mergeCell ref="B498:I498"/>
    <mergeCell ref="M498:N498"/>
    <mergeCell ref="M499:N499"/>
    <mergeCell ref="M500:N500"/>
    <mergeCell ref="M513:N513"/>
    <mergeCell ref="M514:N514"/>
    <mergeCell ref="M515:N515"/>
    <mergeCell ref="M516:N516"/>
    <mergeCell ref="B517:I517"/>
    <mergeCell ref="M517:N517"/>
    <mergeCell ref="M507:N507"/>
    <mergeCell ref="M508:N508"/>
    <mergeCell ref="M509:N509"/>
    <mergeCell ref="M510:N510"/>
    <mergeCell ref="M511:N511"/>
    <mergeCell ref="M512:N512"/>
    <mergeCell ref="B524:I524"/>
    <mergeCell ref="M524:N524"/>
    <mergeCell ref="M525:N525"/>
    <mergeCell ref="M526:N526"/>
    <mergeCell ref="M527:N527"/>
    <mergeCell ref="M528:N528"/>
    <mergeCell ref="M518:N518"/>
    <mergeCell ref="M519:N519"/>
    <mergeCell ref="M520:N520"/>
    <mergeCell ref="M521:N521"/>
    <mergeCell ref="M522:N522"/>
    <mergeCell ref="M523:N523"/>
    <mergeCell ref="M535:N535"/>
    <mergeCell ref="B536:I536"/>
    <mergeCell ref="M536:N536"/>
    <mergeCell ref="M537:N537"/>
    <mergeCell ref="M538:N538"/>
    <mergeCell ref="M539:N539"/>
    <mergeCell ref="M529:N529"/>
    <mergeCell ref="M530:N530"/>
    <mergeCell ref="M531:N531"/>
    <mergeCell ref="M532:N532"/>
    <mergeCell ref="M533:N533"/>
    <mergeCell ref="M534:N534"/>
    <mergeCell ref="M546:N546"/>
    <mergeCell ref="M547:N547"/>
    <mergeCell ref="M548:N548"/>
    <mergeCell ref="M549:N549"/>
    <mergeCell ref="M550:N550"/>
    <mergeCell ref="M551:N551"/>
    <mergeCell ref="M540:N540"/>
    <mergeCell ref="M541:N541"/>
    <mergeCell ref="M542:N542"/>
    <mergeCell ref="M543:N543"/>
    <mergeCell ref="M544:N544"/>
    <mergeCell ref="M545:N545"/>
    <mergeCell ref="M558:N558"/>
    <mergeCell ref="M559:N559"/>
    <mergeCell ref="M560:N560"/>
    <mergeCell ref="M561:N561"/>
    <mergeCell ref="M562:N562"/>
    <mergeCell ref="M563:N563"/>
    <mergeCell ref="M552:N552"/>
    <mergeCell ref="M553:N553"/>
    <mergeCell ref="M554:N554"/>
    <mergeCell ref="M555:N555"/>
    <mergeCell ref="M556:N556"/>
    <mergeCell ref="M557:N557"/>
    <mergeCell ref="M570:N570"/>
    <mergeCell ref="M571:N571"/>
    <mergeCell ref="M572:N572"/>
    <mergeCell ref="M573:N573"/>
    <mergeCell ref="M574:N574"/>
    <mergeCell ref="M575:N575"/>
    <mergeCell ref="M564:N564"/>
    <mergeCell ref="M565:N565"/>
    <mergeCell ref="M566:N566"/>
    <mergeCell ref="M567:N567"/>
    <mergeCell ref="M568:N568"/>
    <mergeCell ref="M569:N569"/>
    <mergeCell ref="M582:N582"/>
    <mergeCell ref="M583:N583"/>
    <mergeCell ref="M584:N584"/>
    <mergeCell ref="M585:N585"/>
    <mergeCell ref="M586:N586"/>
    <mergeCell ref="M587:N587"/>
    <mergeCell ref="M576:N576"/>
    <mergeCell ref="M577:N577"/>
    <mergeCell ref="M578:N578"/>
    <mergeCell ref="M579:N579"/>
    <mergeCell ref="M580:N580"/>
    <mergeCell ref="M581:N581"/>
    <mergeCell ref="M594:N594"/>
    <mergeCell ref="M595:N595"/>
    <mergeCell ref="M596:N596"/>
    <mergeCell ref="M597:N597"/>
    <mergeCell ref="M598:N598"/>
    <mergeCell ref="M599:N599"/>
    <mergeCell ref="M588:N588"/>
    <mergeCell ref="M589:N589"/>
    <mergeCell ref="M590:N590"/>
    <mergeCell ref="M591:N591"/>
    <mergeCell ref="M592:N592"/>
    <mergeCell ref="M593:N593"/>
    <mergeCell ref="M606:N606"/>
    <mergeCell ref="M607:N607"/>
    <mergeCell ref="M608:N608"/>
    <mergeCell ref="M609:N609"/>
    <mergeCell ref="M610:N610"/>
    <mergeCell ref="M611:N611"/>
    <mergeCell ref="M600:N600"/>
    <mergeCell ref="M601:N601"/>
    <mergeCell ref="M602:N602"/>
    <mergeCell ref="M603:N603"/>
    <mergeCell ref="M604:N604"/>
    <mergeCell ref="M605:N605"/>
    <mergeCell ref="M618:N618"/>
    <mergeCell ref="M619:N619"/>
    <mergeCell ref="M620:N620"/>
    <mergeCell ref="M621:N621"/>
    <mergeCell ref="M622:N622"/>
    <mergeCell ref="M623:N623"/>
    <mergeCell ref="M612:N612"/>
    <mergeCell ref="M613:N613"/>
    <mergeCell ref="M614:N614"/>
    <mergeCell ref="M615:N615"/>
    <mergeCell ref="M616:N616"/>
    <mergeCell ref="M617:N617"/>
    <mergeCell ref="M630:N630"/>
    <mergeCell ref="M631:N631"/>
    <mergeCell ref="M632:N632"/>
    <mergeCell ref="M633:N633"/>
    <mergeCell ref="M634:N634"/>
    <mergeCell ref="M635:N635"/>
    <mergeCell ref="M624:N624"/>
    <mergeCell ref="M625:N625"/>
    <mergeCell ref="M626:N626"/>
    <mergeCell ref="M627:N627"/>
    <mergeCell ref="M628:N628"/>
    <mergeCell ref="M629:N629"/>
    <mergeCell ref="M642:N642"/>
    <mergeCell ref="M643:N643"/>
    <mergeCell ref="M644:N644"/>
    <mergeCell ref="M645:N645"/>
    <mergeCell ref="M646:N646"/>
    <mergeCell ref="M647:N647"/>
    <mergeCell ref="M636:N636"/>
    <mergeCell ref="M637:N637"/>
    <mergeCell ref="M638:N638"/>
    <mergeCell ref="M639:N639"/>
    <mergeCell ref="M640:N640"/>
    <mergeCell ref="M641:N641"/>
    <mergeCell ref="M654:N654"/>
    <mergeCell ref="M655:N655"/>
    <mergeCell ref="M656:N656"/>
    <mergeCell ref="B657:I657"/>
    <mergeCell ref="L657:N657"/>
    <mergeCell ref="M658:N658"/>
    <mergeCell ref="M648:N648"/>
    <mergeCell ref="M649:N649"/>
    <mergeCell ref="M650:N650"/>
    <mergeCell ref="M651:N651"/>
    <mergeCell ref="M652:N652"/>
    <mergeCell ref="M653:N653"/>
    <mergeCell ref="AI673:AL673"/>
    <mergeCell ref="AI674:AL674"/>
    <mergeCell ref="B665:I665"/>
    <mergeCell ref="M665:N665"/>
    <mergeCell ref="B666:I666"/>
    <mergeCell ref="L666:N666"/>
    <mergeCell ref="AI667:AL667"/>
    <mergeCell ref="AI668:AL668"/>
    <mergeCell ref="M659:N659"/>
    <mergeCell ref="M660:N660"/>
    <mergeCell ref="M661:N661"/>
    <mergeCell ref="M662:N662"/>
    <mergeCell ref="M663:N663"/>
    <mergeCell ref="M664:N664"/>
  </mergeCells>
  <printOptions horizontalCentered="1"/>
  <pageMargins left="0.23622047244094491" right="0.11811023622047245" top="0.51181102362204722" bottom="0.43307086614173229" header="0.35433070866141736" footer="0.35433070866141736"/>
  <pageSetup paperSize="257" scale="75" fitToWidth="0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outlinePr summaryBelow="0" summaryRight="0"/>
    <pageSetUpPr autoPageBreaks="0"/>
  </sheetPr>
  <dimension ref="A1:CE720"/>
  <sheetViews>
    <sheetView showOutlineSymbols="0" zoomScale="85" zoomScaleNormal="85" workbookViewId="0">
      <pane ySplit="8" topLeftCell="A24" activePane="bottomLeft" state="frozen"/>
      <selection activeCell="Q553" sqref="Q553"/>
      <selection pane="bottomLeft" activeCell="AI33" sqref="AI33"/>
    </sheetView>
  </sheetViews>
  <sheetFormatPr defaultRowHeight="13.5" customHeight="1" x14ac:dyDescent="0.25"/>
  <cols>
    <col min="1" max="1" width="5" style="205" customWidth="1"/>
    <col min="2" max="2" width="1.140625" style="205" hidden="1" customWidth="1"/>
    <col min="3" max="3" width="1.7109375" style="205" hidden="1" customWidth="1"/>
    <col min="4" max="5" width="1.140625" style="205" hidden="1" customWidth="1"/>
    <col min="6" max="6" width="1.7109375" style="205" hidden="1" customWidth="1"/>
    <col min="7" max="7" width="2" style="205" hidden="1" customWidth="1"/>
    <col min="8" max="8" width="8.5703125" style="205" hidden="1" customWidth="1"/>
    <col min="9" max="9" width="1.140625" style="205" hidden="1" customWidth="1"/>
    <col min="10" max="10" width="22.5703125" style="205" customWidth="1"/>
    <col min="11" max="11" width="2.28515625" style="205" customWidth="1"/>
    <col min="12" max="12" width="1.7109375" style="205" customWidth="1"/>
    <col min="13" max="13" width="5.85546875" style="205" customWidth="1"/>
    <col min="14" max="14" width="30.7109375" style="205" customWidth="1"/>
    <col min="15" max="16" width="16.42578125" style="205" hidden="1" customWidth="1"/>
    <col min="17" max="17" width="21.85546875" style="205" customWidth="1"/>
    <col min="18" max="18" width="8.28515625" style="205" customWidth="1"/>
    <col min="19" max="19" width="8" style="205" customWidth="1"/>
    <col min="20" max="20" width="11" style="205" bestFit="1" customWidth="1"/>
    <col min="21" max="21" width="11" style="205" customWidth="1"/>
    <col min="22" max="22" width="11" style="331" customWidth="1"/>
    <col min="23" max="31" width="15.85546875" style="205" hidden="1" customWidth="1"/>
    <col min="32" max="32" width="18.28515625" style="205" hidden="1" customWidth="1"/>
    <col min="33" max="34" width="15.85546875" style="205" hidden="1" customWidth="1"/>
    <col min="35" max="35" width="22.42578125" style="335" customWidth="1"/>
    <col min="36" max="36" width="8" style="205" customWidth="1"/>
    <col min="37" max="37" width="24.28515625" style="336" customWidth="1"/>
    <col min="38" max="38" width="9.5703125" style="205" customWidth="1"/>
    <col min="39" max="39" width="6.85546875" style="205" customWidth="1"/>
    <col min="40" max="42" width="0" style="205" hidden="1" customWidth="1"/>
    <col min="43" max="43" width="9.140625" style="205"/>
    <col min="44" max="44" width="20.140625" style="205" bestFit="1" customWidth="1"/>
    <col min="45" max="45" width="15.85546875" style="205" bestFit="1" customWidth="1"/>
    <col min="46" max="16384" width="9.140625" style="205"/>
  </cols>
  <sheetData>
    <row r="1" spans="1:45" ht="13.5" customHeight="1" x14ac:dyDescent="0.25">
      <c r="A1" s="203"/>
      <c r="B1" s="646" t="s">
        <v>0</v>
      </c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C1" s="646"/>
      <c r="AD1" s="646"/>
      <c r="AE1" s="646"/>
      <c r="AF1" s="646"/>
      <c r="AG1" s="646"/>
      <c r="AH1" s="646"/>
      <c r="AI1" s="646"/>
      <c r="AJ1" s="646"/>
      <c r="AK1" s="646"/>
      <c r="AL1" s="646"/>
      <c r="AM1" s="646"/>
      <c r="AN1" s="204"/>
      <c r="AO1" s="204"/>
      <c r="AP1" s="204"/>
    </row>
    <row r="2" spans="1:45" s="206" customFormat="1" ht="13.5" customHeight="1" x14ac:dyDescent="0.25">
      <c r="A2" s="646" t="s">
        <v>541</v>
      </c>
      <c r="B2" s="646"/>
      <c r="C2" s="646"/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C2" s="646"/>
      <c r="AD2" s="646"/>
      <c r="AE2" s="646"/>
      <c r="AF2" s="646"/>
      <c r="AG2" s="646"/>
      <c r="AH2" s="646"/>
      <c r="AI2" s="646"/>
      <c r="AJ2" s="646"/>
      <c r="AK2" s="646"/>
      <c r="AL2" s="646"/>
      <c r="AM2" s="646"/>
    </row>
    <row r="3" spans="1:45" ht="13.5" customHeight="1" x14ac:dyDescent="0.25">
      <c r="A3" s="646" t="s">
        <v>630</v>
      </c>
      <c r="B3" s="646"/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C3" s="646"/>
      <c r="AD3" s="646"/>
      <c r="AE3" s="646"/>
      <c r="AF3" s="646"/>
      <c r="AG3" s="646"/>
      <c r="AH3" s="646"/>
      <c r="AI3" s="646"/>
      <c r="AJ3" s="646"/>
      <c r="AK3" s="646"/>
      <c r="AL3" s="646"/>
      <c r="AM3" s="646"/>
      <c r="AN3" s="646"/>
      <c r="AO3" s="646"/>
      <c r="AP3" s="204"/>
    </row>
    <row r="4" spans="1:45" ht="13.5" customHeight="1" x14ac:dyDescent="0.25">
      <c r="A4" s="203" t="s">
        <v>426</v>
      </c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3"/>
      <c r="S4" s="203"/>
      <c r="T4" s="204"/>
      <c r="U4" s="204"/>
      <c r="V4" s="208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9"/>
      <c r="AL4" s="204"/>
      <c r="AM4" s="204"/>
      <c r="AN4" s="204"/>
      <c r="AO4" s="204"/>
      <c r="AP4" s="204"/>
    </row>
    <row r="5" spans="1:45" ht="13.5" customHeight="1" x14ac:dyDescent="0.25">
      <c r="A5" s="497" t="s">
        <v>1</v>
      </c>
      <c r="B5" s="497" t="s">
        <v>56</v>
      </c>
      <c r="C5" s="497"/>
      <c r="D5" s="497"/>
      <c r="E5" s="497"/>
      <c r="F5" s="497"/>
      <c r="G5" s="497"/>
      <c r="H5" s="497"/>
      <c r="I5" s="497"/>
      <c r="J5" s="498" t="s">
        <v>192</v>
      </c>
      <c r="K5" s="497" t="s">
        <v>2</v>
      </c>
      <c r="L5" s="497"/>
      <c r="M5" s="497"/>
      <c r="N5" s="497"/>
      <c r="O5" s="497" t="s">
        <v>57</v>
      </c>
      <c r="P5" s="498" t="s">
        <v>58</v>
      </c>
      <c r="Q5" s="497" t="s">
        <v>3</v>
      </c>
      <c r="R5" s="497" t="s">
        <v>4</v>
      </c>
      <c r="S5" s="497" t="s">
        <v>59</v>
      </c>
      <c r="T5" s="505" t="s">
        <v>60</v>
      </c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0"/>
      <c r="AI5" s="506"/>
      <c r="AJ5" s="497" t="s">
        <v>5</v>
      </c>
      <c r="AK5" s="511" t="s">
        <v>61</v>
      </c>
      <c r="AL5" s="497" t="s">
        <v>5</v>
      </c>
      <c r="AM5" s="497" t="s">
        <v>62</v>
      </c>
      <c r="AN5" s="497" t="s">
        <v>63</v>
      </c>
      <c r="AO5" s="497" t="s">
        <v>64</v>
      </c>
      <c r="AP5" s="497" t="s">
        <v>62</v>
      </c>
    </row>
    <row r="6" spans="1:45" ht="13.5" customHeight="1" x14ac:dyDescent="0.25">
      <c r="A6" s="497"/>
      <c r="B6" s="497"/>
      <c r="C6" s="497"/>
      <c r="D6" s="497"/>
      <c r="E6" s="497"/>
      <c r="F6" s="497"/>
      <c r="G6" s="497"/>
      <c r="H6" s="497"/>
      <c r="I6" s="497"/>
      <c r="J6" s="499"/>
      <c r="K6" s="497"/>
      <c r="L6" s="497"/>
      <c r="M6" s="497"/>
      <c r="N6" s="497"/>
      <c r="O6" s="497"/>
      <c r="P6" s="499"/>
      <c r="Q6" s="497"/>
      <c r="R6" s="497"/>
      <c r="S6" s="497"/>
      <c r="T6" s="505" t="s">
        <v>65</v>
      </c>
      <c r="U6" s="506"/>
      <c r="V6" s="507" t="s">
        <v>66</v>
      </c>
      <c r="W6" s="498" t="s">
        <v>67</v>
      </c>
      <c r="X6" s="498" t="s">
        <v>68</v>
      </c>
      <c r="Y6" s="498" t="s">
        <v>69</v>
      </c>
      <c r="Z6" s="498" t="s">
        <v>70</v>
      </c>
      <c r="AA6" s="498" t="s">
        <v>71</v>
      </c>
      <c r="AB6" s="498" t="s">
        <v>72</v>
      </c>
      <c r="AC6" s="498" t="s">
        <v>73</v>
      </c>
      <c r="AD6" s="498" t="s">
        <v>74</v>
      </c>
      <c r="AE6" s="498" t="s">
        <v>75</v>
      </c>
      <c r="AF6" s="498" t="s">
        <v>76</v>
      </c>
      <c r="AG6" s="498" t="s">
        <v>77</v>
      </c>
      <c r="AH6" s="498" t="s">
        <v>78</v>
      </c>
      <c r="AI6" s="498" t="s">
        <v>79</v>
      </c>
      <c r="AJ6" s="497"/>
      <c r="AK6" s="511"/>
      <c r="AL6" s="497"/>
      <c r="AM6" s="497"/>
      <c r="AN6" s="497"/>
      <c r="AO6" s="497"/>
      <c r="AP6" s="497"/>
    </row>
    <row r="7" spans="1:45" ht="34.5" customHeight="1" x14ac:dyDescent="0.25">
      <c r="A7" s="497"/>
      <c r="B7" s="497"/>
      <c r="C7" s="497"/>
      <c r="D7" s="497"/>
      <c r="E7" s="497"/>
      <c r="F7" s="497"/>
      <c r="G7" s="497"/>
      <c r="H7" s="497"/>
      <c r="I7" s="497"/>
      <c r="J7" s="500"/>
      <c r="K7" s="497"/>
      <c r="L7" s="497"/>
      <c r="M7" s="497"/>
      <c r="N7" s="497"/>
      <c r="O7" s="497"/>
      <c r="P7" s="500"/>
      <c r="Q7" s="497"/>
      <c r="R7" s="497"/>
      <c r="S7" s="497"/>
      <c r="T7" s="339" t="s">
        <v>80</v>
      </c>
      <c r="U7" s="339" t="s">
        <v>6</v>
      </c>
      <c r="V7" s="508"/>
      <c r="W7" s="500"/>
      <c r="X7" s="500"/>
      <c r="Y7" s="500"/>
      <c r="Z7" s="500"/>
      <c r="AA7" s="500"/>
      <c r="AB7" s="500"/>
      <c r="AC7" s="500"/>
      <c r="AD7" s="500"/>
      <c r="AE7" s="500"/>
      <c r="AF7" s="500"/>
      <c r="AG7" s="500"/>
      <c r="AH7" s="500"/>
      <c r="AI7" s="500"/>
      <c r="AJ7" s="497"/>
      <c r="AK7" s="511"/>
      <c r="AL7" s="497"/>
      <c r="AM7" s="497"/>
      <c r="AN7" s="497"/>
      <c r="AO7" s="497"/>
      <c r="AP7" s="497"/>
    </row>
    <row r="8" spans="1:45" s="210" customFormat="1" ht="13.5" customHeight="1" x14ac:dyDescent="0.25">
      <c r="A8" s="340">
        <v>1</v>
      </c>
      <c r="B8" s="509">
        <v>2</v>
      </c>
      <c r="C8" s="509"/>
      <c r="D8" s="509"/>
      <c r="E8" s="509"/>
      <c r="F8" s="509"/>
      <c r="G8" s="509"/>
      <c r="H8" s="509"/>
      <c r="I8" s="509"/>
      <c r="J8" s="340"/>
      <c r="K8" s="509">
        <v>2</v>
      </c>
      <c r="L8" s="509"/>
      <c r="M8" s="509"/>
      <c r="N8" s="509"/>
      <c r="O8" s="340">
        <v>3</v>
      </c>
      <c r="P8" s="340">
        <v>3</v>
      </c>
      <c r="Q8" s="340">
        <v>4</v>
      </c>
      <c r="R8" s="340">
        <v>5</v>
      </c>
      <c r="S8" s="340">
        <v>6</v>
      </c>
      <c r="T8" s="340">
        <v>7</v>
      </c>
      <c r="U8" s="340" t="s">
        <v>81</v>
      </c>
      <c r="V8" s="107" t="s">
        <v>82</v>
      </c>
      <c r="W8" s="340"/>
      <c r="X8" s="340"/>
      <c r="Y8" s="340"/>
      <c r="Z8" s="340"/>
      <c r="AA8" s="340"/>
      <c r="AB8" s="340"/>
      <c r="AC8" s="340"/>
      <c r="AD8" s="340"/>
      <c r="AE8" s="340"/>
      <c r="AF8" s="340"/>
      <c r="AG8" s="340"/>
      <c r="AH8" s="340"/>
      <c r="AI8" s="340">
        <v>10</v>
      </c>
      <c r="AJ8" s="340" t="s">
        <v>83</v>
      </c>
      <c r="AK8" s="131" t="s">
        <v>84</v>
      </c>
      <c r="AL8" s="340" t="s">
        <v>85</v>
      </c>
      <c r="AM8" s="340">
        <v>14</v>
      </c>
      <c r="AN8" s="340"/>
      <c r="AO8" s="340"/>
      <c r="AP8" s="340">
        <v>12</v>
      </c>
    </row>
    <row r="9" spans="1:45" ht="13.5" customHeight="1" thickBot="1" x14ac:dyDescent="0.3">
      <c r="A9" s="211" t="s">
        <v>544</v>
      </c>
      <c r="B9" s="212"/>
      <c r="C9" s="212"/>
      <c r="D9" s="212"/>
      <c r="E9" s="212"/>
      <c r="F9" s="212"/>
      <c r="G9" s="212"/>
      <c r="H9" s="212"/>
      <c r="I9" s="213"/>
      <c r="J9" s="212"/>
      <c r="K9" s="214"/>
      <c r="L9" s="212"/>
      <c r="M9" s="212"/>
      <c r="N9" s="213"/>
      <c r="O9" s="211"/>
      <c r="P9" s="211"/>
      <c r="Q9" s="211"/>
      <c r="R9" s="211"/>
      <c r="S9" s="211"/>
      <c r="T9" s="211"/>
      <c r="U9" s="211"/>
      <c r="V9" s="215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 t="s">
        <v>215</v>
      </c>
      <c r="AJ9" s="211"/>
      <c r="AK9" s="216"/>
      <c r="AL9" s="211"/>
      <c r="AM9" s="211"/>
      <c r="AN9" s="217"/>
      <c r="AO9" s="217"/>
      <c r="AP9" s="217"/>
    </row>
    <row r="10" spans="1:45" s="226" customFormat="1" ht="29.25" customHeight="1" thickTop="1" thickBot="1" x14ac:dyDescent="0.3">
      <c r="A10" s="218"/>
      <c r="B10" s="643" t="s">
        <v>86</v>
      </c>
      <c r="C10" s="644"/>
      <c r="D10" s="644"/>
      <c r="E10" s="644"/>
      <c r="F10" s="644"/>
      <c r="G10" s="644"/>
      <c r="H10" s="644"/>
      <c r="I10" s="645"/>
      <c r="J10" s="357" t="s">
        <v>193</v>
      </c>
      <c r="K10" s="220"/>
      <c r="L10" s="644" t="s">
        <v>87</v>
      </c>
      <c r="M10" s="644"/>
      <c r="N10" s="645"/>
      <c r="O10" s="221">
        <f>SUM(O14,O24,O26)</f>
        <v>57230250000</v>
      </c>
      <c r="P10" s="221">
        <f>SUM(P14,P24,P26)</f>
        <v>57230250000</v>
      </c>
      <c r="Q10" s="221">
        <f>SUM(Q14,Q24,Q26)</f>
        <v>124313865783</v>
      </c>
      <c r="R10" s="222">
        <f>Q10/Q10*100</f>
        <v>100</v>
      </c>
      <c r="S10" s="221">
        <f>S14</f>
        <v>100</v>
      </c>
      <c r="T10" s="221">
        <f>SUM(AJ10)</f>
        <v>22.305841939147541</v>
      </c>
      <c r="U10" s="221">
        <f>AJ10</f>
        <v>22.305841939147541</v>
      </c>
      <c r="V10" s="223">
        <f>S10-T10</f>
        <v>77.694158060852459</v>
      </c>
      <c r="W10" s="221">
        <f t="shared" ref="W10:AI10" si="0">SUM(W14,W24,W26)</f>
        <v>0</v>
      </c>
      <c r="X10" s="221" t="e">
        <f t="shared" si="0"/>
        <v>#REF!</v>
      </c>
      <c r="Y10" s="221" t="e">
        <f t="shared" si="0"/>
        <v>#REF!</v>
      </c>
      <c r="Z10" s="221" t="e">
        <f t="shared" si="0"/>
        <v>#REF!</v>
      </c>
      <c r="AA10" s="221" t="e">
        <f t="shared" si="0"/>
        <v>#REF!</v>
      </c>
      <c r="AB10" s="221">
        <f t="shared" si="0"/>
        <v>33313624753</v>
      </c>
      <c r="AC10" s="221" t="e">
        <f t="shared" si="0"/>
        <v>#REF!</v>
      </c>
      <c r="AD10" s="221" t="e">
        <f t="shared" si="0"/>
        <v>#REF!</v>
      </c>
      <c r="AE10" s="221" t="e">
        <f t="shared" si="0"/>
        <v>#REF!</v>
      </c>
      <c r="AF10" s="221" t="e">
        <f t="shared" si="0"/>
        <v>#REF!</v>
      </c>
      <c r="AG10" s="221" t="e">
        <f t="shared" si="0"/>
        <v>#REF!</v>
      </c>
      <c r="AH10" s="221">
        <f t="shared" si="0"/>
        <v>78185513265</v>
      </c>
      <c r="AI10" s="221">
        <f t="shared" si="0"/>
        <v>27729254410</v>
      </c>
      <c r="AJ10" s="224">
        <f>AI10/Q10*100</f>
        <v>22.305841939147541</v>
      </c>
      <c r="AK10" s="225">
        <f>SUM(AK14,AK24,AK26)</f>
        <v>96584611373</v>
      </c>
      <c r="AL10" s="224">
        <f>AK10/Q10*100</f>
        <v>77.694158060852459</v>
      </c>
      <c r="AM10" s="224"/>
    </row>
    <row r="11" spans="1:45" s="235" customFormat="1" ht="13.5" customHeight="1" thickTop="1" thickBot="1" x14ac:dyDescent="0.3">
      <c r="A11" s="227"/>
      <c r="B11" s="346"/>
      <c r="C11" s="346"/>
      <c r="D11" s="346"/>
      <c r="E11" s="346"/>
      <c r="F11" s="346"/>
      <c r="G11" s="346"/>
      <c r="H11" s="346"/>
      <c r="I11" s="345"/>
      <c r="J11" s="346"/>
      <c r="K11" s="230"/>
      <c r="L11" s="346"/>
      <c r="M11" s="346"/>
      <c r="N11" s="345"/>
      <c r="O11" s="231"/>
      <c r="P11" s="231"/>
      <c r="Q11" s="231"/>
      <c r="R11" s="231"/>
      <c r="S11" s="231"/>
      <c r="T11" s="231"/>
      <c r="U11" s="231"/>
      <c r="V11" s="232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3"/>
      <c r="AK11" s="234"/>
      <c r="AL11" s="233"/>
      <c r="AM11" s="233"/>
    </row>
    <row r="12" spans="1:45" s="226" customFormat="1" ht="29.25" customHeight="1" thickTop="1" thickBot="1" x14ac:dyDescent="0.3">
      <c r="A12" s="218"/>
      <c r="B12" s="643" t="s">
        <v>86</v>
      </c>
      <c r="C12" s="644"/>
      <c r="D12" s="644"/>
      <c r="E12" s="644"/>
      <c r="F12" s="644"/>
      <c r="G12" s="644"/>
      <c r="H12" s="644"/>
      <c r="I12" s="645"/>
      <c r="J12" s="357" t="s">
        <v>194</v>
      </c>
      <c r="K12" s="220"/>
      <c r="L12" s="644" t="s">
        <v>195</v>
      </c>
      <c r="M12" s="644"/>
      <c r="N12" s="645"/>
      <c r="O12" s="221" t="e">
        <f>SUM(#REF!,O26,O32)</f>
        <v>#REF!</v>
      </c>
      <c r="P12" s="221" t="e">
        <f>SUM(#REF!,P26,P32)</f>
        <v>#REF!</v>
      </c>
      <c r="Q12" s="221">
        <f>SUM(Q14+Q24+Q26)</f>
        <v>124313865783</v>
      </c>
      <c r="R12" s="222">
        <f>Q12/Q12*100</f>
        <v>100</v>
      </c>
      <c r="S12" s="221">
        <v>100</v>
      </c>
      <c r="T12" s="221">
        <f>SUM(AJ12)</f>
        <v>22.305841939147541</v>
      </c>
      <c r="U12" s="221">
        <f>AJ12</f>
        <v>22.305841939147541</v>
      </c>
      <c r="V12" s="223">
        <f>S12-T12</f>
        <v>77.694158060852459</v>
      </c>
      <c r="W12" s="221">
        <f t="shared" ref="W12:AH12" si="1">SUM(W16,W26,W32)</f>
        <v>0</v>
      </c>
      <c r="X12" s="221" t="e">
        <f t="shared" si="1"/>
        <v>#REF!</v>
      </c>
      <c r="Y12" s="221" t="e">
        <f t="shared" si="1"/>
        <v>#REF!</v>
      </c>
      <c r="Z12" s="221" t="e">
        <f t="shared" si="1"/>
        <v>#REF!</v>
      </c>
      <c r="AA12" s="221" t="e">
        <f t="shared" si="1"/>
        <v>#REF!</v>
      </c>
      <c r="AB12" s="221">
        <f t="shared" si="1"/>
        <v>5549197752</v>
      </c>
      <c r="AC12" s="221" t="e">
        <f t="shared" si="1"/>
        <v>#REF!</v>
      </c>
      <c r="AD12" s="221" t="e">
        <f t="shared" si="1"/>
        <v>#REF!</v>
      </c>
      <c r="AE12" s="221" t="e">
        <f t="shared" si="1"/>
        <v>#REF!</v>
      </c>
      <c r="AF12" s="221" t="e">
        <f t="shared" si="1"/>
        <v>#REF!</v>
      </c>
      <c r="AG12" s="221" t="e">
        <f t="shared" si="1"/>
        <v>#REF!</v>
      </c>
      <c r="AH12" s="221">
        <f t="shared" si="1"/>
        <v>11081028822</v>
      </c>
      <c r="AI12" s="221">
        <f>SUM(AI14+AI24+AI26)</f>
        <v>27729254410</v>
      </c>
      <c r="AJ12" s="224">
        <f>AI12/Q12*100</f>
        <v>22.305841939147541</v>
      </c>
      <c r="AK12" s="225">
        <f>SUM(AK14+AK24+AK26)</f>
        <v>96584611373</v>
      </c>
      <c r="AL12" s="224">
        <f>AK12/Q12*100</f>
        <v>77.694158060852459</v>
      </c>
      <c r="AM12" s="224"/>
    </row>
    <row r="13" spans="1:45" s="235" customFormat="1" ht="13.5" customHeight="1" thickTop="1" x14ac:dyDescent="0.25">
      <c r="A13" s="227"/>
      <c r="B13" s="346"/>
      <c r="C13" s="346"/>
      <c r="D13" s="346"/>
      <c r="E13" s="346"/>
      <c r="F13" s="346"/>
      <c r="G13" s="346"/>
      <c r="H13" s="346"/>
      <c r="I13" s="345"/>
      <c r="J13" s="346"/>
      <c r="K13" s="230"/>
      <c r="L13" s="346"/>
      <c r="M13" s="346"/>
      <c r="N13" s="345"/>
      <c r="O13" s="231"/>
      <c r="P13" s="231"/>
      <c r="Q13" s="231"/>
      <c r="R13" s="231"/>
      <c r="S13" s="231"/>
      <c r="T13" s="231"/>
      <c r="U13" s="231"/>
      <c r="V13" s="232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3"/>
      <c r="AK13" s="234"/>
      <c r="AL13" s="233"/>
      <c r="AM13" s="233"/>
    </row>
    <row r="14" spans="1:45" s="226" customFormat="1" ht="28.5" customHeight="1" x14ac:dyDescent="0.25">
      <c r="A14" s="236" t="s">
        <v>7</v>
      </c>
      <c r="B14" s="642" t="s">
        <v>88</v>
      </c>
      <c r="C14" s="626"/>
      <c r="D14" s="626"/>
      <c r="E14" s="626"/>
      <c r="F14" s="626"/>
      <c r="G14" s="626"/>
      <c r="H14" s="626"/>
      <c r="I14" s="627"/>
      <c r="J14" s="348" t="s">
        <v>213</v>
      </c>
      <c r="K14" s="238"/>
      <c r="L14" s="626" t="s">
        <v>89</v>
      </c>
      <c r="M14" s="626"/>
      <c r="N14" s="627"/>
      <c r="O14" s="239">
        <v>53000250000</v>
      </c>
      <c r="P14" s="239">
        <f>O14</f>
        <v>53000250000</v>
      </c>
      <c r="Q14" s="239">
        <f>SUM(Q15:Q23)</f>
        <v>114000000000</v>
      </c>
      <c r="R14" s="240">
        <f>Q14/Q14*100</f>
        <v>100</v>
      </c>
      <c r="S14" s="240">
        <v>100</v>
      </c>
      <c r="T14" s="239">
        <f>AJ14</f>
        <v>15.390177225438597</v>
      </c>
      <c r="U14" s="239">
        <f>SUM(R14*T14)</f>
        <v>1539.0177225438597</v>
      </c>
      <c r="V14" s="241">
        <f>S14-T14</f>
        <v>84.609822774561408</v>
      </c>
      <c r="W14" s="239"/>
      <c r="X14" s="239" t="e">
        <f>#REF!</f>
        <v>#REF!</v>
      </c>
      <c r="Y14" s="239" t="e">
        <f>#REF!</f>
        <v>#REF!</v>
      </c>
      <c r="Z14" s="239" t="e">
        <f>#REF!</f>
        <v>#REF!</v>
      </c>
      <c r="AA14" s="239" t="e">
        <f>#REF!</f>
        <v>#REF!</v>
      </c>
      <c r="AB14" s="239">
        <v>27766121137</v>
      </c>
      <c r="AC14" s="239" t="e">
        <f>#REF!</f>
        <v>#REF!</v>
      </c>
      <c r="AD14" s="239" t="e">
        <f>#REF!</f>
        <v>#REF!</v>
      </c>
      <c r="AE14" s="239" t="e">
        <f>#REF!</f>
        <v>#REF!</v>
      </c>
      <c r="AF14" s="239" t="e">
        <f>[1]April!$N$12</f>
        <v>#REF!</v>
      </c>
      <c r="AG14" s="239" t="e">
        <f>[2]april!$N$12</f>
        <v>#REF!</v>
      </c>
      <c r="AH14" s="239">
        <f>'[3]DES SKPD'!$N$12</f>
        <v>67029484443</v>
      </c>
      <c r="AI14" s="239">
        <f>SUM(AI15:AI23)</f>
        <v>17544802037</v>
      </c>
      <c r="AJ14" s="240">
        <f t="shared" ref="AJ14:AJ27" si="2">AI14/Q14*100</f>
        <v>15.390177225438597</v>
      </c>
      <c r="AK14" s="242">
        <f>Q14-AI14</f>
        <v>96455197963</v>
      </c>
      <c r="AL14" s="240">
        <f t="shared" ref="AL14:AL27" si="3">AK14/Q14*100</f>
        <v>84.609822774561408</v>
      </c>
      <c r="AM14" s="236"/>
    </row>
    <row r="15" spans="1:45" ht="28.5" customHeight="1" x14ac:dyDescent="0.25">
      <c r="A15" s="243">
        <v>1</v>
      </c>
      <c r="B15" s="639" t="s">
        <v>90</v>
      </c>
      <c r="C15" s="597"/>
      <c r="D15" s="597"/>
      <c r="E15" s="597"/>
      <c r="F15" s="597"/>
      <c r="G15" s="597"/>
      <c r="H15" s="597"/>
      <c r="I15" s="598"/>
      <c r="J15" s="341" t="s">
        <v>355</v>
      </c>
      <c r="K15" s="245"/>
      <c r="L15" s="597" t="s">
        <v>389</v>
      </c>
      <c r="M15" s="597"/>
      <c r="N15" s="598"/>
      <c r="O15" s="180"/>
      <c r="P15" s="180"/>
      <c r="Q15" s="180">
        <v>4000000000</v>
      </c>
      <c r="R15" s="181">
        <f>Q15/Q$10*100</f>
        <v>3.2176619838870804</v>
      </c>
      <c r="S15" s="181">
        <v>100</v>
      </c>
      <c r="T15" s="180">
        <f>AJ15</f>
        <v>19.106319275000001</v>
      </c>
      <c r="U15" s="180">
        <f>R15*T15/100</f>
        <v>0.61477677183176471</v>
      </c>
      <c r="V15" s="182">
        <f t="shared" ref="V15:V26" si="4">S15-T15</f>
        <v>80.893680724999996</v>
      </c>
      <c r="W15" s="180"/>
      <c r="X15" s="180"/>
      <c r="Y15" s="180"/>
      <c r="Z15" s="180"/>
      <c r="AA15" s="180"/>
      <c r="AB15" s="180">
        <v>0</v>
      </c>
      <c r="AC15" s="180"/>
      <c r="AD15" s="180"/>
      <c r="AE15" s="180"/>
      <c r="AF15" s="180"/>
      <c r="AG15" s="180"/>
      <c r="AH15" s="180"/>
      <c r="AI15" s="180">
        <f>(431044330+333208441)</f>
        <v>764252771</v>
      </c>
      <c r="AJ15" s="181">
        <f t="shared" si="2"/>
        <v>19.106319275000001</v>
      </c>
      <c r="AK15" s="246">
        <f>SUM(Q15-AI15)</f>
        <v>3235747229</v>
      </c>
      <c r="AL15" s="181">
        <f t="shared" si="3"/>
        <v>80.893680724999996</v>
      </c>
      <c r="AM15" s="243"/>
      <c r="AR15" s="247">
        <v>114000000000</v>
      </c>
      <c r="AS15" s="248">
        <f>Q14-AR15</f>
        <v>0</v>
      </c>
    </row>
    <row r="16" spans="1:45" ht="28.5" customHeight="1" x14ac:dyDescent="0.25">
      <c r="A16" s="243">
        <v>2</v>
      </c>
      <c r="B16" s="639" t="s">
        <v>91</v>
      </c>
      <c r="C16" s="597"/>
      <c r="D16" s="597"/>
      <c r="E16" s="597"/>
      <c r="F16" s="597"/>
      <c r="G16" s="597"/>
      <c r="H16" s="597"/>
      <c r="I16" s="598"/>
      <c r="J16" s="341" t="s">
        <v>356</v>
      </c>
      <c r="K16" s="245"/>
      <c r="L16" s="597" t="s">
        <v>390</v>
      </c>
      <c r="M16" s="597"/>
      <c r="N16" s="598"/>
      <c r="O16" s="180"/>
      <c r="P16" s="180"/>
      <c r="Q16" s="180">
        <v>16748000000</v>
      </c>
      <c r="R16" s="181">
        <f t="shared" ref="R16:R25" si="5">Q16/Q$10*100</f>
        <v>13.472350726535204</v>
      </c>
      <c r="S16" s="181">
        <v>100</v>
      </c>
      <c r="T16" s="180">
        <f>AJ16</f>
        <v>22.037241766181037</v>
      </c>
      <c r="U16" s="180">
        <f>R16*T16/100</f>
        <v>2.9689345011944099</v>
      </c>
      <c r="V16" s="182">
        <f t="shared" si="4"/>
        <v>77.96275823381896</v>
      </c>
      <c r="W16" s="180"/>
      <c r="X16" s="180"/>
      <c r="Y16" s="180"/>
      <c r="Z16" s="180"/>
      <c r="AA16" s="180"/>
      <c r="AB16" s="180">
        <v>0</v>
      </c>
      <c r="AC16" s="180"/>
      <c r="AD16" s="180"/>
      <c r="AE16" s="180"/>
      <c r="AF16" s="180"/>
      <c r="AG16" s="180"/>
      <c r="AH16" s="180"/>
      <c r="AI16" s="180">
        <f>(1914892402+1775904849)</f>
        <v>3690797251</v>
      </c>
      <c r="AJ16" s="181">
        <f t="shared" si="2"/>
        <v>22.037241766181037</v>
      </c>
      <c r="AK16" s="246">
        <f t="shared" ref="AK16:AK31" si="6">SUM(Q16-AI16)</f>
        <v>13057202749</v>
      </c>
      <c r="AL16" s="249">
        <f t="shared" si="3"/>
        <v>77.96275823381896</v>
      </c>
      <c r="AM16" s="243"/>
    </row>
    <row r="17" spans="1:39" ht="28.5" customHeight="1" x14ac:dyDescent="0.25">
      <c r="A17" s="243">
        <v>3</v>
      </c>
      <c r="B17" s="639" t="s">
        <v>92</v>
      </c>
      <c r="C17" s="597"/>
      <c r="D17" s="597"/>
      <c r="E17" s="597"/>
      <c r="F17" s="597"/>
      <c r="G17" s="597"/>
      <c r="H17" s="597"/>
      <c r="I17" s="598"/>
      <c r="J17" s="341" t="s">
        <v>357</v>
      </c>
      <c r="K17" s="245"/>
      <c r="L17" s="597" t="s">
        <v>391</v>
      </c>
      <c r="M17" s="597"/>
      <c r="N17" s="598"/>
      <c r="O17" s="180"/>
      <c r="P17" s="180"/>
      <c r="Q17" s="180">
        <v>714500000</v>
      </c>
      <c r="R17" s="181">
        <f t="shared" si="5"/>
        <v>0.57475487187182972</v>
      </c>
      <c r="S17" s="181">
        <v>100</v>
      </c>
      <c r="T17" s="180">
        <f>AJ17</f>
        <v>20.274397060881736</v>
      </c>
      <c r="U17" s="180">
        <f>R17*T17/100</f>
        <v>0.11652808485005683</v>
      </c>
      <c r="V17" s="182">
        <f t="shared" si="4"/>
        <v>79.725602939118261</v>
      </c>
      <c r="W17" s="180"/>
      <c r="X17" s="180"/>
      <c r="Y17" s="180"/>
      <c r="Z17" s="180"/>
      <c r="AA17" s="180"/>
      <c r="AB17" s="180">
        <v>0</v>
      </c>
      <c r="AC17" s="180"/>
      <c r="AD17" s="180"/>
      <c r="AE17" s="180"/>
      <c r="AF17" s="180"/>
      <c r="AG17" s="180"/>
      <c r="AH17" s="180"/>
      <c r="AI17" s="180">
        <f>(78879037+65981530)</f>
        <v>144860567</v>
      </c>
      <c r="AJ17" s="181">
        <f t="shared" si="2"/>
        <v>20.274397060881736</v>
      </c>
      <c r="AK17" s="246">
        <f t="shared" si="6"/>
        <v>569639433</v>
      </c>
      <c r="AL17" s="181">
        <f t="shared" si="3"/>
        <v>79.725602939118261</v>
      </c>
      <c r="AM17" s="243"/>
    </row>
    <row r="18" spans="1:39" ht="28.5" customHeight="1" x14ac:dyDescent="0.25">
      <c r="A18" s="243">
        <v>4</v>
      </c>
      <c r="B18" s="639" t="s">
        <v>93</v>
      </c>
      <c r="C18" s="597"/>
      <c r="D18" s="597"/>
      <c r="E18" s="597"/>
      <c r="F18" s="597"/>
      <c r="G18" s="597"/>
      <c r="H18" s="597"/>
      <c r="I18" s="598"/>
      <c r="J18" s="341" t="s">
        <v>358</v>
      </c>
      <c r="K18" s="245"/>
      <c r="L18" s="597" t="s">
        <v>392</v>
      </c>
      <c r="M18" s="597"/>
      <c r="N18" s="598"/>
      <c r="O18" s="180"/>
      <c r="P18" s="180"/>
      <c r="Q18" s="180">
        <v>4296000000</v>
      </c>
      <c r="R18" s="181">
        <f t="shared" si="5"/>
        <v>3.4557689706947241</v>
      </c>
      <c r="S18" s="181">
        <v>100</v>
      </c>
      <c r="T18" s="180">
        <f t="shared" ref="T18:T31" si="7">AJ18</f>
        <v>24.777979492551211</v>
      </c>
      <c r="U18" s="180">
        <f t="shared" ref="U18:U23" si="8">R18*T18/100</f>
        <v>0.85626972686868685</v>
      </c>
      <c r="V18" s="182">
        <f t="shared" si="4"/>
        <v>75.222020507448789</v>
      </c>
      <c r="W18" s="180"/>
      <c r="X18" s="180"/>
      <c r="Y18" s="180"/>
      <c r="Z18" s="180"/>
      <c r="AA18" s="180"/>
      <c r="AB18" s="180">
        <v>0</v>
      </c>
      <c r="AC18" s="180"/>
      <c r="AD18" s="180"/>
      <c r="AE18" s="180"/>
      <c r="AF18" s="180"/>
      <c r="AG18" s="180"/>
      <c r="AH18" s="180"/>
      <c r="AI18" s="180">
        <f>(583660366+480801633)</f>
        <v>1064461999</v>
      </c>
      <c r="AJ18" s="181">
        <f t="shared" si="2"/>
        <v>24.777979492551211</v>
      </c>
      <c r="AK18" s="246">
        <f t="shared" si="6"/>
        <v>3231538001</v>
      </c>
      <c r="AL18" s="249">
        <f t="shared" si="3"/>
        <v>75.222020507448789</v>
      </c>
      <c r="AM18" s="243"/>
    </row>
    <row r="19" spans="1:39" ht="28.5" customHeight="1" x14ac:dyDescent="0.25">
      <c r="A19" s="243">
        <v>5</v>
      </c>
      <c r="B19" s="639" t="s">
        <v>94</v>
      </c>
      <c r="C19" s="597"/>
      <c r="D19" s="597"/>
      <c r="E19" s="597"/>
      <c r="F19" s="597"/>
      <c r="G19" s="597"/>
      <c r="H19" s="597"/>
      <c r="I19" s="598"/>
      <c r="J19" s="341" t="s">
        <v>359</v>
      </c>
      <c r="K19" s="245"/>
      <c r="L19" s="597" t="s">
        <v>393</v>
      </c>
      <c r="M19" s="597"/>
      <c r="N19" s="598"/>
      <c r="O19" s="180"/>
      <c r="P19" s="180"/>
      <c r="Q19" s="180">
        <v>29977500000</v>
      </c>
      <c r="R19" s="181">
        <f t="shared" si="5"/>
        <v>24.114365530493735</v>
      </c>
      <c r="S19" s="181">
        <v>100</v>
      </c>
      <c r="T19" s="180">
        <f t="shared" si="7"/>
        <v>16.895788861646235</v>
      </c>
      <c r="U19" s="180">
        <f t="shared" si="8"/>
        <v>4.0743122853578191</v>
      </c>
      <c r="V19" s="182">
        <f t="shared" si="4"/>
        <v>83.104211138353762</v>
      </c>
      <c r="W19" s="180"/>
      <c r="X19" s="180"/>
      <c r="Y19" s="180"/>
      <c r="Z19" s="180"/>
      <c r="AA19" s="180"/>
      <c r="AB19" s="180">
        <v>0</v>
      </c>
      <c r="AC19" s="180"/>
      <c r="AD19" s="180"/>
      <c r="AE19" s="180"/>
      <c r="AF19" s="180"/>
      <c r="AG19" s="180"/>
      <c r="AH19" s="180"/>
      <c r="AI19" s="180">
        <f>(2568866323+2496068783)</f>
        <v>5064935106</v>
      </c>
      <c r="AJ19" s="181">
        <f t="shared" si="2"/>
        <v>16.895788861646235</v>
      </c>
      <c r="AK19" s="246">
        <f t="shared" si="6"/>
        <v>24912564894</v>
      </c>
      <c r="AL19" s="249">
        <f t="shared" si="3"/>
        <v>83.104211138353762</v>
      </c>
      <c r="AM19" s="243"/>
    </row>
    <row r="20" spans="1:39" ht="28.5" customHeight="1" x14ac:dyDescent="0.25">
      <c r="A20" s="243">
        <v>6</v>
      </c>
      <c r="B20" s="639" t="s">
        <v>95</v>
      </c>
      <c r="C20" s="597"/>
      <c r="D20" s="597"/>
      <c r="E20" s="597"/>
      <c r="F20" s="597"/>
      <c r="G20" s="597"/>
      <c r="H20" s="597"/>
      <c r="I20" s="598"/>
      <c r="J20" s="341" t="s">
        <v>360</v>
      </c>
      <c r="K20" s="245"/>
      <c r="L20" s="597" t="s">
        <v>394</v>
      </c>
      <c r="M20" s="597"/>
      <c r="N20" s="598"/>
      <c r="O20" s="180"/>
      <c r="P20" s="180"/>
      <c r="Q20" s="180">
        <v>900000000</v>
      </c>
      <c r="R20" s="181">
        <f t="shared" si="5"/>
        <v>0.72397394637459311</v>
      </c>
      <c r="S20" s="181">
        <v>100</v>
      </c>
      <c r="T20" s="180">
        <f t="shared" si="7"/>
        <v>23.194832666666667</v>
      </c>
      <c r="U20" s="180">
        <f t="shared" si="8"/>
        <v>0.16792454541184995</v>
      </c>
      <c r="V20" s="182">
        <f t="shared" si="4"/>
        <v>76.80516733333333</v>
      </c>
      <c r="W20" s="180"/>
      <c r="X20" s="180"/>
      <c r="Y20" s="180"/>
      <c r="Z20" s="180"/>
      <c r="AA20" s="180"/>
      <c r="AB20" s="180">
        <v>0</v>
      </c>
      <c r="AC20" s="180"/>
      <c r="AD20" s="180"/>
      <c r="AE20" s="180"/>
      <c r="AF20" s="180"/>
      <c r="AG20" s="180"/>
      <c r="AH20" s="180"/>
      <c r="AI20" s="180">
        <f>(106607217+102146277)</f>
        <v>208753494</v>
      </c>
      <c r="AJ20" s="181">
        <f t="shared" si="2"/>
        <v>23.194832666666667</v>
      </c>
      <c r="AK20" s="246">
        <f t="shared" si="6"/>
        <v>691246506</v>
      </c>
      <c r="AL20" s="181">
        <f t="shared" si="3"/>
        <v>76.80516733333333</v>
      </c>
      <c r="AM20" s="243"/>
    </row>
    <row r="21" spans="1:39" ht="28.5" customHeight="1" x14ac:dyDescent="0.25">
      <c r="A21" s="243">
        <v>7</v>
      </c>
      <c r="B21" s="639" t="s">
        <v>96</v>
      </c>
      <c r="C21" s="597"/>
      <c r="D21" s="597"/>
      <c r="E21" s="597"/>
      <c r="F21" s="597"/>
      <c r="G21" s="597"/>
      <c r="H21" s="597"/>
      <c r="I21" s="598"/>
      <c r="J21" s="341" t="s">
        <v>361</v>
      </c>
      <c r="K21" s="245"/>
      <c r="L21" s="597" t="s">
        <v>97</v>
      </c>
      <c r="M21" s="597"/>
      <c r="N21" s="598"/>
      <c r="O21" s="180"/>
      <c r="P21" s="180"/>
      <c r="Q21" s="180">
        <v>300000000</v>
      </c>
      <c r="R21" s="181">
        <f t="shared" si="5"/>
        <v>0.24132464879153101</v>
      </c>
      <c r="S21" s="181">
        <v>100</v>
      </c>
      <c r="T21" s="180">
        <f t="shared" si="7"/>
        <v>19.677907666666666</v>
      </c>
      <c r="U21" s="180">
        <f t="shared" si="8"/>
        <v>4.748764156610509E-2</v>
      </c>
      <c r="V21" s="182">
        <f t="shared" si="4"/>
        <v>80.32209233333333</v>
      </c>
      <c r="W21" s="180"/>
      <c r="X21" s="180"/>
      <c r="Y21" s="180"/>
      <c r="Z21" s="180"/>
      <c r="AA21" s="180"/>
      <c r="AB21" s="180">
        <v>0</v>
      </c>
      <c r="AC21" s="180"/>
      <c r="AD21" s="180"/>
      <c r="AE21" s="180"/>
      <c r="AF21" s="180"/>
      <c r="AG21" s="180"/>
      <c r="AH21" s="180"/>
      <c r="AI21" s="180">
        <f>(28657603+30376120)</f>
        <v>59033723</v>
      </c>
      <c r="AJ21" s="181">
        <f t="shared" si="2"/>
        <v>19.677907666666666</v>
      </c>
      <c r="AK21" s="246">
        <f t="shared" si="6"/>
        <v>240966277</v>
      </c>
      <c r="AL21" s="181">
        <f t="shared" si="3"/>
        <v>80.32209233333333</v>
      </c>
      <c r="AM21" s="243"/>
    </row>
    <row r="22" spans="1:39" ht="28.5" customHeight="1" x14ac:dyDescent="0.25">
      <c r="A22" s="243">
        <v>8</v>
      </c>
      <c r="B22" s="639" t="s">
        <v>98</v>
      </c>
      <c r="C22" s="597"/>
      <c r="D22" s="597"/>
      <c r="E22" s="597"/>
      <c r="F22" s="597"/>
      <c r="G22" s="597"/>
      <c r="H22" s="597"/>
      <c r="I22" s="598"/>
      <c r="J22" s="341" t="s">
        <v>362</v>
      </c>
      <c r="K22" s="245"/>
      <c r="L22" s="597" t="s">
        <v>363</v>
      </c>
      <c r="M22" s="597"/>
      <c r="N22" s="598"/>
      <c r="O22" s="180"/>
      <c r="P22" s="180"/>
      <c r="Q22" s="180">
        <v>22900000000</v>
      </c>
      <c r="R22" s="181">
        <f t="shared" si="5"/>
        <v>18.421114857753533</v>
      </c>
      <c r="S22" s="181">
        <v>100</v>
      </c>
      <c r="T22" s="180">
        <f t="shared" si="7"/>
        <v>4.1680726506550219</v>
      </c>
      <c r="U22" s="180">
        <f t="shared" si="8"/>
        <v>0.76780545033177372</v>
      </c>
      <c r="V22" s="182">
        <f t="shared" si="4"/>
        <v>95.83192734934498</v>
      </c>
      <c r="W22" s="180"/>
      <c r="X22" s="180"/>
      <c r="Y22" s="180"/>
      <c r="Z22" s="180"/>
      <c r="AA22" s="180"/>
      <c r="AB22" s="180">
        <v>0</v>
      </c>
      <c r="AC22" s="180"/>
      <c r="AD22" s="180"/>
      <c r="AE22" s="180"/>
      <c r="AF22" s="180"/>
      <c r="AG22" s="180"/>
      <c r="AH22" s="180"/>
      <c r="AI22" s="180">
        <f>(420432023+534056614)</f>
        <v>954488637</v>
      </c>
      <c r="AJ22" s="181">
        <f t="shared" si="2"/>
        <v>4.1680726506550219</v>
      </c>
      <c r="AK22" s="246">
        <f t="shared" si="6"/>
        <v>21945511363</v>
      </c>
      <c r="AL22" s="249">
        <f t="shared" si="3"/>
        <v>95.83192734934498</v>
      </c>
      <c r="AM22" s="243"/>
    </row>
    <row r="23" spans="1:39" ht="32.25" customHeight="1" x14ac:dyDescent="0.25">
      <c r="A23" s="243">
        <v>9</v>
      </c>
      <c r="B23" s="639" t="s">
        <v>99</v>
      </c>
      <c r="C23" s="597"/>
      <c r="D23" s="597"/>
      <c r="E23" s="597"/>
      <c r="F23" s="597"/>
      <c r="G23" s="597"/>
      <c r="H23" s="597"/>
      <c r="I23" s="598"/>
      <c r="J23" s="341" t="s">
        <v>364</v>
      </c>
      <c r="K23" s="245"/>
      <c r="L23" s="597" t="s">
        <v>100</v>
      </c>
      <c r="M23" s="597"/>
      <c r="N23" s="598"/>
      <c r="O23" s="180"/>
      <c r="P23" s="180"/>
      <c r="Q23" s="180">
        <v>34164000000</v>
      </c>
      <c r="R23" s="181">
        <f>Q23/Q$10*100</f>
        <v>27.482051004379553</v>
      </c>
      <c r="S23" s="181">
        <v>100</v>
      </c>
      <c r="T23" s="180">
        <f t="shared" si="7"/>
        <v>16.371673366701792</v>
      </c>
      <c r="U23" s="180">
        <f t="shared" si="8"/>
        <v>4.4992716249074096</v>
      </c>
      <c r="V23" s="182">
        <f>S23-T23</f>
        <v>83.628326633298201</v>
      </c>
      <c r="W23" s="180"/>
      <c r="X23" s="180"/>
      <c r="Y23" s="180"/>
      <c r="Z23" s="180"/>
      <c r="AA23" s="180"/>
      <c r="AB23" s="180">
        <v>0</v>
      </c>
      <c r="AC23" s="180"/>
      <c r="AD23" s="180"/>
      <c r="AE23" s="180"/>
      <c r="AF23" s="180"/>
      <c r="AG23" s="180"/>
      <c r="AH23" s="180"/>
      <c r="AI23" s="180">
        <f>(3105790473+2487428016)</f>
        <v>5593218489</v>
      </c>
      <c r="AJ23" s="181">
        <f t="shared" si="2"/>
        <v>16.371673366701792</v>
      </c>
      <c r="AK23" s="246">
        <f t="shared" si="6"/>
        <v>28570781511</v>
      </c>
      <c r="AL23" s="181">
        <f t="shared" si="3"/>
        <v>83.628326633298215</v>
      </c>
      <c r="AM23" s="243"/>
    </row>
    <row r="24" spans="1:39" s="226" customFormat="1" ht="27.75" customHeight="1" x14ac:dyDescent="0.25">
      <c r="A24" s="236" t="s">
        <v>8</v>
      </c>
      <c r="B24" s="642" t="s">
        <v>101</v>
      </c>
      <c r="C24" s="626"/>
      <c r="D24" s="626"/>
      <c r="E24" s="626"/>
      <c r="F24" s="626"/>
      <c r="G24" s="626"/>
      <c r="H24" s="626"/>
      <c r="I24" s="627"/>
      <c r="J24" s="348" t="s">
        <v>214</v>
      </c>
      <c r="K24" s="238"/>
      <c r="L24" s="626" t="s">
        <v>102</v>
      </c>
      <c r="M24" s="626"/>
      <c r="N24" s="627"/>
      <c r="O24" s="239">
        <v>80000000</v>
      </c>
      <c r="P24" s="239">
        <f>O24</f>
        <v>80000000</v>
      </c>
      <c r="Q24" s="239">
        <f>SUM(Q25)</f>
        <v>161362180</v>
      </c>
      <c r="R24" s="240">
        <f>Q24/Q24*100</f>
        <v>100</v>
      </c>
      <c r="S24" s="240">
        <v>100</v>
      </c>
      <c r="T24" s="239">
        <f t="shared" si="7"/>
        <v>28.259409980703037</v>
      </c>
      <c r="U24" s="239">
        <f>AJ24</f>
        <v>28.259409980703037</v>
      </c>
      <c r="V24" s="241">
        <f t="shared" si="4"/>
        <v>71.74059001929696</v>
      </c>
      <c r="W24" s="239"/>
      <c r="X24" s="239" t="e">
        <f>#REF!</f>
        <v>#REF!</v>
      </c>
      <c r="Y24" s="239" t="e">
        <f>#REF!</f>
        <v>#REF!</v>
      </c>
      <c r="Z24" s="239" t="e">
        <f>#REF!</f>
        <v>#REF!</v>
      </c>
      <c r="AA24" s="239" t="e">
        <f>#REF!</f>
        <v>#REF!</v>
      </c>
      <c r="AB24" s="239">
        <v>15000000</v>
      </c>
      <c r="AC24" s="239" t="e">
        <f>#REF!</f>
        <v>#REF!</v>
      </c>
      <c r="AD24" s="239" t="e">
        <f>#REF!</f>
        <v>#REF!</v>
      </c>
      <c r="AE24" s="239" t="e">
        <f>#REF!</f>
        <v>#REF!</v>
      </c>
      <c r="AF24" s="239" t="e">
        <f>[1]April!$N$13</f>
        <v>#REF!</v>
      </c>
      <c r="AG24" s="239" t="e">
        <f>[2]april!$N$13</f>
        <v>#REF!</v>
      </c>
      <c r="AH24" s="239">
        <f>'[3]DES SKPD'!$N$13</f>
        <v>75000000</v>
      </c>
      <c r="AI24" s="239">
        <f>SUM(AI25)</f>
        <v>45600000</v>
      </c>
      <c r="AJ24" s="240">
        <f t="shared" si="2"/>
        <v>28.259409980703037</v>
      </c>
      <c r="AK24" s="242">
        <f t="shared" si="6"/>
        <v>115762180</v>
      </c>
      <c r="AL24" s="240">
        <f t="shared" si="3"/>
        <v>71.740590019296974</v>
      </c>
      <c r="AM24" s="236"/>
    </row>
    <row r="25" spans="1:39" ht="21" customHeight="1" x14ac:dyDescent="0.25">
      <c r="A25" s="243">
        <v>10</v>
      </c>
      <c r="B25" s="639" t="s">
        <v>103</v>
      </c>
      <c r="C25" s="597"/>
      <c r="D25" s="597"/>
      <c r="E25" s="597"/>
      <c r="F25" s="597"/>
      <c r="G25" s="597"/>
      <c r="H25" s="597"/>
      <c r="I25" s="598"/>
      <c r="J25" s="341" t="s">
        <v>365</v>
      </c>
      <c r="K25" s="245"/>
      <c r="L25" s="597" t="s">
        <v>540</v>
      </c>
      <c r="M25" s="597"/>
      <c r="N25" s="598"/>
      <c r="O25" s="180"/>
      <c r="P25" s="180"/>
      <c r="Q25" s="180">
        <v>161362180</v>
      </c>
      <c r="R25" s="181">
        <f t="shared" si="5"/>
        <v>0.12980223805578603</v>
      </c>
      <c r="S25" s="181">
        <v>100</v>
      </c>
      <c r="T25" s="180">
        <f t="shared" si="7"/>
        <v>28.259409980703037</v>
      </c>
      <c r="U25" s="180">
        <f>R25*T25/100</f>
        <v>3.6681346616312713E-2</v>
      </c>
      <c r="V25" s="182">
        <f>S25-T25</f>
        <v>71.74059001929696</v>
      </c>
      <c r="W25" s="180"/>
      <c r="X25" s="180"/>
      <c r="Y25" s="180"/>
      <c r="Z25" s="180"/>
      <c r="AA25" s="180"/>
      <c r="AB25" s="180">
        <v>0</v>
      </c>
      <c r="AC25" s="231" t="e">
        <f>#REF!</f>
        <v>#REF!</v>
      </c>
      <c r="AD25" s="180"/>
      <c r="AE25" s="180"/>
      <c r="AF25" s="180"/>
      <c r="AG25" s="180"/>
      <c r="AH25" s="180"/>
      <c r="AI25" s="180">
        <f>(38400000+7200000)</f>
        <v>45600000</v>
      </c>
      <c r="AJ25" s="181">
        <f t="shared" si="2"/>
        <v>28.259409980703037</v>
      </c>
      <c r="AK25" s="246">
        <f t="shared" si="6"/>
        <v>115762180</v>
      </c>
      <c r="AL25" s="181">
        <f t="shared" si="3"/>
        <v>71.740590019296974</v>
      </c>
      <c r="AM25" s="243"/>
    </row>
    <row r="26" spans="1:39" s="226" customFormat="1" ht="27.75" customHeight="1" x14ac:dyDescent="0.25">
      <c r="A26" s="236" t="s">
        <v>29</v>
      </c>
      <c r="B26" s="642" t="s">
        <v>104</v>
      </c>
      <c r="C26" s="626"/>
      <c r="D26" s="626"/>
      <c r="E26" s="626"/>
      <c r="F26" s="626"/>
      <c r="G26" s="626"/>
      <c r="H26" s="626"/>
      <c r="I26" s="627"/>
      <c r="J26" s="348" t="s">
        <v>366</v>
      </c>
      <c r="K26" s="238"/>
      <c r="L26" s="626" t="s">
        <v>105</v>
      </c>
      <c r="M26" s="626"/>
      <c r="N26" s="627"/>
      <c r="O26" s="239">
        <v>4150000000</v>
      </c>
      <c r="P26" s="239">
        <f>O26</f>
        <v>4150000000</v>
      </c>
      <c r="Q26" s="239">
        <f>SUM(Q27:Q29)</f>
        <v>10152503603</v>
      </c>
      <c r="R26" s="240">
        <f>Q26/Q26*100</f>
        <v>100</v>
      </c>
      <c r="S26" s="240">
        <v>100</v>
      </c>
      <c r="T26" s="239">
        <f t="shared" si="7"/>
        <v>99.865538289531202</v>
      </c>
      <c r="U26" s="239">
        <f>AJ26</f>
        <v>99.865538289531202</v>
      </c>
      <c r="V26" s="241">
        <f t="shared" si="4"/>
        <v>0.1344617104687984</v>
      </c>
      <c r="W26" s="239"/>
      <c r="X26" s="239" t="e">
        <f>#REF!</f>
        <v>#REF!</v>
      </c>
      <c r="Y26" s="239" t="e">
        <f>#REF!</f>
        <v>#REF!</v>
      </c>
      <c r="Z26" s="239" t="e">
        <f>#REF!</f>
        <v>#REF!</v>
      </c>
      <c r="AA26" s="239" t="e">
        <f>#REF!</f>
        <v>#REF!</v>
      </c>
      <c r="AB26" s="239">
        <v>5532503616</v>
      </c>
      <c r="AC26" s="239" t="e">
        <f>#REF!</f>
        <v>#REF!</v>
      </c>
      <c r="AD26" s="239" t="e">
        <f>#REF!</f>
        <v>#REF!</v>
      </c>
      <c r="AE26" s="239" t="e">
        <f>#REF!</f>
        <v>#REF!</v>
      </c>
      <c r="AF26" s="239" t="e">
        <f>[1]April!$N$14</f>
        <v>#REF!</v>
      </c>
      <c r="AG26" s="239" t="e">
        <f>[2]april!$N$14</f>
        <v>#REF!</v>
      </c>
      <c r="AH26" s="239">
        <f>'[3]DES SKPD'!$N$14</f>
        <v>11081028822</v>
      </c>
      <c r="AI26" s="239">
        <f>SUM(AI27:AI32)</f>
        <v>10138852373</v>
      </c>
      <c r="AJ26" s="240">
        <f t="shared" si="2"/>
        <v>99.865538289531202</v>
      </c>
      <c r="AK26" s="250">
        <f>SUM(Q26-AI26)</f>
        <v>13651230</v>
      </c>
      <c r="AL26" s="240">
        <f t="shared" si="3"/>
        <v>0.13446171046879657</v>
      </c>
      <c r="AM26" s="236"/>
    </row>
    <row r="27" spans="1:39" ht="24.95" customHeight="1" x14ac:dyDescent="0.25">
      <c r="A27" s="243">
        <v>11</v>
      </c>
      <c r="B27" s="639" t="s">
        <v>106</v>
      </c>
      <c r="C27" s="597"/>
      <c r="D27" s="597"/>
      <c r="E27" s="597"/>
      <c r="F27" s="597"/>
      <c r="G27" s="597"/>
      <c r="H27" s="597"/>
      <c r="I27" s="598"/>
      <c r="J27" s="341" t="s">
        <v>367</v>
      </c>
      <c r="K27" s="245"/>
      <c r="L27" s="597" t="s">
        <v>107</v>
      </c>
      <c r="M27" s="597"/>
      <c r="N27" s="598"/>
      <c r="O27" s="180">
        <v>2869514353</v>
      </c>
      <c r="P27" s="180"/>
      <c r="Q27" s="180">
        <v>9463503603</v>
      </c>
      <c r="R27" s="181">
        <f t="shared" ref="R27" si="9">Q27/Q$10*100</f>
        <v>7.6125889444378787</v>
      </c>
      <c r="S27" s="181">
        <v>100</v>
      </c>
      <c r="T27" s="180">
        <f t="shared" si="7"/>
        <v>6.2814341277532453</v>
      </c>
      <c r="U27" s="180">
        <f t="shared" ref="U27:U31" si="10">R27*T27/100</f>
        <v>0.47817975996149142</v>
      </c>
      <c r="V27" s="182">
        <f>S27-T27</f>
        <v>93.718565872246756</v>
      </c>
      <c r="W27" s="180">
        <v>0</v>
      </c>
      <c r="X27" s="180">
        <v>0</v>
      </c>
      <c r="Y27" s="180">
        <f>[4]MARET!$N$14</f>
        <v>1079679809</v>
      </c>
      <c r="Z27" s="180">
        <v>3345735931</v>
      </c>
      <c r="AA27" s="180" t="e">
        <f>[5]maret!$Q$166</f>
        <v>#REF!</v>
      </c>
      <c r="AB27" s="180">
        <f>[6]JUNI!$S$166</f>
        <v>2116323666</v>
      </c>
      <c r="AC27" s="180"/>
      <c r="AD27" s="180"/>
      <c r="AE27" s="180"/>
      <c r="AF27" s="180"/>
      <c r="AG27" s="180"/>
      <c r="AH27" s="180"/>
      <c r="AI27" s="180">
        <f>(290269423+304174322)</f>
        <v>594443745</v>
      </c>
      <c r="AJ27" s="181">
        <f t="shared" si="2"/>
        <v>6.2814341277532453</v>
      </c>
      <c r="AK27" s="246">
        <f t="shared" si="6"/>
        <v>8869059858</v>
      </c>
      <c r="AL27" s="181">
        <f t="shared" si="3"/>
        <v>93.718565872246756</v>
      </c>
      <c r="AM27" s="243"/>
    </row>
    <row r="28" spans="1:39" ht="24.95" customHeight="1" x14ac:dyDescent="0.25">
      <c r="A28" s="243">
        <v>12</v>
      </c>
      <c r="B28" s="639" t="s">
        <v>108</v>
      </c>
      <c r="C28" s="597"/>
      <c r="D28" s="597"/>
      <c r="E28" s="597"/>
      <c r="F28" s="597"/>
      <c r="G28" s="597"/>
      <c r="H28" s="597"/>
      <c r="I28" s="598"/>
      <c r="J28" s="341"/>
      <c r="K28" s="245"/>
      <c r="L28" s="597" t="s">
        <v>110</v>
      </c>
      <c r="M28" s="597"/>
      <c r="N28" s="598"/>
      <c r="O28" s="180"/>
      <c r="P28" s="180"/>
      <c r="Q28" s="180"/>
      <c r="R28" s="181">
        <f>AI28/Q$10*100</f>
        <v>7.573749853001142</v>
      </c>
      <c r="S28" s="181">
        <v>0</v>
      </c>
      <c r="T28" s="180">
        <f>AJ28</f>
        <v>0</v>
      </c>
      <c r="U28" s="180">
        <f>R28*T28/100</f>
        <v>0</v>
      </c>
      <c r="V28" s="182">
        <f>T28-S28</f>
        <v>0</v>
      </c>
      <c r="W28" s="180">
        <v>0</v>
      </c>
      <c r="X28" s="180">
        <v>0</v>
      </c>
      <c r="Y28" s="180" t="e">
        <f>'[7]LRA RINCIAN nBJEK'!$N$334</f>
        <v>#REF!</v>
      </c>
      <c r="Z28" s="180" t="e">
        <f>'[8]DPKD versi ekbang'!$P$334</f>
        <v>#REF!</v>
      </c>
      <c r="AA28" s="180" t="e">
        <f>[5]maret!$Q$224</f>
        <v>#REF!</v>
      </c>
      <c r="AB28" s="180">
        <f>[6]JUNI!$S$224</f>
        <v>1216233073</v>
      </c>
      <c r="AC28" s="180"/>
      <c r="AD28" s="180"/>
      <c r="AE28" s="180"/>
      <c r="AF28" s="180"/>
      <c r="AG28" s="180"/>
      <c r="AH28" s="180"/>
      <c r="AI28" s="180">
        <f xml:space="preserve"> (9193697642 + 221523585)</f>
        <v>9415221227</v>
      </c>
      <c r="AJ28" s="181">
        <v>0</v>
      </c>
      <c r="AK28" s="251">
        <f>SUM(Q28-AI28)</f>
        <v>-9415221227</v>
      </c>
      <c r="AL28" s="181">
        <v>0</v>
      </c>
      <c r="AM28" s="243"/>
    </row>
    <row r="29" spans="1:39" ht="24.95" customHeight="1" x14ac:dyDescent="0.25">
      <c r="A29" s="243">
        <v>13</v>
      </c>
      <c r="B29" s="639" t="s">
        <v>108</v>
      </c>
      <c r="C29" s="597"/>
      <c r="D29" s="597"/>
      <c r="E29" s="597"/>
      <c r="F29" s="597"/>
      <c r="G29" s="597"/>
      <c r="H29" s="597"/>
      <c r="I29" s="598"/>
      <c r="J29" s="341" t="s">
        <v>382</v>
      </c>
      <c r="K29" s="245"/>
      <c r="L29" s="597" t="s">
        <v>368</v>
      </c>
      <c r="M29" s="597"/>
      <c r="N29" s="598"/>
      <c r="O29" s="180"/>
      <c r="P29" s="180"/>
      <c r="Q29" s="180">
        <v>689000000</v>
      </c>
      <c r="R29" s="181">
        <f>AI29/Q$10*100</f>
        <v>6.4215112688512793E-2</v>
      </c>
      <c r="S29" s="181">
        <v>0</v>
      </c>
      <c r="T29" s="180">
        <f t="shared" si="7"/>
        <v>11.586108708272858</v>
      </c>
      <c r="U29" s="180">
        <f t="shared" si="10"/>
        <v>7.4400327632310106E-3</v>
      </c>
      <c r="V29" s="182">
        <f t="shared" ref="V29:V31" si="11">T29-S29</f>
        <v>11.586108708272858</v>
      </c>
      <c r="W29" s="180">
        <v>0</v>
      </c>
      <c r="X29" s="180">
        <v>0</v>
      </c>
      <c r="Y29" s="180" t="e">
        <f>'[7]LRA RINCIAN nBJEK'!$N$334</f>
        <v>#REF!</v>
      </c>
      <c r="Z29" s="180" t="e">
        <f>'[8]DPKD versi ekbang'!$P$334</f>
        <v>#REF!</v>
      </c>
      <c r="AA29" s="180" t="e">
        <f>[5]maret!$Q$265</f>
        <v>#REF!</v>
      </c>
      <c r="AB29" s="180">
        <f>[6]JUNI!$S$265</f>
        <v>727292590</v>
      </c>
      <c r="AC29" s="180"/>
      <c r="AD29" s="180"/>
      <c r="AE29" s="180"/>
      <c r="AF29" s="180"/>
      <c r="AG29" s="180"/>
      <c r="AH29" s="180"/>
      <c r="AI29" s="180">
        <f>(79828289+0)</f>
        <v>79828289</v>
      </c>
      <c r="AJ29" s="181">
        <f>AI29/Q29*100</f>
        <v>11.586108708272858</v>
      </c>
      <c r="AK29" s="246">
        <f t="shared" si="6"/>
        <v>609171711</v>
      </c>
      <c r="AL29" s="181">
        <f>AK29/Q29*100</f>
        <v>88.41389129172714</v>
      </c>
      <c r="AM29" s="243"/>
    </row>
    <row r="30" spans="1:39" ht="24.95" customHeight="1" thickBot="1" x14ac:dyDescent="0.3">
      <c r="A30" s="243">
        <v>14</v>
      </c>
      <c r="B30" s="636" t="s">
        <v>108</v>
      </c>
      <c r="C30" s="637"/>
      <c r="D30" s="637"/>
      <c r="E30" s="637"/>
      <c r="F30" s="637"/>
      <c r="G30" s="637"/>
      <c r="H30" s="637"/>
      <c r="I30" s="638"/>
      <c r="J30" s="341"/>
      <c r="K30" s="245"/>
      <c r="L30" s="597" t="s">
        <v>385</v>
      </c>
      <c r="M30" s="597"/>
      <c r="N30" s="598"/>
      <c r="O30" s="180"/>
      <c r="P30" s="180"/>
      <c r="Q30" s="180"/>
      <c r="R30" s="181">
        <f>Q30/Q$10*100</f>
        <v>0</v>
      </c>
      <c r="S30" s="181">
        <v>0</v>
      </c>
      <c r="T30" s="180">
        <f t="shared" si="7"/>
        <v>0</v>
      </c>
      <c r="U30" s="180">
        <f t="shared" si="10"/>
        <v>0</v>
      </c>
      <c r="V30" s="182">
        <f t="shared" si="11"/>
        <v>0</v>
      </c>
      <c r="W30" s="180">
        <v>0</v>
      </c>
      <c r="X30" s="180">
        <v>0</v>
      </c>
      <c r="Y30" s="180" t="e">
        <f>'[7]LRA RINCIAN nBJEK'!$N$334</f>
        <v>#REF!</v>
      </c>
      <c r="Z30" s="180" t="e">
        <f>'[8]DPKD versi ekbang'!$P$334</f>
        <v>#REF!</v>
      </c>
      <c r="AA30" s="180" t="e">
        <f>[5]maret!$Q$269</f>
        <v>#REF!</v>
      </c>
      <c r="AB30" s="180">
        <f>[6]JUNI!$S$269</f>
        <v>319903749</v>
      </c>
      <c r="AC30" s="180"/>
      <c r="AD30" s="180"/>
      <c r="AE30" s="180"/>
      <c r="AF30" s="180"/>
      <c r="AG30" s="180"/>
      <c r="AH30" s="180"/>
      <c r="AI30" s="180">
        <f>(0+20)</f>
        <v>20</v>
      </c>
      <c r="AJ30" s="181">
        <v>0</v>
      </c>
      <c r="AK30" s="251">
        <f t="shared" si="6"/>
        <v>-20</v>
      </c>
      <c r="AL30" s="181">
        <v>0</v>
      </c>
      <c r="AM30" s="243"/>
    </row>
    <row r="31" spans="1:39" ht="24.95" customHeight="1" thickTop="1" thickBot="1" x14ac:dyDescent="0.3">
      <c r="A31" s="243">
        <v>15</v>
      </c>
      <c r="B31" s="355"/>
      <c r="C31" s="355"/>
      <c r="D31" s="355"/>
      <c r="E31" s="355"/>
      <c r="F31" s="355"/>
      <c r="G31" s="355"/>
      <c r="H31" s="355"/>
      <c r="I31" s="356"/>
      <c r="J31" s="341"/>
      <c r="K31" s="245"/>
      <c r="L31" s="597" t="s">
        <v>384</v>
      </c>
      <c r="M31" s="597"/>
      <c r="N31" s="598"/>
      <c r="O31" s="180">
        <v>599994905</v>
      </c>
      <c r="P31" s="180"/>
      <c r="Q31" s="180"/>
      <c r="R31" s="181">
        <f>Q31/Q$10*100</f>
        <v>0</v>
      </c>
      <c r="S31" s="181">
        <v>0</v>
      </c>
      <c r="T31" s="180">
        <f t="shared" si="7"/>
        <v>0</v>
      </c>
      <c r="U31" s="180">
        <f t="shared" si="10"/>
        <v>0</v>
      </c>
      <c r="V31" s="182">
        <f t="shared" si="11"/>
        <v>0</v>
      </c>
      <c r="W31" s="180">
        <v>0</v>
      </c>
      <c r="X31" s="180">
        <v>0</v>
      </c>
      <c r="Y31" s="180" t="e">
        <f>'[7]LRA RINCIAN nBJEK'!$N$334</f>
        <v>#REF!</v>
      </c>
      <c r="Z31" s="180" t="e">
        <f>'[8]DPKD versi ekbang'!$P$334</f>
        <v>#REF!</v>
      </c>
      <c r="AA31" s="180" t="e">
        <f>[5]maret!$Q$269</f>
        <v>#REF!</v>
      </c>
      <c r="AB31" s="180">
        <f>[6]JUNI!$S$269</f>
        <v>319903749</v>
      </c>
      <c r="AC31" s="180"/>
      <c r="AD31" s="180"/>
      <c r="AE31" s="180"/>
      <c r="AF31" s="180"/>
      <c r="AG31" s="180"/>
      <c r="AH31" s="180"/>
      <c r="AI31" s="180">
        <f>(750000+0)</f>
        <v>750000</v>
      </c>
      <c r="AJ31" s="181">
        <v>0</v>
      </c>
      <c r="AK31" s="251">
        <f t="shared" si="6"/>
        <v>-750000</v>
      </c>
      <c r="AL31" s="181">
        <v>0</v>
      </c>
      <c r="AM31" s="243"/>
    </row>
    <row r="32" spans="1:39" ht="24.95" customHeight="1" thickTop="1" thickBot="1" x14ac:dyDescent="0.3">
      <c r="A32" s="243">
        <v>16</v>
      </c>
      <c r="B32" s="639" t="s">
        <v>108</v>
      </c>
      <c r="C32" s="597"/>
      <c r="D32" s="597"/>
      <c r="E32" s="597"/>
      <c r="F32" s="597"/>
      <c r="G32" s="597"/>
      <c r="H32" s="597"/>
      <c r="I32" s="598"/>
      <c r="J32" s="341"/>
      <c r="K32" s="245"/>
      <c r="L32" s="637" t="s">
        <v>109</v>
      </c>
      <c r="M32" s="637"/>
      <c r="N32" s="638"/>
      <c r="O32" s="180"/>
      <c r="P32" s="180"/>
      <c r="Q32" s="180"/>
      <c r="R32" s="181">
        <f>AI32/Q$10*100</f>
        <v>3.9101906849917399E-2</v>
      </c>
      <c r="S32" s="181">
        <v>0</v>
      </c>
      <c r="T32" s="180">
        <f>AJ32</f>
        <v>0</v>
      </c>
      <c r="U32" s="180">
        <f>R32*T32/100</f>
        <v>0</v>
      </c>
      <c r="V32" s="182">
        <f>T32-S32</f>
        <v>0</v>
      </c>
      <c r="W32" s="180">
        <v>0</v>
      </c>
      <c r="X32" s="180">
        <v>0</v>
      </c>
      <c r="Y32" s="180" t="e">
        <f>'[7]LRA RINCIAN nBJEK'!$N$334</f>
        <v>#REF!</v>
      </c>
      <c r="Z32" s="180" t="e">
        <f>'[8]DPKD versi ekbang'!$P$334</f>
        <v>#REF!</v>
      </c>
      <c r="AA32" s="180" t="e">
        <f>[5]maret!$Q$198</f>
        <v>#REF!</v>
      </c>
      <c r="AB32" s="180">
        <f>[6]JUNI!$S$198</f>
        <v>16694136</v>
      </c>
      <c r="AC32" s="180"/>
      <c r="AD32" s="180"/>
      <c r="AE32" s="180"/>
      <c r="AF32" s="180"/>
      <c r="AG32" s="180"/>
      <c r="AH32" s="180"/>
      <c r="AI32" s="180">
        <f>(20455657+28153435)</f>
        <v>48609092</v>
      </c>
      <c r="AJ32" s="181">
        <v>0</v>
      </c>
      <c r="AK32" s="251">
        <f>SUM(Q32-AI32)</f>
        <v>-48609092</v>
      </c>
      <c r="AL32" s="181">
        <v>0</v>
      </c>
      <c r="AM32" s="243"/>
    </row>
    <row r="33" spans="1:39" s="256" customFormat="1" ht="27.75" customHeight="1" thickTop="1" thickBot="1" x14ac:dyDescent="0.3">
      <c r="A33" s="218"/>
      <c r="B33" s="254"/>
      <c r="C33" s="254"/>
      <c r="D33" s="254"/>
      <c r="E33" s="254"/>
      <c r="F33" s="254"/>
      <c r="G33" s="254"/>
      <c r="H33" s="254"/>
      <c r="I33" s="255"/>
      <c r="J33" s="254" t="s">
        <v>211</v>
      </c>
      <c r="K33" s="220"/>
      <c r="L33" s="640" t="s">
        <v>9</v>
      </c>
      <c r="M33" s="640"/>
      <c r="N33" s="641"/>
      <c r="O33" s="221" t="e">
        <f>SUM(O35:O53)</f>
        <v>#REF!</v>
      </c>
      <c r="P33" s="221" t="e">
        <f>SUM(P35:P53)</f>
        <v>#REF!</v>
      </c>
      <c r="Q33" s="221">
        <f>SUM(Q35+Q53)</f>
        <v>31786252581</v>
      </c>
      <c r="R33" s="222">
        <f>Q33/Q33*100</f>
        <v>100</v>
      </c>
      <c r="S33" s="221">
        <f>S35</f>
        <v>100</v>
      </c>
      <c r="T33" s="221">
        <f>AJ33</f>
        <v>7.5203758131239145</v>
      </c>
      <c r="U33" s="221">
        <f>SUM(R33*T33/100)</f>
        <v>7.5203758131239145</v>
      </c>
      <c r="V33" s="223">
        <f>S33-T33</f>
        <v>92.47962418687608</v>
      </c>
      <c r="W33" s="221">
        <f t="shared" ref="W33:AH33" si="12">SUM(W35:W53)</f>
        <v>0</v>
      </c>
      <c r="X33" s="221" t="e">
        <f t="shared" si="12"/>
        <v>#REF!</v>
      </c>
      <c r="Y33" s="221" t="e">
        <f t="shared" si="12"/>
        <v>#REF!</v>
      </c>
      <c r="Z33" s="221" t="e">
        <f t="shared" si="12"/>
        <v>#REF!</v>
      </c>
      <c r="AA33" s="221" t="e">
        <f t="shared" si="12"/>
        <v>#REF!</v>
      </c>
      <c r="AB33" s="221">
        <f t="shared" si="12"/>
        <v>13148060099</v>
      </c>
      <c r="AC33" s="221" t="e">
        <f t="shared" si="12"/>
        <v>#REF!</v>
      </c>
      <c r="AD33" s="221" t="e">
        <f t="shared" si="12"/>
        <v>#REF!</v>
      </c>
      <c r="AE33" s="221" t="e">
        <f t="shared" si="12"/>
        <v>#REF!</v>
      </c>
      <c r="AF33" s="221" t="e">
        <f t="shared" si="12"/>
        <v>#REF!</v>
      </c>
      <c r="AG33" s="221" t="e">
        <f t="shared" si="12"/>
        <v>#REF!</v>
      </c>
      <c r="AH33" s="221" t="e">
        <f t="shared" si="12"/>
        <v>#REF!</v>
      </c>
      <c r="AI33" s="221">
        <f>SUM(AI36+AI53)</f>
        <v>2390445651</v>
      </c>
      <c r="AJ33" s="224">
        <f>AI33/Q33*100</f>
        <v>7.5203758131239145</v>
      </c>
      <c r="AK33" s="225">
        <f>SUM(AK36+AK53)</f>
        <v>29395806930</v>
      </c>
      <c r="AL33" s="224">
        <f>AK33/Q33*100</f>
        <v>92.47962418687608</v>
      </c>
      <c r="AM33" s="218"/>
    </row>
    <row r="34" spans="1:39" ht="13.5" customHeight="1" thickTop="1" x14ac:dyDescent="0.25">
      <c r="A34" s="243"/>
      <c r="B34" s="257"/>
      <c r="C34" s="257"/>
      <c r="D34" s="257"/>
      <c r="E34" s="257"/>
      <c r="F34" s="257"/>
      <c r="G34" s="257"/>
      <c r="H34" s="257"/>
      <c r="I34" s="258"/>
      <c r="J34" s="257"/>
      <c r="K34" s="245"/>
      <c r="L34" s="257"/>
      <c r="M34" s="257"/>
      <c r="N34" s="258"/>
      <c r="O34" s="243"/>
      <c r="P34" s="243"/>
      <c r="Q34" s="243"/>
      <c r="R34" s="243"/>
      <c r="S34" s="243"/>
      <c r="T34" s="243"/>
      <c r="U34" s="243"/>
      <c r="V34" s="182"/>
      <c r="W34" s="243"/>
      <c r="X34" s="243"/>
      <c r="Y34" s="243"/>
      <c r="Z34" s="243"/>
      <c r="AA34" s="243"/>
      <c r="AB34" s="243"/>
      <c r="AC34" s="243"/>
      <c r="AD34" s="243"/>
      <c r="AE34" s="243"/>
      <c r="AF34" s="243"/>
      <c r="AG34" s="243"/>
      <c r="AH34" s="243"/>
      <c r="AI34" s="243"/>
      <c r="AJ34" s="243"/>
      <c r="AK34" s="259"/>
      <c r="AL34" s="243"/>
      <c r="AM34" s="243"/>
    </row>
    <row r="35" spans="1:39" s="226" customFormat="1" ht="28.5" customHeight="1" x14ac:dyDescent="0.25">
      <c r="A35" s="260"/>
      <c r="B35" s="633" t="s">
        <v>111</v>
      </c>
      <c r="C35" s="633"/>
      <c r="D35" s="633"/>
      <c r="E35" s="633"/>
      <c r="F35" s="633"/>
      <c r="G35" s="633"/>
      <c r="H35" s="633"/>
      <c r="I35" s="633"/>
      <c r="J35" s="354" t="s">
        <v>212</v>
      </c>
      <c r="K35" s="262"/>
      <c r="L35" s="634" t="s">
        <v>10</v>
      </c>
      <c r="M35" s="633"/>
      <c r="N35" s="633"/>
      <c r="O35" s="263">
        <v>6663803304</v>
      </c>
      <c r="P35" s="263">
        <f>O35</f>
        <v>6663803304</v>
      </c>
      <c r="Q35" s="263">
        <f>SUM(Q36)</f>
        <v>11607289675</v>
      </c>
      <c r="R35" s="222">
        <f>Q35/Q33*100</f>
        <v>36.516697416348386</v>
      </c>
      <c r="S35" s="260">
        <v>100</v>
      </c>
      <c r="T35" s="263">
        <f>AJ35</f>
        <v>18.532490971024206</v>
      </c>
      <c r="U35" s="263">
        <f>R35*T35/100</f>
        <v>6.7674536516009933</v>
      </c>
      <c r="V35" s="264">
        <f>S35-T35</f>
        <v>81.467509028975797</v>
      </c>
      <c r="W35" s="263"/>
      <c r="X35" s="263" t="e">
        <f>#REF!</f>
        <v>#REF!</v>
      </c>
      <c r="Y35" s="263" t="e">
        <f>#REF!</f>
        <v>#REF!</v>
      </c>
      <c r="Z35" s="263" t="e">
        <f>#REF!</f>
        <v>#REF!</v>
      </c>
      <c r="AA35" s="263" t="e">
        <f>#REF!</f>
        <v>#REF!</v>
      </c>
      <c r="AB35" s="263">
        <v>2898050817</v>
      </c>
      <c r="AC35" s="263" t="e">
        <f>#REF!</f>
        <v>#REF!</v>
      </c>
      <c r="AD35" s="263" t="e">
        <f>#REF!</f>
        <v>#REF!</v>
      </c>
      <c r="AE35" s="263" t="e">
        <f>#REF!</f>
        <v>#REF!</v>
      </c>
      <c r="AF35" s="263" t="e">
        <f>[1]April!$N$17</f>
        <v>#REF!</v>
      </c>
      <c r="AG35" s="263" t="e">
        <f>[2]april!$N$17</f>
        <v>#REF!</v>
      </c>
      <c r="AH35" s="263">
        <f>'[3]DES SKPD'!$N$17</f>
        <v>8257610364</v>
      </c>
      <c r="AI35" s="263">
        <f>SUM(AI36)</f>
        <v>2151119911</v>
      </c>
      <c r="AJ35" s="260">
        <f>AI35/Q35*100</f>
        <v>18.532490971024206</v>
      </c>
      <c r="AK35" s="265">
        <f>SUM(AK36)</f>
        <v>9456169764</v>
      </c>
      <c r="AL35" s="260">
        <f>AK35/Q35*100</f>
        <v>81.467509028975797</v>
      </c>
      <c r="AM35" s="222"/>
    </row>
    <row r="36" spans="1:39" s="226" customFormat="1" ht="28.5" customHeight="1" x14ac:dyDescent="0.25">
      <c r="A36" s="260"/>
      <c r="B36" s="266"/>
      <c r="C36" s="266"/>
      <c r="D36" s="266"/>
      <c r="E36" s="266"/>
      <c r="F36" s="266"/>
      <c r="G36" s="266"/>
      <c r="H36" s="266"/>
      <c r="I36" s="267"/>
      <c r="J36" s="268" t="s">
        <v>219</v>
      </c>
      <c r="K36" s="262"/>
      <c r="L36" s="635" t="s">
        <v>218</v>
      </c>
      <c r="M36" s="635"/>
      <c r="N36" s="634"/>
      <c r="O36" s="263"/>
      <c r="P36" s="263"/>
      <c r="Q36" s="263">
        <f>SUM(Q37+Q47+Q50)</f>
        <v>11607289675</v>
      </c>
      <c r="R36" s="222">
        <f>Q36/Q33*100</f>
        <v>36.516697416348386</v>
      </c>
      <c r="S36" s="260">
        <v>100</v>
      </c>
      <c r="T36" s="263">
        <f t="shared" ref="T36:T51" si="13">AJ36</f>
        <v>18.532490971024206</v>
      </c>
      <c r="U36" s="263">
        <f>R36*T36/100</f>
        <v>6.7674536516009933</v>
      </c>
      <c r="V36" s="264">
        <f t="shared" ref="V36:V51" si="14">S36-T36</f>
        <v>81.467509028975797</v>
      </c>
      <c r="W36" s="263"/>
      <c r="X36" s="263"/>
      <c r="Y36" s="263"/>
      <c r="Z36" s="263"/>
      <c r="AA36" s="263"/>
      <c r="AB36" s="263"/>
      <c r="AC36" s="263"/>
      <c r="AD36" s="263"/>
      <c r="AE36" s="263"/>
      <c r="AF36" s="263"/>
      <c r="AG36" s="263"/>
      <c r="AH36" s="263"/>
      <c r="AI36" s="263">
        <f>SUM(AI37+AI47+AI50)</f>
        <v>2151119911</v>
      </c>
      <c r="AJ36" s="260">
        <f t="shared" ref="AJ36:AJ51" si="15">AI36/Q36*100</f>
        <v>18.532490971024206</v>
      </c>
      <c r="AK36" s="265">
        <f>SUM(AK37+AK47+AK50)</f>
        <v>9456169764</v>
      </c>
      <c r="AL36" s="260">
        <f t="shared" ref="AL36:AL51" si="16">AK36/Q36*100</f>
        <v>81.467509028975797</v>
      </c>
      <c r="AM36" s="222"/>
    </row>
    <row r="37" spans="1:39" s="226" customFormat="1" ht="28.5" customHeight="1" x14ac:dyDescent="0.25">
      <c r="A37" s="269" t="s">
        <v>7</v>
      </c>
      <c r="B37" s="266"/>
      <c r="C37" s="266"/>
      <c r="D37" s="266"/>
      <c r="E37" s="266"/>
      <c r="F37" s="266"/>
      <c r="G37" s="266"/>
      <c r="H37" s="266"/>
      <c r="I37" s="267"/>
      <c r="J37" s="268" t="s">
        <v>220</v>
      </c>
      <c r="K37" s="262"/>
      <c r="L37" s="635" t="s">
        <v>221</v>
      </c>
      <c r="M37" s="635"/>
      <c r="N37" s="634"/>
      <c r="O37" s="263"/>
      <c r="P37" s="263"/>
      <c r="Q37" s="263">
        <f>SUM(Q38:Q46)</f>
        <v>4242771195</v>
      </c>
      <c r="R37" s="222">
        <f>Q37/Q36*100</f>
        <v>36.552643328426285</v>
      </c>
      <c r="S37" s="260">
        <v>100</v>
      </c>
      <c r="T37" s="263">
        <f t="shared" si="13"/>
        <v>7.0028739082169622</v>
      </c>
      <c r="U37" s="263">
        <f>R37*T37/100</f>
        <v>2.5597355224099725</v>
      </c>
      <c r="V37" s="264">
        <f t="shared" si="14"/>
        <v>92.997126091783031</v>
      </c>
      <c r="W37" s="263"/>
      <c r="X37" s="263"/>
      <c r="Y37" s="263"/>
      <c r="Z37" s="263"/>
      <c r="AA37" s="263"/>
      <c r="AB37" s="263"/>
      <c r="AC37" s="263"/>
      <c r="AD37" s="263"/>
      <c r="AE37" s="263"/>
      <c r="AF37" s="263"/>
      <c r="AG37" s="263"/>
      <c r="AH37" s="263"/>
      <c r="AI37" s="263">
        <f>SUM(AI38:AI46)</f>
        <v>297115917</v>
      </c>
      <c r="AJ37" s="260">
        <f t="shared" si="15"/>
        <v>7.0028739082169622</v>
      </c>
      <c r="AK37" s="265">
        <f t="shared" ref="AK37:AK51" si="17">Q37-AI37</f>
        <v>3945655278</v>
      </c>
      <c r="AL37" s="260">
        <f t="shared" si="16"/>
        <v>92.997126091783031</v>
      </c>
      <c r="AM37" s="222"/>
    </row>
    <row r="38" spans="1:39" s="235" customFormat="1" ht="28.5" customHeight="1" x14ac:dyDescent="0.25">
      <c r="A38" s="259">
        <v>1</v>
      </c>
      <c r="B38" s="349"/>
      <c r="C38" s="349"/>
      <c r="D38" s="349"/>
      <c r="E38" s="349"/>
      <c r="F38" s="349"/>
      <c r="G38" s="349"/>
      <c r="H38" s="349"/>
      <c r="I38" s="350"/>
      <c r="J38" s="349" t="s">
        <v>222</v>
      </c>
      <c r="K38" s="272"/>
      <c r="L38" s="628" t="s">
        <v>223</v>
      </c>
      <c r="M38" s="628"/>
      <c r="N38" s="629"/>
      <c r="O38" s="180"/>
      <c r="P38" s="180"/>
      <c r="Q38" s="180">
        <v>3155998370</v>
      </c>
      <c r="R38" s="181">
        <f>Q38/Q$33*100</f>
        <v>9.9288154901483257</v>
      </c>
      <c r="S38" s="273">
        <v>100</v>
      </c>
      <c r="T38" s="180">
        <f t="shared" si="13"/>
        <v>7.0018794084484899</v>
      </c>
      <c r="U38" s="180">
        <f t="shared" ref="U38:U46" si="18">SUM(R38*T38)</f>
        <v>69.520368730753958</v>
      </c>
      <c r="V38" s="274">
        <f t="shared" si="14"/>
        <v>92.998120591551512</v>
      </c>
      <c r="W38" s="180"/>
      <c r="X38" s="180"/>
      <c r="Y38" s="180"/>
      <c r="Z38" s="180"/>
      <c r="AA38" s="180"/>
      <c r="AB38" s="180"/>
      <c r="AC38" s="180"/>
      <c r="AD38" s="180"/>
      <c r="AE38" s="180"/>
      <c r="AF38" s="180"/>
      <c r="AG38" s="180"/>
      <c r="AH38" s="180"/>
      <c r="AI38" s="180">
        <f>(220979200)</f>
        <v>220979200</v>
      </c>
      <c r="AJ38" s="181">
        <f t="shared" si="15"/>
        <v>7.0018794084484899</v>
      </c>
      <c r="AK38" s="246">
        <f t="shared" si="17"/>
        <v>2935019170</v>
      </c>
      <c r="AL38" s="181">
        <f t="shared" si="16"/>
        <v>92.998120591551512</v>
      </c>
      <c r="AM38" s="181"/>
    </row>
    <row r="39" spans="1:39" s="235" customFormat="1" ht="28.5" customHeight="1" x14ac:dyDescent="0.25">
      <c r="A39" s="259">
        <v>2</v>
      </c>
      <c r="B39" s="349"/>
      <c r="C39" s="349"/>
      <c r="D39" s="349"/>
      <c r="E39" s="349"/>
      <c r="F39" s="349"/>
      <c r="G39" s="349"/>
      <c r="H39" s="349"/>
      <c r="I39" s="350"/>
      <c r="J39" s="349" t="s">
        <v>224</v>
      </c>
      <c r="K39" s="272"/>
      <c r="L39" s="628" t="s">
        <v>225</v>
      </c>
      <c r="M39" s="628"/>
      <c r="N39" s="629"/>
      <c r="O39" s="180"/>
      <c r="P39" s="180"/>
      <c r="Q39" s="180">
        <v>327556228</v>
      </c>
      <c r="R39" s="181">
        <f t="shared" ref="R39:R51" si="19">Q39/Q$33*100</f>
        <v>1.0304965241350732</v>
      </c>
      <c r="S39" s="273">
        <v>100</v>
      </c>
      <c r="T39" s="180">
        <f>AJ39</f>
        <v>7.1204465084999082</v>
      </c>
      <c r="U39" s="180">
        <f t="shared" si="18"/>
        <v>7.3375953772988733</v>
      </c>
      <c r="V39" s="275">
        <f t="shared" si="14"/>
        <v>92.87955349150009</v>
      </c>
      <c r="W39" s="180"/>
      <c r="X39" s="180"/>
      <c r="Y39" s="180"/>
      <c r="Z39" s="180"/>
      <c r="AA39" s="180"/>
      <c r="AB39" s="180"/>
      <c r="AC39" s="180"/>
      <c r="AD39" s="180"/>
      <c r="AE39" s="180"/>
      <c r="AF39" s="180"/>
      <c r="AG39" s="180"/>
      <c r="AH39" s="180"/>
      <c r="AI39" s="180">
        <f>(23323466)</f>
        <v>23323466</v>
      </c>
      <c r="AJ39" s="181">
        <f t="shared" si="15"/>
        <v>7.1204465084999082</v>
      </c>
      <c r="AK39" s="246">
        <f t="shared" si="17"/>
        <v>304232762</v>
      </c>
      <c r="AL39" s="181">
        <f t="shared" si="16"/>
        <v>92.87955349150009</v>
      </c>
      <c r="AM39" s="181"/>
    </row>
    <row r="40" spans="1:39" s="235" customFormat="1" ht="28.5" customHeight="1" x14ac:dyDescent="0.25">
      <c r="A40" s="259">
        <v>3</v>
      </c>
      <c r="B40" s="349"/>
      <c r="C40" s="349"/>
      <c r="D40" s="349"/>
      <c r="E40" s="349"/>
      <c r="F40" s="349"/>
      <c r="G40" s="349"/>
      <c r="H40" s="349"/>
      <c r="I40" s="350"/>
      <c r="J40" s="349" t="s">
        <v>226</v>
      </c>
      <c r="K40" s="272"/>
      <c r="L40" s="628" t="s">
        <v>227</v>
      </c>
      <c r="M40" s="628"/>
      <c r="N40" s="629"/>
      <c r="O40" s="180"/>
      <c r="P40" s="180"/>
      <c r="Q40" s="180">
        <v>316058750</v>
      </c>
      <c r="R40" s="181">
        <f t="shared" si="19"/>
        <v>0.99432529580074436</v>
      </c>
      <c r="S40" s="273">
        <v>100</v>
      </c>
      <c r="T40" s="180">
        <f t="shared" si="13"/>
        <v>6.968641114982578</v>
      </c>
      <c r="U40" s="180">
        <f t="shared" si="18"/>
        <v>6.9290961379842813</v>
      </c>
      <c r="V40" s="275">
        <f t="shared" si="14"/>
        <v>93.031358885017426</v>
      </c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>
        <f>(22025000)</f>
        <v>22025000</v>
      </c>
      <c r="AJ40" s="181">
        <f>AI40/Q40*100</f>
        <v>6.968641114982578</v>
      </c>
      <c r="AK40" s="246">
        <f t="shared" si="17"/>
        <v>294033750</v>
      </c>
      <c r="AL40" s="181">
        <f t="shared" si="16"/>
        <v>93.031358885017426</v>
      </c>
      <c r="AM40" s="181"/>
    </row>
    <row r="41" spans="1:39" s="235" customFormat="1" ht="28.5" customHeight="1" x14ac:dyDescent="0.25">
      <c r="A41" s="259">
        <v>4</v>
      </c>
      <c r="B41" s="349"/>
      <c r="C41" s="349"/>
      <c r="D41" s="349"/>
      <c r="E41" s="349"/>
      <c r="F41" s="349"/>
      <c r="G41" s="349"/>
      <c r="H41" s="349"/>
      <c r="I41" s="350"/>
      <c r="J41" s="349" t="s">
        <v>228</v>
      </c>
      <c r="K41" s="272"/>
      <c r="L41" s="628" t="s">
        <v>229</v>
      </c>
      <c r="M41" s="628"/>
      <c r="N41" s="629"/>
      <c r="O41" s="180"/>
      <c r="P41" s="180"/>
      <c r="Q41" s="180">
        <v>100378250</v>
      </c>
      <c r="R41" s="181">
        <f t="shared" si="19"/>
        <v>0.31579139360391406</v>
      </c>
      <c r="S41" s="273">
        <v>100</v>
      </c>
      <c r="T41" s="180">
        <f t="shared" si="13"/>
        <v>6.7943005581388398</v>
      </c>
      <c r="U41" s="180">
        <f t="shared" si="18"/>
        <v>2.1455816418185152</v>
      </c>
      <c r="V41" s="275">
        <f t="shared" si="14"/>
        <v>93.205699441861157</v>
      </c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>
        <f>(6820000)</f>
        <v>6820000</v>
      </c>
      <c r="AJ41" s="181">
        <f t="shared" si="15"/>
        <v>6.7943005581388398</v>
      </c>
      <c r="AK41" s="246">
        <f t="shared" si="17"/>
        <v>93558250</v>
      </c>
      <c r="AL41" s="181">
        <f t="shared" si="16"/>
        <v>93.205699441861157</v>
      </c>
      <c r="AM41" s="181"/>
    </row>
    <row r="42" spans="1:39" s="235" customFormat="1" ht="28.5" customHeight="1" x14ac:dyDescent="0.25">
      <c r="A42" s="259">
        <v>5</v>
      </c>
      <c r="B42" s="349"/>
      <c r="C42" s="349"/>
      <c r="D42" s="349"/>
      <c r="E42" s="349"/>
      <c r="F42" s="349"/>
      <c r="G42" s="349"/>
      <c r="H42" s="349"/>
      <c r="I42" s="350"/>
      <c r="J42" s="349" t="s">
        <v>230</v>
      </c>
      <c r="K42" s="272"/>
      <c r="L42" s="628" t="s">
        <v>231</v>
      </c>
      <c r="M42" s="628"/>
      <c r="N42" s="629"/>
      <c r="O42" s="180"/>
      <c r="P42" s="180"/>
      <c r="Q42" s="180">
        <v>220316124</v>
      </c>
      <c r="R42" s="273">
        <f t="shared" si="19"/>
        <v>0.69311764083726035</v>
      </c>
      <c r="S42" s="273">
        <v>100</v>
      </c>
      <c r="T42" s="180">
        <f t="shared" si="13"/>
        <v>6.968641114982578</v>
      </c>
      <c r="U42" s="180">
        <f t="shared" si="18"/>
        <v>4.8300880894582603</v>
      </c>
      <c r="V42" s="275">
        <f t="shared" si="14"/>
        <v>93.031358885017426</v>
      </c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>
        <f>(15353040)</f>
        <v>15353040</v>
      </c>
      <c r="AJ42" s="273">
        <f t="shared" si="15"/>
        <v>6.968641114982578</v>
      </c>
      <c r="AK42" s="246">
        <f t="shared" si="17"/>
        <v>204963084</v>
      </c>
      <c r="AL42" s="273">
        <f t="shared" si="16"/>
        <v>93.031358885017426</v>
      </c>
      <c r="AM42" s="181"/>
    </row>
    <row r="43" spans="1:39" s="235" customFormat="1" ht="28.5" customHeight="1" x14ac:dyDescent="0.25">
      <c r="A43" s="259">
        <v>6</v>
      </c>
      <c r="B43" s="349"/>
      <c r="C43" s="349"/>
      <c r="D43" s="349"/>
      <c r="E43" s="349"/>
      <c r="F43" s="349"/>
      <c r="G43" s="349"/>
      <c r="H43" s="349"/>
      <c r="I43" s="350"/>
      <c r="J43" s="349" t="s">
        <v>232</v>
      </c>
      <c r="K43" s="272"/>
      <c r="L43" s="628" t="s">
        <v>234</v>
      </c>
      <c r="M43" s="628"/>
      <c r="N43" s="629"/>
      <c r="O43" s="180"/>
      <c r="P43" s="180"/>
      <c r="Q43" s="180">
        <v>868720</v>
      </c>
      <c r="R43" s="273">
        <f t="shared" si="19"/>
        <v>2.7330054015844291E-3</v>
      </c>
      <c r="S43" s="273">
        <v>100</v>
      </c>
      <c r="T43" s="180">
        <f t="shared" si="13"/>
        <v>10.300096693986555</v>
      </c>
      <c r="U43" s="180">
        <f t="shared" si="18"/>
        <v>2.8150219901507175E-2</v>
      </c>
      <c r="V43" s="275">
        <f t="shared" si="14"/>
        <v>89.699903306013439</v>
      </c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>
        <f>(89479)</f>
        <v>89479</v>
      </c>
      <c r="AJ43" s="273">
        <f t="shared" si="15"/>
        <v>10.300096693986555</v>
      </c>
      <c r="AK43" s="246">
        <f t="shared" si="17"/>
        <v>779241</v>
      </c>
      <c r="AL43" s="273">
        <f t="shared" si="16"/>
        <v>89.699903306013439</v>
      </c>
      <c r="AM43" s="181"/>
    </row>
    <row r="44" spans="1:39" s="235" customFormat="1" ht="28.5" customHeight="1" x14ac:dyDescent="0.25">
      <c r="A44" s="259">
        <v>7</v>
      </c>
      <c r="B44" s="349"/>
      <c r="C44" s="349"/>
      <c r="D44" s="349"/>
      <c r="E44" s="349"/>
      <c r="F44" s="349"/>
      <c r="G44" s="349"/>
      <c r="H44" s="349"/>
      <c r="I44" s="350"/>
      <c r="J44" s="349" t="s">
        <v>233</v>
      </c>
      <c r="K44" s="272"/>
      <c r="L44" s="628" t="s">
        <v>235</v>
      </c>
      <c r="M44" s="628"/>
      <c r="N44" s="629"/>
      <c r="O44" s="180"/>
      <c r="P44" s="180"/>
      <c r="Q44" s="180">
        <v>45647</v>
      </c>
      <c r="R44" s="273">
        <f t="shared" si="19"/>
        <v>1.4360610733737503E-4</v>
      </c>
      <c r="S44" s="273">
        <v>100</v>
      </c>
      <c r="T44" s="180">
        <f t="shared" si="13"/>
        <v>7.3608342278791596</v>
      </c>
      <c r="U44" s="180">
        <f t="shared" si="18"/>
        <v>1.0570607502214386E-3</v>
      </c>
      <c r="V44" s="275">
        <f t="shared" si="14"/>
        <v>92.639165772120833</v>
      </c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>
        <f>(3360)</f>
        <v>3360</v>
      </c>
      <c r="AJ44" s="273">
        <f t="shared" si="15"/>
        <v>7.3608342278791596</v>
      </c>
      <c r="AK44" s="246">
        <f t="shared" si="17"/>
        <v>42287</v>
      </c>
      <c r="AL44" s="273">
        <f t="shared" si="16"/>
        <v>92.639165772120833</v>
      </c>
      <c r="AM44" s="181"/>
    </row>
    <row r="45" spans="1:39" s="235" customFormat="1" ht="28.5" customHeight="1" x14ac:dyDescent="0.25">
      <c r="A45" s="259">
        <v>8</v>
      </c>
      <c r="B45" s="349"/>
      <c r="C45" s="349"/>
      <c r="D45" s="349"/>
      <c r="E45" s="349"/>
      <c r="F45" s="349"/>
      <c r="G45" s="349"/>
      <c r="H45" s="349"/>
      <c r="I45" s="350"/>
      <c r="J45" s="349" t="s">
        <v>236</v>
      </c>
      <c r="K45" s="272"/>
      <c r="L45" s="628" t="s">
        <v>237</v>
      </c>
      <c r="M45" s="628"/>
      <c r="N45" s="629"/>
      <c r="O45" s="180"/>
      <c r="P45" s="180"/>
      <c r="Q45" s="180">
        <v>104506702</v>
      </c>
      <c r="R45" s="273">
        <f t="shared" si="19"/>
        <v>0.32877956196216762</v>
      </c>
      <c r="S45" s="273">
        <v>100</v>
      </c>
      <c r="T45" s="180">
        <f t="shared" si="13"/>
        <v>7.0130277386420641</v>
      </c>
      <c r="U45" s="180">
        <f t="shared" si="18"/>
        <v>2.3057401879392687</v>
      </c>
      <c r="V45" s="275">
        <f t="shared" si="14"/>
        <v>92.986972261357934</v>
      </c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>
        <f>(7329084)</f>
        <v>7329084</v>
      </c>
      <c r="AJ45" s="273">
        <f t="shared" si="15"/>
        <v>7.0130277386420641</v>
      </c>
      <c r="AK45" s="246">
        <f t="shared" si="17"/>
        <v>97177618</v>
      </c>
      <c r="AL45" s="273">
        <f t="shared" si="16"/>
        <v>92.986972261357934</v>
      </c>
      <c r="AM45" s="181"/>
    </row>
    <row r="46" spans="1:39" s="235" customFormat="1" ht="28.5" customHeight="1" x14ac:dyDescent="0.25">
      <c r="A46" s="259">
        <v>9</v>
      </c>
      <c r="B46" s="349"/>
      <c r="C46" s="349"/>
      <c r="D46" s="349"/>
      <c r="E46" s="349"/>
      <c r="F46" s="349"/>
      <c r="G46" s="349"/>
      <c r="H46" s="349"/>
      <c r="I46" s="350"/>
      <c r="J46" s="349" t="s">
        <v>238</v>
      </c>
      <c r="K46" s="272"/>
      <c r="L46" s="628" t="s">
        <v>239</v>
      </c>
      <c r="M46" s="628"/>
      <c r="N46" s="629"/>
      <c r="O46" s="180"/>
      <c r="P46" s="180"/>
      <c r="Q46" s="180">
        <v>17042404</v>
      </c>
      <c r="R46" s="273">
        <f t="shared" si="19"/>
        <v>5.3615643922073949E-2</v>
      </c>
      <c r="S46" s="273">
        <v>100</v>
      </c>
      <c r="T46" s="180">
        <f t="shared" si="13"/>
        <v>7.0018760264103586</v>
      </c>
      <c r="U46" s="180">
        <f t="shared" si="18"/>
        <v>0.37541009181852386</v>
      </c>
      <c r="V46" s="276">
        <f t="shared" si="14"/>
        <v>92.998123973589642</v>
      </c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>
        <f>(1193288)</f>
        <v>1193288</v>
      </c>
      <c r="AJ46" s="273">
        <f t="shared" si="15"/>
        <v>7.0018760264103586</v>
      </c>
      <c r="AK46" s="246">
        <f t="shared" si="17"/>
        <v>15849116</v>
      </c>
      <c r="AL46" s="273">
        <f t="shared" si="16"/>
        <v>92.998123973589642</v>
      </c>
      <c r="AM46" s="181"/>
    </row>
    <row r="47" spans="1:39" s="235" customFormat="1" ht="28.5" customHeight="1" x14ac:dyDescent="0.25">
      <c r="A47" s="277" t="s">
        <v>8</v>
      </c>
      <c r="B47" s="352"/>
      <c r="C47" s="352"/>
      <c r="D47" s="352"/>
      <c r="E47" s="352"/>
      <c r="F47" s="352"/>
      <c r="G47" s="352"/>
      <c r="H47" s="352"/>
      <c r="I47" s="352"/>
      <c r="J47" s="352" t="s">
        <v>240</v>
      </c>
      <c r="K47" s="279"/>
      <c r="L47" s="630" t="s">
        <v>241</v>
      </c>
      <c r="M47" s="631"/>
      <c r="N47" s="631"/>
      <c r="O47" s="280"/>
      <c r="P47" s="280"/>
      <c r="Q47" s="280">
        <f>SUM(Q48:Q49)</f>
        <v>2764518480</v>
      </c>
      <c r="R47" s="222">
        <f>Q47/Q36*100</f>
        <v>23.817088721015313</v>
      </c>
      <c r="S47" s="281">
        <v>100</v>
      </c>
      <c r="T47" s="280">
        <f t="shared" si="13"/>
        <v>0</v>
      </c>
      <c r="U47" s="280">
        <f>R47*T47/100</f>
        <v>0</v>
      </c>
      <c r="V47" s="282">
        <f t="shared" si="14"/>
        <v>100</v>
      </c>
      <c r="W47" s="280"/>
      <c r="X47" s="280"/>
      <c r="Y47" s="280"/>
      <c r="Z47" s="280"/>
      <c r="AA47" s="280"/>
      <c r="AB47" s="280"/>
      <c r="AC47" s="280"/>
      <c r="AD47" s="280"/>
      <c r="AE47" s="280"/>
      <c r="AF47" s="280"/>
      <c r="AG47" s="280"/>
      <c r="AH47" s="280"/>
      <c r="AI47" s="280">
        <f>SUM(AI48:AI49)</f>
        <v>0</v>
      </c>
      <c r="AJ47" s="281">
        <f t="shared" si="15"/>
        <v>0</v>
      </c>
      <c r="AK47" s="283">
        <f t="shared" si="17"/>
        <v>2764518480</v>
      </c>
      <c r="AL47" s="281">
        <f t="shared" si="16"/>
        <v>100</v>
      </c>
      <c r="AM47" s="284"/>
    </row>
    <row r="48" spans="1:39" s="235" customFormat="1" ht="28.5" customHeight="1" x14ac:dyDescent="0.25">
      <c r="A48" s="259">
        <v>1</v>
      </c>
      <c r="B48" s="349"/>
      <c r="C48" s="349"/>
      <c r="D48" s="349"/>
      <c r="E48" s="349"/>
      <c r="F48" s="349"/>
      <c r="G48" s="349"/>
      <c r="H48" s="349"/>
      <c r="I48" s="350"/>
      <c r="J48" s="349" t="s">
        <v>242</v>
      </c>
      <c r="K48" s="272"/>
      <c r="L48" s="628" t="s">
        <v>243</v>
      </c>
      <c r="M48" s="628"/>
      <c r="N48" s="629"/>
      <c r="O48" s="180"/>
      <c r="P48" s="180"/>
      <c r="Q48" s="180">
        <v>2546193480</v>
      </c>
      <c r="R48" s="273">
        <f t="shared" si="19"/>
        <v>8.0103606850527846</v>
      </c>
      <c r="S48" s="273">
        <v>100</v>
      </c>
      <c r="T48" s="180">
        <f t="shared" si="13"/>
        <v>0</v>
      </c>
      <c r="U48" s="285">
        <f>R48*T48/100</f>
        <v>0</v>
      </c>
      <c r="V48" s="275">
        <f t="shared" si="14"/>
        <v>100</v>
      </c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>
        <v>0</v>
      </c>
      <c r="AJ48" s="273">
        <f t="shared" si="15"/>
        <v>0</v>
      </c>
      <c r="AK48" s="246">
        <f t="shared" si="17"/>
        <v>2546193480</v>
      </c>
      <c r="AL48" s="273">
        <f t="shared" si="16"/>
        <v>100</v>
      </c>
      <c r="AM48" s="181"/>
    </row>
    <row r="49" spans="1:39" s="235" customFormat="1" ht="28.5" customHeight="1" x14ac:dyDescent="0.25">
      <c r="A49" s="259">
        <v>2</v>
      </c>
      <c r="B49" s="349"/>
      <c r="C49" s="349"/>
      <c r="D49" s="349"/>
      <c r="E49" s="349"/>
      <c r="F49" s="349"/>
      <c r="G49" s="349"/>
      <c r="H49" s="349"/>
      <c r="I49" s="350"/>
      <c r="J49" s="349" t="s">
        <v>244</v>
      </c>
      <c r="K49" s="272"/>
      <c r="L49" s="628" t="s">
        <v>245</v>
      </c>
      <c r="M49" s="628"/>
      <c r="N49" s="629"/>
      <c r="O49" s="180"/>
      <c r="P49" s="180"/>
      <c r="Q49" s="180">
        <v>218325000</v>
      </c>
      <c r="R49" s="273">
        <f t="shared" si="19"/>
        <v>0.68685353658361781</v>
      </c>
      <c r="S49" s="273">
        <v>100</v>
      </c>
      <c r="T49" s="180">
        <f t="shared" si="13"/>
        <v>0</v>
      </c>
      <c r="U49" s="286">
        <f>R49*T49/100</f>
        <v>0</v>
      </c>
      <c r="V49" s="276">
        <f t="shared" si="14"/>
        <v>100</v>
      </c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>
        <v>0</v>
      </c>
      <c r="AJ49" s="273">
        <f t="shared" si="15"/>
        <v>0</v>
      </c>
      <c r="AK49" s="246">
        <f t="shared" si="17"/>
        <v>218325000</v>
      </c>
      <c r="AL49" s="273">
        <f t="shared" si="16"/>
        <v>100</v>
      </c>
      <c r="AM49" s="181"/>
    </row>
    <row r="50" spans="1:39" s="235" customFormat="1" ht="28.5" customHeight="1" x14ac:dyDescent="0.25">
      <c r="A50" s="277" t="s">
        <v>29</v>
      </c>
      <c r="B50" s="353"/>
      <c r="C50" s="353"/>
      <c r="D50" s="353"/>
      <c r="E50" s="353"/>
      <c r="F50" s="353"/>
      <c r="G50" s="353"/>
      <c r="H50" s="353"/>
      <c r="I50" s="351"/>
      <c r="J50" s="353" t="s">
        <v>246</v>
      </c>
      <c r="K50" s="279"/>
      <c r="L50" s="632" t="s">
        <v>247</v>
      </c>
      <c r="M50" s="632"/>
      <c r="N50" s="630"/>
      <c r="O50" s="280"/>
      <c r="P50" s="280"/>
      <c r="Q50" s="280">
        <f>SUM(Q51)</f>
        <v>4600000000</v>
      </c>
      <c r="R50" s="222">
        <f>Q50/Q36*100</f>
        <v>39.630267950558405</v>
      </c>
      <c r="S50" s="281">
        <v>100</v>
      </c>
      <c r="T50" s="280">
        <f t="shared" si="13"/>
        <v>40.304434652173917</v>
      </c>
      <c r="U50" s="280">
        <f>R50*T50/100</f>
        <v>15.972755448614237</v>
      </c>
      <c r="V50" s="282">
        <f t="shared" si="14"/>
        <v>59.695565347826083</v>
      </c>
      <c r="W50" s="280"/>
      <c r="X50" s="280"/>
      <c r="Y50" s="280"/>
      <c r="Z50" s="280"/>
      <c r="AA50" s="280"/>
      <c r="AB50" s="280"/>
      <c r="AC50" s="280"/>
      <c r="AD50" s="280"/>
      <c r="AE50" s="280"/>
      <c r="AF50" s="280"/>
      <c r="AG50" s="280"/>
      <c r="AH50" s="280"/>
      <c r="AI50" s="263">
        <f>SUM(AI51)</f>
        <v>1854003994</v>
      </c>
      <c r="AJ50" s="281">
        <f t="shared" si="15"/>
        <v>40.304434652173917</v>
      </c>
      <c r="AK50" s="283">
        <f t="shared" si="17"/>
        <v>2745996006</v>
      </c>
      <c r="AL50" s="281">
        <f t="shared" si="16"/>
        <v>59.695565347826083</v>
      </c>
      <c r="AM50" s="284"/>
    </row>
    <row r="51" spans="1:39" s="235" customFormat="1" ht="28.5" customHeight="1" x14ac:dyDescent="0.25">
      <c r="A51" s="259">
        <v>1</v>
      </c>
      <c r="B51" s="349"/>
      <c r="C51" s="349"/>
      <c r="D51" s="349"/>
      <c r="E51" s="349"/>
      <c r="F51" s="349"/>
      <c r="G51" s="349"/>
      <c r="H51" s="349"/>
      <c r="I51" s="350"/>
      <c r="J51" s="349" t="s">
        <v>248</v>
      </c>
      <c r="K51" s="272"/>
      <c r="L51" s="628" t="s">
        <v>427</v>
      </c>
      <c r="M51" s="628"/>
      <c r="N51" s="629"/>
      <c r="O51" s="180"/>
      <c r="P51" s="180"/>
      <c r="Q51" s="180">
        <v>4600000000</v>
      </c>
      <c r="R51" s="273">
        <f t="shared" si="19"/>
        <v>14.471665032793505</v>
      </c>
      <c r="S51" s="273">
        <v>100</v>
      </c>
      <c r="T51" s="180">
        <f t="shared" si="13"/>
        <v>40.304434652173917</v>
      </c>
      <c r="U51" s="285">
        <f>R51*T51/100</f>
        <v>5.8327227762237612</v>
      </c>
      <c r="V51" s="274">
        <f t="shared" si="14"/>
        <v>59.695565347826083</v>
      </c>
      <c r="W51" s="180"/>
      <c r="X51" s="18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>
        <v>1854003994</v>
      </c>
      <c r="AJ51" s="273">
        <f t="shared" si="15"/>
        <v>40.304434652173917</v>
      </c>
      <c r="AK51" s="246">
        <f t="shared" si="17"/>
        <v>2745996006</v>
      </c>
      <c r="AL51" s="273">
        <f t="shared" si="16"/>
        <v>59.695565347826083</v>
      </c>
      <c r="AM51" s="181"/>
    </row>
    <row r="52" spans="1:39" ht="13.5" customHeight="1" x14ac:dyDescent="0.25">
      <c r="A52" s="243"/>
      <c r="B52" s="257"/>
      <c r="C52" s="257"/>
      <c r="D52" s="257"/>
      <c r="E52" s="257"/>
      <c r="F52" s="257"/>
      <c r="G52" s="257"/>
      <c r="H52" s="257"/>
      <c r="I52" s="258"/>
      <c r="J52" s="257"/>
      <c r="K52" s="245"/>
      <c r="L52" s="257"/>
      <c r="M52" s="257"/>
      <c r="N52" s="258"/>
      <c r="O52" s="243"/>
      <c r="P52" s="243"/>
      <c r="Q52" s="243"/>
      <c r="R52" s="243"/>
      <c r="S52" s="243"/>
      <c r="T52" s="243"/>
      <c r="U52" s="243"/>
      <c r="V52" s="182"/>
      <c r="W52" s="243"/>
      <c r="X52" s="243"/>
      <c r="Y52" s="243"/>
      <c r="Z52" s="243"/>
      <c r="AA52" s="243"/>
      <c r="AB52" s="243"/>
      <c r="AC52" s="243"/>
      <c r="AD52" s="243"/>
      <c r="AE52" s="243"/>
      <c r="AF52" s="243"/>
      <c r="AG52" s="243"/>
      <c r="AH52" s="243"/>
      <c r="AI52" s="243"/>
      <c r="AJ52" s="243"/>
      <c r="AK52" s="259"/>
      <c r="AL52" s="243"/>
      <c r="AM52" s="243"/>
    </row>
    <row r="53" spans="1:39" s="226" customFormat="1" ht="24.75" customHeight="1" x14ac:dyDescent="0.25">
      <c r="A53" s="289"/>
      <c r="B53" s="607" t="s">
        <v>112</v>
      </c>
      <c r="C53" s="607"/>
      <c r="D53" s="607"/>
      <c r="E53" s="607"/>
      <c r="F53" s="607"/>
      <c r="G53" s="607"/>
      <c r="H53" s="607"/>
      <c r="I53" s="608"/>
      <c r="J53" s="344" t="s">
        <v>441</v>
      </c>
      <c r="K53" s="291"/>
      <c r="L53" s="607" t="s">
        <v>11</v>
      </c>
      <c r="M53" s="607"/>
      <c r="N53" s="608"/>
      <c r="O53" s="263" t="e">
        <f>SUM(O54,O119,O156,O163,O175,O243,O683)</f>
        <v>#REF!</v>
      </c>
      <c r="P53" s="263" t="e">
        <f>SUM(P54,P119,P156,P163,P175,P243,P683)</f>
        <v>#REF!</v>
      </c>
      <c r="Q53" s="263">
        <f>SUM(Q54,Q119,Q156,Q163,Q175,Q243+Q674)</f>
        <v>20178962906</v>
      </c>
      <c r="R53" s="222">
        <f>Q53/Q33*100</f>
        <v>63.483302583651614</v>
      </c>
      <c r="S53" s="222">
        <f>S54</f>
        <v>100</v>
      </c>
      <c r="T53" s="263">
        <f t="shared" ref="T53:T138" si="20">AJ53</f>
        <v>1.1860160560027544</v>
      </c>
      <c r="U53" s="263">
        <f t="shared" ref="U53:U89" si="21">R53*T53/100</f>
        <v>0.75292216152291958</v>
      </c>
      <c r="V53" s="292">
        <f t="shared" ref="V53:V126" si="22">S53-T53</f>
        <v>98.813983943997243</v>
      </c>
      <c r="W53" s="263">
        <f>SUM(W54:W87)</f>
        <v>0</v>
      </c>
      <c r="X53" s="263" t="e">
        <f t="shared" ref="X53:AH53" si="23">SUM(X54,X119,X156,X163,X175,X243,X683)</f>
        <v>#REF!</v>
      </c>
      <c r="Y53" s="263" t="e">
        <f t="shared" si="23"/>
        <v>#REF!</v>
      </c>
      <c r="Z53" s="263" t="e">
        <f t="shared" si="23"/>
        <v>#REF!</v>
      </c>
      <c r="AA53" s="263" t="e">
        <f t="shared" si="23"/>
        <v>#REF!</v>
      </c>
      <c r="AB53" s="263">
        <f t="shared" si="23"/>
        <v>10250009282</v>
      </c>
      <c r="AC53" s="263" t="e">
        <f t="shared" si="23"/>
        <v>#REF!</v>
      </c>
      <c r="AD53" s="263" t="e">
        <f t="shared" si="23"/>
        <v>#REF!</v>
      </c>
      <c r="AE53" s="263" t="e">
        <f t="shared" si="23"/>
        <v>#REF!</v>
      </c>
      <c r="AF53" s="263" t="e">
        <f t="shared" si="23"/>
        <v>#REF!</v>
      </c>
      <c r="AG53" s="263" t="e">
        <f t="shared" si="23"/>
        <v>#REF!</v>
      </c>
      <c r="AH53" s="263" t="e">
        <f t="shared" si="23"/>
        <v>#REF!</v>
      </c>
      <c r="AI53" s="263">
        <f>SUM(AI54,AI119,AI156,AI163,AI175,AI243)</f>
        <v>239325740</v>
      </c>
      <c r="AJ53" s="222">
        <f t="shared" ref="AJ53:AJ138" si="24">AI53/Q53*100</f>
        <v>1.1860160560027544</v>
      </c>
      <c r="AK53" s="265">
        <f>SUM(Q53-AI53)</f>
        <v>19939637166</v>
      </c>
      <c r="AL53" s="222">
        <f t="shared" ref="AL53:AL138" si="25">AK53/Q53*100</f>
        <v>98.813983943997243</v>
      </c>
      <c r="AM53" s="240"/>
    </row>
    <row r="54" spans="1:39" s="226" customFormat="1" ht="28.5" customHeight="1" x14ac:dyDescent="0.25">
      <c r="A54" s="236" t="s">
        <v>7</v>
      </c>
      <c r="B54" s="626" t="s">
        <v>113</v>
      </c>
      <c r="C54" s="626"/>
      <c r="D54" s="626"/>
      <c r="E54" s="626"/>
      <c r="F54" s="626"/>
      <c r="G54" s="626"/>
      <c r="H54" s="626"/>
      <c r="I54" s="627"/>
      <c r="J54" s="348" t="s">
        <v>439</v>
      </c>
      <c r="K54" s="238"/>
      <c r="L54" s="626" t="s">
        <v>12</v>
      </c>
      <c r="M54" s="626"/>
      <c r="N54" s="627"/>
      <c r="O54" s="239">
        <f>SUM(O55:O89)</f>
        <v>1502806500</v>
      </c>
      <c r="P54" s="239">
        <f>SUM(P55:P89)</f>
        <v>1794406500</v>
      </c>
      <c r="Q54" s="239">
        <f>SUM(Q55+Q57+Q61+Q63+Q67+Q70+Q76+Q78+Q81+Q84+Q87+Q89+Q91+Q105)</f>
        <v>2525913744</v>
      </c>
      <c r="R54" s="240">
        <f>Q54/Q$53*100</f>
        <v>12.517559776320052</v>
      </c>
      <c r="S54" s="240">
        <f>S55</f>
        <v>100</v>
      </c>
      <c r="T54" s="293">
        <f t="shared" si="20"/>
        <v>0</v>
      </c>
      <c r="U54" s="293">
        <f t="shared" si="21"/>
        <v>0</v>
      </c>
      <c r="V54" s="241">
        <f t="shared" si="22"/>
        <v>100</v>
      </c>
      <c r="W54" s="239">
        <f t="shared" ref="W54:AH54" si="26">SUM(W55:W89)</f>
        <v>0</v>
      </c>
      <c r="X54" s="239" t="e">
        <f t="shared" si="26"/>
        <v>#REF!</v>
      </c>
      <c r="Y54" s="239" t="e">
        <f t="shared" si="26"/>
        <v>#REF!</v>
      </c>
      <c r="Z54" s="239" t="e">
        <f t="shared" si="26"/>
        <v>#REF!</v>
      </c>
      <c r="AA54" s="239" t="e">
        <f t="shared" si="26"/>
        <v>#REF!</v>
      </c>
      <c r="AB54" s="239">
        <f t="shared" si="26"/>
        <v>1228213226</v>
      </c>
      <c r="AC54" s="239" t="e">
        <f t="shared" si="26"/>
        <v>#REF!</v>
      </c>
      <c r="AD54" s="239" t="e">
        <f t="shared" si="26"/>
        <v>#REF!</v>
      </c>
      <c r="AE54" s="239" t="e">
        <f t="shared" si="26"/>
        <v>#REF!</v>
      </c>
      <c r="AF54" s="239" t="e">
        <f t="shared" si="26"/>
        <v>#REF!</v>
      </c>
      <c r="AG54" s="239" t="e">
        <f t="shared" si="26"/>
        <v>#REF!</v>
      </c>
      <c r="AH54" s="239">
        <f t="shared" si="26"/>
        <v>3676337600</v>
      </c>
      <c r="AI54" s="239">
        <f>SUM(AI55+AI57+AI61+AI63+AI67+AI70+AI76+AI78+AI81+AI84+AI87+AI89)</f>
        <v>0</v>
      </c>
      <c r="AJ54" s="240">
        <f t="shared" si="24"/>
        <v>0</v>
      </c>
      <c r="AK54" s="242">
        <f>SUM(Q54-AI54)</f>
        <v>2525913744</v>
      </c>
      <c r="AL54" s="240">
        <f t="shared" si="25"/>
        <v>100</v>
      </c>
      <c r="AM54" s="236"/>
    </row>
    <row r="55" spans="1:39" s="297" customFormat="1" ht="24.75" customHeight="1" x14ac:dyDescent="0.25">
      <c r="A55" s="227">
        <v>1</v>
      </c>
      <c r="B55" s="615" t="s">
        <v>114</v>
      </c>
      <c r="C55" s="615"/>
      <c r="D55" s="615"/>
      <c r="E55" s="615"/>
      <c r="F55" s="615"/>
      <c r="G55" s="615"/>
      <c r="H55" s="615"/>
      <c r="I55" s="614"/>
      <c r="J55" s="346" t="s">
        <v>442</v>
      </c>
      <c r="K55" s="230"/>
      <c r="L55" s="294"/>
      <c r="M55" s="615" t="s">
        <v>13</v>
      </c>
      <c r="N55" s="614"/>
      <c r="O55" s="295">
        <v>26300000</v>
      </c>
      <c r="P55" s="231">
        <v>28400000</v>
      </c>
      <c r="Q55" s="231">
        <f>SUM(Q56)</f>
        <v>27000000</v>
      </c>
      <c r="R55" s="233">
        <f>Q55/Q$54*100</f>
        <v>1.0689201111532491</v>
      </c>
      <c r="S55" s="233">
        <v>100</v>
      </c>
      <c r="T55" s="231">
        <f t="shared" si="20"/>
        <v>0</v>
      </c>
      <c r="U55" s="231">
        <f t="shared" si="21"/>
        <v>0</v>
      </c>
      <c r="V55" s="296">
        <f t="shared" si="22"/>
        <v>100</v>
      </c>
      <c r="W55" s="231"/>
      <c r="X55" s="231" t="e">
        <f>#REF!</f>
        <v>#REF!</v>
      </c>
      <c r="Y55" s="231" t="e">
        <f>#REF!</f>
        <v>#REF!</v>
      </c>
      <c r="Z55" s="231" t="e">
        <f>#REF!</f>
        <v>#REF!</v>
      </c>
      <c r="AA55" s="231" t="e">
        <f>#REF!</f>
        <v>#REF!</v>
      </c>
      <c r="AB55" s="231">
        <v>5828000</v>
      </c>
      <c r="AC55" s="231" t="e">
        <f>#REF!</f>
        <v>#REF!</v>
      </c>
      <c r="AD55" s="231" t="e">
        <f>#REF!</f>
        <v>#REF!</v>
      </c>
      <c r="AE55" s="231" t="e">
        <f>#REF!</f>
        <v>#REF!</v>
      </c>
      <c r="AF55" s="231" t="e">
        <f>[1]April!N21</f>
        <v>#REF!</v>
      </c>
      <c r="AG55" s="231" t="e">
        <f>[2]april!N21</f>
        <v>#REF!</v>
      </c>
      <c r="AH55" s="231">
        <f>'[3]DES SKPD'!$N21</f>
        <v>14378000</v>
      </c>
      <c r="AI55" s="231">
        <f>SUM(AI56)</f>
        <v>0</v>
      </c>
      <c r="AJ55" s="233">
        <f>AI55/Q55*100</f>
        <v>0</v>
      </c>
      <c r="AK55" s="234">
        <f>Q55-AI55</f>
        <v>27000000</v>
      </c>
      <c r="AL55" s="233">
        <f>AK55/Q55*100</f>
        <v>100</v>
      </c>
      <c r="AM55" s="227"/>
    </row>
    <row r="56" spans="1:39" ht="29.25" customHeight="1" x14ac:dyDescent="0.25">
      <c r="A56" s="243"/>
      <c r="B56" s="341"/>
      <c r="C56" s="341"/>
      <c r="D56" s="341"/>
      <c r="E56" s="341"/>
      <c r="F56" s="341"/>
      <c r="G56" s="341"/>
      <c r="H56" s="341"/>
      <c r="I56" s="342"/>
      <c r="J56" s="341" t="s">
        <v>249</v>
      </c>
      <c r="K56" s="245"/>
      <c r="L56" s="257"/>
      <c r="M56" s="597" t="s">
        <v>250</v>
      </c>
      <c r="N56" s="598"/>
      <c r="O56" s="299"/>
      <c r="P56" s="180"/>
      <c r="Q56" s="180">
        <v>27000000</v>
      </c>
      <c r="R56" s="181">
        <f>Q56/Q$55*100</f>
        <v>100</v>
      </c>
      <c r="S56" s="181">
        <v>100</v>
      </c>
      <c r="T56" s="180">
        <f t="shared" si="20"/>
        <v>0</v>
      </c>
      <c r="U56" s="180">
        <f t="shared" si="21"/>
        <v>0</v>
      </c>
      <c r="V56" s="182">
        <f t="shared" si="22"/>
        <v>100</v>
      </c>
      <c r="W56" s="180"/>
      <c r="X56" s="180" t="e">
        <f>#REF!</f>
        <v>#REF!</v>
      </c>
      <c r="Y56" s="180" t="e">
        <f>#REF!</f>
        <v>#REF!</v>
      </c>
      <c r="Z56" s="180" t="e">
        <f>#REF!</f>
        <v>#REF!</v>
      </c>
      <c r="AA56" s="180" t="e">
        <f>#REF!</f>
        <v>#REF!</v>
      </c>
      <c r="AB56" s="180">
        <v>5828001</v>
      </c>
      <c r="AC56" s="180" t="e">
        <f>#REF!</f>
        <v>#REF!</v>
      </c>
      <c r="AD56" s="180" t="e">
        <f>#REF!</f>
        <v>#REF!</v>
      </c>
      <c r="AE56" s="180" t="e">
        <f>#REF!</f>
        <v>#REF!</v>
      </c>
      <c r="AF56" s="180" t="e">
        <f>[1]April!N22</f>
        <v>#REF!</v>
      </c>
      <c r="AG56" s="180" t="e">
        <f>[2]april!N22</f>
        <v>#REF!</v>
      </c>
      <c r="AH56" s="180">
        <f>'[3]DES SKPD'!$N22</f>
        <v>238296148</v>
      </c>
      <c r="AI56" s="180">
        <v>0</v>
      </c>
      <c r="AJ56" s="181">
        <f>AI56/Q56*100</f>
        <v>0</v>
      </c>
      <c r="AK56" s="246">
        <f>Q56-AI56</f>
        <v>27000000</v>
      </c>
      <c r="AL56" s="181">
        <f>AK56/Q56*100</f>
        <v>100</v>
      </c>
      <c r="AM56" s="243"/>
    </row>
    <row r="57" spans="1:39" s="297" customFormat="1" ht="29.25" customHeight="1" x14ac:dyDescent="0.25">
      <c r="A57" s="227">
        <f>A55+1</f>
        <v>2</v>
      </c>
      <c r="B57" s="615" t="s">
        <v>115</v>
      </c>
      <c r="C57" s="615"/>
      <c r="D57" s="615"/>
      <c r="E57" s="615"/>
      <c r="F57" s="615"/>
      <c r="G57" s="615"/>
      <c r="H57" s="615"/>
      <c r="I57" s="614"/>
      <c r="J57" s="346" t="s">
        <v>443</v>
      </c>
      <c r="K57" s="230"/>
      <c r="L57" s="294"/>
      <c r="M57" s="615" t="s">
        <v>14</v>
      </c>
      <c r="N57" s="614"/>
      <c r="O57" s="295">
        <v>31000000</v>
      </c>
      <c r="P57" s="231">
        <f>[9]Sheet1!$U$35</f>
        <v>320500000</v>
      </c>
      <c r="Q57" s="231">
        <f>SUM(Q58:Q60)</f>
        <v>380000000</v>
      </c>
      <c r="R57" s="233">
        <f>Q57/Q$54*100</f>
        <v>15.044060823638322</v>
      </c>
      <c r="S57" s="233">
        <v>100</v>
      </c>
      <c r="T57" s="231">
        <f t="shared" si="20"/>
        <v>0</v>
      </c>
      <c r="U57" s="231">
        <f t="shared" si="21"/>
        <v>0</v>
      </c>
      <c r="V57" s="296">
        <f t="shared" si="22"/>
        <v>100</v>
      </c>
      <c r="W57" s="231"/>
      <c r="X57" s="231" t="e">
        <f>#REF!</f>
        <v>#REF!</v>
      </c>
      <c r="Y57" s="231" t="e">
        <f>#REF!</f>
        <v>#REF!</v>
      </c>
      <c r="Z57" s="231" t="e">
        <f>#REF!</f>
        <v>#REF!</v>
      </c>
      <c r="AA57" s="231" t="e">
        <f>#REF!</f>
        <v>#REF!</v>
      </c>
      <c r="AB57" s="231">
        <v>61516789</v>
      </c>
      <c r="AC57" s="231" t="e">
        <f>#REF!</f>
        <v>#REF!</v>
      </c>
      <c r="AD57" s="231" t="e">
        <f>#REF!</f>
        <v>#REF!</v>
      </c>
      <c r="AE57" s="231" t="e">
        <f>#REF!</f>
        <v>#REF!</v>
      </c>
      <c r="AF57" s="231" t="e">
        <f>[1]April!N22</f>
        <v>#REF!</v>
      </c>
      <c r="AG57" s="231" t="e">
        <f>[2]april!N22</f>
        <v>#REF!</v>
      </c>
      <c r="AH57" s="231">
        <f>'[3]DES SKPD'!$N22</f>
        <v>238296148</v>
      </c>
      <c r="AI57" s="231">
        <f>SUM(AI58:AI60)</f>
        <v>0</v>
      </c>
      <c r="AJ57" s="233">
        <f t="shared" si="24"/>
        <v>0</v>
      </c>
      <c r="AK57" s="234">
        <f t="shared" ref="AK57:AK118" si="27">Q57-AI57</f>
        <v>380000000</v>
      </c>
      <c r="AL57" s="233">
        <f t="shared" si="25"/>
        <v>100</v>
      </c>
      <c r="AM57" s="227"/>
    </row>
    <row r="58" spans="1:39" ht="23.25" customHeight="1" x14ac:dyDescent="0.25">
      <c r="A58" s="243"/>
      <c r="B58" s="341"/>
      <c r="C58" s="341"/>
      <c r="D58" s="341"/>
      <c r="E58" s="341"/>
      <c r="F58" s="341"/>
      <c r="G58" s="341"/>
      <c r="H58" s="341"/>
      <c r="I58" s="342"/>
      <c r="J58" s="341" t="s">
        <v>251</v>
      </c>
      <c r="K58" s="245"/>
      <c r="L58" s="257"/>
      <c r="M58" s="597" t="s">
        <v>252</v>
      </c>
      <c r="N58" s="598"/>
      <c r="O58" s="299"/>
      <c r="P58" s="180"/>
      <c r="Q58" s="180">
        <v>2808000</v>
      </c>
      <c r="R58" s="181">
        <f>Q58/Q$57*100</f>
        <v>0.73894736842105269</v>
      </c>
      <c r="S58" s="181">
        <v>101</v>
      </c>
      <c r="T58" s="180">
        <f t="shared" si="20"/>
        <v>0</v>
      </c>
      <c r="U58" s="180">
        <f t="shared" si="21"/>
        <v>0</v>
      </c>
      <c r="V58" s="182">
        <f t="shared" si="22"/>
        <v>101</v>
      </c>
      <c r="W58" s="180"/>
      <c r="X58" s="180" t="e">
        <f>#REF!</f>
        <v>#REF!</v>
      </c>
      <c r="Y58" s="180" t="e">
        <f>#REF!</f>
        <v>#REF!</v>
      </c>
      <c r="Z58" s="180" t="e">
        <f>#REF!</f>
        <v>#REF!</v>
      </c>
      <c r="AA58" s="180" t="e">
        <f>#REF!</f>
        <v>#REF!</v>
      </c>
      <c r="AB58" s="180">
        <v>61516790</v>
      </c>
      <c r="AC58" s="180" t="e">
        <f>#REF!</f>
        <v>#REF!</v>
      </c>
      <c r="AD58" s="180" t="e">
        <f>#REF!</f>
        <v>#REF!</v>
      </c>
      <c r="AE58" s="180" t="e">
        <f>#REF!</f>
        <v>#REF!</v>
      </c>
      <c r="AF58" s="180" t="e">
        <f>[1]April!N23</f>
        <v>#REF!</v>
      </c>
      <c r="AG58" s="180" t="e">
        <f>[2]april!N23</f>
        <v>#REF!</v>
      </c>
      <c r="AH58" s="180">
        <f>'[3]DES SKPD'!$N23</f>
        <v>24482700</v>
      </c>
      <c r="AI58" s="180">
        <v>0</v>
      </c>
      <c r="AJ58" s="181">
        <f t="shared" si="24"/>
        <v>0</v>
      </c>
      <c r="AK58" s="246">
        <f t="shared" si="27"/>
        <v>2808000</v>
      </c>
      <c r="AL58" s="181">
        <f t="shared" si="25"/>
        <v>100</v>
      </c>
      <c r="AM58" s="243"/>
    </row>
    <row r="59" spans="1:39" ht="23.25" customHeight="1" x14ac:dyDescent="0.25">
      <c r="A59" s="243"/>
      <c r="B59" s="341"/>
      <c r="C59" s="341"/>
      <c r="D59" s="341"/>
      <c r="E59" s="341"/>
      <c r="F59" s="341"/>
      <c r="G59" s="341"/>
      <c r="H59" s="341"/>
      <c r="I59" s="342"/>
      <c r="J59" s="341" t="s">
        <v>409</v>
      </c>
      <c r="K59" s="245"/>
      <c r="L59" s="257"/>
      <c r="M59" s="597" t="s">
        <v>410</v>
      </c>
      <c r="N59" s="598"/>
      <c r="O59" s="299"/>
      <c r="P59" s="180"/>
      <c r="Q59" s="180">
        <v>24000000</v>
      </c>
      <c r="R59" s="181">
        <f>Q59/Q$57*100</f>
        <v>6.3157894736842106</v>
      </c>
      <c r="S59" s="181">
        <v>102</v>
      </c>
      <c r="T59" s="180">
        <f t="shared" si="20"/>
        <v>0</v>
      </c>
      <c r="U59" s="180">
        <f t="shared" si="21"/>
        <v>0</v>
      </c>
      <c r="V59" s="182">
        <f t="shared" si="22"/>
        <v>102</v>
      </c>
      <c r="W59" s="180"/>
      <c r="X59" s="180"/>
      <c r="Y59" s="180"/>
      <c r="Z59" s="180"/>
      <c r="AA59" s="180"/>
      <c r="AB59" s="180"/>
      <c r="AC59" s="180"/>
      <c r="AD59" s="180"/>
      <c r="AE59" s="180"/>
      <c r="AF59" s="180"/>
      <c r="AG59" s="180"/>
      <c r="AH59" s="180"/>
      <c r="AI59" s="180">
        <v>0</v>
      </c>
      <c r="AJ59" s="181">
        <f>AI59/Q59*100</f>
        <v>0</v>
      </c>
      <c r="AK59" s="246">
        <f>Q59-AI59</f>
        <v>24000000</v>
      </c>
      <c r="AL59" s="181">
        <f>AK59/Q59*100</f>
        <v>100</v>
      </c>
      <c r="AM59" s="243"/>
    </row>
    <row r="60" spans="1:39" ht="48.75" customHeight="1" x14ac:dyDescent="0.25">
      <c r="A60" s="243"/>
      <c r="B60" s="341"/>
      <c r="C60" s="341"/>
      <c r="D60" s="341"/>
      <c r="E60" s="341"/>
      <c r="F60" s="341"/>
      <c r="G60" s="341"/>
      <c r="H60" s="341"/>
      <c r="I60" s="342"/>
      <c r="J60" s="341" t="s">
        <v>253</v>
      </c>
      <c r="K60" s="245"/>
      <c r="L60" s="257"/>
      <c r="M60" s="597" t="s">
        <v>254</v>
      </c>
      <c r="N60" s="598"/>
      <c r="O60" s="299"/>
      <c r="P60" s="180"/>
      <c r="Q60" s="180">
        <v>353192000</v>
      </c>
      <c r="R60" s="181">
        <f>Q60/Q$57*100</f>
        <v>92.945263157894743</v>
      </c>
      <c r="S60" s="181">
        <v>102</v>
      </c>
      <c r="T60" s="180">
        <f t="shared" si="20"/>
        <v>0</v>
      </c>
      <c r="U60" s="180">
        <f t="shared" si="21"/>
        <v>0</v>
      </c>
      <c r="V60" s="182">
        <f t="shared" si="22"/>
        <v>102</v>
      </c>
      <c r="W60" s="180"/>
      <c r="X60" s="180" t="e">
        <f>#REF!</f>
        <v>#REF!</v>
      </c>
      <c r="Y60" s="180" t="e">
        <f>#REF!</f>
        <v>#REF!</v>
      </c>
      <c r="Z60" s="180" t="e">
        <f>#REF!</f>
        <v>#REF!</v>
      </c>
      <c r="AA60" s="180" t="e">
        <f>#REF!</f>
        <v>#REF!</v>
      </c>
      <c r="AB60" s="180">
        <v>61516791</v>
      </c>
      <c r="AC60" s="180" t="e">
        <f>#REF!</f>
        <v>#REF!</v>
      </c>
      <c r="AD60" s="180" t="e">
        <f>#REF!</f>
        <v>#REF!</v>
      </c>
      <c r="AE60" s="180" t="e">
        <f>#REF!</f>
        <v>#REF!</v>
      </c>
      <c r="AF60" s="180" t="e">
        <f>[1]April!N24</f>
        <v>#REF!</v>
      </c>
      <c r="AG60" s="180" t="e">
        <f>[2]april!N24</f>
        <v>#REF!</v>
      </c>
      <c r="AH60" s="180">
        <f>'[3]DES SKPD'!$N24</f>
        <v>201339002</v>
      </c>
      <c r="AI60" s="180">
        <v>0</v>
      </c>
      <c r="AJ60" s="181">
        <f t="shared" si="24"/>
        <v>0</v>
      </c>
      <c r="AK60" s="246">
        <f t="shared" si="27"/>
        <v>353192000</v>
      </c>
      <c r="AL60" s="181">
        <f t="shared" si="25"/>
        <v>100</v>
      </c>
      <c r="AM60" s="243"/>
    </row>
    <row r="61" spans="1:39" s="297" customFormat="1" ht="45.75" customHeight="1" x14ac:dyDescent="0.25">
      <c r="A61" s="227">
        <f>A57+1</f>
        <v>3</v>
      </c>
      <c r="B61" s="615" t="s">
        <v>116</v>
      </c>
      <c r="C61" s="615"/>
      <c r="D61" s="615"/>
      <c r="E61" s="615"/>
      <c r="F61" s="615"/>
      <c r="G61" s="615"/>
      <c r="H61" s="615"/>
      <c r="I61" s="614"/>
      <c r="J61" s="346" t="s">
        <v>444</v>
      </c>
      <c r="K61" s="230"/>
      <c r="L61" s="294"/>
      <c r="M61" s="615" t="s">
        <v>117</v>
      </c>
      <c r="N61" s="614"/>
      <c r="O61" s="295">
        <v>32800000</v>
      </c>
      <c r="P61" s="231">
        <f>O61</f>
        <v>32800000</v>
      </c>
      <c r="Q61" s="231">
        <f>SUM(Q62)</f>
        <v>66540000</v>
      </c>
      <c r="R61" s="233">
        <f>Q61/Q$54*100</f>
        <v>2.6342942294865632</v>
      </c>
      <c r="S61" s="233">
        <v>100</v>
      </c>
      <c r="T61" s="231">
        <f t="shared" si="20"/>
        <v>0</v>
      </c>
      <c r="U61" s="231">
        <f t="shared" si="21"/>
        <v>0</v>
      </c>
      <c r="V61" s="296">
        <f t="shared" si="22"/>
        <v>100</v>
      </c>
      <c r="W61" s="231"/>
      <c r="X61" s="231" t="e">
        <f>#REF!</f>
        <v>#REF!</v>
      </c>
      <c r="Y61" s="231" t="e">
        <f>#REF!</f>
        <v>#REF!</v>
      </c>
      <c r="Z61" s="231" t="e">
        <f>#REF!</f>
        <v>#REF!</v>
      </c>
      <c r="AA61" s="231" t="e">
        <f>#REF!</f>
        <v>#REF!</v>
      </c>
      <c r="AB61" s="231">
        <v>9127800</v>
      </c>
      <c r="AC61" s="231" t="e">
        <f>#REF!</f>
        <v>#REF!</v>
      </c>
      <c r="AD61" s="231" t="e">
        <f>#REF!</f>
        <v>#REF!</v>
      </c>
      <c r="AE61" s="231" t="e">
        <f>#REF!</f>
        <v>#REF!</v>
      </c>
      <c r="AF61" s="231" t="e">
        <f>[1]April!N23</f>
        <v>#REF!</v>
      </c>
      <c r="AG61" s="231" t="e">
        <f>[2]april!N23</f>
        <v>#REF!</v>
      </c>
      <c r="AH61" s="231">
        <f>'[3]DES SKPD'!$N23</f>
        <v>24482700</v>
      </c>
      <c r="AI61" s="231">
        <f>SUM(AI62)</f>
        <v>0</v>
      </c>
      <c r="AJ61" s="233">
        <f t="shared" si="24"/>
        <v>0</v>
      </c>
      <c r="AK61" s="234">
        <f t="shared" si="27"/>
        <v>66540000</v>
      </c>
      <c r="AL61" s="233">
        <f t="shared" si="25"/>
        <v>100</v>
      </c>
      <c r="AM61" s="227"/>
    </row>
    <row r="62" spans="1:39" s="297" customFormat="1" ht="28.5" customHeight="1" x14ac:dyDescent="0.25">
      <c r="A62" s="227"/>
      <c r="B62" s="346"/>
      <c r="C62" s="346"/>
      <c r="D62" s="346"/>
      <c r="E62" s="346"/>
      <c r="F62" s="346"/>
      <c r="G62" s="346"/>
      <c r="H62" s="346"/>
      <c r="I62" s="345"/>
      <c r="J62" s="341" t="s">
        <v>255</v>
      </c>
      <c r="K62" s="245"/>
      <c r="L62" s="257"/>
      <c r="M62" s="597" t="s">
        <v>256</v>
      </c>
      <c r="N62" s="598"/>
      <c r="O62" s="299"/>
      <c r="P62" s="180"/>
      <c r="Q62" s="180">
        <v>66540000</v>
      </c>
      <c r="R62" s="181">
        <f>Q62/Q$61*100</f>
        <v>100</v>
      </c>
      <c r="S62" s="181">
        <v>100</v>
      </c>
      <c r="T62" s="180">
        <f t="shared" si="20"/>
        <v>0</v>
      </c>
      <c r="U62" s="180">
        <f t="shared" si="21"/>
        <v>0</v>
      </c>
      <c r="V62" s="182">
        <f t="shared" si="22"/>
        <v>100</v>
      </c>
      <c r="W62" s="180"/>
      <c r="X62" s="180" t="e">
        <f>#REF!</f>
        <v>#REF!</v>
      </c>
      <c r="Y62" s="180" t="e">
        <f>#REF!</f>
        <v>#REF!</v>
      </c>
      <c r="Z62" s="180" t="e">
        <f>#REF!</f>
        <v>#REF!</v>
      </c>
      <c r="AA62" s="180" t="e">
        <f>#REF!</f>
        <v>#REF!</v>
      </c>
      <c r="AB62" s="180">
        <v>9127801</v>
      </c>
      <c r="AC62" s="180" t="e">
        <f>#REF!</f>
        <v>#REF!</v>
      </c>
      <c r="AD62" s="180" t="e">
        <f>#REF!</f>
        <v>#REF!</v>
      </c>
      <c r="AE62" s="180" t="e">
        <f>#REF!</f>
        <v>#REF!</v>
      </c>
      <c r="AF62" s="180" t="e">
        <f>[1]April!N24</f>
        <v>#REF!</v>
      </c>
      <c r="AG62" s="180" t="e">
        <f>[2]april!N24</f>
        <v>#REF!</v>
      </c>
      <c r="AH62" s="180">
        <f>'[3]DES SKPD'!$N24</f>
        <v>201339002</v>
      </c>
      <c r="AI62" s="180">
        <v>0</v>
      </c>
      <c r="AJ62" s="181">
        <f t="shared" si="24"/>
        <v>0</v>
      </c>
      <c r="AK62" s="246">
        <f t="shared" si="27"/>
        <v>66540000</v>
      </c>
      <c r="AL62" s="181">
        <f t="shared" si="25"/>
        <v>100</v>
      </c>
      <c r="AM62" s="227"/>
    </row>
    <row r="63" spans="1:39" s="297" customFormat="1" ht="24.75" customHeight="1" x14ac:dyDescent="0.25">
      <c r="A63" s="227">
        <f>A61+1</f>
        <v>4</v>
      </c>
      <c r="B63" s="615" t="s">
        <v>118</v>
      </c>
      <c r="C63" s="615"/>
      <c r="D63" s="615"/>
      <c r="E63" s="615"/>
      <c r="F63" s="615"/>
      <c r="G63" s="615"/>
      <c r="H63" s="615"/>
      <c r="I63" s="614"/>
      <c r="J63" s="346" t="s">
        <v>445</v>
      </c>
      <c r="K63" s="230"/>
      <c r="L63" s="294"/>
      <c r="M63" s="615" t="s">
        <v>15</v>
      </c>
      <c r="N63" s="614"/>
      <c r="O63" s="295">
        <v>218550000</v>
      </c>
      <c r="P63" s="231">
        <f>O63</f>
        <v>218550000</v>
      </c>
      <c r="Q63" s="231">
        <f>SUM(Q64:Q66)</f>
        <v>336900000</v>
      </c>
      <c r="R63" s="233">
        <f>Q63/Q$54*100</f>
        <v>13.337747609167765</v>
      </c>
      <c r="S63" s="233">
        <v>100</v>
      </c>
      <c r="T63" s="231">
        <f t="shared" si="20"/>
        <v>0</v>
      </c>
      <c r="U63" s="231">
        <f t="shared" si="21"/>
        <v>0</v>
      </c>
      <c r="V63" s="296">
        <f t="shared" si="22"/>
        <v>100</v>
      </c>
      <c r="W63" s="231"/>
      <c r="X63" s="231" t="e">
        <f>#REF!</f>
        <v>#REF!</v>
      </c>
      <c r="Y63" s="231" t="e">
        <f>#REF!</f>
        <v>#REF!</v>
      </c>
      <c r="Z63" s="231" t="e">
        <f>#REF!</f>
        <v>#REF!</v>
      </c>
      <c r="AA63" s="231" t="e">
        <f>#REF!</f>
        <v>#REF!</v>
      </c>
      <c r="AB63" s="231">
        <v>103406334</v>
      </c>
      <c r="AC63" s="231" t="e">
        <f>#REF!</f>
        <v>#REF!</v>
      </c>
      <c r="AD63" s="231" t="e">
        <f>#REF!</f>
        <v>#REF!</v>
      </c>
      <c r="AE63" s="231" t="e">
        <f>#REF!</f>
        <v>#REF!</v>
      </c>
      <c r="AF63" s="231" t="e">
        <f>[1]April!N24</f>
        <v>#REF!</v>
      </c>
      <c r="AG63" s="231" t="e">
        <f>[2]april!N24</f>
        <v>#REF!</v>
      </c>
      <c r="AH63" s="231">
        <f>'[3]DES SKPD'!$N24</f>
        <v>201339002</v>
      </c>
      <c r="AI63" s="231">
        <f>SUM(AI64:AI66)</f>
        <v>0</v>
      </c>
      <c r="AJ63" s="233">
        <f t="shared" si="24"/>
        <v>0</v>
      </c>
      <c r="AK63" s="234">
        <f t="shared" si="27"/>
        <v>336900000</v>
      </c>
      <c r="AL63" s="233">
        <f t="shared" si="25"/>
        <v>100</v>
      </c>
      <c r="AM63" s="227"/>
    </row>
    <row r="64" spans="1:39" ht="24.75" customHeight="1" x14ac:dyDescent="0.25">
      <c r="A64" s="243"/>
      <c r="B64" s="341"/>
      <c r="C64" s="341"/>
      <c r="D64" s="341"/>
      <c r="E64" s="341"/>
      <c r="F64" s="341"/>
      <c r="G64" s="341"/>
      <c r="H64" s="341"/>
      <c r="I64" s="342"/>
      <c r="J64" s="341" t="s">
        <v>259</v>
      </c>
      <c r="K64" s="245"/>
      <c r="L64" s="257"/>
      <c r="M64" s="597" t="s">
        <v>260</v>
      </c>
      <c r="N64" s="598"/>
      <c r="O64" s="299"/>
      <c r="P64" s="180"/>
      <c r="Q64" s="180">
        <v>1500000</v>
      </c>
      <c r="R64" s="181">
        <f>Q64/Q$63*100</f>
        <v>0.44523597506678536</v>
      </c>
      <c r="S64" s="181">
        <v>100</v>
      </c>
      <c r="T64" s="180">
        <f t="shared" si="20"/>
        <v>0</v>
      </c>
      <c r="U64" s="180">
        <f t="shared" si="21"/>
        <v>0</v>
      </c>
      <c r="V64" s="182">
        <f t="shared" si="22"/>
        <v>100</v>
      </c>
      <c r="W64" s="180"/>
      <c r="X64" s="180" t="e">
        <f>#REF!</f>
        <v>#REF!</v>
      </c>
      <c r="Y64" s="180" t="e">
        <f>#REF!</f>
        <v>#REF!</v>
      </c>
      <c r="Z64" s="180" t="e">
        <f>#REF!</f>
        <v>#REF!</v>
      </c>
      <c r="AA64" s="180" t="e">
        <f>#REF!</f>
        <v>#REF!</v>
      </c>
      <c r="AB64" s="180">
        <v>103406335</v>
      </c>
      <c r="AC64" s="180" t="e">
        <f>#REF!</f>
        <v>#REF!</v>
      </c>
      <c r="AD64" s="180" t="e">
        <f>#REF!</f>
        <v>#REF!</v>
      </c>
      <c r="AE64" s="180" t="e">
        <f>#REF!</f>
        <v>#REF!</v>
      </c>
      <c r="AF64" s="180" t="e">
        <f>[1]April!N26</f>
        <v>#REF!</v>
      </c>
      <c r="AG64" s="180" t="e">
        <f>[2]april!N26</f>
        <v>#REF!</v>
      </c>
      <c r="AH64" s="180">
        <f>'[3]DES SKPD'!$N26</f>
        <v>449102800</v>
      </c>
      <c r="AI64" s="180">
        <v>0</v>
      </c>
      <c r="AJ64" s="181">
        <f t="shared" si="24"/>
        <v>0</v>
      </c>
      <c r="AK64" s="246">
        <f t="shared" si="27"/>
        <v>1500000</v>
      </c>
      <c r="AL64" s="181">
        <f t="shared" si="25"/>
        <v>100</v>
      </c>
      <c r="AM64" s="243"/>
    </row>
    <row r="65" spans="1:39" ht="26.25" customHeight="1" x14ac:dyDescent="0.25">
      <c r="A65" s="243"/>
      <c r="B65" s="341"/>
      <c r="C65" s="341"/>
      <c r="D65" s="341"/>
      <c r="E65" s="341"/>
      <c r="F65" s="341"/>
      <c r="G65" s="341"/>
      <c r="H65" s="341"/>
      <c r="I65" s="342"/>
      <c r="J65" s="341" t="s">
        <v>261</v>
      </c>
      <c r="K65" s="245"/>
      <c r="L65" s="257"/>
      <c r="M65" s="597" t="s">
        <v>262</v>
      </c>
      <c r="N65" s="598"/>
      <c r="O65" s="299"/>
      <c r="P65" s="180"/>
      <c r="Q65" s="180">
        <v>120000000</v>
      </c>
      <c r="R65" s="181">
        <f>Q65/Q$63*100</f>
        <v>35.618878005342829</v>
      </c>
      <c r="S65" s="181">
        <v>100</v>
      </c>
      <c r="T65" s="180">
        <f t="shared" si="20"/>
        <v>0</v>
      </c>
      <c r="U65" s="180">
        <f t="shared" si="21"/>
        <v>0</v>
      </c>
      <c r="V65" s="182">
        <f t="shared" si="22"/>
        <v>100</v>
      </c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>
        <v>0</v>
      </c>
      <c r="AJ65" s="181">
        <f t="shared" si="24"/>
        <v>0</v>
      </c>
      <c r="AK65" s="246">
        <f t="shared" si="27"/>
        <v>120000000</v>
      </c>
      <c r="AL65" s="181">
        <f t="shared" si="25"/>
        <v>100</v>
      </c>
      <c r="AM65" s="243"/>
    </row>
    <row r="66" spans="1:39" ht="24.75" customHeight="1" x14ac:dyDescent="0.25">
      <c r="A66" s="243"/>
      <c r="B66" s="341"/>
      <c r="C66" s="341"/>
      <c r="D66" s="341"/>
      <c r="E66" s="341"/>
      <c r="F66" s="341"/>
      <c r="G66" s="341"/>
      <c r="H66" s="341"/>
      <c r="I66" s="342"/>
      <c r="J66" s="341" t="s">
        <v>263</v>
      </c>
      <c r="K66" s="245"/>
      <c r="L66" s="257"/>
      <c r="M66" s="597" t="s">
        <v>264</v>
      </c>
      <c r="N66" s="598"/>
      <c r="O66" s="299"/>
      <c r="P66" s="180"/>
      <c r="Q66" s="180">
        <v>215400000</v>
      </c>
      <c r="R66" s="181">
        <f>Q66/Q$63*100</f>
        <v>63.935886019590384</v>
      </c>
      <c r="S66" s="181">
        <v>100</v>
      </c>
      <c r="T66" s="180">
        <f t="shared" si="20"/>
        <v>0</v>
      </c>
      <c r="U66" s="180">
        <f t="shared" si="21"/>
        <v>0</v>
      </c>
      <c r="V66" s="182">
        <f t="shared" si="22"/>
        <v>100</v>
      </c>
      <c r="W66" s="180"/>
      <c r="X66" s="180" t="e">
        <f>#REF!</f>
        <v>#REF!</v>
      </c>
      <c r="Y66" s="180" t="e">
        <f>#REF!</f>
        <v>#REF!</v>
      </c>
      <c r="Z66" s="180" t="e">
        <f>#REF!</f>
        <v>#REF!</v>
      </c>
      <c r="AA66" s="180" t="e">
        <f>#REF!</f>
        <v>#REF!</v>
      </c>
      <c r="AB66" s="180">
        <v>103406335</v>
      </c>
      <c r="AC66" s="180" t="e">
        <f>#REF!</f>
        <v>#REF!</v>
      </c>
      <c r="AD66" s="180" t="e">
        <f>#REF!</f>
        <v>#REF!</v>
      </c>
      <c r="AE66" s="180" t="e">
        <f>#REF!</f>
        <v>#REF!</v>
      </c>
      <c r="AF66" s="180" t="e">
        <f>[1]April!N26</f>
        <v>#REF!</v>
      </c>
      <c r="AG66" s="180" t="e">
        <f>[2]april!N26</f>
        <v>#REF!</v>
      </c>
      <c r="AH66" s="180">
        <f>'[3]DES SKPD'!$N26</f>
        <v>449102800</v>
      </c>
      <c r="AI66" s="180">
        <v>0</v>
      </c>
      <c r="AJ66" s="181">
        <f t="shared" si="24"/>
        <v>0</v>
      </c>
      <c r="AK66" s="246">
        <f t="shared" si="27"/>
        <v>215400000</v>
      </c>
      <c r="AL66" s="181">
        <f t="shared" si="25"/>
        <v>100</v>
      </c>
      <c r="AM66" s="243"/>
    </row>
    <row r="67" spans="1:39" s="297" customFormat="1" ht="24.75" customHeight="1" x14ac:dyDescent="0.25">
      <c r="A67" s="227">
        <f>A63+1</f>
        <v>5</v>
      </c>
      <c r="B67" s="615" t="s">
        <v>119</v>
      </c>
      <c r="C67" s="615"/>
      <c r="D67" s="615"/>
      <c r="E67" s="615"/>
      <c r="F67" s="615"/>
      <c r="G67" s="615"/>
      <c r="H67" s="615"/>
      <c r="I67" s="614"/>
      <c r="J67" s="346" t="s">
        <v>446</v>
      </c>
      <c r="K67" s="230"/>
      <c r="L67" s="294"/>
      <c r="M67" s="615" t="s">
        <v>16</v>
      </c>
      <c r="N67" s="614"/>
      <c r="O67" s="295">
        <v>201527500</v>
      </c>
      <c r="P67" s="231">
        <f>O67</f>
        <v>201527500</v>
      </c>
      <c r="Q67" s="231">
        <f>SUM(Q68:Q69)</f>
        <v>411693900</v>
      </c>
      <c r="R67" s="233">
        <f>Q67/Q$54*100</f>
        <v>16.298810716633877</v>
      </c>
      <c r="S67" s="233">
        <v>100</v>
      </c>
      <c r="T67" s="231">
        <f t="shared" si="20"/>
        <v>0</v>
      </c>
      <c r="U67" s="231">
        <f t="shared" si="21"/>
        <v>0</v>
      </c>
      <c r="V67" s="296">
        <f t="shared" si="22"/>
        <v>100</v>
      </c>
      <c r="W67" s="231"/>
      <c r="X67" s="231" t="e">
        <f>#REF!</f>
        <v>#REF!</v>
      </c>
      <c r="Y67" s="231" t="e">
        <f>#REF!</f>
        <v>#REF!</v>
      </c>
      <c r="Z67" s="231" t="e">
        <f>#REF!</f>
        <v>#REF!</v>
      </c>
      <c r="AA67" s="231" t="e">
        <f>#REF!</f>
        <v>#REF!</v>
      </c>
      <c r="AB67" s="231">
        <v>99905000</v>
      </c>
      <c r="AC67" s="231" t="e">
        <f>#REF!</f>
        <v>#REF!</v>
      </c>
      <c r="AD67" s="231" t="e">
        <f>#REF!</f>
        <v>#REF!</v>
      </c>
      <c r="AE67" s="231" t="e">
        <f>#REF!</f>
        <v>#REF!</v>
      </c>
      <c r="AF67" s="231" t="e">
        <f>[1]April!N25</f>
        <v>#REF!</v>
      </c>
      <c r="AG67" s="231" t="e">
        <f>[2]april!N25</f>
        <v>#REF!</v>
      </c>
      <c r="AH67" s="231">
        <f>'[3]DES SKPD'!$N25</f>
        <v>229473500</v>
      </c>
      <c r="AI67" s="231">
        <f>SUM(AI68:AI69)</f>
        <v>0</v>
      </c>
      <c r="AJ67" s="233">
        <f>AI67/Q67*100</f>
        <v>0</v>
      </c>
      <c r="AK67" s="234">
        <f>Q67-AI67</f>
        <v>411693900</v>
      </c>
      <c r="AL67" s="233">
        <f>AK67/Q67*100</f>
        <v>100</v>
      </c>
      <c r="AM67" s="227"/>
    </row>
    <row r="68" spans="1:39" ht="29.25" customHeight="1" x14ac:dyDescent="0.25">
      <c r="A68" s="243"/>
      <c r="B68" s="341"/>
      <c r="C68" s="341"/>
      <c r="D68" s="341"/>
      <c r="E68" s="341"/>
      <c r="F68" s="341"/>
      <c r="G68" s="341"/>
      <c r="H68" s="341"/>
      <c r="I68" s="342"/>
      <c r="J68" s="341" t="s">
        <v>259</v>
      </c>
      <c r="K68" s="245"/>
      <c r="L68" s="257"/>
      <c r="M68" s="597" t="s">
        <v>260</v>
      </c>
      <c r="N68" s="598"/>
      <c r="O68" s="299"/>
      <c r="P68" s="180"/>
      <c r="Q68" s="180">
        <v>2400000</v>
      </c>
      <c r="R68" s="181">
        <f>Q68/Q$67*100</f>
        <v>0.58295738654374041</v>
      </c>
      <c r="S68" s="181">
        <v>100</v>
      </c>
      <c r="T68" s="180">
        <f t="shared" si="20"/>
        <v>0</v>
      </c>
      <c r="U68" s="180">
        <f t="shared" si="21"/>
        <v>0</v>
      </c>
      <c r="V68" s="182">
        <f t="shared" si="22"/>
        <v>100</v>
      </c>
      <c r="W68" s="180"/>
      <c r="X68" s="180"/>
      <c r="Y68" s="180"/>
      <c r="Z68" s="180"/>
      <c r="AA68" s="180"/>
      <c r="AB68" s="180"/>
      <c r="AC68" s="180"/>
      <c r="AD68" s="180"/>
      <c r="AE68" s="180"/>
      <c r="AF68" s="180"/>
      <c r="AG68" s="180"/>
      <c r="AH68" s="180"/>
      <c r="AI68" s="180">
        <v>0</v>
      </c>
      <c r="AJ68" s="181">
        <f t="shared" si="24"/>
        <v>0</v>
      </c>
      <c r="AK68" s="246">
        <f t="shared" si="27"/>
        <v>2400000</v>
      </c>
      <c r="AL68" s="181">
        <f t="shared" si="25"/>
        <v>100</v>
      </c>
      <c r="AM68" s="243"/>
    </row>
    <row r="69" spans="1:39" ht="24.75" customHeight="1" x14ac:dyDescent="0.25">
      <c r="A69" s="243"/>
      <c r="B69" s="341"/>
      <c r="C69" s="341"/>
      <c r="D69" s="341"/>
      <c r="E69" s="341"/>
      <c r="F69" s="341"/>
      <c r="G69" s="341"/>
      <c r="H69" s="341"/>
      <c r="I69" s="342"/>
      <c r="J69" s="341" t="s">
        <v>265</v>
      </c>
      <c r="K69" s="245"/>
      <c r="L69" s="257"/>
      <c r="M69" s="597" t="s">
        <v>266</v>
      </c>
      <c r="N69" s="598"/>
      <c r="O69" s="299"/>
      <c r="P69" s="180"/>
      <c r="Q69" s="180">
        <v>409293900</v>
      </c>
      <c r="R69" s="181">
        <f>Q69/Q$67*100</f>
        <v>99.41704261345626</v>
      </c>
      <c r="S69" s="181">
        <v>100</v>
      </c>
      <c r="T69" s="180">
        <f t="shared" si="20"/>
        <v>0</v>
      </c>
      <c r="U69" s="180">
        <f t="shared" si="21"/>
        <v>0</v>
      </c>
      <c r="V69" s="182">
        <f t="shared" si="22"/>
        <v>100</v>
      </c>
      <c r="W69" s="180"/>
      <c r="X69" s="180"/>
      <c r="Y69" s="180"/>
      <c r="Z69" s="180"/>
      <c r="AA69" s="180"/>
      <c r="AB69" s="180"/>
      <c r="AC69" s="180"/>
      <c r="AD69" s="180"/>
      <c r="AE69" s="180"/>
      <c r="AF69" s="180"/>
      <c r="AG69" s="180"/>
      <c r="AH69" s="180"/>
      <c r="AI69" s="180">
        <v>0</v>
      </c>
      <c r="AJ69" s="181">
        <f t="shared" si="24"/>
        <v>0</v>
      </c>
      <c r="AK69" s="246">
        <f t="shared" si="27"/>
        <v>409293900</v>
      </c>
      <c r="AL69" s="181">
        <f t="shared" si="25"/>
        <v>100</v>
      </c>
      <c r="AM69" s="243"/>
    </row>
    <row r="70" spans="1:39" s="297" customFormat="1" ht="27.75" customHeight="1" x14ac:dyDescent="0.25">
      <c r="A70" s="227">
        <f>A67+1</f>
        <v>6</v>
      </c>
      <c r="B70" s="615" t="s">
        <v>120</v>
      </c>
      <c r="C70" s="615"/>
      <c r="D70" s="615"/>
      <c r="E70" s="615"/>
      <c r="F70" s="615"/>
      <c r="G70" s="615"/>
      <c r="H70" s="615"/>
      <c r="I70" s="614"/>
      <c r="J70" s="346" t="s">
        <v>447</v>
      </c>
      <c r="K70" s="230"/>
      <c r="L70" s="294"/>
      <c r="M70" s="615" t="s">
        <v>17</v>
      </c>
      <c r="N70" s="614"/>
      <c r="O70" s="295">
        <v>261210000</v>
      </c>
      <c r="P70" s="231">
        <f>O70</f>
        <v>261210000</v>
      </c>
      <c r="Q70" s="231">
        <f>SUM(Q71:Q75)</f>
        <v>422840000</v>
      </c>
      <c r="R70" s="233">
        <f>Q70/Q$54*100</f>
        <v>16.740080733334811</v>
      </c>
      <c r="S70" s="233">
        <v>100</v>
      </c>
      <c r="T70" s="231">
        <f t="shared" si="20"/>
        <v>0</v>
      </c>
      <c r="U70" s="231">
        <f t="shared" si="21"/>
        <v>0</v>
      </c>
      <c r="V70" s="296">
        <f t="shared" si="22"/>
        <v>100</v>
      </c>
      <c r="W70" s="231"/>
      <c r="X70" s="231" t="e">
        <f>#REF!</f>
        <v>#REF!</v>
      </c>
      <c r="Y70" s="231" t="e">
        <f>#REF!</f>
        <v>#REF!</v>
      </c>
      <c r="Z70" s="231" t="e">
        <f>#REF!</f>
        <v>#REF!</v>
      </c>
      <c r="AA70" s="231" t="e">
        <f>#REF!</f>
        <v>#REF!</v>
      </c>
      <c r="AB70" s="231">
        <v>171140000</v>
      </c>
      <c r="AC70" s="231" t="e">
        <f>#REF!</f>
        <v>#REF!</v>
      </c>
      <c r="AD70" s="231" t="e">
        <f>#REF!</f>
        <v>#REF!</v>
      </c>
      <c r="AE70" s="231" t="e">
        <f>#REF!</f>
        <v>#REF!</v>
      </c>
      <c r="AF70" s="231" t="e">
        <f>[1]April!N26</f>
        <v>#REF!</v>
      </c>
      <c r="AG70" s="231" t="e">
        <f>[2]april!N26</f>
        <v>#REF!</v>
      </c>
      <c r="AH70" s="231">
        <f>'[3]DES SKPD'!$N26</f>
        <v>449102800</v>
      </c>
      <c r="AI70" s="231">
        <f>SUM(AI71:AI75)</f>
        <v>0</v>
      </c>
      <c r="AJ70" s="233">
        <f t="shared" si="24"/>
        <v>0</v>
      </c>
      <c r="AK70" s="234">
        <f t="shared" si="27"/>
        <v>422840000</v>
      </c>
      <c r="AL70" s="233">
        <f t="shared" si="25"/>
        <v>100</v>
      </c>
      <c r="AM70" s="227"/>
    </row>
    <row r="71" spans="1:39" s="297" customFormat="1" ht="27.75" customHeight="1" x14ac:dyDescent="0.25">
      <c r="A71" s="227"/>
      <c r="B71" s="346"/>
      <c r="C71" s="346"/>
      <c r="D71" s="346"/>
      <c r="E71" s="346"/>
      <c r="F71" s="346"/>
      <c r="G71" s="346"/>
      <c r="H71" s="346"/>
      <c r="I71" s="345"/>
      <c r="J71" s="341" t="s">
        <v>259</v>
      </c>
      <c r="K71" s="245"/>
      <c r="L71" s="257"/>
      <c r="M71" s="597" t="s">
        <v>260</v>
      </c>
      <c r="N71" s="598"/>
      <c r="O71" s="299"/>
      <c r="P71" s="180"/>
      <c r="Q71" s="180">
        <v>2400000</v>
      </c>
      <c r="R71" s="181">
        <f>Q71/Q$70*100</f>
        <v>0.56759057799640522</v>
      </c>
      <c r="S71" s="181">
        <v>100</v>
      </c>
      <c r="T71" s="180">
        <f t="shared" si="20"/>
        <v>0</v>
      </c>
      <c r="U71" s="180">
        <f t="shared" si="21"/>
        <v>0</v>
      </c>
      <c r="V71" s="182">
        <f t="shared" si="22"/>
        <v>100</v>
      </c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>
        <v>0</v>
      </c>
      <c r="AJ71" s="181">
        <f t="shared" si="24"/>
        <v>0</v>
      </c>
      <c r="AK71" s="246">
        <f t="shared" si="27"/>
        <v>2400000</v>
      </c>
      <c r="AL71" s="181">
        <f t="shared" si="25"/>
        <v>100</v>
      </c>
      <c r="AM71" s="227"/>
    </row>
    <row r="72" spans="1:39" s="297" customFormat="1" ht="27.75" customHeight="1" x14ac:dyDescent="0.25">
      <c r="A72" s="227"/>
      <c r="B72" s="346"/>
      <c r="C72" s="346"/>
      <c r="D72" s="346"/>
      <c r="E72" s="346"/>
      <c r="F72" s="346"/>
      <c r="G72" s="346"/>
      <c r="H72" s="346"/>
      <c r="I72" s="345"/>
      <c r="J72" s="341" t="s">
        <v>267</v>
      </c>
      <c r="K72" s="245"/>
      <c r="L72" s="257"/>
      <c r="M72" s="597" t="s">
        <v>268</v>
      </c>
      <c r="N72" s="598"/>
      <c r="O72" s="299"/>
      <c r="P72" s="180"/>
      <c r="Q72" s="180">
        <v>8000000</v>
      </c>
      <c r="R72" s="181">
        <f>Q72/Q$70*100</f>
        <v>1.8919685933213508</v>
      </c>
      <c r="S72" s="181">
        <v>100</v>
      </c>
      <c r="T72" s="180">
        <f t="shared" si="20"/>
        <v>0</v>
      </c>
      <c r="U72" s="180">
        <f t="shared" si="21"/>
        <v>0</v>
      </c>
      <c r="V72" s="182">
        <f t="shared" si="22"/>
        <v>100</v>
      </c>
      <c r="W72" s="180"/>
      <c r="X72" s="180"/>
      <c r="Y72" s="180"/>
      <c r="Z72" s="180"/>
      <c r="AA72" s="180"/>
      <c r="AB72" s="180"/>
      <c r="AC72" s="180"/>
      <c r="AD72" s="180"/>
      <c r="AE72" s="180"/>
      <c r="AF72" s="180"/>
      <c r="AG72" s="180"/>
      <c r="AH72" s="180"/>
      <c r="AI72" s="180">
        <v>0</v>
      </c>
      <c r="AJ72" s="181">
        <f t="shared" si="24"/>
        <v>0</v>
      </c>
      <c r="AK72" s="246">
        <f t="shared" si="27"/>
        <v>8000000</v>
      </c>
      <c r="AL72" s="181">
        <f t="shared" si="25"/>
        <v>100</v>
      </c>
      <c r="AM72" s="227"/>
    </row>
    <row r="73" spans="1:39" s="297" customFormat="1" ht="27.75" customHeight="1" x14ac:dyDescent="0.25">
      <c r="A73" s="227"/>
      <c r="B73" s="346"/>
      <c r="C73" s="346"/>
      <c r="D73" s="346"/>
      <c r="E73" s="346"/>
      <c r="F73" s="346"/>
      <c r="G73" s="346"/>
      <c r="H73" s="346"/>
      <c r="I73" s="345"/>
      <c r="J73" s="341" t="s">
        <v>269</v>
      </c>
      <c r="K73" s="245"/>
      <c r="L73" s="257"/>
      <c r="M73" s="597" t="s">
        <v>270</v>
      </c>
      <c r="N73" s="598"/>
      <c r="O73" s="299"/>
      <c r="P73" s="180"/>
      <c r="Q73" s="180">
        <v>383113000</v>
      </c>
      <c r="R73" s="181">
        <f>Q73/Q$70*100</f>
        <v>90.604720461640326</v>
      </c>
      <c r="S73" s="181">
        <v>100</v>
      </c>
      <c r="T73" s="180">
        <f t="shared" si="20"/>
        <v>0</v>
      </c>
      <c r="U73" s="180">
        <f t="shared" si="21"/>
        <v>0</v>
      </c>
      <c r="V73" s="182">
        <f t="shared" si="22"/>
        <v>100</v>
      </c>
      <c r="W73" s="180"/>
      <c r="X73" s="180"/>
      <c r="Y73" s="180"/>
      <c r="Z73" s="180"/>
      <c r="AA73" s="180"/>
      <c r="AB73" s="180"/>
      <c r="AC73" s="180"/>
      <c r="AD73" s="180"/>
      <c r="AE73" s="180"/>
      <c r="AF73" s="180"/>
      <c r="AG73" s="180"/>
      <c r="AH73" s="180"/>
      <c r="AI73" s="180">
        <v>0</v>
      </c>
      <c r="AJ73" s="181">
        <f t="shared" si="24"/>
        <v>0</v>
      </c>
      <c r="AK73" s="246">
        <f t="shared" si="27"/>
        <v>383113000</v>
      </c>
      <c r="AL73" s="181">
        <f t="shared" si="25"/>
        <v>100</v>
      </c>
      <c r="AM73" s="227"/>
    </row>
    <row r="74" spans="1:39" s="297" customFormat="1" ht="27.75" customHeight="1" x14ac:dyDescent="0.25">
      <c r="A74" s="227"/>
      <c r="B74" s="346"/>
      <c r="C74" s="346"/>
      <c r="D74" s="346"/>
      <c r="E74" s="346"/>
      <c r="F74" s="346"/>
      <c r="G74" s="346"/>
      <c r="H74" s="346"/>
      <c r="I74" s="345"/>
      <c r="J74" s="341" t="s">
        <v>315</v>
      </c>
      <c r="K74" s="245"/>
      <c r="L74" s="257"/>
      <c r="M74" s="597" t="s">
        <v>271</v>
      </c>
      <c r="N74" s="598"/>
      <c r="O74" s="299"/>
      <c r="P74" s="180"/>
      <c r="Q74" s="180">
        <v>19327000</v>
      </c>
      <c r="R74" s="181">
        <f>Q74/Q$70*100</f>
        <v>4.5707596253902185</v>
      </c>
      <c r="S74" s="181">
        <v>100</v>
      </c>
      <c r="T74" s="180">
        <f t="shared" si="20"/>
        <v>0</v>
      </c>
      <c r="U74" s="180">
        <f t="shared" si="21"/>
        <v>0</v>
      </c>
      <c r="V74" s="182">
        <f t="shared" si="22"/>
        <v>100</v>
      </c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>
        <v>0</v>
      </c>
      <c r="AJ74" s="181">
        <f t="shared" si="24"/>
        <v>0</v>
      </c>
      <c r="AK74" s="246">
        <f t="shared" si="27"/>
        <v>19327000</v>
      </c>
      <c r="AL74" s="181">
        <f t="shared" si="25"/>
        <v>100</v>
      </c>
      <c r="AM74" s="227"/>
    </row>
    <row r="75" spans="1:39" s="297" customFormat="1" ht="27.75" customHeight="1" x14ac:dyDescent="0.25">
      <c r="A75" s="227"/>
      <c r="B75" s="346"/>
      <c r="C75" s="346"/>
      <c r="D75" s="346"/>
      <c r="E75" s="346"/>
      <c r="F75" s="346"/>
      <c r="G75" s="346"/>
      <c r="H75" s="346"/>
      <c r="I75" s="345"/>
      <c r="J75" s="341" t="s">
        <v>316</v>
      </c>
      <c r="K75" s="245"/>
      <c r="L75" s="257"/>
      <c r="M75" s="597" t="s">
        <v>317</v>
      </c>
      <c r="N75" s="598"/>
      <c r="O75" s="299"/>
      <c r="P75" s="180"/>
      <c r="Q75" s="180">
        <v>10000000</v>
      </c>
      <c r="R75" s="181">
        <f>Q75/Q$70*100</f>
        <v>2.3649607416516885</v>
      </c>
      <c r="S75" s="181">
        <v>100</v>
      </c>
      <c r="T75" s="180">
        <f t="shared" si="20"/>
        <v>0</v>
      </c>
      <c r="U75" s="180">
        <f t="shared" si="21"/>
        <v>0</v>
      </c>
      <c r="V75" s="182">
        <f t="shared" si="22"/>
        <v>100</v>
      </c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>
        <v>0</v>
      </c>
      <c r="AJ75" s="181">
        <f t="shared" si="24"/>
        <v>0</v>
      </c>
      <c r="AK75" s="246">
        <f t="shared" si="27"/>
        <v>10000000</v>
      </c>
      <c r="AL75" s="181">
        <f t="shared" si="25"/>
        <v>100</v>
      </c>
      <c r="AM75" s="227"/>
    </row>
    <row r="76" spans="1:39" s="297" customFormat="1" ht="28.5" customHeight="1" x14ac:dyDescent="0.25">
      <c r="A76" s="227">
        <f>A70+1</f>
        <v>7</v>
      </c>
      <c r="B76" s="615" t="s">
        <v>121</v>
      </c>
      <c r="C76" s="615"/>
      <c r="D76" s="615"/>
      <c r="E76" s="615"/>
      <c r="F76" s="615"/>
      <c r="G76" s="615"/>
      <c r="H76" s="615"/>
      <c r="I76" s="614"/>
      <c r="J76" s="346" t="s">
        <v>448</v>
      </c>
      <c r="K76" s="230"/>
      <c r="L76" s="294"/>
      <c r="M76" s="615" t="s">
        <v>18</v>
      </c>
      <c r="N76" s="614"/>
      <c r="O76" s="295">
        <v>20900000</v>
      </c>
      <c r="P76" s="231">
        <f>O76</f>
        <v>20900000</v>
      </c>
      <c r="Q76" s="231">
        <f>SUM(Q77:Q77)</f>
        <v>21100000</v>
      </c>
      <c r="R76" s="233">
        <f>Q76/Q$54*100</f>
        <v>0.83534127204939101</v>
      </c>
      <c r="S76" s="233">
        <v>100</v>
      </c>
      <c r="T76" s="231">
        <f t="shared" si="20"/>
        <v>0</v>
      </c>
      <c r="U76" s="231">
        <f t="shared" si="21"/>
        <v>0</v>
      </c>
      <c r="V76" s="296">
        <f t="shared" si="22"/>
        <v>100</v>
      </c>
      <c r="W76" s="231"/>
      <c r="X76" s="231" t="e">
        <f>#REF!</f>
        <v>#REF!</v>
      </c>
      <c r="Y76" s="231" t="e">
        <f>#REF!</f>
        <v>#REF!</v>
      </c>
      <c r="Z76" s="231" t="e">
        <f>#REF!</f>
        <v>#REF!</v>
      </c>
      <c r="AA76" s="231" t="e">
        <f>#REF!</f>
        <v>#REF!</v>
      </c>
      <c r="AB76" s="231">
        <v>12597300</v>
      </c>
      <c r="AC76" s="231" t="e">
        <f>#REF!</f>
        <v>#REF!</v>
      </c>
      <c r="AD76" s="231" t="e">
        <f>#REF!</f>
        <v>#REF!</v>
      </c>
      <c r="AE76" s="231" t="e">
        <f>#REF!</f>
        <v>#REF!</v>
      </c>
      <c r="AF76" s="231" t="e">
        <f>[1]April!N27</f>
        <v>#REF!</v>
      </c>
      <c r="AG76" s="231">
        <v>27808300</v>
      </c>
      <c r="AH76" s="231">
        <f>'[3]DES SKPD'!$N27</f>
        <v>35785800</v>
      </c>
      <c r="AI76" s="231">
        <f>SUM(AI77:AI77)</f>
        <v>0</v>
      </c>
      <c r="AJ76" s="233">
        <f t="shared" si="24"/>
        <v>0</v>
      </c>
      <c r="AK76" s="234">
        <f t="shared" si="27"/>
        <v>21100000</v>
      </c>
      <c r="AL76" s="233">
        <f t="shared" si="25"/>
        <v>100</v>
      </c>
      <c r="AM76" s="227"/>
    </row>
    <row r="77" spans="1:39" ht="36" customHeight="1" x14ac:dyDescent="0.25">
      <c r="A77" s="243"/>
      <c r="B77" s="341"/>
      <c r="C77" s="341"/>
      <c r="D77" s="341"/>
      <c r="E77" s="341"/>
      <c r="F77" s="341"/>
      <c r="G77" s="341"/>
      <c r="H77" s="341"/>
      <c r="I77" s="342"/>
      <c r="J77" s="341" t="s">
        <v>272</v>
      </c>
      <c r="K77" s="245"/>
      <c r="L77" s="257"/>
      <c r="M77" s="597" t="s">
        <v>429</v>
      </c>
      <c r="N77" s="598"/>
      <c r="O77" s="299"/>
      <c r="P77" s="180"/>
      <c r="Q77" s="180">
        <v>21100000</v>
      </c>
      <c r="R77" s="181">
        <f>Q77/Q$76*100</f>
        <v>100</v>
      </c>
      <c r="S77" s="181">
        <v>100</v>
      </c>
      <c r="T77" s="180">
        <f t="shared" si="20"/>
        <v>0</v>
      </c>
      <c r="U77" s="180">
        <f t="shared" si="21"/>
        <v>0</v>
      </c>
      <c r="V77" s="182">
        <f t="shared" si="22"/>
        <v>100</v>
      </c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231"/>
      <c r="AH77" s="180"/>
      <c r="AI77" s="180">
        <v>0</v>
      </c>
      <c r="AJ77" s="181">
        <f t="shared" si="24"/>
        <v>0</v>
      </c>
      <c r="AK77" s="246">
        <f t="shared" si="27"/>
        <v>21100000</v>
      </c>
      <c r="AL77" s="181">
        <f t="shared" si="25"/>
        <v>100</v>
      </c>
      <c r="AM77" s="243"/>
    </row>
    <row r="78" spans="1:39" s="297" customFormat="1" ht="29.25" customHeight="1" x14ac:dyDescent="0.25">
      <c r="A78" s="227">
        <f>A76+1</f>
        <v>8</v>
      </c>
      <c r="B78" s="346"/>
      <c r="C78" s="346"/>
      <c r="D78" s="346"/>
      <c r="E78" s="346"/>
      <c r="F78" s="346"/>
      <c r="G78" s="346"/>
      <c r="H78" s="346"/>
      <c r="I78" s="345"/>
      <c r="J78" s="346" t="s">
        <v>449</v>
      </c>
      <c r="K78" s="230"/>
      <c r="L78" s="294"/>
      <c r="M78" s="615" t="s">
        <v>196</v>
      </c>
      <c r="N78" s="614"/>
      <c r="O78" s="300"/>
      <c r="P78" s="231"/>
      <c r="Q78" s="231">
        <f>SUM(Q79:Q80)</f>
        <v>36200000</v>
      </c>
      <c r="R78" s="233">
        <f>Q78/Q$54*100</f>
        <v>1.4331447416202823</v>
      </c>
      <c r="S78" s="233">
        <v>100</v>
      </c>
      <c r="T78" s="231">
        <f t="shared" si="20"/>
        <v>0</v>
      </c>
      <c r="U78" s="231">
        <f t="shared" si="21"/>
        <v>0</v>
      </c>
      <c r="V78" s="296">
        <f t="shared" si="22"/>
        <v>100</v>
      </c>
      <c r="W78" s="231"/>
      <c r="X78" s="231" t="e">
        <f>#REF!</f>
        <v>#REF!</v>
      </c>
      <c r="Y78" s="231" t="e">
        <f>#REF!</f>
        <v>#REF!</v>
      </c>
      <c r="Z78" s="231" t="e">
        <f>#REF!</f>
        <v>#REF!</v>
      </c>
      <c r="AA78" s="231" t="e">
        <f>#REF!</f>
        <v>#REF!</v>
      </c>
      <c r="AB78" s="231">
        <v>12597300</v>
      </c>
      <c r="AC78" s="231" t="e">
        <f>#REF!</f>
        <v>#REF!</v>
      </c>
      <c r="AD78" s="231" t="e">
        <f>#REF!</f>
        <v>#REF!</v>
      </c>
      <c r="AE78" s="231" t="e">
        <f>#REF!</f>
        <v>#REF!</v>
      </c>
      <c r="AF78" s="231" t="e">
        <f>[1]April!N28</f>
        <v>#REF!</v>
      </c>
      <c r="AG78" s="231">
        <v>27808300</v>
      </c>
      <c r="AH78" s="231">
        <f>'[3]DES SKPD'!$N28</f>
        <v>46904000</v>
      </c>
      <c r="AI78" s="231">
        <f>SUM(AI79:AI80)</f>
        <v>0</v>
      </c>
      <c r="AJ78" s="233">
        <f t="shared" si="24"/>
        <v>0</v>
      </c>
      <c r="AK78" s="234">
        <f t="shared" si="27"/>
        <v>36200000</v>
      </c>
      <c r="AL78" s="233">
        <f t="shared" si="25"/>
        <v>100</v>
      </c>
      <c r="AM78" s="227"/>
    </row>
    <row r="79" spans="1:39" s="297" customFormat="1" ht="24.75" customHeight="1" x14ac:dyDescent="0.25">
      <c r="A79" s="227"/>
      <c r="B79" s="346"/>
      <c r="C79" s="346"/>
      <c r="D79" s="346"/>
      <c r="E79" s="346"/>
      <c r="F79" s="346"/>
      <c r="G79" s="346"/>
      <c r="H79" s="346"/>
      <c r="I79" s="345"/>
      <c r="J79" s="341" t="s">
        <v>411</v>
      </c>
      <c r="K79" s="230"/>
      <c r="L79" s="294"/>
      <c r="M79" s="597" t="s">
        <v>412</v>
      </c>
      <c r="N79" s="598"/>
      <c r="O79" s="300"/>
      <c r="P79" s="231"/>
      <c r="Q79" s="180">
        <v>17000000</v>
      </c>
      <c r="R79" s="181">
        <f>Q79/Q$78*100</f>
        <v>46.961325966850829</v>
      </c>
      <c r="S79" s="181">
        <v>100</v>
      </c>
      <c r="T79" s="180">
        <f t="shared" si="20"/>
        <v>0</v>
      </c>
      <c r="U79" s="180">
        <f t="shared" si="21"/>
        <v>0</v>
      </c>
      <c r="V79" s="182">
        <f t="shared" si="22"/>
        <v>100</v>
      </c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231"/>
      <c r="AH79" s="180"/>
      <c r="AI79" s="180">
        <v>0</v>
      </c>
      <c r="AJ79" s="181">
        <f t="shared" si="24"/>
        <v>0</v>
      </c>
      <c r="AK79" s="246">
        <f t="shared" si="27"/>
        <v>17000000</v>
      </c>
      <c r="AL79" s="181">
        <f t="shared" si="25"/>
        <v>100</v>
      </c>
      <c r="AM79" s="227"/>
    </row>
    <row r="80" spans="1:39" ht="24.75" customHeight="1" x14ac:dyDescent="0.25">
      <c r="A80" s="243"/>
      <c r="B80" s="341"/>
      <c r="C80" s="341"/>
      <c r="D80" s="341"/>
      <c r="E80" s="341"/>
      <c r="F80" s="341"/>
      <c r="G80" s="341"/>
      <c r="H80" s="341"/>
      <c r="I80" s="342"/>
      <c r="J80" s="341" t="s">
        <v>546</v>
      </c>
      <c r="K80" s="245"/>
      <c r="L80" s="257"/>
      <c r="M80" s="597" t="s">
        <v>431</v>
      </c>
      <c r="N80" s="598"/>
      <c r="O80" s="301"/>
      <c r="P80" s="180"/>
      <c r="Q80" s="180">
        <v>19200000</v>
      </c>
      <c r="R80" s="181">
        <f>Q80/Q$78*100</f>
        <v>53.038674033149171</v>
      </c>
      <c r="S80" s="181">
        <v>100</v>
      </c>
      <c r="T80" s="180">
        <f t="shared" si="20"/>
        <v>0</v>
      </c>
      <c r="U80" s="180">
        <f t="shared" si="21"/>
        <v>0</v>
      </c>
      <c r="V80" s="182">
        <f t="shared" si="22"/>
        <v>100</v>
      </c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231"/>
      <c r="AH80" s="180"/>
      <c r="AI80" s="180">
        <v>0</v>
      </c>
      <c r="AJ80" s="181">
        <f t="shared" si="24"/>
        <v>0</v>
      </c>
      <c r="AK80" s="246">
        <f t="shared" si="27"/>
        <v>19200000</v>
      </c>
      <c r="AL80" s="181">
        <f t="shared" si="25"/>
        <v>100</v>
      </c>
      <c r="AM80" s="243"/>
    </row>
    <row r="81" spans="1:39" s="297" customFormat="1" ht="31.5" customHeight="1" x14ac:dyDescent="0.25">
      <c r="A81" s="227">
        <f>A78+1</f>
        <v>9</v>
      </c>
      <c r="B81" s="615" t="s">
        <v>121</v>
      </c>
      <c r="C81" s="615"/>
      <c r="D81" s="615"/>
      <c r="E81" s="615"/>
      <c r="F81" s="615"/>
      <c r="G81" s="615"/>
      <c r="H81" s="615"/>
      <c r="I81" s="614"/>
      <c r="J81" s="346" t="s">
        <v>450</v>
      </c>
      <c r="K81" s="230"/>
      <c r="L81" s="294"/>
      <c r="M81" s="615" t="s">
        <v>19</v>
      </c>
      <c r="N81" s="614"/>
      <c r="O81" s="295">
        <v>50800000</v>
      </c>
      <c r="P81" s="231">
        <f>O81</f>
        <v>50800000</v>
      </c>
      <c r="Q81" s="302">
        <f>SUM(Q82:Q83)</f>
        <v>42270000</v>
      </c>
      <c r="R81" s="233">
        <f>Q81/Q$54*100</f>
        <v>1.6734538184610313</v>
      </c>
      <c r="S81" s="233">
        <v>100</v>
      </c>
      <c r="T81" s="231">
        <f t="shared" si="20"/>
        <v>0</v>
      </c>
      <c r="U81" s="231">
        <f t="shared" si="21"/>
        <v>0</v>
      </c>
      <c r="V81" s="296">
        <f t="shared" si="22"/>
        <v>100</v>
      </c>
      <c r="W81" s="231"/>
      <c r="X81" s="231" t="e">
        <f>#REF!</f>
        <v>#REF!</v>
      </c>
      <c r="Y81" s="231" t="e">
        <f>#REF!</f>
        <v>#REF!</v>
      </c>
      <c r="Z81" s="231" t="e">
        <f>#REF!</f>
        <v>#REF!</v>
      </c>
      <c r="AA81" s="231" t="e">
        <f>#REF!</f>
        <v>#REF!</v>
      </c>
      <c r="AB81" s="231">
        <v>23113500</v>
      </c>
      <c r="AC81" s="231" t="e">
        <f>#REF!</f>
        <v>#REF!</v>
      </c>
      <c r="AD81" s="231" t="e">
        <f>#REF!</f>
        <v>#REF!</v>
      </c>
      <c r="AE81" s="231" t="e">
        <f>#REF!</f>
        <v>#REF!</v>
      </c>
      <c r="AF81" s="231" t="e">
        <f>[1]April!N28</f>
        <v>#REF!</v>
      </c>
      <c r="AG81" s="231" t="e">
        <f>[2]april!N28</f>
        <v>#REF!</v>
      </c>
      <c r="AH81" s="231">
        <f>'[3]DES SKPD'!$N28</f>
        <v>46904000</v>
      </c>
      <c r="AI81" s="231">
        <f>SUM(AI82:AI83)</f>
        <v>0</v>
      </c>
      <c r="AJ81" s="233">
        <f t="shared" si="24"/>
        <v>0</v>
      </c>
      <c r="AK81" s="234">
        <f t="shared" si="27"/>
        <v>42270000</v>
      </c>
      <c r="AL81" s="233">
        <f t="shared" si="25"/>
        <v>100</v>
      </c>
      <c r="AM81" s="227"/>
    </row>
    <row r="82" spans="1:39" ht="24.75" customHeight="1" x14ac:dyDescent="0.25">
      <c r="A82" s="243"/>
      <c r="B82" s="341"/>
      <c r="C82" s="341"/>
      <c r="D82" s="341"/>
      <c r="E82" s="341"/>
      <c r="F82" s="341"/>
      <c r="G82" s="341"/>
      <c r="H82" s="341"/>
      <c r="I82" s="342"/>
      <c r="J82" s="341" t="s">
        <v>276</v>
      </c>
      <c r="K82" s="245"/>
      <c r="L82" s="257"/>
      <c r="M82" s="597" t="s">
        <v>277</v>
      </c>
      <c r="N82" s="598"/>
      <c r="O82" s="299"/>
      <c r="P82" s="180"/>
      <c r="Q82" s="180">
        <v>37600000</v>
      </c>
      <c r="R82" s="181">
        <f>Q82/Q$81*100</f>
        <v>88.951975396262128</v>
      </c>
      <c r="S82" s="181">
        <v>100</v>
      </c>
      <c r="T82" s="180">
        <f t="shared" si="20"/>
        <v>0</v>
      </c>
      <c r="U82" s="180">
        <f t="shared" si="21"/>
        <v>0</v>
      </c>
      <c r="V82" s="182">
        <f t="shared" si="22"/>
        <v>100</v>
      </c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>
        <v>0</v>
      </c>
      <c r="AJ82" s="181">
        <f t="shared" si="24"/>
        <v>0</v>
      </c>
      <c r="AK82" s="246">
        <f t="shared" si="27"/>
        <v>37600000</v>
      </c>
      <c r="AL82" s="181">
        <f t="shared" si="25"/>
        <v>100</v>
      </c>
      <c r="AM82" s="243"/>
    </row>
    <row r="83" spans="1:39" ht="39.75" customHeight="1" x14ac:dyDescent="0.25">
      <c r="A83" s="243"/>
      <c r="B83" s="341"/>
      <c r="C83" s="341"/>
      <c r="D83" s="341"/>
      <c r="E83" s="341"/>
      <c r="F83" s="341"/>
      <c r="G83" s="341"/>
      <c r="H83" s="341"/>
      <c r="I83" s="342"/>
      <c r="J83" s="341" t="s">
        <v>432</v>
      </c>
      <c r="K83" s="245"/>
      <c r="L83" s="257"/>
      <c r="M83" s="597" t="s">
        <v>433</v>
      </c>
      <c r="N83" s="598"/>
      <c r="O83" s="299"/>
      <c r="P83" s="180"/>
      <c r="Q83" s="180">
        <v>4670000</v>
      </c>
      <c r="R83" s="181">
        <f>Q83/Q$81*100</f>
        <v>11.048024603737876</v>
      </c>
      <c r="S83" s="181">
        <v>100</v>
      </c>
      <c r="T83" s="180">
        <f t="shared" si="20"/>
        <v>0</v>
      </c>
      <c r="U83" s="180">
        <f t="shared" si="21"/>
        <v>0</v>
      </c>
      <c r="V83" s="182">
        <f t="shared" si="22"/>
        <v>100</v>
      </c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>
        <v>0</v>
      </c>
      <c r="AJ83" s="181">
        <f t="shared" si="24"/>
        <v>0</v>
      </c>
      <c r="AK83" s="246">
        <f t="shared" si="27"/>
        <v>4670000</v>
      </c>
      <c r="AL83" s="181">
        <f t="shared" si="25"/>
        <v>100</v>
      </c>
      <c r="AM83" s="243"/>
    </row>
    <row r="84" spans="1:39" s="297" customFormat="1" ht="30.75" customHeight="1" x14ac:dyDescent="0.25">
      <c r="A84" s="227">
        <f>A81+1</f>
        <v>10</v>
      </c>
      <c r="B84" s="615" t="s">
        <v>122</v>
      </c>
      <c r="C84" s="615"/>
      <c r="D84" s="615"/>
      <c r="E84" s="615"/>
      <c r="F84" s="615"/>
      <c r="G84" s="615"/>
      <c r="H84" s="615"/>
      <c r="I84" s="614"/>
      <c r="J84" s="346" t="s">
        <v>451</v>
      </c>
      <c r="K84" s="230"/>
      <c r="L84" s="294"/>
      <c r="M84" s="615" t="s">
        <v>20</v>
      </c>
      <c r="N84" s="614"/>
      <c r="O84" s="295">
        <v>124190000</v>
      </c>
      <c r="P84" s="231">
        <f>O84</f>
        <v>124190000</v>
      </c>
      <c r="Q84" s="231">
        <f>SUM(Q85:Q86)</f>
        <v>118340000</v>
      </c>
      <c r="R84" s="233">
        <f>Q84/Q$54*100</f>
        <v>4.6850372575509454</v>
      </c>
      <c r="S84" s="233">
        <v>100</v>
      </c>
      <c r="T84" s="231">
        <f>AJ84</f>
        <v>0</v>
      </c>
      <c r="U84" s="231">
        <f t="shared" si="21"/>
        <v>0</v>
      </c>
      <c r="V84" s="296">
        <f t="shared" si="22"/>
        <v>100</v>
      </c>
      <c r="W84" s="231"/>
      <c r="X84" s="231" t="e">
        <f>#REF!</f>
        <v>#REF!</v>
      </c>
      <c r="Y84" s="231" t="e">
        <f>#REF!</f>
        <v>#REF!</v>
      </c>
      <c r="Z84" s="231" t="e">
        <f>#REF!</f>
        <v>#REF!</v>
      </c>
      <c r="AA84" s="231" t="e">
        <f>#REF!</f>
        <v>#REF!</v>
      </c>
      <c r="AB84" s="231">
        <v>53635000</v>
      </c>
      <c r="AC84" s="231" t="e">
        <f>#REF!</f>
        <v>#REF!</v>
      </c>
      <c r="AD84" s="231" t="e">
        <f>#REF!</f>
        <v>#REF!</v>
      </c>
      <c r="AE84" s="231" t="e">
        <f>#REF!</f>
        <v>#REF!</v>
      </c>
      <c r="AF84" s="231" t="e">
        <f>[1]April!N29</f>
        <v>#REF!</v>
      </c>
      <c r="AG84" s="231" t="e">
        <f>[2]april!N29</f>
        <v>#REF!</v>
      </c>
      <c r="AH84" s="231">
        <f>'[3]DES SKPD'!$N29</f>
        <v>138020848</v>
      </c>
      <c r="AI84" s="231">
        <f>SUM(AI85:AI86)</f>
        <v>0</v>
      </c>
      <c r="AJ84" s="233">
        <f t="shared" si="24"/>
        <v>0</v>
      </c>
      <c r="AK84" s="234">
        <f t="shared" si="27"/>
        <v>118340000</v>
      </c>
      <c r="AL84" s="233">
        <f t="shared" si="25"/>
        <v>100</v>
      </c>
      <c r="AM84" s="227"/>
    </row>
    <row r="85" spans="1:39" ht="32.25" customHeight="1" x14ac:dyDescent="0.25">
      <c r="A85" s="243"/>
      <c r="B85" s="341"/>
      <c r="C85" s="341"/>
      <c r="D85" s="341"/>
      <c r="E85" s="341"/>
      <c r="F85" s="341"/>
      <c r="G85" s="341"/>
      <c r="H85" s="341"/>
      <c r="I85" s="342"/>
      <c r="J85" s="341" t="s">
        <v>278</v>
      </c>
      <c r="K85" s="245"/>
      <c r="L85" s="257"/>
      <c r="M85" s="597" t="s">
        <v>279</v>
      </c>
      <c r="N85" s="598"/>
      <c r="O85" s="299"/>
      <c r="P85" s="180"/>
      <c r="Q85" s="180">
        <v>54000000</v>
      </c>
      <c r="R85" s="181">
        <f>Q85/Q$84*100</f>
        <v>45.631232043265172</v>
      </c>
      <c r="S85" s="181">
        <v>100</v>
      </c>
      <c r="T85" s="180">
        <f>AJ85</f>
        <v>0</v>
      </c>
      <c r="U85" s="180">
        <f t="shared" si="21"/>
        <v>0</v>
      </c>
      <c r="V85" s="182">
        <f t="shared" si="22"/>
        <v>100</v>
      </c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>
        <v>0</v>
      </c>
      <c r="AJ85" s="181">
        <f t="shared" si="24"/>
        <v>0</v>
      </c>
      <c r="AK85" s="246">
        <f t="shared" si="27"/>
        <v>54000000</v>
      </c>
      <c r="AL85" s="181">
        <f t="shared" si="25"/>
        <v>100</v>
      </c>
      <c r="AM85" s="243"/>
    </row>
    <row r="86" spans="1:39" ht="24.75" customHeight="1" x14ac:dyDescent="0.25">
      <c r="A86" s="243"/>
      <c r="B86" s="341"/>
      <c r="C86" s="341"/>
      <c r="D86" s="341"/>
      <c r="E86" s="341"/>
      <c r="F86" s="341"/>
      <c r="G86" s="341"/>
      <c r="H86" s="341"/>
      <c r="I86" s="342"/>
      <c r="J86" s="341" t="s">
        <v>280</v>
      </c>
      <c r="K86" s="245"/>
      <c r="L86" s="257"/>
      <c r="M86" s="597" t="s">
        <v>281</v>
      </c>
      <c r="N86" s="598"/>
      <c r="O86" s="299"/>
      <c r="P86" s="180"/>
      <c r="Q86" s="180">
        <v>64340000</v>
      </c>
      <c r="R86" s="181">
        <f>Q86/Q$84*100</f>
        <v>54.368767956734828</v>
      </c>
      <c r="S86" s="181">
        <v>100</v>
      </c>
      <c r="T86" s="180">
        <f>AJ86</f>
        <v>0</v>
      </c>
      <c r="U86" s="180">
        <f t="shared" si="21"/>
        <v>0</v>
      </c>
      <c r="V86" s="182">
        <f t="shared" si="22"/>
        <v>100</v>
      </c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>
        <v>0</v>
      </c>
      <c r="AJ86" s="181">
        <f t="shared" si="24"/>
        <v>0</v>
      </c>
      <c r="AK86" s="246">
        <f t="shared" si="27"/>
        <v>64340000</v>
      </c>
      <c r="AL86" s="181">
        <f t="shared" si="25"/>
        <v>100</v>
      </c>
      <c r="AM86" s="243"/>
    </row>
    <row r="87" spans="1:39" s="297" customFormat="1" ht="31.5" customHeight="1" x14ac:dyDescent="0.25">
      <c r="A87" s="227">
        <f>A84+1</f>
        <v>11</v>
      </c>
      <c r="B87" s="615" t="s">
        <v>123</v>
      </c>
      <c r="C87" s="615"/>
      <c r="D87" s="615"/>
      <c r="E87" s="615"/>
      <c r="F87" s="615"/>
      <c r="G87" s="615"/>
      <c r="H87" s="615"/>
      <c r="I87" s="614"/>
      <c r="J87" s="346" t="s">
        <v>452</v>
      </c>
      <c r="K87" s="230"/>
      <c r="L87" s="294"/>
      <c r="M87" s="615" t="s">
        <v>21</v>
      </c>
      <c r="N87" s="614"/>
      <c r="O87" s="295">
        <v>517929000</v>
      </c>
      <c r="P87" s="231">
        <f>O87</f>
        <v>517929000</v>
      </c>
      <c r="Q87" s="231">
        <f>SUM(Q88:Q88)</f>
        <v>483349844</v>
      </c>
      <c r="R87" s="233">
        <f>Q87/Q$54*100</f>
        <v>19.135643295347617</v>
      </c>
      <c r="S87" s="233">
        <v>100</v>
      </c>
      <c r="T87" s="231">
        <f t="shared" si="20"/>
        <v>0</v>
      </c>
      <c r="U87" s="231">
        <f>R87*T87/100</f>
        <v>0</v>
      </c>
      <c r="V87" s="296">
        <f t="shared" si="22"/>
        <v>100</v>
      </c>
      <c r="W87" s="231"/>
      <c r="X87" s="231" t="e">
        <f>#REF!</f>
        <v>#REF!</v>
      </c>
      <c r="Y87" s="231" t="e">
        <f>#REF!</f>
        <v>#REF!</v>
      </c>
      <c r="Z87" s="231" t="e">
        <f>#REF!</f>
        <v>#REF!</v>
      </c>
      <c r="AA87" s="231" t="e">
        <f>#REF!</f>
        <v>#REF!</v>
      </c>
      <c r="AB87" s="231">
        <v>317394150</v>
      </c>
      <c r="AC87" s="231" t="e">
        <f>#REF!</f>
        <v>#REF!</v>
      </c>
      <c r="AD87" s="231" t="e">
        <f>#REF!</f>
        <v>#REF!</v>
      </c>
      <c r="AE87" s="231" t="e">
        <f>#REF!</f>
        <v>#REF!</v>
      </c>
      <c r="AF87" s="231" t="e">
        <f>[1]April!N30</f>
        <v>#REF!</v>
      </c>
      <c r="AG87" s="231" t="e">
        <f>[2]april!N30</f>
        <v>#REF!</v>
      </c>
      <c r="AH87" s="231">
        <f>'[3]DES SKPD'!$N30</f>
        <v>660543350</v>
      </c>
      <c r="AI87" s="231">
        <f>SUM(AI88:AI88)</f>
        <v>0</v>
      </c>
      <c r="AJ87" s="233">
        <f t="shared" si="24"/>
        <v>0</v>
      </c>
      <c r="AK87" s="234">
        <f t="shared" si="27"/>
        <v>483349844</v>
      </c>
      <c r="AL87" s="233">
        <f t="shared" si="25"/>
        <v>100</v>
      </c>
      <c r="AM87" s="227"/>
    </row>
    <row r="88" spans="1:39" ht="26.25" customHeight="1" x14ac:dyDescent="0.25">
      <c r="A88" s="243"/>
      <c r="B88" s="341"/>
      <c r="C88" s="341"/>
      <c r="D88" s="341"/>
      <c r="E88" s="341"/>
      <c r="F88" s="341"/>
      <c r="G88" s="341"/>
      <c r="H88" s="341"/>
      <c r="I88" s="342"/>
      <c r="J88" s="341" t="s">
        <v>282</v>
      </c>
      <c r="K88" s="245"/>
      <c r="L88" s="257"/>
      <c r="M88" s="597" t="s">
        <v>283</v>
      </c>
      <c r="N88" s="598"/>
      <c r="O88" s="299"/>
      <c r="P88" s="180"/>
      <c r="Q88" s="180">
        <v>483349844</v>
      </c>
      <c r="R88" s="181">
        <f>Q88/Q$87*100</f>
        <v>100</v>
      </c>
      <c r="S88" s="181">
        <v>100</v>
      </c>
      <c r="T88" s="180">
        <f t="shared" si="20"/>
        <v>0</v>
      </c>
      <c r="U88" s="180">
        <f>R88*T88/100</f>
        <v>0</v>
      </c>
      <c r="V88" s="182">
        <f t="shared" si="22"/>
        <v>100</v>
      </c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>
        <v>0</v>
      </c>
      <c r="AJ88" s="181">
        <f t="shared" si="24"/>
        <v>0</v>
      </c>
      <c r="AK88" s="246">
        <f t="shared" si="27"/>
        <v>483349844</v>
      </c>
      <c r="AL88" s="181">
        <f t="shared" si="25"/>
        <v>100</v>
      </c>
      <c r="AM88" s="243"/>
    </row>
    <row r="89" spans="1:39" s="297" customFormat="1" ht="30.75" customHeight="1" x14ac:dyDescent="0.25">
      <c r="A89" s="227">
        <f>A87+1</f>
        <v>12</v>
      </c>
      <c r="B89" s="615" t="s">
        <v>124</v>
      </c>
      <c r="C89" s="615"/>
      <c r="D89" s="615"/>
      <c r="E89" s="615"/>
      <c r="F89" s="615"/>
      <c r="G89" s="615"/>
      <c r="H89" s="615"/>
      <c r="I89" s="614"/>
      <c r="J89" s="346" t="s">
        <v>453</v>
      </c>
      <c r="K89" s="230"/>
      <c r="L89" s="294"/>
      <c r="M89" s="615" t="s">
        <v>22</v>
      </c>
      <c r="N89" s="614"/>
      <c r="O89" s="295">
        <v>17600000</v>
      </c>
      <c r="P89" s="231">
        <f>O89</f>
        <v>17600000</v>
      </c>
      <c r="Q89" s="231">
        <f>SUM(Q90:Q90)</f>
        <v>31400000</v>
      </c>
      <c r="R89" s="233">
        <f>Q89/Q$54*100</f>
        <v>1.2431144996374826</v>
      </c>
      <c r="S89" s="233">
        <v>100</v>
      </c>
      <c r="T89" s="231">
        <f t="shared" si="20"/>
        <v>0</v>
      </c>
      <c r="U89" s="231">
        <f t="shared" si="21"/>
        <v>0</v>
      </c>
      <c r="V89" s="296">
        <f t="shared" si="22"/>
        <v>100</v>
      </c>
      <c r="W89" s="231"/>
      <c r="X89" s="231" t="e">
        <f>#REF!</f>
        <v>#REF!</v>
      </c>
      <c r="Y89" s="231" t="e">
        <f>#REF!</f>
        <v>#REF!</v>
      </c>
      <c r="Z89" s="231" t="e">
        <f>#REF!</f>
        <v>#REF!</v>
      </c>
      <c r="AA89" s="231" t="e">
        <f>#REF!</f>
        <v>#REF!</v>
      </c>
      <c r="AB89" s="231">
        <v>13150000</v>
      </c>
      <c r="AC89" s="231" t="e">
        <f>#REF!</f>
        <v>#REF!</v>
      </c>
      <c r="AD89" s="231" t="e">
        <f>#REF!</f>
        <v>#REF!</v>
      </c>
      <c r="AE89" s="231" t="e">
        <f>#REF!</f>
        <v>#REF!</v>
      </c>
      <c r="AF89" s="231" t="e">
        <f>[1]April!N31</f>
        <v>#REF!</v>
      </c>
      <c r="AG89" s="231" t="e">
        <f>[2]april!N31</f>
        <v>#REF!</v>
      </c>
      <c r="AH89" s="231">
        <f>'[3]DES SKPD'!$N31</f>
        <v>27445000</v>
      </c>
      <c r="AI89" s="231">
        <f>SUM(AI90:AI90)</f>
        <v>0</v>
      </c>
      <c r="AJ89" s="233">
        <f t="shared" si="24"/>
        <v>0</v>
      </c>
      <c r="AK89" s="234">
        <f t="shared" si="27"/>
        <v>31400000</v>
      </c>
      <c r="AL89" s="233">
        <f t="shared" si="25"/>
        <v>100</v>
      </c>
      <c r="AM89" s="227"/>
    </row>
    <row r="90" spans="1:39" ht="26.25" customHeight="1" x14ac:dyDescent="0.25">
      <c r="A90" s="243"/>
      <c r="B90" s="341"/>
      <c r="C90" s="341"/>
      <c r="D90" s="341"/>
      <c r="E90" s="341"/>
      <c r="F90" s="341"/>
      <c r="G90" s="341"/>
      <c r="H90" s="341"/>
      <c r="I90" s="342"/>
      <c r="J90" s="341" t="s">
        <v>284</v>
      </c>
      <c r="K90" s="245"/>
      <c r="L90" s="257"/>
      <c r="M90" s="597" t="s">
        <v>285</v>
      </c>
      <c r="N90" s="598"/>
      <c r="O90" s="299"/>
      <c r="P90" s="180"/>
      <c r="Q90" s="180">
        <v>31400000</v>
      </c>
      <c r="R90" s="181">
        <f>Q90/Q$89*100</f>
        <v>100</v>
      </c>
      <c r="S90" s="181">
        <v>100</v>
      </c>
      <c r="T90" s="180">
        <f t="shared" si="20"/>
        <v>0</v>
      </c>
      <c r="U90" s="180">
        <f>R90*T90/100</f>
        <v>0</v>
      </c>
      <c r="V90" s="182">
        <f t="shared" si="22"/>
        <v>100</v>
      </c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>
        <v>0</v>
      </c>
      <c r="AJ90" s="181">
        <f t="shared" si="24"/>
        <v>0</v>
      </c>
      <c r="AK90" s="246">
        <f t="shared" si="27"/>
        <v>31400000</v>
      </c>
      <c r="AL90" s="181">
        <f t="shared" si="25"/>
        <v>100</v>
      </c>
      <c r="AM90" s="243"/>
    </row>
    <row r="91" spans="1:39" ht="26.25" customHeight="1" x14ac:dyDescent="0.25">
      <c r="A91" s="227">
        <f>A89+1</f>
        <v>13</v>
      </c>
      <c r="B91" s="615" t="s">
        <v>124</v>
      </c>
      <c r="C91" s="615"/>
      <c r="D91" s="615"/>
      <c r="E91" s="615"/>
      <c r="F91" s="615"/>
      <c r="G91" s="615"/>
      <c r="H91" s="615"/>
      <c r="I91" s="614"/>
      <c r="J91" s="346" t="s">
        <v>547</v>
      </c>
      <c r="K91" s="230"/>
      <c r="L91" s="294"/>
      <c r="M91" s="615" t="s">
        <v>548</v>
      </c>
      <c r="N91" s="614"/>
      <c r="O91" s="295">
        <v>17600000</v>
      </c>
      <c r="P91" s="231">
        <f>O91</f>
        <v>17600000</v>
      </c>
      <c r="Q91" s="231">
        <f>SUM(Q92:Q104)</f>
        <v>71640000</v>
      </c>
      <c r="R91" s="233">
        <f>Q91/Q$54*100</f>
        <v>2.8362013615932877</v>
      </c>
      <c r="S91" s="233">
        <v>100</v>
      </c>
      <c r="T91" s="231">
        <f t="shared" si="20"/>
        <v>0</v>
      </c>
      <c r="U91" s="231">
        <f t="shared" ref="U91" si="28">R91*T91/100</f>
        <v>0</v>
      </c>
      <c r="V91" s="296">
        <f t="shared" si="22"/>
        <v>100</v>
      </c>
      <c r="W91" s="231"/>
      <c r="X91" s="231" t="e">
        <f>#REF!</f>
        <v>#REF!</v>
      </c>
      <c r="Y91" s="231" t="e">
        <f>#REF!</f>
        <v>#REF!</v>
      </c>
      <c r="Z91" s="231" t="e">
        <f>#REF!</f>
        <v>#REF!</v>
      </c>
      <c r="AA91" s="231" t="e">
        <f>#REF!</f>
        <v>#REF!</v>
      </c>
      <c r="AB91" s="231">
        <v>13150000</v>
      </c>
      <c r="AC91" s="231" t="e">
        <f>#REF!</f>
        <v>#REF!</v>
      </c>
      <c r="AD91" s="231" t="e">
        <f>#REF!</f>
        <v>#REF!</v>
      </c>
      <c r="AE91" s="231" t="e">
        <f>#REF!</f>
        <v>#REF!</v>
      </c>
      <c r="AF91" s="231" t="e">
        <f>[1]April!N33</f>
        <v>#REF!</v>
      </c>
      <c r="AG91" s="231" t="e">
        <f>[2]april!N33</f>
        <v>#REF!</v>
      </c>
      <c r="AH91" s="231" t="e">
        <f>'[3]DES SKPD'!$N33</f>
        <v>#REF!</v>
      </c>
      <c r="AI91" s="231">
        <f>SUM(AI92:AI104)</f>
        <v>0</v>
      </c>
      <c r="AJ91" s="233">
        <f t="shared" si="24"/>
        <v>0</v>
      </c>
      <c r="AK91" s="234">
        <f t="shared" si="27"/>
        <v>71640000</v>
      </c>
      <c r="AL91" s="233">
        <f t="shared" si="25"/>
        <v>100</v>
      </c>
      <c r="AM91" s="227"/>
    </row>
    <row r="92" spans="1:39" ht="26.25" customHeight="1" x14ac:dyDescent="0.25">
      <c r="A92" s="243"/>
      <c r="B92" s="341"/>
      <c r="C92" s="341"/>
      <c r="D92" s="341"/>
      <c r="E92" s="341"/>
      <c r="F92" s="341"/>
      <c r="G92" s="341"/>
      <c r="H92" s="341"/>
      <c r="I92" s="342"/>
      <c r="J92" s="341" t="s">
        <v>265</v>
      </c>
      <c r="K92" s="245"/>
      <c r="L92" s="257"/>
      <c r="M92" s="597" t="s">
        <v>266</v>
      </c>
      <c r="N92" s="598"/>
      <c r="O92" s="299"/>
      <c r="P92" s="180"/>
      <c r="Q92" s="180">
        <v>12590000</v>
      </c>
      <c r="R92" s="181">
        <f>Q92/Q$89*100</f>
        <v>40.095541401273884</v>
      </c>
      <c r="S92" s="181">
        <v>100</v>
      </c>
      <c r="T92" s="180">
        <f t="shared" si="20"/>
        <v>0</v>
      </c>
      <c r="U92" s="180">
        <f>R92*T92/100</f>
        <v>0</v>
      </c>
      <c r="V92" s="182">
        <f t="shared" si="22"/>
        <v>100</v>
      </c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>
        <v>0</v>
      </c>
      <c r="AJ92" s="181">
        <f t="shared" si="24"/>
        <v>0</v>
      </c>
      <c r="AK92" s="246">
        <f t="shared" si="27"/>
        <v>12590000</v>
      </c>
      <c r="AL92" s="181">
        <f t="shared" si="25"/>
        <v>100</v>
      </c>
      <c r="AM92" s="243"/>
    </row>
    <row r="93" spans="1:39" ht="26.25" customHeight="1" x14ac:dyDescent="0.25">
      <c r="A93" s="243"/>
      <c r="B93" s="341"/>
      <c r="C93" s="341"/>
      <c r="D93" s="341"/>
      <c r="E93" s="341"/>
      <c r="F93" s="341"/>
      <c r="G93" s="341"/>
      <c r="H93" s="341"/>
      <c r="I93" s="342"/>
      <c r="J93" s="341" t="s">
        <v>272</v>
      </c>
      <c r="K93" s="245"/>
      <c r="L93" s="257"/>
      <c r="M93" s="597" t="s">
        <v>429</v>
      </c>
      <c r="N93" s="598"/>
      <c r="O93" s="299"/>
      <c r="P93" s="180"/>
      <c r="Q93" s="180">
        <v>3000000</v>
      </c>
      <c r="R93" s="181">
        <f t="shared" ref="R93:R104" si="29">Q93/Q$89*100</f>
        <v>9.5541401273885356</v>
      </c>
      <c r="S93" s="181">
        <v>100</v>
      </c>
      <c r="T93" s="180">
        <f t="shared" si="20"/>
        <v>0</v>
      </c>
      <c r="U93" s="180">
        <f t="shared" ref="U93:U105" si="30">R93*T93/100</f>
        <v>0</v>
      </c>
      <c r="V93" s="182">
        <f t="shared" si="22"/>
        <v>100</v>
      </c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>
        <v>0</v>
      </c>
      <c r="AJ93" s="181">
        <f t="shared" si="24"/>
        <v>0</v>
      </c>
      <c r="AK93" s="246">
        <f t="shared" si="27"/>
        <v>3000000</v>
      </c>
      <c r="AL93" s="181">
        <f t="shared" si="25"/>
        <v>100</v>
      </c>
      <c r="AM93" s="243"/>
    </row>
    <row r="94" spans="1:39" ht="26.25" customHeight="1" x14ac:dyDescent="0.25">
      <c r="A94" s="243"/>
      <c r="B94" s="341"/>
      <c r="C94" s="341"/>
      <c r="D94" s="341"/>
      <c r="E94" s="341"/>
      <c r="F94" s="341"/>
      <c r="G94" s="341"/>
      <c r="H94" s="341"/>
      <c r="I94" s="342"/>
      <c r="J94" s="341" t="s">
        <v>249</v>
      </c>
      <c r="K94" s="245"/>
      <c r="L94" s="257"/>
      <c r="M94" s="597" t="s">
        <v>250</v>
      </c>
      <c r="N94" s="598"/>
      <c r="O94" s="299"/>
      <c r="P94" s="180"/>
      <c r="Q94" s="180">
        <v>390000</v>
      </c>
      <c r="R94" s="181">
        <f t="shared" si="29"/>
        <v>1.2420382165605097</v>
      </c>
      <c r="S94" s="181">
        <v>100</v>
      </c>
      <c r="T94" s="180">
        <f t="shared" si="20"/>
        <v>0</v>
      </c>
      <c r="U94" s="180">
        <f t="shared" si="30"/>
        <v>0</v>
      </c>
      <c r="V94" s="182">
        <f t="shared" si="22"/>
        <v>100</v>
      </c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>
        <v>0</v>
      </c>
      <c r="AJ94" s="181">
        <f t="shared" si="24"/>
        <v>0</v>
      </c>
      <c r="AK94" s="246">
        <f t="shared" si="27"/>
        <v>390000</v>
      </c>
      <c r="AL94" s="181">
        <f t="shared" si="25"/>
        <v>100</v>
      </c>
      <c r="AM94" s="243"/>
    </row>
    <row r="95" spans="1:39" ht="26.25" customHeight="1" x14ac:dyDescent="0.25">
      <c r="A95" s="243"/>
      <c r="B95" s="341"/>
      <c r="C95" s="341"/>
      <c r="D95" s="341"/>
      <c r="E95" s="341"/>
      <c r="F95" s="341"/>
      <c r="G95" s="341"/>
      <c r="H95" s="341"/>
      <c r="I95" s="342"/>
      <c r="J95" s="341" t="s">
        <v>261</v>
      </c>
      <c r="K95" s="245"/>
      <c r="L95" s="257"/>
      <c r="M95" s="597" t="s">
        <v>262</v>
      </c>
      <c r="N95" s="598"/>
      <c r="O95" s="299"/>
      <c r="P95" s="180"/>
      <c r="Q95" s="180">
        <v>3700000</v>
      </c>
      <c r="R95" s="181">
        <f t="shared" si="29"/>
        <v>11.783439490445859</v>
      </c>
      <c r="S95" s="181">
        <v>100</v>
      </c>
      <c r="T95" s="180">
        <f t="shared" si="20"/>
        <v>0</v>
      </c>
      <c r="U95" s="180">
        <f t="shared" si="30"/>
        <v>0</v>
      </c>
      <c r="V95" s="182">
        <f t="shared" si="22"/>
        <v>100</v>
      </c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>
        <v>0</v>
      </c>
      <c r="AJ95" s="181">
        <f t="shared" si="24"/>
        <v>0</v>
      </c>
      <c r="AK95" s="246">
        <f t="shared" si="27"/>
        <v>3700000</v>
      </c>
      <c r="AL95" s="181">
        <f t="shared" si="25"/>
        <v>100</v>
      </c>
      <c r="AM95" s="243"/>
    </row>
    <row r="96" spans="1:39" ht="26.25" customHeight="1" x14ac:dyDescent="0.25">
      <c r="A96" s="243"/>
      <c r="B96" s="341"/>
      <c r="C96" s="341"/>
      <c r="D96" s="341"/>
      <c r="E96" s="341"/>
      <c r="F96" s="341"/>
      <c r="G96" s="341"/>
      <c r="H96" s="341"/>
      <c r="I96" s="342"/>
      <c r="J96" s="341" t="s">
        <v>315</v>
      </c>
      <c r="K96" s="245"/>
      <c r="L96" s="257"/>
      <c r="M96" s="597" t="s">
        <v>271</v>
      </c>
      <c r="N96" s="598"/>
      <c r="O96" s="299"/>
      <c r="P96" s="180"/>
      <c r="Q96" s="180">
        <v>2000000</v>
      </c>
      <c r="R96" s="181">
        <f t="shared" si="29"/>
        <v>6.369426751592357</v>
      </c>
      <c r="S96" s="181">
        <v>100</v>
      </c>
      <c r="T96" s="180">
        <f t="shared" si="20"/>
        <v>0</v>
      </c>
      <c r="U96" s="180">
        <f t="shared" si="30"/>
        <v>0</v>
      </c>
      <c r="V96" s="182">
        <f t="shared" si="22"/>
        <v>100</v>
      </c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>
        <v>0</v>
      </c>
      <c r="AJ96" s="181">
        <f t="shared" si="24"/>
        <v>0</v>
      </c>
      <c r="AK96" s="246">
        <f t="shared" si="27"/>
        <v>2000000</v>
      </c>
      <c r="AL96" s="181">
        <f t="shared" si="25"/>
        <v>100</v>
      </c>
      <c r="AM96" s="243"/>
    </row>
    <row r="97" spans="1:39" ht="26.25" customHeight="1" x14ac:dyDescent="0.25">
      <c r="A97" s="243"/>
      <c r="B97" s="341"/>
      <c r="C97" s="341"/>
      <c r="D97" s="341"/>
      <c r="E97" s="341"/>
      <c r="F97" s="341"/>
      <c r="G97" s="341"/>
      <c r="H97" s="341"/>
      <c r="I97" s="342"/>
      <c r="J97" s="341" t="s">
        <v>278</v>
      </c>
      <c r="K97" s="245"/>
      <c r="L97" s="257"/>
      <c r="M97" s="597" t="s">
        <v>279</v>
      </c>
      <c r="N97" s="598"/>
      <c r="O97" s="299"/>
      <c r="P97" s="180"/>
      <c r="Q97" s="180">
        <v>2160000</v>
      </c>
      <c r="R97" s="181">
        <f t="shared" si="29"/>
        <v>6.8789808917197455</v>
      </c>
      <c r="S97" s="181">
        <v>100</v>
      </c>
      <c r="T97" s="180">
        <f t="shared" si="20"/>
        <v>0</v>
      </c>
      <c r="U97" s="180">
        <f t="shared" si="30"/>
        <v>0</v>
      </c>
      <c r="V97" s="182">
        <f t="shared" si="22"/>
        <v>100</v>
      </c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>
        <v>0</v>
      </c>
      <c r="AJ97" s="181">
        <f t="shared" si="24"/>
        <v>0</v>
      </c>
      <c r="AK97" s="246">
        <f t="shared" si="27"/>
        <v>2160000</v>
      </c>
      <c r="AL97" s="181">
        <f t="shared" si="25"/>
        <v>100</v>
      </c>
      <c r="AM97" s="243"/>
    </row>
    <row r="98" spans="1:39" ht="26.25" customHeight="1" x14ac:dyDescent="0.25">
      <c r="A98" s="243"/>
      <c r="B98" s="341"/>
      <c r="C98" s="341"/>
      <c r="D98" s="341"/>
      <c r="E98" s="341"/>
      <c r="F98" s="341"/>
      <c r="G98" s="341"/>
      <c r="H98" s="341"/>
      <c r="I98" s="342"/>
      <c r="J98" s="341" t="s">
        <v>284</v>
      </c>
      <c r="K98" s="245"/>
      <c r="L98" s="257"/>
      <c r="M98" s="597" t="s">
        <v>285</v>
      </c>
      <c r="N98" s="598"/>
      <c r="O98" s="299"/>
      <c r="P98" s="180"/>
      <c r="Q98" s="180">
        <v>15000000</v>
      </c>
      <c r="R98" s="181">
        <f t="shared" si="29"/>
        <v>47.770700636942678</v>
      </c>
      <c r="S98" s="181">
        <v>100</v>
      </c>
      <c r="T98" s="180">
        <f t="shared" si="20"/>
        <v>0</v>
      </c>
      <c r="U98" s="180">
        <f t="shared" si="30"/>
        <v>0</v>
      </c>
      <c r="V98" s="182">
        <f t="shared" si="22"/>
        <v>100</v>
      </c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>
        <v>0</v>
      </c>
      <c r="AJ98" s="181">
        <f t="shared" si="24"/>
        <v>0</v>
      </c>
      <c r="AK98" s="246">
        <f t="shared" si="27"/>
        <v>15000000</v>
      </c>
      <c r="AL98" s="181">
        <f t="shared" si="25"/>
        <v>100</v>
      </c>
      <c r="AM98" s="243"/>
    </row>
    <row r="99" spans="1:39" ht="26.25" customHeight="1" x14ac:dyDescent="0.25">
      <c r="A99" s="243"/>
      <c r="B99" s="341"/>
      <c r="C99" s="341"/>
      <c r="D99" s="341"/>
      <c r="E99" s="341"/>
      <c r="F99" s="341"/>
      <c r="G99" s="341"/>
      <c r="H99" s="341"/>
      <c r="I99" s="342"/>
      <c r="J99" s="341" t="s">
        <v>282</v>
      </c>
      <c r="K99" s="245"/>
      <c r="L99" s="257"/>
      <c r="M99" s="597" t="s">
        <v>503</v>
      </c>
      <c r="N99" s="598"/>
      <c r="O99" s="299"/>
      <c r="P99" s="180"/>
      <c r="Q99" s="180">
        <v>10000000</v>
      </c>
      <c r="R99" s="181">
        <f t="shared" si="29"/>
        <v>31.847133757961782</v>
      </c>
      <c r="S99" s="181">
        <v>100</v>
      </c>
      <c r="T99" s="180">
        <f t="shared" si="20"/>
        <v>0</v>
      </c>
      <c r="U99" s="180">
        <f t="shared" si="30"/>
        <v>0</v>
      </c>
      <c r="V99" s="182">
        <f t="shared" si="22"/>
        <v>100</v>
      </c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>
        <v>0</v>
      </c>
      <c r="AJ99" s="181">
        <f t="shared" si="24"/>
        <v>0</v>
      </c>
      <c r="AK99" s="246">
        <f t="shared" si="27"/>
        <v>10000000</v>
      </c>
      <c r="AL99" s="181">
        <f t="shared" si="25"/>
        <v>100</v>
      </c>
      <c r="AM99" s="243"/>
    </row>
    <row r="100" spans="1:39" ht="26.25" customHeight="1" x14ac:dyDescent="0.25">
      <c r="A100" s="243"/>
      <c r="B100" s="341"/>
      <c r="C100" s="341"/>
      <c r="D100" s="341"/>
      <c r="E100" s="341"/>
      <c r="F100" s="341"/>
      <c r="G100" s="341"/>
      <c r="H100" s="341"/>
      <c r="I100" s="342"/>
      <c r="J100" s="341" t="s">
        <v>304</v>
      </c>
      <c r="K100" s="245"/>
      <c r="L100" s="257"/>
      <c r="M100" s="597" t="s">
        <v>549</v>
      </c>
      <c r="N100" s="598"/>
      <c r="O100" s="299"/>
      <c r="P100" s="180"/>
      <c r="Q100" s="180">
        <v>6000000</v>
      </c>
      <c r="R100" s="181">
        <f t="shared" si="29"/>
        <v>19.108280254777071</v>
      </c>
      <c r="S100" s="181">
        <v>100</v>
      </c>
      <c r="T100" s="180">
        <f t="shared" si="20"/>
        <v>0</v>
      </c>
      <c r="U100" s="180">
        <f t="shared" si="30"/>
        <v>0</v>
      </c>
      <c r="V100" s="182">
        <f t="shared" si="22"/>
        <v>100</v>
      </c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>
        <v>0</v>
      </c>
      <c r="AJ100" s="181">
        <f t="shared" si="24"/>
        <v>0</v>
      </c>
      <c r="AK100" s="246">
        <f t="shared" si="27"/>
        <v>6000000</v>
      </c>
      <c r="AL100" s="181">
        <f t="shared" si="25"/>
        <v>100</v>
      </c>
      <c r="AM100" s="243"/>
    </row>
    <row r="101" spans="1:39" ht="26.25" customHeight="1" x14ac:dyDescent="0.25">
      <c r="A101" s="243"/>
      <c r="B101" s="341"/>
      <c r="C101" s="341"/>
      <c r="D101" s="341"/>
      <c r="E101" s="341"/>
      <c r="F101" s="341"/>
      <c r="G101" s="341"/>
      <c r="H101" s="341"/>
      <c r="I101" s="342"/>
      <c r="J101" s="341" t="s">
        <v>551</v>
      </c>
      <c r="K101" s="245"/>
      <c r="L101" s="257"/>
      <c r="M101" s="597" t="s">
        <v>550</v>
      </c>
      <c r="N101" s="598"/>
      <c r="O101" s="299"/>
      <c r="P101" s="180"/>
      <c r="Q101" s="180">
        <v>10800000</v>
      </c>
      <c r="R101" s="181">
        <f t="shared" si="29"/>
        <v>34.394904458598724</v>
      </c>
      <c r="S101" s="181">
        <v>100</v>
      </c>
      <c r="T101" s="180">
        <f t="shared" si="20"/>
        <v>0</v>
      </c>
      <c r="U101" s="180">
        <f t="shared" si="30"/>
        <v>0</v>
      </c>
      <c r="V101" s="182">
        <f t="shared" si="22"/>
        <v>100</v>
      </c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>
        <v>0</v>
      </c>
      <c r="AJ101" s="181">
        <f t="shared" si="24"/>
        <v>0</v>
      </c>
      <c r="AK101" s="246">
        <f t="shared" si="27"/>
        <v>10800000</v>
      </c>
      <c r="AL101" s="181">
        <f t="shared" si="25"/>
        <v>100</v>
      </c>
      <c r="AM101" s="243"/>
    </row>
    <row r="102" spans="1:39" ht="26.25" customHeight="1" x14ac:dyDescent="0.25">
      <c r="A102" s="243"/>
      <c r="B102" s="341"/>
      <c r="C102" s="341"/>
      <c r="D102" s="341"/>
      <c r="E102" s="341"/>
      <c r="F102" s="341"/>
      <c r="G102" s="341"/>
      <c r="H102" s="341"/>
      <c r="I102" s="342"/>
      <c r="J102" s="341" t="s">
        <v>553</v>
      </c>
      <c r="K102" s="245"/>
      <c r="L102" s="257"/>
      <c r="M102" s="597" t="s">
        <v>552</v>
      </c>
      <c r="N102" s="598"/>
      <c r="O102" s="299"/>
      <c r="P102" s="180"/>
      <c r="Q102" s="180">
        <v>1500000</v>
      </c>
      <c r="R102" s="181">
        <f t="shared" si="29"/>
        <v>4.7770700636942678</v>
      </c>
      <c r="S102" s="181">
        <v>100</v>
      </c>
      <c r="T102" s="180">
        <f t="shared" si="20"/>
        <v>0</v>
      </c>
      <c r="U102" s="180">
        <f t="shared" si="30"/>
        <v>0</v>
      </c>
      <c r="V102" s="182">
        <f t="shared" si="22"/>
        <v>100</v>
      </c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>
        <v>0</v>
      </c>
      <c r="AJ102" s="181">
        <f t="shared" si="24"/>
        <v>0</v>
      </c>
      <c r="AK102" s="246">
        <f t="shared" si="27"/>
        <v>1500000</v>
      </c>
      <c r="AL102" s="181">
        <f t="shared" si="25"/>
        <v>100</v>
      </c>
      <c r="AM102" s="243"/>
    </row>
    <row r="103" spans="1:39" ht="26.25" customHeight="1" x14ac:dyDescent="0.25">
      <c r="A103" s="243"/>
      <c r="B103" s="341"/>
      <c r="C103" s="341"/>
      <c r="D103" s="341"/>
      <c r="E103" s="341"/>
      <c r="F103" s="341"/>
      <c r="G103" s="341"/>
      <c r="H103" s="341"/>
      <c r="I103" s="342"/>
      <c r="J103" s="341" t="s">
        <v>554</v>
      </c>
      <c r="K103" s="245"/>
      <c r="L103" s="257"/>
      <c r="M103" s="597" t="s">
        <v>431</v>
      </c>
      <c r="N103" s="598"/>
      <c r="O103" s="299"/>
      <c r="P103" s="180"/>
      <c r="Q103" s="180">
        <v>2000000</v>
      </c>
      <c r="R103" s="181">
        <f t="shared" si="29"/>
        <v>6.369426751592357</v>
      </c>
      <c r="S103" s="181">
        <v>100</v>
      </c>
      <c r="T103" s="180">
        <f t="shared" si="20"/>
        <v>0</v>
      </c>
      <c r="U103" s="180">
        <f t="shared" si="30"/>
        <v>0</v>
      </c>
      <c r="V103" s="182">
        <f t="shared" si="22"/>
        <v>100</v>
      </c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>
        <v>0</v>
      </c>
      <c r="AJ103" s="181">
        <f t="shared" si="24"/>
        <v>0</v>
      </c>
      <c r="AK103" s="246">
        <f t="shared" si="27"/>
        <v>2000000</v>
      </c>
      <c r="AL103" s="181">
        <f t="shared" si="25"/>
        <v>100</v>
      </c>
      <c r="AM103" s="243"/>
    </row>
    <row r="104" spans="1:39" ht="26.25" customHeight="1" x14ac:dyDescent="0.25">
      <c r="A104" s="243"/>
      <c r="B104" s="341"/>
      <c r="C104" s="341"/>
      <c r="D104" s="341"/>
      <c r="E104" s="341"/>
      <c r="F104" s="341"/>
      <c r="G104" s="341"/>
      <c r="H104" s="341"/>
      <c r="I104" s="342"/>
      <c r="J104" s="341" t="s">
        <v>274</v>
      </c>
      <c r="K104" s="245"/>
      <c r="L104" s="257"/>
      <c r="M104" s="597" t="s">
        <v>555</v>
      </c>
      <c r="N104" s="598"/>
      <c r="O104" s="299"/>
      <c r="P104" s="180"/>
      <c r="Q104" s="180">
        <v>2500000</v>
      </c>
      <c r="R104" s="181">
        <f t="shared" si="29"/>
        <v>7.9617834394904454</v>
      </c>
      <c r="S104" s="181">
        <v>100</v>
      </c>
      <c r="T104" s="180">
        <f t="shared" si="20"/>
        <v>0</v>
      </c>
      <c r="U104" s="180">
        <f t="shared" si="30"/>
        <v>0</v>
      </c>
      <c r="V104" s="182">
        <f t="shared" si="22"/>
        <v>100</v>
      </c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>
        <v>0</v>
      </c>
      <c r="AJ104" s="181">
        <f t="shared" si="24"/>
        <v>0</v>
      </c>
      <c r="AK104" s="246">
        <f t="shared" si="27"/>
        <v>2500000</v>
      </c>
      <c r="AL104" s="181">
        <f t="shared" si="25"/>
        <v>100</v>
      </c>
      <c r="AM104" s="243"/>
    </row>
    <row r="105" spans="1:39" ht="26.25" customHeight="1" x14ac:dyDescent="0.25">
      <c r="A105" s="227">
        <f>A91+1</f>
        <v>14</v>
      </c>
      <c r="B105" s="615" t="s">
        <v>124</v>
      </c>
      <c r="C105" s="615"/>
      <c r="D105" s="615"/>
      <c r="E105" s="615"/>
      <c r="F105" s="615"/>
      <c r="G105" s="615"/>
      <c r="H105" s="615"/>
      <c r="I105" s="614"/>
      <c r="J105" s="346" t="s">
        <v>547</v>
      </c>
      <c r="K105" s="230"/>
      <c r="L105" s="294"/>
      <c r="M105" s="615" t="s">
        <v>556</v>
      </c>
      <c r="N105" s="614"/>
      <c r="O105" s="295">
        <v>17600000</v>
      </c>
      <c r="P105" s="231">
        <f>O105</f>
        <v>17600000</v>
      </c>
      <c r="Q105" s="231">
        <f>SUM(Q106:Q118)</f>
        <v>76640000</v>
      </c>
      <c r="R105" s="233">
        <f>Q105/Q$54*100</f>
        <v>3.0341495303253714</v>
      </c>
      <c r="S105" s="233">
        <v>100</v>
      </c>
      <c r="T105" s="231">
        <f t="shared" si="20"/>
        <v>0</v>
      </c>
      <c r="U105" s="231">
        <f t="shared" si="30"/>
        <v>0</v>
      </c>
      <c r="V105" s="296">
        <f t="shared" si="22"/>
        <v>100</v>
      </c>
      <c r="W105" s="231"/>
      <c r="X105" s="231" t="e">
        <f>#REF!</f>
        <v>#REF!</v>
      </c>
      <c r="Y105" s="231" t="e">
        <f>#REF!</f>
        <v>#REF!</v>
      </c>
      <c r="Z105" s="231" t="e">
        <f>#REF!</f>
        <v>#REF!</v>
      </c>
      <c r="AA105" s="231" t="e">
        <f>#REF!</f>
        <v>#REF!</v>
      </c>
      <c r="AB105" s="231">
        <v>13150000</v>
      </c>
      <c r="AC105" s="231" t="e">
        <f>#REF!</f>
        <v>#REF!</v>
      </c>
      <c r="AD105" s="231" t="e">
        <f>#REF!</f>
        <v>#REF!</v>
      </c>
      <c r="AE105" s="231" t="e">
        <f>#REF!</f>
        <v>#REF!</v>
      </c>
      <c r="AF105" s="231" t="e">
        <f>[1]April!N47</f>
        <v>#REF!</v>
      </c>
      <c r="AG105" s="231" t="e">
        <f>[2]april!N47</f>
        <v>#REF!</v>
      </c>
      <c r="AH105" s="231" t="e">
        <f>'[3]DES SKPD'!$N47</f>
        <v>#REF!</v>
      </c>
      <c r="AI105" s="231">
        <f>SUM(AI106:AI118)</f>
        <v>0</v>
      </c>
      <c r="AJ105" s="233">
        <f t="shared" si="24"/>
        <v>0</v>
      </c>
      <c r="AK105" s="234">
        <f t="shared" si="27"/>
        <v>76640000</v>
      </c>
      <c r="AL105" s="233">
        <f t="shared" si="25"/>
        <v>100</v>
      </c>
      <c r="AM105" s="243"/>
    </row>
    <row r="106" spans="1:39" ht="26.25" customHeight="1" x14ac:dyDescent="0.25">
      <c r="A106" s="243"/>
      <c r="B106" s="341"/>
      <c r="C106" s="341"/>
      <c r="D106" s="341"/>
      <c r="E106" s="341"/>
      <c r="F106" s="341"/>
      <c r="G106" s="341"/>
      <c r="H106" s="341"/>
      <c r="I106" s="342"/>
      <c r="J106" s="341" t="s">
        <v>265</v>
      </c>
      <c r="K106" s="245"/>
      <c r="L106" s="257"/>
      <c r="M106" s="597" t="s">
        <v>266</v>
      </c>
      <c r="N106" s="598"/>
      <c r="O106" s="299"/>
      <c r="P106" s="180"/>
      <c r="Q106" s="180">
        <v>6530000</v>
      </c>
      <c r="R106" s="181">
        <f t="shared" ref="R106:R118" si="31">Q106/Q$89*100</f>
        <v>20.796178343949045</v>
      </c>
      <c r="S106" s="181">
        <v>100</v>
      </c>
      <c r="T106" s="180">
        <f t="shared" si="20"/>
        <v>0</v>
      </c>
      <c r="U106" s="180">
        <f>R106*T106/100</f>
        <v>0</v>
      </c>
      <c r="V106" s="182">
        <f t="shared" si="22"/>
        <v>100</v>
      </c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>
        <v>0</v>
      </c>
      <c r="AJ106" s="181">
        <f t="shared" si="24"/>
        <v>0</v>
      </c>
      <c r="AK106" s="246">
        <f t="shared" si="27"/>
        <v>6530000</v>
      </c>
      <c r="AL106" s="181">
        <f t="shared" si="25"/>
        <v>100</v>
      </c>
      <c r="AM106" s="243"/>
    </row>
    <row r="107" spans="1:39" ht="26.25" customHeight="1" x14ac:dyDescent="0.25">
      <c r="A107" s="243"/>
      <c r="B107" s="341"/>
      <c r="C107" s="341"/>
      <c r="D107" s="341"/>
      <c r="E107" s="341"/>
      <c r="F107" s="341"/>
      <c r="G107" s="341"/>
      <c r="H107" s="341"/>
      <c r="I107" s="342"/>
      <c r="J107" s="341" t="s">
        <v>272</v>
      </c>
      <c r="K107" s="245"/>
      <c r="L107" s="257"/>
      <c r="M107" s="597" t="s">
        <v>429</v>
      </c>
      <c r="N107" s="598"/>
      <c r="O107" s="299"/>
      <c r="P107" s="180"/>
      <c r="Q107" s="180">
        <v>2000000</v>
      </c>
      <c r="R107" s="181">
        <f t="shared" si="31"/>
        <v>6.369426751592357</v>
      </c>
      <c r="S107" s="181">
        <v>100</v>
      </c>
      <c r="T107" s="180">
        <f t="shared" si="20"/>
        <v>0</v>
      </c>
      <c r="U107" s="180">
        <f t="shared" ref="U107:U118" si="32">R107*T107/100</f>
        <v>0</v>
      </c>
      <c r="V107" s="182">
        <f t="shared" si="22"/>
        <v>100</v>
      </c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>
        <v>0</v>
      </c>
      <c r="AJ107" s="181">
        <f t="shared" si="24"/>
        <v>0</v>
      </c>
      <c r="AK107" s="246">
        <f t="shared" si="27"/>
        <v>2000000</v>
      </c>
      <c r="AL107" s="181">
        <f t="shared" si="25"/>
        <v>100</v>
      </c>
      <c r="AM107" s="243"/>
    </row>
    <row r="108" spans="1:39" ht="26.25" customHeight="1" x14ac:dyDescent="0.25">
      <c r="A108" s="243"/>
      <c r="B108" s="341"/>
      <c r="C108" s="341"/>
      <c r="D108" s="341"/>
      <c r="E108" s="341"/>
      <c r="F108" s="341"/>
      <c r="G108" s="341"/>
      <c r="H108" s="341"/>
      <c r="I108" s="342"/>
      <c r="J108" s="341" t="s">
        <v>249</v>
      </c>
      <c r="K108" s="245"/>
      <c r="L108" s="257"/>
      <c r="M108" s="597" t="s">
        <v>250</v>
      </c>
      <c r="N108" s="598"/>
      <c r="O108" s="299"/>
      <c r="P108" s="180"/>
      <c r="Q108" s="180">
        <v>240000</v>
      </c>
      <c r="R108" s="181">
        <f t="shared" si="31"/>
        <v>0.76433121019108285</v>
      </c>
      <c r="S108" s="181">
        <v>100</v>
      </c>
      <c r="T108" s="180">
        <f t="shared" si="20"/>
        <v>0</v>
      </c>
      <c r="U108" s="180">
        <f t="shared" si="32"/>
        <v>0</v>
      </c>
      <c r="V108" s="182">
        <f t="shared" si="22"/>
        <v>100</v>
      </c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>
        <v>0</v>
      </c>
      <c r="AJ108" s="181">
        <f t="shared" si="24"/>
        <v>0</v>
      </c>
      <c r="AK108" s="246">
        <f t="shared" si="27"/>
        <v>240000</v>
      </c>
      <c r="AL108" s="181">
        <f t="shared" si="25"/>
        <v>100</v>
      </c>
      <c r="AM108" s="243"/>
    </row>
    <row r="109" spans="1:39" ht="26.25" customHeight="1" x14ac:dyDescent="0.25">
      <c r="A109" s="243"/>
      <c r="B109" s="341"/>
      <c r="C109" s="341"/>
      <c r="D109" s="341"/>
      <c r="E109" s="341"/>
      <c r="F109" s="341"/>
      <c r="G109" s="341"/>
      <c r="H109" s="341"/>
      <c r="I109" s="342"/>
      <c r="J109" s="341" t="s">
        <v>261</v>
      </c>
      <c r="K109" s="245"/>
      <c r="L109" s="257"/>
      <c r="M109" s="597" t="s">
        <v>262</v>
      </c>
      <c r="N109" s="598"/>
      <c r="O109" s="299"/>
      <c r="P109" s="180"/>
      <c r="Q109" s="180">
        <v>3300000</v>
      </c>
      <c r="R109" s="181">
        <f t="shared" si="31"/>
        <v>10.509554140127388</v>
      </c>
      <c r="S109" s="181">
        <v>100</v>
      </c>
      <c r="T109" s="180">
        <f t="shared" si="20"/>
        <v>0</v>
      </c>
      <c r="U109" s="180">
        <f t="shared" si="32"/>
        <v>0</v>
      </c>
      <c r="V109" s="182">
        <f t="shared" si="22"/>
        <v>100</v>
      </c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>
        <v>0</v>
      </c>
      <c r="AJ109" s="181">
        <f t="shared" si="24"/>
        <v>0</v>
      </c>
      <c r="AK109" s="246">
        <f t="shared" si="27"/>
        <v>3300000</v>
      </c>
      <c r="AL109" s="181">
        <f t="shared" si="25"/>
        <v>100</v>
      </c>
      <c r="AM109" s="243"/>
    </row>
    <row r="110" spans="1:39" ht="26.25" customHeight="1" x14ac:dyDescent="0.25">
      <c r="A110" s="243"/>
      <c r="B110" s="341"/>
      <c r="C110" s="341"/>
      <c r="D110" s="341"/>
      <c r="E110" s="341"/>
      <c r="F110" s="341"/>
      <c r="G110" s="341"/>
      <c r="H110" s="341"/>
      <c r="I110" s="342"/>
      <c r="J110" s="341" t="s">
        <v>409</v>
      </c>
      <c r="K110" s="245"/>
      <c r="L110" s="257"/>
      <c r="M110" s="597" t="s">
        <v>410</v>
      </c>
      <c r="N110" s="598"/>
      <c r="O110" s="299"/>
      <c r="P110" s="180"/>
      <c r="Q110" s="180">
        <v>12000000</v>
      </c>
      <c r="R110" s="181">
        <f t="shared" si="31"/>
        <v>38.216560509554142</v>
      </c>
      <c r="S110" s="181">
        <v>101</v>
      </c>
      <c r="T110" s="180">
        <f t="shared" si="20"/>
        <v>0</v>
      </c>
      <c r="U110" s="180">
        <f t="shared" si="32"/>
        <v>0</v>
      </c>
      <c r="V110" s="182">
        <f t="shared" si="22"/>
        <v>101</v>
      </c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>
        <v>0</v>
      </c>
      <c r="AJ110" s="181">
        <f t="shared" si="24"/>
        <v>0</v>
      </c>
      <c r="AK110" s="246">
        <f t="shared" si="27"/>
        <v>12000000</v>
      </c>
      <c r="AL110" s="181">
        <f t="shared" si="25"/>
        <v>100</v>
      </c>
      <c r="AM110" s="243"/>
    </row>
    <row r="111" spans="1:39" ht="26.25" customHeight="1" x14ac:dyDescent="0.25">
      <c r="A111" s="243"/>
      <c r="B111" s="341"/>
      <c r="C111" s="341"/>
      <c r="D111" s="341"/>
      <c r="E111" s="341"/>
      <c r="F111" s="341"/>
      <c r="G111" s="341"/>
      <c r="H111" s="341"/>
      <c r="I111" s="342"/>
      <c r="J111" s="341" t="s">
        <v>315</v>
      </c>
      <c r="K111" s="245"/>
      <c r="L111" s="257"/>
      <c r="M111" s="597" t="s">
        <v>271</v>
      </c>
      <c r="N111" s="598"/>
      <c r="O111" s="299"/>
      <c r="P111" s="180"/>
      <c r="Q111" s="180">
        <v>2000000</v>
      </c>
      <c r="R111" s="181">
        <f t="shared" si="31"/>
        <v>6.369426751592357</v>
      </c>
      <c r="S111" s="181">
        <v>100</v>
      </c>
      <c r="T111" s="180">
        <f t="shared" si="20"/>
        <v>0</v>
      </c>
      <c r="U111" s="180">
        <f t="shared" si="32"/>
        <v>0</v>
      </c>
      <c r="V111" s="182">
        <f t="shared" si="22"/>
        <v>100</v>
      </c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>
        <v>0</v>
      </c>
      <c r="AJ111" s="181">
        <f t="shared" si="24"/>
        <v>0</v>
      </c>
      <c r="AK111" s="246">
        <f t="shared" si="27"/>
        <v>2000000</v>
      </c>
      <c r="AL111" s="181">
        <f t="shared" si="25"/>
        <v>100</v>
      </c>
      <c r="AM111" s="243"/>
    </row>
    <row r="112" spans="1:39" ht="26.25" customHeight="1" x14ac:dyDescent="0.25">
      <c r="A112" s="243"/>
      <c r="B112" s="341"/>
      <c r="C112" s="341"/>
      <c r="D112" s="341"/>
      <c r="E112" s="341"/>
      <c r="F112" s="341"/>
      <c r="G112" s="341"/>
      <c r="H112" s="341"/>
      <c r="I112" s="342"/>
      <c r="J112" s="341" t="s">
        <v>278</v>
      </c>
      <c r="K112" s="245"/>
      <c r="L112" s="257"/>
      <c r="M112" s="597" t="s">
        <v>279</v>
      </c>
      <c r="N112" s="598"/>
      <c r="O112" s="299"/>
      <c r="P112" s="180"/>
      <c r="Q112" s="180">
        <v>2160000</v>
      </c>
      <c r="R112" s="181">
        <f t="shared" si="31"/>
        <v>6.8789808917197455</v>
      </c>
      <c r="S112" s="181">
        <v>100</v>
      </c>
      <c r="T112" s="180">
        <f t="shared" si="20"/>
        <v>0</v>
      </c>
      <c r="U112" s="180">
        <f t="shared" si="32"/>
        <v>0</v>
      </c>
      <c r="V112" s="182">
        <f t="shared" si="22"/>
        <v>100</v>
      </c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>
        <v>0</v>
      </c>
      <c r="AJ112" s="181">
        <f t="shared" si="24"/>
        <v>0</v>
      </c>
      <c r="AK112" s="246">
        <f t="shared" si="27"/>
        <v>2160000</v>
      </c>
      <c r="AL112" s="181">
        <f t="shared" si="25"/>
        <v>100</v>
      </c>
      <c r="AM112" s="243"/>
    </row>
    <row r="113" spans="1:39" ht="26.25" customHeight="1" x14ac:dyDescent="0.25">
      <c r="A113" s="243"/>
      <c r="B113" s="341"/>
      <c r="C113" s="341"/>
      <c r="D113" s="341"/>
      <c r="E113" s="341"/>
      <c r="F113" s="341"/>
      <c r="G113" s="341"/>
      <c r="H113" s="341"/>
      <c r="I113" s="342"/>
      <c r="J113" s="341" t="s">
        <v>284</v>
      </c>
      <c r="K113" s="245"/>
      <c r="L113" s="257"/>
      <c r="M113" s="597" t="s">
        <v>285</v>
      </c>
      <c r="N113" s="598"/>
      <c r="O113" s="299"/>
      <c r="P113" s="180"/>
      <c r="Q113" s="180">
        <v>18900000</v>
      </c>
      <c r="R113" s="181">
        <f t="shared" si="31"/>
        <v>60.191082802547768</v>
      </c>
      <c r="S113" s="181">
        <v>100</v>
      </c>
      <c r="T113" s="180">
        <f t="shared" si="20"/>
        <v>0</v>
      </c>
      <c r="U113" s="180">
        <f t="shared" si="32"/>
        <v>0</v>
      </c>
      <c r="V113" s="182">
        <f t="shared" si="22"/>
        <v>100</v>
      </c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>
        <v>0</v>
      </c>
      <c r="AJ113" s="181">
        <f t="shared" si="24"/>
        <v>0</v>
      </c>
      <c r="AK113" s="246">
        <f t="shared" si="27"/>
        <v>18900000</v>
      </c>
      <c r="AL113" s="181">
        <f t="shared" si="25"/>
        <v>100</v>
      </c>
      <c r="AM113" s="243"/>
    </row>
    <row r="114" spans="1:39" ht="26.25" customHeight="1" x14ac:dyDescent="0.25">
      <c r="A114" s="243"/>
      <c r="B114" s="341"/>
      <c r="C114" s="341"/>
      <c r="D114" s="341"/>
      <c r="E114" s="341"/>
      <c r="F114" s="341"/>
      <c r="G114" s="341"/>
      <c r="H114" s="341"/>
      <c r="I114" s="342"/>
      <c r="J114" s="341" t="s">
        <v>282</v>
      </c>
      <c r="K114" s="245"/>
      <c r="L114" s="257"/>
      <c r="M114" s="597" t="s">
        <v>503</v>
      </c>
      <c r="N114" s="598"/>
      <c r="O114" s="299"/>
      <c r="P114" s="180"/>
      <c r="Q114" s="180">
        <v>4110000</v>
      </c>
      <c r="R114" s="181">
        <f t="shared" si="31"/>
        <v>13.089171974522293</v>
      </c>
      <c r="S114" s="181">
        <v>100</v>
      </c>
      <c r="T114" s="180">
        <f t="shared" si="20"/>
        <v>0</v>
      </c>
      <c r="U114" s="180">
        <f t="shared" si="32"/>
        <v>0</v>
      </c>
      <c r="V114" s="182">
        <f t="shared" si="22"/>
        <v>100</v>
      </c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>
        <v>0</v>
      </c>
      <c r="AJ114" s="181">
        <f t="shared" si="24"/>
        <v>0</v>
      </c>
      <c r="AK114" s="246">
        <f t="shared" si="27"/>
        <v>4110000</v>
      </c>
      <c r="AL114" s="181">
        <f t="shared" si="25"/>
        <v>100</v>
      </c>
      <c r="AM114" s="243"/>
    </row>
    <row r="115" spans="1:39" ht="26.25" customHeight="1" x14ac:dyDescent="0.25">
      <c r="A115" s="243"/>
      <c r="B115" s="341"/>
      <c r="C115" s="341"/>
      <c r="D115" s="341"/>
      <c r="E115" s="341"/>
      <c r="F115" s="341"/>
      <c r="G115" s="341"/>
      <c r="H115" s="341"/>
      <c r="I115" s="342"/>
      <c r="J115" s="341" t="s">
        <v>304</v>
      </c>
      <c r="K115" s="245"/>
      <c r="L115" s="257"/>
      <c r="M115" s="597" t="s">
        <v>549</v>
      </c>
      <c r="N115" s="598"/>
      <c r="O115" s="299"/>
      <c r="P115" s="180"/>
      <c r="Q115" s="180">
        <v>2000000</v>
      </c>
      <c r="R115" s="181">
        <f t="shared" si="31"/>
        <v>6.369426751592357</v>
      </c>
      <c r="S115" s="181">
        <v>100</v>
      </c>
      <c r="T115" s="180">
        <f t="shared" si="20"/>
        <v>0</v>
      </c>
      <c r="U115" s="180">
        <f t="shared" si="32"/>
        <v>0</v>
      </c>
      <c r="V115" s="182">
        <f t="shared" si="22"/>
        <v>100</v>
      </c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>
        <v>0</v>
      </c>
      <c r="AJ115" s="181">
        <f t="shared" si="24"/>
        <v>0</v>
      </c>
      <c r="AK115" s="246">
        <f t="shared" si="27"/>
        <v>2000000</v>
      </c>
      <c r="AL115" s="181">
        <f t="shared" si="25"/>
        <v>100</v>
      </c>
      <c r="AM115" s="243"/>
    </row>
    <row r="116" spans="1:39" ht="26.25" customHeight="1" x14ac:dyDescent="0.25">
      <c r="A116" s="243"/>
      <c r="B116" s="341"/>
      <c r="C116" s="341"/>
      <c r="D116" s="341"/>
      <c r="E116" s="341"/>
      <c r="F116" s="341"/>
      <c r="G116" s="341"/>
      <c r="H116" s="341"/>
      <c r="I116" s="342"/>
      <c r="J116" s="341" t="s">
        <v>551</v>
      </c>
      <c r="K116" s="245"/>
      <c r="L116" s="257"/>
      <c r="M116" s="597" t="s">
        <v>550</v>
      </c>
      <c r="N116" s="598"/>
      <c r="O116" s="299"/>
      <c r="P116" s="180"/>
      <c r="Q116" s="180">
        <v>20400000</v>
      </c>
      <c r="R116" s="181">
        <f t="shared" si="31"/>
        <v>64.968152866242036</v>
      </c>
      <c r="S116" s="181">
        <v>100</v>
      </c>
      <c r="T116" s="180">
        <f t="shared" si="20"/>
        <v>0</v>
      </c>
      <c r="U116" s="180">
        <f t="shared" si="32"/>
        <v>0</v>
      </c>
      <c r="V116" s="182">
        <f t="shared" si="22"/>
        <v>100</v>
      </c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>
        <v>0</v>
      </c>
      <c r="AJ116" s="181">
        <f t="shared" si="24"/>
        <v>0</v>
      </c>
      <c r="AK116" s="246">
        <f t="shared" si="27"/>
        <v>20400000</v>
      </c>
      <c r="AL116" s="181">
        <f t="shared" si="25"/>
        <v>100</v>
      </c>
      <c r="AM116" s="243"/>
    </row>
    <row r="117" spans="1:39" ht="26.25" customHeight="1" x14ac:dyDescent="0.25">
      <c r="A117" s="243"/>
      <c r="B117" s="341"/>
      <c r="C117" s="341"/>
      <c r="D117" s="341"/>
      <c r="E117" s="341"/>
      <c r="F117" s="341"/>
      <c r="G117" s="341"/>
      <c r="H117" s="341"/>
      <c r="I117" s="342"/>
      <c r="J117" s="341" t="s">
        <v>554</v>
      </c>
      <c r="K117" s="245"/>
      <c r="L117" s="257"/>
      <c r="M117" s="597" t="s">
        <v>431</v>
      </c>
      <c r="N117" s="598"/>
      <c r="O117" s="299"/>
      <c r="P117" s="180"/>
      <c r="Q117" s="180">
        <v>2000000</v>
      </c>
      <c r="R117" s="181">
        <f t="shared" si="31"/>
        <v>6.369426751592357</v>
      </c>
      <c r="S117" s="181">
        <v>100</v>
      </c>
      <c r="T117" s="180">
        <f t="shared" si="20"/>
        <v>0</v>
      </c>
      <c r="U117" s="180">
        <f t="shared" si="32"/>
        <v>0</v>
      </c>
      <c r="V117" s="182">
        <f t="shared" si="22"/>
        <v>100</v>
      </c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>
        <v>0</v>
      </c>
      <c r="AJ117" s="181">
        <f t="shared" si="24"/>
        <v>0</v>
      </c>
      <c r="AK117" s="246">
        <f t="shared" si="27"/>
        <v>2000000</v>
      </c>
      <c r="AL117" s="181">
        <f t="shared" si="25"/>
        <v>100</v>
      </c>
      <c r="AM117" s="243"/>
    </row>
    <row r="118" spans="1:39" ht="26.25" customHeight="1" x14ac:dyDescent="0.25">
      <c r="A118" s="243"/>
      <c r="B118" s="341"/>
      <c r="C118" s="341"/>
      <c r="D118" s="341"/>
      <c r="E118" s="341"/>
      <c r="F118" s="341"/>
      <c r="G118" s="341"/>
      <c r="H118" s="341"/>
      <c r="I118" s="342"/>
      <c r="J118" s="341" t="s">
        <v>274</v>
      </c>
      <c r="K118" s="245"/>
      <c r="L118" s="257"/>
      <c r="M118" s="597" t="s">
        <v>555</v>
      </c>
      <c r="N118" s="598"/>
      <c r="O118" s="299"/>
      <c r="P118" s="180"/>
      <c r="Q118" s="180">
        <v>1000000</v>
      </c>
      <c r="R118" s="181">
        <f t="shared" si="31"/>
        <v>3.1847133757961785</v>
      </c>
      <c r="S118" s="181">
        <v>100</v>
      </c>
      <c r="T118" s="180">
        <f t="shared" si="20"/>
        <v>0</v>
      </c>
      <c r="U118" s="180">
        <f t="shared" si="32"/>
        <v>0</v>
      </c>
      <c r="V118" s="182">
        <f t="shared" si="22"/>
        <v>100</v>
      </c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>
        <v>0</v>
      </c>
      <c r="AJ118" s="181">
        <f t="shared" si="24"/>
        <v>0</v>
      </c>
      <c r="AK118" s="246">
        <f t="shared" si="27"/>
        <v>1000000</v>
      </c>
      <c r="AL118" s="181">
        <f t="shared" si="25"/>
        <v>100</v>
      </c>
      <c r="AM118" s="243"/>
    </row>
    <row r="119" spans="1:39" s="226" customFormat="1" ht="27" customHeight="1" x14ac:dyDescent="0.25">
      <c r="A119" s="289" t="s">
        <v>8</v>
      </c>
      <c r="B119" s="625" t="s">
        <v>125</v>
      </c>
      <c r="C119" s="625"/>
      <c r="D119" s="625"/>
      <c r="E119" s="625"/>
      <c r="F119" s="625"/>
      <c r="G119" s="625"/>
      <c r="H119" s="625"/>
      <c r="I119" s="625"/>
      <c r="J119" s="347" t="s">
        <v>440</v>
      </c>
      <c r="K119" s="291"/>
      <c r="L119" s="608" t="s">
        <v>23</v>
      </c>
      <c r="M119" s="625"/>
      <c r="N119" s="625"/>
      <c r="O119" s="263">
        <f>SUM(O122:O153)</f>
        <v>2275595000</v>
      </c>
      <c r="P119" s="263">
        <f>SUM(P122:P153)</f>
        <v>1979635000</v>
      </c>
      <c r="Q119" s="263">
        <f>SUM(Q120+Q122+Q134+Q136+Q139+Q143+Q150+Q152+Q154)</f>
        <v>3511736000</v>
      </c>
      <c r="R119" s="222">
        <f>Q119/Q$53*100</f>
        <v>17.402955822649453</v>
      </c>
      <c r="S119" s="222">
        <v>100</v>
      </c>
      <c r="T119" s="263">
        <f t="shared" si="20"/>
        <v>0</v>
      </c>
      <c r="U119" s="263">
        <f>SUM(R119*T119/100)</f>
        <v>0</v>
      </c>
      <c r="V119" s="292">
        <f>SUM(S119-T119)</f>
        <v>100</v>
      </c>
      <c r="W119" s="263">
        <f t="shared" ref="W119:AH119" si="33">SUM(W122:W153)</f>
        <v>0</v>
      </c>
      <c r="X119" s="263" t="e">
        <f t="shared" si="33"/>
        <v>#REF!</v>
      </c>
      <c r="Y119" s="263" t="e">
        <f t="shared" si="33"/>
        <v>#REF!</v>
      </c>
      <c r="Z119" s="263" t="e">
        <f t="shared" si="33"/>
        <v>#REF!</v>
      </c>
      <c r="AA119" s="263" t="e">
        <f t="shared" si="33"/>
        <v>#REF!</v>
      </c>
      <c r="AB119" s="263">
        <f t="shared" si="33"/>
        <v>3331855358</v>
      </c>
      <c r="AC119" s="263" t="e">
        <f t="shared" si="33"/>
        <v>#REF!</v>
      </c>
      <c r="AD119" s="263" t="e">
        <f t="shared" si="33"/>
        <v>#REF!</v>
      </c>
      <c r="AE119" s="263" t="e">
        <f t="shared" si="33"/>
        <v>#REF!</v>
      </c>
      <c r="AF119" s="263" t="e">
        <f t="shared" si="33"/>
        <v>#REF!</v>
      </c>
      <c r="AG119" s="263" t="e">
        <f t="shared" si="33"/>
        <v>#REF!</v>
      </c>
      <c r="AH119" s="263" t="e">
        <f t="shared" si="33"/>
        <v>#REF!</v>
      </c>
      <c r="AI119" s="263">
        <f>SUM(AI122+AI134+AI136+AI139+AI143+AI150+AI152)</f>
        <v>0</v>
      </c>
      <c r="AJ119" s="222">
        <f t="shared" si="24"/>
        <v>0</v>
      </c>
      <c r="AK119" s="265">
        <f>SUM(Q119-AI119)</f>
        <v>3511736000</v>
      </c>
      <c r="AL119" s="222">
        <f t="shared" si="25"/>
        <v>100</v>
      </c>
      <c r="AM119" s="236"/>
    </row>
    <row r="120" spans="1:39" s="235" customFormat="1" ht="27" customHeight="1" x14ac:dyDescent="0.25">
      <c r="A120" s="227">
        <f>A105+1</f>
        <v>15</v>
      </c>
      <c r="B120" s="615" t="s">
        <v>126</v>
      </c>
      <c r="C120" s="615"/>
      <c r="D120" s="615"/>
      <c r="E120" s="615"/>
      <c r="F120" s="615"/>
      <c r="G120" s="615"/>
      <c r="H120" s="615"/>
      <c r="I120" s="614"/>
      <c r="J120" s="304" t="s">
        <v>557</v>
      </c>
      <c r="K120" s="230"/>
      <c r="L120" s="294"/>
      <c r="M120" s="615" t="s">
        <v>558</v>
      </c>
      <c r="N120" s="614"/>
      <c r="O120" s="295">
        <v>833155000</v>
      </c>
      <c r="P120" s="231">
        <f>O120</f>
        <v>833155000</v>
      </c>
      <c r="Q120" s="231">
        <f>SUM(Q121)</f>
        <v>318296000</v>
      </c>
      <c r="R120" s="233">
        <f>Q120/Q$54*100</f>
        <v>12.60122206294943</v>
      </c>
      <c r="S120" s="233">
        <v>100</v>
      </c>
      <c r="T120" s="231">
        <f t="shared" si="20"/>
        <v>0</v>
      </c>
      <c r="U120" s="231">
        <f t="shared" ref="U120:U135" si="34">R120*T120/100</f>
        <v>0</v>
      </c>
      <c r="V120" s="296">
        <f t="shared" ref="V120:V121" si="35">S120-T120</f>
        <v>100</v>
      </c>
      <c r="W120" s="231"/>
      <c r="X120" s="231" t="e">
        <f>#REF!</f>
        <v>#REF!</v>
      </c>
      <c r="Y120" s="231" t="e">
        <f>#REF!</f>
        <v>#REF!</v>
      </c>
      <c r="Z120" s="231" t="e">
        <f>#REF!</f>
        <v>#REF!</v>
      </c>
      <c r="AA120" s="231" t="e">
        <f>#REF!</f>
        <v>#REF!</v>
      </c>
      <c r="AB120" s="231">
        <v>139212000</v>
      </c>
      <c r="AC120" s="231" t="e">
        <f>#REF!</f>
        <v>#REF!</v>
      </c>
      <c r="AD120" s="231" t="e">
        <f>#REF!</f>
        <v>#REF!</v>
      </c>
      <c r="AE120" s="231" t="e">
        <f>#REF!</f>
        <v>#REF!</v>
      </c>
      <c r="AF120" s="231" t="e">
        <f>[1]April!N30</f>
        <v>#REF!</v>
      </c>
      <c r="AG120" s="231" t="e">
        <f>[2]april!N30</f>
        <v>#REF!</v>
      </c>
      <c r="AH120" s="231">
        <f>'[3]DES SKPD'!$N30</f>
        <v>660543350</v>
      </c>
      <c r="AI120" s="231">
        <f>SUM(AI121)</f>
        <v>0</v>
      </c>
      <c r="AJ120" s="233">
        <f t="shared" si="24"/>
        <v>0</v>
      </c>
      <c r="AK120" s="234">
        <f t="shared" ref="AK120:AK155" si="36">Q120-AI120</f>
        <v>318296000</v>
      </c>
      <c r="AL120" s="233">
        <f t="shared" si="25"/>
        <v>100</v>
      </c>
      <c r="AM120" s="227"/>
    </row>
    <row r="121" spans="1:39" s="235" customFormat="1" ht="27" customHeight="1" x14ac:dyDescent="0.25">
      <c r="A121" s="243"/>
      <c r="B121" s="341"/>
      <c r="C121" s="341"/>
      <c r="D121" s="341"/>
      <c r="E121" s="341"/>
      <c r="F121" s="341"/>
      <c r="G121" s="341"/>
      <c r="H121" s="341"/>
      <c r="I121" s="342"/>
      <c r="J121" s="341" t="s">
        <v>434</v>
      </c>
      <c r="K121" s="245"/>
      <c r="L121" s="257"/>
      <c r="M121" s="597" t="s">
        <v>559</v>
      </c>
      <c r="N121" s="598"/>
      <c r="O121" s="299"/>
      <c r="P121" s="180"/>
      <c r="Q121" s="180">
        <v>318296000</v>
      </c>
      <c r="R121" s="181">
        <f t="shared" ref="R121" si="37">Q121/Q$89*100</f>
        <v>1013.6815286624204</v>
      </c>
      <c r="S121" s="181">
        <v>100</v>
      </c>
      <c r="T121" s="180">
        <f t="shared" si="20"/>
        <v>0</v>
      </c>
      <c r="U121" s="180">
        <f t="shared" si="34"/>
        <v>0</v>
      </c>
      <c r="V121" s="182">
        <f t="shared" si="35"/>
        <v>100</v>
      </c>
      <c r="W121" s="180"/>
      <c r="X121" s="180" t="e">
        <f>#REF!</f>
        <v>#REF!</v>
      </c>
      <c r="Y121" s="180" t="e">
        <f>#REF!</f>
        <v>#REF!</v>
      </c>
      <c r="Z121" s="180" t="e">
        <f>#REF!</f>
        <v>#REF!</v>
      </c>
      <c r="AA121" s="180" t="e">
        <f>#REF!</f>
        <v>#REF!</v>
      </c>
      <c r="AB121" s="180">
        <v>139212001</v>
      </c>
      <c r="AC121" s="180" t="e">
        <f>#REF!</f>
        <v>#REF!</v>
      </c>
      <c r="AD121" s="180" t="e">
        <f>#REF!</f>
        <v>#REF!</v>
      </c>
      <c r="AE121" s="180" t="e">
        <f>#REF!</f>
        <v>#REF!</v>
      </c>
      <c r="AF121" s="180" t="e">
        <f>[1]April!N32</f>
        <v>#REF!</v>
      </c>
      <c r="AG121" s="180" t="e">
        <f>[2]april!N32</f>
        <v>#REF!</v>
      </c>
      <c r="AH121" s="180" t="e">
        <f>'[3]DES SKPD'!$N32</f>
        <v>#REF!</v>
      </c>
      <c r="AI121" s="180">
        <v>0</v>
      </c>
      <c r="AJ121" s="181">
        <f t="shared" si="24"/>
        <v>0</v>
      </c>
      <c r="AK121" s="246">
        <f t="shared" si="36"/>
        <v>318296000</v>
      </c>
      <c r="AL121" s="181">
        <f t="shared" si="25"/>
        <v>100</v>
      </c>
      <c r="AM121" s="227"/>
    </row>
    <row r="122" spans="1:39" s="297" customFormat="1" ht="33" customHeight="1" x14ac:dyDescent="0.25">
      <c r="A122" s="227">
        <f>A120+1</f>
        <v>16</v>
      </c>
      <c r="B122" s="615" t="s">
        <v>126</v>
      </c>
      <c r="C122" s="615"/>
      <c r="D122" s="615"/>
      <c r="E122" s="615"/>
      <c r="F122" s="615"/>
      <c r="G122" s="615"/>
      <c r="H122" s="615"/>
      <c r="I122" s="614"/>
      <c r="J122" s="304" t="s">
        <v>455</v>
      </c>
      <c r="K122" s="230"/>
      <c r="L122" s="294"/>
      <c r="M122" s="615" t="s">
        <v>24</v>
      </c>
      <c r="N122" s="614"/>
      <c r="O122" s="295">
        <v>833155000</v>
      </c>
      <c r="P122" s="231">
        <f>O122</f>
        <v>833155000</v>
      </c>
      <c r="Q122" s="231">
        <f>SUM(Q123:Q133)</f>
        <v>1068800000</v>
      </c>
      <c r="R122" s="233">
        <f>Q122/Q$54*100</f>
        <v>42.313400548170108</v>
      </c>
      <c r="S122" s="233">
        <v>100</v>
      </c>
      <c r="T122" s="231">
        <f t="shared" si="20"/>
        <v>0</v>
      </c>
      <c r="U122" s="231">
        <f t="shared" si="34"/>
        <v>0</v>
      </c>
      <c r="V122" s="296">
        <f t="shared" si="22"/>
        <v>100</v>
      </c>
      <c r="W122" s="231"/>
      <c r="X122" s="231" t="e">
        <f>#REF!</f>
        <v>#REF!</v>
      </c>
      <c r="Y122" s="231" t="e">
        <f>#REF!</f>
        <v>#REF!</v>
      </c>
      <c r="Z122" s="231" t="e">
        <f>#REF!</f>
        <v>#REF!</v>
      </c>
      <c r="AA122" s="231" t="e">
        <f>#REF!</f>
        <v>#REF!</v>
      </c>
      <c r="AB122" s="231">
        <v>139212000</v>
      </c>
      <c r="AC122" s="231" t="e">
        <f>#REF!</f>
        <v>#REF!</v>
      </c>
      <c r="AD122" s="231" t="e">
        <f>#REF!</f>
        <v>#REF!</v>
      </c>
      <c r="AE122" s="231" t="e">
        <f>#REF!</f>
        <v>#REF!</v>
      </c>
      <c r="AF122" s="231" t="e">
        <f>[1]April!N35</f>
        <v>#REF!</v>
      </c>
      <c r="AG122" s="231" t="e">
        <f>[2]april!N35</f>
        <v>#REF!</v>
      </c>
      <c r="AH122" s="231">
        <f>'[3]DES SKPD'!$N35</f>
        <v>979532000</v>
      </c>
      <c r="AI122" s="231">
        <f>SUM(AI123:AI133)</f>
        <v>0</v>
      </c>
      <c r="AJ122" s="233">
        <f t="shared" si="24"/>
        <v>0</v>
      </c>
      <c r="AK122" s="234">
        <f t="shared" si="36"/>
        <v>1068800000</v>
      </c>
      <c r="AL122" s="233">
        <f t="shared" si="25"/>
        <v>100</v>
      </c>
      <c r="AM122" s="227"/>
    </row>
    <row r="123" spans="1:39" ht="24.75" customHeight="1" x14ac:dyDescent="0.25">
      <c r="A123" s="243"/>
      <c r="B123" s="341"/>
      <c r="C123" s="341"/>
      <c r="D123" s="341"/>
      <c r="E123" s="341"/>
      <c r="F123" s="341"/>
      <c r="G123" s="341"/>
      <c r="H123" s="341"/>
      <c r="I123" s="342"/>
      <c r="J123" s="341" t="s">
        <v>561</v>
      </c>
      <c r="K123" s="245"/>
      <c r="L123" s="257"/>
      <c r="M123" s="597" t="s">
        <v>560</v>
      </c>
      <c r="N123" s="598"/>
      <c r="O123" s="299"/>
      <c r="P123" s="180"/>
      <c r="Q123" s="180">
        <v>35000000</v>
      </c>
      <c r="R123" s="181">
        <f t="shared" ref="R123:R133" si="38">Q123/Q$122*100</f>
        <v>3.2747005988023949</v>
      </c>
      <c r="S123" s="181">
        <v>100</v>
      </c>
      <c r="T123" s="180">
        <f t="shared" si="20"/>
        <v>0</v>
      </c>
      <c r="U123" s="180">
        <f t="shared" si="34"/>
        <v>0</v>
      </c>
      <c r="V123" s="182">
        <f t="shared" si="22"/>
        <v>100</v>
      </c>
      <c r="W123" s="180"/>
      <c r="X123" s="180" t="e">
        <f>#REF!</f>
        <v>#REF!</v>
      </c>
      <c r="Y123" s="180" t="e">
        <f>#REF!</f>
        <v>#REF!</v>
      </c>
      <c r="Z123" s="180" t="e">
        <f>#REF!</f>
        <v>#REF!</v>
      </c>
      <c r="AA123" s="180" t="e">
        <f>#REF!</f>
        <v>#REF!</v>
      </c>
      <c r="AB123" s="180">
        <v>139212001</v>
      </c>
      <c r="AC123" s="180" t="e">
        <f>#REF!</f>
        <v>#REF!</v>
      </c>
      <c r="AD123" s="180" t="e">
        <f>#REF!</f>
        <v>#REF!</v>
      </c>
      <c r="AE123" s="180" t="e">
        <f>#REF!</f>
        <v>#REF!</v>
      </c>
      <c r="AF123" s="180" t="e">
        <f>[1]April!N37</f>
        <v>#REF!</v>
      </c>
      <c r="AG123" s="180" t="e">
        <f>[2]april!N37</f>
        <v>#REF!</v>
      </c>
      <c r="AH123" s="180">
        <f>'[3]DES SKPD'!$N37</f>
        <v>0</v>
      </c>
      <c r="AI123" s="180">
        <v>0</v>
      </c>
      <c r="AJ123" s="181">
        <f t="shared" si="24"/>
        <v>0</v>
      </c>
      <c r="AK123" s="246">
        <f t="shared" si="36"/>
        <v>35000000</v>
      </c>
      <c r="AL123" s="181">
        <f t="shared" si="25"/>
        <v>100</v>
      </c>
      <c r="AM123" s="243"/>
    </row>
    <row r="124" spans="1:39" ht="33" customHeight="1" x14ac:dyDescent="0.25">
      <c r="A124" s="243"/>
      <c r="B124" s="341"/>
      <c r="C124" s="341"/>
      <c r="D124" s="341"/>
      <c r="E124" s="341"/>
      <c r="F124" s="341"/>
      <c r="G124" s="341"/>
      <c r="H124" s="341"/>
      <c r="I124" s="342"/>
      <c r="J124" s="341" t="s">
        <v>563</v>
      </c>
      <c r="K124" s="245"/>
      <c r="L124" s="257"/>
      <c r="M124" s="597" t="s">
        <v>562</v>
      </c>
      <c r="N124" s="598"/>
      <c r="O124" s="299"/>
      <c r="P124" s="180"/>
      <c r="Q124" s="180">
        <v>110000000</v>
      </c>
      <c r="R124" s="181">
        <f t="shared" si="38"/>
        <v>10.29191616766467</v>
      </c>
      <c r="S124" s="181">
        <v>100</v>
      </c>
      <c r="T124" s="180">
        <f t="shared" si="20"/>
        <v>0</v>
      </c>
      <c r="U124" s="180">
        <f t="shared" si="34"/>
        <v>0</v>
      </c>
      <c r="V124" s="182">
        <f t="shared" si="22"/>
        <v>100</v>
      </c>
      <c r="W124" s="180"/>
      <c r="X124" s="180" t="e">
        <f>#REF!</f>
        <v>#REF!</v>
      </c>
      <c r="Y124" s="180" t="e">
        <f>#REF!</f>
        <v>#REF!</v>
      </c>
      <c r="Z124" s="180" t="e">
        <f>#REF!</f>
        <v>#REF!</v>
      </c>
      <c r="AA124" s="180" t="e">
        <f>#REF!</f>
        <v>#REF!</v>
      </c>
      <c r="AB124" s="180">
        <v>139212002</v>
      </c>
      <c r="AC124" s="180" t="e">
        <f>#REF!</f>
        <v>#REF!</v>
      </c>
      <c r="AD124" s="180" t="e">
        <f>#REF!</f>
        <v>#REF!</v>
      </c>
      <c r="AE124" s="180" t="e">
        <f>#REF!</f>
        <v>#REF!</v>
      </c>
      <c r="AF124" s="180" t="e">
        <f>[1]April!N37</f>
        <v>#REF!</v>
      </c>
      <c r="AG124" s="180" t="e">
        <f>[2]april!N37</f>
        <v>#REF!</v>
      </c>
      <c r="AH124" s="180">
        <f>'[3]DES SKPD'!$N37</f>
        <v>0</v>
      </c>
      <c r="AI124" s="180">
        <v>0</v>
      </c>
      <c r="AJ124" s="181">
        <f t="shared" si="24"/>
        <v>0</v>
      </c>
      <c r="AK124" s="246">
        <f t="shared" si="36"/>
        <v>110000000</v>
      </c>
      <c r="AL124" s="181">
        <f t="shared" si="25"/>
        <v>100</v>
      </c>
      <c r="AM124" s="243"/>
    </row>
    <row r="125" spans="1:39" ht="27" customHeight="1" x14ac:dyDescent="0.25">
      <c r="A125" s="243"/>
      <c r="B125" s="341"/>
      <c r="C125" s="341"/>
      <c r="D125" s="341"/>
      <c r="E125" s="341"/>
      <c r="F125" s="341"/>
      <c r="G125" s="341"/>
      <c r="H125" s="341"/>
      <c r="I125" s="342"/>
      <c r="J125" s="341" t="s">
        <v>564</v>
      </c>
      <c r="K125" s="245"/>
      <c r="L125" s="257"/>
      <c r="M125" s="597" t="s">
        <v>565</v>
      </c>
      <c r="N125" s="598"/>
      <c r="O125" s="299"/>
      <c r="P125" s="180"/>
      <c r="Q125" s="180">
        <v>25000000</v>
      </c>
      <c r="R125" s="181">
        <f t="shared" si="38"/>
        <v>2.3390718562874251</v>
      </c>
      <c r="S125" s="181">
        <v>100</v>
      </c>
      <c r="T125" s="180">
        <f t="shared" si="20"/>
        <v>0</v>
      </c>
      <c r="U125" s="180">
        <f t="shared" si="34"/>
        <v>0</v>
      </c>
      <c r="V125" s="182">
        <f t="shared" si="22"/>
        <v>100</v>
      </c>
      <c r="W125" s="180"/>
      <c r="X125" s="180" t="e">
        <f>#REF!</f>
        <v>#REF!</v>
      </c>
      <c r="Y125" s="180" t="e">
        <f>#REF!</f>
        <v>#REF!</v>
      </c>
      <c r="Z125" s="180" t="e">
        <f>#REF!</f>
        <v>#REF!</v>
      </c>
      <c r="AA125" s="180" t="e">
        <f>#REF!</f>
        <v>#REF!</v>
      </c>
      <c r="AB125" s="180">
        <v>139212003</v>
      </c>
      <c r="AC125" s="180" t="e">
        <f>#REF!</f>
        <v>#REF!</v>
      </c>
      <c r="AD125" s="180" t="e">
        <f>#REF!</f>
        <v>#REF!</v>
      </c>
      <c r="AE125" s="180" t="e">
        <f>#REF!</f>
        <v>#REF!</v>
      </c>
      <c r="AF125" s="180" t="e">
        <f>[1]April!N38</f>
        <v>#REF!</v>
      </c>
      <c r="AG125" s="180" t="e">
        <f>[2]april!N38</f>
        <v>#REF!</v>
      </c>
      <c r="AH125" s="180">
        <f>'[3]DES SKPD'!$N38</f>
        <v>322038365</v>
      </c>
      <c r="AI125" s="180">
        <v>0</v>
      </c>
      <c r="AJ125" s="181">
        <f t="shared" si="24"/>
        <v>0</v>
      </c>
      <c r="AK125" s="246">
        <f t="shared" si="36"/>
        <v>25000000</v>
      </c>
      <c r="AL125" s="181">
        <f t="shared" si="25"/>
        <v>100</v>
      </c>
      <c r="AM125" s="243"/>
    </row>
    <row r="126" spans="1:39" ht="27.75" customHeight="1" x14ac:dyDescent="0.25">
      <c r="A126" s="243"/>
      <c r="B126" s="341"/>
      <c r="C126" s="341"/>
      <c r="D126" s="341"/>
      <c r="E126" s="341"/>
      <c r="F126" s="341"/>
      <c r="G126" s="341"/>
      <c r="H126" s="341"/>
      <c r="I126" s="342"/>
      <c r="J126" s="341" t="s">
        <v>566</v>
      </c>
      <c r="K126" s="245"/>
      <c r="L126" s="257"/>
      <c r="M126" s="597" t="s">
        <v>567</v>
      </c>
      <c r="N126" s="598"/>
      <c r="O126" s="299"/>
      <c r="P126" s="180"/>
      <c r="Q126" s="180">
        <v>12000000</v>
      </c>
      <c r="R126" s="181">
        <f t="shared" si="38"/>
        <v>1.1227544910179641</v>
      </c>
      <c r="S126" s="181">
        <v>100</v>
      </c>
      <c r="T126" s="180">
        <f t="shared" si="20"/>
        <v>0</v>
      </c>
      <c r="U126" s="180">
        <f t="shared" si="34"/>
        <v>0</v>
      </c>
      <c r="V126" s="182">
        <f t="shared" si="22"/>
        <v>100</v>
      </c>
      <c r="W126" s="180"/>
      <c r="X126" s="180" t="e">
        <f>#REF!</f>
        <v>#REF!</v>
      </c>
      <c r="Y126" s="180" t="e">
        <f>#REF!</f>
        <v>#REF!</v>
      </c>
      <c r="Z126" s="180" t="e">
        <f>#REF!</f>
        <v>#REF!</v>
      </c>
      <c r="AA126" s="180" t="e">
        <f>#REF!</f>
        <v>#REF!</v>
      </c>
      <c r="AB126" s="180">
        <v>139212004</v>
      </c>
      <c r="AC126" s="180" t="e">
        <f>#REF!</f>
        <v>#REF!</v>
      </c>
      <c r="AD126" s="180" t="e">
        <f>#REF!</f>
        <v>#REF!</v>
      </c>
      <c r="AE126" s="180" t="e">
        <f>#REF!</f>
        <v>#REF!</v>
      </c>
      <c r="AF126" s="180" t="e">
        <f>[1]April!N39</f>
        <v>#REF!</v>
      </c>
      <c r="AG126" s="180" t="e">
        <f>[2]april!N39</f>
        <v>#REF!</v>
      </c>
      <c r="AH126" s="180">
        <f>'[3]DES SKPD'!$N39</f>
        <v>676934270</v>
      </c>
      <c r="AI126" s="180">
        <v>0</v>
      </c>
      <c r="AJ126" s="181">
        <f t="shared" si="24"/>
        <v>0</v>
      </c>
      <c r="AK126" s="246">
        <f t="shared" si="36"/>
        <v>12000000</v>
      </c>
      <c r="AL126" s="181">
        <f t="shared" si="25"/>
        <v>100</v>
      </c>
      <c r="AM126" s="243"/>
    </row>
    <row r="127" spans="1:39" ht="27.75" customHeight="1" x14ac:dyDescent="0.25">
      <c r="A127" s="243"/>
      <c r="B127" s="341"/>
      <c r="C127" s="341"/>
      <c r="D127" s="341"/>
      <c r="E127" s="341"/>
      <c r="F127" s="341"/>
      <c r="G127" s="341"/>
      <c r="H127" s="341"/>
      <c r="I127" s="342"/>
      <c r="J127" s="341" t="s">
        <v>435</v>
      </c>
      <c r="K127" s="245"/>
      <c r="L127" s="257"/>
      <c r="M127" s="597" t="s">
        <v>396</v>
      </c>
      <c r="N127" s="598"/>
      <c r="O127" s="299"/>
      <c r="P127" s="180"/>
      <c r="Q127" s="180">
        <v>42500000</v>
      </c>
      <c r="R127" s="181">
        <f t="shared" si="38"/>
        <v>3.9764221556886228</v>
      </c>
      <c r="S127" s="181">
        <v>100</v>
      </c>
      <c r="T127" s="180">
        <f t="shared" si="20"/>
        <v>0</v>
      </c>
      <c r="U127" s="180">
        <f t="shared" si="34"/>
        <v>0</v>
      </c>
      <c r="V127" s="182">
        <f t="shared" ref="V127:V149" si="39">S127-T127</f>
        <v>100</v>
      </c>
      <c r="W127" s="180"/>
      <c r="X127" s="180" t="e">
        <f>#REF!</f>
        <v>#REF!</v>
      </c>
      <c r="Y127" s="180" t="e">
        <f>#REF!</f>
        <v>#REF!</v>
      </c>
      <c r="Z127" s="180" t="e">
        <f>#REF!</f>
        <v>#REF!</v>
      </c>
      <c r="AA127" s="180" t="e">
        <f>#REF!</f>
        <v>#REF!</v>
      </c>
      <c r="AB127" s="180">
        <v>139212004</v>
      </c>
      <c r="AC127" s="180" t="e">
        <f>#REF!</f>
        <v>#REF!</v>
      </c>
      <c r="AD127" s="180" t="e">
        <f>#REF!</f>
        <v>#REF!</v>
      </c>
      <c r="AE127" s="180" t="e">
        <f>#REF!</f>
        <v>#REF!</v>
      </c>
      <c r="AF127" s="180" t="e">
        <f>[1]April!N40</f>
        <v>#REF!</v>
      </c>
      <c r="AG127" s="180" t="e">
        <f>[2]april!N40</f>
        <v>#REF!</v>
      </c>
      <c r="AH127" s="180">
        <f>'[3]DES SKPD'!$N40</f>
        <v>140440000</v>
      </c>
      <c r="AI127" s="180">
        <v>0</v>
      </c>
      <c r="AJ127" s="181">
        <f t="shared" si="24"/>
        <v>0</v>
      </c>
      <c r="AK127" s="246">
        <f t="shared" si="36"/>
        <v>42500000</v>
      </c>
      <c r="AL127" s="181">
        <f t="shared" si="25"/>
        <v>100</v>
      </c>
      <c r="AM127" s="243"/>
    </row>
    <row r="128" spans="1:39" ht="27.75" customHeight="1" x14ac:dyDescent="0.25">
      <c r="A128" s="243"/>
      <c r="B128" s="341"/>
      <c r="C128" s="341"/>
      <c r="D128" s="341"/>
      <c r="E128" s="341"/>
      <c r="F128" s="341"/>
      <c r="G128" s="341"/>
      <c r="H128" s="341"/>
      <c r="I128" s="342"/>
      <c r="J128" s="341" t="s">
        <v>400</v>
      </c>
      <c r="K128" s="245"/>
      <c r="L128" s="257"/>
      <c r="M128" s="597" t="s">
        <v>568</v>
      </c>
      <c r="N128" s="598"/>
      <c r="O128" s="299"/>
      <c r="P128" s="180"/>
      <c r="Q128" s="180">
        <v>493300000</v>
      </c>
      <c r="R128" s="181">
        <f t="shared" si="38"/>
        <v>46.154565868263475</v>
      </c>
      <c r="S128" s="181">
        <v>100</v>
      </c>
      <c r="T128" s="180">
        <f t="shared" si="20"/>
        <v>0</v>
      </c>
      <c r="U128" s="180">
        <f t="shared" si="34"/>
        <v>0</v>
      </c>
      <c r="V128" s="182">
        <f t="shared" si="39"/>
        <v>100</v>
      </c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>
        <v>0</v>
      </c>
      <c r="AJ128" s="181">
        <f t="shared" si="24"/>
        <v>0</v>
      </c>
      <c r="AK128" s="246">
        <f t="shared" si="36"/>
        <v>493300000</v>
      </c>
      <c r="AL128" s="181">
        <f t="shared" si="25"/>
        <v>100</v>
      </c>
      <c r="AM128" s="243"/>
    </row>
    <row r="129" spans="1:39" ht="27.75" customHeight="1" x14ac:dyDescent="0.25">
      <c r="A129" s="243"/>
      <c r="B129" s="341"/>
      <c r="C129" s="341"/>
      <c r="D129" s="341"/>
      <c r="E129" s="341"/>
      <c r="F129" s="341"/>
      <c r="G129" s="341"/>
      <c r="H129" s="341"/>
      <c r="I129" s="342"/>
      <c r="J129" s="341" t="s">
        <v>569</v>
      </c>
      <c r="K129" s="245"/>
      <c r="L129" s="257"/>
      <c r="M129" s="597" t="s">
        <v>570</v>
      </c>
      <c r="N129" s="598"/>
      <c r="O129" s="299"/>
      <c r="P129" s="180"/>
      <c r="Q129" s="180">
        <v>50000000</v>
      </c>
      <c r="R129" s="181">
        <f t="shared" si="38"/>
        <v>4.6781437125748502</v>
      </c>
      <c r="S129" s="181">
        <v>100</v>
      </c>
      <c r="T129" s="180">
        <f t="shared" si="20"/>
        <v>0</v>
      </c>
      <c r="U129" s="180">
        <f t="shared" si="34"/>
        <v>0</v>
      </c>
      <c r="V129" s="182">
        <f t="shared" si="39"/>
        <v>100</v>
      </c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>
        <v>0</v>
      </c>
      <c r="AJ129" s="181">
        <f t="shared" si="24"/>
        <v>0</v>
      </c>
      <c r="AK129" s="246">
        <f t="shared" si="36"/>
        <v>50000000</v>
      </c>
      <c r="AL129" s="181">
        <f t="shared" si="25"/>
        <v>100</v>
      </c>
      <c r="AM129" s="243"/>
    </row>
    <row r="130" spans="1:39" ht="27.75" customHeight="1" x14ac:dyDescent="0.25">
      <c r="A130" s="243"/>
      <c r="B130" s="341"/>
      <c r="C130" s="341"/>
      <c r="D130" s="341"/>
      <c r="E130" s="341"/>
      <c r="F130" s="341"/>
      <c r="G130" s="341"/>
      <c r="H130" s="341"/>
      <c r="I130" s="342"/>
      <c r="J130" s="341" t="s">
        <v>286</v>
      </c>
      <c r="K130" s="245"/>
      <c r="L130" s="257"/>
      <c r="M130" s="597" t="s">
        <v>571</v>
      </c>
      <c r="N130" s="598"/>
      <c r="O130" s="299"/>
      <c r="P130" s="180"/>
      <c r="Q130" s="180">
        <v>50000000</v>
      </c>
      <c r="R130" s="181">
        <f t="shared" si="38"/>
        <v>4.6781437125748502</v>
      </c>
      <c r="S130" s="181">
        <v>100</v>
      </c>
      <c r="T130" s="180">
        <f t="shared" si="20"/>
        <v>0</v>
      </c>
      <c r="U130" s="180">
        <f t="shared" si="34"/>
        <v>0</v>
      </c>
      <c r="V130" s="182">
        <f t="shared" si="39"/>
        <v>100</v>
      </c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>
        <v>0</v>
      </c>
      <c r="AJ130" s="181">
        <f t="shared" si="24"/>
        <v>0</v>
      </c>
      <c r="AK130" s="246">
        <f t="shared" si="36"/>
        <v>50000000</v>
      </c>
      <c r="AL130" s="181">
        <f t="shared" si="25"/>
        <v>100</v>
      </c>
      <c r="AM130" s="243"/>
    </row>
    <row r="131" spans="1:39" ht="27.75" customHeight="1" x14ac:dyDescent="0.25">
      <c r="A131" s="243"/>
      <c r="B131" s="341"/>
      <c r="C131" s="341"/>
      <c r="D131" s="341"/>
      <c r="E131" s="341"/>
      <c r="F131" s="341"/>
      <c r="G131" s="341"/>
      <c r="H131" s="341"/>
      <c r="I131" s="342"/>
      <c r="J131" s="341" t="s">
        <v>402</v>
      </c>
      <c r="K131" s="245"/>
      <c r="L131" s="257"/>
      <c r="M131" s="597" t="s">
        <v>572</v>
      </c>
      <c r="N131" s="598"/>
      <c r="O131" s="299"/>
      <c r="P131" s="180"/>
      <c r="Q131" s="180">
        <v>192000000</v>
      </c>
      <c r="R131" s="181">
        <f t="shared" si="38"/>
        <v>17.964071856287426</v>
      </c>
      <c r="S131" s="181">
        <v>100</v>
      </c>
      <c r="T131" s="180">
        <f t="shared" si="20"/>
        <v>0</v>
      </c>
      <c r="U131" s="180">
        <f t="shared" si="34"/>
        <v>0</v>
      </c>
      <c r="V131" s="182">
        <f t="shared" si="39"/>
        <v>100</v>
      </c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>
        <v>0</v>
      </c>
      <c r="AJ131" s="181">
        <f t="shared" si="24"/>
        <v>0</v>
      </c>
      <c r="AK131" s="246">
        <f t="shared" si="36"/>
        <v>192000000</v>
      </c>
      <c r="AL131" s="181">
        <f t="shared" si="25"/>
        <v>100</v>
      </c>
      <c r="AM131" s="243"/>
    </row>
    <row r="132" spans="1:39" ht="27.75" customHeight="1" x14ac:dyDescent="0.25">
      <c r="A132" s="243"/>
      <c r="B132" s="341"/>
      <c r="C132" s="341"/>
      <c r="D132" s="341"/>
      <c r="E132" s="341"/>
      <c r="F132" s="341"/>
      <c r="G132" s="341"/>
      <c r="H132" s="341"/>
      <c r="I132" s="342"/>
      <c r="J132" s="341" t="s">
        <v>573</v>
      </c>
      <c r="K132" s="245"/>
      <c r="L132" s="257"/>
      <c r="M132" s="597" t="s">
        <v>574</v>
      </c>
      <c r="N132" s="598"/>
      <c r="O132" s="299"/>
      <c r="P132" s="180"/>
      <c r="Q132" s="180">
        <v>15000000</v>
      </c>
      <c r="R132" s="181">
        <f t="shared" si="38"/>
        <v>1.403443113772455</v>
      </c>
      <c r="S132" s="181">
        <v>100</v>
      </c>
      <c r="T132" s="180">
        <f t="shared" si="20"/>
        <v>0</v>
      </c>
      <c r="U132" s="180">
        <f t="shared" si="34"/>
        <v>0</v>
      </c>
      <c r="V132" s="182">
        <f t="shared" si="39"/>
        <v>100</v>
      </c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>
        <v>0</v>
      </c>
      <c r="AJ132" s="181">
        <f t="shared" si="24"/>
        <v>0</v>
      </c>
      <c r="AK132" s="246">
        <f t="shared" si="36"/>
        <v>15000000</v>
      </c>
      <c r="AL132" s="181">
        <f t="shared" si="25"/>
        <v>100</v>
      </c>
      <c r="AM132" s="243"/>
    </row>
    <row r="133" spans="1:39" ht="27.75" customHeight="1" x14ac:dyDescent="0.25">
      <c r="A133" s="243"/>
      <c r="B133" s="341"/>
      <c r="C133" s="341"/>
      <c r="D133" s="341"/>
      <c r="E133" s="341"/>
      <c r="F133" s="341"/>
      <c r="G133" s="341"/>
      <c r="H133" s="341"/>
      <c r="I133" s="342"/>
      <c r="J133" s="341" t="s">
        <v>575</v>
      </c>
      <c r="K133" s="245"/>
      <c r="L133" s="257"/>
      <c r="M133" s="597" t="s">
        <v>576</v>
      </c>
      <c r="N133" s="598"/>
      <c r="O133" s="299"/>
      <c r="P133" s="180"/>
      <c r="Q133" s="180">
        <v>44000000</v>
      </c>
      <c r="R133" s="181">
        <f t="shared" si="38"/>
        <v>4.1167664670658679</v>
      </c>
      <c r="S133" s="181">
        <v>100</v>
      </c>
      <c r="T133" s="180">
        <f t="shared" si="20"/>
        <v>0</v>
      </c>
      <c r="U133" s="180">
        <f t="shared" si="34"/>
        <v>0</v>
      </c>
      <c r="V133" s="182">
        <f t="shared" si="39"/>
        <v>100</v>
      </c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>
        <v>0</v>
      </c>
      <c r="AJ133" s="181">
        <f t="shared" si="24"/>
        <v>0</v>
      </c>
      <c r="AK133" s="246">
        <f t="shared" si="36"/>
        <v>44000000</v>
      </c>
      <c r="AL133" s="181">
        <f t="shared" si="25"/>
        <v>100</v>
      </c>
      <c r="AM133" s="243"/>
    </row>
    <row r="134" spans="1:39" s="297" customFormat="1" ht="24.75" customHeight="1" x14ac:dyDescent="0.25">
      <c r="A134" s="227">
        <f>A122+1</f>
        <v>17</v>
      </c>
      <c r="B134" s="615" t="s">
        <v>127</v>
      </c>
      <c r="C134" s="615"/>
      <c r="D134" s="615"/>
      <c r="E134" s="615"/>
      <c r="F134" s="615"/>
      <c r="G134" s="615"/>
      <c r="H134" s="615"/>
      <c r="I134" s="614"/>
      <c r="J134" s="304" t="s">
        <v>456</v>
      </c>
      <c r="K134" s="230"/>
      <c r="L134" s="294"/>
      <c r="M134" s="615" t="s">
        <v>579</v>
      </c>
      <c r="N134" s="614"/>
      <c r="O134" s="295">
        <v>68210000</v>
      </c>
      <c r="P134" s="231">
        <f>O134</f>
        <v>68210000</v>
      </c>
      <c r="Q134" s="231">
        <f>SUM(Q135:Q135)</f>
        <v>190800000</v>
      </c>
      <c r="R134" s="233">
        <f>Q134/Q$54*100</f>
        <v>7.5537021188162949</v>
      </c>
      <c r="S134" s="233">
        <v>100</v>
      </c>
      <c r="T134" s="231">
        <f t="shared" si="20"/>
        <v>0</v>
      </c>
      <c r="U134" s="231">
        <f t="shared" si="34"/>
        <v>0</v>
      </c>
      <c r="V134" s="296">
        <f t="shared" si="39"/>
        <v>100</v>
      </c>
      <c r="W134" s="231"/>
      <c r="X134" s="231" t="e">
        <f>#REF!</f>
        <v>#REF!</v>
      </c>
      <c r="Y134" s="231" t="e">
        <f>#REF!</f>
        <v>#REF!</v>
      </c>
      <c r="Z134" s="231" t="e">
        <f>#REF!</f>
        <v>#REF!</v>
      </c>
      <c r="AA134" s="231" t="e">
        <f>#REF!</f>
        <v>#REF!</v>
      </c>
      <c r="AB134" s="231">
        <v>139212000</v>
      </c>
      <c r="AC134" s="231" t="e">
        <f>#REF!</f>
        <v>#REF!</v>
      </c>
      <c r="AD134" s="231" t="e">
        <f>#REF!</f>
        <v>#REF!</v>
      </c>
      <c r="AE134" s="231" t="e">
        <f>#REF!</f>
        <v>#REF!</v>
      </c>
      <c r="AF134" s="231" t="e">
        <f>[1]April!N47</f>
        <v>#REF!</v>
      </c>
      <c r="AG134" s="231" t="e">
        <f>[2]april!N47</f>
        <v>#REF!</v>
      </c>
      <c r="AH134" s="231" t="e">
        <f>'[3]DES SKPD'!$N47</f>
        <v>#REF!</v>
      </c>
      <c r="AI134" s="231">
        <f>SUM(AI135)</f>
        <v>0</v>
      </c>
      <c r="AJ134" s="233">
        <f t="shared" si="24"/>
        <v>0</v>
      </c>
      <c r="AK134" s="234">
        <f t="shared" si="36"/>
        <v>190800000</v>
      </c>
      <c r="AL134" s="233">
        <f t="shared" si="25"/>
        <v>100</v>
      </c>
      <c r="AM134" s="227"/>
    </row>
    <row r="135" spans="1:39" ht="29.25" customHeight="1" x14ac:dyDescent="0.25">
      <c r="A135" s="243"/>
      <c r="B135" s="341"/>
      <c r="C135" s="341"/>
      <c r="D135" s="341"/>
      <c r="E135" s="341"/>
      <c r="F135" s="341"/>
      <c r="G135" s="341"/>
      <c r="H135" s="341"/>
      <c r="I135" s="342"/>
      <c r="J135" s="341" t="s">
        <v>577</v>
      </c>
      <c r="K135" s="245"/>
      <c r="L135" s="257"/>
      <c r="M135" s="597" t="s">
        <v>578</v>
      </c>
      <c r="N135" s="598"/>
      <c r="O135" s="299"/>
      <c r="P135" s="180"/>
      <c r="Q135" s="180">
        <v>190800000</v>
      </c>
      <c r="R135" s="181">
        <f t="shared" ref="R135" si="40">Q135/Q$122*100</f>
        <v>17.851796407185631</v>
      </c>
      <c r="S135" s="181">
        <v>100</v>
      </c>
      <c r="T135" s="180">
        <f t="shared" si="20"/>
        <v>0</v>
      </c>
      <c r="U135" s="180">
        <f t="shared" si="34"/>
        <v>0</v>
      </c>
      <c r="V135" s="182">
        <f t="shared" si="39"/>
        <v>100</v>
      </c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>
        <v>0</v>
      </c>
      <c r="AJ135" s="181">
        <f t="shared" si="24"/>
        <v>0</v>
      </c>
      <c r="AK135" s="246">
        <f t="shared" si="36"/>
        <v>190800000</v>
      </c>
      <c r="AL135" s="181">
        <f t="shared" si="25"/>
        <v>100</v>
      </c>
      <c r="AM135" s="243"/>
    </row>
    <row r="136" spans="1:39" s="297" customFormat="1" ht="31.5" customHeight="1" x14ac:dyDescent="0.25">
      <c r="A136" s="227">
        <f>A134+1</f>
        <v>18</v>
      </c>
      <c r="B136" s="615" t="s">
        <v>128</v>
      </c>
      <c r="C136" s="615"/>
      <c r="D136" s="615"/>
      <c r="E136" s="615"/>
      <c r="F136" s="615"/>
      <c r="G136" s="615"/>
      <c r="H136" s="615"/>
      <c r="I136" s="614"/>
      <c r="J136" s="304" t="s">
        <v>457</v>
      </c>
      <c r="K136" s="230"/>
      <c r="L136" s="294"/>
      <c r="M136" s="615" t="s">
        <v>129</v>
      </c>
      <c r="N136" s="614"/>
      <c r="O136" s="295">
        <v>295960000</v>
      </c>
      <c r="P136" s="231">
        <v>0</v>
      </c>
      <c r="Q136" s="231">
        <f>SUM(Q137:Q138)</f>
        <v>326040000</v>
      </c>
      <c r="R136" s="233">
        <f>Q136/Q$54*100</f>
        <v>12.907804186681682</v>
      </c>
      <c r="S136" s="233">
        <v>100</v>
      </c>
      <c r="T136" s="231">
        <f t="shared" si="20"/>
        <v>0</v>
      </c>
      <c r="U136" s="231">
        <f>R136*T136/100</f>
        <v>0</v>
      </c>
      <c r="V136" s="296">
        <f t="shared" si="39"/>
        <v>100</v>
      </c>
      <c r="W136" s="231"/>
      <c r="X136" s="231"/>
      <c r="Y136" s="231"/>
      <c r="Z136" s="231"/>
      <c r="AA136" s="231"/>
      <c r="AB136" s="231"/>
      <c r="AC136" s="231"/>
      <c r="AD136" s="231"/>
      <c r="AE136" s="231"/>
      <c r="AF136" s="231"/>
      <c r="AG136" s="231" t="e">
        <f>[2]april!N37</f>
        <v>#REF!</v>
      </c>
      <c r="AH136" s="231">
        <f>'[3]DES SKPD'!$N37</f>
        <v>0</v>
      </c>
      <c r="AI136" s="231">
        <f>SUM(AI137:AI138)</f>
        <v>0</v>
      </c>
      <c r="AJ136" s="233">
        <f t="shared" si="24"/>
        <v>0</v>
      </c>
      <c r="AK136" s="234">
        <f t="shared" si="36"/>
        <v>326040000</v>
      </c>
      <c r="AL136" s="233">
        <f t="shared" si="25"/>
        <v>100</v>
      </c>
      <c r="AM136" s="227"/>
    </row>
    <row r="137" spans="1:39" ht="24.75" customHeight="1" x14ac:dyDescent="0.25">
      <c r="A137" s="243"/>
      <c r="B137" s="341"/>
      <c r="C137" s="341"/>
      <c r="D137" s="341"/>
      <c r="E137" s="341"/>
      <c r="F137" s="341"/>
      <c r="G137" s="341"/>
      <c r="H137" s="341"/>
      <c r="I137" s="342"/>
      <c r="J137" s="341" t="s">
        <v>259</v>
      </c>
      <c r="K137" s="245"/>
      <c r="L137" s="257"/>
      <c r="M137" s="623" t="s">
        <v>260</v>
      </c>
      <c r="N137" s="624"/>
      <c r="O137" s="299"/>
      <c r="P137" s="180"/>
      <c r="Q137" s="180">
        <v>1040000</v>
      </c>
      <c r="R137" s="181">
        <f>Q137/Q$33*100</f>
        <v>3.271854703066358E-3</v>
      </c>
      <c r="S137" s="181">
        <v>100</v>
      </c>
      <c r="T137" s="180">
        <f t="shared" si="20"/>
        <v>0</v>
      </c>
      <c r="U137" s="180">
        <f>R137*T137/100</f>
        <v>0</v>
      </c>
      <c r="V137" s="182">
        <f t="shared" si="39"/>
        <v>100</v>
      </c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>
        <v>0</v>
      </c>
      <c r="AJ137" s="181">
        <f t="shared" si="24"/>
        <v>0</v>
      </c>
      <c r="AK137" s="246">
        <f t="shared" si="36"/>
        <v>1040000</v>
      </c>
      <c r="AL137" s="181">
        <f t="shared" si="25"/>
        <v>100</v>
      </c>
      <c r="AM137" s="243"/>
    </row>
    <row r="138" spans="1:39" ht="24.75" customHeight="1" x14ac:dyDescent="0.25">
      <c r="A138" s="243"/>
      <c r="B138" s="341"/>
      <c r="C138" s="341"/>
      <c r="D138" s="341"/>
      <c r="E138" s="341"/>
      <c r="F138" s="341"/>
      <c r="G138" s="341"/>
      <c r="H138" s="341"/>
      <c r="I138" s="342"/>
      <c r="J138" s="341" t="s">
        <v>288</v>
      </c>
      <c r="K138" s="245"/>
      <c r="L138" s="257"/>
      <c r="M138" s="597" t="s">
        <v>289</v>
      </c>
      <c r="N138" s="598"/>
      <c r="O138" s="299"/>
      <c r="P138" s="180"/>
      <c r="Q138" s="180">
        <v>325000000</v>
      </c>
      <c r="R138" s="181">
        <f>Q138/Q$136*100</f>
        <v>99.681020733652318</v>
      </c>
      <c r="S138" s="181">
        <v>100</v>
      </c>
      <c r="T138" s="180">
        <f t="shared" si="20"/>
        <v>0</v>
      </c>
      <c r="U138" s="180">
        <f>R138*T138/100</f>
        <v>0</v>
      </c>
      <c r="V138" s="182">
        <f t="shared" si="39"/>
        <v>100</v>
      </c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 t="e">
        <f>[2]april!N39</f>
        <v>#REF!</v>
      </c>
      <c r="AH138" s="180">
        <f>'[3]DES SKPD'!$N39</f>
        <v>676934270</v>
      </c>
      <c r="AI138" s="180">
        <v>0</v>
      </c>
      <c r="AJ138" s="181">
        <f t="shared" si="24"/>
        <v>0</v>
      </c>
      <c r="AK138" s="246">
        <f t="shared" si="36"/>
        <v>325000000</v>
      </c>
      <c r="AL138" s="181">
        <f t="shared" si="25"/>
        <v>100</v>
      </c>
      <c r="AM138" s="243"/>
    </row>
    <row r="139" spans="1:39" s="297" customFormat="1" ht="31.5" customHeight="1" x14ac:dyDescent="0.25">
      <c r="A139" s="227">
        <f>A136+1</f>
        <v>19</v>
      </c>
      <c r="B139" s="615" t="s">
        <v>128</v>
      </c>
      <c r="C139" s="615"/>
      <c r="D139" s="615"/>
      <c r="E139" s="615"/>
      <c r="F139" s="615"/>
      <c r="G139" s="615"/>
      <c r="H139" s="615"/>
      <c r="I139" s="614"/>
      <c r="J139" s="304" t="s">
        <v>458</v>
      </c>
      <c r="K139" s="230"/>
      <c r="L139" s="294"/>
      <c r="M139" s="615" t="s">
        <v>26</v>
      </c>
      <c r="N139" s="614"/>
      <c r="O139" s="295">
        <v>295960000</v>
      </c>
      <c r="P139" s="231">
        <f>O139</f>
        <v>295960000</v>
      </c>
      <c r="Q139" s="231">
        <f>SUM(Q140:Q142)</f>
        <v>151500000</v>
      </c>
      <c r="R139" s="233">
        <f>Q139/Q$54*100</f>
        <v>5.997829512582121</v>
      </c>
      <c r="S139" s="233">
        <v>100</v>
      </c>
      <c r="T139" s="231">
        <f t="shared" ref="T139:T202" si="41">AJ139</f>
        <v>0</v>
      </c>
      <c r="U139" s="231">
        <f>R139*T139/100</f>
        <v>0</v>
      </c>
      <c r="V139" s="296">
        <f t="shared" si="39"/>
        <v>100</v>
      </c>
      <c r="W139" s="231"/>
      <c r="X139" s="231" t="e">
        <f>#REF!</f>
        <v>#REF!</v>
      </c>
      <c r="Y139" s="231" t="e">
        <f>#REF!</f>
        <v>#REF!</v>
      </c>
      <c r="Z139" s="231" t="e">
        <f>#REF!</f>
        <v>#REF!</v>
      </c>
      <c r="AA139" s="231" t="e">
        <f>#REF!</f>
        <v>#REF!</v>
      </c>
      <c r="AB139" s="231">
        <v>91844000</v>
      </c>
      <c r="AC139" s="231" t="e">
        <f>#REF!</f>
        <v>#REF!</v>
      </c>
      <c r="AD139" s="231" t="e">
        <f>#REF!</f>
        <v>#REF!</v>
      </c>
      <c r="AE139" s="231" t="e">
        <f>#REF!</f>
        <v>#REF!</v>
      </c>
      <c r="AF139" s="231" t="e">
        <f>[1]April!N38</f>
        <v>#REF!</v>
      </c>
      <c r="AG139" s="231" t="e">
        <f>[2]april!N38</f>
        <v>#REF!</v>
      </c>
      <c r="AH139" s="231">
        <f>'[3]DES SKPD'!$N38</f>
        <v>322038365</v>
      </c>
      <c r="AI139" s="231">
        <f>SUM(AI140:AI142)</f>
        <v>0</v>
      </c>
      <c r="AJ139" s="233">
        <f t="shared" ref="AJ139:AJ202" si="42">AI139/Q139*100</f>
        <v>0</v>
      </c>
      <c r="AK139" s="234">
        <f t="shared" si="36"/>
        <v>151500000</v>
      </c>
      <c r="AL139" s="233">
        <f t="shared" ref="AL139:AL202" si="43">AK139/Q139*100</f>
        <v>100</v>
      </c>
      <c r="AM139" s="227"/>
    </row>
    <row r="140" spans="1:39" ht="30.75" customHeight="1" x14ac:dyDescent="0.25">
      <c r="A140" s="243"/>
      <c r="B140" s="341"/>
      <c r="C140" s="341"/>
      <c r="D140" s="341"/>
      <c r="E140" s="341"/>
      <c r="F140" s="341"/>
      <c r="G140" s="341"/>
      <c r="H140" s="341"/>
      <c r="I140" s="342"/>
      <c r="J140" s="341" t="s">
        <v>259</v>
      </c>
      <c r="K140" s="245"/>
      <c r="L140" s="257"/>
      <c r="M140" s="597" t="s">
        <v>260</v>
      </c>
      <c r="N140" s="598"/>
      <c r="O140" s="299"/>
      <c r="P140" s="180"/>
      <c r="Q140" s="180">
        <v>800000</v>
      </c>
      <c r="R140" s="181">
        <f>Q140/Q$139*100</f>
        <v>0.528052805280528</v>
      </c>
      <c r="S140" s="181">
        <v>100</v>
      </c>
      <c r="T140" s="180">
        <f t="shared" si="41"/>
        <v>0</v>
      </c>
      <c r="U140" s="180">
        <f t="shared" ref="U140:U155" si="44">R140*T140/100</f>
        <v>0</v>
      </c>
      <c r="V140" s="182">
        <f t="shared" si="39"/>
        <v>100</v>
      </c>
      <c r="W140" s="180"/>
      <c r="X140" s="180" t="e">
        <f>#REF!</f>
        <v>#REF!</v>
      </c>
      <c r="Y140" s="180" t="e">
        <f>#REF!</f>
        <v>#REF!</v>
      </c>
      <c r="Z140" s="180" t="e">
        <f>#REF!</f>
        <v>#REF!</v>
      </c>
      <c r="AA140" s="180" t="e">
        <f>#REF!</f>
        <v>#REF!</v>
      </c>
      <c r="AB140" s="180">
        <v>91844002</v>
      </c>
      <c r="AC140" s="180" t="e">
        <f>#REF!</f>
        <v>#REF!</v>
      </c>
      <c r="AD140" s="180" t="e">
        <f>#REF!</f>
        <v>#REF!</v>
      </c>
      <c r="AE140" s="180" t="e">
        <f>#REF!</f>
        <v>#REF!</v>
      </c>
      <c r="AF140" s="180" t="e">
        <f>[1]April!N40</f>
        <v>#REF!</v>
      </c>
      <c r="AG140" s="180" t="e">
        <f>[2]april!N40</f>
        <v>#REF!</v>
      </c>
      <c r="AH140" s="180">
        <f>'[3]DES SKPD'!$N40</f>
        <v>140440000</v>
      </c>
      <c r="AI140" s="180">
        <v>0</v>
      </c>
      <c r="AJ140" s="181">
        <f t="shared" si="42"/>
        <v>0</v>
      </c>
      <c r="AK140" s="246">
        <f t="shared" si="36"/>
        <v>800000</v>
      </c>
      <c r="AL140" s="181">
        <f t="shared" si="43"/>
        <v>100</v>
      </c>
      <c r="AM140" s="243"/>
    </row>
    <row r="141" spans="1:39" ht="24.75" customHeight="1" x14ac:dyDescent="0.25">
      <c r="A141" s="243"/>
      <c r="B141" s="341"/>
      <c r="C141" s="341"/>
      <c r="D141" s="341"/>
      <c r="E141" s="341"/>
      <c r="F141" s="341"/>
      <c r="G141" s="341"/>
      <c r="H141" s="341"/>
      <c r="I141" s="342"/>
      <c r="J141" s="341" t="s">
        <v>290</v>
      </c>
      <c r="K141" s="245"/>
      <c r="L141" s="257"/>
      <c r="M141" s="597" t="s">
        <v>291</v>
      </c>
      <c r="N141" s="598"/>
      <c r="O141" s="299"/>
      <c r="P141" s="180"/>
      <c r="Q141" s="180">
        <v>95400000</v>
      </c>
      <c r="R141" s="181">
        <f>Q141/Q$139*100</f>
        <v>62.970297029702969</v>
      </c>
      <c r="S141" s="181">
        <v>100</v>
      </c>
      <c r="T141" s="180">
        <f t="shared" si="41"/>
        <v>0</v>
      </c>
      <c r="U141" s="180">
        <f t="shared" si="44"/>
        <v>0</v>
      </c>
      <c r="V141" s="182">
        <f t="shared" si="39"/>
        <v>100</v>
      </c>
      <c r="W141" s="180"/>
      <c r="X141" s="180" t="e">
        <f>#REF!</f>
        <v>#REF!</v>
      </c>
      <c r="Y141" s="180" t="e">
        <f>#REF!</f>
        <v>#REF!</v>
      </c>
      <c r="Z141" s="180" t="e">
        <f>#REF!</f>
        <v>#REF!</v>
      </c>
      <c r="AA141" s="180" t="e">
        <f>#REF!</f>
        <v>#REF!</v>
      </c>
      <c r="AB141" s="180">
        <v>91844003</v>
      </c>
      <c r="AC141" s="180" t="e">
        <f>#REF!</f>
        <v>#REF!</v>
      </c>
      <c r="AD141" s="180" t="e">
        <f>#REF!</f>
        <v>#REF!</v>
      </c>
      <c r="AE141" s="180" t="e">
        <f>#REF!</f>
        <v>#REF!</v>
      </c>
      <c r="AF141" s="180" t="e">
        <f>[1]April!N41</f>
        <v>#REF!</v>
      </c>
      <c r="AG141" s="180" t="e">
        <f>[2]april!N41</f>
        <v>#REF!</v>
      </c>
      <c r="AH141" s="180">
        <f>'[3]DES SKPD'!$N41</f>
        <v>231767600</v>
      </c>
      <c r="AI141" s="180">
        <v>0</v>
      </c>
      <c r="AJ141" s="181">
        <f t="shared" si="42"/>
        <v>0</v>
      </c>
      <c r="AK141" s="246">
        <f t="shared" si="36"/>
        <v>95400000</v>
      </c>
      <c r="AL141" s="181">
        <f t="shared" si="43"/>
        <v>100</v>
      </c>
      <c r="AM141" s="243"/>
    </row>
    <row r="142" spans="1:39" ht="36" customHeight="1" x14ac:dyDescent="0.25">
      <c r="A142" s="243"/>
      <c r="B142" s="341"/>
      <c r="C142" s="341"/>
      <c r="D142" s="341"/>
      <c r="E142" s="341"/>
      <c r="F142" s="341"/>
      <c r="G142" s="341"/>
      <c r="H142" s="341"/>
      <c r="I142" s="342"/>
      <c r="J142" s="341" t="s">
        <v>292</v>
      </c>
      <c r="K142" s="245"/>
      <c r="L142" s="257"/>
      <c r="M142" s="597" t="s">
        <v>293</v>
      </c>
      <c r="N142" s="598"/>
      <c r="O142" s="299"/>
      <c r="P142" s="180"/>
      <c r="Q142" s="180">
        <v>55300000</v>
      </c>
      <c r="R142" s="181">
        <f>Q142/Q$139*100</f>
        <v>36.5016501650165</v>
      </c>
      <c r="S142" s="181">
        <v>100</v>
      </c>
      <c r="T142" s="180">
        <f t="shared" si="41"/>
        <v>0</v>
      </c>
      <c r="U142" s="180">
        <f t="shared" si="44"/>
        <v>0</v>
      </c>
      <c r="V142" s="182">
        <f t="shared" si="39"/>
        <v>100</v>
      </c>
      <c r="W142" s="180"/>
      <c r="X142" s="180" t="e">
        <f>#REF!</f>
        <v>#REF!</v>
      </c>
      <c r="Y142" s="180" t="e">
        <f>#REF!</f>
        <v>#REF!</v>
      </c>
      <c r="Z142" s="180" t="e">
        <f>#REF!</f>
        <v>#REF!</v>
      </c>
      <c r="AA142" s="180" t="e">
        <f>#REF!</f>
        <v>#REF!</v>
      </c>
      <c r="AB142" s="180">
        <v>91844004</v>
      </c>
      <c r="AC142" s="180" t="e">
        <f>#REF!</f>
        <v>#REF!</v>
      </c>
      <c r="AD142" s="180" t="e">
        <f>#REF!</f>
        <v>#REF!</v>
      </c>
      <c r="AE142" s="180" t="e">
        <f>#REF!</f>
        <v>#REF!</v>
      </c>
      <c r="AF142" s="180" t="e">
        <f>[1]April!N42</f>
        <v>#REF!</v>
      </c>
      <c r="AG142" s="180" t="e">
        <f>[2]april!N42</f>
        <v>#REF!</v>
      </c>
      <c r="AH142" s="180" t="e">
        <f>'[3]DES SKPD'!$N42</f>
        <v>#REF!</v>
      </c>
      <c r="AI142" s="180">
        <v>0</v>
      </c>
      <c r="AJ142" s="181">
        <f t="shared" si="42"/>
        <v>0</v>
      </c>
      <c r="AK142" s="246">
        <f t="shared" si="36"/>
        <v>55300000</v>
      </c>
      <c r="AL142" s="181">
        <f t="shared" si="43"/>
        <v>100</v>
      </c>
      <c r="AM142" s="243"/>
    </row>
    <row r="143" spans="1:39" s="297" customFormat="1" ht="32.25" customHeight="1" x14ac:dyDescent="0.25">
      <c r="A143" s="227">
        <f>A139+1</f>
        <v>20</v>
      </c>
      <c r="B143" s="615" t="s">
        <v>130</v>
      </c>
      <c r="C143" s="615"/>
      <c r="D143" s="615"/>
      <c r="E143" s="615"/>
      <c r="F143" s="615"/>
      <c r="G143" s="615"/>
      <c r="H143" s="615"/>
      <c r="I143" s="614"/>
      <c r="J143" s="304" t="s">
        <v>459</v>
      </c>
      <c r="K143" s="230"/>
      <c r="L143" s="294"/>
      <c r="M143" s="615" t="s">
        <v>27</v>
      </c>
      <c r="N143" s="614"/>
      <c r="O143" s="295">
        <v>641710000</v>
      </c>
      <c r="P143" s="231">
        <f>O143</f>
        <v>641710000</v>
      </c>
      <c r="Q143" s="231">
        <f>SUM(Q144:Q149)</f>
        <v>1030500000</v>
      </c>
      <c r="R143" s="233">
        <f>Q143/Q$54*100</f>
        <v>40.797117575682343</v>
      </c>
      <c r="S143" s="233">
        <v>100</v>
      </c>
      <c r="T143" s="231">
        <f>AJ143</f>
        <v>0</v>
      </c>
      <c r="U143" s="231">
        <f>R143*T143/100</f>
        <v>0</v>
      </c>
      <c r="V143" s="296">
        <f>S143-T143</f>
        <v>100</v>
      </c>
      <c r="W143" s="231"/>
      <c r="X143" s="231" t="e">
        <f>#REF!</f>
        <v>#REF!</v>
      </c>
      <c r="Y143" s="231" t="e">
        <f>#REF!</f>
        <v>#REF!</v>
      </c>
      <c r="Z143" s="231" t="e">
        <f>#REF!</f>
        <v>#REF!</v>
      </c>
      <c r="AA143" s="231" t="e">
        <f>#REF!</f>
        <v>#REF!</v>
      </c>
      <c r="AB143" s="231">
        <v>335806263</v>
      </c>
      <c r="AC143" s="231" t="e">
        <f>#REF!</f>
        <v>#REF!</v>
      </c>
      <c r="AD143" s="231" t="e">
        <f>#REF!</f>
        <v>#REF!</v>
      </c>
      <c r="AE143" s="231" t="e">
        <f>#REF!</f>
        <v>#REF!</v>
      </c>
      <c r="AF143" s="231" t="e">
        <f>[1]April!N39</f>
        <v>#REF!</v>
      </c>
      <c r="AG143" s="231" t="e">
        <f>[2]april!N39</f>
        <v>#REF!</v>
      </c>
      <c r="AH143" s="231">
        <f>'[3]DES SKPD'!$N39</f>
        <v>676934270</v>
      </c>
      <c r="AI143" s="231">
        <f>SUM(AI144:AI149)</f>
        <v>0</v>
      </c>
      <c r="AJ143" s="233">
        <f>AI143/Q143*100</f>
        <v>0</v>
      </c>
      <c r="AK143" s="234">
        <f>Q143-AI143</f>
        <v>1030500000</v>
      </c>
      <c r="AL143" s="233">
        <f>AK143/Q143*100</f>
        <v>100</v>
      </c>
      <c r="AM143" s="227"/>
    </row>
    <row r="144" spans="1:39" s="297" customFormat="1" ht="32.25" customHeight="1" x14ac:dyDescent="0.25">
      <c r="A144" s="227"/>
      <c r="B144" s="346"/>
      <c r="C144" s="346"/>
      <c r="D144" s="346"/>
      <c r="E144" s="346"/>
      <c r="F144" s="346"/>
      <c r="G144" s="346"/>
      <c r="H144" s="346"/>
      <c r="I144" s="345"/>
      <c r="J144" s="341" t="s">
        <v>259</v>
      </c>
      <c r="K144" s="245"/>
      <c r="L144" s="257"/>
      <c r="M144" s="597" t="s">
        <v>260</v>
      </c>
      <c r="N144" s="598"/>
      <c r="O144" s="299"/>
      <c r="P144" s="180"/>
      <c r="Q144" s="180">
        <v>800000</v>
      </c>
      <c r="R144" s="181">
        <f>Q144/Q$139*100</f>
        <v>0.528052805280528</v>
      </c>
      <c r="S144" s="181">
        <v>100</v>
      </c>
      <c r="T144" s="180">
        <f t="shared" ref="T144" si="45">AJ144</f>
        <v>0</v>
      </c>
      <c r="U144" s="180">
        <f t="shared" ref="U144" si="46">R144*T144/100</f>
        <v>0</v>
      </c>
      <c r="V144" s="182">
        <f t="shared" ref="V144" si="47">S144-T144</f>
        <v>100</v>
      </c>
      <c r="W144" s="180"/>
      <c r="X144" s="180" t="e">
        <f>#REF!</f>
        <v>#REF!</v>
      </c>
      <c r="Y144" s="180" t="e">
        <f>#REF!</f>
        <v>#REF!</v>
      </c>
      <c r="Z144" s="180" t="e">
        <f>#REF!</f>
        <v>#REF!</v>
      </c>
      <c r="AA144" s="180" t="e">
        <f>#REF!</f>
        <v>#REF!</v>
      </c>
      <c r="AB144" s="180">
        <v>91844002</v>
      </c>
      <c r="AC144" s="180" t="e">
        <f>#REF!</f>
        <v>#REF!</v>
      </c>
      <c r="AD144" s="180" t="e">
        <f>#REF!</f>
        <v>#REF!</v>
      </c>
      <c r="AE144" s="180" t="e">
        <f>#REF!</f>
        <v>#REF!</v>
      </c>
      <c r="AF144" s="180" t="e">
        <f>[1]April!N44</f>
        <v>#REF!</v>
      </c>
      <c r="AG144" s="180" t="e">
        <f>[2]april!N44</f>
        <v>#REF!</v>
      </c>
      <c r="AH144" s="180" t="e">
        <f>'[3]DES SKPD'!$N44</f>
        <v>#REF!</v>
      </c>
      <c r="AI144" s="180">
        <v>0</v>
      </c>
      <c r="AJ144" s="181">
        <f t="shared" ref="AJ144" si="48">AI144/Q144*100</f>
        <v>0</v>
      </c>
      <c r="AK144" s="246">
        <f t="shared" ref="AK144" si="49">Q144-AI144</f>
        <v>800000</v>
      </c>
      <c r="AL144" s="181">
        <f t="shared" ref="AL144" si="50">AK144/Q144*100</f>
        <v>100</v>
      </c>
      <c r="AM144" s="227"/>
    </row>
    <row r="145" spans="1:39" ht="28.5" customHeight="1" x14ac:dyDescent="0.25">
      <c r="A145" s="243"/>
      <c r="B145" s="341"/>
      <c r="C145" s="341"/>
      <c r="D145" s="341"/>
      <c r="E145" s="341"/>
      <c r="F145" s="341"/>
      <c r="G145" s="341"/>
      <c r="H145" s="341"/>
      <c r="I145" s="342"/>
      <c r="J145" s="341" t="s">
        <v>294</v>
      </c>
      <c r="K145" s="245"/>
      <c r="L145" s="257"/>
      <c r="M145" s="597" t="s">
        <v>295</v>
      </c>
      <c r="N145" s="598"/>
      <c r="O145" s="299"/>
      <c r="P145" s="180"/>
      <c r="Q145" s="180">
        <v>67090000</v>
      </c>
      <c r="R145" s="181">
        <f t="shared" ref="R145:R149" si="51">Q145/Q$143*100</f>
        <v>6.5104318292091223</v>
      </c>
      <c r="S145" s="181">
        <v>100</v>
      </c>
      <c r="T145" s="180">
        <f t="shared" si="41"/>
        <v>0</v>
      </c>
      <c r="U145" s="180">
        <f t="shared" si="44"/>
        <v>0</v>
      </c>
      <c r="V145" s="182">
        <f t="shared" si="39"/>
        <v>100</v>
      </c>
      <c r="W145" s="180"/>
      <c r="X145" s="180" t="e">
        <f>#REF!</f>
        <v>#REF!</v>
      </c>
      <c r="Y145" s="180" t="e">
        <f>#REF!</f>
        <v>#REF!</v>
      </c>
      <c r="Z145" s="180" t="e">
        <f>#REF!</f>
        <v>#REF!</v>
      </c>
      <c r="AA145" s="180" t="e">
        <f>#REF!</f>
        <v>#REF!</v>
      </c>
      <c r="AB145" s="180">
        <v>335806265</v>
      </c>
      <c r="AC145" s="180" t="e">
        <f>#REF!</f>
        <v>#REF!</v>
      </c>
      <c r="AD145" s="180" t="e">
        <f>#REF!</f>
        <v>#REF!</v>
      </c>
      <c r="AE145" s="180" t="e">
        <f>#REF!</f>
        <v>#REF!</v>
      </c>
      <c r="AF145" s="180" t="e">
        <f>[1]April!N41</f>
        <v>#REF!</v>
      </c>
      <c r="AG145" s="180" t="e">
        <f>[2]april!N41</f>
        <v>#REF!</v>
      </c>
      <c r="AH145" s="180">
        <f>'[3]DES SKPD'!$N41</f>
        <v>231767600</v>
      </c>
      <c r="AI145" s="180">
        <v>0</v>
      </c>
      <c r="AJ145" s="181">
        <f t="shared" si="42"/>
        <v>0</v>
      </c>
      <c r="AK145" s="246">
        <f t="shared" si="36"/>
        <v>67090000</v>
      </c>
      <c r="AL145" s="181">
        <f t="shared" si="43"/>
        <v>100</v>
      </c>
      <c r="AM145" s="243"/>
    </row>
    <row r="146" spans="1:39" ht="28.5" customHeight="1" x14ac:dyDescent="0.25">
      <c r="A146" s="243"/>
      <c r="B146" s="341"/>
      <c r="C146" s="341"/>
      <c r="D146" s="341"/>
      <c r="E146" s="341"/>
      <c r="F146" s="341"/>
      <c r="G146" s="341"/>
      <c r="H146" s="341"/>
      <c r="I146" s="342"/>
      <c r="J146" s="341" t="s">
        <v>296</v>
      </c>
      <c r="K146" s="245"/>
      <c r="L146" s="257"/>
      <c r="M146" s="597" t="s">
        <v>297</v>
      </c>
      <c r="N146" s="598"/>
      <c r="O146" s="299"/>
      <c r="P146" s="180"/>
      <c r="Q146" s="180">
        <v>297450000</v>
      </c>
      <c r="R146" s="181">
        <f t="shared" si="51"/>
        <v>28.864628820960696</v>
      </c>
      <c r="S146" s="181">
        <v>100</v>
      </c>
      <c r="T146" s="180">
        <f t="shared" si="41"/>
        <v>0</v>
      </c>
      <c r="U146" s="180">
        <f t="shared" si="44"/>
        <v>0</v>
      </c>
      <c r="V146" s="182">
        <f t="shared" si="39"/>
        <v>100</v>
      </c>
      <c r="W146" s="180"/>
      <c r="X146" s="180" t="e">
        <f>#REF!</f>
        <v>#REF!</v>
      </c>
      <c r="Y146" s="180" t="e">
        <f>#REF!</f>
        <v>#REF!</v>
      </c>
      <c r="Z146" s="180" t="e">
        <f>#REF!</f>
        <v>#REF!</v>
      </c>
      <c r="AA146" s="180" t="e">
        <f>#REF!</f>
        <v>#REF!</v>
      </c>
      <c r="AB146" s="180">
        <v>335806266</v>
      </c>
      <c r="AC146" s="180" t="e">
        <f>#REF!</f>
        <v>#REF!</v>
      </c>
      <c r="AD146" s="180" t="e">
        <f>#REF!</f>
        <v>#REF!</v>
      </c>
      <c r="AE146" s="180" t="e">
        <f>#REF!</f>
        <v>#REF!</v>
      </c>
      <c r="AF146" s="180" t="e">
        <f>[1]April!N42</f>
        <v>#REF!</v>
      </c>
      <c r="AG146" s="180" t="e">
        <f>[2]april!N42</f>
        <v>#REF!</v>
      </c>
      <c r="AH146" s="180" t="e">
        <f>'[3]DES SKPD'!$N42</f>
        <v>#REF!</v>
      </c>
      <c r="AI146" s="180">
        <v>0</v>
      </c>
      <c r="AJ146" s="181">
        <f t="shared" si="42"/>
        <v>0</v>
      </c>
      <c r="AK146" s="246">
        <f t="shared" si="36"/>
        <v>297450000</v>
      </c>
      <c r="AL146" s="181">
        <f t="shared" si="43"/>
        <v>100</v>
      </c>
      <c r="AM146" s="243"/>
    </row>
    <row r="147" spans="1:39" ht="28.5" customHeight="1" x14ac:dyDescent="0.25">
      <c r="A147" s="243"/>
      <c r="B147" s="341"/>
      <c r="C147" s="341"/>
      <c r="D147" s="341"/>
      <c r="E147" s="341"/>
      <c r="F147" s="341"/>
      <c r="G147" s="341"/>
      <c r="H147" s="341"/>
      <c r="I147" s="342"/>
      <c r="J147" s="341" t="s">
        <v>298</v>
      </c>
      <c r="K147" s="245"/>
      <c r="L147" s="257"/>
      <c r="M147" s="597" t="s">
        <v>299</v>
      </c>
      <c r="N147" s="598"/>
      <c r="O147" s="299"/>
      <c r="P147" s="180"/>
      <c r="Q147" s="180">
        <v>241500000</v>
      </c>
      <c r="R147" s="181">
        <f t="shared" si="51"/>
        <v>23.435225618631733</v>
      </c>
      <c r="S147" s="181">
        <v>100</v>
      </c>
      <c r="T147" s="180">
        <f t="shared" si="41"/>
        <v>0</v>
      </c>
      <c r="U147" s="180">
        <f t="shared" si="44"/>
        <v>0</v>
      </c>
      <c r="V147" s="182">
        <f t="shared" si="39"/>
        <v>100</v>
      </c>
      <c r="W147" s="180"/>
      <c r="X147" s="180" t="e">
        <f>#REF!</f>
        <v>#REF!</v>
      </c>
      <c r="Y147" s="180" t="e">
        <f>#REF!</f>
        <v>#REF!</v>
      </c>
      <c r="Z147" s="180" t="e">
        <f>#REF!</f>
        <v>#REF!</v>
      </c>
      <c r="AA147" s="180" t="e">
        <f>#REF!</f>
        <v>#REF!</v>
      </c>
      <c r="AB147" s="180">
        <v>335806267</v>
      </c>
      <c r="AC147" s="180" t="e">
        <f>#REF!</f>
        <v>#REF!</v>
      </c>
      <c r="AD147" s="180" t="e">
        <f>#REF!</f>
        <v>#REF!</v>
      </c>
      <c r="AE147" s="180" t="e">
        <f>#REF!</f>
        <v>#REF!</v>
      </c>
      <c r="AF147" s="180" t="e">
        <f>[1]April!N43</f>
        <v>#REF!</v>
      </c>
      <c r="AG147" s="180" t="e">
        <f>[2]april!N43</f>
        <v>#REF!</v>
      </c>
      <c r="AH147" s="180">
        <f>'[3]DES SKPD'!$N43</f>
        <v>38085000</v>
      </c>
      <c r="AI147" s="180">
        <v>0</v>
      </c>
      <c r="AJ147" s="181">
        <f t="shared" si="42"/>
        <v>0</v>
      </c>
      <c r="AK147" s="246">
        <f t="shared" si="36"/>
        <v>241500000</v>
      </c>
      <c r="AL147" s="181">
        <f t="shared" si="43"/>
        <v>100</v>
      </c>
      <c r="AM147" s="243"/>
    </row>
    <row r="148" spans="1:39" ht="28.5" customHeight="1" x14ac:dyDescent="0.25">
      <c r="A148" s="243"/>
      <c r="B148" s="341"/>
      <c r="C148" s="341"/>
      <c r="D148" s="341"/>
      <c r="E148" s="341"/>
      <c r="F148" s="341"/>
      <c r="G148" s="341"/>
      <c r="H148" s="341"/>
      <c r="I148" s="342"/>
      <c r="J148" s="341" t="s">
        <v>581</v>
      </c>
      <c r="K148" s="245"/>
      <c r="L148" s="257"/>
      <c r="M148" s="597" t="s">
        <v>580</v>
      </c>
      <c r="N148" s="598"/>
      <c r="O148" s="299"/>
      <c r="P148" s="180"/>
      <c r="Q148" s="180">
        <v>411660000</v>
      </c>
      <c r="R148" s="181">
        <f t="shared" si="51"/>
        <v>39.94759825327511</v>
      </c>
      <c r="S148" s="181">
        <v>100</v>
      </c>
      <c r="T148" s="180">
        <f t="shared" si="41"/>
        <v>0</v>
      </c>
      <c r="U148" s="180">
        <f t="shared" si="44"/>
        <v>0</v>
      </c>
      <c r="V148" s="182">
        <f t="shared" si="39"/>
        <v>100</v>
      </c>
      <c r="W148" s="180"/>
      <c r="X148" s="180" t="e">
        <f>#REF!</f>
        <v>#REF!</v>
      </c>
      <c r="Y148" s="180" t="e">
        <f>#REF!</f>
        <v>#REF!</v>
      </c>
      <c r="Z148" s="180" t="e">
        <f>#REF!</f>
        <v>#REF!</v>
      </c>
      <c r="AA148" s="180" t="e">
        <f>#REF!</f>
        <v>#REF!</v>
      </c>
      <c r="AB148" s="180">
        <v>335806268</v>
      </c>
      <c r="AC148" s="180" t="e">
        <f>#REF!</f>
        <v>#REF!</v>
      </c>
      <c r="AD148" s="180" t="e">
        <f>#REF!</f>
        <v>#REF!</v>
      </c>
      <c r="AE148" s="180" t="e">
        <f>#REF!</f>
        <v>#REF!</v>
      </c>
      <c r="AF148" s="180" t="e">
        <f>[1]April!N44</f>
        <v>#REF!</v>
      </c>
      <c r="AG148" s="180" t="e">
        <f>[2]april!N44</f>
        <v>#REF!</v>
      </c>
      <c r="AH148" s="180" t="e">
        <f>'[3]DES SKPD'!$N44</f>
        <v>#REF!</v>
      </c>
      <c r="AI148" s="180">
        <v>0</v>
      </c>
      <c r="AJ148" s="181">
        <f t="shared" si="42"/>
        <v>0</v>
      </c>
      <c r="AK148" s="246">
        <f t="shared" si="36"/>
        <v>411660000</v>
      </c>
      <c r="AL148" s="181">
        <f t="shared" si="43"/>
        <v>100</v>
      </c>
      <c r="AM148" s="243"/>
    </row>
    <row r="149" spans="1:39" ht="32.25" customHeight="1" x14ac:dyDescent="0.25">
      <c r="A149" s="243"/>
      <c r="B149" s="341"/>
      <c r="C149" s="341"/>
      <c r="D149" s="341"/>
      <c r="E149" s="341"/>
      <c r="F149" s="341"/>
      <c r="G149" s="341"/>
      <c r="H149" s="341"/>
      <c r="I149" s="342"/>
      <c r="J149" s="341" t="s">
        <v>551</v>
      </c>
      <c r="K149" s="245"/>
      <c r="L149" s="257"/>
      <c r="M149" s="597" t="s">
        <v>550</v>
      </c>
      <c r="N149" s="598"/>
      <c r="O149" s="299"/>
      <c r="P149" s="180"/>
      <c r="Q149" s="180">
        <v>12000000</v>
      </c>
      <c r="R149" s="181">
        <f t="shared" si="51"/>
        <v>1.1644832605531297</v>
      </c>
      <c r="S149" s="181"/>
      <c r="T149" s="180">
        <f t="shared" si="41"/>
        <v>0</v>
      </c>
      <c r="U149" s="180">
        <f t="shared" si="44"/>
        <v>0</v>
      </c>
      <c r="V149" s="182">
        <f t="shared" si="39"/>
        <v>0</v>
      </c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>
        <v>0</v>
      </c>
      <c r="AJ149" s="181">
        <f t="shared" si="42"/>
        <v>0</v>
      </c>
      <c r="AK149" s="246">
        <f t="shared" si="36"/>
        <v>12000000</v>
      </c>
      <c r="AL149" s="181">
        <f t="shared" si="43"/>
        <v>100</v>
      </c>
      <c r="AM149" s="243"/>
    </row>
    <row r="150" spans="1:39" s="297" customFormat="1" ht="33.75" customHeight="1" x14ac:dyDescent="0.25">
      <c r="A150" s="227">
        <f>A143+1</f>
        <v>21</v>
      </c>
      <c r="B150" s="615" t="s">
        <v>131</v>
      </c>
      <c r="C150" s="615"/>
      <c r="D150" s="615"/>
      <c r="E150" s="615"/>
      <c r="F150" s="615"/>
      <c r="G150" s="615"/>
      <c r="H150" s="615"/>
      <c r="I150" s="614"/>
      <c r="J150" s="304" t="s">
        <v>460</v>
      </c>
      <c r="K150" s="230"/>
      <c r="L150" s="294"/>
      <c r="M150" s="615" t="s">
        <v>28</v>
      </c>
      <c r="N150" s="614"/>
      <c r="O150" s="295">
        <v>140600000</v>
      </c>
      <c r="P150" s="231">
        <f>O150</f>
        <v>140600000</v>
      </c>
      <c r="Q150" s="231">
        <f>SUM(Q151:Q151)</f>
        <v>96500000</v>
      </c>
      <c r="R150" s="233">
        <f>Q150/Q$119*100</f>
        <v>2.7479286597853601</v>
      </c>
      <c r="S150" s="233">
        <v>100</v>
      </c>
      <c r="T150" s="231">
        <f t="shared" si="41"/>
        <v>0</v>
      </c>
      <c r="U150" s="231">
        <f t="shared" si="44"/>
        <v>0</v>
      </c>
      <c r="V150" s="296">
        <f>S150-T150</f>
        <v>100</v>
      </c>
      <c r="W150" s="231"/>
      <c r="X150" s="231" t="e">
        <f>#REF!</f>
        <v>#REF!</v>
      </c>
      <c r="Y150" s="231" t="e">
        <f>#REF!</f>
        <v>#REF!</v>
      </c>
      <c r="Z150" s="231" t="e">
        <f>#REF!</f>
        <v>#REF!</v>
      </c>
      <c r="AA150" s="231" t="e">
        <f>#REF!</f>
        <v>#REF!</v>
      </c>
      <c r="AB150" s="231">
        <v>54780000</v>
      </c>
      <c r="AC150" s="231" t="e">
        <f>#REF!</f>
        <v>#REF!</v>
      </c>
      <c r="AD150" s="231" t="e">
        <f>#REF!</f>
        <v>#REF!</v>
      </c>
      <c r="AE150" s="231" t="e">
        <f>#REF!</f>
        <v>#REF!</v>
      </c>
      <c r="AF150" s="231" t="e">
        <f>[1]April!N40</f>
        <v>#REF!</v>
      </c>
      <c r="AG150" s="231">
        <v>140440000</v>
      </c>
      <c r="AH150" s="231">
        <f>'[3]DES SKPD'!$N40</f>
        <v>140440000</v>
      </c>
      <c r="AI150" s="231">
        <f>SUM(AI151:AI151)</f>
        <v>0</v>
      </c>
      <c r="AJ150" s="233">
        <f t="shared" si="42"/>
        <v>0</v>
      </c>
      <c r="AK150" s="234">
        <f t="shared" si="36"/>
        <v>96500000</v>
      </c>
      <c r="AL150" s="233">
        <f t="shared" si="43"/>
        <v>100</v>
      </c>
      <c r="AM150" s="227"/>
    </row>
    <row r="151" spans="1:39" ht="29.25" customHeight="1" x14ac:dyDescent="0.25">
      <c r="A151" s="243"/>
      <c r="B151" s="341"/>
      <c r="C151" s="341"/>
      <c r="D151" s="341"/>
      <c r="E151" s="341"/>
      <c r="F151" s="341"/>
      <c r="G151" s="341"/>
      <c r="H151" s="341"/>
      <c r="I151" s="342"/>
      <c r="J151" s="341" t="s">
        <v>302</v>
      </c>
      <c r="K151" s="245"/>
      <c r="L151" s="257"/>
      <c r="M151" s="597" t="s">
        <v>303</v>
      </c>
      <c r="N151" s="598"/>
      <c r="O151" s="299"/>
      <c r="P151" s="180"/>
      <c r="Q151" s="180">
        <v>96500000</v>
      </c>
      <c r="R151" s="181">
        <f>Q151/Q$150*100</f>
        <v>100</v>
      </c>
      <c r="S151" s="181">
        <v>100</v>
      </c>
      <c r="T151" s="180">
        <f t="shared" si="41"/>
        <v>0</v>
      </c>
      <c r="U151" s="180">
        <f t="shared" si="44"/>
        <v>0</v>
      </c>
      <c r="V151" s="182">
        <f t="shared" ref="V151:V214" si="52">S151-T151</f>
        <v>100</v>
      </c>
      <c r="W151" s="180"/>
      <c r="X151" s="180" t="e">
        <f>#REF!</f>
        <v>#REF!</v>
      </c>
      <c r="Y151" s="180" t="e">
        <f>#REF!</f>
        <v>#REF!</v>
      </c>
      <c r="Z151" s="180" t="e">
        <f>#REF!</f>
        <v>#REF!</v>
      </c>
      <c r="AA151" s="180" t="e">
        <f>#REF!</f>
        <v>#REF!</v>
      </c>
      <c r="AB151" s="180">
        <v>54780002</v>
      </c>
      <c r="AC151" s="180" t="e">
        <f>#REF!</f>
        <v>#REF!</v>
      </c>
      <c r="AD151" s="180" t="e">
        <f>#REF!</f>
        <v>#REF!</v>
      </c>
      <c r="AE151" s="180" t="e">
        <f>#REF!</f>
        <v>#REF!</v>
      </c>
      <c r="AF151" s="180" t="e">
        <f>[1]April!N42</f>
        <v>#REF!</v>
      </c>
      <c r="AG151" s="231">
        <v>140440002</v>
      </c>
      <c r="AH151" s="180" t="e">
        <f>'[3]DES SKPD'!$N42</f>
        <v>#REF!</v>
      </c>
      <c r="AI151" s="180">
        <v>0</v>
      </c>
      <c r="AJ151" s="181">
        <f t="shared" si="42"/>
        <v>0</v>
      </c>
      <c r="AK151" s="246">
        <f t="shared" si="36"/>
        <v>96500000</v>
      </c>
      <c r="AL151" s="181">
        <f t="shared" si="43"/>
        <v>100</v>
      </c>
      <c r="AM151" s="243"/>
    </row>
    <row r="152" spans="1:39" s="297" customFormat="1" ht="33" customHeight="1" x14ac:dyDescent="0.25">
      <c r="A152" s="227">
        <f>SUM(A150+1)</f>
        <v>22</v>
      </c>
      <c r="B152" s="346"/>
      <c r="C152" s="346"/>
      <c r="D152" s="346"/>
      <c r="E152" s="346"/>
      <c r="F152" s="346"/>
      <c r="G152" s="346"/>
      <c r="H152" s="346"/>
      <c r="I152" s="345"/>
      <c r="J152" s="304" t="s">
        <v>461</v>
      </c>
      <c r="K152" s="230"/>
      <c r="L152" s="294"/>
      <c r="M152" s="615" t="s">
        <v>197</v>
      </c>
      <c r="N152" s="614"/>
      <c r="O152" s="295"/>
      <c r="P152" s="231"/>
      <c r="Q152" s="231">
        <f>SUM(Q153:Q153)</f>
        <v>230100000</v>
      </c>
      <c r="R152" s="233">
        <f>Q152/Q$119*100</f>
        <v>6.552314866493381</v>
      </c>
      <c r="S152" s="233">
        <v>100</v>
      </c>
      <c r="T152" s="231">
        <f t="shared" si="41"/>
        <v>0</v>
      </c>
      <c r="U152" s="231">
        <f t="shared" si="44"/>
        <v>0</v>
      </c>
      <c r="V152" s="296">
        <f t="shared" si="52"/>
        <v>100</v>
      </c>
      <c r="W152" s="231"/>
      <c r="X152" s="231" t="e">
        <f>#REF!</f>
        <v>#REF!</v>
      </c>
      <c r="Y152" s="231" t="e">
        <f>#REF!</f>
        <v>#REF!</v>
      </c>
      <c r="Z152" s="231" t="e">
        <f>#REF!</f>
        <v>#REF!</v>
      </c>
      <c r="AA152" s="231" t="e">
        <f>#REF!</f>
        <v>#REF!</v>
      </c>
      <c r="AB152" s="231">
        <v>54780000</v>
      </c>
      <c r="AC152" s="231" t="e">
        <f>#REF!</f>
        <v>#REF!</v>
      </c>
      <c r="AD152" s="231" t="e">
        <f>#REF!</f>
        <v>#REF!</v>
      </c>
      <c r="AE152" s="231" t="e">
        <f>#REF!</f>
        <v>#REF!</v>
      </c>
      <c r="AF152" s="231" t="e">
        <f>[1]April!N41</f>
        <v>#REF!</v>
      </c>
      <c r="AG152" s="231">
        <v>140440000</v>
      </c>
      <c r="AH152" s="231">
        <f>'[3]DES SKPD'!$N41</f>
        <v>231767600</v>
      </c>
      <c r="AI152" s="231">
        <f>SUM(AI153:AI153)</f>
        <v>0</v>
      </c>
      <c r="AJ152" s="233">
        <f t="shared" si="42"/>
        <v>0</v>
      </c>
      <c r="AK152" s="234">
        <f t="shared" si="36"/>
        <v>230100000</v>
      </c>
      <c r="AL152" s="233">
        <f t="shared" si="43"/>
        <v>100</v>
      </c>
      <c r="AM152" s="227"/>
    </row>
    <row r="153" spans="1:39" ht="28.5" customHeight="1" x14ac:dyDescent="0.25">
      <c r="A153" s="243"/>
      <c r="B153" s="341"/>
      <c r="C153" s="341"/>
      <c r="D153" s="341"/>
      <c r="E153" s="341"/>
      <c r="F153" s="341"/>
      <c r="G153" s="341"/>
      <c r="H153" s="341"/>
      <c r="I153" s="342"/>
      <c r="J153" s="341" t="s">
        <v>304</v>
      </c>
      <c r="K153" s="245"/>
      <c r="L153" s="257"/>
      <c r="M153" s="597" t="s">
        <v>305</v>
      </c>
      <c r="N153" s="598"/>
      <c r="O153" s="299"/>
      <c r="P153" s="180"/>
      <c r="Q153" s="180">
        <v>230100000</v>
      </c>
      <c r="R153" s="181">
        <f>Q153/Q$152*100</f>
        <v>100</v>
      </c>
      <c r="S153" s="181">
        <v>100</v>
      </c>
      <c r="T153" s="180">
        <f t="shared" si="41"/>
        <v>0</v>
      </c>
      <c r="U153" s="180">
        <f t="shared" si="44"/>
        <v>0</v>
      </c>
      <c r="V153" s="182">
        <f t="shared" si="52"/>
        <v>100</v>
      </c>
      <c r="W153" s="180"/>
      <c r="X153" s="180" t="e">
        <f>#REF!</f>
        <v>#REF!</v>
      </c>
      <c r="Y153" s="180" t="e">
        <f>#REF!</f>
        <v>#REF!</v>
      </c>
      <c r="Z153" s="180" t="e">
        <f>#REF!</f>
        <v>#REF!</v>
      </c>
      <c r="AA153" s="180" t="e">
        <f>#REF!</f>
        <v>#REF!</v>
      </c>
      <c r="AB153" s="180">
        <v>54780002</v>
      </c>
      <c r="AC153" s="180" t="e">
        <f>#REF!</f>
        <v>#REF!</v>
      </c>
      <c r="AD153" s="180" t="e">
        <f>#REF!</f>
        <v>#REF!</v>
      </c>
      <c r="AE153" s="180" t="e">
        <f>#REF!</f>
        <v>#REF!</v>
      </c>
      <c r="AF153" s="180" t="e">
        <f>[1]April!N43</f>
        <v>#REF!</v>
      </c>
      <c r="AG153" s="231">
        <v>140440002</v>
      </c>
      <c r="AH153" s="180">
        <f>'[3]DES SKPD'!$N43</f>
        <v>38085000</v>
      </c>
      <c r="AI153" s="180">
        <v>0</v>
      </c>
      <c r="AJ153" s="181">
        <f t="shared" si="42"/>
        <v>0</v>
      </c>
      <c r="AK153" s="246">
        <f t="shared" si="36"/>
        <v>230100000</v>
      </c>
      <c r="AL153" s="181">
        <f t="shared" si="43"/>
        <v>100</v>
      </c>
      <c r="AM153" s="243"/>
    </row>
    <row r="154" spans="1:39" ht="28.5" customHeight="1" x14ac:dyDescent="0.25">
      <c r="A154" s="227">
        <f>SUM(A152+1)</f>
        <v>23</v>
      </c>
      <c r="B154" s="346"/>
      <c r="C154" s="346"/>
      <c r="D154" s="346"/>
      <c r="E154" s="346"/>
      <c r="F154" s="346"/>
      <c r="G154" s="346"/>
      <c r="H154" s="346"/>
      <c r="I154" s="345"/>
      <c r="J154" s="304" t="s">
        <v>582</v>
      </c>
      <c r="K154" s="230"/>
      <c r="L154" s="294"/>
      <c r="M154" s="615" t="s">
        <v>583</v>
      </c>
      <c r="N154" s="614"/>
      <c r="O154" s="295"/>
      <c r="P154" s="231"/>
      <c r="Q154" s="231">
        <f>SUM(Q155:Q155)</f>
        <v>99200000</v>
      </c>
      <c r="R154" s="233">
        <f>Q154/Q$119*100</f>
        <v>2.8248137103700275</v>
      </c>
      <c r="S154" s="233">
        <v>100</v>
      </c>
      <c r="T154" s="231">
        <f t="shared" si="41"/>
        <v>0</v>
      </c>
      <c r="U154" s="231">
        <f t="shared" si="44"/>
        <v>0</v>
      </c>
      <c r="V154" s="296">
        <f t="shared" si="52"/>
        <v>100</v>
      </c>
      <c r="W154" s="231"/>
      <c r="X154" s="231" t="e">
        <f>#REF!</f>
        <v>#REF!</v>
      </c>
      <c r="Y154" s="231" t="e">
        <f>#REF!</f>
        <v>#REF!</v>
      </c>
      <c r="Z154" s="231" t="e">
        <f>#REF!</f>
        <v>#REF!</v>
      </c>
      <c r="AA154" s="231" t="e">
        <f>#REF!</f>
        <v>#REF!</v>
      </c>
      <c r="AB154" s="231">
        <v>54780000</v>
      </c>
      <c r="AC154" s="231" t="e">
        <f>#REF!</f>
        <v>#REF!</v>
      </c>
      <c r="AD154" s="231" t="e">
        <f>#REF!</f>
        <v>#REF!</v>
      </c>
      <c r="AE154" s="231" t="e">
        <f>#REF!</f>
        <v>#REF!</v>
      </c>
      <c r="AF154" s="231" t="e">
        <f>[1]April!N43</f>
        <v>#REF!</v>
      </c>
      <c r="AG154" s="231">
        <v>140440000</v>
      </c>
      <c r="AH154" s="231">
        <f>'[3]DES SKPD'!$N43</f>
        <v>38085000</v>
      </c>
      <c r="AI154" s="231">
        <f>SUM(AI155)</f>
        <v>0</v>
      </c>
      <c r="AJ154" s="233">
        <f t="shared" si="42"/>
        <v>0</v>
      </c>
      <c r="AK154" s="234">
        <f t="shared" si="36"/>
        <v>99200000</v>
      </c>
      <c r="AL154" s="233">
        <f t="shared" si="43"/>
        <v>100</v>
      </c>
      <c r="AM154" s="243"/>
    </row>
    <row r="155" spans="1:39" ht="28.5" customHeight="1" x14ac:dyDescent="0.25">
      <c r="A155" s="243"/>
      <c r="B155" s="341"/>
      <c r="C155" s="341"/>
      <c r="D155" s="341"/>
      <c r="E155" s="341"/>
      <c r="F155" s="341"/>
      <c r="G155" s="341"/>
      <c r="H155" s="341"/>
      <c r="I155" s="342"/>
      <c r="J155" s="341" t="s">
        <v>292</v>
      </c>
      <c r="K155" s="245"/>
      <c r="L155" s="257"/>
      <c r="M155" s="597" t="s">
        <v>584</v>
      </c>
      <c r="N155" s="598"/>
      <c r="O155" s="299"/>
      <c r="P155" s="180"/>
      <c r="Q155" s="180">
        <v>99200000</v>
      </c>
      <c r="R155" s="181">
        <f>Q155/Q$152*100</f>
        <v>43.111690569317688</v>
      </c>
      <c r="S155" s="181">
        <v>100</v>
      </c>
      <c r="T155" s="180">
        <f t="shared" si="41"/>
        <v>0</v>
      </c>
      <c r="U155" s="180">
        <f t="shared" si="44"/>
        <v>0</v>
      </c>
      <c r="V155" s="182">
        <f t="shared" si="52"/>
        <v>100</v>
      </c>
      <c r="W155" s="180"/>
      <c r="X155" s="180" t="e">
        <f>#REF!</f>
        <v>#REF!</v>
      </c>
      <c r="Y155" s="180" t="e">
        <f>#REF!</f>
        <v>#REF!</v>
      </c>
      <c r="Z155" s="180" t="e">
        <f>#REF!</f>
        <v>#REF!</v>
      </c>
      <c r="AA155" s="180" t="e">
        <f>#REF!</f>
        <v>#REF!</v>
      </c>
      <c r="AB155" s="180">
        <v>54780002</v>
      </c>
      <c r="AC155" s="180" t="e">
        <f>#REF!</f>
        <v>#REF!</v>
      </c>
      <c r="AD155" s="180" t="e">
        <f>#REF!</f>
        <v>#REF!</v>
      </c>
      <c r="AE155" s="180" t="e">
        <f>#REF!</f>
        <v>#REF!</v>
      </c>
      <c r="AF155" s="180" t="e">
        <f>[1]April!N45</f>
        <v>#REF!</v>
      </c>
      <c r="AG155" s="231">
        <v>140440002</v>
      </c>
      <c r="AH155" s="180">
        <f>'[3]DES SKPD'!$N45</f>
        <v>320566100</v>
      </c>
      <c r="AI155" s="180">
        <v>0</v>
      </c>
      <c r="AJ155" s="181">
        <f t="shared" si="42"/>
        <v>0</v>
      </c>
      <c r="AK155" s="246">
        <f t="shared" si="36"/>
        <v>99200000</v>
      </c>
      <c r="AL155" s="181">
        <f t="shared" si="43"/>
        <v>100</v>
      </c>
      <c r="AM155" s="243"/>
    </row>
    <row r="156" spans="1:39" s="226" customFormat="1" ht="29.25" customHeight="1" x14ac:dyDescent="0.25">
      <c r="A156" s="289" t="s">
        <v>29</v>
      </c>
      <c r="B156" s="607" t="s">
        <v>132</v>
      </c>
      <c r="C156" s="607"/>
      <c r="D156" s="607"/>
      <c r="E156" s="607"/>
      <c r="F156" s="607"/>
      <c r="G156" s="607"/>
      <c r="H156" s="607"/>
      <c r="I156" s="608"/>
      <c r="J156" s="347" t="s">
        <v>454</v>
      </c>
      <c r="K156" s="291"/>
      <c r="L156" s="607" t="s">
        <v>383</v>
      </c>
      <c r="M156" s="607"/>
      <c r="N156" s="608"/>
      <c r="O156" s="263">
        <f>SUM(O160)</f>
        <v>39710000</v>
      </c>
      <c r="P156" s="263">
        <f>SUM(P160)</f>
        <v>39710000</v>
      </c>
      <c r="Q156" s="263">
        <f>SUM(Q157+Q160)</f>
        <v>103000000</v>
      </c>
      <c r="R156" s="222">
        <f>Q156/Q$33*100</f>
        <v>0.32403945616907198</v>
      </c>
      <c r="S156" s="222">
        <v>100</v>
      </c>
      <c r="T156" s="263">
        <f t="shared" si="41"/>
        <v>0</v>
      </c>
      <c r="U156" s="263">
        <f>SUM(R156*T156/100)</f>
        <v>0</v>
      </c>
      <c r="V156" s="292">
        <f t="shared" si="52"/>
        <v>100</v>
      </c>
      <c r="W156" s="263">
        <f>SUM(W160)</f>
        <v>0</v>
      </c>
      <c r="X156" s="263" t="e">
        <f>SUM(X160)</f>
        <v>#REF!</v>
      </c>
      <c r="Y156" s="263" t="e">
        <f t="shared" ref="Y156:AH156" si="53">SUM(Y160)</f>
        <v>#REF!</v>
      </c>
      <c r="Z156" s="263" t="e">
        <f t="shared" si="53"/>
        <v>#REF!</v>
      </c>
      <c r="AA156" s="263" t="e">
        <f t="shared" si="53"/>
        <v>#REF!</v>
      </c>
      <c r="AB156" s="263">
        <f t="shared" si="53"/>
        <v>38085000</v>
      </c>
      <c r="AC156" s="263" t="e">
        <f t="shared" si="53"/>
        <v>#REF!</v>
      </c>
      <c r="AD156" s="263" t="e">
        <f t="shared" si="53"/>
        <v>#REF!</v>
      </c>
      <c r="AE156" s="263" t="e">
        <f t="shared" si="53"/>
        <v>#REF!</v>
      </c>
      <c r="AF156" s="263" t="e">
        <f t="shared" si="53"/>
        <v>#REF!</v>
      </c>
      <c r="AG156" s="263" t="e">
        <f t="shared" si="53"/>
        <v>#REF!</v>
      </c>
      <c r="AH156" s="263">
        <f t="shared" si="53"/>
        <v>38085000</v>
      </c>
      <c r="AI156" s="263">
        <f>SUM(AI160+AI157)</f>
        <v>0</v>
      </c>
      <c r="AJ156" s="222">
        <f t="shared" si="42"/>
        <v>0</v>
      </c>
      <c r="AK156" s="265">
        <f>SUM(Q156-AI156)</f>
        <v>103000000</v>
      </c>
      <c r="AL156" s="222">
        <f t="shared" si="43"/>
        <v>100</v>
      </c>
      <c r="AM156" s="289"/>
    </row>
    <row r="157" spans="1:39" s="235" customFormat="1" ht="29.25" customHeight="1" x14ac:dyDescent="0.25">
      <c r="A157" s="227">
        <f>A154+1</f>
        <v>24</v>
      </c>
      <c r="B157" s="346"/>
      <c r="C157" s="346"/>
      <c r="D157" s="346"/>
      <c r="E157" s="346"/>
      <c r="F157" s="346"/>
      <c r="G157" s="346"/>
      <c r="H157" s="346"/>
      <c r="I157" s="345"/>
      <c r="J157" s="304" t="s">
        <v>462</v>
      </c>
      <c r="K157" s="230"/>
      <c r="L157" s="346"/>
      <c r="M157" s="615" t="s">
        <v>386</v>
      </c>
      <c r="N157" s="614"/>
      <c r="O157" s="231"/>
      <c r="P157" s="231"/>
      <c r="Q157" s="231">
        <f>SUM(Q158:Q159)</f>
        <v>71000000</v>
      </c>
      <c r="R157" s="233">
        <f>Q157/Q$33*100</f>
        <v>0.2233670037670302</v>
      </c>
      <c r="S157" s="233">
        <v>100</v>
      </c>
      <c r="T157" s="231">
        <f t="shared" si="41"/>
        <v>0</v>
      </c>
      <c r="U157" s="231">
        <f t="shared" ref="U157:U162" si="54">R157*T157/100</f>
        <v>0</v>
      </c>
      <c r="V157" s="296">
        <f t="shared" si="52"/>
        <v>100</v>
      </c>
      <c r="W157" s="231"/>
      <c r="X157" s="231" t="e">
        <f>#REF!</f>
        <v>#REF!</v>
      </c>
      <c r="Y157" s="231" t="e">
        <f>#REF!</f>
        <v>#REF!</v>
      </c>
      <c r="Z157" s="231" t="e">
        <f>#REF!</f>
        <v>#REF!</v>
      </c>
      <c r="AA157" s="231" t="e">
        <f>#REF!</f>
        <v>#REF!</v>
      </c>
      <c r="AB157" s="231">
        <v>38085000</v>
      </c>
      <c r="AC157" s="231" t="e">
        <f>#REF!</f>
        <v>#REF!</v>
      </c>
      <c r="AD157" s="231" t="e">
        <f>#REF!</f>
        <v>#REF!</v>
      </c>
      <c r="AE157" s="231" t="e">
        <f>#REF!</f>
        <v>#REF!</v>
      </c>
      <c r="AF157" s="231" t="e">
        <f>[1]April!$N$43</f>
        <v>#REF!</v>
      </c>
      <c r="AG157" s="231" t="e">
        <f>[2]april!$N$43</f>
        <v>#REF!</v>
      </c>
      <c r="AH157" s="231">
        <f>'[3]DES SKPD'!$N39</f>
        <v>676934270</v>
      </c>
      <c r="AI157" s="231">
        <f>SUM(AI158:AI159)</f>
        <v>0</v>
      </c>
      <c r="AJ157" s="233">
        <f t="shared" si="42"/>
        <v>0</v>
      </c>
      <c r="AK157" s="234">
        <f t="shared" ref="AK157:AK162" si="55">Q157-AI157</f>
        <v>71000000</v>
      </c>
      <c r="AL157" s="233">
        <f t="shared" si="43"/>
        <v>100</v>
      </c>
      <c r="AM157" s="227"/>
    </row>
    <row r="158" spans="1:39" s="235" customFormat="1" ht="29.25" customHeight="1" x14ac:dyDescent="0.25">
      <c r="A158" s="227"/>
      <c r="B158" s="346"/>
      <c r="C158" s="346"/>
      <c r="D158" s="346"/>
      <c r="E158" s="346"/>
      <c r="F158" s="346"/>
      <c r="G158" s="346"/>
      <c r="H158" s="346"/>
      <c r="I158" s="345"/>
      <c r="J158" s="341" t="s">
        <v>259</v>
      </c>
      <c r="K158" s="245"/>
      <c r="L158" s="257"/>
      <c r="M158" s="597" t="s">
        <v>260</v>
      </c>
      <c r="N158" s="598"/>
      <c r="O158" s="231"/>
      <c r="P158" s="231"/>
      <c r="Q158" s="180">
        <v>800000</v>
      </c>
      <c r="R158" s="181">
        <f>Q158/Q$157*100</f>
        <v>1.1267605633802817</v>
      </c>
      <c r="S158" s="181">
        <v>100</v>
      </c>
      <c r="T158" s="180">
        <f t="shared" si="41"/>
        <v>0</v>
      </c>
      <c r="U158" s="180">
        <f t="shared" si="54"/>
        <v>0</v>
      </c>
      <c r="V158" s="182">
        <f t="shared" si="52"/>
        <v>100</v>
      </c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>
        <v>0</v>
      </c>
      <c r="AJ158" s="181">
        <f t="shared" si="42"/>
        <v>0</v>
      </c>
      <c r="AK158" s="246">
        <f t="shared" si="55"/>
        <v>800000</v>
      </c>
      <c r="AL158" s="181">
        <f t="shared" si="43"/>
        <v>100</v>
      </c>
      <c r="AM158" s="243"/>
    </row>
    <row r="159" spans="1:39" s="235" customFormat="1" ht="29.25" customHeight="1" x14ac:dyDescent="0.25">
      <c r="A159" s="227"/>
      <c r="B159" s="346"/>
      <c r="C159" s="346"/>
      <c r="D159" s="346"/>
      <c r="E159" s="346"/>
      <c r="F159" s="346"/>
      <c r="G159" s="346"/>
      <c r="H159" s="346"/>
      <c r="I159" s="345"/>
      <c r="J159" s="341" t="s">
        <v>387</v>
      </c>
      <c r="K159" s="230"/>
      <c r="L159" s="346"/>
      <c r="M159" s="597" t="s">
        <v>388</v>
      </c>
      <c r="N159" s="598"/>
      <c r="O159" s="231"/>
      <c r="P159" s="231"/>
      <c r="Q159" s="180">
        <v>70200000</v>
      </c>
      <c r="R159" s="181">
        <f>Q159/Q$157*100</f>
        <v>98.873239436619713</v>
      </c>
      <c r="S159" s="181">
        <v>100</v>
      </c>
      <c r="T159" s="180">
        <f t="shared" si="41"/>
        <v>0</v>
      </c>
      <c r="U159" s="180">
        <f t="shared" si="54"/>
        <v>0</v>
      </c>
      <c r="V159" s="182">
        <f t="shared" si="52"/>
        <v>100</v>
      </c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>
        <v>0</v>
      </c>
      <c r="AJ159" s="181">
        <f t="shared" si="42"/>
        <v>0</v>
      </c>
      <c r="AK159" s="246">
        <f t="shared" si="55"/>
        <v>70200000</v>
      </c>
      <c r="AL159" s="181">
        <f t="shared" si="43"/>
        <v>100</v>
      </c>
      <c r="AM159" s="243"/>
    </row>
    <row r="160" spans="1:39" s="297" customFormat="1" ht="28.5" customHeight="1" x14ac:dyDescent="0.25">
      <c r="A160" s="227">
        <f>A157+1</f>
        <v>25</v>
      </c>
      <c r="B160" s="615" t="s">
        <v>133</v>
      </c>
      <c r="C160" s="615"/>
      <c r="D160" s="615"/>
      <c r="E160" s="615"/>
      <c r="F160" s="615"/>
      <c r="G160" s="615"/>
      <c r="H160" s="615"/>
      <c r="I160" s="614"/>
      <c r="J160" s="304" t="s">
        <v>463</v>
      </c>
      <c r="K160" s="230"/>
      <c r="L160" s="294"/>
      <c r="M160" s="615" t="s">
        <v>134</v>
      </c>
      <c r="N160" s="614"/>
      <c r="O160" s="231">
        <v>39710000</v>
      </c>
      <c r="P160" s="231">
        <f>O160</f>
        <v>39710000</v>
      </c>
      <c r="Q160" s="231">
        <f>SUM(Q161:Q162)</f>
        <v>32000000</v>
      </c>
      <c r="R160" s="233">
        <f>Q160/Q$33*100</f>
        <v>0.10067245240204178</v>
      </c>
      <c r="S160" s="233">
        <v>100</v>
      </c>
      <c r="T160" s="231">
        <f t="shared" si="41"/>
        <v>0</v>
      </c>
      <c r="U160" s="231">
        <f t="shared" si="54"/>
        <v>0</v>
      </c>
      <c r="V160" s="296">
        <f t="shared" si="52"/>
        <v>100</v>
      </c>
      <c r="W160" s="231"/>
      <c r="X160" s="231" t="e">
        <f>#REF!</f>
        <v>#REF!</v>
      </c>
      <c r="Y160" s="231" t="e">
        <f>#REF!</f>
        <v>#REF!</v>
      </c>
      <c r="Z160" s="231" t="e">
        <f>#REF!</f>
        <v>#REF!</v>
      </c>
      <c r="AA160" s="231" t="e">
        <f>#REF!</f>
        <v>#REF!</v>
      </c>
      <c r="AB160" s="231">
        <v>38085000</v>
      </c>
      <c r="AC160" s="231" t="e">
        <f>#REF!</f>
        <v>#REF!</v>
      </c>
      <c r="AD160" s="231" t="e">
        <f>#REF!</f>
        <v>#REF!</v>
      </c>
      <c r="AE160" s="231" t="e">
        <f>#REF!</f>
        <v>#REF!</v>
      </c>
      <c r="AF160" s="231" t="e">
        <f>[1]April!$N$43</f>
        <v>#REF!</v>
      </c>
      <c r="AG160" s="231" t="e">
        <f>[2]april!$N$43</f>
        <v>#REF!</v>
      </c>
      <c r="AH160" s="231">
        <f>'[3]DES SKPD'!$N43</f>
        <v>38085000</v>
      </c>
      <c r="AI160" s="231">
        <f>SUM(AI161:AI162)</f>
        <v>0</v>
      </c>
      <c r="AJ160" s="233">
        <f t="shared" si="42"/>
        <v>0</v>
      </c>
      <c r="AK160" s="234">
        <f t="shared" si="55"/>
        <v>32000000</v>
      </c>
      <c r="AL160" s="233">
        <f t="shared" si="43"/>
        <v>100</v>
      </c>
      <c r="AM160" s="227"/>
    </row>
    <row r="161" spans="1:39" ht="24.75" customHeight="1" x14ac:dyDescent="0.25">
      <c r="A161" s="243"/>
      <c r="B161" s="341"/>
      <c r="C161" s="341"/>
      <c r="D161" s="341"/>
      <c r="E161" s="341"/>
      <c r="F161" s="341"/>
      <c r="G161" s="341"/>
      <c r="H161" s="341"/>
      <c r="I161" s="342"/>
      <c r="J161" s="341" t="s">
        <v>259</v>
      </c>
      <c r="K161" s="245"/>
      <c r="L161" s="257"/>
      <c r="M161" s="597" t="s">
        <v>260</v>
      </c>
      <c r="N161" s="598"/>
      <c r="O161" s="180"/>
      <c r="P161" s="180"/>
      <c r="Q161" s="180">
        <v>800000</v>
      </c>
      <c r="R161" s="181">
        <f>Q161/Q$160*100</f>
        <v>2.5</v>
      </c>
      <c r="S161" s="181">
        <v>100</v>
      </c>
      <c r="T161" s="180">
        <f t="shared" si="41"/>
        <v>0</v>
      </c>
      <c r="U161" s="180">
        <f t="shared" si="54"/>
        <v>0</v>
      </c>
      <c r="V161" s="182">
        <f t="shared" si="52"/>
        <v>100</v>
      </c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>
        <v>0</v>
      </c>
      <c r="AJ161" s="181">
        <f t="shared" si="42"/>
        <v>0</v>
      </c>
      <c r="AK161" s="246">
        <f t="shared" si="55"/>
        <v>800000</v>
      </c>
      <c r="AL161" s="181">
        <f t="shared" si="43"/>
        <v>100</v>
      </c>
      <c r="AM161" s="243"/>
    </row>
    <row r="162" spans="1:39" ht="24.75" customHeight="1" x14ac:dyDescent="0.25">
      <c r="A162" s="243"/>
      <c r="B162" s="341"/>
      <c r="C162" s="341"/>
      <c r="D162" s="341"/>
      <c r="E162" s="341"/>
      <c r="F162" s="341"/>
      <c r="G162" s="341"/>
      <c r="H162" s="341"/>
      <c r="I162" s="342"/>
      <c r="J162" s="341" t="s">
        <v>311</v>
      </c>
      <c r="K162" s="245"/>
      <c r="L162" s="257"/>
      <c r="M162" s="597" t="s">
        <v>312</v>
      </c>
      <c r="N162" s="598"/>
      <c r="O162" s="180"/>
      <c r="P162" s="180"/>
      <c r="Q162" s="180">
        <v>31200000</v>
      </c>
      <c r="R162" s="181">
        <f>Q162/Q$160*100</f>
        <v>97.5</v>
      </c>
      <c r="S162" s="181">
        <v>100</v>
      </c>
      <c r="T162" s="180">
        <f t="shared" si="41"/>
        <v>0</v>
      </c>
      <c r="U162" s="180">
        <f t="shared" si="54"/>
        <v>0</v>
      </c>
      <c r="V162" s="182">
        <f t="shared" si="52"/>
        <v>100</v>
      </c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>
        <v>0</v>
      </c>
      <c r="AJ162" s="181">
        <f t="shared" si="42"/>
        <v>0</v>
      </c>
      <c r="AK162" s="246">
        <f t="shared" si="55"/>
        <v>31200000</v>
      </c>
      <c r="AL162" s="181">
        <f t="shared" si="43"/>
        <v>100</v>
      </c>
      <c r="AM162" s="243"/>
    </row>
    <row r="163" spans="1:39" s="226" customFormat="1" ht="28.5" customHeight="1" x14ac:dyDescent="0.25">
      <c r="A163" s="289" t="s">
        <v>30</v>
      </c>
      <c r="B163" s="607" t="s">
        <v>135</v>
      </c>
      <c r="C163" s="607"/>
      <c r="D163" s="607"/>
      <c r="E163" s="607"/>
      <c r="F163" s="607"/>
      <c r="G163" s="607"/>
      <c r="H163" s="607"/>
      <c r="I163" s="608"/>
      <c r="J163" s="347" t="s">
        <v>464</v>
      </c>
      <c r="K163" s="291"/>
      <c r="L163" s="607" t="s">
        <v>31</v>
      </c>
      <c r="M163" s="607"/>
      <c r="N163" s="608"/>
      <c r="O163" s="263">
        <f>SUM(O164:O166)</f>
        <v>789320000</v>
      </c>
      <c r="P163" s="263">
        <f>SUM(P164:P166)</f>
        <v>789320000</v>
      </c>
      <c r="Q163" s="263">
        <f>SUM(Q164+Q166)</f>
        <v>102870000</v>
      </c>
      <c r="R163" s="222">
        <f>Q163/Q$53*100</f>
        <v>0.50978833986266314</v>
      </c>
      <c r="S163" s="305">
        <v>100</v>
      </c>
      <c r="T163" s="306">
        <f t="shared" si="41"/>
        <v>0</v>
      </c>
      <c r="U163" s="263">
        <f>SUM(R163*T163/100)</f>
        <v>0</v>
      </c>
      <c r="V163" s="307">
        <f t="shared" si="52"/>
        <v>100</v>
      </c>
      <c r="W163" s="263">
        <f t="shared" ref="W163:AH163" si="56">SUM(W164:W166)</f>
        <v>0</v>
      </c>
      <c r="X163" s="263" t="e">
        <f t="shared" si="56"/>
        <v>#REF!</v>
      </c>
      <c r="Y163" s="263" t="e">
        <f t="shared" si="56"/>
        <v>#REF!</v>
      </c>
      <c r="Z163" s="263" t="e">
        <f t="shared" si="56"/>
        <v>#REF!</v>
      </c>
      <c r="AA163" s="263" t="e">
        <f t="shared" si="56"/>
        <v>#REF!</v>
      </c>
      <c r="AB163" s="263">
        <f t="shared" si="56"/>
        <v>189087374</v>
      </c>
      <c r="AC163" s="263" t="e">
        <f t="shared" si="56"/>
        <v>#REF!</v>
      </c>
      <c r="AD163" s="263" t="e">
        <f t="shared" si="56"/>
        <v>#REF!</v>
      </c>
      <c r="AE163" s="263" t="e">
        <f t="shared" si="56"/>
        <v>#REF!</v>
      </c>
      <c r="AF163" s="263" t="e">
        <f t="shared" si="56"/>
        <v>#REF!</v>
      </c>
      <c r="AG163" s="263" t="e">
        <f t="shared" si="56"/>
        <v>#REF!</v>
      </c>
      <c r="AH163" s="263">
        <f t="shared" si="56"/>
        <v>663965174</v>
      </c>
      <c r="AI163" s="263">
        <f>SUM(AI164+AI166)</f>
        <v>0</v>
      </c>
      <c r="AJ163" s="222">
        <f t="shared" si="42"/>
        <v>0</v>
      </c>
      <c r="AK163" s="265">
        <f>SUM(Q163-AI163)</f>
        <v>102870000</v>
      </c>
      <c r="AL163" s="222">
        <f t="shared" si="43"/>
        <v>100</v>
      </c>
      <c r="AM163" s="289"/>
    </row>
    <row r="164" spans="1:39" s="297" customFormat="1" ht="29.25" customHeight="1" x14ac:dyDescent="0.25">
      <c r="A164" s="227">
        <f>A160+1</f>
        <v>26</v>
      </c>
      <c r="B164" s="615" t="s">
        <v>136</v>
      </c>
      <c r="C164" s="615"/>
      <c r="D164" s="615"/>
      <c r="E164" s="615"/>
      <c r="F164" s="615"/>
      <c r="G164" s="615"/>
      <c r="H164" s="615"/>
      <c r="I164" s="614"/>
      <c r="J164" s="304" t="s">
        <v>465</v>
      </c>
      <c r="K164" s="230"/>
      <c r="L164" s="294"/>
      <c r="M164" s="615" t="s">
        <v>32</v>
      </c>
      <c r="N164" s="614"/>
      <c r="O164" s="295">
        <v>350000000</v>
      </c>
      <c r="P164" s="231">
        <f>O164</f>
        <v>350000000</v>
      </c>
      <c r="Q164" s="231">
        <f>SUM(Q165:Q165)</f>
        <v>37300000</v>
      </c>
      <c r="R164" s="233">
        <f>Q164/Q$163*100</f>
        <v>36.259356469330221</v>
      </c>
      <c r="S164" s="233">
        <v>100</v>
      </c>
      <c r="T164" s="231">
        <f t="shared" si="41"/>
        <v>0</v>
      </c>
      <c r="U164" s="231">
        <f>R164*T164/100</f>
        <v>0</v>
      </c>
      <c r="V164" s="296">
        <f t="shared" si="52"/>
        <v>100</v>
      </c>
      <c r="W164" s="231"/>
      <c r="X164" s="231" t="e">
        <f>#REF!</f>
        <v>#REF!</v>
      </c>
      <c r="Y164" s="231" t="e">
        <f>#REF!</f>
        <v>#REF!</v>
      </c>
      <c r="Z164" s="231" t="e">
        <f>#REF!</f>
        <v>#REF!</v>
      </c>
      <c r="AA164" s="231" t="e">
        <f>#REF!</f>
        <v>#REF!</v>
      </c>
      <c r="AB164" s="231">
        <v>112882300</v>
      </c>
      <c r="AC164" s="231" t="e">
        <f>#REF!</f>
        <v>#REF!</v>
      </c>
      <c r="AD164" s="231" t="e">
        <f>#REF!</f>
        <v>#REF!</v>
      </c>
      <c r="AE164" s="231" t="e">
        <f>#REF!</f>
        <v>#REF!</v>
      </c>
      <c r="AF164" s="231" t="e">
        <f>[1]April!N45</f>
        <v>#REF!</v>
      </c>
      <c r="AG164" s="231" t="e">
        <f>[2]april!N45</f>
        <v>#REF!</v>
      </c>
      <c r="AH164" s="231">
        <f>'[3]DES SKPD'!$N45</f>
        <v>320566100</v>
      </c>
      <c r="AI164" s="231">
        <f>SUM(AI165:AI165)</f>
        <v>0</v>
      </c>
      <c r="AJ164" s="233">
        <f t="shared" si="42"/>
        <v>0</v>
      </c>
      <c r="AK164" s="234">
        <f t="shared" ref="AK164:AK174" si="57">Q164-AI164</f>
        <v>37300000</v>
      </c>
      <c r="AL164" s="233">
        <f t="shared" si="43"/>
        <v>100</v>
      </c>
      <c r="AM164" s="227"/>
    </row>
    <row r="165" spans="1:39" ht="29.25" customHeight="1" x14ac:dyDescent="0.25">
      <c r="A165" s="243"/>
      <c r="B165" s="341"/>
      <c r="C165" s="341"/>
      <c r="D165" s="341"/>
      <c r="E165" s="341"/>
      <c r="F165" s="341"/>
      <c r="G165" s="341"/>
      <c r="H165" s="341"/>
      <c r="I165" s="342"/>
      <c r="J165" s="341" t="s">
        <v>313</v>
      </c>
      <c r="K165" s="245"/>
      <c r="L165" s="257"/>
      <c r="M165" s="597" t="s">
        <v>314</v>
      </c>
      <c r="N165" s="598"/>
      <c r="O165" s="299"/>
      <c r="P165" s="180"/>
      <c r="Q165" s="180">
        <v>37300000</v>
      </c>
      <c r="R165" s="181">
        <f>Q165/Q$164*100</f>
        <v>100</v>
      </c>
      <c r="S165" s="181">
        <v>100</v>
      </c>
      <c r="T165" s="180">
        <f t="shared" si="41"/>
        <v>0</v>
      </c>
      <c r="U165" s="180">
        <f>R165*T165/100</f>
        <v>0</v>
      </c>
      <c r="V165" s="182">
        <f t="shared" si="52"/>
        <v>100</v>
      </c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>
        <v>0</v>
      </c>
      <c r="AJ165" s="181">
        <f t="shared" si="42"/>
        <v>0</v>
      </c>
      <c r="AK165" s="246">
        <f t="shared" si="57"/>
        <v>37300000</v>
      </c>
      <c r="AL165" s="181">
        <f t="shared" si="43"/>
        <v>100</v>
      </c>
      <c r="AM165" s="243"/>
    </row>
    <row r="166" spans="1:39" s="297" customFormat="1" ht="33.75" customHeight="1" x14ac:dyDescent="0.25">
      <c r="A166" s="227">
        <f>A164+1</f>
        <v>27</v>
      </c>
      <c r="B166" s="615" t="s">
        <v>137</v>
      </c>
      <c r="C166" s="615"/>
      <c r="D166" s="615"/>
      <c r="E166" s="615"/>
      <c r="F166" s="615"/>
      <c r="G166" s="615"/>
      <c r="H166" s="615"/>
      <c r="I166" s="614"/>
      <c r="J166" s="304" t="s">
        <v>466</v>
      </c>
      <c r="K166" s="230"/>
      <c r="L166" s="294"/>
      <c r="M166" s="615" t="s">
        <v>33</v>
      </c>
      <c r="N166" s="614"/>
      <c r="O166" s="295">
        <v>439320000</v>
      </c>
      <c r="P166" s="231">
        <f>O166</f>
        <v>439320000</v>
      </c>
      <c r="Q166" s="231">
        <f>SUM(Q167:Q174)</f>
        <v>65570000</v>
      </c>
      <c r="R166" s="233">
        <f>Q166/Q$163*100</f>
        <v>63.740643530669786</v>
      </c>
      <c r="S166" s="233">
        <v>100</v>
      </c>
      <c r="T166" s="231">
        <f t="shared" si="41"/>
        <v>0</v>
      </c>
      <c r="U166" s="231">
        <f>R166*T166/100</f>
        <v>0</v>
      </c>
      <c r="V166" s="296">
        <f t="shared" si="52"/>
        <v>100</v>
      </c>
      <c r="W166" s="231"/>
      <c r="X166" s="231" t="e">
        <f>#REF!</f>
        <v>#REF!</v>
      </c>
      <c r="Y166" s="231" t="e">
        <f>#REF!</f>
        <v>#REF!</v>
      </c>
      <c r="Z166" s="231" t="e">
        <f>#REF!</f>
        <v>#REF!</v>
      </c>
      <c r="AA166" s="231" t="e">
        <f>#REF!</f>
        <v>#REF!</v>
      </c>
      <c r="AB166" s="231">
        <v>76205074</v>
      </c>
      <c r="AC166" s="231" t="e">
        <f>#REF!</f>
        <v>#REF!</v>
      </c>
      <c r="AD166" s="231" t="e">
        <f>#REF!</f>
        <v>#REF!</v>
      </c>
      <c r="AE166" s="231" t="e">
        <f>#REF!</f>
        <v>#REF!</v>
      </c>
      <c r="AF166" s="231" t="e">
        <f>[1]April!N46</f>
        <v>#REF!</v>
      </c>
      <c r="AG166" s="231" t="e">
        <f>[2]april!N46</f>
        <v>#REF!</v>
      </c>
      <c r="AH166" s="231">
        <f>'[3]DES SKPD'!$N46</f>
        <v>343399074</v>
      </c>
      <c r="AI166" s="231">
        <f>SUM(AI167:AI174)</f>
        <v>0</v>
      </c>
      <c r="AJ166" s="233">
        <f t="shared" si="42"/>
        <v>0</v>
      </c>
      <c r="AK166" s="234">
        <f t="shared" si="57"/>
        <v>65570000</v>
      </c>
      <c r="AL166" s="233">
        <f t="shared" si="43"/>
        <v>100</v>
      </c>
      <c r="AM166" s="227"/>
    </row>
    <row r="167" spans="1:39" ht="28.5" customHeight="1" x14ac:dyDescent="0.25">
      <c r="A167" s="243"/>
      <c r="B167" s="341"/>
      <c r="C167" s="341"/>
      <c r="D167" s="341"/>
      <c r="E167" s="341"/>
      <c r="F167" s="341"/>
      <c r="G167" s="341"/>
      <c r="H167" s="341"/>
      <c r="I167" s="342"/>
      <c r="J167" s="341" t="s">
        <v>259</v>
      </c>
      <c r="K167" s="245"/>
      <c r="L167" s="257"/>
      <c r="M167" s="597" t="s">
        <v>260</v>
      </c>
      <c r="N167" s="598"/>
      <c r="O167" s="299"/>
      <c r="P167" s="180"/>
      <c r="Q167" s="180">
        <v>770000</v>
      </c>
      <c r="R167" s="181">
        <f t="shared" ref="R167:R174" si="58">Q167/Q$166*100</f>
        <v>1.1743175232575873</v>
      </c>
      <c r="S167" s="181">
        <v>100</v>
      </c>
      <c r="T167" s="180">
        <f t="shared" si="41"/>
        <v>0</v>
      </c>
      <c r="U167" s="180">
        <f t="shared" ref="U167:U175" si="59">R167*T167/100</f>
        <v>0</v>
      </c>
      <c r="V167" s="182">
        <f t="shared" si="52"/>
        <v>100</v>
      </c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>
        <v>0</v>
      </c>
      <c r="AJ167" s="181">
        <f t="shared" si="42"/>
        <v>0</v>
      </c>
      <c r="AK167" s="246">
        <f t="shared" si="57"/>
        <v>770000</v>
      </c>
      <c r="AL167" s="181">
        <f t="shared" si="43"/>
        <v>100</v>
      </c>
      <c r="AM167" s="243"/>
    </row>
    <row r="168" spans="1:39" ht="32.25" customHeight="1" x14ac:dyDescent="0.25">
      <c r="A168" s="243"/>
      <c r="B168" s="341"/>
      <c r="C168" s="341"/>
      <c r="D168" s="341"/>
      <c r="E168" s="341"/>
      <c r="F168" s="341"/>
      <c r="G168" s="341"/>
      <c r="H168" s="341"/>
      <c r="I168" s="342"/>
      <c r="J168" s="341" t="s">
        <v>315</v>
      </c>
      <c r="K168" s="245"/>
      <c r="L168" s="257"/>
      <c r="M168" s="597" t="s">
        <v>428</v>
      </c>
      <c r="N168" s="598"/>
      <c r="O168" s="299"/>
      <c r="P168" s="180"/>
      <c r="Q168" s="180">
        <v>1500000</v>
      </c>
      <c r="R168" s="181">
        <f t="shared" si="58"/>
        <v>2.2876315388134816</v>
      </c>
      <c r="S168" s="181">
        <v>100</v>
      </c>
      <c r="T168" s="180">
        <f t="shared" si="41"/>
        <v>0</v>
      </c>
      <c r="U168" s="180">
        <f t="shared" si="59"/>
        <v>0</v>
      </c>
      <c r="V168" s="182">
        <f t="shared" si="52"/>
        <v>100</v>
      </c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>
        <v>0</v>
      </c>
      <c r="AJ168" s="181">
        <f t="shared" si="42"/>
        <v>0</v>
      </c>
      <c r="AK168" s="246">
        <f t="shared" si="57"/>
        <v>1500000</v>
      </c>
      <c r="AL168" s="181">
        <f t="shared" si="43"/>
        <v>100</v>
      </c>
      <c r="AM168" s="243"/>
    </row>
    <row r="169" spans="1:39" ht="32.25" customHeight="1" x14ac:dyDescent="0.25">
      <c r="A169" s="243"/>
      <c r="B169" s="341"/>
      <c r="C169" s="341"/>
      <c r="D169" s="341"/>
      <c r="E169" s="341"/>
      <c r="F169" s="341"/>
      <c r="G169" s="341"/>
      <c r="H169" s="341"/>
      <c r="I169" s="342"/>
      <c r="J169" s="341" t="s">
        <v>316</v>
      </c>
      <c r="K169" s="245"/>
      <c r="L169" s="257"/>
      <c r="M169" s="597" t="s">
        <v>317</v>
      </c>
      <c r="N169" s="598"/>
      <c r="O169" s="299"/>
      <c r="P169" s="180"/>
      <c r="Q169" s="180">
        <v>300000</v>
      </c>
      <c r="R169" s="181">
        <f t="shared" si="58"/>
        <v>0.45752630776269632</v>
      </c>
      <c r="S169" s="181">
        <v>100</v>
      </c>
      <c r="T169" s="180">
        <f t="shared" si="41"/>
        <v>0</v>
      </c>
      <c r="U169" s="180">
        <f t="shared" si="59"/>
        <v>0</v>
      </c>
      <c r="V169" s="182">
        <f t="shared" si="52"/>
        <v>100</v>
      </c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>
        <v>0</v>
      </c>
      <c r="AJ169" s="181">
        <f t="shared" si="42"/>
        <v>0</v>
      </c>
      <c r="AK169" s="246">
        <f t="shared" si="57"/>
        <v>300000</v>
      </c>
      <c r="AL169" s="181">
        <f t="shared" si="43"/>
        <v>100</v>
      </c>
      <c r="AM169" s="243"/>
    </row>
    <row r="170" spans="1:39" ht="30.75" customHeight="1" x14ac:dyDescent="0.25">
      <c r="A170" s="243"/>
      <c r="B170" s="341"/>
      <c r="C170" s="341"/>
      <c r="D170" s="341"/>
      <c r="E170" s="341"/>
      <c r="F170" s="341"/>
      <c r="G170" s="341"/>
      <c r="H170" s="341"/>
      <c r="I170" s="342"/>
      <c r="J170" s="341" t="s">
        <v>318</v>
      </c>
      <c r="K170" s="245"/>
      <c r="L170" s="257"/>
      <c r="M170" s="597" t="s">
        <v>319</v>
      </c>
      <c r="N170" s="598"/>
      <c r="O170" s="299"/>
      <c r="P170" s="180"/>
      <c r="Q170" s="180">
        <v>26250000</v>
      </c>
      <c r="R170" s="181">
        <f t="shared" si="58"/>
        <v>40.033551929235934</v>
      </c>
      <c r="S170" s="181">
        <v>100</v>
      </c>
      <c r="T170" s="180">
        <f t="shared" si="41"/>
        <v>0</v>
      </c>
      <c r="U170" s="180">
        <f t="shared" si="59"/>
        <v>0</v>
      </c>
      <c r="V170" s="182">
        <f t="shared" si="52"/>
        <v>100</v>
      </c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>
        <v>0</v>
      </c>
      <c r="AJ170" s="181">
        <f t="shared" si="42"/>
        <v>0</v>
      </c>
      <c r="AK170" s="246">
        <f t="shared" si="57"/>
        <v>26250000</v>
      </c>
      <c r="AL170" s="181">
        <f t="shared" si="43"/>
        <v>100</v>
      </c>
      <c r="AM170" s="243"/>
    </row>
    <row r="171" spans="1:39" ht="24.75" customHeight="1" x14ac:dyDescent="0.25">
      <c r="A171" s="243"/>
      <c r="B171" s="341"/>
      <c r="C171" s="341"/>
      <c r="D171" s="341"/>
      <c r="E171" s="341"/>
      <c r="F171" s="341"/>
      <c r="G171" s="341"/>
      <c r="H171" s="341"/>
      <c r="I171" s="342"/>
      <c r="J171" s="341" t="s">
        <v>284</v>
      </c>
      <c r="K171" s="245"/>
      <c r="L171" s="257"/>
      <c r="M171" s="597" t="s">
        <v>585</v>
      </c>
      <c r="N171" s="598"/>
      <c r="O171" s="299"/>
      <c r="P171" s="180"/>
      <c r="Q171" s="180">
        <v>12900000</v>
      </c>
      <c r="R171" s="181">
        <f t="shared" si="58"/>
        <v>19.673631233795945</v>
      </c>
      <c r="S171" s="181">
        <v>100</v>
      </c>
      <c r="T171" s="180">
        <f t="shared" si="41"/>
        <v>0</v>
      </c>
      <c r="U171" s="180">
        <f t="shared" si="59"/>
        <v>0</v>
      </c>
      <c r="V171" s="182">
        <f t="shared" si="52"/>
        <v>100</v>
      </c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>
        <v>0</v>
      </c>
      <c r="AJ171" s="181">
        <f t="shared" si="42"/>
        <v>0</v>
      </c>
      <c r="AK171" s="246">
        <f t="shared" si="57"/>
        <v>12900000</v>
      </c>
      <c r="AL171" s="181">
        <f t="shared" si="43"/>
        <v>100</v>
      </c>
      <c r="AM171" s="243"/>
    </row>
    <row r="172" spans="1:39" ht="24.75" customHeight="1" x14ac:dyDescent="0.25">
      <c r="A172" s="243"/>
      <c r="B172" s="341"/>
      <c r="C172" s="341"/>
      <c r="D172" s="341"/>
      <c r="E172" s="341"/>
      <c r="F172" s="341"/>
      <c r="G172" s="341"/>
      <c r="H172" s="341"/>
      <c r="I172" s="342"/>
      <c r="J172" s="341" t="s">
        <v>282</v>
      </c>
      <c r="K172" s="245"/>
      <c r="L172" s="257"/>
      <c r="M172" s="597" t="s">
        <v>586</v>
      </c>
      <c r="N172" s="598"/>
      <c r="O172" s="299"/>
      <c r="P172" s="180"/>
      <c r="Q172" s="180">
        <v>5000000</v>
      </c>
      <c r="R172" s="181">
        <f t="shared" si="58"/>
        <v>7.6254384627116059</v>
      </c>
      <c r="S172" s="181">
        <v>100</v>
      </c>
      <c r="T172" s="180">
        <f t="shared" si="41"/>
        <v>0</v>
      </c>
      <c r="U172" s="180">
        <f t="shared" si="59"/>
        <v>0</v>
      </c>
      <c r="V172" s="182">
        <f>S172-T172</f>
        <v>100</v>
      </c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>
        <v>0</v>
      </c>
      <c r="AJ172" s="181">
        <f t="shared" si="42"/>
        <v>0</v>
      </c>
      <c r="AK172" s="246">
        <f t="shared" si="57"/>
        <v>5000000</v>
      </c>
      <c r="AL172" s="181">
        <f t="shared" si="43"/>
        <v>100</v>
      </c>
      <c r="AM172" s="243"/>
    </row>
    <row r="173" spans="1:39" ht="24.75" customHeight="1" x14ac:dyDescent="0.25">
      <c r="A173" s="243"/>
      <c r="B173" s="341"/>
      <c r="C173" s="341"/>
      <c r="D173" s="341"/>
      <c r="E173" s="341"/>
      <c r="F173" s="341"/>
      <c r="G173" s="341"/>
      <c r="H173" s="341"/>
      <c r="I173" s="342"/>
      <c r="J173" s="341" t="s">
        <v>320</v>
      </c>
      <c r="K173" s="245"/>
      <c r="L173" s="257"/>
      <c r="M173" s="597" t="s">
        <v>321</v>
      </c>
      <c r="N173" s="598"/>
      <c r="O173" s="299"/>
      <c r="P173" s="180"/>
      <c r="Q173" s="180">
        <v>18400000</v>
      </c>
      <c r="R173" s="181">
        <f t="shared" si="58"/>
        <v>28.061613542778709</v>
      </c>
      <c r="S173" s="181">
        <v>100</v>
      </c>
      <c r="T173" s="180">
        <f t="shared" si="41"/>
        <v>0</v>
      </c>
      <c r="U173" s="180">
        <f t="shared" si="59"/>
        <v>0</v>
      </c>
      <c r="V173" s="182">
        <f t="shared" ref="V173:V174" si="60">S173-T173</f>
        <v>100</v>
      </c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>
        <v>0</v>
      </c>
      <c r="AJ173" s="181">
        <f t="shared" si="42"/>
        <v>0</v>
      </c>
      <c r="AK173" s="246">
        <f t="shared" si="57"/>
        <v>18400000</v>
      </c>
      <c r="AL173" s="181">
        <f t="shared" si="43"/>
        <v>100</v>
      </c>
      <c r="AM173" s="243"/>
    </row>
    <row r="174" spans="1:39" ht="24.75" customHeight="1" x14ac:dyDescent="0.25">
      <c r="A174" s="243"/>
      <c r="B174" s="341"/>
      <c r="C174" s="341"/>
      <c r="D174" s="341"/>
      <c r="E174" s="341"/>
      <c r="F174" s="341"/>
      <c r="G174" s="341"/>
      <c r="H174" s="341"/>
      <c r="I174" s="342"/>
      <c r="J174" s="341" t="s">
        <v>407</v>
      </c>
      <c r="K174" s="245"/>
      <c r="L174" s="257"/>
      <c r="M174" s="597" t="s">
        <v>414</v>
      </c>
      <c r="N174" s="598"/>
      <c r="O174" s="299"/>
      <c r="P174" s="180"/>
      <c r="Q174" s="180">
        <v>450000</v>
      </c>
      <c r="R174" s="181">
        <f t="shared" si="58"/>
        <v>0.68628946164404447</v>
      </c>
      <c r="S174" s="181">
        <v>100</v>
      </c>
      <c r="T174" s="180">
        <f t="shared" si="41"/>
        <v>0</v>
      </c>
      <c r="U174" s="180">
        <f t="shared" si="59"/>
        <v>0</v>
      </c>
      <c r="V174" s="182">
        <f t="shared" si="60"/>
        <v>100</v>
      </c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>
        <v>0</v>
      </c>
      <c r="AJ174" s="181">
        <f t="shared" si="42"/>
        <v>0</v>
      </c>
      <c r="AK174" s="246">
        <f t="shared" si="57"/>
        <v>450000</v>
      </c>
      <c r="AL174" s="181">
        <f t="shared" si="43"/>
        <v>100</v>
      </c>
      <c r="AM174" s="243"/>
    </row>
    <row r="175" spans="1:39" s="226" customFormat="1" ht="36.75" customHeight="1" x14ac:dyDescent="0.25">
      <c r="A175" s="289" t="s">
        <v>34</v>
      </c>
      <c r="B175" s="607" t="s">
        <v>138</v>
      </c>
      <c r="C175" s="607"/>
      <c r="D175" s="607"/>
      <c r="E175" s="607"/>
      <c r="F175" s="607"/>
      <c r="G175" s="607"/>
      <c r="H175" s="607"/>
      <c r="I175" s="608"/>
      <c r="J175" s="347" t="s">
        <v>467</v>
      </c>
      <c r="K175" s="291"/>
      <c r="L175" s="607" t="s">
        <v>35</v>
      </c>
      <c r="M175" s="607"/>
      <c r="N175" s="608"/>
      <c r="O175" s="263">
        <f>SUM(O176:O225)</f>
        <v>2212865000</v>
      </c>
      <c r="P175" s="263">
        <f>SUM(P176:P225)</f>
        <v>1923365000</v>
      </c>
      <c r="Q175" s="263">
        <f>SUM(Q176+Q188+Q196+Q204+Q211+Q217+Q225+Q236)</f>
        <v>1358098427</v>
      </c>
      <c r="R175" s="222">
        <f>Q175/Q$53*100</f>
        <v>6.7302687126511538</v>
      </c>
      <c r="S175" s="222">
        <f>S176</f>
        <v>100</v>
      </c>
      <c r="T175" s="263">
        <f t="shared" si="41"/>
        <v>0</v>
      </c>
      <c r="U175" s="263">
        <f t="shared" si="59"/>
        <v>0</v>
      </c>
      <c r="V175" s="292">
        <f t="shared" si="52"/>
        <v>100</v>
      </c>
      <c r="W175" s="263">
        <f t="shared" ref="W175:AH175" si="61">SUM(W176:W225)</f>
        <v>0</v>
      </c>
      <c r="X175" s="263" t="e">
        <f t="shared" si="61"/>
        <v>#REF!</v>
      </c>
      <c r="Y175" s="263" t="e">
        <f t="shared" si="61"/>
        <v>#REF!</v>
      </c>
      <c r="Z175" s="263" t="e">
        <f t="shared" si="61"/>
        <v>#REF!</v>
      </c>
      <c r="AA175" s="263" t="e">
        <f t="shared" si="61"/>
        <v>#REF!</v>
      </c>
      <c r="AB175" s="263">
        <f t="shared" si="61"/>
        <v>1160108089</v>
      </c>
      <c r="AC175" s="263" t="e">
        <f t="shared" si="61"/>
        <v>#REF!</v>
      </c>
      <c r="AD175" s="263" t="e">
        <f t="shared" si="61"/>
        <v>#REF!</v>
      </c>
      <c r="AE175" s="263" t="e">
        <f t="shared" si="61"/>
        <v>#REF!</v>
      </c>
      <c r="AF175" s="263" t="e">
        <f t="shared" si="61"/>
        <v>#REF!</v>
      </c>
      <c r="AG175" s="263" t="e">
        <f t="shared" si="61"/>
        <v>#REF!</v>
      </c>
      <c r="AH175" s="263" t="e">
        <f t="shared" si="61"/>
        <v>#REF!</v>
      </c>
      <c r="AI175" s="263">
        <f>SUM(AI176+AI188+AI196+AI204+AI211+AI217+AI225)</f>
        <v>0</v>
      </c>
      <c r="AJ175" s="222">
        <f t="shared" si="42"/>
        <v>0</v>
      </c>
      <c r="AK175" s="265">
        <f>SUM(Q175-AI175)</f>
        <v>1358098427</v>
      </c>
      <c r="AL175" s="222">
        <f t="shared" si="43"/>
        <v>100</v>
      </c>
      <c r="AM175" s="289"/>
    </row>
    <row r="176" spans="1:39" s="297" customFormat="1" ht="28.5" customHeight="1" x14ac:dyDescent="0.25">
      <c r="A176" s="227">
        <f>A166+1</f>
        <v>28</v>
      </c>
      <c r="B176" s="615" t="s">
        <v>139</v>
      </c>
      <c r="C176" s="615"/>
      <c r="D176" s="615"/>
      <c r="E176" s="615"/>
      <c r="F176" s="615"/>
      <c r="G176" s="615"/>
      <c r="H176" s="615"/>
      <c r="I176" s="614"/>
      <c r="J176" s="304" t="s">
        <v>468</v>
      </c>
      <c r="K176" s="230"/>
      <c r="L176" s="294"/>
      <c r="M176" s="615" t="s">
        <v>36</v>
      </c>
      <c r="N176" s="614"/>
      <c r="O176" s="300">
        <v>1093890000</v>
      </c>
      <c r="P176" s="231">
        <f>[9]Sheet1!$U$80</f>
        <v>804390000</v>
      </c>
      <c r="Q176" s="231">
        <f>SUM(Q177:Q187)</f>
        <v>496093427</v>
      </c>
      <c r="R176" s="233">
        <f>Q176/Q$175*100</f>
        <v>36.528532626008264</v>
      </c>
      <c r="S176" s="233">
        <v>100</v>
      </c>
      <c r="T176" s="231">
        <f t="shared" si="41"/>
        <v>0</v>
      </c>
      <c r="U176" s="231">
        <f>R176*T176/100</f>
        <v>0</v>
      </c>
      <c r="V176" s="296">
        <f t="shared" si="52"/>
        <v>100</v>
      </c>
      <c r="W176" s="231"/>
      <c r="X176" s="231" t="e">
        <f>#REF!</f>
        <v>#REF!</v>
      </c>
      <c r="Y176" s="231" t="e">
        <f>#REF!</f>
        <v>#REF!</v>
      </c>
      <c r="Z176" s="231" t="e">
        <f>#REF!</f>
        <v>#REF!</v>
      </c>
      <c r="AA176" s="231" t="e">
        <f>#REF!</f>
        <v>#REF!</v>
      </c>
      <c r="AB176" s="231">
        <v>258208050</v>
      </c>
      <c r="AC176" s="231" t="e">
        <f>#REF!</f>
        <v>#REF!</v>
      </c>
      <c r="AD176" s="231" t="e">
        <f>#REF!</f>
        <v>#REF!</v>
      </c>
      <c r="AE176" s="231" t="e">
        <f>#REF!</f>
        <v>#REF!</v>
      </c>
      <c r="AF176" s="231" t="e">
        <f>[1]April!N48</f>
        <v>#REF!</v>
      </c>
      <c r="AG176" s="231" t="e">
        <f>[2]april!N48</f>
        <v>#REF!</v>
      </c>
      <c r="AH176" s="231">
        <f>'[3]DES SKPD'!$N48</f>
        <v>531334050</v>
      </c>
      <c r="AI176" s="231">
        <f>SUM(AI177:AI187)</f>
        <v>0</v>
      </c>
      <c r="AJ176" s="233">
        <f t="shared" si="42"/>
        <v>0</v>
      </c>
      <c r="AK176" s="234">
        <f>Q176-AI176</f>
        <v>496093427</v>
      </c>
      <c r="AL176" s="233">
        <f t="shared" si="43"/>
        <v>100</v>
      </c>
      <c r="AM176" s="227"/>
    </row>
    <row r="177" spans="1:44" ht="28.5" customHeight="1" x14ac:dyDescent="0.25">
      <c r="A177" s="243"/>
      <c r="B177" s="341"/>
      <c r="C177" s="341"/>
      <c r="D177" s="341"/>
      <c r="E177" s="341"/>
      <c r="F177" s="341"/>
      <c r="G177" s="341"/>
      <c r="H177" s="341"/>
      <c r="I177" s="342"/>
      <c r="J177" s="341" t="s">
        <v>259</v>
      </c>
      <c r="K177" s="245"/>
      <c r="L177" s="257"/>
      <c r="M177" s="597" t="s">
        <v>260</v>
      </c>
      <c r="N177" s="598"/>
      <c r="O177" s="301"/>
      <c r="P177" s="180"/>
      <c r="Q177" s="180">
        <v>1096000</v>
      </c>
      <c r="R177" s="181">
        <f t="shared" ref="R177:R187" si="62">Q177/Q$176*100</f>
        <v>0.22092612809401324</v>
      </c>
      <c r="S177" s="181">
        <v>100</v>
      </c>
      <c r="T177" s="180">
        <f t="shared" si="41"/>
        <v>0</v>
      </c>
      <c r="U177" s="180">
        <f t="shared" ref="U177:U185" si="63">R177*T177/100</f>
        <v>0</v>
      </c>
      <c r="V177" s="182">
        <f t="shared" si="52"/>
        <v>100</v>
      </c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>
        <v>0</v>
      </c>
      <c r="AJ177" s="181">
        <f t="shared" si="42"/>
        <v>0</v>
      </c>
      <c r="AK177" s="246">
        <f t="shared" ref="AK177:AK240" si="64">Q177-AI177</f>
        <v>1096000</v>
      </c>
      <c r="AL177" s="181">
        <f t="shared" si="43"/>
        <v>100</v>
      </c>
      <c r="AM177" s="243"/>
      <c r="AR177" s="205">
        <f>SUM(69300000-48250000)</f>
        <v>21050000</v>
      </c>
    </row>
    <row r="178" spans="1:44" ht="28.5" customHeight="1" x14ac:dyDescent="0.25">
      <c r="A178" s="243"/>
      <c r="B178" s="341"/>
      <c r="C178" s="341"/>
      <c r="D178" s="341"/>
      <c r="E178" s="341"/>
      <c r="F178" s="341"/>
      <c r="G178" s="341"/>
      <c r="H178" s="341"/>
      <c r="I178" s="342"/>
      <c r="J178" s="341" t="s">
        <v>273</v>
      </c>
      <c r="K178" s="245"/>
      <c r="L178" s="257"/>
      <c r="M178" s="597" t="s">
        <v>322</v>
      </c>
      <c r="N178" s="598"/>
      <c r="O178" s="301"/>
      <c r="P178" s="180"/>
      <c r="Q178" s="180">
        <v>6900000</v>
      </c>
      <c r="R178" s="181">
        <f t="shared" si="62"/>
        <v>1.3908670473072002</v>
      </c>
      <c r="S178" s="181">
        <v>100</v>
      </c>
      <c r="T178" s="180">
        <f>AJ178</f>
        <v>0</v>
      </c>
      <c r="U178" s="180">
        <f t="shared" si="63"/>
        <v>0</v>
      </c>
      <c r="V178" s="182">
        <f t="shared" si="52"/>
        <v>100</v>
      </c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>
        <v>0</v>
      </c>
      <c r="AJ178" s="181">
        <f>AI178/Q178*100</f>
        <v>0</v>
      </c>
      <c r="AK178" s="246">
        <f t="shared" si="64"/>
        <v>6900000</v>
      </c>
      <c r="AL178" s="181">
        <f t="shared" si="43"/>
        <v>100</v>
      </c>
      <c r="AM178" s="243"/>
    </row>
    <row r="179" spans="1:44" ht="28.5" customHeight="1" x14ac:dyDescent="0.25">
      <c r="A179" s="243"/>
      <c r="B179" s="341"/>
      <c r="C179" s="341"/>
      <c r="D179" s="341"/>
      <c r="E179" s="341"/>
      <c r="F179" s="341"/>
      <c r="G179" s="341"/>
      <c r="H179" s="341"/>
      <c r="I179" s="342"/>
      <c r="J179" s="341" t="s">
        <v>587</v>
      </c>
      <c r="K179" s="245"/>
      <c r="L179" s="257"/>
      <c r="M179" s="597" t="s">
        <v>588</v>
      </c>
      <c r="N179" s="598"/>
      <c r="O179" s="301"/>
      <c r="P179" s="180"/>
      <c r="Q179" s="180">
        <v>80900000</v>
      </c>
      <c r="R179" s="181">
        <f t="shared" si="62"/>
        <v>16.307412192340941</v>
      </c>
      <c r="S179" s="181">
        <v>100</v>
      </c>
      <c r="T179" s="180">
        <f>AJ179</f>
        <v>0</v>
      </c>
      <c r="U179" s="180">
        <f t="shared" si="63"/>
        <v>0</v>
      </c>
      <c r="V179" s="182">
        <f t="shared" si="52"/>
        <v>100</v>
      </c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>
        <v>0</v>
      </c>
      <c r="AJ179" s="181">
        <f>AI179/Q179*100</f>
        <v>0</v>
      </c>
      <c r="AK179" s="246">
        <f t="shared" si="64"/>
        <v>80900000</v>
      </c>
      <c r="AL179" s="181"/>
      <c r="AM179" s="243"/>
    </row>
    <row r="180" spans="1:44" ht="28.5" customHeight="1" x14ac:dyDescent="0.25">
      <c r="A180" s="243"/>
      <c r="B180" s="341"/>
      <c r="C180" s="341"/>
      <c r="D180" s="341"/>
      <c r="E180" s="341"/>
      <c r="F180" s="341"/>
      <c r="G180" s="341"/>
      <c r="H180" s="341"/>
      <c r="I180" s="342"/>
      <c r="J180" s="341" t="s">
        <v>323</v>
      </c>
      <c r="K180" s="245"/>
      <c r="L180" s="257"/>
      <c r="M180" s="597" t="s">
        <v>324</v>
      </c>
      <c r="N180" s="598"/>
      <c r="O180" s="301"/>
      <c r="P180" s="180"/>
      <c r="Q180" s="180">
        <v>23150000</v>
      </c>
      <c r="R180" s="181">
        <f t="shared" si="62"/>
        <v>4.6664597311828526</v>
      </c>
      <c r="S180" s="181">
        <v>100</v>
      </c>
      <c r="T180" s="180">
        <f t="shared" si="41"/>
        <v>0</v>
      </c>
      <c r="U180" s="180">
        <f t="shared" si="63"/>
        <v>0</v>
      </c>
      <c r="V180" s="182">
        <f t="shared" si="52"/>
        <v>100</v>
      </c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0">
        <v>0</v>
      </c>
      <c r="AJ180" s="181">
        <f t="shared" si="42"/>
        <v>0</v>
      </c>
      <c r="AK180" s="246">
        <f t="shared" si="64"/>
        <v>23150000</v>
      </c>
      <c r="AL180" s="181">
        <f t="shared" si="43"/>
        <v>100</v>
      </c>
      <c r="AM180" s="243"/>
    </row>
    <row r="181" spans="1:44" ht="28.5" customHeight="1" x14ac:dyDescent="0.25">
      <c r="A181" s="243"/>
      <c r="B181" s="341"/>
      <c r="C181" s="341"/>
      <c r="D181" s="341"/>
      <c r="E181" s="341"/>
      <c r="F181" s="341"/>
      <c r="G181" s="341"/>
      <c r="H181" s="341"/>
      <c r="I181" s="342"/>
      <c r="J181" s="341" t="s">
        <v>269</v>
      </c>
      <c r="K181" s="245"/>
      <c r="L181" s="257"/>
      <c r="M181" s="597" t="s">
        <v>589</v>
      </c>
      <c r="N181" s="598"/>
      <c r="O181" s="301"/>
      <c r="P181" s="180"/>
      <c r="Q181" s="180">
        <v>23500000</v>
      </c>
      <c r="R181" s="181">
        <f t="shared" si="62"/>
        <v>4.737010958220174</v>
      </c>
      <c r="S181" s="181">
        <v>100</v>
      </c>
      <c r="T181" s="180">
        <f t="shared" si="41"/>
        <v>0</v>
      </c>
      <c r="U181" s="180">
        <f t="shared" si="63"/>
        <v>0</v>
      </c>
      <c r="V181" s="182">
        <f t="shared" si="52"/>
        <v>100</v>
      </c>
      <c r="W181" s="180"/>
      <c r="X181" s="180"/>
      <c r="Y181" s="180"/>
      <c r="Z181" s="180"/>
      <c r="AA181" s="180"/>
      <c r="AB181" s="180"/>
      <c r="AC181" s="180"/>
      <c r="AD181" s="180"/>
      <c r="AE181" s="180"/>
      <c r="AF181" s="180"/>
      <c r="AG181" s="180"/>
      <c r="AH181" s="180"/>
      <c r="AI181" s="180">
        <v>0</v>
      </c>
      <c r="AJ181" s="181">
        <f t="shared" si="42"/>
        <v>0</v>
      </c>
      <c r="AK181" s="246">
        <f t="shared" si="64"/>
        <v>23500000</v>
      </c>
      <c r="AL181" s="181">
        <f t="shared" si="43"/>
        <v>100</v>
      </c>
      <c r="AM181" s="243"/>
    </row>
    <row r="182" spans="1:44" ht="28.5" customHeight="1" x14ac:dyDescent="0.25">
      <c r="A182" s="243"/>
      <c r="B182" s="341"/>
      <c r="C182" s="341"/>
      <c r="D182" s="341"/>
      <c r="E182" s="341"/>
      <c r="F182" s="341"/>
      <c r="G182" s="341"/>
      <c r="H182" s="341"/>
      <c r="I182" s="342"/>
      <c r="J182" s="341" t="s">
        <v>315</v>
      </c>
      <c r="K182" s="245"/>
      <c r="L182" s="257"/>
      <c r="M182" s="597" t="s">
        <v>271</v>
      </c>
      <c r="N182" s="598"/>
      <c r="O182" s="301"/>
      <c r="P182" s="180"/>
      <c r="Q182" s="180">
        <v>5200000</v>
      </c>
      <c r="R182" s="181">
        <f t="shared" si="62"/>
        <v>1.0481896588402086</v>
      </c>
      <c r="S182" s="181">
        <v>100</v>
      </c>
      <c r="T182" s="180">
        <f t="shared" si="41"/>
        <v>0</v>
      </c>
      <c r="U182" s="180">
        <f t="shared" si="63"/>
        <v>0</v>
      </c>
      <c r="V182" s="182">
        <f t="shared" si="52"/>
        <v>100</v>
      </c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>
        <v>0</v>
      </c>
      <c r="AJ182" s="181">
        <f t="shared" si="42"/>
        <v>0</v>
      </c>
      <c r="AK182" s="246">
        <f t="shared" si="64"/>
        <v>5200000</v>
      </c>
      <c r="AL182" s="181">
        <f t="shared" si="43"/>
        <v>100</v>
      </c>
      <c r="AM182" s="243"/>
    </row>
    <row r="183" spans="1:44" ht="28.5" customHeight="1" x14ac:dyDescent="0.25">
      <c r="A183" s="243"/>
      <c r="B183" s="341"/>
      <c r="C183" s="341"/>
      <c r="D183" s="341"/>
      <c r="E183" s="341"/>
      <c r="F183" s="341"/>
      <c r="G183" s="341"/>
      <c r="H183" s="341"/>
      <c r="I183" s="342"/>
      <c r="J183" s="341" t="s">
        <v>328</v>
      </c>
      <c r="K183" s="245"/>
      <c r="L183" s="257"/>
      <c r="M183" s="597" t="s">
        <v>329</v>
      </c>
      <c r="N183" s="598"/>
      <c r="O183" s="301"/>
      <c r="P183" s="180"/>
      <c r="Q183" s="180">
        <v>36000000</v>
      </c>
      <c r="R183" s="181">
        <f t="shared" si="62"/>
        <v>7.2566976381245221</v>
      </c>
      <c r="S183" s="181">
        <v>100</v>
      </c>
      <c r="T183" s="180">
        <f t="shared" si="41"/>
        <v>0</v>
      </c>
      <c r="U183" s="180">
        <f t="shared" si="63"/>
        <v>0</v>
      </c>
      <c r="V183" s="182">
        <f t="shared" si="52"/>
        <v>100</v>
      </c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>
        <v>0</v>
      </c>
      <c r="AJ183" s="181">
        <f t="shared" si="42"/>
        <v>0</v>
      </c>
      <c r="AK183" s="246">
        <f t="shared" si="64"/>
        <v>36000000</v>
      </c>
      <c r="AL183" s="181">
        <f t="shared" si="43"/>
        <v>100</v>
      </c>
      <c r="AM183" s="243"/>
    </row>
    <row r="184" spans="1:44" ht="28.5" customHeight="1" x14ac:dyDescent="0.25">
      <c r="A184" s="243"/>
      <c r="B184" s="341"/>
      <c r="C184" s="341"/>
      <c r="D184" s="341"/>
      <c r="E184" s="341"/>
      <c r="F184" s="341"/>
      <c r="G184" s="341"/>
      <c r="H184" s="341"/>
      <c r="I184" s="342"/>
      <c r="J184" s="341" t="s">
        <v>280</v>
      </c>
      <c r="K184" s="245"/>
      <c r="L184" s="257"/>
      <c r="M184" s="597" t="s">
        <v>425</v>
      </c>
      <c r="N184" s="598"/>
      <c r="O184" s="301"/>
      <c r="P184" s="180"/>
      <c r="Q184" s="180">
        <v>40500000</v>
      </c>
      <c r="R184" s="181">
        <f t="shared" si="62"/>
        <v>8.1637848428900881</v>
      </c>
      <c r="S184" s="181">
        <v>100</v>
      </c>
      <c r="T184" s="180">
        <f t="shared" si="41"/>
        <v>0</v>
      </c>
      <c r="U184" s="180">
        <f t="shared" si="63"/>
        <v>0</v>
      </c>
      <c r="V184" s="182">
        <f t="shared" si="52"/>
        <v>100</v>
      </c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>
        <v>0</v>
      </c>
      <c r="AJ184" s="181">
        <f t="shared" si="42"/>
        <v>0</v>
      </c>
      <c r="AK184" s="246">
        <f t="shared" si="64"/>
        <v>40500000</v>
      </c>
      <c r="AL184" s="181">
        <f t="shared" si="43"/>
        <v>100</v>
      </c>
      <c r="AM184" s="243"/>
    </row>
    <row r="185" spans="1:44" ht="28.5" customHeight="1" x14ac:dyDescent="0.25">
      <c r="A185" s="243"/>
      <c r="B185" s="341"/>
      <c r="C185" s="341"/>
      <c r="D185" s="341"/>
      <c r="E185" s="341"/>
      <c r="F185" s="341"/>
      <c r="G185" s="341"/>
      <c r="H185" s="341"/>
      <c r="I185" s="342"/>
      <c r="J185" s="341" t="s">
        <v>282</v>
      </c>
      <c r="K185" s="245"/>
      <c r="L185" s="257"/>
      <c r="M185" s="597" t="s">
        <v>590</v>
      </c>
      <c r="N185" s="598"/>
      <c r="O185" s="301"/>
      <c r="P185" s="180"/>
      <c r="Q185" s="180">
        <v>40047427</v>
      </c>
      <c r="R185" s="181">
        <f t="shared" si="62"/>
        <v>8.0725574701073395</v>
      </c>
      <c r="S185" s="181">
        <v>100</v>
      </c>
      <c r="T185" s="180">
        <f t="shared" si="41"/>
        <v>0</v>
      </c>
      <c r="U185" s="180">
        <f t="shared" si="63"/>
        <v>0</v>
      </c>
      <c r="V185" s="182">
        <f t="shared" si="52"/>
        <v>100</v>
      </c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>
        <v>0</v>
      </c>
      <c r="AJ185" s="181">
        <f t="shared" si="42"/>
        <v>0</v>
      </c>
      <c r="AK185" s="246">
        <f t="shared" si="64"/>
        <v>40047427</v>
      </c>
      <c r="AL185" s="181">
        <f t="shared" si="43"/>
        <v>100</v>
      </c>
      <c r="AM185" s="243"/>
    </row>
    <row r="186" spans="1:44" ht="28.5" customHeight="1" x14ac:dyDescent="0.25">
      <c r="A186" s="243"/>
      <c r="B186" s="341"/>
      <c r="C186" s="341"/>
      <c r="D186" s="341"/>
      <c r="E186" s="341"/>
      <c r="F186" s="341"/>
      <c r="G186" s="341"/>
      <c r="H186" s="341"/>
      <c r="I186" s="342"/>
      <c r="J186" s="341" t="s">
        <v>306</v>
      </c>
      <c r="K186" s="245"/>
      <c r="L186" s="257"/>
      <c r="M186" s="597" t="s">
        <v>591</v>
      </c>
      <c r="N186" s="598"/>
      <c r="O186" s="301"/>
      <c r="P186" s="180"/>
      <c r="Q186" s="180">
        <v>40000000</v>
      </c>
      <c r="R186" s="181">
        <f t="shared" si="62"/>
        <v>8.0629973756939126</v>
      </c>
      <c r="S186" s="181">
        <v>100</v>
      </c>
      <c r="T186" s="180">
        <f>AJ187</f>
        <v>0</v>
      </c>
      <c r="U186" s="180">
        <f>R186*T186/100</f>
        <v>0</v>
      </c>
      <c r="V186" s="182">
        <f>S186-T186</f>
        <v>100</v>
      </c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>
        <v>0</v>
      </c>
      <c r="AJ186" s="181">
        <f>AI186/Q186*100</f>
        <v>0</v>
      </c>
      <c r="AK186" s="246">
        <f t="shared" si="64"/>
        <v>40000000</v>
      </c>
      <c r="AL186" s="181">
        <f t="shared" si="43"/>
        <v>100</v>
      </c>
      <c r="AM186" s="243"/>
    </row>
    <row r="187" spans="1:44" ht="28.5" customHeight="1" x14ac:dyDescent="0.25">
      <c r="A187" s="243"/>
      <c r="B187" s="341"/>
      <c r="C187" s="341"/>
      <c r="D187" s="341"/>
      <c r="E187" s="341"/>
      <c r="F187" s="341"/>
      <c r="G187" s="341"/>
      <c r="H187" s="341"/>
      <c r="I187" s="342"/>
      <c r="J187" s="341" t="s">
        <v>551</v>
      </c>
      <c r="K187" s="245"/>
      <c r="L187" s="257"/>
      <c r="M187" s="597" t="s">
        <v>550</v>
      </c>
      <c r="N187" s="598"/>
      <c r="O187" s="301"/>
      <c r="P187" s="180"/>
      <c r="Q187" s="180">
        <v>198800000</v>
      </c>
      <c r="R187" s="181">
        <f t="shared" si="62"/>
        <v>40.07309695719875</v>
      </c>
      <c r="S187" s="181">
        <v>100</v>
      </c>
      <c r="T187" s="180">
        <f>AJ188</f>
        <v>0</v>
      </c>
      <c r="U187" s="180">
        <f>R187*T187/100</f>
        <v>0</v>
      </c>
      <c r="V187" s="182">
        <f>S187-T187</f>
        <v>100</v>
      </c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>
        <v>0</v>
      </c>
      <c r="AJ187" s="181">
        <f>AI186/Q186*100</f>
        <v>0</v>
      </c>
      <c r="AK187" s="246">
        <f t="shared" si="64"/>
        <v>198800000</v>
      </c>
      <c r="AL187" s="181">
        <f t="shared" si="43"/>
        <v>100</v>
      </c>
      <c r="AM187" s="243"/>
    </row>
    <row r="188" spans="1:44" s="297" customFormat="1" ht="28.5" customHeight="1" x14ac:dyDescent="0.25">
      <c r="A188" s="227">
        <f>A176+1</f>
        <v>29</v>
      </c>
      <c r="B188" s="615" t="s">
        <v>140</v>
      </c>
      <c r="C188" s="615"/>
      <c r="D188" s="615"/>
      <c r="E188" s="615"/>
      <c r="F188" s="615"/>
      <c r="G188" s="615"/>
      <c r="H188" s="615"/>
      <c r="I188" s="614"/>
      <c r="J188" s="304" t="s">
        <v>469</v>
      </c>
      <c r="K188" s="230"/>
      <c r="L188" s="294"/>
      <c r="M188" s="615" t="s">
        <v>37</v>
      </c>
      <c r="N188" s="614"/>
      <c r="O188" s="295">
        <v>144225000</v>
      </c>
      <c r="P188" s="231">
        <f>O188</f>
        <v>144225000</v>
      </c>
      <c r="Q188" s="231">
        <f>SUM(Q189:Q195)</f>
        <v>131070000</v>
      </c>
      <c r="R188" s="233">
        <f>Q188/Q$175*100</f>
        <v>9.6509941690698966</v>
      </c>
      <c r="S188" s="233">
        <v>100</v>
      </c>
      <c r="T188" s="231">
        <f t="shared" si="41"/>
        <v>0</v>
      </c>
      <c r="U188" s="231">
        <f>R188*T188/100</f>
        <v>0</v>
      </c>
      <c r="V188" s="296">
        <f t="shared" si="52"/>
        <v>100</v>
      </c>
      <c r="W188" s="231"/>
      <c r="X188" s="231" t="e">
        <f>#REF!</f>
        <v>#REF!</v>
      </c>
      <c r="Y188" s="231" t="e">
        <f>#REF!</f>
        <v>#REF!</v>
      </c>
      <c r="Z188" s="231" t="e">
        <f>#REF!</f>
        <v>#REF!</v>
      </c>
      <c r="AA188" s="231" t="e">
        <f>#REF!</f>
        <v>#REF!</v>
      </c>
      <c r="AB188" s="231">
        <v>0</v>
      </c>
      <c r="AC188" s="231" t="e">
        <f>#REF!</f>
        <v>#REF!</v>
      </c>
      <c r="AD188" s="231" t="e">
        <f>#REF!</f>
        <v>#REF!</v>
      </c>
      <c r="AE188" s="231" t="e">
        <f>#REF!</f>
        <v>#REF!</v>
      </c>
      <c r="AF188" s="231" t="e">
        <f>[1]April!N49</f>
        <v>#REF!</v>
      </c>
      <c r="AG188" s="231" t="e">
        <f>[2]april!N49</f>
        <v>#REF!</v>
      </c>
      <c r="AH188" s="231">
        <f>'[3]DES SKPD'!$N49</f>
        <v>143100490</v>
      </c>
      <c r="AI188" s="231">
        <f>SUM(AI189:AI195)</f>
        <v>0</v>
      </c>
      <c r="AJ188" s="233">
        <f t="shared" si="42"/>
        <v>0</v>
      </c>
      <c r="AK188" s="234">
        <f t="shared" si="64"/>
        <v>131070000</v>
      </c>
      <c r="AL188" s="233">
        <f t="shared" si="43"/>
        <v>100</v>
      </c>
      <c r="AM188" s="227"/>
    </row>
    <row r="189" spans="1:44" ht="28.5" customHeight="1" x14ac:dyDescent="0.25">
      <c r="A189" s="243"/>
      <c r="B189" s="341"/>
      <c r="C189" s="341"/>
      <c r="D189" s="341"/>
      <c r="E189" s="341"/>
      <c r="F189" s="341"/>
      <c r="G189" s="341"/>
      <c r="H189" s="341"/>
      <c r="I189" s="342"/>
      <c r="J189" s="341" t="s">
        <v>326</v>
      </c>
      <c r="K189" s="245"/>
      <c r="L189" s="257"/>
      <c r="M189" s="597" t="s">
        <v>327</v>
      </c>
      <c r="N189" s="598"/>
      <c r="O189" s="299"/>
      <c r="P189" s="180"/>
      <c r="Q189" s="180">
        <v>16750000</v>
      </c>
      <c r="R189" s="181">
        <f t="shared" ref="R189:R195" si="65">Q189/Q$188*100</f>
        <v>12.779430838483252</v>
      </c>
      <c r="S189" s="181">
        <v>100</v>
      </c>
      <c r="T189" s="180">
        <f t="shared" si="41"/>
        <v>0</v>
      </c>
      <c r="U189" s="180">
        <f t="shared" ref="U189:U195" si="66">R189*T189/100</f>
        <v>0</v>
      </c>
      <c r="V189" s="182">
        <f t="shared" si="52"/>
        <v>100</v>
      </c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>
        <v>0</v>
      </c>
      <c r="AJ189" s="181">
        <f t="shared" si="42"/>
        <v>0</v>
      </c>
      <c r="AK189" s="246">
        <f t="shared" si="64"/>
        <v>16750000</v>
      </c>
      <c r="AL189" s="181">
        <f t="shared" si="43"/>
        <v>100</v>
      </c>
      <c r="AM189" s="243"/>
    </row>
    <row r="190" spans="1:44" ht="28.5" customHeight="1" x14ac:dyDescent="0.25">
      <c r="A190" s="243"/>
      <c r="B190" s="341"/>
      <c r="C190" s="341"/>
      <c r="D190" s="341"/>
      <c r="E190" s="341"/>
      <c r="F190" s="341"/>
      <c r="G190" s="341"/>
      <c r="H190" s="341"/>
      <c r="I190" s="342"/>
      <c r="J190" s="341" t="s">
        <v>323</v>
      </c>
      <c r="K190" s="245"/>
      <c r="L190" s="257"/>
      <c r="M190" s="597" t="s">
        <v>324</v>
      </c>
      <c r="N190" s="598"/>
      <c r="O190" s="299"/>
      <c r="P190" s="180"/>
      <c r="Q190" s="180">
        <v>9132000</v>
      </c>
      <c r="R190" s="181">
        <f t="shared" si="65"/>
        <v>6.9672693980315863</v>
      </c>
      <c r="S190" s="181">
        <v>100</v>
      </c>
      <c r="T190" s="180">
        <f t="shared" si="41"/>
        <v>0</v>
      </c>
      <c r="U190" s="180">
        <f t="shared" si="66"/>
        <v>0</v>
      </c>
      <c r="V190" s="182">
        <f t="shared" si="52"/>
        <v>100</v>
      </c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>
        <v>0</v>
      </c>
      <c r="AJ190" s="181">
        <f t="shared" si="42"/>
        <v>0</v>
      </c>
      <c r="AK190" s="246">
        <f t="shared" si="64"/>
        <v>9132000</v>
      </c>
      <c r="AL190" s="181">
        <f t="shared" si="43"/>
        <v>100</v>
      </c>
      <c r="AM190" s="243"/>
    </row>
    <row r="191" spans="1:44" ht="28.5" customHeight="1" x14ac:dyDescent="0.25">
      <c r="A191" s="243"/>
      <c r="B191" s="341"/>
      <c r="C191" s="341"/>
      <c r="D191" s="341"/>
      <c r="E191" s="341"/>
      <c r="F191" s="341"/>
      <c r="G191" s="341"/>
      <c r="H191" s="341"/>
      <c r="I191" s="342"/>
      <c r="J191" s="341" t="s">
        <v>269</v>
      </c>
      <c r="K191" s="245"/>
      <c r="L191" s="257"/>
      <c r="M191" s="597" t="s">
        <v>270</v>
      </c>
      <c r="N191" s="598"/>
      <c r="O191" s="299"/>
      <c r="P191" s="180"/>
      <c r="Q191" s="180">
        <v>13650000</v>
      </c>
      <c r="R191" s="181">
        <f t="shared" si="65"/>
        <v>10.414282444495308</v>
      </c>
      <c r="S191" s="181">
        <v>100</v>
      </c>
      <c r="T191" s="180">
        <f t="shared" si="41"/>
        <v>0</v>
      </c>
      <c r="U191" s="180">
        <f t="shared" si="66"/>
        <v>0</v>
      </c>
      <c r="V191" s="182">
        <f t="shared" si="52"/>
        <v>100</v>
      </c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>
        <v>0</v>
      </c>
      <c r="AJ191" s="181">
        <f t="shared" si="42"/>
        <v>0</v>
      </c>
      <c r="AK191" s="246">
        <f t="shared" si="64"/>
        <v>13650000</v>
      </c>
      <c r="AL191" s="181">
        <f t="shared" si="43"/>
        <v>100</v>
      </c>
      <c r="AM191" s="243"/>
    </row>
    <row r="192" spans="1:44" ht="28.5" customHeight="1" x14ac:dyDescent="0.25">
      <c r="A192" s="243"/>
      <c r="B192" s="341"/>
      <c r="C192" s="341"/>
      <c r="D192" s="341"/>
      <c r="E192" s="341"/>
      <c r="F192" s="341"/>
      <c r="G192" s="341"/>
      <c r="H192" s="341"/>
      <c r="I192" s="342"/>
      <c r="J192" s="341" t="s">
        <v>315</v>
      </c>
      <c r="K192" s="245"/>
      <c r="L192" s="257"/>
      <c r="M192" s="597" t="s">
        <v>271</v>
      </c>
      <c r="N192" s="598"/>
      <c r="O192" s="299"/>
      <c r="P192" s="180"/>
      <c r="Q192" s="180">
        <v>1418000</v>
      </c>
      <c r="R192" s="181">
        <f t="shared" si="65"/>
        <v>1.0818646524757762</v>
      </c>
      <c r="S192" s="181">
        <v>100</v>
      </c>
      <c r="T192" s="180">
        <f t="shared" si="41"/>
        <v>0</v>
      </c>
      <c r="U192" s="180">
        <f t="shared" si="66"/>
        <v>0</v>
      </c>
      <c r="V192" s="182">
        <f t="shared" si="52"/>
        <v>100</v>
      </c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>
        <v>0</v>
      </c>
      <c r="AJ192" s="181">
        <f t="shared" si="42"/>
        <v>0</v>
      </c>
      <c r="AK192" s="246">
        <f t="shared" si="64"/>
        <v>1418000</v>
      </c>
      <c r="AL192" s="181">
        <f t="shared" si="43"/>
        <v>100</v>
      </c>
      <c r="AM192" s="243"/>
    </row>
    <row r="193" spans="1:39" ht="28.5" customHeight="1" x14ac:dyDescent="0.25">
      <c r="A193" s="243"/>
      <c r="B193" s="341"/>
      <c r="C193" s="341"/>
      <c r="D193" s="341"/>
      <c r="E193" s="341"/>
      <c r="F193" s="341"/>
      <c r="G193" s="341"/>
      <c r="H193" s="341"/>
      <c r="I193" s="342"/>
      <c r="J193" s="341" t="s">
        <v>328</v>
      </c>
      <c r="K193" s="245"/>
      <c r="L193" s="257"/>
      <c r="M193" s="597" t="s">
        <v>329</v>
      </c>
      <c r="N193" s="598"/>
      <c r="O193" s="299"/>
      <c r="P193" s="180"/>
      <c r="Q193" s="180">
        <v>82500000</v>
      </c>
      <c r="R193" s="181">
        <f t="shared" si="65"/>
        <v>62.943465323872736</v>
      </c>
      <c r="S193" s="181">
        <v>100</v>
      </c>
      <c r="T193" s="180">
        <f t="shared" si="41"/>
        <v>0</v>
      </c>
      <c r="U193" s="180">
        <f t="shared" si="66"/>
        <v>0</v>
      </c>
      <c r="V193" s="182">
        <f t="shared" si="52"/>
        <v>100</v>
      </c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>
        <v>0</v>
      </c>
      <c r="AJ193" s="181">
        <f t="shared" si="42"/>
        <v>0</v>
      </c>
      <c r="AK193" s="246">
        <f t="shared" si="64"/>
        <v>82500000</v>
      </c>
      <c r="AL193" s="181">
        <f t="shared" si="43"/>
        <v>100</v>
      </c>
      <c r="AM193" s="243"/>
    </row>
    <row r="194" spans="1:39" ht="28.5" customHeight="1" x14ac:dyDescent="0.25">
      <c r="A194" s="243"/>
      <c r="B194" s="341"/>
      <c r="C194" s="341"/>
      <c r="D194" s="341"/>
      <c r="E194" s="341"/>
      <c r="F194" s="341"/>
      <c r="G194" s="341"/>
      <c r="H194" s="341"/>
      <c r="I194" s="342"/>
      <c r="J194" s="341" t="s">
        <v>284</v>
      </c>
      <c r="K194" s="245"/>
      <c r="L194" s="257"/>
      <c r="M194" s="597" t="s">
        <v>285</v>
      </c>
      <c r="N194" s="598"/>
      <c r="O194" s="299"/>
      <c r="P194" s="180"/>
      <c r="Q194" s="180">
        <v>2120000</v>
      </c>
      <c r="R194" s="181">
        <f t="shared" si="65"/>
        <v>1.617456321049821</v>
      </c>
      <c r="S194" s="181">
        <v>100</v>
      </c>
      <c r="T194" s="180">
        <f t="shared" si="41"/>
        <v>0</v>
      </c>
      <c r="U194" s="180">
        <f t="shared" si="66"/>
        <v>0</v>
      </c>
      <c r="V194" s="182">
        <f t="shared" si="52"/>
        <v>100</v>
      </c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>
        <v>0</v>
      </c>
      <c r="AJ194" s="181">
        <f t="shared" si="42"/>
        <v>0</v>
      </c>
      <c r="AK194" s="246">
        <f t="shared" si="64"/>
        <v>2120000</v>
      </c>
      <c r="AL194" s="181">
        <f t="shared" si="43"/>
        <v>100</v>
      </c>
      <c r="AM194" s="243"/>
    </row>
    <row r="195" spans="1:39" ht="28.5" customHeight="1" x14ac:dyDescent="0.25">
      <c r="A195" s="243"/>
      <c r="B195" s="341"/>
      <c r="C195" s="341"/>
      <c r="D195" s="341"/>
      <c r="E195" s="341"/>
      <c r="F195" s="341"/>
      <c r="G195" s="341"/>
      <c r="H195" s="341"/>
      <c r="I195" s="342"/>
      <c r="J195" s="341" t="s">
        <v>282</v>
      </c>
      <c r="K195" s="245"/>
      <c r="L195" s="257"/>
      <c r="M195" s="597" t="s">
        <v>283</v>
      </c>
      <c r="N195" s="598"/>
      <c r="O195" s="299"/>
      <c r="P195" s="180"/>
      <c r="Q195" s="180">
        <v>5500000</v>
      </c>
      <c r="R195" s="181">
        <f t="shared" si="65"/>
        <v>4.1962310215915153</v>
      </c>
      <c r="S195" s="181">
        <v>100</v>
      </c>
      <c r="T195" s="180">
        <f t="shared" si="41"/>
        <v>0</v>
      </c>
      <c r="U195" s="180">
        <f t="shared" si="66"/>
        <v>0</v>
      </c>
      <c r="V195" s="182">
        <f t="shared" si="52"/>
        <v>100</v>
      </c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>
        <v>0</v>
      </c>
      <c r="AJ195" s="181">
        <f t="shared" si="42"/>
        <v>0</v>
      </c>
      <c r="AK195" s="246">
        <f t="shared" si="64"/>
        <v>5500000</v>
      </c>
      <c r="AL195" s="181">
        <f t="shared" si="43"/>
        <v>100</v>
      </c>
      <c r="AM195" s="243"/>
    </row>
    <row r="196" spans="1:39" ht="28.5" customHeight="1" x14ac:dyDescent="0.25">
      <c r="A196" s="227">
        <v>30</v>
      </c>
      <c r="B196" s="341"/>
      <c r="C196" s="341"/>
      <c r="D196" s="341"/>
      <c r="E196" s="341"/>
      <c r="F196" s="341"/>
      <c r="G196" s="341"/>
      <c r="H196" s="341"/>
      <c r="I196" s="342"/>
      <c r="J196" s="304" t="s">
        <v>474</v>
      </c>
      <c r="K196" s="230"/>
      <c r="L196" s="294"/>
      <c r="M196" s="615" t="s">
        <v>470</v>
      </c>
      <c r="N196" s="614"/>
      <c r="O196" s="295">
        <v>144225000</v>
      </c>
      <c r="P196" s="231">
        <f>O196</f>
        <v>144225000</v>
      </c>
      <c r="Q196" s="231">
        <f>SUM(Q197:Q203)</f>
        <v>168774000</v>
      </c>
      <c r="R196" s="233">
        <f>Q196/Q$175*100</f>
        <v>12.427228884493804</v>
      </c>
      <c r="S196" s="233">
        <v>100</v>
      </c>
      <c r="T196" s="231">
        <f t="shared" si="41"/>
        <v>0</v>
      </c>
      <c r="U196" s="231">
        <f>R196*T196/100</f>
        <v>0</v>
      </c>
      <c r="V196" s="296">
        <f t="shared" si="52"/>
        <v>100</v>
      </c>
      <c r="W196" s="231"/>
      <c r="X196" s="231" t="e">
        <f>#REF!</f>
        <v>#REF!</v>
      </c>
      <c r="Y196" s="231" t="e">
        <f>#REF!</f>
        <v>#REF!</v>
      </c>
      <c r="Z196" s="231" t="e">
        <f>#REF!</f>
        <v>#REF!</v>
      </c>
      <c r="AA196" s="231" t="e">
        <f>#REF!</f>
        <v>#REF!</v>
      </c>
      <c r="AB196" s="231">
        <v>0</v>
      </c>
      <c r="AC196" s="231" t="e">
        <f>#REF!</f>
        <v>#REF!</v>
      </c>
      <c r="AD196" s="231" t="e">
        <f>#REF!</f>
        <v>#REF!</v>
      </c>
      <c r="AE196" s="231" t="e">
        <f>#REF!</f>
        <v>#REF!</v>
      </c>
      <c r="AF196" s="231" t="e">
        <f>[1]April!N58</f>
        <v>#REF!</v>
      </c>
      <c r="AG196" s="231" t="e">
        <f>[2]april!N58</f>
        <v>#REF!</v>
      </c>
      <c r="AH196" s="231">
        <f>'[3]DES SKPD'!$N58</f>
        <v>133587000</v>
      </c>
      <c r="AI196" s="231">
        <f>SUM(AI197:AI203)</f>
        <v>0</v>
      </c>
      <c r="AJ196" s="233">
        <f t="shared" si="42"/>
        <v>0</v>
      </c>
      <c r="AK196" s="234">
        <f t="shared" si="64"/>
        <v>168774000</v>
      </c>
      <c r="AL196" s="233">
        <f t="shared" si="43"/>
        <v>100</v>
      </c>
      <c r="AM196" s="243"/>
    </row>
    <row r="197" spans="1:39" ht="28.5" customHeight="1" x14ac:dyDescent="0.25">
      <c r="A197" s="243"/>
      <c r="B197" s="341"/>
      <c r="C197" s="341"/>
      <c r="D197" s="341"/>
      <c r="E197" s="341"/>
      <c r="F197" s="341"/>
      <c r="G197" s="341"/>
      <c r="H197" s="341"/>
      <c r="I197" s="342"/>
      <c r="J197" s="341" t="s">
        <v>273</v>
      </c>
      <c r="K197" s="245"/>
      <c r="L197" s="257"/>
      <c r="M197" s="597" t="s">
        <v>322</v>
      </c>
      <c r="N197" s="598"/>
      <c r="O197" s="299"/>
      <c r="P197" s="180"/>
      <c r="Q197" s="180">
        <v>34600000</v>
      </c>
      <c r="R197" s="181">
        <f t="shared" ref="R197:R203" si="67">Q197/Q$196*100</f>
        <v>20.500788036071906</v>
      </c>
      <c r="S197" s="181">
        <v>100</v>
      </c>
      <c r="T197" s="180">
        <f t="shared" si="41"/>
        <v>0</v>
      </c>
      <c r="U197" s="180">
        <f t="shared" ref="U197:U203" si="68">R197*T197/100</f>
        <v>0</v>
      </c>
      <c r="V197" s="182">
        <f t="shared" si="52"/>
        <v>100</v>
      </c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>
        <v>0</v>
      </c>
      <c r="AJ197" s="181">
        <f t="shared" si="42"/>
        <v>0</v>
      </c>
      <c r="AK197" s="246">
        <f t="shared" si="64"/>
        <v>34600000</v>
      </c>
      <c r="AL197" s="181">
        <f t="shared" si="43"/>
        <v>100</v>
      </c>
      <c r="AM197" s="243"/>
    </row>
    <row r="198" spans="1:39" ht="28.5" customHeight="1" x14ac:dyDescent="0.25">
      <c r="A198" s="243"/>
      <c r="B198" s="341"/>
      <c r="C198" s="341"/>
      <c r="D198" s="341"/>
      <c r="E198" s="341"/>
      <c r="F198" s="341"/>
      <c r="G198" s="341"/>
      <c r="H198" s="341"/>
      <c r="I198" s="342"/>
      <c r="J198" s="341" t="s">
        <v>323</v>
      </c>
      <c r="K198" s="245"/>
      <c r="L198" s="257"/>
      <c r="M198" s="597" t="s">
        <v>324</v>
      </c>
      <c r="N198" s="598"/>
      <c r="O198" s="299"/>
      <c r="P198" s="180"/>
      <c r="Q198" s="180">
        <v>100464000</v>
      </c>
      <c r="R198" s="181">
        <f t="shared" si="67"/>
        <v>59.525756336876533</v>
      </c>
      <c r="S198" s="181">
        <v>100</v>
      </c>
      <c r="T198" s="180">
        <f t="shared" si="41"/>
        <v>0</v>
      </c>
      <c r="U198" s="180">
        <f t="shared" si="68"/>
        <v>0</v>
      </c>
      <c r="V198" s="182">
        <f t="shared" si="52"/>
        <v>100</v>
      </c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>
        <v>0</v>
      </c>
      <c r="AJ198" s="181">
        <f t="shared" si="42"/>
        <v>0</v>
      </c>
      <c r="AK198" s="246">
        <f t="shared" si="64"/>
        <v>100464000</v>
      </c>
      <c r="AL198" s="181">
        <f t="shared" si="43"/>
        <v>100</v>
      </c>
      <c r="AM198" s="243"/>
    </row>
    <row r="199" spans="1:39" ht="28.5" customHeight="1" x14ac:dyDescent="0.25">
      <c r="A199" s="243"/>
      <c r="B199" s="341"/>
      <c r="C199" s="341"/>
      <c r="D199" s="341"/>
      <c r="E199" s="341"/>
      <c r="F199" s="341"/>
      <c r="G199" s="341"/>
      <c r="H199" s="341"/>
      <c r="I199" s="342"/>
      <c r="J199" s="341" t="s">
        <v>269</v>
      </c>
      <c r="K199" s="245"/>
      <c r="L199" s="257"/>
      <c r="M199" s="597" t="s">
        <v>270</v>
      </c>
      <c r="N199" s="598"/>
      <c r="O199" s="299"/>
      <c r="P199" s="180"/>
      <c r="Q199" s="180">
        <v>9000000</v>
      </c>
      <c r="R199" s="181">
        <f t="shared" si="67"/>
        <v>5.3325749226776642</v>
      </c>
      <c r="S199" s="181">
        <v>100</v>
      </c>
      <c r="T199" s="180">
        <f t="shared" si="41"/>
        <v>0</v>
      </c>
      <c r="U199" s="180">
        <f t="shared" si="68"/>
        <v>0</v>
      </c>
      <c r="V199" s="182">
        <f t="shared" si="52"/>
        <v>100</v>
      </c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>
        <v>0</v>
      </c>
      <c r="AJ199" s="181">
        <f t="shared" si="42"/>
        <v>0</v>
      </c>
      <c r="AK199" s="246">
        <f t="shared" si="64"/>
        <v>9000000</v>
      </c>
      <c r="AL199" s="181">
        <f t="shared" si="43"/>
        <v>100</v>
      </c>
      <c r="AM199" s="243"/>
    </row>
    <row r="200" spans="1:39" ht="28.5" customHeight="1" x14ac:dyDescent="0.25">
      <c r="A200" s="243"/>
      <c r="B200" s="341"/>
      <c r="C200" s="341"/>
      <c r="D200" s="341"/>
      <c r="E200" s="341"/>
      <c r="F200" s="341"/>
      <c r="G200" s="341"/>
      <c r="H200" s="341"/>
      <c r="I200" s="342"/>
      <c r="J200" s="341" t="s">
        <v>315</v>
      </c>
      <c r="K200" s="245"/>
      <c r="L200" s="257"/>
      <c r="M200" s="597" t="s">
        <v>271</v>
      </c>
      <c r="N200" s="598"/>
      <c r="O200" s="299"/>
      <c r="P200" s="180"/>
      <c r="Q200" s="180">
        <v>360000</v>
      </c>
      <c r="R200" s="181">
        <f t="shared" si="67"/>
        <v>0.21330299690710655</v>
      </c>
      <c r="S200" s="181">
        <v>100</v>
      </c>
      <c r="T200" s="180">
        <f t="shared" si="41"/>
        <v>0</v>
      </c>
      <c r="U200" s="180">
        <f t="shared" si="68"/>
        <v>0</v>
      </c>
      <c r="V200" s="182">
        <f t="shared" si="52"/>
        <v>100</v>
      </c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>
        <v>0</v>
      </c>
      <c r="AJ200" s="181">
        <f t="shared" si="42"/>
        <v>0</v>
      </c>
      <c r="AK200" s="246">
        <f t="shared" si="64"/>
        <v>360000</v>
      </c>
      <c r="AL200" s="181">
        <f t="shared" si="43"/>
        <v>100</v>
      </c>
      <c r="AM200" s="243"/>
    </row>
    <row r="201" spans="1:39" ht="28.5" customHeight="1" x14ac:dyDescent="0.25">
      <c r="A201" s="243"/>
      <c r="B201" s="341"/>
      <c r="C201" s="341"/>
      <c r="D201" s="341"/>
      <c r="E201" s="341"/>
      <c r="F201" s="341"/>
      <c r="G201" s="341"/>
      <c r="H201" s="341"/>
      <c r="I201" s="342"/>
      <c r="J201" s="341" t="s">
        <v>280</v>
      </c>
      <c r="K201" s="245"/>
      <c r="L201" s="257"/>
      <c r="M201" s="597" t="s">
        <v>425</v>
      </c>
      <c r="N201" s="598"/>
      <c r="O201" s="299"/>
      <c r="P201" s="180"/>
      <c r="Q201" s="180">
        <v>3500000</v>
      </c>
      <c r="R201" s="181">
        <f t="shared" si="67"/>
        <v>2.073779136596869</v>
      </c>
      <c r="S201" s="181">
        <v>100</v>
      </c>
      <c r="T201" s="180">
        <f t="shared" si="41"/>
        <v>0</v>
      </c>
      <c r="U201" s="180">
        <f t="shared" si="68"/>
        <v>0</v>
      </c>
      <c r="V201" s="182">
        <f t="shared" si="52"/>
        <v>100</v>
      </c>
      <c r="W201" s="180"/>
      <c r="X201" s="180"/>
      <c r="Y201" s="180"/>
      <c r="Z201" s="180"/>
      <c r="AA201" s="180"/>
      <c r="AB201" s="180"/>
      <c r="AC201" s="180"/>
      <c r="AD201" s="180"/>
      <c r="AE201" s="180"/>
      <c r="AF201" s="180"/>
      <c r="AG201" s="180"/>
      <c r="AH201" s="180"/>
      <c r="AI201" s="180">
        <v>0</v>
      </c>
      <c r="AJ201" s="181">
        <f t="shared" si="42"/>
        <v>0</v>
      </c>
      <c r="AK201" s="246">
        <f t="shared" si="64"/>
        <v>3500000</v>
      </c>
      <c r="AL201" s="181">
        <f t="shared" si="43"/>
        <v>100</v>
      </c>
      <c r="AM201" s="243"/>
    </row>
    <row r="202" spans="1:39" ht="28.5" customHeight="1" x14ac:dyDescent="0.25">
      <c r="A202" s="243"/>
      <c r="B202" s="341"/>
      <c r="C202" s="341"/>
      <c r="D202" s="341"/>
      <c r="E202" s="341"/>
      <c r="F202" s="341"/>
      <c r="G202" s="341"/>
      <c r="H202" s="341"/>
      <c r="I202" s="342"/>
      <c r="J202" s="341" t="s">
        <v>284</v>
      </c>
      <c r="K202" s="245"/>
      <c r="L202" s="257"/>
      <c r="M202" s="597" t="s">
        <v>285</v>
      </c>
      <c r="N202" s="598"/>
      <c r="O202" s="299"/>
      <c r="P202" s="180"/>
      <c r="Q202" s="180">
        <v>5250000</v>
      </c>
      <c r="R202" s="181">
        <f t="shared" si="67"/>
        <v>3.1106687048953039</v>
      </c>
      <c r="S202" s="181">
        <v>100</v>
      </c>
      <c r="T202" s="180">
        <f t="shared" si="41"/>
        <v>0</v>
      </c>
      <c r="U202" s="180">
        <f t="shared" si="68"/>
        <v>0</v>
      </c>
      <c r="V202" s="182">
        <f t="shared" si="52"/>
        <v>100</v>
      </c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>
        <v>0</v>
      </c>
      <c r="AJ202" s="181">
        <f t="shared" si="42"/>
        <v>0</v>
      </c>
      <c r="AK202" s="246">
        <f t="shared" si="64"/>
        <v>5250000</v>
      </c>
      <c r="AL202" s="181">
        <f t="shared" si="43"/>
        <v>100</v>
      </c>
      <c r="AM202" s="243"/>
    </row>
    <row r="203" spans="1:39" ht="28.5" customHeight="1" x14ac:dyDescent="0.25">
      <c r="A203" s="243"/>
      <c r="B203" s="341"/>
      <c r="C203" s="341"/>
      <c r="D203" s="341"/>
      <c r="E203" s="341"/>
      <c r="F203" s="341"/>
      <c r="G203" s="341"/>
      <c r="H203" s="341"/>
      <c r="I203" s="342"/>
      <c r="J203" s="341" t="s">
        <v>282</v>
      </c>
      <c r="K203" s="245"/>
      <c r="L203" s="257"/>
      <c r="M203" s="597" t="s">
        <v>283</v>
      </c>
      <c r="N203" s="598"/>
      <c r="O203" s="299"/>
      <c r="P203" s="180"/>
      <c r="Q203" s="180">
        <v>15600000</v>
      </c>
      <c r="R203" s="181">
        <f t="shared" si="67"/>
        <v>9.2431298659746162</v>
      </c>
      <c r="S203" s="181">
        <v>100</v>
      </c>
      <c r="T203" s="180">
        <f t="shared" ref="T203:T275" si="69">AJ203</f>
        <v>0</v>
      </c>
      <c r="U203" s="180">
        <f t="shared" si="68"/>
        <v>0</v>
      </c>
      <c r="V203" s="182">
        <f t="shared" si="52"/>
        <v>100</v>
      </c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>
        <v>0</v>
      </c>
      <c r="AJ203" s="181">
        <f t="shared" ref="AJ203:AJ275" si="70">AI203/Q203*100</f>
        <v>0</v>
      </c>
      <c r="AK203" s="246">
        <f t="shared" si="64"/>
        <v>15600000</v>
      </c>
      <c r="AL203" s="181">
        <f t="shared" ref="AL203:AL275" si="71">AK203/Q203*100</f>
        <v>100</v>
      </c>
      <c r="AM203" s="243"/>
    </row>
    <row r="204" spans="1:39" s="297" customFormat="1" ht="28.5" customHeight="1" x14ac:dyDescent="0.25">
      <c r="A204" s="227">
        <f>A196+1</f>
        <v>31</v>
      </c>
      <c r="B204" s="615" t="s">
        <v>141</v>
      </c>
      <c r="C204" s="615"/>
      <c r="D204" s="615"/>
      <c r="E204" s="615"/>
      <c r="F204" s="615"/>
      <c r="G204" s="615"/>
      <c r="H204" s="615"/>
      <c r="I204" s="614"/>
      <c r="J204" s="304" t="s">
        <v>475</v>
      </c>
      <c r="K204" s="230"/>
      <c r="L204" s="294"/>
      <c r="M204" s="615" t="s">
        <v>142</v>
      </c>
      <c r="N204" s="614"/>
      <c r="O204" s="295">
        <v>299485000</v>
      </c>
      <c r="P204" s="231">
        <f>O204</f>
        <v>299485000</v>
      </c>
      <c r="Q204" s="231">
        <f>SUM(Q205:Q210)</f>
        <v>142716000</v>
      </c>
      <c r="R204" s="233">
        <f>Q204/Q$175*100</f>
        <v>10.508516699725181</v>
      </c>
      <c r="S204" s="233">
        <v>100</v>
      </c>
      <c r="T204" s="231">
        <f t="shared" si="69"/>
        <v>0</v>
      </c>
      <c r="U204" s="231">
        <f>R204*T204/100</f>
        <v>0</v>
      </c>
      <c r="V204" s="296">
        <f t="shared" si="52"/>
        <v>100</v>
      </c>
      <c r="W204" s="231"/>
      <c r="X204" s="231" t="e">
        <f>#REF!</f>
        <v>#REF!</v>
      </c>
      <c r="Y204" s="231" t="e">
        <f>#REF!</f>
        <v>#REF!</v>
      </c>
      <c r="Z204" s="231" t="e">
        <f>#REF!</f>
        <v>#REF!</v>
      </c>
      <c r="AA204" s="231" t="e">
        <f>#REF!</f>
        <v>#REF!</v>
      </c>
      <c r="AB204" s="231">
        <v>4600000</v>
      </c>
      <c r="AC204" s="231" t="e">
        <f>#REF!</f>
        <v>#REF!</v>
      </c>
      <c r="AD204" s="231" t="e">
        <f>#REF!</f>
        <v>#REF!</v>
      </c>
      <c r="AE204" s="231" t="e">
        <f>#REF!</f>
        <v>#REF!</v>
      </c>
      <c r="AF204" s="231" t="e">
        <f>[1]April!N50</f>
        <v>#REF!</v>
      </c>
      <c r="AG204" s="231" t="e">
        <f>[2]april!N50</f>
        <v>#REF!</v>
      </c>
      <c r="AH204" s="231">
        <f>'[3]DES SKPD'!$N50</f>
        <v>221288650</v>
      </c>
      <c r="AI204" s="231">
        <f>SUM(AI205:AI210)</f>
        <v>0</v>
      </c>
      <c r="AJ204" s="233">
        <f t="shared" si="70"/>
        <v>0</v>
      </c>
      <c r="AK204" s="234">
        <f t="shared" si="64"/>
        <v>142716000</v>
      </c>
      <c r="AL204" s="233">
        <f t="shared" si="71"/>
        <v>100</v>
      </c>
      <c r="AM204" s="227"/>
    </row>
    <row r="205" spans="1:39" ht="28.5" customHeight="1" x14ac:dyDescent="0.25">
      <c r="A205" s="243"/>
      <c r="B205" s="341"/>
      <c r="C205" s="341"/>
      <c r="D205" s="341"/>
      <c r="E205" s="341"/>
      <c r="F205" s="341"/>
      <c r="G205" s="341"/>
      <c r="H205" s="341"/>
      <c r="I205" s="342"/>
      <c r="J205" s="341" t="s">
        <v>323</v>
      </c>
      <c r="K205" s="245"/>
      <c r="L205" s="257"/>
      <c r="M205" s="597" t="s">
        <v>324</v>
      </c>
      <c r="N205" s="598"/>
      <c r="O205" s="299"/>
      <c r="P205" s="180"/>
      <c r="Q205" s="180">
        <v>27408000</v>
      </c>
      <c r="R205" s="181">
        <f t="shared" ref="R205:R210" si="72">Q205/Q$204*100</f>
        <v>19.2045741192298</v>
      </c>
      <c r="S205" s="181">
        <v>100</v>
      </c>
      <c r="T205" s="180">
        <f t="shared" si="69"/>
        <v>0</v>
      </c>
      <c r="U205" s="180">
        <f t="shared" ref="U205:U224" si="73">R205*T205/100</f>
        <v>0</v>
      </c>
      <c r="V205" s="182">
        <f t="shared" si="52"/>
        <v>100</v>
      </c>
      <c r="W205" s="180"/>
      <c r="X205" s="180" t="e">
        <f>#REF!</f>
        <v>#REF!</v>
      </c>
      <c r="Y205" s="180" t="e">
        <f>#REF!</f>
        <v>#REF!</v>
      </c>
      <c r="Z205" s="180" t="e">
        <f>#REF!</f>
        <v>#REF!</v>
      </c>
      <c r="AA205" s="180" t="e">
        <f>#REF!</f>
        <v>#REF!</v>
      </c>
      <c r="AB205" s="180">
        <v>4600002</v>
      </c>
      <c r="AC205" s="180" t="e">
        <f>#REF!</f>
        <v>#REF!</v>
      </c>
      <c r="AD205" s="180" t="e">
        <f>#REF!</f>
        <v>#REF!</v>
      </c>
      <c r="AE205" s="180" t="e">
        <f>#REF!</f>
        <v>#REF!</v>
      </c>
      <c r="AF205" s="180" t="e">
        <f>[1]April!N52</f>
        <v>#REF!</v>
      </c>
      <c r="AG205" s="180" t="e">
        <f>[2]april!N52</f>
        <v>#REF!</v>
      </c>
      <c r="AH205" s="180">
        <f>'[3]DES SKPD'!$N52</f>
        <v>73668000</v>
      </c>
      <c r="AI205" s="180">
        <v>0</v>
      </c>
      <c r="AJ205" s="181">
        <f t="shared" si="70"/>
        <v>0</v>
      </c>
      <c r="AK205" s="246">
        <f t="shared" si="64"/>
        <v>27408000</v>
      </c>
      <c r="AL205" s="181">
        <f t="shared" si="71"/>
        <v>100</v>
      </c>
      <c r="AM205" s="243"/>
    </row>
    <row r="206" spans="1:39" ht="28.5" customHeight="1" x14ac:dyDescent="0.25">
      <c r="A206" s="243"/>
      <c r="B206" s="341"/>
      <c r="C206" s="341"/>
      <c r="D206" s="341"/>
      <c r="E206" s="341"/>
      <c r="F206" s="341"/>
      <c r="G206" s="341"/>
      <c r="H206" s="341"/>
      <c r="I206" s="342"/>
      <c r="J206" s="341" t="s">
        <v>269</v>
      </c>
      <c r="K206" s="245"/>
      <c r="L206" s="257"/>
      <c r="M206" s="597" t="s">
        <v>270</v>
      </c>
      <c r="N206" s="598"/>
      <c r="O206" s="299"/>
      <c r="P206" s="180"/>
      <c r="Q206" s="180">
        <v>17800000</v>
      </c>
      <c r="R206" s="181">
        <f t="shared" si="72"/>
        <v>12.472322654782927</v>
      </c>
      <c r="S206" s="181">
        <v>100</v>
      </c>
      <c r="T206" s="180">
        <f t="shared" si="69"/>
        <v>0</v>
      </c>
      <c r="U206" s="180">
        <f t="shared" si="73"/>
        <v>0</v>
      </c>
      <c r="V206" s="182">
        <f t="shared" si="52"/>
        <v>100</v>
      </c>
      <c r="W206" s="180"/>
      <c r="X206" s="180" t="e">
        <f>#REF!</f>
        <v>#REF!</v>
      </c>
      <c r="Y206" s="180" t="e">
        <f>#REF!</f>
        <v>#REF!</v>
      </c>
      <c r="Z206" s="180" t="e">
        <f>#REF!</f>
        <v>#REF!</v>
      </c>
      <c r="AA206" s="180" t="e">
        <f>#REF!</f>
        <v>#REF!</v>
      </c>
      <c r="AB206" s="180">
        <v>4600003</v>
      </c>
      <c r="AC206" s="180" t="e">
        <f>#REF!</f>
        <v>#REF!</v>
      </c>
      <c r="AD206" s="180" t="e">
        <f>#REF!</f>
        <v>#REF!</v>
      </c>
      <c r="AE206" s="180" t="e">
        <f>#REF!</f>
        <v>#REF!</v>
      </c>
      <c r="AF206" s="180" t="e">
        <f>[1]April!N53</f>
        <v>#REF!</v>
      </c>
      <c r="AG206" s="180" t="e">
        <f>[2]april!N53</f>
        <v>#REF!</v>
      </c>
      <c r="AH206" s="180" t="e">
        <f>'[3]DES SKPD'!$N53</f>
        <v>#REF!</v>
      </c>
      <c r="AI206" s="180">
        <v>0</v>
      </c>
      <c r="AJ206" s="181">
        <f t="shared" si="70"/>
        <v>0</v>
      </c>
      <c r="AK206" s="246">
        <f t="shared" si="64"/>
        <v>17800000</v>
      </c>
      <c r="AL206" s="181">
        <f t="shared" si="71"/>
        <v>100</v>
      </c>
      <c r="AM206" s="243"/>
    </row>
    <row r="207" spans="1:39" ht="28.5" customHeight="1" x14ac:dyDescent="0.25">
      <c r="A207" s="243"/>
      <c r="B207" s="341"/>
      <c r="C207" s="341"/>
      <c r="D207" s="341"/>
      <c r="E207" s="341"/>
      <c r="F207" s="341"/>
      <c r="G207" s="341"/>
      <c r="H207" s="341"/>
      <c r="I207" s="342"/>
      <c r="J207" s="341" t="s">
        <v>315</v>
      </c>
      <c r="K207" s="245"/>
      <c r="L207" s="257"/>
      <c r="M207" s="597" t="s">
        <v>271</v>
      </c>
      <c r="N207" s="598"/>
      <c r="O207" s="299"/>
      <c r="P207" s="180"/>
      <c r="Q207" s="180">
        <v>3648000</v>
      </c>
      <c r="R207" s="181">
        <f t="shared" si="72"/>
        <v>2.5561254519465235</v>
      </c>
      <c r="S207" s="181">
        <v>100</v>
      </c>
      <c r="T207" s="180">
        <f t="shared" si="69"/>
        <v>0</v>
      </c>
      <c r="U207" s="180">
        <f t="shared" si="73"/>
        <v>0</v>
      </c>
      <c r="V207" s="182">
        <f t="shared" si="52"/>
        <v>100</v>
      </c>
      <c r="W207" s="180"/>
      <c r="X207" s="180" t="e">
        <f>#REF!</f>
        <v>#REF!</v>
      </c>
      <c r="Y207" s="180" t="e">
        <f>#REF!</f>
        <v>#REF!</v>
      </c>
      <c r="Z207" s="180" t="e">
        <f>#REF!</f>
        <v>#REF!</v>
      </c>
      <c r="AA207" s="180" t="e">
        <f>#REF!</f>
        <v>#REF!</v>
      </c>
      <c r="AB207" s="180">
        <v>4600004</v>
      </c>
      <c r="AC207" s="180" t="e">
        <f>#REF!</f>
        <v>#REF!</v>
      </c>
      <c r="AD207" s="180" t="e">
        <f>#REF!</f>
        <v>#REF!</v>
      </c>
      <c r="AE207" s="180" t="e">
        <f>#REF!</f>
        <v>#REF!</v>
      </c>
      <c r="AF207" s="180" t="e">
        <f>[1]April!N54</f>
        <v>#REF!</v>
      </c>
      <c r="AG207" s="180" t="e">
        <f>[2]april!N54</f>
        <v>#REF!</v>
      </c>
      <c r="AH207" s="180">
        <f>'[3]DES SKPD'!$N54</f>
        <v>508172500</v>
      </c>
      <c r="AI207" s="180">
        <v>0</v>
      </c>
      <c r="AJ207" s="181">
        <f t="shared" si="70"/>
        <v>0</v>
      </c>
      <c r="AK207" s="246">
        <f t="shared" si="64"/>
        <v>3648000</v>
      </c>
      <c r="AL207" s="181">
        <f t="shared" si="71"/>
        <v>100</v>
      </c>
      <c r="AM207" s="243"/>
    </row>
    <row r="208" spans="1:39" ht="28.5" customHeight="1" x14ac:dyDescent="0.25">
      <c r="A208" s="243"/>
      <c r="B208" s="341"/>
      <c r="C208" s="341"/>
      <c r="D208" s="341"/>
      <c r="E208" s="341"/>
      <c r="F208" s="341"/>
      <c r="G208" s="341"/>
      <c r="H208" s="341"/>
      <c r="I208" s="342"/>
      <c r="J208" s="341" t="s">
        <v>328</v>
      </c>
      <c r="K208" s="245"/>
      <c r="L208" s="257"/>
      <c r="M208" s="597" t="s">
        <v>329</v>
      </c>
      <c r="N208" s="598"/>
      <c r="O208" s="299"/>
      <c r="P208" s="180"/>
      <c r="Q208" s="180">
        <v>36000000</v>
      </c>
      <c r="R208" s="181">
        <f t="shared" si="72"/>
        <v>25.224922223156476</v>
      </c>
      <c r="S208" s="181">
        <v>100</v>
      </c>
      <c r="T208" s="180">
        <f t="shared" si="69"/>
        <v>0</v>
      </c>
      <c r="U208" s="180">
        <f t="shared" si="73"/>
        <v>0</v>
      </c>
      <c r="V208" s="182">
        <f t="shared" si="52"/>
        <v>100</v>
      </c>
      <c r="W208" s="180"/>
      <c r="X208" s="180" t="e">
        <f>#REF!</f>
        <v>#REF!</v>
      </c>
      <c r="Y208" s="180" t="e">
        <f>#REF!</f>
        <v>#REF!</v>
      </c>
      <c r="Z208" s="180" t="e">
        <f>#REF!</f>
        <v>#REF!</v>
      </c>
      <c r="AA208" s="180" t="e">
        <f>#REF!</f>
        <v>#REF!</v>
      </c>
      <c r="AB208" s="180">
        <v>4600004</v>
      </c>
      <c r="AC208" s="180" t="e">
        <f>#REF!</f>
        <v>#REF!</v>
      </c>
      <c r="AD208" s="180" t="e">
        <f>#REF!</f>
        <v>#REF!</v>
      </c>
      <c r="AE208" s="180" t="e">
        <f>#REF!</f>
        <v>#REF!</v>
      </c>
      <c r="AF208" s="180" t="e">
        <f>[1]April!N55</f>
        <v>#REF!</v>
      </c>
      <c r="AG208" s="180" t="e">
        <f>[2]april!N55</f>
        <v>#REF!</v>
      </c>
      <c r="AH208" s="180" t="e">
        <f>'[3]DES SKPD'!$N55</f>
        <v>#REF!</v>
      </c>
      <c r="AI208" s="180">
        <v>0</v>
      </c>
      <c r="AJ208" s="181">
        <f t="shared" si="70"/>
        <v>0</v>
      </c>
      <c r="AK208" s="246">
        <f t="shared" si="64"/>
        <v>36000000</v>
      </c>
      <c r="AL208" s="181">
        <f t="shared" si="71"/>
        <v>100</v>
      </c>
      <c r="AM208" s="243"/>
    </row>
    <row r="209" spans="1:39" ht="28.5" customHeight="1" x14ac:dyDescent="0.25">
      <c r="A209" s="243"/>
      <c r="B209" s="341"/>
      <c r="C209" s="341"/>
      <c r="D209" s="341"/>
      <c r="E209" s="341"/>
      <c r="F209" s="341"/>
      <c r="G209" s="341"/>
      <c r="H209" s="341"/>
      <c r="I209" s="342"/>
      <c r="J209" s="341" t="s">
        <v>280</v>
      </c>
      <c r="K209" s="245"/>
      <c r="L209" s="257"/>
      <c r="M209" s="597" t="s">
        <v>281</v>
      </c>
      <c r="N209" s="598"/>
      <c r="O209" s="299"/>
      <c r="P209" s="180"/>
      <c r="Q209" s="180">
        <v>15750000</v>
      </c>
      <c r="R209" s="181">
        <f t="shared" si="72"/>
        <v>11.035903472630959</v>
      </c>
      <c r="S209" s="181">
        <v>100</v>
      </c>
      <c r="T209" s="180">
        <f t="shared" si="69"/>
        <v>0</v>
      </c>
      <c r="U209" s="180">
        <f t="shared" si="73"/>
        <v>0</v>
      </c>
      <c r="V209" s="182">
        <f t="shared" si="52"/>
        <v>100</v>
      </c>
      <c r="W209" s="180"/>
      <c r="X209" s="180" t="e">
        <f>#REF!</f>
        <v>#REF!</v>
      </c>
      <c r="Y209" s="180" t="e">
        <f>#REF!</f>
        <v>#REF!</v>
      </c>
      <c r="Z209" s="180" t="e">
        <f>#REF!</f>
        <v>#REF!</v>
      </c>
      <c r="AA209" s="180" t="e">
        <f>#REF!</f>
        <v>#REF!</v>
      </c>
      <c r="AB209" s="180">
        <v>4600005</v>
      </c>
      <c r="AC209" s="180" t="e">
        <f>#REF!</f>
        <v>#REF!</v>
      </c>
      <c r="AD209" s="180" t="e">
        <f>#REF!</f>
        <v>#REF!</v>
      </c>
      <c r="AE209" s="180" t="e">
        <f>#REF!</f>
        <v>#REF!</v>
      </c>
      <c r="AF209" s="180" t="e">
        <f>[1]April!N55</f>
        <v>#REF!</v>
      </c>
      <c r="AG209" s="180" t="e">
        <f>[2]april!N55</f>
        <v>#REF!</v>
      </c>
      <c r="AH209" s="180" t="e">
        <f>'[3]DES SKPD'!$N55</f>
        <v>#REF!</v>
      </c>
      <c r="AI209" s="180">
        <v>0</v>
      </c>
      <c r="AJ209" s="181">
        <f t="shared" si="70"/>
        <v>0</v>
      </c>
      <c r="AK209" s="246">
        <f t="shared" si="64"/>
        <v>15750000</v>
      </c>
      <c r="AL209" s="181">
        <f t="shared" si="71"/>
        <v>100</v>
      </c>
      <c r="AM209" s="243"/>
    </row>
    <row r="210" spans="1:39" ht="28.5" customHeight="1" x14ac:dyDescent="0.25">
      <c r="A210" s="243"/>
      <c r="B210" s="341"/>
      <c r="C210" s="341"/>
      <c r="D210" s="341"/>
      <c r="E210" s="341"/>
      <c r="F210" s="341"/>
      <c r="G210" s="341"/>
      <c r="H210" s="341"/>
      <c r="I210" s="342"/>
      <c r="J210" s="341" t="s">
        <v>282</v>
      </c>
      <c r="K210" s="245"/>
      <c r="L210" s="257"/>
      <c r="M210" s="597" t="s">
        <v>283</v>
      </c>
      <c r="N210" s="598"/>
      <c r="O210" s="299"/>
      <c r="P210" s="180"/>
      <c r="Q210" s="180">
        <v>42110000</v>
      </c>
      <c r="R210" s="181">
        <f t="shared" si="72"/>
        <v>29.506152078253312</v>
      </c>
      <c r="S210" s="181">
        <v>100</v>
      </c>
      <c r="T210" s="180">
        <f t="shared" si="69"/>
        <v>0</v>
      </c>
      <c r="U210" s="180">
        <f t="shared" si="73"/>
        <v>0</v>
      </c>
      <c r="V210" s="182">
        <f t="shared" si="52"/>
        <v>100</v>
      </c>
      <c r="W210" s="180"/>
      <c r="X210" s="180" t="e">
        <f>#REF!</f>
        <v>#REF!</v>
      </c>
      <c r="Y210" s="180" t="e">
        <f>#REF!</f>
        <v>#REF!</v>
      </c>
      <c r="Z210" s="180" t="e">
        <f>#REF!</f>
        <v>#REF!</v>
      </c>
      <c r="AA210" s="180" t="e">
        <f>#REF!</f>
        <v>#REF!</v>
      </c>
      <c r="AB210" s="180">
        <v>4600006</v>
      </c>
      <c r="AC210" s="180" t="e">
        <f>#REF!</f>
        <v>#REF!</v>
      </c>
      <c r="AD210" s="180" t="e">
        <f>#REF!</f>
        <v>#REF!</v>
      </c>
      <c r="AE210" s="180" t="e">
        <f>#REF!</f>
        <v>#REF!</v>
      </c>
      <c r="AF210" s="180" t="e">
        <f>[1]April!N56</f>
        <v>#REF!</v>
      </c>
      <c r="AG210" s="180" t="e">
        <f>[2]april!N56</f>
        <v>#REF!</v>
      </c>
      <c r="AH210" s="180">
        <f>'[3]DES SKPD'!$N56</f>
        <v>260098500</v>
      </c>
      <c r="AI210" s="180">
        <v>0</v>
      </c>
      <c r="AJ210" s="181">
        <f t="shared" si="70"/>
        <v>0</v>
      </c>
      <c r="AK210" s="246">
        <f t="shared" si="64"/>
        <v>42110000</v>
      </c>
      <c r="AL210" s="181">
        <f t="shared" si="71"/>
        <v>100</v>
      </c>
      <c r="AM210" s="243"/>
    </row>
    <row r="211" spans="1:39" s="297" customFormat="1" ht="32.25" customHeight="1" x14ac:dyDescent="0.25">
      <c r="A211" s="227">
        <f>A204+1</f>
        <v>32</v>
      </c>
      <c r="B211" s="615" t="s">
        <v>141</v>
      </c>
      <c r="C211" s="615"/>
      <c r="D211" s="615"/>
      <c r="E211" s="615"/>
      <c r="F211" s="615"/>
      <c r="G211" s="615"/>
      <c r="H211" s="615"/>
      <c r="I211" s="614"/>
      <c r="J211" s="304" t="s">
        <v>476</v>
      </c>
      <c r="K211" s="230"/>
      <c r="L211" s="294"/>
      <c r="M211" s="615" t="s">
        <v>143</v>
      </c>
      <c r="N211" s="614"/>
      <c r="O211" s="295">
        <v>359210000</v>
      </c>
      <c r="P211" s="231">
        <f>O211</f>
        <v>359210000</v>
      </c>
      <c r="Q211" s="231">
        <f>SUM(Q212:Q216)</f>
        <v>138060000</v>
      </c>
      <c r="R211" s="233">
        <f>Q211/Q$175*100</f>
        <v>10.16568440514069</v>
      </c>
      <c r="S211" s="233">
        <v>100</v>
      </c>
      <c r="T211" s="231">
        <f t="shared" si="69"/>
        <v>0</v>
      </c>
      <c r="U211" s="231">
        <f t="shared" si="73"/>
        <v>0</v>
      </c>
      <c r="V211" s="296">
        <f t="shared" si="52"/>
        <v>100</v>
      </c>
      <c r="W211" s="231"/>
      <c r="X211" s="231" t="e">
        <f>#REF!</f>
        <v>#REF!</v>
      </c>
      <c r="Y211" s="231" t="e">
        <f>#REF!</f>
        <v>#REF!</v>
      </c>
      <c r="Z211" s="231" t="e">
        <f>#REF!</f>
        <v>#REF!</v>
      </c>
      <c r="AA211" s="231" t="e">
        <f>#REF!</f>
        <v>#REF!</v>
      </c>
      <c r="AB211" s="231">
        <v>173940000</v>
      </c>
      <c r="AC211" s="231" t="e">
        <f>#REF!</f>
        <v>#REF!</v>
      </c>
      <c r="AD211" s="231" t="e">
        <f>#REF!</f>
        <v>#REF!</v>
      </c>
      <c r="AE211" s="231" t="e">
        <f>#REF!</f>
        <v>#REF!</v>
      </c>
      <c r="AF211" s="231" t="e">
        <f>[1]April!N51</f>
        <v>#REF!</v>
      </c>
      <c r="AG211" s="231" t="e">
        <f>[2]april!N51</f>
        <v>#REF!</v>
      </c>
      <c r="AH211" s="231">
        <f>'[3]DES SKPD'!$N51</f>
        <v>317812000</v>
      </c>
      <c r="AI211" s="231">
        <f>SUM(AI212:AI216)</f>
        <v>0</v>
      </c>
      <c r="AJ211" s="233">
        <f t="shared" si="70"/>
        <v>0</v>
      </c>
      <c r="AK211" s="234">
        <f t="shared" si="64"/>
        <v>138060000</v>
      </c>
      <c r="AL211" s="233">
        <f t="shared" si="71"/>
        <v>100</v>
      </c>
      <c r="AM211" s="227"/>
    </row>
    <row r="212" spans="1:39" ht="28.5" customHeight="1" x14ac:dyDescent="0.25">
      <c r="A212" s="243"/>
      <c r="B212" s="341"/>
      <c r="C212" s="341"/>
      <c r="D212" s="341"/>
      <c r="E212" s="341"/>
      <c r="F212" s="341"/>
      <c r="G212" s="341"/>
      <c r="H212" s="341"/>
      <c r="I212" s="342"/>
      <c r="J212" s="341" t="s">
        <v>332</v>
      </c>
      <c r="K212" s="245"/>
      <c r="L212" s="257"/>
      <c r="M212" s="597" t="s">
        <v>335</v>
      </c>
      <c r="N212" s="598"/>
      <c r="O212" s="299"/>
      <c r="P212" s="180"/>
      <c r="Q212" s="180">
        <v>1000000</v>
      </c>
      <c r="R212" s="181">
        <f>Q212/Q$211*100</f>
        <v>0.72432275822106329</v>
      </c>
      <c r="S212" s="181">
        <v>100</v>
      </c>
      <c r="T212" s="180">
        <f t="shared" si="69"/>
        <v>0</v>
      </c>
      <c r="U212" s="180">
        <f t="shared" si="73"/>
        <v>0</v>
      </c>
      <c r="V212" s="182">
        <f t="shared" si="52"/>
        <v>100</v>
      </c>
      <c r="W212" s="180"/>
      <c r="X212" s="180" t="e">
        <f>#REF!</f>
        <v>#REF!</v>
      </c>
      <c r="Y212" s="180" t="e">
        <f>#REF!</f>
        <v>#REF!</v>
      </c>
      <c r="Z212" s="180" t="e">
        <f>#REF!</f>
        <v>#REF!</v>
      </c>
      <c r="AA212" s="180" t="e">
        <f>#REF!</f>
        <v>#REF!</v>
      </c>
      <c r="AB212" s="180">
        <v>173940002</v>
      </c>
      <c r="AC212" s="180" t="e">
        <f>#REF!</f>
        <v>#REF!</v>
      </c>
      <c r="AD212" s="180" t="e">
        <f>#REF!</f>
        <v>#REF!</v>
      </c>
      <c r="AE212" s="180" t="e">
        <f>#REF!</f>
        <v>#REF!</v>
      </c>
      <c r="AF212" s="180" t="e">
        <f>[1]April!N53</f>
        <v>#REF!</v>
      </c>
      <c r="AG212" s="180" t="e">
        <f>[2]april!N53</f>
        <v>#REF!</v>
      </c>
      <c r="AH212" s="180" t="e">
        <f>'[3]DES SKPD'!$N53</f>
        <v>#REF!</v>
      </c>
      <c r="AI212" s="180">
        <v>0</v>
      </c>
      <c r="AJ212" s="181">
        <f t="shared" si="70"/>
        <v>0</v>
      </c>
      <c r="AK212" s="246">
        <f t="shared" si="64"/>
        <v>1000000</v>
      </c>
      <c r="AL212" s="181">
        <f t="shared" si="71"/>
        <v>100</v>
      </c>
      <c r="AM212" s="243"/>
    </row>
    <row r="213" spans="1:39" ht="28.5" customHeight="1" x14ac:dyDescent="0.25">
      <c r="A213" s="243"/>
      <c r="B213" s="341"/>
      <c r="C213" s="341"/>
      <c r="D213" s="341"/>
      <c r="E213" s="341"/>
      <c r="F213" s="341"/>
      <c r="G213" s="341"/>
      <c r="H213" s="341"/>
      <c r="I213" s="342"/>
      <c r="J213" s="341" t="s">
        <v>333</v>
      </c>
      <c r="K213" s="245"/>
      <c r="L213" s="257"/>
      <c r="M213" s="597" t="s">
        <v>334</v>
      </c>
      <c r="N213" s="598"/>
      <c r="O213" s="299"/>
      <c r="P213" s="180"/>
      <c r="Q213" s="180">
        <v>20000000</v>
      </c>
      <c r="R213" s="181">
        <f>Q213/Q$211*100</f>
        <v>14.486455164421267</v>
      </c>
      <c r="S213" s="181">
        <v>100</v>
      </c>
      <c r="T213" s="180">
        <f t="shared" si="69"/>
        <v>0</v>
      </c>
      <c r="U213" s="180">
        <f t="shared" si="73"/>
        <v>0</v>
      </c>
      <c r="V213" s="182">
        <f t="shared" si="52"/>
        <v>100</v>
      </c>
      <c r="W213" s="180"/>
      <c r="X213" s="180" t="e">
        <f>#REF!</f>
        <v>#REF!</v>
      </c>
      <c r="Y213" s="180" t="e">
        <f>#REF!</f>
        <v>#REF!</v>
      </c>
      <c r="Z213" s="180" t="e">
        <f>#REF!</f>
        <v>#REF!</v>
      </c>
      <c r="AA213" s="180" t="e">
        <f>#REF!</f>
        <v>#REF!</v>
      </c>
      <c r="AB213" s="180">
        <v>173940003</v>
      </c>
      <c r="AC213" s="180" t="e">
        <f>#REF!</f>
        <v>#REF!</v>
      </c>
      <c r="AD213" s="180" t="e">
        <f>#REF!</f>
        <v>#REF!</v>
      </c>
      <c r="AE213" s="180" t="e">
        <f>#REF!</f>
        <v>#REF!</v>
      </c>
      <c r="AF213" s="180" t="e">
        <f>[1]April!N54</f>
        <v>#REF!</v>
      </c>
      <c r="AG213" s="180" t="e">
        <f>[2]april!N54</f>
        <v>#REF!</v>
      </c>
      <c r="AH213" s="180">
        <f>'[3]DES SKPD'!$N54</f>
        <v>508172500</v>
      </c>
      <c r="AI213" s="180">
        <v>0</v>
      </c>
      <c r="AJ213" s="181">
        <f t="shared" si="70"/>
        <v>0</v>
      </c>
      <c r="AK213" s="246">
        <f t="shared" si="64"/>
        <v>20000000</v>
      </c>
      <c r="AL213" s="181">
        <f t="shared" si="71"/>
        <v>100</v>
      </c>
      <c r="AM213" s="243"/>
    </row>
    <row r="214" spans="1:39" ht="28.5" customHeight="1" x14ac:dyDescent="0.25">
      <c r="A214" s="243"/>
      <c r="B214" s="341"/>
      <c r="C214" s="341"/>
      <c r="D214" s="341"/>
      <c r="E214" s="341"/>
      <c r="F214" s="341"/>
      <c r="G214" s="341"/>
      <c r="H214" s="341"/>
      <c r="I214" s="342"/>
      <c r="J214" s="341" t="s">
        <v>336</v>
      </c>
      <c r="K214" s="245"/>
      <c r="L214" s="257"/>
      <c r="M214" s="597" t="s">
        <v>337</v>
      </c>
      <c r="N214" s="598"/>
      <c r="O214" s="299"/>
      <c r="P214" s="180"/>
      <c r="Q214" s="180">
        <v>92100000</v>
      </c>
      <c r="R214" s="181">
        <f>Q214/Q$211*100</f>
        <v>66.710126032159934</v>
      </c>
      <c r="S214" s="181">
        <v>100</v>
      </c>
      <c r="T214" s="180">
        <f t="shared" si="69"/>
        <v>0</v>
      </c>
      <c r="U214" s="180">
        <f t="shared" si="73"/>
        <v>0</v>
      </c>
      <c r="V214" s="182">
        <f t="shared" si="52"/>
        <v>100</v>
      </c>
      <c r="W214" s="180"/>
      <c r="X214" s="180" t="e">
        <f>#REF!</f>
        <v>#REF!</v>
      </c>
      <c r="Y214" s="180" t="e">
        <f>#REF!</f>
        <v>#REF!</v>
      </c>
      <c r="Z214" s="180" t="e">
        <f>#REF!</f>
        <v>#REF!</v>
      </c>
      <c r="AA214" s="180" t="e">
        <f>#REF!</f>
        <v>#REF!</v>
      </c>
      <c r="AB214" s="180">
        <v>173940004</v>
      </c>
      <c r="AC214" s="180" t="e">
        <f>#REF!</f>
        <v>#REF!</v>
      </c>
      <c r="AD214" s="180" t="e">
        <f>#REF!</f>
        <v>#REF!</v>
      </c>
      <c r="AE214" s="180" t="e">
        <f>#REF!</f>
        <v>#REF!</v>
      </c>
      <c r="AF214" s="180" t="e">
        <f>[1]April!N55</f>
        <v>#REF!</v>
      </c>
      <c r="AG214" s="180" t="e">
        <f>[2]april!N55</f>
        <v>#REF!</v>
      </c>
      <c r="AH214" s="180" t="e">
        <f>'[3]DES SKPD'!$N55</f>
        <v>#REF!</v>
      </c>
      <c r="AI214" s="180">
        <v>0</v>
      </c>
      <c r="AJ214" s="181">
        <f t="shared" si="70"/>
        <v>0</v>
      </c>
      <c r="AK214" s="246">
        <f t="shared" si="64"/>
        <v>92100000</v>
      </c>
      <c r="AL214" s="181">
        <f t="shared" si="71"/>
        <v>100</v>
      </c>
      <c r="AM214" s="243"/>
    </row>
    <row r="215" spans="1:39" ht="28.5" customHeight="1" x14ac:dyDescent="0.25">
      <c r="A215" s="243"/>
      <c r="B215" s="341"/>
      <c r="C215" s="341"/>
      <c r="D215" s="341"/>
      <c r="E215" s="341"/>
      <c r="F215" s="341"/>
      <c r="G215" s="341"/>
      <c r="H215" s="341"/>
      <c r="I215" s="342"/>
      <c r="J215" s="341" t="s">
        <v>309</v>
      </c>
      <c r="K215" s="245"/>
      <c r="L215" s="257"/>
      <c r="M215" s="597" t="s">
        <v>310</v>
      </c>
      <c r="N215" s="598"/>
      <c r="O215" s="299"/>
      <c r="P215" s="180"/>
      <c r="Q215" s="180">
        <v>21600000</v>
      </c>
      <c r="R215" s="181">
        <f>Q215/Q$211*100</f>
        <v>15.645371577574968</v>
      </c>
      <c r="S215" s="181">
        <v>100</v>
      </c>
      <c r="T215" s="180">
        <f t="shared" si="69"/>
        <v>0</v>
      </c>
      <c r="U215" s="180">
        <f t="shared" si="73"/>
        <v>0</v>
      </c>
      <c r="V215" s="182">
        <f t="shared" ref="V215:V292" si="74">S215-T215</f>
        <v>100</v>
      </c>
      <c r="W215" s="180"/>
      <c r="X215" s="180" t="e">
        <f>#REF!</f>
        <v>#REF!</v>
      </c>
      <c r="Y215" s="180" t="e">
        <f>#REF!</f>
        <v>#REF!</v>
      </c>
      <c r="Z215" s="180" t="e">
        <f>#REF!</f>
        <v>#REF!</v>
      </c>
      <c r="AA215" s="180" t="e">
        <f>#REF!</f>
        <v>#REF!</v>
      </c>
      <c r="AB215" s="180">
        <v>173940006</v>
      </c>
      <c r="AC215" s="180" t="e">
        <f>#REF!</f>
        <v>#REF!</v>
      </c>
      <c r="AD215" s="180" t="e">
        <f>#REF!</f>
        <v>#REF!</v>
      </c>
      <c r="AE215" s="180" t="e">
        <f>#REF!</f>
        <v>#REF!</v>
      </c>
      <c r="AF215" s="180" t="e">
        <f>[1]April!N57</f>
        <v>#REF!</v>
      </c>
      <c r="AG215" s="180" t="e">
        <f>[2]april!N57</f>
        <v>#REF!</v>
      </c>
      <c r="AH215" s="180">
        <f>'[3]DES SKPD'!$N57</f>
        <v>371775000</v>
      </c>
      <c r="AI215" s="180">
        <v>0</v>
      </c>
      <c r="AJ215" s="181">
        <f>AI215/Q215*100</f>
        <v>0</v>
      </c>
      <c r="AK215" s="246">
        <f>Q215-AI215</f>
        <v>21600000</v>
      </c>
      <c r="AL215" s="181">
        <f t="shared" si="71"/>
        <v>100</v>
      </c>
      <c r="AM215" s="243"/>
    </row>
    <row r="216" spans="1:39" ht="28.5" customHeight="1" x14ac:dyDescent="0.25">
      <c r="A216" s="243"/>
      <c r="B216" s="341"/>
      <c r="C216" s="341"/>
      <c r="D216" s="341"/>
      <c r="E216" s="341"/>
      <c r="F216" s="341"/>
      <c r="G216" s="341"/>
      <c r="H216" s="341"/>
      <c r="I216" s="342"/>
      <c r="J216" s="341" t="s">
        <v>551</v>
      </c>
      <c r="K216" s="245"/>
      <c r="L216" s="257"/>
      <c r="M216" s="597" t="s">
        <v>550</v>
      </c>
      <c r="N216" s="598"/>
      <c r="O216" s="299"/>
      <c r="P216" s="180"/>
      <c r="Q216" s="180">
        <v>3360000</v>
      </c>
      <c r="R216" s="181">
        <f>Q216/Q$211*100</f>
        <v>2.4337244676227727</v>
      </c>
      <c r="S216" s="181">
        <v>100</v>
      </c>
      <c r="T216" s="180">
        <f t="shared" si="69"/>
        <v>0</v>
      </c>
      <c r="U216" s="180">
        <f t="shared" si="73"/>
        <v>0</v>
      </c>
      <c r="V216" s="182">
        <f t="shared" si="74"/>
        <v>100</v>
      </c>
      <c r="W216" s="180"/>
      <c r="X216" s="180"/>
      <c r="Y216" s="180"/>
      <c r="Z216" s="180"/>
      <c r="AA216" s="180"/>
      <c r="AB216" s="180"/>
      <c r="AC216" s="180"/>
      <c r="AD216" s="180"/>
      <c r="AE216" s="180"/>
      <c r="AF216" s="180"/>
      <c r="AG216" s="180"/>
      <c r="AH216" s="180"/>
      <c r="AI216" s="180">
        <v>0</v>
      </c>
      <c r="AJ216" s="181">
        <f>AI216/Q216*100</f>
        <v>0</v>
      </c>
      <c r="AK216" s="246">
        <f>Q216-AI216</f>
        <v>3360000</v>
      </c>
      <c r="AL216" s="181">
        <f t="shared" si="71"/>
        <v>100</v>
      </c>
      <c r="AM216" s="243"/>
    </row>
    <row r="217" spans="1:39" ht="28.5" customHeight="1" x14ac:dyDescent="0.25">
      <c r="A217" s="227">
        <v>33</v>
      </c>
      <c r="B217" s="341"/>
      <c r="C217" s="341"/>
      <c r="D217" s="341"/>
      <c r="E217" s="341"/>
      <c r="F217" s="341"/>
      <c r="G217" s="341"/>
      <c r="H217" s="341"/>
      <c r="I217" s="342"/>
      <c r="J217" s="304" t="s">
        <v>477</v>
      </c>
      <c r="K217" s="230"/>
      <c r="L217" s="294"/>
      <c r="M217" s="615" t="s">
        <v>472</v>
      </c>
      <c r="N217" s="614"/>
      <c r="O217" s="295">
        <v>85915000</v>
      </c>
      <c r="P217" s="231">
        <f>O217</f>
        <v>85915000</v>
      </c>
      <c r="Q217" s="231">
        <f>SUM(Q218:Q224)</f>
        <v>102020000</v>
      </c>
      <c r="R217" s="233">
        <f>Q217/Q$175*100</f>
        <v>7.5119739462005866</v>
      </c>
      <c r="S217" s="233">
        <v>100</v>
      </c>
      <c r="T217" s="231">
        <f t="shared" si="69"/>
        <v>0</v>
      </c>
      <c r="U217" s="231">
        <f t="shared" si="73"/>
        <v>0</v>
      </c>
      <c r="V217" s="296">
        <f t="shared" si="74"/>
        <v>100</v>
      </c>
      <c r="W217" s="231"/>
      <c r="X217" s="231" t="e">
        <f>#REF!</f>
        <v>#REF!</v>
      </c>
      <c r="Y217" s="231" t="e">
        <f>#REF!</f>
        <v>#REF!</v>
      </c>
      <c r="Z217" s="231" t="e">
        <f>#REF!</f>
        <v>#REF!</v>
      </c>
      <c r="AA217" s="231" t="e">
        <f>#REF!</f>
        <v>#REF!</v>
      </c>
      <c r="AB217" s="231">
        <v>0</v>
      </c>
      <c r="AC217" s="231" t="e">
        <f>#REF!</f>
        <v>#REF!</v>
      </c>
      <c r="AD217" s="231" t="e">
        <f>#REF!</f>
        <v>#REF!</v>
      </c>
      <c r="AE217" s="231" t="e">
        <f>#REF!</f>
        <v>#REF!</v>
      </c>
      <c r="AF217" s="231" t="e">
        <f>[1]April!N45</f>
        <v>#REF!</v>
      </c>
      <c r="AG217" s="231" t="e">
        <f>[2]april!N45</f>
        <v>#REF!</v>
      </c>
      <c r="AH217" s="231">
        <f>'[3]DES SKPD'!$N45</f>
        <v>320566100</v>
      </c>
      <c r="AI217" s="231">
        <f>SUM(AI218:AI224)</f>
        <v>0</v>
      </c>
      <c r="AJ217" s="233">
        <f t="shared" si="70"/>
        <v>0</v>
      </c>
      <c r="AK217" s="234">
        <f t="shared" si="64"/>
        <v>102020000</v>
      </c>
      <c r="AL217" s="233">
        <f t="shared" si="71"/>
        <v>100</v>
      </c>
      <c r="AM217" s="243"/>
    </row>
    <row r="218" spans="1:39" ht="28.5" customHeight="1" x14ac:dyDescent="0.25">
      <c r="A218" s="243"/>
      <c r="B218" s="341"/>
      <c r="C218" s="341"/>
      <c r="D218" s="341"/>
      <c r="E218" s="341"/>
      <c r="F218" s="341"/>
      <c r="G218" s="341"/>
      <c r="H218" s="341"/>
      <c r="I218" s="342"/>
      <c r="J218" s="341" t="s">
        <v>257</v>
      </c>
      <c r="K218" s="245"/>
      <c r="L218" s="257"/>
      <c r="M218" s="597" t="s">
        <v>592</v>
      </c>
      <c r="N218" s="598"/>
      <c r="O218" s="299"/>
      <c r="P218" s="180"/>
      <c r="Q218" s="180">
        <v>1600000</v>
      </c>
      <c r="R218" s="181">
        <f t="shared" ref="R218:R224" si="75">Q218/Q$217*100</f>
        <v>1.5683199372672023</v>
      </c>
      <c r="S218" s="181">
        <v>100</v>
      </c>
      <c r="T218" s="180">
        <f t="shared" si="69"/>
        <v>0</v>
      </c>
      <c r="U218" s="180">
        <f t="shared" si="73"/>
        <v>0</v>
      </c>
      <c r="V218" s="182">
        <f t="shared" si="74"/>
        <v>100</v>
      </c>
      <c r="W218" s="180"/>
      <c r="X218" s="180"/>
      <c r="Y218" s="180"/>
      <c r="Z218" s="180"/>
      <c r="AA218" s="180"/>
      <c r="AB218" s="180"/>
      <c r="AC218" s="180"/>
      <c r="AD218" s="180"/>
      <c r="AE218" s="180"/>
      <c r="AF218" s="180"/>
      <c r="AG218" s="180"/>
      <c r="AH218" s="180"/>
      <c r="AI218" s="180">
        <v>0</v>
      </c>
      <c r="AJ218" s="181">
        <f t="shared" si="70"/>
        <v>0</v>
      </c>
      <c r="AK218" s="246">
        <f t="shared" si="64"/>
        <v>1600000</v>
      </c>
      <c r="AL218" s="181">
        <f t="shared" si="71"/>
        <v>100</v>
      </c>
      <c r="AM218" s="243"/>
    </row>
    <row r="219" spans="1:39" ht="28.5" customHeight="1" x14ac:dyDescent="0.25">
      <c r="A219" s="243"/>
      <c r="B219" s="341"/>
      <c r="C219" s="341"/>
      <c r="D219" s="341"/>
      <c r="E219" s="341"/>
      <c r="F219" s="341"/>
      <c r="G219" s="341"/>
      <c r="H219" s="341"/>
      <c r="I219" s="342"/>
      <c r="J219" s="341" t="s">
        <v>593</v>
      </c>
      <c r="K219" s="245"/>
      <c r="L219" s="257"/>
      <c r="M219" s="597" t="s">
        <v>270</v>
      </c>
      <c r="N219" s="598"/>
      <c r="O219" s="299"/>
      <c r="P219" s="180"/>
      <c r="Q219" s="180">
        <v>2000000</v>
      </c>
      <c r="R219" s="181">
        <f t="shared" si="75"/>
        <v>1.9603999215840031</v>
      </c>
      <c r="S219" s="181">
        <v>100</v>
      </c>
      <c r="T219" s="180">
        <f t="shared" si="69"/>
        <v>0</v>
      </c>
      <c r="U219" s="180">
        <f t="shared" si="73"/>
        <v>0</v>
      </c>
      <c r="V219" s="182">
        <f t="shared" si="74"/>
        <v>100</v>
      </c>
      <c r="W219" s="180"/>
      <c r="X219" s="180"/>
      <c r="Y219" s="180"/>
      <c r="Z219" s="180"/>
      <c r="AA219" s="180"/>
      <c r="AB219" s="180"/>
      <c r="AC219" s="180"/>
      <c r="AD219" s="180"/>
      <c r="AE219" s="180"/>
      <c r="AF219" s="180"/>
      <c r="AG219" s="180"/>
      <c r="AH219" s="180"/>
      <c r="AI219" s="180">
        <v>0</v>
      </c>
      <c r="AJ219" s="181">
        <f t="shared" si="70"/>
        <v>0</v>
      </c>
      <c r="AK219" s="246">
        <f t="shared" si="64"/>
        <v>2000000</v>
      </c>
      <c r="AL219" s="181">
        <f t="shared" si="71"/>
        <v>100</v>
      </c>
      <c r="AM219" s="243"/>
    </row>
    <row r="220" spans="1:39" ht="28.5" customHeight="1" x14ac:dyDescent="0.25">
      <c r="A220" s="243"/>
      <c r="B220" s="341"/>
      <c r="C220" s="341"/>
      <c r="D220" s="341"/>
      <c r="E220" s="341"/>
      <c r="F220" s="341"/>
      <c r="G220" s="341"/>
      <c r="H220" s="341"/>
      <c r="I220" s="342"/>
      <c r="J220" s="341" t="s">
        <v>593</v>
      </c>
      <c r="K220" s="245"/>
      <c r="L220" s="257"/>
      <c r="M220" s="597" t="s">
        <v>428</v>
      </c>
      <c r="N220" s="598"/>
      <c r="O220" s="299"/>
      <c r="P220" s="180"/>
      <c r="Q220" s="180">
        <v>1500000</v>
      </c>
      <c r="R220" s="181">
        <f t="shared" si="75"/>
        <v>1.4702999411880022</v>
      </c>
      <c r="S220" s="181">
        <v>100</v>
      </c>
      <c r="T220" s="180">
        <f t="shared" si="69"/>
        <v>0</v>
      </c>
      <c r="U220" s="180">
        <f t="shared" si="73"/>
        <v>0</v>
      </c>
      <c r="V220" s="182">
        <f t="shared" si="74"/>
        <v>100</v>
      </c>
      <c r="W220" s="180"/>
      <c r="X220" s="180"/>
      <c r="Y220" s="180"/>
      <c r="Z220" s="180"/>
      <c r="AA220" s="180"/>
      <c r="AB220" s="180"/>
      <c r="AC220" s="180"/>
      <c r="AD220" s="180"/>
      <c r="AE220" s="180"/>
      <c r="AF220" s="180"/>
      <c r="AG220" s="180"/>
      <c r="AH220" s="180"/>
      <c r="AI220" s="180">
        <v>0</v>
      </c>
      <c r="AJ220" s="181">
        <f t="shared" si="70"/>
        <v>0</v>
      </c>
      <c r="AK220" s="246">
        <f t="shared" si="64"/>
        <v>1500000</v>
      </c>
      <c r="AL220" s="181">
        <f t="shared" si="71"/>
        <v>100</v>
      </c>
      <c r="AM220" s="243"/>
    </row>
    <row r="221" spans="1:39" ht="28.5" customHeight="1" x14ac:dyDescent="0.25">
      <c r="A221" s="243"/>
      <c r="B221" s="341"/>
      <c r="C221" s="341"/>
      <c r="D221" s="341"/>
      <c r="E221" s="341"/>
      <c r="F221" s="341"/>
      <c r="G221" s="341"/>
      <c r="H221" s="341"/>
      <c r="I221" s="342"/>
      <c r="J221" s="341" t="s">
        <v>318</v>
      </c>
      <c r="K221" s="245"/>
      <c r="L221" s="257"/>
      <c r="M221" s="597" t="s">
        <v>319</v>
      </c>
      <c r="N221" s="598"/>
      <c r="O221" s="299"/>
      <c r="P221" s="180"/>
      <c r="Q221" s="180">
        <v>22750000</v>
      </c>
      <c r="R221" s="181">
        <f t="shared" si="75"/>
        <v>22.299549108018034</v>
      </c>
      <c r="S221" s="181">
        <v>100</v>
      </c>
      <c r="T221" s="180">
        <f t="shared" si="69"/>
        <v>0</v>
      </c>
      <c r="U221" s="180">
        <f t="shared" si="73"/>
        <v>0</v>
      </c>
      <c r="V221" s="182">
        <f t="shared" si="74"/>
        <v>100</v>
      </c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>
        <v>0</v>
      </c>
      <c r="AJ221" s="181">
        <f t="shared" si="70"/>
        <v>0</v>
      </c>
      <c r="AK221" s="246">
        <f t="shared" si="64"/>
        <v>22750000</v>
      </c>
      <c r="AL221" s="181">
        <f t="shared" si="71"/>
        <v>100</v>
      </c>
      <c r="AM221" s="243"/>
    </row>
    <row r="222" spans="1:39" ht="28.5" customHeight="1" x14ac:dyDescent="0.25">
      <c r="A222" s="243"/>
      <c r="B222" s="341"/>
      <c r="C222" s="341"/>
      <c r="D222" s="341"/>
      <c r="E222" s="341"/>
      <c r="F222" s="341"/>
      <c r="G222" s="341"/>
      <c r="H222" s="341"/>
      <c r="I222" s="342"/>
      <c r="J222" s="341" t="s">
        <v>280</v>
      </c>
      <c r="K222" s="245"/>
      <c r="L222" s="257"/>
      <c r="M222" s="597" t="s">
        <v>425</v>
      </c>
      <c r="N222" s="598"/>
      <c r="O222" s="299"/>
      <c r="P222" s="180"/>
      <c r="Q222" s="180">
        <v>7000000</v>
      </c>
      <c r="R222" s="181">
        <f t="shared" si="75"/>
        <v>6.8613997255440111</v>
      </c>
      <c r="S222" s="181">
        <v>100</v>
      </c>
      <c r="T222" s="180">
        <f t="shared" si="69"/>
        <v>0</v>
      </c>
      <c r="U222" s="180">
        <f t="shared" si="73"/>
        <v>0</v>
      </c>
      <c r="V222" s="182">
        <f t="shared" si="74"/>
        <v>100</v>
      </c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180"/>
      <c r="AI222" s="180">
        <v>0</v>
      </c>
      <c r="AJ222" s="181">
        <f t="shared" si="70"/>
        <v>0</v>
      </c>
      <c r="AK222" s="246">
        <f t="shared" si="64"/>
        <v>7000000</v>
      </c>
      <c r="AL222" s="181">
        <f t="shared" si="71"/>
        <v>100</v>
      </c>
      <c r="AM222" s="243"/>
    </row>
    <row r="223" spans="1:39" ht="28.5" customHeight="1" x14ac:dyDescent="0.25">
      <c r="A223" s="243"/>
      <c r="B223" s="341"/>
      <c r="C223" s="341"/>
      <c r="D223" s="341"/>
      <c r="E223" s="341"/>
      <c r="F223" s="341"/>
      <c r="G223" s="341"/>
      <c r="H223" s="341"/>
      <c r="I223" s="342"/>
      <c r="J223" s="341" t="s">
        <v>282</v>
      </c>
      <c r="K223" s="245"/>
      <c r="L223" s="257"/>
      <c r="M223" s="597" t="s">
        <v>590</v>
      </c>
      <c r="N223" s="598"/>
      <c r="O223" s="299"/>
      <c r="P223" s="180"/>
      <c r="Q223" s="180">
        <v>27170000</v>
      </c>
      <c r="R223" s="181">
        <f t="shared" si="75"/>
        <v>26.63203293471868</v>
      </c>
      <c r="S223" s="181">
        <v>100</v>
      </c>
      <c r="T223" s="180">
        <f t="shared" si="69"/>
        <v>0</v>
      </c>
      <c r="U223" s="180">
        <f t="shared" si="73"/>
        <v>0</v>
      </c>
      <c r="V223" s="182">
        <f>S223-T223</f>
        <v>100</v>
      </c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>
        <v>0</v>
      </c>
      <c r="AJ223" s="181">
        <f t="shared" si="70"/>
        <v>0</v>
      </c>
      <c r="AK223" s="246">
        <f t="shared" si="64"/>
        <v>27170000</v>
      </c>
      <c r="AL223" s="181">
        <f t="shared" si="71"/>
        <v>100</v>
      </c>
      <c r="AM223" s="243"/>
    </row>
    <row r="224" spans="1:39" ht="28.5" customHeight="1" x14ac:dyDescent="0.25">
      <c r="A224" s="243"/>
      <c r="B224" s="341"/>
      <c r="C224" s="341"/>
      <c r="D224" s="341"/>
      <c r="E224" s="341"/>
      <c r="F224" s="341"/>
      <c r="G224" s="341"/>
      <c r="H224" s="341"/>
      <c r="I224" s="342"/>
      <c r="J224" s="341" t="s">
        <v>594</v>
      </c>
      <c r="K224" s="245"/>
      <c r="L224" s="257"/>
      <c r="M224" s="597" t="s">
        <v>591</v>
      </c>
      <c r="N224" s="598"/>
      <c r="O224" s="299"/>
      <c r="P224" s="180"/>
      <c r="Q224" s="180">
        <v>40000000</v>
      </c>
      <c r="R224" s="181">
        <f t="shared" si="75"/>
        <v>39.20799843168006</v>
      </c>
      <c r="S224" s="181">
        <v>100</v>
      </c>
      <c r="T224" s="180">
        <f t="shared" si="69"/>
        <v>0</v>
      </c>
      <c r="U224" s="180">
        <f t="shared" si="73"/>
        <v>0</v>
      </c>
      <c r="V224" s="182">
        <f>S224-T224</f>
        <v>100</v>
      </c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>
        <v>0</v>
      </c>
      <c r="AJ224" s="181">
        <f t="shared" si="70"/>
        <v>0</v>
      </c>
      <c r="AK224" s="246">
        <f t="shared" si="64"/>
        <v>40000000</v>
      </c>
      <c r="AL224" s="181">
        <f t="shared" si="71"/>
        <v>100</v>
      </c>
      <c r="AM224" s="243"/>
    </row>
    <row r="225" spans="1:39" s="297" customFormat="1" ht="24.75" customHeight="1" x14ac:dyDescent="0.25">
      <c r="A225" s="227">
        <f>A217+1</f>
        <v>34</v>
      </c>
      <c r="B225" s="615" t="s">
        <v>144</v>
      </c>
      <c r="C225" s="615"/>
      <c r="D225" s="615"/>
      <c r="E225" s="615"/>
      <c r="F225" s="615"/>
      <c r="G225" s="615"/>
      <c r="H225" s="615"/>
      <c r="I225" s="614"/>
      <c r="J225" s="304" t="s">
        <v>478</v>
      </c>
      <c r="K225" s="230"/>
      <c r="L225" s="294"/>
      <c r="M225" s="615" t="s">
        <v>167</v>
      </c>
      <c r="N225" s="614"/>
      <c r="O225" s="295">
        <v>85915000</v>
      </c>
      <c r="P225" s="231">
        <f>O225</f>
        <v>85915000</v>
      </c>
      <c r="Q225" s="231">
        <f>SUM(Q226:Q235)</f>
        <v>131325000</v>
      </c>
      <c r="R225" s="233">
        <f>Q225/Q$175*100</f>
        <v>9.6697704223171161</v>
      </c>
      <c r="S225" s="233">
        <v>100</v>
      </c>
      <c r="T225" s="231">
        <f t="shared" si="69"/>
        <v>0</v>
      </c>
      <c r="U225" s="231">
        <f>R225*T225/100</f>
        <v>0</v>
      </c>
      <c r="V225" s="296">
        <f t="shared" si="74"/>
        <v>100</v>
      </c>
      <c r="W225" s="231"/>
      <c r="X225" s="231" t="e">
        <f>#REF!</f>
        <v>#REF!</v>
      </c>
      <c r="Y225" s="231" t="e">
        <f>#REF!</f>
        <v>#REF!</v>
      </c>
      <c r="Z225" s="231" t="e">
        <f>#REF!</f>
        <v>#REF!</v>
      </c>
      <c r="AA225" s="231" t="e">
        <f>#REF!</f>
        <v>#REF!</v>
      </c>
      <c r="AB225" s="231">
        <v>0</v>
      </c>
      <c r="AC225" s="231" t="e">
        <f>#REF!</f>
        <v>#REF!</v>
      </c>
      <c r="AD225" s="231" t="e">
        <f>#REF!</f>
        <v>#REF!</v>
      </c>
      <c r="AE225" s="231" t="e">
        <f>#REF!</f>
        <v>#REF!</v>
      </c>
      <c r="AF225" s="231" t="e">
        <f>[1]April!N52</f>
        <v>#REF!</v>
      </c>
      <c r="AG225" s="231" t="e">
        <f>[2]april!N52</f>
        <v>#REF!</v>
      </c>
      <c r="AH225" s="231">
        <f>'[3]DES SKPD'!$N52</f>
        <v>73668000</v>
      </c>
      <c r="AI225" s="231">
        <f>SUM(AI226:AI235)</f>
        <v>0</v>
      </c>
      <c r="AJ225" s="233">
        <f t="shared" si="70"/>
        <v>0</v>
      </c>
      <c r="AK225" s="234">
        <f t="shared" si="64"/>
        <v>131325000</v>
      </c>
      <c r="AL225" s="233">
        <f t="shared" si="71"/>
        <v>100</v>
      </c>
      <c r="AM225" s="227"/>
    </row>
    <row r="226" spans="1:39" ht="24.75" customHeight="1" x14ac:dyDescent="0.25">
      <c r="A226" s="243"/>
      <c r="B226" s="341"/>
      <c r="C226" s="341"/>
      <c r="D226" s="341"/>
      <c r="E226" s="341"/>
      <c r="F226" s="341"/>
      <c r="G226" s="341"/>
      <c r="H226" s="341"/>
      <c r="I226" s="342"/>
      <c r="J226" s="341" t="s">
        <v>273</v>
      </c>
      <c r="K226" s="245"/>
      <c r="L226" s="257"/>
      <c r="M226" s="597" t="s">
        <v>322</v>
      </c>
      <c r="N226" s="598"/>
      <c r="O226" s="299"/>
      <c r="P226" s="180"/>
      <c r="Q226" s="180">
        <v>4600000</v>
      </c>
      <c r="R226" s="181">
        <f t="shared" ref="R226:R235" si="76">Q226/Q$225*100</f>
        <v>3.5027603274319441</v>
      </c>
      <c r="S226" s="181">
        <v>100</v>
      </c>
      <c r="T226" s="180">
        <f t="shared" si="69"/>
        <v>0</v>
      </c>
      <c r="U226" s="180">
        <f t="shared" ref="U226:U296" si="77">R226*T226/100</f>
        <v>0</v>
      </c>
      <c r="V226" s="182">
        <f t="shared" si="74"/>
        <v>100</v>
      </c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>
        <v>0</v>
      </c>
      <c r="AJ226" s="181">
        <f t="shared" si="70"/>
        <v>0</v>
      </c>
      <c r="AK226" s="246">
        <f t="shared" si="64"/>
        <v>4600000</v>
      </c>
      <c r="AL226" s="181">
        <f t="shared" si="71"/>
        <v>100</v>
      </c>
      <c r="AM226" s="243"/>
    </row>
    <row r="227" spans="1:39" ht="24.75" customHeight="1" x14ac:dyDescent="0.25">
      <c r="A227" s="243"/>
      <c r="B227" s="341"/>
      <c r="C227" s="341"/>
      <c r="D227" s="341"/>
      <c r="E227" s="341"/>
      <c r="F227" s="341"/>
      <c r="G227" s="341"/>
      <c r="H227" s="341"/>
      <c r="I227" s="342"/>
      <c r="J227" s="341" t="s">
        <v>323</v>
      </c>
      <c r="K227" s="245"/>
      <c r="L227" s="257"/>
      <c r="M227" s="597" t="s">
        <v>324</v>
      </c>
      <c r="N227" s="598"/>
      <c r="O227" s="299"/>
      <c r="P227" s="180"/>
      <c r="Q227" s="180">
        <v>13776000</v>
      </c>
      <c r="R227" s="181">
        <f t="shared" si="76"/>
        <v>10.490005711022272</v>
      </c>
      <c r="S227" s="181">
        <v>100</v>
      </c>
      <c r="T227" s="180">
        <f t="shared" si="69"/>
        <v>0</v>
      </c>
      <c r="U227" s="180">
        <f t="shared" si="77"/>
        <v>0</v>
      </c>
      <c r="V227" s="182">
        <f t="shared" si="74"/>
        <v>100</v>
      </c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>
        <v>0</v>
      </c>
      <c r="AJ227" s="181">
        <f t="shared" si="70"/>
        <v>0</v>
      </c>
      <c r="AK227" s="246">
        <f t="shared" si="64"/>
        <v>13776000</v>
      </c>
      <c r="AL227" s="181">
        <f t="shared" si="71"/>
        <v>100</v>
      </c>
      <c r="AM227" s="243"/>
    </row>
    <row r="228" spans="1:39" ht="24.75" customHeight="1" x14ac:dyDescent="0.25">
      <c r="A228" s="243"/>
      <c r="B228" s="341"/>
      <c r="C228" s="341"/>
      <c r="D228" s="341"/>
      <c r="E228" s="341"/>
      <c r="F228" s="341"/>
      <c r="G228" s="341"/>
      <c r="H228" s="341"/>
      <c r="I228" s="342"/>
      <c r="J228" s="341" t="s">
        <v>269</v>
      </c>
      <c r="K228" s="245"/>
      <c r="L228" s="257"/>
      <c r="M228" s="597" t="s">
        <v>270</v>
      </c>
      <c r="N228" s="598"/>
      <c r="O228" s="299"/>
      <c r="P228" s="180"/>
      <c r="Q228" s="180">
        <v>4000000</v>
      </c>
      <c r="R228" s="181">
        <f t="shared" si="76"/>
        <v>3.0458785455929944</v>
      </c>
      <c r="S228" s="181">
        <v>100</v>
      </c>
      <c r="T228" s="180">
        <f t="shared" si="69"/>
        <v>0</v>
      </c>
      <c r="U228" s="180">
        <f t="shared" si="77"/>
        <v>0</v>
      </c>
      <c r="V228" s="182">
        <f t="shared" si="74"/>
        <v>100</v>
      </c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>
        <v>0</v>
      </c>
      <c r="AJ228" s="181">
        <f t="shared" si="70"/>
        <v>0</v>
      </c>
      <c r="AK228" s="246">
        <f t="shared" si="64"/>
        <v>4000000</v>
      </c>
      <c r="AL228" s="181">
        <f t="shared" si="71"/>
        <v>100</v>
      </c>
      <c r="AM228" s="243"/>
    </row>
    <row r="229" spans="1:39" ht="24.75" customHeight="1" x14ac:dyDescent="0.25">
      <c r="A229" s="243"/>
      <c r="B229" s="341"/>
      <c r="C229" s="341"/>
      <c r="D229" s="341"/>
      <c r="E229" s="341"/>
      <c r="F229" s="341"/>
      <c r="G229" s="341"/>
      <c r="H229" s="341"/>
      <c r="I229" s="342"/>
      <c r="J229" s="341" t="s">
        <v>315</v>
      </c>
      <c r="K229" s="245"/>
      <c r="L229" s="257"/>
      <c r="M229" s="597" t="s">
        <v>271</v>
      </c>
      <c r="N229" s="598"/>
      <c r="O229" s="299"/>
      <c r="P229" s="180"/>
      <c r="Q229" s="180">
        <v>2889000</v>
      </c>
      <c r="R229" s="181">
        <f t="shared" si="76"/>
        <v>2.1998857795545406</v>
      </c>
      <c r="S229" s="181">
        <v>100</v>
      </c>
      <c r="T229" s="180">
        <f t="shared" si="69"/>
        <v>0</v>
      </c>
      <c r="U229" s="180">
        <f t="shared" si="77"/>
        <v>0</v>
      </c>
      <c r="V229" s="182">
        <f t="shared" si="74"/>
        <v>100</v>
      </c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>
        <v>0</v>
      </c>
      <c r="AJ229" s="181">
        <f t="shared" si="70"/>
        <v>0</v>
      </c>
      <c r="AK229" s="246">
        <f t="shared" si="64"/>
        <v>2889000</v>
      </c>
      <c r="AL229" s="181">
        <f t="shared" si="71"/>
        <v>100</v>
      </c>
      <c r="AM229" s="243"/>
    </row>
    <row r="230" spans="1:39" ht="24.75" customHeight="1" x14ac:dyDescent="0.25">
      <c r="A230" s="243"/>
      <c r="B230" s="341"/>
      <c r="C230" s="341"/>
      <c r="D230" s="341"/>
      <c r="E230" s="341"/>
      <c r="F230" s="341"/>
      <c r="G230" s="341"/>
      <c r="H230" s="341"/>
      <c r="I230" s="342"/>
      <c r="J230" s="341" t="s">
        <v>328</v>
      </c>
      <c r="K230" s="245"/>
      <c r="L230" s="257"/>
      <c r="M230" s="597" t="s">
        <v>329</v>
      </c>
      <c r="N230" s="598"/>
      <c r="O230" s="299"/>
      <c r="P230" s="180"/>
      <c r="Q230" s="180">
        <v>49500000</v>
      </c>
      <c r="R230" s="181">
        <f t="shared" si="76"/>
        <v>37.692747001713307</v>
      </c>
      <c r="S230" s="181">
        <v>100</v>
      </c>
      <c r="T230" s="180">
        <f t="shared" si="69"/>
        <v>0</v>
      </c>
      <c r="U230" s="180">
        <f t="shared" si="77"/>
        <v>0</v>
      </c>
      <c r="V230" s="182">
        <f t="shared" si="74"/>
        <v>100</v>
      </c>
      <c r="W230" s="180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>
        <v>0</v>
      </c>
      <c r="AJ230" s="181">
        <f t="shared" si="70"/>
        <v>0</v>
      </c>
      <c r="AK230" s="246">
        <f t="shared" si="64"/>
        <v>49500000</v>
      </c>
      <c r="AL230" s="181">
        <f t="shared" si="71"/>
        <v>100</v>
      </c>
      <c r="AM230" s="243"/>
    </row>
    <row r="231" spans="1:39" ht="24.75" customHeight="1" x14ac:dyDescent="0.25">
      <c r="A231" s="243"/>
      <c r="B231" s="341"/>
      <c r="C231" s="341"/>
      <c r="D231" s="341"/>
      <c r="E231" s="341"/>
      <c r="F231" s="341"/>
      <c r="G231" s="341"/>
      <c r="H231" s="341"/>
      <c r="I231" s="342"/>
      <c r="J231" s="341" t="s">
        <v>280</v>
      </c>
      <c r="K231" s="245"/>
      <c r="L231" s="257"/>
      <c r="M231" s="597" t="s">
        <v>281</v>
      </c>
      <c r="N231" s="598"/>
      <c r="O231" s="299"/>
      <c r="P231" s="180"/>
      <c r="Q231" s="180">
        <v>15750000</v>
      </c>
      <c r="R231" s="181">
        <f t="shared" si="76"/>
        <v>11.993146773272416</v>
      </c>
      <c r="S231" s="181">
        <v>100</v>
      </c>
      <c r="T231" s="180">
        <f t="shared" si="69"/>
        <v>0</v>
      </c>
      <c r="U231" s="180">
        <f t="shared" si="77"/>
        <v>0</v>
      </c>
      <c r="V231" s="182">
        <f t="shared" si="74"/>
        <v>100</v>
      </c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>
        <v>0</v>
      </c>
      <c r="AJ231" s="181">
        <f t="shared" si="70"/>
        <v>0</v>
      </c>
      <c r="AK231" s="246">
        <f t="shared" si="64"/>
        <v>15750000</v>
      </c>
      <c r="AL231" s="181">
        <f t="shared" si="71"/>
        <v>100</v>
      </c>
      <c r="AM231" s="243"/>
    </row>
    <row r="232" spans="1:39" ht="24.75" customHeight="1" x14ac:dyDescent="0.25">
      <c r="A232" s="243"/>
      <c r="B232" s="341"/>
      <c r="C232" s="341"/>
      <c r="D232" s="341"/>
      <c r="E232" s="341"/>
      <c r="F232" s="341"/>
      <c r="G232" s="341"/>
      <c r="H232" s="341"/>
      <c r="I232" s="342"/>
      <c r="J232" s="341" t="s">
        <v>284</v>
      </c>
      <c r="K232" s="245"/>
      <c r="L232" s="257"/>
      <c r="M232" s="597" t="s">
        <v>585</v>
      </c>
      <c r="N232" s="598"/>
      <c r="O232" s="299"/>
      <c r="P232" s="180"/>
      <c r="Q232" s="180">
        <v>5000000</v>
      </c>
      <c r="R232" s="181">
        <f t="shared" si="76"/>
        <v>3.8073481819912427</v>
      </c>
      <c r="S232" s="181">
        <v>100</v>
      </c>
      <c r="T232" s="180">
        <f t="shared" si="69"/>
        <v>0</v>
      </c>
      <c r="U232" s="180">
        <f t="shared" si="77"/>
        <v>0</v>
      </c>
      <c r="V232" s="182">
        <f t="shared" si="74"/>
        <v>100</v>
      </c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>
        <v>0</v>
      </c>
      <c r="AJ232" s="181">
        <f t="shared" si="70"/>
        <v>0</v>
      </c>
      <c r="AK232" s="246">
        <f t="shared" si="64"/>
        <v>5000000</v>
      </c>
      <c r="AL232" s="181">
        <f t="shared" si="71"/>
        <v>100</v>
      </c>
      <c r="AM232" s="243"/>
    </row>
    <row r="233" spans="1:39" ht="24.75" customHeight="1" x14ac:dyDescent="0.25">
      <c r="A233" s="243"/>
      <c r="B233" s="341"/>
      <c r="C233" s="341"/>
      <c r="D233" s="341"/>
      <c r="E233" s="341"/>
      <c r="F233" s="341"/>
      <c r="G233" s="341"/>
      <c r="H233" s="341"/>
      <c r="I233" s="342"/>
      <c r="J233" s="341" t="s">
        <v>282</v>
      </c>
      <c r="K233" s="245"/>
      <c r="L233" s="257"/>
      <c r="M233" s="597" t="s">
        <v>503</v>
      </c>
      <c r="N233" s="598"/>
      <c r="O233" s="299"/>
      <c r="P233" s="180"/>
      <c r="Q233" s="180">
        <v>21160000</v>
      </c>
      <c r="R233" s="181">
        <f t="shared" si="76"/>
        <v>16.11269750618694</v>
      </c>
      <c r="S233" s="181">
        <v>100</v>
      </c>
      <c r="T233" s="180">
        <f t="shared" si="69"/>
        <v>0</v>
      </c>
      <c r="U233" s="180">
        <f t="shared" si="77"/>
        <v>0</v>
      </c>
      <c r="V233" s="182">
        <f t="shared" si="74"/>
        <v>100</v>
      </c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>
        <v>0</v>
      </c>
      <c r="AJ233" s="181">
        <f t="shared" si="70"/>
        <v>0</v>
      </c>
      <c r="AK233" s="246">
        <f t="shared" si="64"/>
        <v>21160000</v>
      </c>
      <c r="AL233" s="181">
        <f t="shared" si="71"/>
        <v>100</v>
      </c>
      <c r="AM233" s="243"/>
    </row>
    <row r="234" spans="1:39" ht="24.75" customHeight="1" x14ac:dyDescent="0.25">
      <c r="A234" s="243"/>
      <c r="B234" s="341"/>
      <c r="C234" s="341"/>
      <c r="D234" s="341"/>
      <c r="E234" s="341"/>
      <c r="F234" s="341"/>
      <c r="G234" s="341"/>
      <c r="H234" s="341"/>
      <c r="I234" s="342"/>
      <c r="J234" s="341" t="s">
        <v>320</v>
      </c>
      <c r="K234" s="245"/>
      <c r="L234" s="257"/>
      <c r="M234" s="597" t="s">
        <v>321</v>
      </c>
      <c r="N234" s="598"/>
      <c r="O234" s="299"/>
      <c r="P234" s="180"/>
      <c r="Q234" s="180">
        <v>10000000</v>
      </c>
      <c r="R234" s="181">
        <f t="shared" si="76"/>
        <v>7.6146963639824854</v>
      </c>
      <c r="S234" s="181">
        <v>100</v>
      </c>
      <c r="T234" s="180">
        <f t="shared" si="69"/>
        <v>0</v>
      </c>
      <c r="U234" s="180">
        <f t="shared" si="77"/>
        <v>0</v>
      </c>
      <c r="V234" s="182">
        <f t="shared" si="74"/>
        <v>100</v>
      </c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>
        <v>0</v>
      </c>
      <c r="AJ234" s="181">
        <f t="shared" si="70"/>
        <v>0</v>
      </c>
      <c r="AK234" s="246">
        <f t="shared" si="64"/>
        <v>10000000</v>
      </c>
      <c r="AL234" s="181">
        <f t="shared" si="71"/>
        <v>100</v>
      </c>
      <c r="AM234" s="243"/>
    </row>
    <row r="235" spans="1:39" ht="24.75" customHeight="1" x14ac:dyDescent="0.25">
      <c r="A235" s="243"/>
      <c r="B235" s="341"/>
      <c r="C235" s="341"/>
      <c r="D235" s="341"/>
      <c r="E235" s="341"/>
      <c r="F235" s="341"/>
      <c r="G235" s="341"/>
      <c r="H235" s="341"/>
      <c r="I235" s="342"/>
      <c r="J235" s="341" t="s">
        <v>407</v>
      </c>
      <c r="K235" s="245"/>
      <c r="L235" s="257"/>
      <c r="M235" s="597" t="s">
        <v>595</v>
      </c>
      <c r="N235" s="598"/>
      <c r="O235" s="299"/>
      <c r="P235" s="180"/>
      <c r="Q235" s="180">
        <v>4650000</v>
      </c>
      <c r="R235" s="181">
        <f t="shared" si="76"/>
        <v>3.5408338092518559</v>
      </c>
      <c r="S235" s="181">
        <v>100</v>
      </c>
      <c r="T235" s="180">
        <f t="shared" si="69"/>
        <v>0</v>
      </c>
      <c r="U235" s="180">
        <f t="shared" si="77"/>
        <v>0</v>
      </c>
      <c r="V235" s="182">
        <f t="shared" si="74"/>
        <v>100</v>
      </c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>
        <v>0</v>
      </c>
      <c r="AJ235" s="181">
        <f t="shared" si="70"/>
        <v>0</v>
      </c>
      <c r="AK235" s="246">
        <f t="shared" si="64"/>
        <v>4650000</v>
      </c>
      <c r="AL235" s="181">
        <f t="shared" si="71"/>
        <v>100</v>
      </c>
      <c r="AM235" s="243"/>
    </row>
    <row r="236" spans="1:39" s="297" customFormat="1" ht="24.75" customHeight="1" x14ac:dyDescent="0.25">
      <c r="A236" s="227">
        <f>A225+1</f>
        <v>35</v>
      </c>
      <c r="B236" s="618" t="s">
        <v>144</v>
      </c>
      <c r="C236" s="615"/>
      <c r="D236" s="615"/>
      <c r="E236" s="615"/>
      <c r="F236" s="615"/>
      <c r="G236" s="615"/>
      <c r="H236" s="615"/>
      <c r="I236" s="614"/>
      <c r="J236" s="304" t="s">
        <v>596</v>
      </c>
      <c r="K236" s="230"/>
      <c r="L236" s="294"/>
      <c r="M236" s="615" t="s">
        <v>597</v>
      </c>
      <c r="N236" s="614"/>
      <c r="O236" s="295">
        <v>85915000</v>
      </c>
      <c r="P236" s="231">
        <f>O236</f>
        <v>85915000</v>
      </c>
      <c r="Q236" s="231">
        <f>SUM(Q237:Q242)</f>
        <v>48040000</v>
      </c>
      <c r="R236" s="233">
        <f>Q236/Q$175*100</f>
        <v>3.5372988470444637</v>
      </c>
      <c r="S236" s="233">
        <v>100</v>
      </c>
      <c r="T236" s="231">
        <f>AJ236</f>
        <v>0</v>
      </c>
      <c r="U236" s="231">
        <f>R236*T236/100</f>
        <v>0</v>
      </c>
      <c r="V236" s="296">
        <f t="shared" si="74"/>
        <v>100</v>
      </c>
      <c r="W236" s="231"/>
      <c r="X236" s="231" t="e">
        <f>#REF!</f>
        <v>#REF!</v>
      </c>
      <c r="Y236" s="231" t="e">
        <f>#REF!</f>
        <v>#REF!</v>
      </c>
      <c r="Z236" s="231" t="e">
        <f>#REF!</f>
        <v>#REF!</v>
      </c>
      <c r="AA236" s="231" t="e">
        <f>#REF!</f>
        <v>#REF!</v>
      </c>
      <c r="AB236" s="231">
        <v>0</v>
      </c>
      <c r="AC236" s="231" t="e">
        <f>#REF!</f>
        <v>#REF!</v>
      </c>
      <c r="AD236" s="231" t="e">
        <f>#REF!</f>
        <v>#REF!</v>
      </c>
      <c r="AE236" s="231" t="e">
        <f>#REF!</f>
        <v>#REF!</v>
      </c>
      <c r="AF236" s="231" t="e">
        <f>[1]April!N63</f>
        <v>#REF!</v>
      </c>
      <c r="AG236" s="231" t="e">
        <f>[2]april!N63</f>
        <v>#REF!</v>
      </c>
      <c r="AH236" s="231">
        <f>'[3]DES SKPD'!$N63</f>
        <v>174573000</v>
      </c>
      <c r="AI236" s="231">
        <f>SUM(AI237:AI242)</f>
        <v>0</v>
      </c>
      <c r="AJ236" s="233">
        <f>AI236/Q236*100</f>
        <v>0</v>
      </c>
      <c r="AK236" s="234">
        <f t="shared" si="64"/>
        <v>48040000</v>
      </c>
      <c r="AL236" s="233">
        <f t="shared" si="71"/>
        <v>100</v>
      </c>
      <c r="AM236" s="227"/>
    </row>
    <row r="237" spans="1:39" ht="24.75" customHeight="1" x14ac:dyDescent="0.25">
      <c r="A237" s="243"/>
      <c r="B237" s="341"/>
      <c r="C237" s="341"/>
      <c r="D237" s="341"/>
      <c r="E237" s="341"/>
      <c r="F237" s="341"/>
      <c r="G237" s="341"/>
      <c r="H237" s="341"/>
      <c r="I237" s="342"/>
      <c r="J237" s="341" t="s">
        <v>273</v>
      </c>
      <c r="K237" s="245"/>
      <c r="L237" s="257"/>
      <c r="M237" s="597" t="s">
        <v>322</v>
      </c>
      <c r="N237" s="598"/>
      <c r="O237" s="299"/>
      <c r="P237" s="180"/>
      <c r="Q237" s="180">
        <v>12400000</v>
      </c>
      <c r="R237" s="181">
        <f t="shared" ref="R237:R242" si="78">Q237/Q$225*100</f>
        <v>9.4422234913382841</v>
      </c>
      <c r="S237" s="181">
        <v>100</v>
      </c>
      <c r="T237" s="180">
        <f t="shared" ref="T237:T242" si="79">AJ237</f>
        <v>0</v>
      </c>
      <c r="U237" s="180">
        <f t="shared" ref="U237:U242" si="80">R237*T237/100</f>
        <v>0</v>
      </c>
      <c r="V237" s="182">
        <f t="shared" si="74"/>
        <v>100</v>
      </c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>
        <v>0</v>
      </c>
      <c r="AJ237" s="181">
        <f t="shared" ref="AJ237:AJ242" si="81">AI237/Q237*100</f>
        <v>0</v>
      </c>
      <c r="AK237" s="246">
        <f t="shared" si="64"/>
        <v>12400000</v>
      </c>
      <c r="AL237" s="181">
        <f t="shared" si="71"/>
        <v>100</v>
      </c>
      <c r="AM237" s="243"/>
    </row>
    <row r="238" spans="1:39" ht="24.75" customHeight="1" x14ac:dyDescent="0.25">
      <c r="A238" s="243"/>
      <c r="B238" s="341"/>
      <c r="C238" s="341"/>
      <c r="D238" s="341"/>
      <c r="E238" s="341"/>
      <c r="F238" s="341"/>
      <c r="G238" s="341"/>
      <c r="H238" s="341"/>
      <c r="I238" s="342"/>
      <c r="J238" s="341" t="s">
        <v>315</v>
      </c>
      <c r="K238" s="245"/>
      <c r="L238" s="257"/>
      <c r="M238" s="597" t="s">
        <v>599</v>
      </c>
      <c r="N238" s="598"/>
      <c r="O238" s="299"/>
      <c r="P238" s="180"/>
      <c r="Q238" s="180">
        <v>1000000</v>
      </c>
      <c r="R238" s="181">
        <f t="shared" si="78"/>
        <v>0.76146963639824861</v>
      </c>
      <c r="S238" s="181">
        <v>100</v>
      </c>
      <c r="T238" s="180">
        <f t="shared" si="79"/>
        <v>0</v>
      </c>
      <c r="U238" s="180">
        <f t="shared" si="80"/>
        <v>0</v>
      </c>
      <c r="V238" s="182">
        <f t="shared" si="74"/>
        <v>100</v>
      </c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180"/>
      <c r="AI238" s="180">
        <v>0</v>
      </c>
      <c r="AJ238" s="181">
        <f t="shared" si="81"/>
        <v>0</v>
      </c>
      <c r="AK238" s="246">
        <f t="shared" si="64"/>
        <v>1000000</v>
      </c>
      <c r="AL238" s="181">
        <f t="shared" si="71"/>
        <v>100</v>
      </c>
      <c r="AM238" s="243"/>
    </row>
    <row r="239" spans="1:39" ht="24.75" customHeight="1" x14ac:dyDescent="0.25">
      <c r="A239" s="243"/>
      <c r="B239" s="341"/>
      <c r="C239" s="341"/>
      <c r="D239" s="341"/>
      <c r="E239" s="341"/>
      <c r="F239" s="341"/>
      <c r="G239" s="341"/>
      <c r="H239" s="341"/>
      <c r="I239" s="342"/>
      <c r="J239" s="341" t="s">
        <v>318</v>
      </c>
      <c r="K239" s="245"/>
      <c r="L239" s="257"/>
      <c r="M239" s="597" t="s">
        <v>319</v>
      </c>
      <c r="N239" s="598"/>
      <c r="O239" s="299"/>
      <c r="P239" s="180"/>
      <c r="Q239" s="180">
        <v>14000000</v>
      </c>
      <c r="R239" s="181">
        <f t="shared" si="78"/>
        <v>10.66057490957548</v>
      </c>
      <c r="S239" s="181">
        <v>100</v>
      </c>
      <c r="T239" s="180">
        <f t="shared" si="79"/>
        <v>0</v>
      </c>
      <c r="U239" s="180">
        <f>R239*T239/100</f>
        <v>0</v>
      </c>
      <c r="V239" s="182">
        <f t="shared" si="74"/>
        <v>100</v>
      </c>
      <c r="W239" s="180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80"/>
      <c r="AH239" s="180"/>
      <c r="AI239" s="180">
        <v>0</v>
      </c>
      <c r="AJ239" s="181">
        <f t="shared" si="81"/>
        <v>0</v>
      </c>
      <c r="AK239" s="246">
        <f t="shared" si="64"/>
        <v>14000000</v>
      </c>
      <c r="AL239" s="181">
        <f t="shared" si="71"/>
        <v>100</v>
      </c>
      <c r="AM239" s="243"/>
    </row>
    <row r="240" spans="1:39" ht="24.75" customHeight="1" x14ac:dyDescent="0.25">
      <c r="A240" s="243"/>
      <c r="B240" s="341"/>
      <c r="C240" s="341"/>
      <c r="D240" s="341"/>
      <c r="E240" s="341"/>
      <c r="F240" s="341"/>
      <c r="G240" s="341"/>
      <c r="H240" s="341"/>
      <c r="I240" s="342"/>
      <c r="J240" s="341" t="s">
        <v>537</v>
      </c>
      <c r="K240" s="245"/>
      <c r="L240" s="257"/>
      <c r="M240" s="597" t="s">
        <v>600</v>
      </c>
      <c r="N240" s="598"/>
      <c r="O240" s="299"/>
      <c r="P240" s="180"/>
      <c r="Q240" s="180">
        <v>2640000</v>
      </c>
      <c r="R240" s="181">
        <f t="shared" si="78"/>
        <v>2.0102798400913762</v>
      </c>
      <c r="S240" s="181">
        <v>100</v>
      </c>
      <c r="T240" s="180">
        <f t="shared" si="79"/>
        <v>0</v>
      </c>
      <c r="U240" s="180">
        <f t="shared" si="80"/>
        <v>0</v>
      </c>
      <c r="V240" s="182">
        <f t="shared" si="74"/>
        <v>100</v>
      </c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180"/>
      <c r="AI240" s="180">
        <v>0</v>
      </c>
      <c r="AJ240" s="181">
        <f t="shared" si="81"/>
        <v>0</v>
      </c>
      <c r="AK240" s="246">
        <f t="shared" si="64"/>
        <v>2640000</v>
      </c>
      <c r="AL240" s="181">
        <f t="shared" si="71"/>
        <v>100</v>
      </c>
      <c r="AM240" s="243"/>
    </row>
    <row r="241" spans="1:39" ht="24.75" customHeight="1" x14ac:dyDescent="0.25">
      <c r="A241" s="243"/>
      <c r="B241" s="341"/>
      <c r="C241" s="341"/>
      <c r="D241" s="341"/>
      <c r="E241" s="341"/>
      <c r="F241" s="341"/>
      <c r="G241" s="341"/>
      <c r="H241" s="341"/>
      <c r="I241" s="342"/>
      <c r="J241" s="341" t="s">
        <v>320</v>
      </c>
      <c r="K241" s="245"/>
      <c r="L241" s="257"/>
      <c r="M241" s="597" t="s">
        <v>321</v>
      </c>
      <c r="N241" s="598"/>
      <c r="O241" s="299"/>
      <c r="P241" s="180"/>
      <c r="Q241" s="180">
        <v>6000000</v>
      </c>
      <c r="R241" s="181">
        <f t="shared" si="78"/>
        <v>4.5688178183894914</v>
      </c>
      <c r="S241" s="181">
        <v>100</v>
      </c>
      <c r="T241" s="180">
        <f t="shared" si="79"/>
        <v>0</v>
      </c>
      <c r="U241" s="180">
        <f t="shared" si="80"/>
        <v>0</v>
      </c>
      <c r="V241" s="182">
        <f t="shared" si="74"/>
        <v>100</v>
      </c>
      <c r="W241" s="180"/>
      <c r="X241" s="180"/>
      <c r="Y241" s="180"/>
      <c r="Z241" s="180"/>
      <c r="AA241" s="180"/>
      <c r="AB241" s="180"/>
      <c r="AC241" s="180"/>
      <c r="AD241" s="180"/>
      <c r="AE241" s="180"/>
      <c r="AF241" s="180"/>
      <c r="AG241" s="180"/>
      <c r="AH241" s="180"/>
      <c r="AI241" s="180">
        <v>0</v>
      </c>
      <c r="AJ241" s="181">
        <f t="shared" si="81"/>
        <v>0</v>
      </c>
      <c r="AK241" s="246">
        <f t="shared" ref="AK241:AK242" si="82">Q241-AI241</f>
        <v>6000000</v>
      </c>
      <c r="AL241" s="181">
        <f t="shared" si="71"/>
        <v>100</v>
      </c>
      <c r="AM241" s="243"/>
    </row>
    <row r="242" spans="1:39" ht="24.75" customHeight="1" x14ac:dyDescent="0.25">
      <c r="A242" s="243"/>
      <c r="B242" s="341"/>
      <c r="C242" s="341"/>
      <c r="D242" s="341"/>
      <c r="E242" s="341"/>
      <c r="F242" s="341"/>
      <c r="G242" s="341"/>
      <c r="H242" s="341"/>
      <c r="I242" s="342"/>
      <c r="J242" s="341" t="s">
        <v>598</v>
      </c>
      <c r="K242" s="245"/>
      <c r="L242" s="257"/>
      <c r="M242" s="621" t="s">
        <v>550</v>
      </c>
      <c r="N242" s="622"/>
      <c r="O242" s="299"/>
      <c r="P242" s="180"/>
      <c r="Q242" s="180">
        <v>12000000</v>
      </c>
      <c r="R242" s="181">
        <f t="shared" si="78"/>
        <v>9.1376356367789828</v>
      </c>
      <c r="S242" s="181">
        <v>100</v>
      </c>
      <c r="T242" s="180">
        <f t="shared" si="79"/>
        <v>0</v>
      </c>
      <c r="U242" s="180">
        <f t="shared" si="80"/>
        <v>0</v>
      </c>
      <c r="V242" s="182">
        <f t="shared" si="74"/>
        <v>100</v>
      </c>
      <c r="W242" s="180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180"/>
      <c r="AI242" s="180">
        <v>0</v>
      </c>
      <c r="AJ242" s="181">
        <f t="shared" si="81"/>
        <v>0</v>
      </c>
      <c r="AK242" s="246">
        <f t="shared" si="82"/>
        <v>12000000</v>
      </c>
      <c r="AL242" s="181">
        <f t="shared" si="71"/>
        <v>100</v>
      </c>
      <c r="AM242" s="243"/>
    </row>
    <row r="243" spans="1:39" s="226" customFormat="1" ht="27.75" customHeight="1" x14ac:dyDescent="0.25">
      <c r="A243" s="289" t="s">
        <v>38</v>
      </c>
      <c r="B243" s="607" t="s">
        <v>145</v>
      </c>
      <c r="C243" s="607"/>
      <c r="D243" s="607"/>
      <c r="E243" s="607"/>
      <c r="F243" s="607"/>
      <c r="G243" s="607"/>
      <c r="H243" s="607"/>
      <c r="I243" s="608"/>
      <c r="J243" s="347" t="s">
        <v>473</v>
      </c>
      <c r="K243" s="291"/>
      <c r="L243" s="607" t="s">
        <v>39</v>
      </c>
      <c r="M243" s="607"/>
      <c r="N243" s="608"/>
      <c r="O243" s="263" t="e">
        <f>SUM(O244:O675)</f>
        <v>#REF!</v>
      </c>
      <c r="P243" s="263" t="e">
        <f>SUM(P244:P675)</f>
        <v>#REF!</v>
      </c>
      <c r="Q243" s="263">
        <f>SUM(Q244+Q259+Q270+Q282+Q292+Q304+Q312+Q320+Q327+Q334+Q345+Q351+Q359+Q372+Q382+Q395+Q403+Q417+Q420+Q431+Q442+Q452+Q461+Q471+Q478+Q485+Q490+Q499+Q506+Q518+Q525+Q537+Q548+Q557+Q567+Q580+Q589+Q603+Q613+Q622+Q632+Q639+Q654+Q668)</f>
        <v>11927844735</v>
      </c>
      <c r="R243" s="222">
        <f>Q243/Q$33*100</f>
        <v>37.525168166976002</v>
      </c>
      <c r="S243" s="222">
        <f>S244</f>
        <v>100</v>
      </c>
      <c r="T243" s="263">
        <f>AJ243</f>
        <v>2.0064458023815819</v>
      </c>
      <c r="U243" s="308">
        <f t="shared" si="77"/>
        <v>0.75292216152291958</v>
      </c>
      <c r="V243" s="292">
        <f t="shared" si="74"/>
        <v>97.993554197618423</v>
      </c>
      <c r="W243" s="263">
        <f t="shared" ref="W243:AH243" si="83">SUM(W244:W675)</f>
        <v>0</v>
      </c>
      <c r="X243" s="263" t="e">
        <f t="shared" si="83"/>
        <v>#REF!</v>
      </c>
      <c r="Y243" s="263" t="e">
        <f t="shared" si="83"/>
        <v>#REF!</v>
      </c>
      <c r="Z243" s="263" t="e">
        <f t="shared" si="83"/>
        <v>#REF!</v>
      </c>
      <c r="AA243" s="263" t="e">
        <f t="shared" si="83"/>
        <v>#REF!</v>
      </c>
      <c r="AB243" s="263">
        <f t="shared" si="83"/>
        <v>4302660235</v>
      </c>
      <c r="AC243" s="263" t="e">
        <f t="shared" si="83"/>
        <v>#REF!</v>
      </c>
      <c r="AD243" s="263" t="e">
        <f t="shared" si="83"/>
        <v>#REF!</v>
      </c>
      <c r="AE243" s="263" t="e">
        <f t="shared" si="83"/>
        <v>#REF!</v>
      </c>
      <c r="AF243" s="263" t="e">
        <f t="shared" si="83"/>
        <v>#REF!</v>
      </c>
      <c r="AG243" s="263" t="e">
        <f t="shared" si="83"/>
        <v>#REF!</v>
      </c>
      <c r="AH243" s="263" t="e">
        <f t="shared" si="83"/>
        <v>#REF!</v>
      </c>
      <c r="AI243" s="263">
        <f>SUM(AI244+AI259+AI270+AI282+AI292+AI304+AI312+AI320+AI327+AI334+AI345+AI351+AI359+AI372+AI382+AI395+AI403+AI417+AI420+AI431+AI442+AI452+AI461+AI471+AI478+AI485+AI490+AI499+AI506+AI518+AI525+AI537+AI548+AI557+AI567+AI580+AI589+AI603+AI613+AI622+AI632+AI654+AI668)</f>
        <v>239325740</v>
      </c>
      <c r="AJ243" s="222">
        <f>AI243/Q243*100</f>
        <v>2.0064458023815819</v>
      </c>
      <c r="AK243" s="265">
        <f>SUM(Q243-AI243)</f>
        <v>11688518995</v>
      </c>
      <c r="AL243" s="222">
        <f t="shared" si="71"/>
        <v>97.993554197618408</v>
      </c>
      <c r="AM243" s="289"/>
    </row>
    <row r="244" spans="1:39" s="297" customFormat="1" ht="24.75" customHeight="1" x14ac:dyDescent="0.25">
      <c r="A244" s="227">
        <f>A236+1</f>
        <v>36</v>
      </c>
      <c r="B244" s="615" t="s">
        <v>146</v>
      </c>
      <c r="C244" s="615"/>
      <c r="D244" s="615"/>
      <c r="E244" s="615"/>
      <c r="F244" s="615"/>
      <c r="G244" s="615"/>
      <c r="H244" s="615"/>
      <c r="I244" s="614"/>
      <c r="J244" s="304" t="s">
        <v>479</v>
      </c>
      <c r="K244" s="230"/>
      <c r="L244" s="294"/>
      <c r="M244" s="609" t="s">
        <v>40</v>
      </c>
      <c r="N244" s="609"/>
      <c r="O244" s="309">
        <v>628725000</v>
      </c>
      <c r="P244" s="231">
        <f>O244</f>
        <v>628725000</v>
      </c>
      <c r="Q244" s="231">
        <f>SUM(Q245:Q258)</f>
        <v>462073720</v>
      </c>
      <c r="R244" s="233">
        <f>Q244/Q$243*100</f>
        <v>3.8739079042849394</v>
      </c>
      <c r="S244" s="233">
        <v>100</v>
      </c>
      <c r="T244" s="231">
        <f t="shared" si="69"/>
        <v>0</v>
      </c>
      <c r="U244" s="231">
        <f t="shared" si="77"/>
        <v>0</v>
      </c>
      <c r="V244" s="296">
        <f t="shared" si="74"/>
        <v>100</v>
      </c>
      <c r="W244" s="231"/>
      <c r="X244" s="231" t="e">
        <f>#REF!</f>
        <v>#REF!</v>
      </c>
      <c r="Y244" s="231" t="e">
        <f>#REF!</f>
        <v>#REF!</v>
      </c>
      <c r="Z244" s="231" t="e">
        <f>#REF!</f>
        <v>#REF!</v>
      </c>
      <c r="AA244" s="231" t="e">
        <f>#REF!</f>
        <v>#REF!</v>
      </c>
      <c r="AB244" s="231">
        <v>391775000</v>
      </c>
      <c r="AC244" s="231" t="e">
        <f>#REF!</f>
        <v>#REF!</v>
      </c>
      <c r="AD244" s="231" t="e">
        <f>#REF!</f>
        <v>#REF!</v>
      </c>
      <c r="AE244" s="231" t="e">
        <f>#REF!</f>
        <v>#REF!</v>
      </c>
      <c r="AF244" s="231" t="e">
        <f>[1]April!N54</f>
        <v>#REF!</v>
      </c>
      <c r="AG244" s="231" t="e">
        <f>[2]april!N54</f>
        <v>#REF!</v>
      </c>
      <c r="AH244" s="231">
        <f>'[3]DES SKPD'!$N54</f>
        <v>508172500</v>
      </c>
      <c r="AI244" s="231">
        <f>SUM(AI245:AI258)</f>
        <v>0</v>
      </c>
      <c r="AJ244" s="233">
        <f t="shared" si="70"/>
        <v>0</v>
      </c>
      <c r="AK244" s="234">
        <f t="shared" ref="AK244:AK307" si="84">Q244-AI244</f>
        <v>462073720</v>
      </c>
      <c r="AL244" s="233">
        <f t="shared" si="71"/>
        <v>100</v>
      </c>
      <c r="AM244" s="227"/>
    </row>
    <row r="245" spans="1:39" ht="28.5" customHeight="1" x14ac:dyDescent="0.25">
      <c r="A245" s="243"/>
      <c r="B245" s="341"/>
      <c r="C245" s="341"/>
      <c r="D245" s="341"/>
      <c r="E245" s="341"/>
      <c r="F245" s="341"/>
      <c r="G245" s="341"/>
      <c r="H245" s="341"/>
      <c r="I245" s="342"/>
      <c r="J245" s="341" t="s">
        <v>259</v>
      </c>
      <c r="K245" s="245"/>
      <c r="L245" s="257"/>
      <c r="M245" s="591" t="s">
        <v>260</v>
      </c>
      <c r="N245" s="592"/>
      <c r="O245" s="179"/>
      <c r="P245" s="180"/>
      <c r="Q245" s="180">
        <v>3080000</v>
      </c>
      <c r="R245" s="181">
        <f t="shared" ref="R245:R256" si="85">Q245/Q$244*100</f>
        <v>0.66656030557202006</v>
      </c>
      <c r="S245" s="181">
        <v>100</v>
      </c>
      <c r="T245" s="180">
        <f>AJ245</f>
        <v>0</v>
      </c>
      <c r="U245" s="180">
        <f t="shared" si="77"/>
        <v>0</v>
      </c>
      <c r="V245" s="182">
        <f t="shared" si="74"/>
        <v>100</v>
      </c>
      <c r="W245" s="180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180"/>
      <c r="AI245" s="180">
        <v>0</v>
      </c>
      <c r="AJ245" s="181">
        <f t="shared" si="70"/>
        <v>0</v>
      </c>
      <c r="AK245" s="246">
        <f t="shared" si="84"/>
        <v>3080000</v>
      </c>
      <c r="AL245" s="181">
        <f t="shared" si="71"/>
        <v>100</v>
      </c>
      <c r="AM245" s="243"/>
    </row>
    <row r="246" spans="1:39" ht="24.75" customHeight="1" x14ac:dyDescent="0.25">
      <c r="A246" s="243"/>
      <c r="B246" s="341"/>
      <c r="C246" s="341"/>
      <c r="D246" s="341"/>
      <c r="E246" s="341"/>
      <c r="F246" s="341"/>
      <c r="G246" s="341"/>
      <c r="H246" s="341"/>
      <c r="I246" s="342"/>
      <c r="J246" s="341" t="s">
        <v>326</v>
      </c>
      <c r="K246" s="245"/>
      <c r="L246" s="257"/>
      <c r="M246" s="591" t="s">
        <v>327</v>
      </c>
      <c r="N246" s="592"/>
      <c r="O246" s="179"/>
      <c r="P246" s="180"/>
      <c r="Q246" s="180">
        <v>128800000</v>
      </c>
      <c r="R246" s="181">
        <f t="shared" si="85"/>
        <v>27.874340051193563</v>
      </c>
      <c r="S246" s="181">
        <v>100</v>
      </c>
      <c r="T246" s="180">
        <f t="shared" si="69"/>
        <v>0</v>
      </c>
      <c r="U246" s="180">
        <f t="shared" si="77"/>
        <v>0</v>
      </c>
      <c r="V246" s="182">
        <f t="shared" si="74"/>
        <v>100</v>
      </c>
      <c r="W246" s="180"/>
      <c r="X246" s="180"/>
      <c r="Y246" s="180"/>
      <c r="Z246" s="180"/>
      <c r="AA246" s="180"/>
      <c r="AB246" s="180"/>
      <c r="AC246" s="180"/>
      <c r="AD246" s="180"/>
      <c r="AE246" s="180"/>
      <c r="AF246" s="180"/>
      <c r="AG246" s="180"/>
      <c r="AH246" s="180"/>
      <c r="AI246" s="180">
        <v>0</v>
      </c>
      <c r="AJ246" s="181">
        <f t="shared" si="70"/>
        <v>0</v>
      </c>
      <c r="AK246" s="246">
        <f t="shared" si="84"/>
        <v>128800000</v>
      </c>
      <c r="AL246" s="181">
        <f t="shared" si="71"/>
        <v>100</v>
      </c>
      <c r="AM246" s="243"/>
    </row>
    <row r="247" spans="1:39" ht="24.75" customHeight="1" x14ac:dyDescent="0.25">
      <c r="A247" s="243"/>
      <c r="B247" s="341"/>
      <c r="C247" s="341"/>
      <c r="D247" s="341"/>
      <c r="E247" s="341"/>
      <c r="F247" s="341"/>
      <c r="G247" s="341"/>
      <c r="H247" s="341"/>
      <c r="I247" s="342"/>
      <c r="J247" s="341" t="s">
        <v>323</v>
      </c>
      <c r="K247" s="245"/>
      <c r="L247" s="257"/>
      <c r="M247" s="591" t="s">
        <v>324</v>
      </c>
      <c r="N247" s="592"/>
      <c r="O247" s="179"/>
      <c r="P247" s="180"/>
      <c r="Q247" s="180">
        <v>3000000</v>
      </c>
      <c r="R247" s="181">
        <f t="shared" si="85"/>
        <v>0.64924705088183765</v>
      </c>
      <c r="S247" s="181">
        <v>100</v>
      </c>
      <c r="T247" s="180">
        <f t="shared" si="69"/>
        <v>0</v>
      </c>
      <c r="U247" s="180">
        <f t="shared" si="77"/>
        <v>0</v>
      </c>
      <c r="V247" s="182">
        <f t="shared" si="74"/>
        <v>100</v>
      </c>
      <c r="W247" s="180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>
        <v>0</v>
      </c>
      <c r="AJ247" s="181">
        <f t="shared" si="70"/>
        <v>0</v>
      </c>
      <c r="AK247" s="246">
        <f t="shared" si="84"/>
        <v>3000000</v>
      </c>
      <c r="AL247" s="181">
        <f t="shared" si="71"/>
        <v>100</v>
      </c>
      <c r="AM247" s="243"/>
    </row>
    <row r="248" spans="1:39" ht="24.75" customHeight="1" x14ac:dyDescent="0.25">
      <c r="A248" s="243"/>
      <c r="B248" s="341"/>
      <c r="C248" s="341"/>
      <c r="D248" s="341"/>
      <c r="E248" s="341"/>
      <c r="F248" s="341"/>
      <c r="G248" s="341"/>
      <c r="H248" s="341"/>
      <c r="I248" s="342"/>
      <c r="J248" s="341" t="s">
        <v>269</v>
      </c>
      <c r="K248" s="245"/>
      <c r="L248" s="257"/>
      <c r="M248" s="591" t="s">
        <v>270</v>
      </c>
      <c r="N248" s="592"/>
      <c r="O248" s="179"/>
      <c r="P248" s="180"/>
      <c r="Q248" s="180">
        <v>52000000</v>
      </c>
      <c r="R248" s="181">
        <f t="shared" si="85"/>
        <v>11.253615548618519</v>
      </c>
      <c r="S248" s="181">
        <v>100</v>
      </c>
      <c r="T248" s="180">
        <f t="shared" si="69"/>
        <v>0</v>
      </c>
      <c r="U248" s="180">
        <f t="shared" si="77"/>
        <v>0</v>
      </c>
      <c r="V248" s="182">
        <f t="shared" si="74"/>
        <v>100</v>
      </c>
      <c r="W248" s="180"/>
      <c r="X248" s="180"/>
      <c r="Y248" s="180"/>
      <c r="Z248" s="180"/>
      <c r="AA248" s="180"/>
      <c r="AB248" s="180"/>
      <c r="AC248" s="180"/>
      <c r="AD248" s="180"/>
      <c r="AE248" s="180"/>
      <c r="AF248" s="180"/>
      <c r="AG248" s="180"/>
      <c r="AH248" s="180"/>
      <c r="AI248" s="180">
        <v>0</v>
      </c>
      <c r="AJ248" s="181">
        <f t="shared" si="70"/>
        <v>0</v>
      </c>
      <c r="AK248" s="246">
        <f t="shared" si="84"/>
        <v>52000000</v>
      </c>
      <c r="AL248" s="181">
        <f t="shared" si="71"/>
        <v>100</v>
      </c>
      <c r="AM248" s="243"/>
    </row>
    <row r="249" spans="1:39" ht="24.75" customHeight="1" x14ac:dyDescent="0.25">
      <c r="A249" s="243"/>
      <c r="B249" s="341"/>
      <c r="C249" s="341"/>
      <c r="D249" s="341"/>
      <c r="E249" s="341"/>
      <c r="F249" s="341"/>
      <c r="G249" s="341"/>
      <c r="H249" s="341"/>
      <c r="I249" s="342"/>
      <c r="J249" s="341" t="s">
        <v>315</v>
      </c>
      <c r="K249" s="245"/>
      <c r="L249" s="257"/>
      <c r="M249" s="591" t="s">
        <v>271</v>
      </c>
      <c r="N249" s="592"/>
      <c r="O249" s="179"/>
      <c r="P249" s="180"/>
      <c r="Q249" s="180">
        <v>4000000</v>
      </c>
      <c r="R249" s="181">
        <f t="shared" si="85"/>
        <v>0.8656627345091169</v>
      </c>
      <c r="S249" s="181">
        <v>100</v>
      </c>
      <c r="T249" s="180">
        <f t="shared" si="69"/>
        <v>0</v>
      </c>
      <c r="U249" s="180">
        <f t="shared" si="77"/>
        <v>0</v>
      </c>
      <c r="V249" s="182">
        <f t="shared" si="74"/>
        <v>100</v>
      </c>
      <c r="W249" s="180"/>
      <c r="X249" s="180"/>
      <c r="Y249" s="180"/>
      <c r="Z249" s="180"/>
      <c r="AA249" s="180"/>
      <c r="AB249" s="180"/>
      <c r="AC249" s="180"/>
      <c r="AD249" s="180"/>
      <c r="AE249" s="180"/>
      <c r="AF249" s="180"/>
      <c r="AG249" s="180"/>
      <c r="AH249" s="180"/>
      <c r="AI249" s="180">
        <v>0</v>
      </c>
      <c r="AJ249" s="181">
        <f t="shared" si="70"/>
        <v>0</v>
      </c>
      <c r="AK249" s="246">
        <f t="shared" si="84"/>
        <v>4000000</v>
      </c>
      <c r="AL249" s="181">
        <f t="shared" si="71"/>
        <v>100</v>
      </c>
      <c r="AM249" s="243"/>
    </row>
    <row r="250" spans="1:39" ht="24.75" customHeight="1" x14ac:dyDescent="0.25">
      <c r="A250" s="243"/>
      <c r="B250" s="341"/>
      <c r="C250" s="341"/>
      <c r="D250" s="341"/>
      <c r="E250" s="341"/>
      <c r="F250" s="341"/>
      <c r="G250" s="341"/>
      <c r="H250" s="341"/>
      <c r="I250" s="342"/>
      <c r="J250" s="341" t="s">
        <v>328</v>
      </c>
      <c r="K250" s="245"/>
      <c r="L250" s="257"/>
      <c r="M250" s="591" t="s">
        <v>329</v>
      </c>
      <c r="N250" s="592"/>
      <c r="O250" s="179"/>
      <c r="P250" s="180"/>
      <c r="Q250" s="180">
        <v>20000000</v>
      </c>
      <c r="R250" s="181">
        <f t="shared" si="85"/>
        <v>4.3283136725455842</v>
      </c>
      <c r="S250" s="181">
        <v>100</v>
      </c>
      <c r="T250" s="180">
        <f t="shared" si="69"/>
        <v>0</v>
      </c>
      <c r="U250" s="180">
        <f t="shared" si="77"/>
        <v>0</v>
      </c>
      <c r="V250" s="182">
        <f t="shared" si="74"/>
        <v>100</v>
      </c>
      <c r="W250" s="180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180"/>
      <c r="AI250" s="180">
        <v>0</v>
      </c>
      <c r="AJ250" s="181">
        <f t="shared" si="70"/>
        <v>0</v>
      </c>
      <c r="AK250" s="246">
        <f t="shared" si="84"/>
        <v>20000000</v>
      </c>
      <c r="AL250" s="181">
        <f t="shared" si="71"/>
        <v>100</v>
      </c>
      <c r="AM250" s="243"/>
    </row>
    <row r="251" spans="1:39" ht="31.5" customHeight="1" x14ac:dyDescent="0.25">
      <c r="A251" s="243"/>
      <c r="B251" s="341"/>
      <c r="C251" s="341"/>
      <c r="D251" s="341"/>
      <c r="E251" s="341"/>
      <c r="F251" s="341"/>
      <c r="G251" s="341"/>
      <c r="H251" s="341"/>
      <c r="I251" s="342"/>
      <c r="J251" s="341" t="s">
        <v>318</v>
      </c>
      <c r="K251" s="245"/>
      <c r="L251" s="257"/>
      <c r="M251" s="591" t="s">
        <v>319</v>
      </c>
      <c r="N251" s="592"/>
      <c r="O251" s="179"/>
      <c r="P251" s="180"/>
      <c r="Q251" s="180">
        <v>61500000</v>
      </c>
      <c r="R251" s="181">
        <f t="shared" si="85"/>
        <v>13.30956454307767</v>
      </c>
      <c r="S251" s="181">
        <v>100</v>
      </c>
      <c r="T251" s="180">
        <f t="shared" si="69"/>
        <v>0</v>
      </c>
      <c r="U251" s="180">
        <f t="shared" si="77"/>
        <v>0</v>
      </c>
      <c r="V251" s="182">
        <f t="shared" si="74"/>
        <v>100</v>
      </c>
      <c r="W251" s="180"/>
      <c r="X251" s="180"/>
      <c r="Y251" s="180"/>
      <c r="Z251" s="180"/>
      <c r="AA251" s="180"/>
      <c r="AB251" s="180"/>
      <c r="AC251" s="180"/>
      <c r="AD251" s="180"/>
      <c r="AE251" s="180"/>
      <c r="AF251" s="180"/>
      <c r="AG251" s="180"/>
      <c r="AH251" s="180"/>
      <c r="AI251" s="180">
        <v>0</v>
      </c>
      <c r="AJ251" s="181">
        <f t="shared" si="70"/>
        <v>0</v>
      </c>
      <c r="AK251" s="246">
        <f t="shared" si="84"/>
        <v>61500000</v>
      </c>
      <c r="AL251" s="181">
        <f t="shared" si="71"/>
        <v>100</v>
      </c>
      <c r="AM251" s="243"/>
    </row>
    <row r="252" spans="1:39" ht="24.75" customHeight="1" x14ac:dyDescent="0.25">
      <c r="A252" s="243"/>
      <c r="B252" s="341"/>
      <c r="C252" s="341"/>
      <c r="D252" s="341"/>
      <c r="E252" s="341"/>
      <c r="F252" s="341"/>
      <c r="G252" s="341"/>
      <c r="H252" s="341"/>
      <c r="I252" s="342"/>
      <c r="J252" s="341" t="s">
        <v>280</v>
      </c>
      <c r="K252" s="245"/>
      <c r="L252" s="257"/>
      <c r="M252" s="591" t="s">
        <v>281</v>
      </c>
      <c r="N252" s="592"/>
      <c r="O252" s="179"/>
      <c r="P252" s="180"/>
      <c r="Q252" s="180">
        <v>15000000</v>
      </c>
      <c r="R252" s="181">
        <f t="shared" si="85"/>
        <v>3.2462352544091884</v>
      </c>
      <c r="S252" s="181">
        <v>100</v>
      </c>
      <c r="T252" s="180">
        <f t="shared" si="69"/>
        <v>0</v>
      </c>
      <c r="U252" s="180">
        <f t="shared" si="77"/>
        <v>0</v>
      </c>
      <c r="V252" s="182">
        <f t="shared" si="74"/>
        <v>100</v>
      </c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180"/>
      <c r="AI252" s="180">
        <v>0</v>
      </c>
      <c r="AJ252" s="181">
        <f t="shared" si="70"/>
        <v>0</v>
      </c>
      <c r="AK252" s="246">
        <f t="shared" si="84"/>
        <v>15000000</v>
      </c>
      <c r="AL252" s="181">
        <f t="shared" si="71"/>
        <v>100</v>
      </c>
      <c r="AM252" s="243"/>
    </row>
    <row r="253" spans="1:39" ht="24.75" customHeight="1" x14ac:dyDescent="0.25">
      <c r="A253" s="243"/>
      <c r="B253" s="341"/>
      <c r="C253" s="341"/>
      <c r="D253" s="341"/>
      <c r="E253" s="341"/>
      <c r="F253" s="341"/>
      <c r="G253" s="341"/>
      <c r="H253" s="341"/>
      <c r="I253" s="342"/>
      <c r="J253" s="341" t="s">
        <v>284</v>
      </c>
      <c r="K253" s="245"/>
      <c r="L253" s="257"/>
      <c r="M253" s="591" t="s">
        <v>285</v>
      </c>
      <c r="N253" s="592"/>
      <c r="O253" s="179"/>
      <c r="P253" s="180"/>
      <c r="Q253" s="180">
        <v>6600000</v>
      </c>
      <c r="R253" s="181">
        <f t="shared" si="85"/>
        <v>1.4283435119400427</v>
      </c>
      <c r="S253" s="181">
        <v>100</v>
      </c>
      <c r="T253" s="180">
        <f t="shared" si="69"/>
        <v>0</v>
      </c>
      <c r="U253" s="180">
        <f t="shared" si="77"/>
        <v>0</v>
      </c>
      <c r="V253" s="182">
        <f t="shared" si="74"/>
        <v>100</v>
      </c>
      <c r="W253" s="180"/>
      <c r="X253" s="180"/>
      <c r="Y253" s="180"/>
      <c r="Z253" s="180"/>
      <c r="AA253" s="180"/>
      <c r="AB253" s="180"/>
      <c r="AC253" s="180"/>
      <c r="AD253" s="180"/>
      <c r="AE253" s="180"/>
      <c r="AF253" s="180"/>
      <c r="AG253" s="180"/>
      <c r="AH253" s="180"/>
      <c r="AI253" s="180">
        <v>0</v>
      </c>
      <c r="AJ253" s="181">
        <f t="shared" si="70"/>
        <v>0</v>
      </c>
      <c r="AK253" s="246">
        <f t="shared" si="84"/>
        <v>6600000</v>
      </c>
      <c r="AL253" s="181">
        <f t="shared" si="71"/>
        <v>100</v>
      </c>
      <c r="AM253" s="243"/>
    </row>
    <row r="254" spans="1:39" ht="24.75" customHeight="1" x14ac:dyDescent="0.25">
      <c r="A254" s="243"/>
      <c r="B254" s="341"/>
      <c r="C254" s="341"/>
      <c r="D254" s="341"/>
      <c r="E254" s="341"/>
      <c r="F254" s="341"/>
      <c r="G254" s="341"/>
      <c r="H254" s="341"/>
      <c r="I254" s="342"/>
      <c r="J254" s="341" t="s">
        <v>282</v>
      </c>
      <c r="K254" s="245"/>
      <c r="L254" s="257"/>
      <c r="M254" s="591" t="s">
        <v>283</v>
      </c>
      <c r="N254" s="592"/>
      <c r="O254" s="179"/>
      <c r="P254" s="180"/>
      <c r="Q254" s="180">
        <v>33250000</v>
      </c>
      <c r="R254" s="181">
        <f t="shared" si="85"/>
        <v>7.1958214806070337</v>
      </c>
      <c r="S254" s="181">
        <v>100</v>
      </c>
      <c r="T254" s="180">
        <f t="shared" si="69"/>
        <v>0</v>
      </c>
      <c r="U254" s="180">
        <f t="shared" si="77"/>
        <v>0</v>
      </c>
      <c r="V254" s="182">
        <f t="shared" si="74"/>
        <v>100</v>
      </c>
      <c r="W254" s="180"/>
      <c r="X254" s="180"/>
      <c r="Y254" s="180"/>
      <c r="Z254" s="180"/>
      <c r="AA254" s="180"/>
      <c r="AB254" s="180"/>
      <c r="AC254" s="180"/>
      <c r="AD254" s="180"/>
      <c r="AE254" s="180"/>
      <c r="AF254" s="180"/>
      <c r="AG254" s="180"/>
      <c r="AH254" s="180"/>
      <c r="AI254" s="180">
        <v>0</v>
      </c>
      <c r="AJ254" s="181">
        <f t="shared" si="70"/>
        <v>0</v>
      </c>
      <c r="AK254" s="246">
        <f t="shared" si="84"/>
        <v>33250000</v>
      </c>
      <c r="AL254" s="181">
        <f t="shared" si="71"/>
        <v>100</v>
      </c>
      <c r="AM254" s="243"/>
    </row>
    <row r="255" spans="1:39" ht="24.75" customHeight="1" x14ac:dyDescent="0.25">
      <c r="A255" s="243"/>
      <c r="B255" s="341"/>
      <c r="C255" s="341"/>
      <c r="D255" s="341"/>
      <c r="E255" s="341"/>
      <c r="F255" s="341"/>
      <c r="G255" s="341"/>
      <c r="H255" s="341"/>
      <c r="I255" s="342"/>
      <c r="J255" s="341" t="s">
        <v>306</v>
      </c>
      <c r="K255" s="245"/>
      <c r="L255" s="257"/>
      <c r="M255" s="591" t="s">
        <v>325</v>
      </c>
      <c r="N255" s="592"/>
      <c r="O255" s="179"/>
      <c r="P255" s="180"/>
      <c r="Q255" s="180">
        <v>45000000</v>
      </c>
      <c r="R255" s="181">
        <f t="shared" si="85"/>
        <v>9.7387057632275642</v>
      </c>
      <c r="S255" s="181">
        <v>100</v>
      </c>
      <c r="T255" s="180">
        <f t="shared" si="69"/>
        <v>0</v>
      </c>
      <c r="U255" s="180">
        <f t="shared" si="77"/>
        <v>0</v>
      </c>
      <c r="V255" s="182">
        <f t="shared" si="74"/>
        <v>100</v>
      </c>
      <c r="W255" s="180"/>
      <c r="X255" s="180"/>
      <c r="Y255" s="180"/>
      <c r="Z255" s="180"/>
      <c r="AA255" s="180"/>
      <c r="AB255" s="180"/>
      <c r="AC255" s="180"/>
      <c r="AD255" s="180"/>
      <c r="AE255" s="180"/>
      <c r="AF255" s="180"/>
      <c r="AG255" s="180"/>
      <c r="AH255" s="180"/>
      <c r="AI255" s="180">
        <v>0</v>
      </c>
      <c r="AJ255" s="181">
        <f t="shared" si="70"/>
        <v>0</v>
      </c>
      <c r="AK255" s="246">
        <f t="shared" si="84"/>
        <v>45000000</v>
      </c>
      <c r="AL255" s="181">
        <f t="shared" si="71"/>
        <v>100</v>
      </c>
      <c r="AM255" s="243"/>
    </row>
    <row r="256" spans="1:39" ht="24.75" customHeight="1" x14ac:dyDescent="0.25">
      <c r="A256" s="243"/>
      <c r="B256" s="341"/>
      <c r="C256" s="341"/>
      <c r="D256" s="341"/>
      <c r="E256" s="341"/>
      <c r="F256" s="341"/>
      <c r="G256" s="341"/>
      <c r="H256" s="341"/>
      <c r="I256" s="342"/>
      <c r="J256" s="341" t="s">
        <v>379</v>
      </c>
      <c r="K256" s="245"/>
      <c r="L256" s="257"/>
      <c r="M256" s="591" t="s">
        <v>601</v>
      </c>
      <c r="N256" s="592"/>
      <c r="O256" s="179"/>
      <c r="P256" s="180"/>
      <c r="Q256" s="180">
        <v>31843720</v>
      </c>
      <c r="R256" s="181">
        <f t="shared" si="85"/>
        <v>6.8914804330356638</v>
      </c>
      <c r="S256" s="181">
        <v>100</v>
      </c>
      <c r="T256" s="180">
        <f t="shared" si="69"/>
        <v>0</v>
      </c>
      <c r="U256" s="180">
        <f t="shared" si="77"/>
        <v>0</v>
      </c>
      <c r="V256" s="182">
        <f t="shared" si="74"/>
        <v>100</v>
      </c>
      <c r="W256" s="180"/>
      <c r="X256" s="180"/>
      <c r="Y256" s="180"/>
      <c r="Z256" s="180"/>
      <c r="AA256" s="180"/>
      <c r="AB256" s="180"/>
      <c r="AC256" s="180"/>
      <c r="AD256" s="180"/>
      <c r="AE256" s="180"/>
      <c r="AF256" s="180"/>
      <c r="AG256" s="180"/>
      <c r="AH256" s="180"/>
      <c r="AI256" s="180">
        <v>0</v>
      </c>
      <c r="AJ256" s="181">
        <f t="shared" si="70"/>
        <v>0</v>
      </c>
      <c r="AK256" s="246">
        <f t="shared" si="84"/>
        <v>31843720</v>
      </c>
      <c r="AL256" s="181">
        <f t="shared" si="71"/>
        <v>100</v>
      </c>
      <c r="AM256" s="243"/>
    </row>
    <row r="257" spans="1:39" ht="24.75" customHeight="1" x14ac:dyDescent="0.25">
      <c r="A257" s="243"/>
      <c r="B257" s="341"/>
      <c r="C257" s="341"/>
      <c r="D257" s="341"/>
      <c r="E257" s="341"/>
      <c r="F257" s="341"/>
      <c r="G257" s="341"/>
      <c r="H257" s="341"/>
      <c r="I257" s="342"/>
      <c r="J257" s="341" t="s">
        <v>380</v>
      </c>
      <c r="K257" s="245"/>
      <c r="L257" s="257"/>
      <c r="M257" s="591" t="s">
        <v>321</v>
      </c>
      <c r="N257" s="592"/>
      <c r="O257" s="179"/>
      <c r="P257" s="180"/>
      <c r="Q257" s="180">
        <v>40000000</v>
      </c>
      <c r="R257" s="181">
        <f>Q257/Q$244*100</f>
        <v>8.6566273450911684</v>
      </c>
      <c r="S257" s="181">
        <v>100</v>
      </c>
      <c r="T257" s="180">
        <f t="shared" si="69"/>
        <v>0</v>
      </c>
      <c r="U257" s="180">
        <f t="shared" si="77"/>
        <v>0</v>
      </c>
      <c r="V257" s="182">
        <f t="shared" si="74"/>
        <v>100</v>
      </c>
      <c r="W257" s="180"/>
      <c r="X257" s="180"/>
      <c r="Y257" s="180"/>
      <c r="Z257" s="180"/>
      <c r="AA257" s="180"/>
      <c r="AB257" s="180"/>
      <c r="AC257" s="180"/>
      <c r="AD257" s="180"/>
      <c r="AE257" s="180"/>
      <c r="AF257" s="180"/>
      <c r="AG257" s="180"/>
      <c r="AH257" s="180"/>
      <c r="AI257" s="180">
        <v>0</v>
      </c>
      <c r="AJ257" s="181">
        <f t="shared" si="70"/>
        <v>0</v>
      </c>
      <c r="AK257" s="246">
        <f t="shared" si="84"/>
        <v>40000000</v>
      </c>
      <c r="AL257" s="181">
        <f t="shared" si="71"/>
        <v>100</v>
      </c>
      <c r="AM257" s="243"/>
    </row>
    <row r="258" spans="1:39" ht="24.75" customHeight="1" x14ac:dyDescent="0.25">
      <c r="A258" s="243"/>
      <c r="B258" s="341"/>
      <c r="C258" s="341"/>
      <c r="D258" s="341"/>
      <c r="E258" s="341"/>
      <c r="F258" s="341"/>
      <c r="G258" s="341"/>
      <c r="H258" s="341"/>
      <c r="I258" s="342"/>
      <c r="J258" s="341" t="s">
        <v>413</v>
      </c>
      <c r="K258" s="245"/>
      <c r="L258" s="257"/>
      <c r="M258" s="591" t="s">
        <v>414</v>
      </c>
      <c r="N258" s="592"/>
      <c r="O258" s="179"/>
      <c r="P258" s="180"/>
      <c r="Q258" s="180">
        <v>18000000</v>
      </c>
      <c r="R258" s="181">
        <f>Q258/Q$244*100</f>
        <v>3.8954823052910257</v>
      </c>
      <c r="S258" s="181">
        <v>100</v>
      </c>
      <c r="T258" s="180">
        <f t="shared" si="69"/>
        <v>0</v>
      </c>
      <c r="U258" s="180">
        <f t="shared" si="77"/>
        <v>0</v>
      </c>
      <c r="V258" s="182">
        <f t="shared" si="74"/>
        <v>100</v>
      </c>
      <c r="W258" s="180"/>
      <c r="X258" s="180"/>
      <c r="Y258" s="180"/>
      <c r="Z258" s="180"/>
      <c r="AA258" s="180"/>
      <c r="AB258" s="180"/>
      <c r="AC258" s="180"/>
      <c r="AD258" s="180"/>
      <c r="AE258" s="180"/>
      <c r="AF258" s="180"/>
      <c r="AG258" s="180"/>
      <c r="AH258" s="180"/>
      <c r="AI258" s="180">
        <v>0</v>
      </c>
      <c r="AJ258" s="181">
        <f t="shared" si="70"/>
        <v>0</v>
      </c>
      <c r="AK258" s="246">
        <f t="shared" si="84"/>
        <v>18000000</v>
      </c>
      <c r="AL258" s="181">
        <f t="shared" si="71"/>
        <v>100</v>
      </c>
      <c r="AM258" s="243"/>
    </row>
    <row r="259" spans="1:39" s="297" customFormat="1" ht="30.75" customHeight="1" x14ac:dyDescent="0.25">
      <c r="A259" s="227">
        <f>SUM(A244+1)</f>
        <v>37</v>
      </c>
      <c r="B259" s="346"/>
      <c r="C259" s="346"/>
      <c r="D259" s="346"/>
      <c r="E259" s="346"/>
      <c r="F259" s="346"/>
      <c r="G259" s="346"/>
      <c r="H259" s="346"/>
      <c r="I259" s="345"/>
      <c r="J259" s="304" t="s">
        <v>480</v>
      </c>
      <c r="K259" s="230"/>
      <c r="L259" s="294"/>
      <c r="M259" s="610" t="s">
        <v>338</v>
      </c>
      <c r="N259" s="612"/>
      <c r="O259" s="309"/>
      <c r="P259" s="231"/>
      <c r="Q259" s="231">
        <f>SUM(Q260:Q269)</f>
        <v>64057069</v>
      </c>
      <c r="R259" s="233">
        <f>Q259/Q$243*100</f>
        <v>0.53703808544754672</v>
      </c>
      <c r="S259" s="233">
        <v>100</v>
      </c>
      <c r="T259" s="231">
        <f t="shared" si="69"/>
        <v>0</v>
      </c>
      <c r="U259" s="231">
        <f>R259*T259/100</f>
        <v>0</v>
      </c>
      <c r="V259" s="296">
        <f t="shared" si="74"/>
        <v>100</v>
      </c>
      <c r="W259" s="231"/>
      <c r="X259" s="231" t="e">
        <f>#REF!</f>
        <v>#REF!</v>
      </c>
      <c r="Y259" s="231" t="e">
        <f>#REF!</f>
        <v>#REF!</v>
      </c>
      <c r="Z259" s="231" t="e">
        <f>#REF!</f>
        <v>#REF!</v>
      </c>
      <c r="AA259" s="231" t="e">
        <f>#REF!</f>
        <v>#REF!</v>
      </c>
      <c r="AB259" s="231">
        <v>391775001</v>
      </c>
      <c r="AC259" s="231" t="e">
        <f>#REF!</f>
        <v>#REF!</v>
      </c>
      <c r="AD259" s="231" t="e">
        <f>#REF!</f>
        <v>#REF!</v>
      </c>
      <c r="AE259" s="231" t="e">
        <f>#REF!</f>
        <v>#REF!</v>
      </c>
      <c r="AF259" s="231" t="e">
        <f>[1]April!N55</f>
        <v>#REF!</v>
      </c>
      <c r="AG259" s="231" t="e">
        <f>[2]april!N55</f>
        <v>#REF!</v>
      </c>
      <c r="AH259" s="231" t="e">
        <f>'[3]DES SKPD'!$N55</f>
        <v>#REF!</v>
      </c>
      <c r="AI259" s="231">
        <f>SUM(AI260:AI269)</f>
        <v>0</v>
      </c>
      <c r="AJ259" s="233">
        <f t="shared" si="70"/>
        <v>0</v>
      </c>
      <c r="AK259" s="234">
        <f t="shared" si="84"/>
        <v>64057069</v>
      </c>
      <c r="AL259" s="233">
        <f t="shared" si="71"/>
        <v>100</v>
      </c>
      <c r="AM259" s="227"/>
    </row>
    <row r="260" spans="1:39" ht="24.75" customHeight="1" x14ac:dyDescent="0.25">
      <c r="A260" s="243"/>
      <c r="B260" s="341"/>
      <c r="C260" s="341"/>
      <c r="D260" s="341"/>
      <c r="E260" s="341"/>
      <c r="F260" s="341"/>
      <c r="G260" s="341"/>
      <c r="H260" s="341"/>
      <c r="I260" s="342"/>
      <c r="J260" s="341" t="s">
        <v>326</v>
      </c>
      <c r="K260" s="245"/>
      <c r="L260" s="257"/>
      <c r="M260" s="591" t="s">
        <v>327</v>
      </c>
      <c r="N260" s="592"/>
      <c r="O260" s="179"/>
      <c r="P260" s="180"/>
      <c r="Q260" s="180">
        <v>15750000</v>
      </c>
      <c r="R260" s="181">
        <f>Q260/Q$259*100</f>
        <v>24.587450293737291</v>
      </c>
      <c r="S260" s="181">
        <v>100</v>
      </c>
      <c r="T260" s="180">
        <f t="shared" si="69"/>
        <v>0</v>
      </c>
      <c r="U260" s="180">
        <f t="shared" si="77"/>
        <v>0</v>
      </c>
      <c r="V260" s="182">
        <f t="shared" si="74"/>
        <v>100</v>
      </c>
      <c r="W260" s="180"/>
      <c r="X260" s="180"/>
      <c r="Y260" s="180"/>
      <c r="Z260" s="180"/>
      <c r="AA260" s="180"/>
      <c r="AB260" s="180"/>
      <c r="AC260" s="180"/>
      <c r="AD260" s="180"/>
      <c r="AE260" s="180"/>
      <c r="AF260" s="180"/>
      <c r="AG260" s="180"/>
      <c r="AH260" s="180"/>
      <c r="AI260" s="180">
        <v>0</v>
      </c>
      <c r="AJ260" s="181">
        <f t="shared" si="70"/>
        <v>0</v>
      </c>
      <c r="AK260" s="246">
        <f t="shared" si="84"/>
        <v>15750000</v>
      </c>
      <c r="AL260" s="181">
        <f t="shared" si="71"/>
        <v>100</v>
      </c>
      <c r="AM260" s="243"/>
    </row>
    <row r="261" spans="1:39" ht="24.75" customHeight="1" x14ac:dyDescent="0.25">
      <c r="A261" s="243"/>
      <c r="B261" s="341"/>
      <c r="C261" s="341"/>
      <c r="D261" s="341"/>
      <c r="E261" s="341"/>
      <c r="F261" s="341"/>
      <c r="G261" s="341"/>
      <c r="H261" s="341"/>
      <c r="I261" s="342"/>
      <c r="J261" s="341" t="s">
        <v>323</v>
      </c>
      <c r="K261" s="245"/>
      <c r="L261" s="257"/>
      <c r="M261" s="591" t="s">
        <v>324</v>
      </c>
      <c r="N261" s="592"/>
      <c r="O261" s="179"/>
      <c r="P261" s="180"/>
      <c r="Q261" s="180">
        <v>2468000</v>
      </c>
      <c r="R261" s="181">
        <f t="shared" ref="R261:R269" si="86">Q261/Q$259*100</f>
        <v>3.8528144333297552</v>
      </c>
      <c r="S261" s="181">
        <v>100</v>
      </c>
      <c r="T261" s="180">
        <f t="shared" si="69"/>
        <v>0</v>
      </c>
      <c r="U261" s="180">
        <f t="shared" si="77"/>
        <v>0</v>
      </c>
      <c r="V261" s="182">
        <f t="shared" si="74"/>
        <v>100</v>
      </c>
      <c r="W261" s="180"/>
      <c r="X261" s="180"/>
      <c r="Y261" s="180"/>
      <c r="Z261" s="180"/>
      <c r="AA261" s="180"/>
      <c r="AB261" s="180"/>
      <c r="AC261" s="180"/>
      <c r="AD261" s="180"/>
      <c r="AE261" s="180"/>
      <c r="AF261" s="180"/>
      <c r="AG261" s="180"/>
      <c r="AH261" s="180"/>
      <c r="AI261" s="180">
        <v>0</v>
      </c>
      <c r="AJ261" s="181">
        <f t="shared" si="70"/>
        <v>0</v>
      </c>
      <c r="AK261" s="246">
        <f t="shared" si="84"/>
        <v>2468000</v>
      </c>
      <c r="AL261" s="181">
        <f t="shared" si="71"/>
        <v>100</v>
      </c>
      <c r="AM261" s="243"/>
    </row>
    <row r="262" spans="1:39" ht="24.75" customHeight="1" x14ac:dyDescent="0.25">
      <c r="A262" s="243"/>
      <c r="B262" s="341"/>
      <c r="C262" s="341"/>
      <c r="D262" s="341"/>
      <c r="E262" s="341"/>
      <c r="F262" s="341"/>
      <c r="G262" s="341"/>
      <c r="H262" s="341"/>
      <c r="I262" s="342"/>
      <c r="J262" s="341" t="s">
        <v>269</v>
      </c>
      <c r="K262" s="245"/>
      <c r="L262" s="257"/>
      <c r="M262" s="591" t="s">
        <v>352</v>
      </c>
      <c r="N262" s="592"/>
      <c r="O262" s="179"/>
      <c r="P262" s="180"/>
      <c r="Q262" s="180">
        <v>3000000</v>
      </c>
      <c r="R262" s="181">
        <f t="shared" si="86"/>
        <v>4.6833238654737697</v>
      </c>
      <c r="S262" s="181">
        <v>100</v>
      </c>
      <c r="T262" s="180">
        <f t="shared" si="69"/>
        <v>0</v>
      </c>
      <c r="U262" s="180">
        <f t="shared" si="77"/>
        <v>0</v>
      </c>
      <c r="V262" s="182">
        <f t="shared" si="74"/>
        <v>100</v>
      </c>
      <c r="W262" s="180"/>
      <c r="X262" s="180"/>
      <c r="Y262" s="180"/>
      <c r="Z262" s="180"/>
      <c r="AA262" s="180"/>
      <c r="AB262" s="180"/>
      <c r="AC262" s="180"/>
      <c r="AD262" s="180"/>
      <c r="AE262" s="180"/>
      <c r="AF262" s="180"/>
      <c r="AG262" s="180"/>
      <c r="AH262" s="180"/>
      <c r="AI262" s="180">
        <v>0</v>
      </c>
      <c r="AJ262" s="181">
        <f t="shared" si="70"/>
        <v>0</v>
      </c>
      <c r="AK262" s="246">
        <f t="shared" si="84"/>
        <v>3000000</v>
      </c>
      <c r="AL262" s="181">
        <f t="shared" si="71"/>
        <v>100</v>
      </c>
      <c r="AM262" s="243"/>
    </row>
    <row r="263" spans="1:39" ht="29.25" customHeight="1" x14ac:dyDescent="0.25">
      <c r="A263" s="243"/>
      <c r="B263" s="341"/>
      <c r="C263" s="341"/>
      <c r="D263" s="341"/>
      <c r="E263" s="341"/>
      <c r="F263" s="341"/>
      <c r="G263" s="341"/>
      <c r="H263" s="341"/>
      <c r="I263" s="342"/>
      <c r="J263" s="341" t="s">
        <v>315</v>
      </c>
      <c r="K263" s="245"/>
      <c r="L263" s="257"/>
      <c r="M263" s="591" t="s">
        <v>428</v>
      </c>
      <c r="N263" s="592"/>
      <c r="O263" s="179"/>
      <c r="P263" s="180"/>
      <c r="Q263" s="180">
        <v>2820000</v>
      </c>
      <c r="R263" s="181">
        <f t="shared" si="86"/>
        <v>4.4023244335453438</v>
      </c>
      <c r="S263" s="181">
        <v>100</v>
      </c>
      <c r="T263" s="180">
        <f t="shared" si="69"/>
        <v>0</v>
      </c>
      <c r="U263" s="180">
        <f t="shared" si="77"/>
        <v>0</v>
      </c>
      <c r="V263" s="182">
        <f t="shared" si="74"/>
        <v>100</v>
      </c>
      <c r="W263" s="180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180"/>
      <c r="AI263" s="180">
        <v>0</v>
      </c>
      <c r="AJ263" s="181">
        <f t="shared" si="70"/>
        <v>0</v>
      </c>
      <c r="AK263" s="246">
        <f t="shared" si="84"/>
        <v>2820000</v>
      </c>
      <c r="AL263" s="181">
        <f t="shared" si="71"/>
        <v>100</v>
      </c>
      <c r="AM263" s="243"/>
    </row>
    <row r="264" spans="1:39" ht="29.25" customHeight="1" x14ac:dyDescent="0.25">
      <c r="A264" s="243"/>
      <c r="B264" s="341"/>
      <c r="C264" s="341"/>
      <c r="D264" s="341"/>
      <c r="E264" s="341"/>
      <c r="F264" s="341"/>
      <c r="G264" s="341"/>
      <c r="H264" s="341"/>
      <c r="I264" s="342"/>
      <c r="J264" s="341" t="s">
        <v>318</v>
      </c>
      <c r="K264" s="245"/>
      <c r="L264" s="257"/>
      <c r="M264" s="591" t="s">
        <v>602</v>
      </c>
      <c r="N264" s="592"/>
      <c r="O264" s="179"/>
      <c r="P264" s="180"/>
      <c r="Q264" s="180">
        <v>20000000</v>
      </c>
      <c r="R264" s="181">
        <f t="shared" si="86"/>
        <v>31.222159103158464</v>
      </c>
      <c r="S264" s="181">
        <v>100</v>
      </c>
      <c r="T264" s="180">
        <f t="shared" si="69"/>
        <v>0</v>
      </c>
      <c r="U264" s="180">
        <f t="shared" si="77"/>
        <v>0</v>
      </c>
      <c r="V264" s="182">
        <f t="shared" si="74"/>
        <v>100</v>
      </c>
      <c r="W264" s="180"/>
      <c r="X264" s="180"/>
      <c r="Y264" s="180"/>
      <c r="Z264" s="180"/>
      <c r="AA264" s="180"/>
      <c r="AB264" s="180"/>
      <c r="AC264" s="180"/>
      <c r="AD264" s="180"/>
      <c r="AE264" s="180"/>
      <c r="AF264" s="180"/>
      <c r="AG264" s="180"/>
      <c r="AH264" s="180"/>
      <c r="AI264" s="180">
        <v>0</v>
      </c>
      <c r="AJ264" s="181">
        <f t="shared" si="70"/>
        <v>0</v>
      </c>
      <c r="AK264" s="246">
        <f t="shared" si="84"/>
        <v>20000000</v>
      </c>
      <c r="AL264" s="181">
        <f t="shared" si="71"/>
        <v>100</v>
      </c>
      <c r="AM264" s="243"/>
    </row>
    <row r="265" spans="1:39" ht="29.25" customHeight="1" x14ac:dyDescent="0.25">
      <c r="A265" s="243"/>
      <c r="B265" s="341"/>
      <c r="C265" s="341"/>
      <c r="D265" s="341"/>
      <c r="E265" s="341"/>
      <c r="F265" s="341"/>
      <c r="G265" s="341"/>
      <c r="H265" s="341"/>
      <c r="I265" s="342"/>
      <c r="J265" s="341" t="s">
        <v>339</v>
      </c>
      <c r="K265" s="245"/>
      <c r="L265" s="257"/>
      <c r="M265" s="591" t="s">
        <v>340</v>
      </c>
      <c r="N265" s="592"/>
      <c r="O265" s="179"/>
      <c r="P265" s="180"/>
      <c r="Q265" s="180">
        <v>2000000</v>
      </c>
      <c r="R265" s="181">
        <f t="shared" si="86"/>
        <v>3.1222159103158469</v>
      </c>
      <c r="S265" s="181">
        <v>100</v>
      </c>
      <c r="T265" s="180">
        <f t="shared" si="69"/>
        <v>0</v>
      </c>
      <c r="U265" s="180">
        <f t="shared" si="77"/>
        <v>0</v>
      </c>
      <c r="V265" s="182">
        <f t="shared" si="74"/>
        <v>100</v>
      </c>
      <c r="W265" s="180"/>
      <c r="X265" s="180"/>
      <c r="Y265" s="180"/>
      <c r="Z265" s="180"/>
      <c r="AA265" s="180"/>
      <c r="AB265" s="180"/>
      <c r="AC265" s="180"/>
      <c r="AD265" s="180"/>
      <c r="AE265" s="180"/>
      <c r="AF265" s="180"/>
      <c r="AG265" s="180"/>
      <c r="AH265" s="180"/>
      <c r="AI265" s="180">
        <v>0</v>
      </c>
      <c r="AJ265" s="181">
        <f t="shared" si="70"/>
        <v>0</v>
      </c>
      <c r="AK265" s="246">
        <f t="shared" si="84"/>
        <v>2000000</v>
      </c>
      <c r="AL265" s="181">
        <f t="shared" si="71"/>
        <v>100</v>
      </c>
      <c r="AM265" s="243"/>
    </row>
    <row r="266" spans="1:39" ht="29.25" customHeight="1" x14ac:dyDescent="0.25">
      <c r="A266" s="243"/>
      <c r="B266" s="341"/>
      <c r="C266" s="341"/>
      <c r="D266" s="341"/>
      <c r="E266" s="341"/>
      <c r="F266" s="341"/>
      <c r="G266" s="341"/>
      <c r="H266" s="341"/>
      <c r="I266" s="342"/>
      <c r="J266" s="341" t="s">
        <v>284</v>
      </c>
      <c r="K266" s="245"/>
      <c r="L266" s="257"/>
      <c r="M266" s="591" t="s">
        <v>603</v>
      </c>
      <c r="N266" s="592"/>
      <c r="O266" s="179"/>
      <c r="P266" s="180"/>
      <c r="Q266" s="180">
        <v>1119069</v>
      </c>
      <c r="R266" s="181">
        <f t="shared" si="86"/>
        <v>1.746987518270622</v>
      </c>
      <c r="S266" s="181">
        <v>100</v>
      </c>
      <c r="T266" s="180">
        <f t="shared" si="69"/>
        <v>0</v>
      </c>
      <c r="U266" s="180">
        <f t="shared" si="77"/>
        <v>0</v>
      </c>
      <c r="V266" s="182">
        <f t="shared" si="74"/>
        <v>100</v>
      </c>
      <c r="W266" s="180"/>
      <c r="X266" s="180"/>
      <c r="Y266" s="180"/>
      <c r="Z266" s="180"/>
      <c r="AA266" s="180"/>
      <c r="AB266" s="180"/>
      <c r="AC266" s="180"/>
      <c r="AD266" s="180"/>
      <c r="AE266" s="180"/>
      <c r="AF266" s="180"/>
      <c r="AG266" s="180"/>
      <c r="AH266" s="180"/>
      <c r="AI266" s="180">
        <v>0</v>
      </c>
      <c r="AJ266" s="181">
        <f t="shared" si="70"/>
        <v>0</v>
      </c>
      <c r="AK266" s="246">
        <f t="shared" si="84"/>
        <v>1119069</v>
      </c>
      <c r="AL266" s="181">
        <f t="shared" si="71"/>
        <v>100</v>
      </c>
      <c r="AM266" s="243"/>
    </row>
    <row r="267" spans="1:39" ht="29.25" customHeight="1" x14ac:dyDescent="0.25">
      <c r="A267" s="243"/>
      <c r="B267" s="341"/>
      <c r="C267" s="341"/>
      <c r="D267" s="341"/>
      <c r="E267" s="341"/>
      <c r="F267" s="341"/>
      <c r="G267" s="341"/>
      <c r="H267" s="341"/>
      <c r="I267" s="342"/>
      <c r="J267" s="341" t="s">
        <v>282</v>
      </c>
      <c r="K267" s="245"/>
      <c r="L267" s="257"/>
      <c r="M267" s="591" t="s">
        <v>283</v>
      </c>
      <c r="N267" s="592"/>
      <c r="O267" s="179"/>
      <c r="P267" s="180"/>
      <c r="Q267" s="180">
        <v>6900000</v>
      </c>
      <c r="R267" s="181">
        <f t="shared" si="86"/>
        <v>10.771644890589672</v>
      </c>
      <c r="S267" s="181">
        <v>100</v>
      </c>
      <c r="T267" s="180">
        <f t="shared" si="69"/>
        <v>0</v>
      </c>
      <c r="U267" s="180">
        <f t="shared" si="77"/>
        <v>0</v>
      </c>
      <c r="V267" s="182">
        <f t="shared" si="74"/>
        <v>100</v>
      </c>
      <c r="W267" s="180"/>
      <c r="X267" s="180"/>
      <c r="Y267" s="180"/>
      <c r="Z267" s="180"/>
      <c r="AA267" s="180"/>
      <c r="AB267" s="180"/>
      <c r="AC267" s="180"/>
      <c r="AD267" s="180"/>
      <c r="AE267" s="180"/>
      <c r="AF267" s="180"/>
      <c r="AG267" s="180"/>
      <c r="AH267" s="180"/>
      <c r="AI267" s="180">
        <v>0</v>
      </c>
      <c r="AJ267" s="181">
        <f t="shared" si="70"/>
        <v>0</v>
      </c>
      <c r="AK267" s="246">
        <f t="shared" si="84"/>
        <v>6900000</v>
      </c>
      <c r="AL267" s="181">
        <f t="shared" si="71"/>
        <v>100</v>
      </c>
      <c r="AM267" s="243"/>
    </row>
    <row r="268" spans="1:39" ht="29.25" customHeight="1" x14ac:dyDescent="0.25">
      <c r="A268" s="243"/>
      <c r="B268" s="341"/>
      <c r="C268" s="341"/>
      <c r="D268" s="341"/>
      <c r="E268" s="341"/>
      <c r="F268" s="341"/>
      <c r="G268" s="341"/>
      <c r="H268" s="341"/>
      <c r="I268" s="342"/>
      <c r="J268" s="341" t="s">
        <v>320</v>
      </c>
      <c r="K268" s="245"/>
      <c r="L268" s="257"/>
      <c r="M268" s="591" t="s">
        <v>321</v>
      </c>
      <c r="N268" s="592"/>
      <c r="O268" s="179"/>
      <c r="P268" s="180"/>
      <c r="Q268" s="180">
        <v>7200000</v>
      </c>
      <c r="R268" s="181">
        <f t="shared" si="86"/>
        <v>11.239977277137047</v>
      </c>
      <c r="S268" s="181">
        <v>100</v>
      </c>
      <c r="T268" s="180">
        <f t="shared" si="69"/>
        <v>0</v>
      </c>
      <c r="U268" s="180">
        <f t="shared" si="77"/>
        <v>0</v>
      </c>
      <c r="V268" s="182">
        <f t="shared" si="74"/>
        <v>100</v>
      </c>
      <c r="W268" s="180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180"/>
      <c r="AI268" s="180">
        <v>0</v>
      </c>
      <c r="AJ268" s="181">
        <f t="shared" si="70"/>
        <v>0</v>
      </c>
      <c r="AK268" s="246">
        <f t="shared" si="84"/>
        <v>7200000</v>
      </c>
      <c r="AL268" s="181">
        <f t="shared" si="71"/>
        <v>100</v>
      </c>
      <c r="AM268" s="243"/>
    </row>
    <row r="269" spans="1:39" ht="24.75" customHeight="1" x14ac:dyDescent="0.25">
      <c r="A269" s="243"/>
      <c r="B269" s="341"/>
      <c r="C269" s="341"/>
      <c r="D269" s="341"/>
      <c r="E269" s="341"/>
      <c r="F269" s="341"/>
      <c r="G269" s="341"/>
      <c r="H269" s="341"/>
      <c r="I269" s="342"/>
      <c r="J269" s="341" t="s">
        <v>407</v>
      </c>
      <c r="K269" s="245"/>
      <c r="L269" s="257"/>
      <c r="M269" s="591" t="s">
        <v>414</v>
      </c>
      <c r="N269" s="592"/>
      <c r="O269" s="179"/>
      <c r="P269" s="180"/>
      <c r="Q269" s="180">
        <v>2800000</v>
      </c>
      <c r="R269" s="181">
        <f t="shared" si="86"/>
        <v>4.371102274442185</v>
      </c>
      <c r="S269" s="181">
        <v>100</v>
      </c>
      <c r="T269" s="180">
        <f t="shared" si="69"/>
        <v>0</v>
      </c>
      <c r="U269" s="180">
        <f t="shared" si="77"/>
        <v>0</v>
      </c>
      <c r="V269" s="182">
        <f t="shared" si="74"/>
        <v>100</v>
      </c>
      <c r="W269" s="180"/>
      <c r="X269" s="180"/>
      <c r="Y269" s="180"/>
      <c r="Z269" s="180"/>
      <c r="AA269" s="180"/>
      <c r="AB269" s="180"/>
      <c r="AC269" s="180"/>
      <c r="AD269" s="180"/>
      <c r="AE269" s="180"/>
      <c r="AF269" s="180"/>
      <c r="AG269" s="180"/>
      <c r="AH269" s="180"/>
      <c r="AI269" s="180">
        <v>0</v>
      </c>
      <c r="AJ269" s="181">
        <f t="shared" si="70"/>
        <v>0</v>
      </c>
      <c r="AK269" s="246">
        <f t="shared" si="84"/>
        <v>2800000</v>
      </c>
      <c r="AL269" s="181">
        <f t="shared" si="71"/>
        <v>100</v>
      </c>
      <c r="AM269" s="243"/>
    </row>
    <row r="270" spans="1:39" s="311" customFormat="1" ht="34.5" customHeight="1" x14ac:dyDescent="0.25">
      <c r="A270" s="227">
        <f>(A259+1)</f>
        <v>38</v>
      </c>
      <c r="B270" s="615" t="s">
        <v>150</v>
      </c>
      <c r="C270" s="615"/>
      <c r="D270" s="615"/>
      <c r="E270" s="615"/>
      <c r="F270" s="615"/>
      <c r="G270" s="615"/>
      <c r="H270" s="615"/>
      <c r="I270" s="614"/>
      <c r="J270" s="304" t="s">
        <v>482</v>
      </c>
      <c r="K270" s="230"/>
      <c r="L270" s="294"/>
      <c r="M270" s="609" t="s">
        <v>41</v>
      </c>
      <c r="N270" s="609"/>
      <c r="O270" s="310">
        <v>461840000</v>
      </c>
      <c r="P270" s="231">
        <f>O270</f>
        <v>461840000</v>
      </c>
      <c r="Q270" s="231">
        <f>SUM(Q271:Q281)</f>
        <v>300818900</v>
      </c>
      <c r="R270" s="233">
        <f>Q270/Q$243*100</f>
        <v>2.5219887304309383</v>
      </c>
      <c r="S270" s="233">
        <v>100</v>
      </c>
      <c r="T270" s="231">
        <f t="shared" si="69"/>
        <v>9.3689259551178452</v>
      </c>
      <c r="U270" s="231">
        <f t="shared" si="77"/>
        <v>0.23628325675049119</v>
      </c>
      <c r="V270" s="296">
        <f t="shared" si="74"/>
        <v>90.631074044882155</v>
      </c>
      <c r="W270" s="231"/>
      <c r="X270" s="231" t="e">
        <f>#REF!</f>
        <v>#REF!</v>
      </c>
      <c r="Y270" s="231" t="e">
        <f>#REF!</f>
        <v>#REF!</v>
      </c>
      <c r="Z270" s="231" t="e">
        <f>#REF!</f>
        <v>#REF!</v>
      </c>
      <c r="AA270" s="231" t="e">
        <f>#REF!</f>
        <v>#REF!</v>
      </c>
      <c r="AB270" s="231">
        <v>26033000</v>
      </c>
      <c r="AC270" s="231" t="e">
        <f>#REF!</f>
        <v>#REF!</v>
      </c>
      <c r="AD270" s="231" t="e">
        <f>#REF!</f>
        <v>#REF!</v>
      </c>
      <c r="AE270" s="231" t="e">
        <f>#REF!</f>
        <v>#REF!</v>
      </c>
      <c r="AF270" s="231" t="e">
        <f>[1]April!N57</f>
        <v>#REF!</v>
      </c>
      <c r="AG270" s="231" t="e">
        <f>[2]april!N57</f>
        <v>#REF!</v>
      </c>
      <c r="AH270" s="231">
        <f>'[3]DES SKPD'!$N57</f>
        <v>371775000</v>
      </c>
      <c r="AI270" s="231">
        <f>SUM(AI271:AI281)</f>
        <v>28183500</v>
      </c>
      <c r="AJ270" s="233">
        <f t="shared" si="70"/>
        <v>9.3689259551178452</v>
      </c>
      <c r="AK270" s="234">
        <f t="shared" si="84"/>
        <v>272635400</v>
      </c>
      <c r="AL270" s="233">
        <f t="shared" si="71"/>
        <v>90.631074044882155</v>
      </c>
      <c r="AM270" s="227"/>
    </row>
    <row r="271" spans="1:39" ht="28.5" customHeight="1" x14ac:dyDescent="0.25">
      <c r="A271" s="243"/>
      <c r="B271" s="341"/>
      <c r="C271" s="341"/>
      <c r="D271" s="341"/>
      <c r="E271" s="341"/>
      <c r="F271" s="341"/>
      <c r="G271" s="341"/>
      <c r="H271" s="341"/>
      <c r="I271" s="342"/>
      <c r="J271" s="341" t="s">
        <v>257</v>
      </c>
      <c r="K271" s="245"/>
      <c r="L271" s="257"/>
      <c r="M271" s="591" t="s">
        <v>260</v>
      </c>
      <c r="N271" s="592"/>
      <c r="O271" s="179"/>
      <c r="P271" s="180"/>
      <c r="Q271" s="180">
        <v>1540000</v>
      </c>
      <c r="R271" s="181">
        <f>Q271/Q$270*100</f>
        <v>0.51193591891998813</v>
      </c>
      <c r="S271" s="181">
        <v>100</v>
      </c>
      <c r="T271" s="180">
        <f t="shared" si="69"/>
        <v>0</v>
      </c>
      <c r="U271" s="180">
        <f t="shared" si="77"/>
        <v>0</v>
      </c>
      <c r="V271" s="182">
        <f t="shared" si="74"/>
        <v>100</v>
      </c>
      <c r="W271" s="180"/>
      <c r="X271" s="180"/>
      <c r="Y271" s="180"/>
      <c r="Z271" s="180"/>
      <c r="AA271" s="180"/>
      <c r="AB271" s="180"/>
      <c r="AC271" s="180"/>
      <c r="AD271" s="180"/>
      <c r="AE271" s="180"/>
      <c r="AF271" s="180"/>
      <c r="AG271" s="180"/>
      <c r="AH271" s="180"/>
      <c r="AI271" s="180">
        <v>0</v>
      </c>
      <c r="AJ271" s="181">
        <f t="shared" si="70"/>
        <v>0</v>
      </c>
      <c r="AK271" s="246">
        <f t="shared" si="84"/>
        <v>1540000</v>
      </c>
      <c r="AL271" s="181">
        <f t="shared" si="71"/>
        <v>100</v>
      </c>
      <c r="AM271" s="243"/>
    </row>
    <row r="272" spans="1:39" ht="28.5" customHeight="1" x14ac:dyDescent="0.25">
      <c r="A272" s="243"/>
      <c r="B272" s="341"/>
      <c r="C272" s="341"/>
      <c r="D272" s="341"/>
      <c r="E272" s="341"/>
      <c r="F272" s="341"/>
      <c r="G272" s="341"/>
      <c r="H272" s="341"/>
      <c r="I272" s="342"/>
      <c r="J272" s="341" t="s">
        <v>326</v>
      </c>
      <c r="K272" s="245"/>
      <c r="L272" s="257"/>
      <c r="M272" s="591" t="s">
        <v>327</v>
      </c>
      <c r="N272" s="592"/>
      <c r="O272" s="179"/>
      <c r="P272" s="180"/>
      <c r="Q272" s="180">
        <v>140400000</v>
      </c>
      <c r="R272" s="181">
        <f t="shared" ref="R272:R281" si="87">Q272/Q$270*100</f>
        <v>46.672599361276838</v>
      </c>
      <c r="S272" s="181">
        <v>100</v>
      </c>
      <c r="T272" s="180">
        <f t="shared" si="69"/>
        <v>0</v>
      </c>
      <c r="U272" s="180">
        <f t="shared" si="77"/>
        <v>0</v>
      </c>
      <c r="V272" s="182">
        <f t="shared" si="74"/>
        <v>100</v>
      </c>
      <c r="W272" s="180"/>
      <c r="X272" s="180"/>
      <c r="Y272" s="180"/>
      <c r="Z272" s="180"/>
      <c r="AA272" s="180"/>
      <c r="AB272" s="180"/>
      <c r="AC272" s="180"/>
      <c r="AD272" s="180"/>
      <c r="AE272" s="180"/>
      <c r="AF272" s="180"/>
      <c r="AG272" s="180"/>
      <c r="AH272" s="180"/>
      <c r="AI272" s="180">
        <v>0</v>
      </c>
      <c r="AJ272" s="181">
        <f t="shared" si="70"/>
        <v>0</v>
      </c>
      <c r="AK272" s="246">
        <f t="shared" si="84"/>
        <v>140400000</v>
      </c>
      <c r="AL272" s="181">
        <f t="shared" si="71"/>
        <v>100</v>
      </c>
      <c r="AM272" s="243"/>
    </row>
    <row r="273" spans="1:39" ht="28.5" customHeight="1" x14ac:dyDescent="0.25">
      <c r="A273" s="243"/>
      <c r="B273" s="341"/>
      <c r="C273" s="341"/>
      <c r="D273" s="341"/>
      <c r="E273" s="341"/>
      <c r="F273" s="341"/>
      <c r="G273" s="341"/>
      <c r="H273" s="341"/>
      <c r="I273" s="342"/>
      <c r="J273" s="341" t="s">
        <v>323</v>
      </c>
      <c r="K273" s="245"/>
      <c r="L273" s="257"/>
      <c r="M273" s="591" t="s">
        <v>324</v>
      </c>
      <c r="N273" s="592"/>
      <c r="O273" s="179"/>
      <c r="P273" s="180"/>
      <c r="Q273" s="180">
        <v>10250000</v>
      </c>
      <c r="R273" s="181">
        <f t="shared" si="87"/>
        <v>3.4073656941103101</v>
      </c>
      <c r="S273" s="181">
        <v>100</v>
      </c>
      <c r="T273" s="180">
        <f t="shared" si="69"/>
        <v>0</v>
      </c>
      <c r="U273" s="180">
        <f t="shared" si="77"/>
        <v>0</v>
      </c>
      <c r="V273" s="182">
        <f t="shared" si="74"/>
        <v>100</v>
      </c>
      <c r="W273" s="180"/>
      <c r="X273" s="180"/>
      <c r="Y273" s="180"/>
      <c r="Z273" s="180"/>
      <c r="AA273" s="180"/>
      <c r="AB273" s="180"/>
      <c r="AC273" s="180"/>
      <c r="AD273" s="180"/>
      <c r="AE273" s="180"/>
      <c r="AF273" s="180"/>
      <c r="AG273" s="180"/>
      <c r="AH273" s="180"/>
      <c r="AI273" s="180">
        <v>0</v>
      </c>
      <c r="AJ273" s="181">
        <f t="shared" si="70"/>
        <v>0</v>
      </c>
      <c r="AK273" s="246">
        <f t="shared" si="84"/>
        <v>10250000</v>
      </c>
      <c r="AL273" s="181">
        <f t="shared" si="71"/>
        <v>100</v>
      </c>
      <c r="AM273" s="243"/>
    </row>
    <row r="274" spans="1:39" ht="28.5" customHeight="1" x14ac:dyDescent="0.25">
      <c r="A274" s="243"/>
      <c r="B274" s="341"/>
      <c r="C274" s="341"/>
      <c r="D274" s="341"/>
      <c r="E274" s="341"/>
      <c r="F274" s="341"/>
      <c r="G274" s="341"/>
      <c r="H274" s="341"/>
      <c r="I274" s="342"/>
      <c r="J274" s="341" t="s">
        <v>336</v>
      </c>
      <c r="K274" s="245"/>
      <c r="L274" s="257"/>
      <c r="M274" s="591" t="s">
        <v>337</v>
      </c>
      <c r="N274" s="592"/>
      <c r="O274" s="179"/>
      <c r="P274" s="180"/>
      <c r="Q274" s="180">
        <v>10000000</v>
      </c>
      <c r="R274" s="181">
        <f t="shared" si="87"/>
        <v>3.3242592137661564</v>
      </c>
      <c r="S274" s="181">
        <v>100</v>
      </c>
      <c r="T274" s="180">
        <f t="shared" si="69"/>
        <v>0</v>
      </c>
      <c r="U274" s="180">
        <f t="shared" si="77"/>
        <v>0</v>
      </c>
      <c r="V274" s="182">
        <f t="shared" si="74"/>
        <v>100</v>
      </c>
      <c r="W274" s="180"/>
      <c r="X274" s="180"/>
      <c r="Y274" s="180"/>
      <c r="Z274" s="180"/>
      <c r="AA274" s="180"/>
      <c r="AB274" s="180"/>
      <c r="AC274" s="180"/>
      <c r="AD274" s="180"/>
      <c r="AE274" s="180"/>
      <c r="AF274" s="180"/>
      <c r="AG274" s="180"/>
      <c r="AH274" s="180"/>
      <c r="AI274" s="180">
        <v>0</v>
      </c>
      <c r="AJ274" s="181">
        <f t="shared" si="70"/>
        <v>0</v>
      </c>
      <c r="AK274" s="246">
        <f t="shared" si="84"/>
        <v>10000000</v>
      </c>
      <c r="AL274" s="181">
        <f t="shared" si="71"/>
        <v>100</v>
      </c>
      <c r="AM274" s="243"/>
    </row>
    <row r="275" spans="1:39" ht="28.5" customHeight="1" x14ac:dyDescent="0.25">
      <c r="A275" s="243"/>
      <c r="B275" s="341"/>
      <c r="C275" s="341"/>
      <c r="D275" s="341"/>
      <c r="E275" s="341"/>
      <c r="F275" s="341"/>
      <c r="G275" s="341"/>
      <c r="H275" s="341"/>
      <c r="I275" s="342"/>
      <c r="J275" s="341" t="s">
        <v>269</v>
      </c>
      <c r="K275" s="245"/>
      <c r="L275" s="257"/>
      <c r="M275" s="591" t="s">
        <v>270</v>
      </c>
      <c r="N275" s="592"/>
      <c r="O275" s="179"/>
      <c r="P275" s="180"/>
      <c r="Q275" s="180">
        <v>23000000</v>
      </c>
      <c r="R275" s="181">
        <f t="shared" si="87"/>
        <v>7.6457961916621588</v>
      </c>
      <c r="S275" s="181">
        <v>100</v>
      </c>
      <c r="T275" s="180">
        <f t="shared" si="69"/>
        <v>67.391304347826093</v>
      </c>
      <c r="U275" s="180">
        <f t="shared" si="77"/>
        <v>5.1526017813375429</v>
      </c>
      <c r="V275" s="182">
        <f t="shared" si="74"/>
        <v>32.608695652173907</v>
      </c>
      <c r="W275" s="180"/>
      <c r="X275" s="180"/>
      <c r="Y275" s="180"/>
      <c r="Z275" s="180"/>
      <c r="AA275" s="180"/>
      <c r="AB275" s="180"/>
      <c r="AC275" s="180"/>
      <c r="AD275" s="180"/>
      <c r="AE275" s="180"/>
      <c r="AF275" s="180"/>
      <c r="AG275" s="180"/>
      <c r="AH275" s="180"/>
      <c r="AI275" s="180">
        <v>15500000</v>
      </c>
      <c r="AJ275" s="181">
        <f t="shared" si="70"/>
        <v>67.391304347826093</v>
      </c>
      <c r="AK275" s="246">
        <f t="shared" si="84"/>
        <v>7500000</v>
      </c>
      <c r="AL275" s="181">
        <f t="shared" si="71"/>
        <v>32.608695652173914</v>
      </c>
      <c r="AM275" s="243"/>
    </row>
    <row r="276" spans="1:39" ht="28.5" customHeight="1" x14ac:dyDescent="0.25">
      <c r="A276" s="243"/>
      <c r="B276" s="341"/>
      <c r="C276" s="341"/>
      <c r="D276" s="341"/>
      <c r="E276" s="341"/>
      <c r="F276" s="341"/>
      <c r="G276" s="341"/>
      <c r="H276" s="341"/>
      <c r="I276" s="342"/>
      <c r="J276" s="341" t="s">
        <v>315</v>
      </c>
      <c r="K276" s="245"/>
      <c r="L276" s="257"/>
      <c r="M276" s="591" t="s">
        <v>271</v>
      </c>
      <c r="N276" s="592"/>
      <c r="O276" s="179"/>
      <c r="P276" s="180"/>
      <c r="Q276" s="180">
        <v>17250000</v>
      </c>
      <c r="R276" s="181">
        <f t="shared" si="87"/>
        <v>5.7343471437466196</v>
      </c>
      <c r="S276" s="181">
        <v>100</v>
      </c>
      <c r="T276" s="180">
        <f t="shared" ref="T276:T339" si="88">AJ276</f>
        <v>0</v>
      </c>
      <c r="U276" s="180">
        <f t="shared" si="77"/>
        <v>0</v>
      </c>
      <c r="V276" s="182">
        <f t="shared" si="74"/>
        <v>100</v>
      </c>
      <c r="W276" s="180"/>
      <c r="X276" s="180"/>
      <c r="Y276" s="180"/>
      <c r="Z276" s="180"/>
      <c r="AA276" s="180"/>
      <c r="AB276" s="180"/>
      <c r="AC276" s="180"/>
      <c r="AD276" s="180"/>
      <c r="AE276" s="180"/>
      <c r="AF276" s="180"/>
      <c r="AG276" s="180"/>
      <c r="AH276" s="180"/>
      <c r="AI276" s="180">
        <v>0</v>
      </c>
      <c r="AJ276" s="181">
        <f t="shared" ref="AJ276:AJ339" si="89">AI276/Q276*100</f>
        <v>0</v>
      </c>
      <c r="AK276" s="246">
        <f t="shared" si="84"/>
        <v>17250000</v>
      </c>
      <c r="AL276" s="181">
        <f t="shared" ref="AL276:AL339" si="90">AK276/Q276*100</f>
        <v>100</v>
      </c>
      <c r="AM276" s="243"/>
    </row>
    <row r="277" spans="1:39" ht="28.5" customHeight="1" x14ac:dyDescent="0.25">
      <c r="A277" s="243"/>
      <c r="B277" s="341"/>
      <c r="C277" s="341"/>
      <c r="D277" s="341"/>
      <c r="E277" s="341"/>
      <c r="F277" s="341"/>
      <c r="G277" s="341"/>
      <c r="H277" s="341"/>
      <c r="I277" s="342"/>
      <c r="J277" s="341" t="s">
        <v>318</v>
      </c>
      <c r="K277" s="245"/>
      <c r="L277" s="257"/>
      <c r="M277" s="591" t="s">
        <v>319</v>
      </c>
      <c r="N277" s="592"/>
      <c r="O277" s="179"/>
      <c r="P277" s="180"/>
      <c r="Q277" s="180">
        <v>32500000</v>
      </c>
      <c r="R277" s="181">
        <f t="shared" si="87"/>
        <v>10.803842444740008</v>
      </c>
      <c r="S277" s="181">
        <v>100</v>
      </c>
      <c r="T277" s="180">
        <f t="shared" si="88"/>
        <v>0</v>
      </c>
      <c r="U277" s="180">
        <f t="shared" si="77"/>
        <v>0</v>
      </c>
      <c r="V277" s="182">
        <f t="shared" si="74"/>
        <v>100</v>
      </c>
      <c r="W277" s="180"/>
      <c r="X277" s="180"/>
      <c r="Y277" s="180"/>
      <c r="Z277" s="180"/>
      <c r="AA277" s="180"/>
      <c r="AB277" s="180"/>
      <c r="AC277" s="180"/>
      <c r="AD277" s="180"/>
      <c r="AE277" s="180"/>
      <c r="AF277" s="180"/>
      <c r="AG277" s="180"/>
      <c r="AH277" s="180"/>
      <c r="AI277" s="180">
        <v>0</v>
      </c>
      <c r="AJ277" s="181">
        <f t="shared" si="89"/>
        <v>0</v>
      </c>
      <c r="AK277" s="246">
        <f t="shared" si="84"/>
        <v>32500000</v>
      </c>
      <c r="AL277" s="181">
        <f t="shared" si="90"/>
        <v>100</v>
      </c>
      <c r="AM277" s="243"/>
    </row>
    <row r="278" spans="1:39" ht="28.5" customHeight="1" x14ac:dyDescent="0.25">
      <c r="A278" s="243"/>
      <c r="B278" s="341"/>
      <c r="C278" s="341"/>
      <c r="D278" s="341"/>
      <c r="E278" s="341"/>
      <c r="F278" s="341"/>
      <c r="G278" s="341"/>
      <c r="H278" s="341"/>
      <c r="I278" s="342"/>
      <c r="J278" s="341" t="s">
        <v>280</v>
      </c>
      <c r="K278" s="245"/>
      <c r="L278" s="257"/>
      <c r="M278" s="591" t="s">
        <v>281</v>
      </c>
      <c r="N278" s="592"/>
      <c r="O278" s="179"/>
      <c r="P278" s="180"/>
      <c r="Q278" s="180">
        <v>6500000</v>
      </c>
      <c r="R278" s="181">
        <f t="shared" si="87"/>
        <v>2.1607684889480017</v>
      </c>
      <c r="S278" s="181">
        <v>100</v>
      </c>
      <c r="T278" s="180">
        <f t="shared" si="88"/>
        <v>0</v>
      </c>
      <c r="U278" s="180">
        <f t="shared" si="77"/>
        <v>0</v>
      </c>
      <c r="V278" s="182">
        <f t="shared" si="74"/>
        <v>100</v>
      </c>
      <c r="W278" s="180"/>
      <c r="X278" s="180"/>
      <c r="Y278" s="180"/>
      <c r="Z278" s="180"/>
      <c r="AA278" s="180"/>
      <c r="AB278" s="180"/>
      <c r="AC278" s="180"/>
      <c r="AD278" s="180"/>
      <c r="AE278" s="180"/>
      <c r="AF278" s="180"/>
      <c r="AG278" s="180"/>
      <c r="AH278" s="180"/>
      <c r="AI278" s="180">
        <v>0</v>
      </c>
      <c r="AJ278" s="181">
        <f t="shared" si="89"/>
        <v>0</v>
      </c>
      <c r="AK278" s="246">
        <f t="shared" si="84"/>
        <v>6500000</v>
      </c>
      <c r="AL278" s="181">
        <f t="shared" si="90"/>
        <v>100</v>
      </c>
      <c r="AM278" s="243"/>
    </row>
    <row r="279" spans="1:39" ht="28.5" customHeight="1" x14ac:dyDescent="0.25">
      <c r="A279" s="243"/>
      <c r="B279" s="341"/>
      <c r="C279" s="341"/>
      <c r="D279" s="341"/>
      <c r="E279" s="341"/>
      <c r="F279" s="341"/>
      <c r="G279" s="341"/>
      <c r="H279" s="341"/>
      <c r="I279" s="342"/>
      <c r="J279" s="341" t="s">
        <v>284</v>
      </c>
      <c r="K279" s="245"/>
      <c r="L279" s="257"/>
      <c r="M279" s="591" t="s">
        <v>285</v>
      </c>
      <c r="N279" s="592"/>
      <c r="O279" s="179"/>
      <c r="P279" s="180"/>
      <c r="Q279" s="180">
        <v>2700000</v>
      </c>
      <c r="R279" s="181">
        <f t="shared" si="87"/>
        <v>0.89754998771686223</v>
      </c>
      <c r="S279" s="181">
        <v>100</v>
      </c>
      <c r="T279" s="180">
        <f t="shared" si="88"/>
        <v>16.296296296296298</v>
      </c>
      <c r="U279" s="180">
        <f t="shared" si="77"/>
        <v>0.1462674054057109</v>
      </c>
      <c r="V279" s="182">
        <f t="shared" si="74"/>
        <v>83.703703703703695</v>
      </c>
      <c r="W279" s="180"/>
      <c r="X279" s="180"/>
      <c r="Y279" s="180"/>
      <c r="Z279" s="180"/>
      <c r="AA279" s="180"/>
      <c r="AB279" s="180"/>
      <c r="AC279" s="180"/>
      <c r="AD279" s="180"/>
      <c r="AE279" s="180"/>
      <c r="AF279" s="180"/>
      <c r="AG279" s="180"/>
      <c r="AH279" s="180"/>
      <c r="AI279" s="180">
        <v>440000</v>
      </c>
      <c r="AJ279" s="181">
        <f t="shared" si="89"/>
        <v>16.296296296296298</v>
      </c>
      <c r="AK279" s="246">
        <f t="shared" si="84"/>
        <v>2260000</v>
      </c>
      <c r="AL279" s="181">
        <f t="shared" si="90"/>
        <v>83.703703703703695</v>
      </c>
      <c r="AM279" s="243"/>
    </row>
    <row r="280" spans="1:39" ht="28.5" customHeight="1" x14ac:dyDescent="0.25">
      <c r="A280" s="243"/>
      <c r="B280" s="341"/>
      <c r="C280" s="341"/>
      <c r="D280" s="341"/>
      <c r="E280" s="341"/>
      <c r="F280" s="341"/>
      <c r="G280" s="341"/>
      <c r="H280" s="341"/>
      <c r="I280" s="342"/>
      <c r="J280" s="341" t="s">
        <v>282</v>
      </c>
      <c r="K280" s="245"/>
      <c r="L280" s="257"/>
      <c r="M280" s="591" t="s">
        <v>283</v>
      </c>
      <c r="N280" s="592"/>
      <c r="O280" s="179"/>
      <c r="P280" s="180"/>
      <c r="Q280" s="180">
        <v>55878900</v>
      </c>
      <c r="R280" s="181">
        <f t="shared" si="87"/>
        <v>18.575594818011769</v>
      </c>
      <c r="S280" s="181">
        <v>100</v>
      </c>
      <c r="T280" s="180">
        <f t="shared" si="88"/>
        <v>21.910774907881152</v>
      </c>
      <c r="U280" s="180">
        <f t="shared" si="77"/>
        <v>4.0700567683745943</v>
      </c>
      <c r="V280" s="182">
        <f t="shared" si="74"/>
        <v>78.089225092118852</v>
      </c>
      <c r="W280" s="180"/>
      <c r="X280" s="180"/>
      <c r="Y280" s="180"/>
      <c r="Z280" s="180"/>
      <c r="AA280" s="180"/>
      <c r="AB280" s="180"/>
      <c r="AC280" s="180"/>
      <c r="AD280" s="180"/>
      <c r="AE280" s="180"/>
      <c r="AF280" s="180"/>
      <c r="AG280" s="180"/>
      <c r="AH280" s="180"/>
      <c r="AI280" s="180">
        <v>12243500</v>
      </c>
      <c r="AJ280" s="181">
        <f t="shared" si="89"/>
        <v>21.910774907881152</v>
      </c>
      <c r="AK280" s="246">
        <f t="shared" si="84"/>
        <v>43635400</v>
      </c>
      <c r="AL280" s="181">
        <f t="shared" si="90"/>
        <v>78.089225092118852</v>
      </c>
      <c r="AM280" s="243"/>
    </row>
    <row r="281" spans="1:39" ht="28.5" customHeight="1" x14ac:dyDescent="0.25">
      <c r="A281" s="243"/>
      <c r="B281" s="341"/>
      <c r="C281" s="341"/>
      <c r="D281" s="341"/>
      <c r="E281" s="341"/>
      <c r="F281" s="341"/>
      <c r="G281" s="341"/>
      <c r="H281" s="341"/>
      <c r="I281" s="342"/>
      <c r="J281" s="341" t="s">
        <v>320</v>
      </c>
      <c r="K281" s="245"/>
      <c r="L281" s="257"/>
      <c r="M281" s="591" t="s">
        <v>414</v>
      </c>
      <c r="N281" s="592"/>
      <c r="O281" s="179"/>
      <c r="P281" s="180"/>
      <c r="Q281" s="180">
        <v>800000</v>
      </c>
      <c r="R281" s="181">
        <f t="shared" si="87"/>
        <v>0.26594073710129251</v>
      </c>
      <c r="S281" s="181">
        <v>100</v>
      </c>
      <c r="T281" s="180">
        <f t="shared" si="88"/>
        <v>0</v>
      </c>
      <c r="U281" s="180">
        <f t="shared" si="77"/>
        <v>0</v>
      </c>
      <c r="V281" s="182">
        <f t="shared" si="74"/>
        <v>100</v>
      </c>
      <c r="W281" s="180"/>
      <c r="X281" s="180"/>
      <c r="Y281" s="180"/>
      <c r="Z281" s="180"/>
      <c r="AA281" s="180"/>
      <c r="AB281" s="180"/>
      <c r="AC281" s="180"/>
      <c r="AD281" s="180"/>
      <c r="AE281" s="180"/>
      <c r="AF281" s="180"/>
      <c r="AG281" s="180"/>
      <c r="AH281" s="180"/>
      <c r="AI281" s="180">
        <v>0</v>
      </c>
      <c r="AJ281" s="181">
        <f t="shared" si="89"/>
        <v>0</v>
      </c>
      <c r="AK281" s="246">
        <f t="shared" si="84"/>
        <v>800000</v>
      </c>
      <c r="AL281" s="181">
        <f t="shared" si="90"/>
        <v>100</v>
      </c>
      <c r="AM281" s="243"/>
    </row>
    <row r="282" spans="1:39" s="297" customFormat="1" ht="28.5" customHeight="1" x14ac:dyDescent="0.25">
      <c r="A282" s="227">
        <f>A270+1</f>
        <v>39</v>
      </c>
      <c r="B282" s="615" t="s">
        <v>151</v>
      </c>
      <c r="C282" s="615"/>
      <c r="D282" s="615"/>
      <c r="E282" s="615"/>
      <c r="F282" s="615"/>
      <c r="G282" s="615"/>
      <c r="H282" s="615"/>
      <c r="I282" s="614"/>
      <c r="J282" s="304" t="s">
        <v>483</v>
      </c>
      <c r="K282" s="230"/>
      <c r="L282" s="294"/>
      <c r="M282" s="610" t="s">
        <v>42</v>
      </c>
      <c r="N282" s="610"/>
      <c r="O282" s="309">
        <v>128761142</v>
      </c>
      <c r="P282" s="231">
        <f>O282</f>
        <v>128761142</v>
      </c>
      <c r="Q282" s="231">
        <f>SUM(Q283:Q291)</f>
        <v>412682320</v>
      </c>
      <c r="R282" s="233">
        <f>Q282/Q$243*100</f>
        <v>3.4598230373427139</v>
      </c>
      <c r="S282" s="233">
        <v>100</v>
      </c>
      <c r="T282" s="231">
        <f t="shared" si="88"/>
        <v>6.0579285296254035</v>
      </c>
      <c r="U282" s="231">
        <f t="shared" si="77"/>
        <v>0.20959360685373646</v>
      </c>
      <c r="V282" s="296">
        <f t="shared" si="74"/>
        <v>93.9420714703746</v>
      </c>
      <c r="W282" s="231"/>
      <c r="X282" s="231" t="e">
        <f>#REF!</f>
        <v>#REF!</v>
      </c>
      <c r="Y282" s="231" t="e">
        <f>#REF!</f>
        <v>#REF!</v>
      </c>
      <c r="Z282" s="231" t="e">
        <f>#REF!</f>
        <v>#REF!</v>
      </c>
      <c r="AA282" s="231" t="e">
        <f>#REF!</f>
        <v>#REF!</v>
      </c>
      <c r="AB282" s="231">
        <v>11060000</v>
      </c>
      <c r="AC282" s="231" t="e">
        <f>#REF!</f>
        <v>#REF!</v>
      </c>
      <c r="AD282" s="231" t="e">
        <f>#REF!</f>
        <v>#REF!</v>
      </c>
      <c r="AE282" s="231" t="e">
        <f>#REF!</f>
        <v>#REF!</v>
      </c>
      <c r="AF282" s="231" t="e">
        <f>[1]April!N58</f>
        <v>#REF!</v>
      </c>
      <c r="AG282" s="231">
        <v>137440000</v>
      </c>
      <c r="AH282" s="231">
        <f>'[3]DES SKPD'!$N58</f>
        <v>133587000</v>
      </c>
      <c r="AI282" s="231">
        <f>SUM(AI283:AI291)</f>
        <v>25000000</v>
      </c>
      <c r="AJ282" s="233">
        <f t="shared" si="89"/>
        <v>6.0579285296254035</v>
      </c>
      <c r="AK282" s="234">
        <f t="shared" si="84"/>
        <v>387682320</v>
      </c>
      <c r="AL282" s="233">
        <f t="shared" si="90"/>
        <v>93.9420714703746</v>
      </c>
      <c r="AM282" s="227"/>
    </row>
    <row r="283" spans="1:39" ht="28.5" customHeight="1" x14ac:dyDescent="0.25">
      <c r="A283" s="243"/>
      <c r="B283" s="341"/>
      <c r="C283" s="341"/>
      <c r="D283" s="341"/>
      <c r="E283" s="341"/>
      <c r="F283" s="341"/>
      <c r="G283" s="341"/>
      <c r="H283" s="341"/>
      <c r="I283" s="342"/>
      <c r="J283" s="341" t="s">
        <v>257</v>
      </c>
      <c r="K283" s="245"/>
      <c r="L283" s="257"/>
      <c r="M283" s="591" t="s">
        <v>260</v>
      </c>
      <c r="N283" s="592"/>
      <c r="O283" s="179"/>
      <c r="P283" s="180"/>
      <c r="Q283" s="180">
        <v>1540000</v>
      </c>
      <c r="R283" s="181">
        <f>Q283/Q$292*100</f>
        <v>0.51971035259647624</v>
      </c>
      <c r="S283" s="181">
        <v>100</v>
      </c>
      <c r="T283" s="180">
        <f t="shared" si="88"/>
        <v>0</v>
      </c>
      <c r="U283" s="180">
        <f t="shared" si="77"/>
        <v>0</v>
      </c>
      <c r="V283" s="182">
        <f t="shared" si="74"/>
        <v>100</v>
      </c>
      <c r="W283" s="180"/>
      <c r="X283" s="180"/>
      <c r="Y283" s="180"/>
      <c r="Z283" s="180"/>
      <c r="AA283" s="180"/>
      <c r="AB283" s="180"/>
      <c r="AC283" s="180"/>
      <c r="AD283" s="180"/>
      <c r="AE283" s="180"/>
      <c r="AF283" s="180"/>
      <c r="AG283" s="180"/>
      <c r="AH283" s="180"/>
      <c r="AI283" s="180">
        <v>0</v>
      </c>
      <c r="AJ283" s="181">
        <f t="shared" si="89"/>
        <v>0</v>
      </c>
      <c r="AK283" s="246">
        <f t="shared" si="84"/>
        <v>1540000</v>
      </c>
      <c r="AL283" s="181">
        <f t="shared" si="90"/>
        <v>100</v>
      </c>
      <c r="AM283" s="243"/>
    </row>
    <row r="284" spans="1:39" ht="28.5" customHeight="1" x14ac:dyDescent="0.25">
      <c r="A284" s="243"/>
      <c r="B284" s="341"/>
      <c r="C284" s="341"/>
      <c r="D284" s="341"/>
      <c r="E284" s="341"/>
      <c r="F284" s="341"/>
      <c r="G284" s="341"/>
      <c r="H284" s="341"/>
      <c r="I284" s="342"/>
      <c r="J284" s="341" t="s">
        <v>326</v>
      </c>
      <c r="K284" s="245"/>
      <c r="L284" s="257"/>
      <c r="M284" s="591" t="s">
        <v>327</v>
      </c>
      <c r="N284" s="592"/>
      <c r="O284" s="179"/>
      <c r="P284" s="180"/>
      <c r="Q284" s="180">
        <v>255600000</v>
      </c>
      <c r="R284" s="181">
        <f>Q284/Q$292*100</f>
        <v>86.258419560817757</v>
      </c>
      <c r="S284" s="181">
        <v>100</v>
      </c>
      <c r="T284" s="180">
        <f>AJ284</f>
        <v>0</v>
      </c>
      <c r="U284" s="180">
        <f>R284*T284/100</f>
        <v>0</v>
      </c>
      <c r="V284" s="182">
        <f>S284-T284</f>
        <v>100</v>
      </c>
      <c r="W284" s="180"/>
      <c r="X284" s="180"/>
      <c r="Y284" s="180"/>
      <c r="Z284" s="180"/>
      <c r="AA284" s="180"/>
      <c r="AB284" s="180"/>
      <c r="AC284" s="180"/>
      <c r="AD284" s="180"/>
      <c r="AE284" s="180"/>
      <c r="AF284" s="180"/>
      <c r="AG284" s="180"/>
      <c r="AH284" s="180"/>
      <c r="AI284" s="180">
        <v>0</v>
      </c>
      <c r="AJ284" s="181">
        <f t="shared" si="89"/>
        <v>0</v>
      </c>
      <c r="AK284" s="246">
        <f t="shared" si="84"/>
        <v>255600000</v>
      </c>
      <c r="AL284" s="181">
        <f t="shared" si="90"/>
        <v>100</v>
      </c>
      <c r="AM284" s="243"/>
    </row>
    <row r="285" spans="1:39" ht="28.5" customHeight="1" x14ac:dyDescent="0.25">
      <c r="A285" s="243"/>
      <c r="B285" s="341"/>
      <c r="C285" s="341"/>
      <c r="D285" s="341"/>
      <c r="E285" s="341"/>
      <c r="F285" s="341"/>
      <c r="G285" s="341"/>
      <c r="H285" s="341"/>
      <c r="I285" s="342"/>
      <c r="J285" s="341" t="s">
        <v>604</v>
      </c>
      <c r="K285" s="245"/>
      <c r="L285" s="257"/>
      <c r="M285" s="591" t="s">
        <v>324</v>
      </c>
      <c r="N285" s="592"/>
      <c r="O285" s="179"/>
      <c r="P285" s="180"/>
      <c r="Q285" s="180">
        <v>10000000</v>
      </c>
      <c r="R285" s="181"/>
      <c r="S285" s="181">
        <v>100</v>
      </c>
      <c r="T285" s="180">
        <f>AJ285</f>
        <v>0</v>
      </c>
      <c r="U285" s="180"/>
      <c r="V285" s="182">
        <f>S285-T285</f>
        <v>100</v>
      </c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  <c r="AG285" s="180"/>
      <c r="AH285" s="180"/>
      <c r="AI285" s="180">
        <v>0</v>
      </c>
      <c r="AJ285" s="181">
        <f t="shared" si="89"/>
        <v>0</v>
      </c>
      <c r="AK285" s="246">
        <f t="shared" si="84"/>
        <v>10000000</v>
      </c>
      <c r="AL285" s="181">
        <f t="shared" si="90"/>
        <v>100</v>
      </c>
      <c r="AM285" s="243"/>
    </row>
    <row r="286" spans="1:39" ht="28.5" customHeight="1" x14ac:dyDescent="0.25">
      <c r="A286" s="243"/>
      <c r="B286" s="341"/>
      <c r="C286" s="341"/>
      <c r="D286" s="341"/>
      <c r="E286" s="341"/>
      <c r="F286" s="341"/>
      <c r="G286" s="341"/>
      <c r="H286" s="341"/>
      <c r="I286" s="342"/>
      <c r="J286" s="341" t="s">
        <v>269</v>
      </c>
      <c r="K286" s="245"/>
      <c r="L286" s="257"/>
      <c r="M286" s="591" t="s">
        <v>270</v>
      </c>
      <c r="N286" s="592"/>
      <c r="O286" s="179"/>
      <c r="P286" s="180"/>
      <c r="Q286" s="180">
        <v>25000000</v>
      </c>
      <c r="R286" s="181">
        <f t="shared" ref="R286:R291" si="91">Q286/Q$292*100</f>
        <v>8.4368563733194204</v>
      </c>
      <c r="S286" s="181">
        <v>100</v>
      </c>
      <c r="T286" s="180">
        <f t="shared" si="88"/>
        <v>100</v>
      </c>
      <c r="U286" s="180">
        <f t="shared" si="77"/>
        <v>8.4368563733194204</v>
      </c>
      <c r="V286" s="182">
        <f t="shared" si="74"/>
        <v>0</v>
      </c>
      <c r="W286" s="180"/>
      <c r="X286" s="180"/>
      <c r="Y286" s="180"/>
      <c r="Z286" s="180"/>
      <c r="AA286" s="180"/>
      <c r="AB286" s="180"/>
      <c r="AC286" s="180"/>
      <c r="AD286" s="180"/>
      <c r="AE286" s="180"/>
      <c r="AF286" s="180"/>
      <c r="AG286" s="180"/>
      <c r="AH286" s="180"/>
      <c r="AI286" s="180">
        <v>25000000</v>
      </c>
      <c r="AJ286" s="181">
        <f t="shared" si="89"/>
        <v>100</v>
      </c>
      <c r="AK286" s="246">
        <f t="shared" si="84"/>
        <v>0</v>
      </c>
      <c r="AL286" s="181">
        <f t="shared" si="90"/>
        <v>0</v>
      </c>
      <c r="AM286" s="243"/>
    </row>
    <row r="287" spans="1:39" ht="28.5" customHeight="1" x14ac:dyDescent="0.25">
      <c r="A287" s="243"/>
      <c r="B287" s="341"/>
      <c r="C287" s="341"/>
      <c r="D287" s="341"/>
      <c r="E287" s="341"/>
      <c r="F287" s="341"/>
      <c r="G287" s="341"/>
      <c r="H287" s="341"/>
      <c r="I287" s="342"/>
      <c r="J287" s="341" t="s">
        <v>315</v>
      </c>
      <c r="K287" s="245"/>
      <c r="L287" s="257"/>
      <c r="M287" s="591" t="s">
        <v>271</v>
      </c>
      <c r="N287" s="592"/>
      <c r="O287" s="179"/>
      <c r="P287" s="180"/>
      <c r="Q287" s="180">
        <v>1000000</v>
      </c>
      <c r="R287" s="181">
        <f t="shared" si="91"/>
        <v>0.33747425493277683</v>
      </c>
      <c r="S287" s="181">
        <v>100</v>
      </c>
      <c r="T287" s="180">
        <f t="shared" si="88"/>
        <v>0</v>
      </c>
      <c r="U287" s="180">
        <f t="shared" si="77"/>
        <v>0</v>
      </c>
      <c r="V287" s="182">
        <f t="shared" si="74"/>
        <v>100</v>
      </c>
      <c r="W287" s="180"/>
      <c r="X287" s="180"/>
      <c r="Y287" s="180"/>
      <c r="Z287" s="180"/>
      <c r="AA287" s="180"/>
      <c r="AB287" s="180"/>
      <c r="AC287" s="180"/>
      <c r="AD287" s="180"/>
      <c r="AE287" s="180"/>
      <c r="AF287" s="180"/>
      <c r="AG287" s="180"/>
      <c r="AH287" s="180"/>
      <c r="AI287" s="180">
        <v>0</v>
      </c>
      <c r="AJ287" s="181">
        <f t="shared" si="89"/>
        <v>0</v>
      </c>
      <c r="AK287" s="246">
        <f t="shared" si="84"/>
        <v>1000000</v>
      </c>
      <c r="AL287" s="181">
        <f t="shared" si="90"/>
        <v>100</v>
      </c>
      <c r="AM287" s="243"/>
    </row>
    <row r="288" spans="1:39" ht="28.5" customHeight="1" x14ac:dyDescent="0.25">
      <c r="A288" s="243"/>
      <c r="B288" s="341"/>
      <c r="C288" s="341"/>
      <c r="D288" s="341"/>
      <c r="E288" s="341"/>
      <c r="F288" s="341"/>
      <c r="G288" s="341"/>
      <c r="H288" s="341"/>
      <c r="I288" s="342"/>
      <c r="J288" s="341" t="s">
        <v>318</v>
      </c>
      <c r="K288" s="245"/>
      <c r="L288" s="257"/>
      <c r="M288" s="591" t="s">
        <v>319</v>
      </c>
      <c r="N288" s="592"/>
      <c r="O288" s="179"/>
      <c r="P288" s="180"/>
      <c r="Q288" s="180">
        <v>105482320</v>
      </c>
      <c r="R288" s="181">
        <f t="shared" si="91"/>
        <v>35.597567350580746</v>
      </c>
      <c r="S288" s="181">
        <v>100</v>
      </c>
      <c r="T288" s="180">
        <f t="shared" si="88"/>
        <v>0</v>
      </c>
      <c r="U288" s="180"/>
      <c r="V288" s="182">
        <f t="shared" si="74"/>
        <v>100</v>
      </c>
      <c r="W288" s="180"/>
      <c r="X288" s="180"/>
      <c r="Y288" s="180"/>
      <c r="Z288" s="180"/>
      <c r="AA288" s="180"/>
      <c r="AB288" s="180"/>
      <c r="AC288" s="180"/>
      <c r="AD288" s="180"/>
      <c r="AE288" s="180"/>
      <c r="AF288" s="180"/>
      <c r="AG288" s="180"/>
      <c r="AH288" s="180"/>
      <c r="AI288" s="180">
        <v>0</v>
      </c>
      <c r="AJ288" s="181">
        <f t="shared" si="89"/>
        <v>0</v>
      </c>
      <c r="AK288" s="246">
        <f t="shared" si="84"/>
        <v>105482320</v>
      </c>
      <c r="AL288" s="181">
        <f t="shared" si="90"/>
        <v>100</v>
      </c>
      <c r="AM288" s="243"/>
    </row>
    <row r="289" spans="1:39" ht="28.5" customHeight="1" x14ac:dyDescent="0.25">
      <c r="A289" s="243"/>
      <c r="B289" s="341"/>
      <c r="C289" s="341"/>
      <c r="D289" s="341"/>
      <c r="E289" s="341"/>
      <c r="F289" s="341"/>
      <c r="G289" s="341"/>
      <c r="H289" s="341"/>
      <c r="I289" s="342"/>
      <c r="J289" s="341" t="s">
        <v>280</v>
      </c>
      <c r="K289" s="245"/>
      <c r="L289" s="257"/>
      <c r="M289" s="591" t="s">
        <v>281</v>
      </c>
      <c r="N289" s="592"/>
      <c r="O289" s="179"/>
      <c r="P289" s="180"/>
      <c r="Q289" s="180">
        <v>13000000</v>
      </c>
      <c r="R289" s="181">
        <f t="shared" si="91"/>
        <v>4.3871653141260989</v>
      </c>
      <c r="S289" s="181">
        <v>100</v>
      </c>
      <c r="T289" s="180">
        <f t="shared" si="88"/>
        <v>0</v>
      </c>
      <c r="U289" s="180">
        <f t="shared" si="77"/>
        <v>0</v>
      </c>
      <c r="V289" s="182">
        <f t="shared" si="74"/>
        <v>100</v>
      </c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  <c r="AG289" s="180"/>
      <c r="AH289" s="180"/>
      <c r="AI289" s="180">
        <v>0</v>
      </c>
      <c r="AJ289" s="181">
        <f t="shared" si="89"/>
        <v>0</v>
      </c>
      <c r="AK289" s="246">
        <f t="shared" si="84"/>
        <v>13000000</v>
      </c>
      <c r="AL289" s="181">
        <f t="shared" si="90"/>
        <v>100</v>
      </c>
      <c r="AM289" s="243"/>
    </row>
    <row r="290" spans="1:39" ht="28.5" customHeight="1" x14ac:dyDescent="0.25">
      <c r="A290" s="243"/>
      <c r="B290" s="341"/>
      <c r="C290" s="341"/>
      <c r="D290" s="341"/>
      <c r="E290" s="341"/>
      <c r="F290" s="341"/>
      <c r="G290" s="341"/>
      <c r="H290" s="341"/>
      <c r="I290" s="342"/>
      <c r="J290" s="341" t="s">
        <v>284</v>
      </c>
      <c r="K290" s="245"/>
      <c r="L290" s="257"/>
      <c r="M290" s="591" t="s">
        <v>600</v>
      </c>
      <c r="N290" s="592"/>
      <c r="O290" s="179"/>
      <c r="P290" s="180"/>
      <c r="Q290" s="180">
        <v>660000</v>
      </c>
      <c r="R290" s="181">
        <f t="shared" si="91"/>
        <v>0.22273300825563269</v>
      </c>
      <c r="S290" s="181">
        <v>100</v>
      </c>
      <c r="T290" s="180">
        <f t="shared" si="88"/>
        <v>0</v>
      </c>
      <c r="U290" s="180"/>
      <c r="V290" s="182">
        <f t="shared" si="74"/>
        <v>100</v>
      </c>
      <c r="W290" s="180"/>
      <c r="X290" s="180"/>
      <c r="Y290" s="180"/>
      <c r="Z290" s="180"/>
      <c r="AA290" s="180"/>
      <c r="AB290" s="180"/>
      <c r="AC290" s="180"/>
      <c r="AD290" s="180"/>
      <c r="AE290" s="180"/>
      <c r="AF290" s="180"/>
      <c r="AG290" s="180"/>
      <c r="AH290" s="180"/>
      <c r="AI290" s="180">
        <v>0</v>
      </c>
      <c r="AJ290" s="181">
        <f t="shared" si="89"/>
        <v>0</v>
      </c>
      <c r="AK290" s="246">
        <f t="shared" si="84"/>
        <v>660000</v>
      </c>
      <c r="AL290" s="181">
        <f t="shared" si="90"/>
        <v>100</v>
      </c>
      <c r="AM290" s="243"/>
    </row>
    <row r="291" spans="1:39" ht="28.5" customHeight="1" x14ac:dyDescent="0.25">
      <c r="A291" s="243"/>
      <c r="B291" s="341"/>
      <c r="C291" s="341"/>
      <c r="D291" s="341"/>
      <c r="E291" s="341"/>
      <c r="F291" s="341"/>
      <c r="G291" s="341"/>
      <c r="H291" s="341"/>
      <c r="I291" s="342"/>
      <c r="J291" s="341" t="s">
        <v>407</v>
      </c>
      <c r="K291" s="245"/>
      <c r="L291" s="257"/>
      <c r="M291" s="591" t="s">
        <v>414</v>
      </c>
      <c r="N291" s="592"/>
      <c r="O291" s="179"/>
      <c r="P291" s="180"/>
      <c r="Q291" s="180">
        <v>400000</v>
      </c>
      <c r="R291" s="181">
        <f t="shared" si="91"/>
        <v>0.13498970197311072</v>
      </c>
      <c r="S291" s="181">
        <v>100</v>
      </c>
      <c r="T291" s="180">
        <f t="shared" si="88"/>
        <v>0</v>
      </c>
      <c r="U291" s="180">
        <f t="shared" si="77"/>
        <v>0</v>
      </c>
      <c r="V291" s="182">
        <f t="shared" si="74"/>
        <v>100</v>
      </c>
      <c r="W291" s="180"/>
      <c r="X291" s="180"/>
      <c r="Y291" s="180"/>
      <c r="Z291" s="180"/>
      <c r="AA291" s="180"/>
      <c r="AB291" s="180"/>
      <c r="AC291" s="180"/>
      <c r="AD291" s="180"/>
      <c r="AE291" s="180"/>
      <c r="AF291" s="180"/>
      <c r="AG291" s="180"/>
      <c r="AH291" s="180"/>
      <c r="AI291" s="180">
        <v>0</v>
      </c>
      <c r="AJ291" s="181">
        <f t="shared" si="89"/>
        <v>0</v>
      </c>
      <c r="AK291" s="246">
        <f t="shared" si="84"/>
        <v>400000</v>
      </c>
      <c r="AL291" s="181">
        <f t="shared" si="90"/>
        <v>100</v>
      </c>
      <c r="AM291" s="243"/>
    </row>
    <row r="292" spans="1:39" s="311" customFormat="1" ht="28.5" customHeight="1" x14ac:dyDescent="0.25">
      <c r="A292" s="227">
        <f>A282+1</f>
        <v>40</v>
      </c>
      <c r="B292" s="615" t="s">
        <v>147</v>
      </c>
      <c r="C292" s="615"/>
      <c r="D292" s="615"/>
      <c r="E292" s="615"/>
      <c r="F292" s="615"/>
      <c r="G292" s="615"/>
      <c r="H292" s="615"/>
      <c r="I292" s="614"/>
      <c r="J292" s="304" t="s">
        <v>484</v>
      </c>
      <c r="K292" s="230"/>
      <c r="L292" s="294"/>
      <c r="M292" s="609" t="s">
        <v>43</v>
      </c>
      <c r="N292" s="609"/>
      <c r="O292" s="310">
        <v>450820000</v>
      </c>
      <c r="P292" s="231">
        <f>O292</f>
        <v>450820000</v>
      </c>
      <c r="Q292" s="231">
        <f>SUM(Q293:Q303)</f>
        <v>296318900</v>
      </c>
      <c r="R292" s="233">
        <f>Q292/Q$243*100</f>
        <v>2.4842618811972654</v>
      </c>
      <c r="S292" s="233">
        <v>100</v>
      </c>
      <c r="T292" s="231">
        <f t="shared" si="88"/>
        <v>0</v>
      </c>
      <c r="U292" s="231">
        <f t="shared" si="77"/>
        <v>0</v>
      </c>
      <c r="V292" s="296">
        <f t="shared" si="74"/>
        <v>100</v>
      </c>
      <c r="W292" s="231"/>
      <c r="X292" s="231" t="e">
        <f>#REF!</f>
        <v>#REF!</v>
      </c>
      <c r="Y292" s="231" t="e">
        <f>#REF!</f>
        <v>#REF!</v>
      </c>
      <c r="Z292" s="231" t="e">
        <f>#REF!</f>
        <v>#REF!</v>
      </c>
      <c r="AA292" s="231" t="e">
        <f>#REF!</f>
        <v>#REF!</v>
      </c>
      <c r="AB292" s="231">
        <v>0</v>
      </c>
      <c r="AC292" s="231" t="e">
        <f>#REF!</f>
        <v>#REF!</v>
      </c>
      <c r="AD292" s="231" t="e">
        <f>#REF!</f>
        <v>#REF!</v>
      </c>
      <c r="AE292" s="231" t="e">
        <f>#REF!</f>
        <v>#REF!</v>
      </c>
      <c r="AF292" s="231" t="e">
        <f>[1]April!N59</f>
        <v>#REF!</v>
      </c>
      <c r="AG292" s="231" t="e">
        <f>[2]april!N59</f>
        <v>#REF!</v>
      </c>
      <c r="AH292" s="231">
        <f>'[3]DES SKPD'!$N59</f>
        <v>395224250</v>
      </c>
      <c r="AI292" s="231">
        <f>SUM(AI293:AI303)</f>
        <v>0</v>
      </c>
      <c r="AJ292" s="233">
        <f t="shared" si="89"/>
        <v>0</v>
      </c>
      <c r="AK292" s="234">
        <f t="shared" si="84"/>
        <v>296318900</v>
      </c>
      <c r="AL292" s="233">
        <f t="shared" si="90"/>
        <v>100</v>
      </c>
      <c r="AM292" s="227"/>
    </row>
    <row r="293" spans="1:39" ht="28.5" customHeight="1" x14ac:dyDescent="0.25">
      <c r="A293" s="243"/>
      <c r="B293" s="341"/>
      <c r="C293" s="341"/>
      <c r="D293" s="341"/>
      <c r="E293" s="341"/>
      <c r="F293" s="341"/>
      <c r="G293" s="341"/>
      <c r="H293" s="341"/>
      <c r="I293" s="342"/>
      <c r="J293" s="341" t="s">
        <v>257</v>
      </c>
      <c r="K293" s="245"/>
      <c r="L293" s="257"/>
      <c r="M293" s="591" t="s">
        <v>260</v>
      </c>
      <c r="N293" s="592"/>
      <c r="O293" s="179"/>
      <c r="P293" s="180"/>
      <c r="Q293" s="180">
        <v>1540000</v>
      </c>
      <c r="R293" s="181">
        <f>Q293/Q$292*100</f>
        <v>0.51971035259647624</v>
      </c>
      <c r="S293" s="181">
        <v>100</v>
      </c>
      <c r="T293" s="180">
        <f t="shared" si="88"/>
        <v>0</v>
      </c>
      <c r="U293" s="180">
        <f t="shared" si="77"/>
        <v>0</v>
      </c>
      <c r="V293" s="182">
        <f t="shared" ref="V293:V532" si="92">S293-T293</f>
        <v>100</v>
      </c>
      <c r="W293" s="180"/>
      <c r="X293" s="180"/>
      <c r="Y293" s="180"/>
      <c r="Z293" s="180"/>
      <c r="AA293" s="180"/>
      <c r="AB293" s="180"/>
      <c r="AC293" s="180"/>
      <c r="AD293" s="180"/>
      <c r="AE293" s="180"/>
      <c r="AF293" s="180"/>
      <c r="AG293" s="180"/>
      <c r="AH293" s="180"/>
      <c r="AI293" s="180">
        <v>0</v>
      </c>
      <c r="AJ293" s="181">
        <f t="shared" si="89"/>
        <v>0</v>
      </c>
      <c r="AK293" s="246">
        <f t="shared" si="84"/>
        <v>1540000</v>
      </c>
      <c r="AL293" s="181">
        <f t="shared" si="90"/>
        <v>100</v>
      </c>
      <c r="AM293" s="243"/>
    </row>
    <row r="294" spans="1:39" ht="28.5" customHeight="1" x14ac:dyDescent="0.25">
      <c r="A294" s="243"/>
      <c r="B294" s="341"/>
      <c r="C294" s="341"/>
      <c r="D294" s="341"/>
      <c r="E294" s="341"/>
      <c r="F294" s="341"/>
      <c r="G294" s="341"/>
      <c r="H294" s="341"/>
      <c r="I294" s="342"/>
      <c r="J294" s="341" t="s">
        <v>326</v>
      </c>
      <c r="K294" s="245"/>
      <c r="L294" s="257"/>
      <c r="M294" s="591" t="s">
        <v>327</v>
      </c>
      <c r="N294" s="592"/>
      <c r="O294" s="179"/>
      <c r="P294" s="180"/>
      <c r="Q294" s="180">
        <v>140400000</v>
      </c>
      <c r="R294" s="181">
        <f t="shared" ref="R294:R303" si="93">Q294/Q$292*100</f>
        <v>47.381385392561867</v>
      </c>
      <c r="S294" s="181">
        <v>100</v>
      </c>
      <c r="T294" s="180">
        <f t="shared" si="88"/>
        <v>0</v>
      </c>
      <c r="U294" s="180">
        <f t="shared" si="77"/>
        <v>0</v>
      </c>
      <c r="V294" s="182">
        <f t="shared" si="92"/>
        <v>100</v>
      </c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>
        <v>0</v>
      </c>
      <c r="AJ294" s="181">
        <f t="shared" si="89"/>
        <v>0</v>
      </c>
      <c r="AK294" s="246">
        <f t="shared" si="84"/>
        <v>140400000</v>
      </c>
      <c r="AL294" s="181">
        <f t="shared" si="90"/>
        <v>100</v>
      </c>
      <c r="AM294" s="243"/>
    </row>
    <row r="295" spans="1:39" ht="28.5" customHeight="1" x14ac:dyDescent="0.25">
      <c r="A295" s="243"/>
      <c r="B295" s="341"/>
      <c r="C295" s="341"/>
      <c r="D295" s="341"/>
      <c r="E295" s="341"/>
      <c r="F295" s="341"/>
      <c r="G295" s="341"/>
      <c r="H295" s="341"/>
      <c r="I295" s="342"/>
      <c r="J295" s="341" t="s">
        <v>323</v>
      </c>
      <c r="K295" s="245"/>
      <c r="L295" s="257"/>
      <c r="M295" s="591" t="s">
        <v>324</v>
      </c>
      <c r="N295" s="592"/>
      <c r="O295" s="179"/>
      <c r="P295" s="180"/>
      <c r="Q295" s="180">
        <v>10000000</v>
      </c>
      <c r="R295" s="181">
        <f t="shared" si="93"/>
        <v>3.3747425493277681</v>
      </c>
      <c r="S295" s="181">
        <v>100</v>
      </c>
      <c r="T295" s="180">
        <f t="shared" si="88"/>
        <v>0</v>
      </c>
      <c r="U295" s="180">
        <f t="shared" si="77"/>
        <v>0</v>
      </c>
      <c r="V295" s="182">
        <f t="shared" si="92"/>
        <v>100</v>
      </c>
      <c r="W295" s="180"/>
      <c r="X295" s="180"/>
      <c r="Y295" s="180"/>
      <c r="Z295" s="180"/>
      <c r="AA295" s="180"/>
      <c r="AB295" s="180"/>
      <c r="AC295" s="180"/>
      <c r="AD295" s="180"/>
      <c r="AE295" s="180"/>
      <c r="AF295" s="180"/>
      <c r="AG295" s="180"/>
      <c r="AH295" s="180"/>
      <c r="AI295" s="180">
        <v>0</v>
      </c>
      <c r="AJ295" s="181">
        <f t="shared" si="89"/>
        <v>0</v>
      </c>
      <c r="AK295" s="246">
        <f t="shared" si="84"/>
        <v>10000000</v>
      </c>
      <c r="AL295" s="181">
        <f t="shared" si="90"/>
        <v>100</v>
      </c>
      <c r="AM295" s="243"/>
    </row>
    <row r="296" spans="1:39" ht="28.5" customHeight="1" x14ac:dyDescent="0.25">
      <c r="A296" s="243"/>
      <c r="B296" s="341"/>
      <c r="C296" s="341"/>
      <c r="D296" s="341"/>
      <c r="E296" s="341"/>
      <c r="F296" s="341"/>
      <c r="G296" s="341"/>
      <c r="H296" s="341"/>
      <c r="I296" s="342"/>
      <c r="J296" s="341" t="s">
        <v>341</v>
      </c>
      <c r="K296" s="245"/>
      <c r="L296" s="257"/>
      <c r="M296" s="591" t="s">
        <v>337</v>
      </c>
      <c r="N296" s="592"/>
      <c r="O296" s="179"/>
      <c r="P296" s="180"/>
      <c r="Q296" s="180">
        <v>10000000</v>
      </c>
      <c r="R296" s="181">
        <f t="shared" si="93"/>
        <v>3.3747425493277681</v>
      </c>
      <c r="S296" s="181">
        <v>100</v>
      </c>
      <c r="T296" s="180">
        <f t="shared" si="88"/>
        <v>0</v>
      </c>
      <c r="U296" s="180">
        <f t="shared" si="77"/>
        <v>0</v>
      </c>
      <c r="V296" s="182">
        <f t="shared" si="92"/>
        <v>100</v>
      </c>
      <c r="W296" s="180"/>
      <c r="X296" s="180"/>
      <c r="Y296" s="180"/>
      <c r="Z296" s="180"/>
      <c r="AA296" s="180"/>
      <c r="AB296" s="180"/>
      <c r="AC296" s="180"/>
      <c r="AD296" s="180"/>
      <c r="AE296" s="180"/>
      <c r="AF296" s="180"/>
      <c r="AG296" s="180"/>
      <c r="AH296" s="180"/>
      <c r="AI296" s="180">
        <v>0</v>
      </c>
      <c r="AJ296" s="181">
        <f t="shared" si="89"/>
        <v>0</v>
      </c>
      <c r="AK296" s="246">
        <f t="shared" si="84"/>
        <v>10000000</v>
      </c>
      <c r="AL296" s="181">
        <f t="shared" si="90"/>
        <v>100</v>
      </c>
      <c r="AM296" s="243"/>
    </row>
    <row r="297" spans="1:39" ht="28.5" customHeight="1" x14ac:dyDescent="0.25">
      <c r="A297" s="243"/>
      <c r="B297" s="341"/>
      <c r="C297" s="341"/>
      <c r="D297" s="341"/>
      <c r="E297" s="341"/>
      <c r="F297" s="341"/>
      <c r="G297" s="341"/>
      <c r="H297" s="341"/>
      <c r="I297" s="342"/>
      <c r="J297" s="341" t="s">
        <v>269</v>
      </c>
      <c r="K297" s="245"/>
      <c r="L297" s="257"/>
      <c r="M297" s="591" t="s">
        <v>270</v>
      </c>
      <c r="N297" s="592"/>
      <c r="O297" s="179"/>
      <c r="P297" s="180"/>
      <c r="Q297" s="180">
        <v>23000000</v>
      </c>
      <c r="R297" s="181">
        <f t="shared" si="93"/>
        <v>7.7619078634538665</v>
      </c>
      <c r="S297" s="181">
        <v>100</v>
      </c>
      <c r="T297" s="180">
        <f t="shared" si="88"/>
        <v>0</v>
      </c>
      <c r="U297" s="180">
        <f t="shared" ref="U297:U360" si="94">R297*T297/100</f>
        <v>0</v>
      </c>
      <c r="V297" s="182">
        <f t="shared" si="92"/>
        <v>100</v>
      </c>
      <c r="W297" s="180"/>
      <c r="X297" s="180"/>
      <c r="Y297" s="180"/>
      <c r="Z297" s="180"/>
      <c r="AA297" s="180"/>
      <c r="AB297" s="180"/>
      <c r="AC297" s="180"/>
      <c r="AD297" s="180"/>
      <c r="AE297" s="180"/>
      <c r="AF297" s="180"/>
      <c r="AG297" s="180"/>
      <c r="AH297" s="180"/>
      <c r="AI297" s="180">
        <v>0</v>
      </c>
      <c r="AJ297" s="181">
        <f t="shared" si="89"/>
        <v>0</v>
      </c>
      <c r="AK297" s="246">
        <f t="shared" si="84"/>
        <v>23000000</v>
      </c>
      <c r="AL297" s="181">
        <f t="shared" si="90"/>
        <v>100</v>
      </c>
      <c r="AM297" s="243"/>
    </row>
    <row r="298" spans="1:39" ht="28.5" customHeight="1" x14ac:dyDescent="0.25">
      <c r="A298" s="243"/>
      <c r="B298" s="341"/>
      <c r="C298" s="341"/>
      <c r="D298" s="341"/>
      <c r="E298" s="341"/>
      <c r="F298" s="341"/>
      <c r="G298" s="341"/>
      <c r="H298" s="341"/>
      <c r="I298" s="342"/>
      <c r="J298" s="341" t="s">
        <v>315</v>
      </c>
      <c r="K298" s="245"/>
      <c r="L298" s="257"/>
      <c r="M298" s="591" t="s">
        <v>271</v>
      </c>
      <c r="N298" s="592"/>
      <c r="O298" s="179"/>
      <c r="P298" s="180"/>
      <c r="Q298" s="180">
        <v>17000000</v>
      </c>
      <c r="R298" s="181">
        <f t="shared" si="93"/>
        <v>5.7370623338572058</v>
      </c>
      <c r="S298" s="181">
        <v>100</v>
      </c>
      <c r="T298" s="180">
        <f t="shared" si="88"/>
        <v>0</v>
      </c>
      <c r="U298" s="180">
        <f t="shared" si="94"/>
        <v>0</v>
      </c>
      <c r="V298" s="182">
        <f t="shared" si="92"/>
        <v>100</v>
      </c>
      <c r="W298" s="180"/>
      <c r="X298" s="180"/>
      <c r="Y298" s="180"/>
      <c r="Z298" s="180"/>
      <c r="AA298" s="180"/>
      <c r="AB298" s="180"/>
      <c r="AC298" s="180"/>
      <c r="AD298" s="180"/>
      <c r="AE298" s="180"/>
      <c r="AF298" s="180"/>
      <c r="AG298" s="180"/>
      <c r="AH298" s="180"/>
      <c r="AI298" s="180">
        <v>0</v>
      </c>
      <c r="AJ298" s="181">
        <f t="shared" si="89"/>
        <v>0</v>
      </c>
      <c r="AK298" s="246">
        <f t="shared" si="84"/>
        <v>17000000</v>
      </c>
      <c r="AL298" s="181">
        <f t="shared" si="90"/>
        <v>100</v>
      </c>
      <c r="AM298" s="243"/>
    </row>
    <row r="299" spans="1:39" ht="28.5" customHeight="1" x14ac:dyDescent="0.25">
      <c r="A299" s="243"/>
      <c r="B299" s="341"/>
      <c r="C299" s="341"/>
      <c r="D299" s="341"/>
      <c r="E299" s="341"/>
      <c r="F299" s="341"/>
      <c r="G299" s="341"/>
      <c r="H299" s="341"/>
      <c r="I299" s="342"/>
      <c r="J299" s="341" t="s">
        <v>343</v>
      </c>
      <c r="K299" s="245"/>
      <c r="L299" s="257"/>
      <c r="M299" s="591" t="s">
        <v>319</v>
      </c>
      <c r="N299" s="592"/>
      <c r="O299" s="179"/>
      <c r="P299" s="180"/>
      <c r="Q299" s="180">
        <v>32500000</v>
      </c>
      <c r="R299" s="181">
        <f t="shared" si="93"/>
        <v>10.967913285315246</v>
      </c>
      <c r="S299" s="181">
        <v>100</v>
      </c>
      <c r="T299" s="180">
        <f t="shared" si="88"/>
        <v>0</v>
      </c>
      <c r="U299" s="180">
        <f t="shared" si="94"/>
        <v>0</v>
      </c>
      <c r="V299" s="182">
        <f t="shared" si="92"/>
        <v>100</v>
      </c>
      <c r="W299" s="180"/>
      <c r="X299" s="180"/>
      <c r="Y299" s="180"/>
      <c r="Z299" s="180"/>
      <c r="AA299" s="180"/>
      <c r="AB299" s="180"/>
      <c r="AC299" s="180"/>
      <c r="AD299" s="180"/>
      <c r="AE299" s="180"/>
      <c r="AF299" s="180"/>
      <c r="AG299" s="180"/>
      <c r="AH299" s="180"/>
      <c r="AI299" s="180">
        <v>0</v>
      </c>
      <c r="AJ299" s="181">
        <f t="shared" si="89"/>
        <v>0</v>
      </c>
      <c r="AK299" s="246">
        <f t="shared" si="84"/>
        <v>32500000</v>
      </c>
      <c r="AL299" s="181">
        <f t="shared" si="90"/>
        <v>100</v>
      </c>
      <c r="AM299" s="243"/>
    </row>
    <row r="300" spans="1:39" ht="28.5" customHeight="1" x14ac:dyDescent="0.25">
      <c r="A300" s="243"/>
      <c r="B300" s="341"/>
      <c r="C300" s="341"/>
      <c r="D300" s="341"/>
      <c r="E300" s="341"/>
      <c r="F300" s="341"/>
      <c r="G300" s="341"/>
      <c r="H300" s="341"/>
      <c r="I300" s="342"/>
      <c r="J300" s="341" t="s">
        <v>280</v>
      </c>
      <c r="K300" s="245"/>
      <c r="L300" s="257"/>
      <c r="M300" s="591" t="s">
        <v>281</v>
      </c>
      <c r="N300" s="592"/>
      <c r="O300" s="179"/>
      <c r="P300" s="180"/>
      <c r="Q300" s="180">
        <v>6500000</v>
      </c>
      <c r="R300" s="181">
        <f t="shared" si="93"/>
        <v>2.1935826570630494</v>
      </c>
      <c r="S300" s="181">
        <v>100</v>
      </c>
      <c r="T300" s="180">
        <f t="shared" si="88"/>
        <v>0</v>
      </c>
      <c r="U300" s="180">
        <f t="shared" si="94"/>
        <v>0</v>
      </c>
      <c r="V300" s="182">
        <f t="shared" si="92"/>
        <v>100</v>
      </c>
      <c r="W300" s="180"/>
      <c r="X300" s="180"/>
      <c r="Y300" s="180"/>
      <c r="Z300" s="180"/>
      <c r="AA300" s="180"/>
      <c r="AB300" s="180"/>
      <c r="AC300" s="180"/>
      <c r="AD300" s="180"/>
      <c r="AE300" s="180"/>
      <c r="AF300" s="180"/>
      <c r="AG300" s="180"/>
      <c r="AH300" s="180"/>
      <c r="AI300" s="180">
        <v>0</v>
      </c>
      <c r="AJ300" s="181">
        <f t="shared" si="89"/>
        <v>0</v>
      </c>
      <c r="AK300" s="246">
        <f t="shared" si="84"/>
        <v>6500000</v>
      </c>
      <c r="AL300" s="181">
        <f t="shared" si="90"/>
        <v>100</v>
      </c>
      <c r="AM300" s="243"/>
    </row>
    <row r="301" spans="1:39" ht="28.5" customHeight="1" x14ac:dyDescent="0.25">
      <c r="A301" s="243"/>
      <c r="B301" s="341"/>
      <c r="C301" s="341"/>
      <c r="D301" s="341"/>
      <c r="E301" s="341"/>
      <c r="F301" s="341"/>
      <c r="G301" s="341"/>
      <c r="H301" s="341"/>
      <c r="I301" s="342"/>
      <c r="J301" s="341"/>
      <c r="K301" s="245"/>
      <c r="L301" s="257"/>
      <c r="M301" s="591" t="s">
        <v>285</v>
      </c>
      <c r="N301" s="592"/>
      <c r="O301" s="179"/>
      <c r="P301" s="180"/>
      <c r="Q301" s="180">
        <v>660000</v>
      </c>
      <c r="R301" s="181">
        <f t="shared" si="93"/>
        <v>0.22273300825563269</v>
      </c>
      <c r="S301" s="181"/>
      <c r="T301" s="180">
        <f t="shared" si="88"/>
        <v>0</v>
      </c>
      <c r="U301" s="180">
        <f t="shared" si="94"/>
        <v>0</v>
      </c>
      <c r="V301" s="182">
        <f t="shared" si="92"/>
        <v>0</v>
      </c>
      <c r="W301" s="180"/>
      <c r="X301" s="180"/>
      <c r="Y301" s="180"/>
      <c r="Z301" s="180"/>
      <c r="AA301" s="180"/>
      <c r="AB301" s="180"/>
      <c r="AC301" s="180"/>
      <c r="AD301" s="180"/>
      <c r="AE301" s="180"/>
      <c r="AF301" s="180"/>
      <c r="AG301" s="180"/>
      <c r="AH301" s="180"/>
      <c r="AI301" s="180">
        <v>0</v>
      </c>
      <c r="AJ301" s="181">
        <f t="shared" si="89"/>
        <v>0</v>
      </c>
      <c r="AK301" s="246">
        <f t="shared" si="84"/>
        <v>660000</v>
      </c>
      <c r="AL301" s="181">
        <f t="shared" si="90"/>
        <v>100</v>
      </c>
      <c r="AM301" s="243"/>
    </row>
    <row r="302" spans="1:39" ht="28.5" customHeight="1" x14ac:dyDescent="0.25">
      <c r="A302" s="243"/>
      <c r="B302" s="341"/>
      <c r="C302" s="341"/>
      <c r="D302" s="341"/>
      <c r="E302" s="341"/>
      <c r="F302" s="341"/>
      <c r="G302" s="341"/>
      <c r="H302" s="341"/>
      <c r="I302" s="342"/>
      <c r="J302" s="341" t="s">
        <v>282</v>
      </c>
      <c r="K302" s="245"/>
      <c r="L302" s="257"/>
      <c r="M302" s="591" t="s">
        <v>283</v>
      </c>
      <c r="N302" s="592"/>
      <c r="O302" s="179"/>
      <c r="P302" s="180"/>
      <c r="Q302" s="180">
        <v>53918900</v>
      </c>
      <c r="R302" s="181">
        <f t="shared" si="93"/>
        <v>18.1962406042949</v>
      </c>
      <c r="S302" s="181">
        <v>100</v>
      </c>
      <c r="T302" s="180">
        <f t="shared" si="88"/>
        <v>0</v>
      </c>
      <c r="U302" s="180">
        <f t="shared" si="94"/>
        <v>0</v>
      </c>
      <c r="V302" s="182">
        <f t="shared" si="92"/>
        <v>100</v>
      </c>
      <c r="W302" s="180"/>
      <c r="X302" s="180"/>
      <c r="Y302" s="180"/>
      <c r="Z302" s="180"/>
      <c r="AA302" s="180"/>
      <c r="AB302" s="180"/>
      <c r="AC302" s="180"/>
      <c r="AD302" s="180"/>
      <c r="AE302" s="180"/>
      <c r="AF302" s="180"/>
      <c r="AG302" s="180"/>
      <c r="AH302" s="180"/>
      <c r="AI302" s="180">
        <v>0</v>
      </c>
      <c r="AJ302" s="181">
        <f t="shared" si="89"/>
        <v>0</v>
      </c>
      <c r="AK302" s="246">
        <f t="shared" si="84"/>
        <v>53918900</v>
      </c>
      <c r="AL302" s="181">
        <f t="shared" si="90"/>
        <v>100</v>
      </c>
      <c r="AM302" s="243"/>
    </row>
    <row r="303" spans="1:39" ht="28.5" customHeight="1" x14ac:dyDescent="0.25">
      <c r="A303" s="243"/>
      <c r="B303" s="341"/>
      <c r="C303" s="341"/>
      <c r="D303" s="341"/>
      <c r="E303" s="341"/>
      <c r="F303" s="341"/>
      <c r="G303" s="341"/>
      <c r="H303" s="341"/>
      <c r="I303" s="342"/>
      <c r="J303" s="341" t="s">
        <v>407</v>
      </c>
      <c r="K303" s="245"/>
      <c r="L303" s="257"/>
      <c r="M303" s="591" t="s">
        <v>414</v>
      </c>
      <c r="N303" s="592"/>
      <c r="O303" s="179"/>
      <c r="P303" s="180"/>
      <c r="Q303" s="180">
        <v>800000</v>
      </c>
      <c r="R303" s="181">
        <f t="shared" si="93"/>
        <v>0.26997940394622144</v>
      </c>
      <c r="S303" s="181">
        <v>100</v>
      </c>
      <c r="T303" s="180">
        <f t="shared" si="88"/>
        <v>0</v>
      </c>
      <c r="U303" s="180">
        <f t="shared" si="94"/>
        <v>0</v>
      </c>
      <c r="V303" s="182">
        <f t="shared" si="92"/>
        <v>100</v>
      </c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>
        <v>0</v>
      </c>
      <c r="AJ303" s="181">
        <f t="shared" si="89"/>
        <v>0</v>
      </c>
      <c r="AK303" s="246">
        <f t="shared" si="84"/>
        <v>800000</v>
      </c>
      <c r="AL303" s="181">
        <f t="shared" si="90"/>
        <v>100</v>
      </c>
      <c r="AM303" s="243"/>
    </row>
    <row r="304" spans="1:39" s="311" customFormat="1" ht="28.5" customHeight="1" x14ac:dyDescent="0.25">
      <c r="A304" s="227">
        <f>A292+1</f>
        <v>41</v>
      </c>
      <c r="B304" s="615" t="s">
        <v>148</v>
      </c>
      <c r="C304" s="615"/>
      <c r="D304" s="615"/>
      <c r="E304" s="615"/>
      <c r="F304" s="615"/>
      <c r="G304" s="615"/>
      <c r="H304" s="615"/>
      <c r="I304" s="614"/>
      <c r="J304" s="304" t="s">
        <v>485</v>
      </c>
      <c r="K304" s="230"/>
      <c r="L304" s="294"/>
      <c r="M304" s="609" t="s">
        <v>44</v>
      </c>
      <c r="N304" s="609"/>
      <c r="O304" s="310">
        <v>100275000</v>
      </c>
      <c r="P304" s="231">
        <f>O304</f>
        <v>100275000</v>
      </c>
      <c r="Q304" s="231">
        <f>SUM(Q305:Q311)</f>
        <v>331985880</v>
      </c>
      <c r="R304" s="233">
        <f>Q304/Q$243*100</f>
        <v>2.783284720548469</v>
      </c>
      <c r="S304" s="233">
        <v>100</v>
      </c>
      <c r="T304" s="231">
        <f t="shared" si="88"/>
        <v>0</v>
      </c>
      <c r="U304" s="231">
        <f t="shared" si="94"/>
        <v>0</v>
      </c>
      <c r="V304" s="296">
        <f t="shared" si="92"/>
        <v>100</v>
      </c>
      <c r="W304" s="231"/>
      <c r="X304" s="231" t="e">
        <f>#REF!</f>
        <v>#REF!</v>
      </c>
      <c r="Y304" s="231" t="e">
        <f>#REF!</f>
        <v>#REF!</v>
      </c>
      <c r="Z304" s="231" t="e">
        <f>#REF!</f>
        <v>#REF!</v>
      </c>
      <c r="AA304" s="231" t="e">
        <f>#REF!</f>
        <v>#REF!</v>
      </c>
      <c r="AB304" s="231">
        <v>0</v>
      </c>
      <c r="AC304" s="231" t="e">
        <f>#REF!</f>
        <v>#REF!</v>
      </c>
      <c r="AD304" s="231" t="e">
        <f>#REF!</f>
        <v>#REF!</v>
      </c>
      <c r="AE304" s="231" t="e">
        <f>#REF!</f>
        <v>#REF!</v>
      </c>
      <c r="AF304" s="231" t="e">
        <f>[1]April!N60</f>
        <v>#REF!</v>
      </c>
      <c r="AG304" s="231" t="e">
        <f>[2]april!N60</f>
        <v>#REF!</v>
      </c>
      <c r="AH304" s="231">
        <f>'[3]DES SKPD'!$N60</f>
        <v>90196500</v>
      </c>
      <c r="AI304" s="231">
        <f>SUM(AI305:AI311)</f>
        <v>0</v>
      </c>
      <c r="AJ304" s="233">
        <f t="shared" si="89"/>
        <v>0</v>
      </c>
      <c r="AK304" s="234">
        <f t="shared" si="84"/>
        <v>331985880</v>
      </c>
      <c r="AL304" s="233">
        <f t="shared" si="90"/>
        <v>100</v>
      </c>
      <c r="AM304" s="227"/>
    </row>
    <row r="305" spans="1:39" ht="28.5" customHeight="1" x14ac:dyDescent="0.25">
      <c r="A305" s="243"/>
      <c r="B305" s="341"/>
      <c r="C305" s="341"/>
      <c r="D305" s="341"/>
      <c r="E305" s="341"/>
      <c r="F305" s="341"/>
      <c r="G305" s="341"/>
      <c r="H305" s="341"/>
      <c r="I305" s="342"/>
      <c r="J305" s="341" t="s">
        <v>326</v>
      </c>
      <c r="K305" s="245"/>
      <c r="L305" s="257"/>
      <c r="M305" s="591" t="s">
        <v>327</v>
      </c>
      <c r="N305" s="592"/>
      <c r="O305" s="179"/>
      <c r="P305" s="180"/>
      <c r="Q305" s="180">
        <v>280800000</v>
      </c>
      <c r="R305" s="181">
        <f t="shared" ref="R305:R311" si="95">Q305/Q$304*100</f>
        <v>84.581910531857559</v>
      </c>
      <c r="S305" s="181">
        <v>100</v>
      </c>
      <c r="T305" s="180">
        <f t="shared" si="88"/>
        <v>0</v>
      </c>
      <c r="U305" s="180">
        <f t="shared" si="94"/>
        <v>0</v>
      </c>
      <c r="V305" s="182">
        <f t="shared" si="92"/>
        <v>100</v>
      </c>
      <c r="W305" s="180"/>
      <c r="X305" s="180"/>
      <c r="Y305" s="180"/>
      <c r="Z305" s="180"/>
      <c r="AA305" s="180"/>
      <c r="AB305" s="180"/>
      <c r="AC305" s="180"/>
      <c r="AD305" s="180"/>
      <c r="AE305" s="180"/>
      <c r="AF305" s="180"/>
      <c r="AG305" s="180"/>
      <c r="AH305" s="180"/>
      <c r="AI305" s="180">
        <v>0</v>
      </c>
      <c r="AJ305" s="181">
        <f t="shared" si="89"/>
        <v>0</v>
      </c>
      <c r="AK305" s="246">
        <f t="shared" si="84"/>
        <v>280800000</v>
      </c>
      <c r="AL305" s="181">
        <f t="shared" si="90"/>
        <v>100</v>
      </c>
      <c r="AM305" s="243"/>
    </row>
    <row r="306" spans="1:39" ht="28.5" customHeight="1" x14ac:dyDescent="0.25">
      <c r="A306" s="243"/>
      <c r="B306" s="341"/>
      <c r="C306" s="341"/>
      <c r="D306" s="341"/>
      <c r="E306" s="341"/>
      <c r="F306" s="341"/>
      <c r="G306" s="341"/>
      <c r="H306" s="341"/>
      <c r="I306" s="342"/>
      <c r="J306" s="341" t="s">
        <v>323</v>
      </c>
      <c r="K306" s="245"/>
      <c r="L306" s="257"/>
      <c r="M306" s="591" t="s">
        <v>324</v>
      </c>
      <c r="N306" s="592"/>
      <c r="O306" s="179"/>
      <c r="P306" s="180"/>
      <c r="Q306" s="180">
        <v>4000000</v>
      </c>
      <c r="R306" s="181">
        <f t="shared" si="95"/>
        <v>1.2048705203968313</v>
      </c>
      <c r="S306" s="181">
        <v>100</v>
      </c>
      <c r="T306" s="180">
        <f t="shared" si="88"/>
        <v>0</v>
      </c>
      <c r="U306" s="180">
        <f t="shared" si="94"/>
        <v>0</v>
      </c>
      <c r="V306" s="182">
        <f t="shared" si="92"/>
        <v>100</v>
      </c>
      <c r="W306" s="180"/>
      <c r="X306" s="180"/>
      <c r="Y306" s="180"/>
      <c r="Z306" s="180"/>
      <c r="AA306" s="180"/>
      <c r="AB306" s="180"/>
      <c r="AC306" s="180"/>
      <c r="AD306" s="180"/>
      <c r="AE306" s="180"/>
      <c r="AF306" s="180"/>
      <c r="AG306" s="180"/>
      <c r="AH306" s="180"/>
      <c r="AI306" s="180">
        <v>0</v>
      </c>
      <c r="AJ306" s="181">
        <f t="shared" si="89"/>
        <v>0</v>
      </c>
      <c r="AK306" s="246">
        <f t="shared" si="84"/>
        <v>4000000</v>
      </c>
      <c r="AL306" s="181">
        <f t="shared" si="90"/>
        <v>100</v>
      </c>
      <c r="AM306" s="243"/>
    </row>
    <row r="307" spans="1:39" ht="28.5" customHeight="1" x14ac:dyDescent="0.25">
      <c r="A307" s="243"/>
      <c r="B307" s="341"/>
      <c r="C307" s="341"/>
      <c r="D307" s="341"/>
      <c r="E307" s="341"/>
      <c r="F307" s="341"/>
      <c r="G307" s="341"/>
      <c r="H307" s="341"/>
      <c r="I307" s="342"/>
      <c r="J307" s="341" t="s">
        <v>269</v>
      </c>
      <c r="K307" s="245"/>
      <c r="L307" s="257"/>
      <c r="M307" s="591" t="s">
        <v>270</v>
      </c>
      <c r="N307" s="592"/>
      <c r="O307" s="179"/>
      <c r="P307" s="180"/>
      <c r="Q307" s="180">
        <v>27680000</v>
      </c>
      <c r="R307" s="181">
        <f t="shared" si="95"/>
        <v>8.3377040011460739</v>
      </c>
      <c r="S307" s="181">
        <v>100</v>
      </c>
      <c r="T307" s="180">
        <f t="shared" si="88"/>
        <v>0</v>
      </c>
      <c r="U307" s="180">
        <f t="shared" si="94"/>
        <v>0</v>
      </c>
      <c r="V307" s="182">
        <f t="shared" si="92"/>
        <v>100</v>
      </c>
      <c r="W307" s="180"/>
      <c r="X307" s="180"/>
      <c r="Y307" s="180"/>
      <c r="Z307" s="180"/>
      <c r="AA307" s="180"/>
      <c r="AB307" s="180"/>
      <c r="AC307" s="180"/>
      <c r="AD307" s="180"/>
      <c r="AE307" s="180"/>
      <c r="AF307" s="180"/>
      <c r="AG307" s="180"/>
      <c r="AH307" s="180"/>
      <c r="AI307" s="180">
        <v>0</v>
      </c>
      <c r="AJ307" s="181">
        <f t="shared" si="89"/>
        <v>0</v>
      </c>
      <c r="AK307" s="246">
        <f t="shared" si="84"/>
        <v>27680000</v>
      </c>
      <c r="AL307" s="181">
        <f t="shared" si="90"/>
        <v>100</v>
      </c>
      <c r="AM307" s="243"/>
    </row>
    <row r="308" spans="1:39" ht="28.5" customHeight="1" x14ac:dyDescent="0.25">
      <c r="A308" s="243"/>
      <c r="B308" s="341"/>
      <c r="C308" s="341"/>
      <c r="D308" s="341"/>
      <c r="E308" s="341"/>
      <c r="F308" s="341"/>
      <c r="G308" s="341"/>
      <c r="H308" s="341"/>
      <c r="I308" s="342"/>
      <c r="J308" s="341" t="s">
        <v>315</v>
      </c>
      <c r="K308" s="245"/>
      <c r="L308" s="257"/>
      <c r="M308" s="591" t="s">
        <v>271</v>
      </c>
      <c r="N308" s="592"/>
      <c r="O308" s="179"/>
      <c r="P308" s="180"/>
      <c r="Q308" s="180">
        <v>1000000</v>
      </c>
      <c r="R308" s="181">
        <f t="shared" si="95"/>
        <v>0.30121763009920782</v>
      </c>
      <c r="S308" s="181">
        <v>100</v>
      </c>
      <c r="T308" s="180">
        <f t="shared" si="88"/>
        <v>0</v>
      </c>
      <c r="U308" s="180">
        <f t="shared" si="94"/>
        <v>0</v>
      </c>
      <c r="V308" s="182">
        <f t="shared" si="92"/>
        <v>100</v>
      </c>
      <c r="W308" s="180"/>
      <c r="X308" s="180"/>
      <c r="Y308" s="180"/>
      <c r="Z308" s="180"/>
      <c r="AA308" s="180"/>
      <c r="AB308" s="180"/>
      <c r="AC308" s="180"/>
      <c r="AD308" s="180"/>
      <c r="AE308" s="180"/>
      <c r="AF308" s="180"/>
      <c r="AG308" s="180"/>
      <c r="AH308" s="180"/>
      <c r="AI308" s="180">
        <v>0</v>
      </c>
      <c r="AJ308" s="181">
        <f t="shared" si="89"/>
        <v>0</v>
      </c>
      <c r="AK308" s="246">
        <f t="shared" ref="AK308:AK354" si="96">Q308-AI308</f>
        <v>1000000</v>
      </c>
      <c r="AL308" s="181">
        <f t="shared" si="90"/>
        <v>100</v>
      </c>
      <c r="AM308" s="243"/>
    </row>
    <row r="309" spans="1:39" ht="28.5" customHeight="1" x14ac:dyDescent="0.25">
      <c r="A309" s="243"/>
      <c r="B309" s="341"/>
      <c r="C309" s="341"/>
      <c r="D309" s="341"/>
      <c r="E309" s="341"/>
      <c r="F309" s="341"/>
      <c r="G309" s="341"/>
      <c r="H309" s="341"/>
      <c r="I309" s="342"/>
      <c r="J309" s="341" t="s">
        <v>328</v>
      </c>
      <c r="K309" s="245"/>
      <c r="L309" s="257"/>
      <c r="M309" s="591" t="s">
        <v>329</v>
      </c>
      <c r="N309" s="592"/>
      <c r="O309" s="179"/>
      <c r="P309" s="180"/>
      <c r="Q309" s="180">
        <v>5105880</v>
      </c>
      <c r="R309" s="181">
        <f t="shared" si="95"/>
        <v>1.5379810731709433</v>
      </c>
      <c r="S309" s="181">
        <v>100</v>
      </c>
      <c r="T309" s="180">
        <f t="shared" si="88"/>
        <v>0</v>
      </c>
      <c r="U309" s="180">
        <f t="shared" si="94"/>
        <v>0</v>
      </c>
      <c r="V309" s="182">
        <f t="shared" si="92"/>
        <v>100</v>
      </c>
      <c r="W309" s="180"/>
      <c r="X309" s="180"/>
      <c r="Y309" s="180"/>
      <c r="Z309" s="180"/>
      <c r="AA309" s="180"/>
      <c r="AB309" s="180"/>
      <c r="AC309" s="180"/>
      <c r="AD309" s="180"/>
      <c r="AE309" s="180"/>
      <c r="AF309" s="180"/>
      <c r="AG309" s="180"/>
      <c r="AH309" s="180"/>
      <c r="AI309" s="180">
        <v>0</v>
      </c>
      <c r="AJ309" s="181">
        <f t="shared" si="89"/>
        <v>0</v>
      </c>
      <c r="AK309" s="246">
        <f t="shared" si="96"/>
        <v>5105880</v>
      </c>
      <c r="AL309" s="181">
        <f t="shared" si="90"/>
        <v>100</v>
      </c>
      <c r="AM309" s="243"/>
    </row>
    <row r="310" spans="1:39" ht="28.5" customHeight="1" x14ac:dyDescent="0.25">
      <c r="A310" s="243"/>
      <c r="B310" s="341"/>
      <c r="C310" s="341"/>
      <c r="D310" s="341"/>
      <c r="E310" s="341"/>
      <c r="F310" s="341"/>
      <c r="G310" s="341"/>
      <c r="H310" s="341"/>
      <c r="I310" s="342"/>
      <c r="J310" s="341" t="s">
        <v>280</v>
      </c>
      <c r="K310" s="245"/>
      <c r="L310" s="257"/>
      <c r="M310" s="591" t="s">
        <v>281</v>
      </c>
      <c r="N310" s="592"/>
      <c r="O310" s="179"/>
      <c r="P310" s="180"/>
      <c r="Q310" s="180">
        <v>13000000</v>
      </c>
      <c r="R310" s="181">
        <f t="shared" si="95"/>
        <v>3.9158291912897019</v>
      </c>
      <c r="S310" s="181">
        <v>100</v>
      </c>
      <c r="T310" s="180">
        <f t="shared" si="88"/>
        <v>0</v>
      </c>
      <c r="U310" s="180">
        <f t="shared" si="94"/>
        <v>0</v>
      </c>
      <c r="V310" s="182">
        <f t="shared" si="92"/>
        <v>100</v>
      </c>
      <c r="W310" s="180"/>
      <c r="X310" s="180"/>
      <c r="Y310" s="180"/>
      <c r="Z310" s="180"/>
      <c r="AA310" s="180"/>
      <c r="AB310" s="180"/>
      <c r="AC310" s="180"/>
      <c r="AD310" s="180"/>
      <c r="AE310" s="180"/>
      <c r="AF310" s="180"/>
      <c r="AG310" s="180"/>
      <c r="AH310" s="180"/>
      <c r="AI310" s="180">
        <v>0</v>
      </c>
      <c r="AJ310" s="181">
        <f t="shared" si="89"/>
        <v>0</v>
      </c>
      <c r="AK310" s="246">
        <f t="shared" si="96"/>
        <v>13000000</v>
      </c>
      <c r="AL310" s="181">
        <f t="shared" si="90"/>
        <v>100</v>
      </c>
      <c r="AM310" s="243"/>
    </row>
    <row r="311" spans="1:39" ht="28.5" customHeight="1" x14ac:dyDescent="0.25">
      <c r="A311" s="243"/>
      <c r="B311" s="341"/>
      <c r="C311" s="341"/>
      <c r="D311" s="341"/>
      <c r="E311" s="341"/>
      <c r="F311" s="341"/>
      <c r="G311" s="341"/>
      <c r="H311" s="341"/>
      <c r="I311" s="342"/>
      <c r="J311" s="341" t="s">
        <v>407</v>
      </c>
      <c r="K311" s="245"/>
      <c r="L311" s="257"/>
      <c r="M311" s="591" t="s">
        <v>414</v>
      </c>
      <c r="N311" s="592"/>
      <c r="O311" s="179"/>
      <c r="P311" s="180"/>
      <c r="Q311" s="180">
        <v>400000</v>
      </c>
      <c r="R311" s="181">
        <f t="shared" si="95"/>
        <v>0.12048705203968313</v>
      </c>
      <c r="S311" s="181">
        <v>100</v>
      </c>
      <c r="T311" s="180">
        <f t="shared" si="88"/>
        <v>0</v>
      </c>
      <c r="U311" s="180">
        <f t="shared" si="94"/>
        <v>0</v>
      </c>
      <c r="V311" s="182">
        <f t="shared" si="92"/>
        <v>100</v>
      </c>
      <c r="W311" s="180"/>
      <c r="X311" s="180"/>
      <c r="Y311" s="180"/>
      <c r="Z311" s="180"/>
      <c r="AA311" s="180"/>
      <c r="AB311" s="180"/>
      <c r="AC311" s="180"/>
      <c r="AD311" s="180"/>
      <c r="AE311" s="180"/>
      <c r="AF311" s="180"/>
      <c r="AG311" s="180"/>
      <c r="AH311" s="180"/>
      <c r="AI311" s="180">
        <v>0</v>
      </c>
      <c r="AJ311" s="181">
        <f t="shared" si="89"/>
        <v>0</v>
      </c>
      <c r="AK311" s="246">
        <f t="shared" si="96"/>
        <v>400000</v>
      </c>
      <c r="AL311" s="181">
        <f t="shared" si="90"/>
        <v>100</v>
      </c>
      <c r="AM311" s="243"/>
    </row>
    <row r="312" spans="1:39" s="297" customFormat="1" ht="28.5" customHeight="1" x14ac:dyDescent="0.25">
      <c r="A312" s="227">
        <f>A304+1</f>
        <v>42</v>
      </c>
      <c r="B312" s="615" t="s">
        <v>150</v>
      </c>
      <c r="C312" s="615"/>
      <c r="D312" s="615"/>
      <c r="E312" s="615"/>
      <c r="F312" s="615"/>
      <c r="G312" s="615"/>
      <c r="H312" s="615"/>
      <c r="I312" s="614"/>
      <c r="J312" s="304" t="s">
        <v>486</v>
      </c>
      <c r="K312" s="230"/>
      <c r="L312" s="294"/>
      <c r="M312" s="610" t="s">
        <v>45</v>
      </c>
      <c r="N312" s="610"/>
      <c r="O312" s="309">
        <v>803450000</v>
      </c>
      <c r="P312" s="231">
        <f>O312</f>
        <v>803450000</v>
      </c>
      <c r="Q312" s="231">
        <f>SUM(Q313:Q319)</f>
        <v>77953471</v>
      </c>
      <c r="R312" s="233">
        <f>Q312/Q$243*100</f>
        <v>0.65354196614632576</v>
      </c>
      <c r="S312" s="233">
        <v>100</v>
      </c>
      <c r="T312" s="231">
        <f t="shared" si="88"/>
        <v>0</v>
      </c>
      <c r="U312" s="231">
        <f t="shared" si="94"/>
        <v>0</v>
      </c>
      <c r="V312" s="296">
        <f t="shared" si="92"/>
        <v>100</v>
      </c>
      <c r="W312" s="231"/>
      <c r="X312" s="231" t="e">
        <f>#REF!</f>
        <v>#REF!</v>
      </c>
      <c r="Y312" s="231" t="e">
        <f>#REF!</f>
        <v>#REF!</v>
      </c>
      <c r="Z312" s="231" t="e">
        <f>#REF!</f>
        <v>#REF!</v>
      </c>
      <c r="AA312" s="231" t="e">
        <f>#REF!</f>
        <v>#REF!</v>
      </c>
      <c r="AB312" s="231">
        <v>323021990</v>
      </c>
      <c r="AC312" s="231" t="e">
        <f>#REF!</f>
        <v>#REF!</v>
      </c>
      <c r="AD312" s="231" t="e">
        <f>#REF!</f>
        <v>#REF!</v>
      </c>
      <c r="AE312" s="231" t="e">
        <f>#REF!</f>
        <v>#REF!</v>
      </c>
      <c r="AF312" s="231" t="e">
        <f>[1]April!N61</f>
        <v>#REF!</v>
      </c>
      <c r="AG312" s="231" t="e">
        <f>[2]april!N61</f>
        <v>#REF!</v>
      </c>
      <c r="AH312" s="231">
        <f>'[3]DES SKPD'!$N61</f>
        <v>541082490</v>
      </c>
      <c r="AI312" s="231">
        <f>SUM(AI313:AI319)</f>
        <v>0</v>
      </c>
      <c r="AJ312" s="233">
        <f t="shared" si="89"/>
        <v>0</v>
      </c>
      <c r="AK312" s="234">
        <f t="shared" si="96"/>
        <v>77953471</v>
      </c>
      <c r="AL312" s="233">
        <f t="shared" si="90"/>
        <v>100</v>
      </c>
      <c r="AM312" s="227"/>
    </row>
    <row r="313" spans="1:39" ht="28.5" customHeight="1" x14ac:dyDescent="0.25">
      <c r="A313" s="243"/>
      <c r="B313" s="341"/>
      <c r="C313" s="341"/>
      <c r="D313" s="341"/>
      <c r="E313" s="341"/>
      <c r="F313" s="341"/>
      <c r="G313" s="341"/>
      <c r="H313" s="341"/>
      <c r="I313" s="342"/>
      <c r="J313" s="341" t="s">
        <v>326</v>
      </c>
      <c r="K313" s="245"/>
      <c r="L313" s="257"/>
      <c r="M313" s="591" t="s">
        <v>327</v>
      </c>
      <c r="N313" s="592"/>
      <c r="O313" s="179"/>
      <c r="P313" s="180"/>
      <c r="Q313" s="180">
        <v>33500000</v>
      </c>
      <c r="R313" s="181">
        <f t="shared" ref="R313:R319" si="97">Q313/Q$312*100</f>
        <v>42.974353252339462</v>
      </c>
      <c r="S313" s="181">
        <v>100</v>
      </c>
      <c r="T313" s="180">
        <f t="shared" si="88"/>
        <v>0</v>
      </c>
      <c r="U313" s="180">
        <f t="shared" si="94"/>
        <v>0</v>
      </c>
      <c r="V313" s="182">
        <f t="shared" si="92"/>
        <v>100</v>
      </c>
      <c r="W313" s="180"/>
      <c r="X313" s="180"/>
      <c r="Y313" s="180"/>
      <c r="Z313" s="180"/>
      <c r="AA313" s="180"/>
      <c r="AB313" s="180"/>
      <c r="AC313" s="180"/>
      <c r="AD313" s="180"/>
      <c r="AE313" s="180"/>
      <c r="AF313" s="180"/>
      <c r="AG313" s="180"/>
      <c r="AH313" s="180"/>
      <c r="AI313" s="180">
        <v>0</v>
      </c>
      <c r="AJ313" s="181">
        <f t="shared" si="89"/>
        <v>0</v>
      </c>
      <c r="AK313" s="246">
        <f t="shared" si="96"/>
        <v>33500000</v>
      </c>
      <c r="AL313" s="181">
        <f t="shared" si="90"/>
        <v>100</v>
      </c>
      <c r="AM313" s="243"/>
    </row>
    <row r="314" spans="1:39" ht="28.5" customHeight="1" x14ac:dyDescent="0.25">
      <c r="A314" s="243"/>
      <c r="B314" s="341"/>
      <c r="C314" s="341"/>
      <c r="D314" s="341"/>
      <c r="E314" s="341"/>
      <c r="F314" s="341"/>
      <c r="G314" s="341"/>
      <c r="H314" s="341"/>
      <c r="I314" s="342"/>
      <c r="J314" s="341" t="s">
        <v>323</v>
      </c>
      <c r="K314" s="245"/>
      <c r="L314" s="257"/>
      <c r="M314" s="591" t="s">
        <v>324</v>
      </c>
      <c r="N314" s="592"/>
      <c r="O314" s="179"/>
      <c r="P314" s="180"/>
      <c r="Q314" s="180">
        <v>9642000</v>
      </c>
      <c r="R314" s="181">
        <f t="shared" si="97"/>
        <v>12.368916837583795</v>
      </c>
      <c r="S314" s="181">
        <v>100</v>
      </c>
      <c r="T314" s="180">
        <f t="shared" si="88"/>
        <v>0</v>
      </c>
      <c r="U314" s="180">
        <f t="shared" si="94"/>
        <v>0</v>
      </c>
      <c r="V314" s="182">
        <f t="shared" si="92"/>
        <v>100</v>
      </c>
      <c r="W314" s="180"/>
      <c r="X314" s="180"/>
      <c r="Y314" s="180"/>
      <c r="Z314" s="180"/>
      <c r="AA314" s="180"/>
      <c r="AB314" s="180"/>
      <c r="AC314" s="180"/>
      <c r="AD314" s="180"/>
      <c r="AE314" s="180"/>
      <c r="AF314" s="180"/>
      <c r="AG314" s="180"/>
      <c r="AH314" s="180"/>
      <c r="AI314" s="180">
        <v>0</v>
      </c>
      <c r="AJ314" s="181">
        <f t="shared" si="89"/>
        <v>0</v>
      </c>
      <c r="AK314" s="246">
        <f t="shared" si="96"/>
        <v>9642000</v>
      </c>
      <c r="AL314" s="181">
        <f t="shared" si="90"/>
        <v>100</v>
      </c>
      <c r="AM314" s="243"/>
    </row>
    <row r="315" spans="1:39" ht="28.5" customHeight="1" x14ac:dyDescent="0.25">
      <c r="A315" s="243"/>
      <c r="B315" s="341"/>
      <c r="C315" s="341"/>
      <c r="D315" s="341"/>
      <c r="E315" s="341"/>
      <c r="F315" s="341"/>
      <c r="G315" s="341"/>
      <c r="H315" s="341"/>
      <c r="I315" s="342"/>
      <c r="J315" s="341" t="s">
        <v>269</v>
      </c>
      <c r="K315" s="245"/>
      <c r="L315" s="257"/>
      <c r="M315" s="591" t="s">
        <v>270</v>
      </c>
      <c r="N315" s="592"/>
      <c r="O315" s="179"/>
      <c r="P315" s="180"/>
      <c r="Q315" s="180">
        <v>1250000</v>
      </c>
      <c r="R315" s="181">
        <f t="shared" si="97"/>
        <v>1.6035206437440097</v>
      </c>
      <c r="S315" s="181">
        <v>100</v>
      </c>
      <c r="T315" s="180">
        <f t="shared" si="88"/>
        <v>0</v>
      </c>
      <c r="U315" s="180">
        <f t="shared" si="94"/>
        <v>0</v>
      </c>
      <c r="V315" s="182">
        <f t="shared" si="92"/>
        <v>100</v>
      </c>
      <c r="W315" s="180"/>
      <c r="X315" s="180"/>
      <c r="Y315" s="180"/>
      <c r="Z315" s="180"/>
      <c r="AA315" s="180"/>
      <c r="AB315" s="180"/>
      <c r="AC315" s="180"/>
      <c r="AD315" s="180"/>
      <c r="AE315" s="180"/>
      <c r="AF315" s="180"/>
      <c r="AG315" s="180"/>
      <c r="AH315" s="180"/>
      <c r="AI315" s="180">
        <v>0</v>
      </c>
      <c r="AJ315" s="181">
        <f t="shared" si="89"/>
        <v>0</v>
      </c>
      <c r="AK315" s="246">
        <f t="shared" si="96"/>
        <v>1250000</v>
      </c>
      <c r="AL315" s="181">
        <f t="shared" si="90"/>
        <v>100</v>
      </c>
      <c r="AM315" s="243"/>
    </row>
    <row r="316" spans="1:39" ht="28.5" customHeight="1" x14ac:dyDescent="0.25">
      <c r="A316" s="243"/>
      <c r="B316" s="341"/>
      <c r="C316" s="341"/>
      <c r="D316" s="341"/>
      <c r="E316" s="341"/>
      <c r="F316" s="341"/>
      <c r="G316" s="341"/>
      <c r="H316" s="341"/>
      <c r="I316" s="342"/>
      <c r="J316" s="341" t="s">
        <v>315</v>
      </c>
      <c r="K316" s="245"/>
      <c r="L316" s="257"/>
      <c r="M316" s="591" t="s">
        <v>271</v>
      </c>
      <c r="N316" s="592"/>
      <c r="O316" s="179"/>
      <c r="P316" s="180"/>
      <c r="Q316" s="180">
        <v>17421471</v>
      </c>
      <c r="R316" s="181">
        <f t="shared" si="97"/>
        <v>22.348550714310079</v>
      </c>
      <c r="S316" s="181">
        <v>100</v>
      </c>
      <c r="T316" s="180">
        <f t="shared" si="88"/>
        <v>0</v>
      </c>
      <c r="U316" s="180">
        <f t="shared" si="94"/>
        <v>0</v>
      </c>
      <c r="V316" s="182">
        <f t="shared" si="92"/>
        <v>100</v>
      </c>
      <c r="W316" s="180"/>
      <c r="X316" s="180"/>
      <c r="Y316" s="180"/>
      <c r="Z316" s="180"/>
      <c r="AA316" s="180"/>
      <c r="AB316" s="180"/>
      <c r="AC316" s="180"/>
      <c r="AD316" s="180"/>
      <c r="AE316" s="180"/>
      <c r="AF316" s="180"/>
      <c r="AG316" s="180"/>
      <c r="AH316" s="180"/>
      <c r="AI316" s="180">
        <v>0</v>
      </c>
      <c r="AJ316" s="181">
        <f t="shared" si="89"/>
        <v>0</v>
      </c>
      <c r="AK316" s="246">
        <f t="shared" si="96"/>
        <v>17421471</v>
      </c>
      <c r="AL316" s="181">
        <f t="shared" si="90"/>
        <v>100</v>
      </c>
      <c r="AM316" s="243"/>
    </row>
    <row r="317" spans="1:39" ht="28.5" customHeight="1" x14ac:dyDescent="0.25">
      <c r="A317" s="243"/>
      <c r="B317" s="341"/>
      <c r="C317" s="341"/>
      <c r="D317" s="341"/>
      <c r="E317" s="341"/>
      <c r="F317" s="341"/>
      <c r="G317" s="341"/>
      <c r="H317" s="341"/>
      <c r="I317" s="342"/>
      <c r="J317" s="341" t="s">
        <v>318</v>
      </c>
      <c r="K317" s="245"/>
      <c r="L317" s="257"/>
      <c r="M317" s="591" t="s">
        <v>281</v>
      </c>
      <c r="N317" s="592"/>
      <c r="O317" s="179"/>
      <c r="P317" s="180"/>
      <c r="Q317" s="180">
        <v>2250000</v>
      </c>
      <c r="R317" s="181">
        <f t="shared" si="97"/>
        <v>2.8863371587392175</v>
      </c>
      <c r="S317" s="181">
        <v>100</v>
      </c>
      <c r="T317" s="180">
        <f t="shared" si="88"/>
        <v>0</v>
      </c>
      <c r="U317" s="180">
        <f t="shared" si="94"/>
        <v>0</v>
      </c>
      <c r="V317" s="182">
        <f t="shared" si="92"/>
        <v>100</v>
      </c>
      <c r="W317" s="180"/>
      <c r="X317" s="180"/>
      <c r="Y317" s="180"/>
      <c r="Z317" s="180"/>
      <c r="AA317" s="180"/>
      <c r="AB317" s="180"/>
      <c r="AC317" s="180"/>
      <c r="AD317" s="180"/>
      <c r="AE317" s="180"/>
      <c r="AF317" s="180"/>
      <c r="AG317" s="180"/>
      <c r="AH317" s="180"/>
      <c r="AI317" s="180">
        <v>0</v>
      </c>
      <c r="AJ317" s="181">
        <f t="shared" si="89"/>
        <v>0</v>
      </c>
      <c r="AK317" s="246">
        <f t="shared" si="96"/>
        <v>2250000</v>
      </c>
      <c r="AL317" s="181">
        <f t="shared" si="90"/>
        <v>100</v>
      </c>
      <c r="AM317" s="243"/>
    </row>
    <row r="318" spans="1:39" ht="28.5" customHeight="1" x14ac:dyDescent="0.25">
      <c r="A318" s="243"/>
      <c r="B318" s="341"/>
      <c r="C318" s="341"/>
      <c r="D318" s="341"/>
      <c r="E318" s="341"/>
      <c r="F318" s="341"/>
      <c r="G318" s="341"/>
      <c r="H318" s="341"/>
      <c r="I318" s="342"/>
      <c r="J318" s="341" t="s">
        <v>284</v>
      </c>
      <c r="K318" s="245"/>
      <c r="L318" s="257"/>
      <c r="M318" s="591" t="s">
        <v>285</v>
      </c>
      <c r="N318" s="592"/>
      <c r="O318" s="179"/>
      <c r="P318" s="180"/>
      <c r="Q318" s="180">
        <v>2640000</v>
      </c>
      <c r="R318" s="181">
        <f t="shared" si="97"/>
        <v>3.3866355995873487</v>
      </c>
      <c r="S318" s="181">
        <v>100</v>
      </c>
      <c r="T318" s="180">
        <f t="shared" si="88"/>
        <v>0</v>
      </c>
      <c r="U318" s="180">
        <f t="shared" si="94"/>
        <v>0</v>
      </c>
      <c r="V318" s="182">
        <f t="shared" si="92"/>
        <v>100</v>
      </c>
      <c r="W318" s="180"/>
      <c r="X318" s="180"/>
      <c r="Y318" s="180"/>
      <c r="Z318" s="180"/>
      <c r="AA318" s="180"/>
      <c r="AB318" s="180"/>
      <c r="AC318" s="180"/>
      <c r="AD318" s="180"/>
      <c r="AE318" s="180"/>
      <c r="AF318" s="180"/>
      <c r="AG318" s="180"/>
      <c r="AH318" s="180"/>
      <c r="AI318" s="180">
        <v>0</v>
      </c>
      <c r="AJ318" s="181">
        <f t="shared" si="89"/>
        <v>0</v>
      </c>
      <c r="AK318" s="246">
        <f t="shared" si="96"/>
        <v>2640000</v>
      </c>
      <c r="AL318" s="181">
        <f t="shared" si="90"/>
        <v>100</v>
      </c>
      <c r="AM318" s="243"/>
    </row>
    <row r="319" spans="1:39" ht="28.5" customHeight="1" x14ac:dyDescent="0.25">
      <c r="A319" s="243"/>
      <c r="B319" s="341"/>
      <c r="C319" s="341"/>
      <c r="D319" s="341"/>
      <c r="E319" s="341"/>
      <c r="F319" s="341"/>
      <c r="G319" s="341"/>
      <c r="H319" s="341"/>
      <c r="I319" s="342"/>
      <c r="J319" s="341" t="s">
        <v>282</v>
      </c>
      <c r="K319" s="245"/>
      <c r="L319" s="257"/>
      <c r="M319" s="591" t="s">
        <v>283</v>
      </c>
      <c r="N319" s="592"/>
      <c r="O319" s="179"/>
      <c r="P319" s="180"/>
      <c r="Q319" s="180">
        <v>11250000</v>
      </c>
      <c r="R319" s="181">
        <f t="shared" si="97"/>
        <v>14.431685793696088</v>
      </c>
      <c r="S319" s="181">
        <v>100</v>
      </c>
      <c r="T319" s="180">
        <f t="shared" si="88"/>
        <v>0</v>
      </c>
      <c r="U319" s="180">
        <f t="shared" si="94"/>
        <v>0</v>
      </c>
      <c r="V319" s="182">
        <f t="shared" si="92"/>
        <v>100</v>
      </c>
      <c r="W319" s="180"/>
      <c r="X319" s="180"/>
      <c r="Y319" s="180"/>
      <c r="Z319" s="180"/>
      <c r="AA319" s="180"/>
      <c r="AB319" s="180"/>
      <c r="AC319" s="180"/>
      <c r="AD319" s="180"/>
      <c r="AE319" s="180"/>
      <c r="AF319" s="180"/>
      <c r="AG319" s="180"/>
      <c r="AH319" s="180"/>
      <c r="AI319" s="180">
        <v>0</v>
      </c>
      <c r="AJ319" s="181">
        <f t="shared" si="89"/>
        <v>0</v>
      </c>
      <c r="AK319" s="246">
        <f t="shared" si="96"/>
        <v>11250000</v>
      </c>
      <c r="AL319" s="181">
        <f t="shared" si="90"/>
        <v>100</v>
      </c>
      <c r="AM319" s="243"/>
    </row>
    <row r="320" spans="1:39" s="297" customFormat="1" ht="47.25" customHeight="1" x14ac:dyDescent="0.25">
      <c r="A320" s="227">
        <f>A312+1</f>
        <v>43</v>
      </c>
      <c r="B320" s="615" t="s">
        <v>151</v>
      </c>
      <c r="C320" s="615"/>
      <c r="D320" s="615"/>
      <c r="E320" s="615"/>
      <c r="F320" s="615"/>
      <c r="G320" s="615"/>
      <c r="H320" s="615"/>
      <c r="I320" s="614"/>
      <c r="J320" s="304" t="s">
        <v>487</v>
      </c>
      <c r="K320" s="230"/>
      <c r="L320" s="294"/>
      <c r="M320" s="610" t="s">
        <v>46</v>
      </c>
      <c r="N320" s="610"/>
      <c r="O320" s="309">
        <v>66400000</v>
      </c>
      <c r="P320" s="231">
        <f>O320</f>
        <v>66400000</v>
      </c>
      <c r="Q320" s="231">
        <f>SUM(Q321:Q326)</f>
        <v>38384665</v>
      </c>
      <c r="R320" s="233">
        <f>Q320/Q$243*100</f>
        <v>0.32180721540889506</v>
      </c>
      <c r="S320" s="233">
        <v>100</v>
      </c>
      <c r="T320" s="231">
        <f t="shared" si="88"/>
        <v>0</v>
      </c>
      <c r="U320" s="231">
        <f t="shared" si="94"/>
        <v>0</v>
      </c>
      <c r="V320" s="296">
        <f t="shared" si="92"/>
        <v>100</v>
      </c>
      <c r="W320" s="231"/>
      <c r="X320" s="231" t="e">
        <f>#REF!</f>
        <v>#REF!</v>
      </c>
      <c r="Y320" s="231" t="e">
        <f>#REF!</f>
        <v>#REF!</v>
      </c>
      <c r="Z320" s="231" t="e">
        <f>#REF!</f>
        <v>#REF!</v>
      </c>
      <c r="AA320" s="231" t="e">
        <f>#REF!</f>
        <v>#REF!</v>
      </c>
      <c r="AB320" s="231">
        <v>323021990</v>
      </c>
      <c r="AC320" s="231" t="e">
        <f>#REF!</f>
        <v>#REF!</v>
      </c>
      <c r="AD320" s="231" t="e">
        <f>#REF!</f>
        <v>#REF!</v>
      </c>
      <c r="AE320" s="231" t="e">
        <f>#REF!</f>
        <v>#REF!</v>
      </c>
      <c r="AF320" s="231" t="e">
        <f>[1]April!N62</f>
        <v>#REF!</v>
      </c>
      <c r="AG320" s="231" t="e">
        <f>[2]april!N62</f>
        <v>#REF!</v>
      </c>
      <c r="AH320" s="231">
        <f>'[3]DES SKPD'!$N62</f>
        <v>58437000</v>
      </c>
      <c r="AI320" s="231">
        <f>SUM(AI321:AI326)</f>
        <v>0</v>
      </c>
      <c r="AJ320" s="233">
        <f t="shared" si="89"/>
        <v>0</v>
      </c>
      <c r="AK320" s="234">
        <f t="shared" si="96"/>
        <v>38384665</v>
      </c>
      <c r="AL320" s="233">
        <f t="shared" si="90"/>
        <v>100</v>
      </c>
      <c r="AM320" s="227"/>
    </row>
    <row r="321" spans="1:39" ht="28.5" customHeight="1" x14ac:dyDescent="0.25">
      <c r="A321" s="243"/>
      <c r="B321" s="341"/>
      <c r="C321" s="341"/>
      <c r="D321" s="341"/>
      <c r="E321" s="341"/>
      <c r="F321" s="341"/>
      <c r="G321" s="341"/>
      <c r="H321" s="341"/>
      <c r="I321" s="342"/>
      <c r="J321" s="341" t="s">
        <v>326</v>
      </c>
      <c r="K321" s="245"/>
      <c r="L321" s="257"/>
      <c r="M321" s="591" t="s">
        <v>327</v>
      </c>
      <c r="N321" s="592"/>
      <c r="O321" s="179"/>
      <c r="P321" s="180"/>
      <c r="Q321" s="180">
        <v>16750000</v>
      </c>
      <c r="R321" s="181">
        <f t="shared" ref="R321:R326" si="98">Q321/Q$320*100</f>
        <v>43.637218144277142</v>
      </c>
      <c r="S321" s="181">
        <v>100</v>
      </c>
      <c r="T321" s="180">
        <f t="shared" si="88"/>
        <v>0</v>
      </c>
      <c r="U321" s="180">
        <f t="shared" si="94"/>
        <v>0</v>
      </c>
      <c r="V321" s="182">
        <f t="shared" si="92"/>
        <v>100</v>
      </c>
      <c r="W321" s="180"/>
      <c r="X321" s="180"/>
      <c r="Y321" s="180"/>
      <c r="Z321" s="180"/>
      <c r="AA321" s="180"/>
      <c r="AB321" s="180"/>
      <c r="AC321" s="180"/>
      <c r="AD321" s="180"/>
      <c r="AE321" s="180"/>
      <c r="AF321" s="180"/>
      <c r="AG321" s="180"/>
      <c r="AH321" s="180"/>
      <c r="AI321" s="180">
        <v>0</v>
      </c>
      <c r="AJ321" s="181">
        <f t="shared" si="89"/>
        <v>0</v>
      </c>
      <c r="AK321" s="246">
        <f t="shared" si="96"/>
        <v>16750000</v>
      </c>
      <c r="AL321" s="181">
        <f t="shared" si="90"/>
        <v>100</v>
      </c>
      <c r="AM321" s="243"/>
    </row>
    <row r="322" spans="1:39" ht="28.5" customHeight="1" x14ac:dyDescent="0.25">
      <c r="A322" s="243"/>
      <c r="B322" s="341"/>
      <c r="C322" s="341"/>
      <c r="D322" s="341"/>
      <c r="E322" s="341"/>
      <c r="F322" s="341"/>
      <c r="G322" s="341"/>
      <c r="H322" s="341"/>
      <c r="I322" s="342"/>
      <c r="J322" s="341" t="s">
        <v>323</v>
      </c>
      <c r="K322" s="245"/>
      <c r="L322" s="257"/>
      <c r="M322" s="591" t="s">
        <v>324</v>
      </c>
      <c r="N322" s="592"/>
      <c r="O322" s="179"/>
      <c r="P322" s="180"/>
      <c r="Q322" s="180">
        <v>5934000</v>
      </c>
      <c r="R322" s="181">
        <f t="shared" si="98"/>
        <v>15.459298654814363</v>
      </c>
      <c r="S322" s="181">
        <v>100</v>
      </c>
      <c r="T322" s="180">
        <f t="shared" si="88"/>
        <v>0</v>
      </c>
      <c r="U322" s="180">
        <f t="shared" si="94"/>
        <v>0</v>
      </c>
      <c r="V322" s="182">
        <f t="shared" si="92"/>
        <v>100</v>
      </c>
      <c r="W322" s="180"/>
      <c r="X322" s="180"/>
      <c r="Y322" s="180"/>
      <c r="Z322" s="180"/>
      <c r="AA322" s="180"/>
      <c r="AB322" s="180"/>
      <c r="AC322" s="180"/>
      <c r="AD322" s="180"/>
      <c r="AE322" s="180"/>
      <c r="AF322" s="180"/>
      <c r="AG322" s="180"/>
      <c r="AH322" s="180"/>
      <c r="AI322" s="180">
        <v>0</v>
      </c>
      <c r="AJ322" s="181">
        <f t="shared" si="89"/>
        <v>0</v>
      </c>
      <c r="AK322" s="246">
        <f t="shared" si="96"/>
        <v>5934000</v>
      </c>
      <c r="AL322" s="181">
        <f t="shared" si="90"/>
        <v>100</v>
      </c>
      <c r="AM322" s="243"/>
    </row>
    <row r="323" spans="1:39" ht="28.5" customHeight="1" x14ac:dyDescent="0.25">
      <c r="A323" s="243"/>
      <c r="B323" s="341"/>
      <c r="C323" s="341"/>
      <c r="D323" s="341"/>
      <c r="E323" s="341"/>
      <c r="F323" s="341"/>
      <c r="G323" s="341"/>
      <c r="H323" s="341"/>
      <c r="I323" s="342"/>
      <c r="J323" s="341" t="s">
        <v>269</v>
      </c>
      <c r="K323" s="245"/>
      <c r="L323" s="257"/>
      <c r="M323" s="591" t="s">
        <v>270</v>
      </c>
      <c r="N323" s="592"/>
      <c r="O323" s="179"/>
      <c r="P323" s="180"/>
      <c r="Q323" s="180">
        <v>4000000</v>
      </c>
      <c r="R323" s="181">
        <f t="shared" si="98"/>
        <v>10.420828213558723</v>
      </c>
      <c r="S323" s="181">
        <v>100</v>
      </c>
      <c r="T323" s="180">
        <f t="shared" si="88"/>
        <v>0</v>
      </c>
      <c r="U323" s="180">
        <f t="shared" si="94"/>
        <v>0</v>
      </c>
      <c r="V323" s="182">
        <f t="shared" si="92"/>
        <v>100</v>
      </c>
      <c r="W323" s="180"/>
      <c r="X323" s="180"/>
      <c r="Y323" s="180"/>
      <c r="Z323" s="180"/>
      <c r="AA323" s="180"/>
      <c r="AB323" s="180"/>
      <c r="AC323" s="180"/>
      <c r="AD323" s="180"/>
      <c r="AE323" s="180"/>
      <c r="AF323" s="180"/>
      <c r="AG323" s="180"/>
      <c r="AH323" s="180"/>
      <c r="AI323" s="180">
        <v>0</v>
      </c>
      <c r="AJ323" s="181">
        <f t="shared" si="89"/>
        <v>0</v>
      </c>
      <c r="AK323" s="246">
        <f t="shared" si="96"/>
        <v>4000000</v>
      </c>
      <c r="AL323" s="181">
        <f t="shared" si="90"/>
        <v>100</v>
      </c>
      <c r="AM323" s="243"/>
    </row>
    <row r="324" spans="1:39" ht="28.5" customHeight="1" x14ac:dyDescent="0.25">
      <c r="A324" s="243"/>
      <c r="B324" s="341"/>
      <c r="C324" s="341"/>
      <c r="D324" s="341"/>
      <c r="E324" s="341"/>
      <c r="F324" s="341"/>
      <c r="G324" s="341"/>
      <c r="H324" s="341"/>
      <c r="I324" s="342"/>
      <c r="J324" s="341" t="s">
        <v>315</v>
      </c>
      <c r="K324" s="245"/>
      <c r="L324" s="257"/>
      <c r="M324" s="591" t="s">
        <v>271</v>
      </c>
      <c r="N324" s="592"/>
      <c r="O324" s="179"/>
      <c r="P324" s="180"/>
      <c r="Q324" s="180">
        <v>6000000</v>
      </c>
      <c r="R324" s="181">
        <f t="shared" si="98"/>
        <v>15.631242320338082</v>
      </c>
      <c r="S324" s="181">
        <v>100</v>
      </c>
      <c r="T324" s="180">
        <f t="shared" si="88"/>
        <v>0</v>
      </c>
      <c r="U324" s="180">
        <f t="shared" si="94"/>
        <v>0</v>
      </c>
      <c r="V324" s="182">
        <f t="shared" si="92"/>
        <v>100</v>
      </c>
      <c r="W324" s="180"/>
      <c r="X324" s="180"/>
      <c r="Y324" s="180"/>
      <c r="Z324" s="180"/>
      <c r="AA324" s="180"/>
      <c r="AB324" s="180"/>
      <c r="AC324" s="180"/>
      <c r="AD324" s="180"/>
      <c r="AE324" s="180"/>
      <c r="AF324" s="180"/>
      <c r="AG324" s="180"/>
      <c r="AH324" s="180"/>
      <c r="AI324" s="180">
        <v>0</v>
      </c>
      <c r="AJ324" s="181">
        <f t="shared" si="89"/>
        <v>0</v>
      </c>
      <c r="AK324" s="246">
        <f t="shared" si="96"/>
        <v>6000000</v>
      </c>
      <c r="AL324" s="181">
        <f t="shared" si="90"/>
        <v>100</v>
      </c>
      <c r="AM324" s="243"/>
    </row>
    <row r="325" spans="1:39" ht="28.5" customHeight="1" x14ac:dyDescent="0.25">
      <c r="A325" s="243"/>
      <c r="B325" s="341"/>
      <c r="C325" s="341"/>
      <c r="D325" s="341"/>
      <c r="E325" s="341"/>
      <c r="F325" s="341"/>
      <c r="G325" s="341"/>
      <c r="H325" s="341"/>
      <c r="I325" s="342"/>
      <c r="J325" s="341" t="s">
        <v>339</v>
      </c>
      <c r="K325" s="245"/>
      <c r="L325" s="257"/>
      <c r="M325" s="591" t="s">
        <v>340</v>
      </c>
      <c r="N325" s="592"/>
      <c r="O325" s="179"/>
      <c r="P325" s="180"/>
      <c r="Q325" s="180">
        <v>1500000</v>
      </c>
      <c r="R325" s="181">
        <f t="shared" si="98"/>
        <v>3.9078105800845204</v>
      </c>
      <c r="S325" s="181">
        <v>100</v>
      </c>
      <c r="T325" s="180">
        <f t="shared" si="88"/>
        <v>0</v>
      </c>
      <c r="U325" s="180">
        <f t="shared" si="94"/>
        <v>0</v>
      </c>
      <c r="V325" s="182">
        <f t="shared" si="92"/>
        <v>100</v>
      </c>
      <c r="W325" s="180"/>
      <c r="X325" s="180"/>
      <c r="Y325" s="180"/>
      <c r="Z325" s="180"/>
      <c r="AA325" s="180"/>
      <c r="AB325" s="180"/>
      <c r="AC325" s="180"/>
      <c r="AD325" s="180"/>
      <c r="AE325" s="180"/>
      <c r="AF325" s="180"/>
      <c r="AG325" s="180"/>
      <c r="AH325" s="180"/>
      <c r="AI325" s="180">
        <v>0</v>
      </c>
      <c r="AJ325" s="181">
        <f t="shared" si="89"/>
        <v>0</v>
      </c>
      <c r="AK325" s="246">
        <f t="shared" si="96"/>
        <v>1500000</v>
      </c>
      <c r="AL325" s="181">
        <f t="shared" si="90"/>
        <v>100</v>
      </c>
      <c r="AM325" s="243"/>
    </row>
    <row r="326" spans="1:39" ht="28.5" customHeight="1" x14ac:dyDescent="0.25">
      <c r="A326" s="243"/>
      <c r="B326" s="341"/>
      <c r="C326" s="341"/>
      <c r="D326" s="341"/>
      <c r="E326" s="341"/>
      <c r="F326" s="341"/>
      <c r="G326" s="341"/>
      <c r="H326" s="341"/>
      <c r="I326" s="342"/>
      <c r="J326" s="341" t="s">
        <v>282</v>
      </c>
      <c r="K326" s="245"/>
      <c r="L326" s="257"/>
      <c r="M326" s="591" t="s">
        <v>590</v>
      </c>
      <c r="N326" s="592"/>
      <c r="O326" s="179"/>
      <c r="P326" s="180"/>
      <c r="Q326" s="180">
        <v>4200665</v>
      </c>
      <c r="R326" s="181">
        <f t="shared" si="98"/>
        <v>10.943602086927163</v>
      </c>
      <c r="S326" s="181">
        <v>100</v>
      </c>
      <c r="T326" s="180">
        <f t="shared" si="88"/>
        <v>0</v>
      </c>
      <c r="U326" s="180">
        <f t="shared" si="94"/>
        <v>0</v>
      </c>
      <c r="V326" s="182">
        <f t="shared" si="92"/>
        <v>100</v>
      </c>
      <c r="W326" s="180"/>
      <c r="X326" s="180"/>
      <c r="Y326" s="180"/>
      <c r="Z326" s="180"/>
      <c r="AA326" s="180"/>
      <c r="AB326" s="180"/>
      <c r="AC326" s="180"/>
      <c r="AD326" s="180"/>
      <c r="AE326" s="180"/>
      <c r="AF326" s="180"/>
      <c r="AG326" s="180"/>
      <c r="AH326" s="180"/>
      <c r="AI326" s="180">
        <v>0</v>
      </c>
      <c r="AJ326" s="181">
        <f t="shared" si="89"/>
        <v>0</v>
      </c>
      <c r="AK326" s="246">
        <f t="shared" si="96"/>
        <v>4200665</v>
      </c>
      <c r="AL326" s="181">
        <f t="shared" si="90"/>
        <v>100</v>
      </c>
      <c r="AM326" s="243"/>
    </row>
    <row r="327" spans="1:39" s="311" customFormat="1" ht="27.75" customHeight="1" x14ac:dyDescent="0.25">
      <c r="A327" s="227">
        <f>SUM(A320+1)</f>
        <v>44</v>
      </c>
      <c r="B327" s="346"/>
      <c r="C327" s="346"/>
      <c r="D327" s="346"/>
      <c r="E327" s="346"/>
      <c r="F327" s="346"/>
      <c r="G327" s="346"/>
      <c r="H327" s="346"/>
      <c r="I327" s="345"/>
      <c r="J327" s="304" t="s">
        <v>488</v>
      </c>
      <c r="K327" s="230"/>
      <c r="L327" s="294"/>
      <c r="M327" s="609" t="s">
        <v>198</v>
      </c>
      <c r="N327" s="614"/>
      <c r="O327" s="310"/>
      <c r="P327" s="231"/>
      <c r="Q327" s="231">
        <f>SUM(Q328:Q333)</f>
        <v>139532300</v>
      </c>
      <c r="R327" s="233">
        <f>Q327/Q$243*100</f>
        <v>1.1698031211839044</v>
      </c>
      <c r="S327" s="233">
        <v>100</v>
      </c>
      <c r="T327" s="231">
        <f t="shared" si="88"/>
        <v>0</v>
      </c>
      <c r="U327" s="231">
        <f t="shared" si="94"/>
        <v>0</v>
      </c>
      <c r="V327" s="296">
        <f t="shared" si="92"/>
        <v>100</v>
      </c>
      <c r="W327" s="231"/>
      <c r="X327" s="231" t="e">
        <f>#REF!</f>
        <v>#REF!</v>
      </c>
      <c r="Y327" s="231" t="e">
        <f>#REF!</f>
        <v>#REF!</v>
      </c>
      <c r="Z327" s="231" t="e">
        <f>#REF!</f>
        <v>#REF!</v>
      </c>
      <c r="AA327" s="231" t="e">
        <f>#REF!</f>
        <v>#REF!</v>
      </c>
      <c r="AB327" s="231">
        <v>323021990</v>
      </c>
      <c r="AC327" s="231" t="e">
        <f>#REF!</f>
        <v>#REF!</v>
      </c>
      <c r="AD327" s="231" t="e">
        <f>#REF!</f>
        <v>#REF!</v>
      </c>
      <c r="AE327" s="231" t="e">
        <f>#REF!</f>
        <v>#REF!</v>
      </c>
      <c r="AF327" s="231" t="e">
        <f>[1]April!N63</f>
        <v>#REF!</v>
      </c>
      <c r="AG327" s="231" t="e">
        <f>[2]april!N63</f>
        <v>#REF!</v>
      </c>
      <c r="AH327" s="231">
        <f>'[3]DES SKPD'!$N63</f>
        <v>174573000</v>
      </c>
      <c r="AI327" s="231">
        <f>SUM(AI328:AI333)</f>
        <v>0</v>
      </c>
      <c r="AJ327" s="233">
        <f t="shared" si="89"/>
        <v>0</v>
      </c>
      <c r="AK327" s="234">
        <f t="shared" si="96"/>
        <v>139532300</v>
      </c>
      <c r="AL327" s="233">
        <f t="shared" si="90"/>
        <v>100</v>
      </c>
      <c r="AM327" s="227"/>
    </row>
    <row r="328" spans="1:39" ht="27.75" customHeight="1" x14ac:dyDescent="0.25">
      <c r="A328" s="243"/>
      <c r="B328" s="341"/>
      <c r="C328" s="341"/>
      <c r="D328" s="341"/>
      <c r="E328" s="341"/>
      <c r="F328" s="341"/>
      <c r="G328" s="341"/>
      <c r="H328" s="341"/>
      <c r="I328" s="342"/>
      <c r="J328" s="341" t="s">
        <v>257</v>
      </c>
      <c r="K328" s="245"/>
      <c r="L328" s="257"/>
      <c r="M328" s="591" t="s">
        <v>428</v>
      </c>
      <c r="N328" s="592"/>
      <c r="O328" s="179"/>
      <c r="P328" s="180"/>
      <c r="Q328" s="180">
        <v>2000000</v>
      </c>
      <c r="R328" s="181">
        <f t="shared" ref="R328:R333" si="99">Q328/Q$327*100</f>
        <v>1.4333598743803406</v>
      </c>
      <c r="S328" s="181">
        <v>100</v>
      </c>
      <c r="T328" s="180">
        <f t="shared" si="88"/>
        <v>0</v>
      </c>
      <c r="U328" s="180">
        <f t="shared" si="94"/>
        <v>0</v>
      </c>
      <c r="V328" s="182">
        <f t="shared" si="92"/>
        <v>100</v>
      </c>
      <c r="W328" s="180"/>
      <c r="X328" s="180"/>
      <c r="Y328" s="180"/>
      <c r="Z328" s="180"/>
      <c r="AA328" s="180"/>
      <c r="AB328" s="180"/>
      <c r="AC328" s="180"/>
      <c r="AD328" s="180"/>
      <c r="AE328" s="180"/>
      <c r="AF328" s="180"/>
      <c r="AG328" s="180"/>
      <c r="AH328" s="180"/>
      <c r="AI328" s="180">
        <v>0</v>
      </c>
      <c r="AJ328" s="181">
        <f t="shared" si="89"/>
        <v>0</v>
      </c>
      <c r="AK328" s="246">
        <f t="shared" si="96"/>
        <v>2000000</v>
      </c>
      <c r="AL328" s="181">
        <f t="shared" si="90"/>
        <v>100</v>
      </c>
      <c r="AM328" s="243"/>
    </row>
    <row r="329" spans="1:39" ht="27.75" customHeight="1" x14ac:dyDescent="0.25">
      <c r="A329" s="243"/>
      <c r="B329" s="341"/>
      <c r="C329" s="341"/>
      <c r="D329" s="341"/>
      <c r="E329" s="341"/>
      <c r="F329" s="341"/>
      <c r="G329" s="341"/>
      <c r="H329" s="341"/>
      <c r="I329" s="342"/>
      <c r="J329" s="341" t="s">
        <v>259</v>
      </c>
      <c r="K329" s="245"/>
      <c r="L329" s="257"/>
      <c r="M329" s="591" t="s">
        <v>340</v>
      </c>
      <c r="N329" s="592"/>
      <c r="O329" s="179"/>
      <c r="P329" s="180"/>
      <c r="Q329" s="180">
        <v>7500000</v>
      </c>
      <c r="R329" s="181">
        <f t="shared" si="99"/>
        <v>5.3750995289262775</v>
      </c>
      <c r="S329" s="181">
        <v>100</v>
      </c>
      <c r="T329" s="180">
        <f t="shared" si="88"/>
        <v>0</v>
      </c>
      <c r="U329" s="180">
        <f t="shared" si="94"/>
        <v>0</v>
      </c>
      <c r="V329" s="182">
        <f t="shared" si="92"/>
        <v>100</v>
      </c>
      <c r="W329" s="180"/>
      <c r="X329" s="180"/>
      <c r="Y329" s="180"/>
      <c r="Z329" s="180"/>
      <c r="AA329" s="180"/>
      <c r="AB329" s="180"/>
      <c r="AC329" s="180"/>
      <c r="AD329" s="180"/>
      <c r="AE329" s="180"/>
      <c r="AF329" s="180"/>
      <c r="AG329" s="180"/>
      <c r="AH329" s="180"/>
      <c r="AI329" s="180">
        <v>0</v>
      </c>
      <c r="AJ329" s="181">
        <f t="shared" si="89"/>
        <v>0</v>
      </c>
      <c r="AK329" s="246">
        <f t="shared" si="96"/>
        <v>7500000</v>
      </c>
      <c r="AL329" s="181">
        <f t="shared" si="90"/>
        <v>100</v>
      </c>
      <c r="AM329" s="243"/>
    </row>
    <row r="330" spans="1:39" ht="27.75" customHeight="1" x14ac:dyDescent="0.25">
      <c r="A330" s="243"/>
      <c r="B330" s="341"/>
      <c r="C330" s="341"/>
      <c r="D330" s="341"/>
      <c r="E330" s="341"/>
      <c r="F330" s="341"/>
      <c r="G330" s="341"/>
      <c r="H330" s="341"/>
      <c r="I330" s="342"/>
      <c r="J330" s="341" t="s">
        <v>323</v>
      </c>
      <c r="K330" s="245"/>
      <c r="L330" s="257"/>
      <c r="M330" s="591" t="s">
        <v>605</v>
      </c>
      <c r="N330" s="592"/>
      <c r="O330" s="179"/>
      <c r="P330" s="180"/>
      <c r="Q330" s="180">
        <v>24232300</v>
      </c>
      <c r="R330" s="181">
        <f t="shared" si="99"/>
        <v>17.366803241973365</v>
      </c>
      <c r="S330" s="181">
        <v>100</v>
      </c>
      <c r="T330" s="180">
        <f t="shared" si="88"/>
        <v>0</v>
      </c>
      <c r="U330" s="180">
        <f t="shared" si="94"/>
        <v>0</v>
      </c>
      <c r="V330" s="182">
        <f t="shared" si="92"/>
        <v>100</v>
      </c>
      <c r="W330" s="180"/>
      <c r="X330" s="180"/>
      <c r="Y330" s="180"/>
      <c r="Z330" s="180"/>
      <c r="AA330" s="180"/>
      <c r="AB330" s="180"/>
      <c r="AC330" s="180"/>
      <c r="AD330" s="180"/>
      <c r="AE330" s="180"/>
      <c r="AF330" s="180"/>
      <c r="AG330" s="180"/>
      <c r="AH330" s="180"/>
      <c r="AI330" s="180">
        <v>0</v>
      </c>
      <c r="AJ330" s="181">
        <f t="shared" si="89"/>
        <v>0</v>
      </c>
      <c r="AK330" s="246">
        <f t="shared" si="96"/>
        <v>24232300</v>
      </c>
      <c r="AL330" s="181">
        <f t="shared" si="90"/>
        <v>100</v>
      </c>
      <c r="AM330" s="243"/>
    </row>
    <row r="331" spans="1:39" ht="27.75" customHeight="1" x14ac:dyDescent="0.25">
      <c r="A331" s="243"/>
      <c r="B331" s="341"/>
      <c r="C331" s="341"/>
      <c r="D331" s="341"/>
      <c r="E331" s="341"/>
      <c r="F331" s="341"/>
      <c r="G331" s="341"/>
      <c r="H331" s="341"/>
      <c r="I331" s="342"/>
      <c r="J331" s="341" t="s">
        <v>315</v>
      </c>
      <c r="K331" s="245"/>
      <c r="L331" s="257"/>
      <c r="M331" s="591" t="s">
        <v>321</v>
      </c>
      <c r="N331" s="592"/>
      <c r="O331" s="179"/>
      <c r="P331" s="180"/>
      <c r="Q331" s="180">
        <v>3800000</v>
      </c>
      <c r="R331" s="181">
        <f t="shared" si="99"/>
        <v>2.7233837613226468</v>
      </c>
      <c r="S331" s="181">
        <v>100</v>
      </c>
      <c r="T331" s="180">
        <f t="shared" si="88"/>
        <v>0</v>
      </c>
      <c r="U331" s="180">
        <f t="shared" si="94"/>
        <v>0</v>
      </c>
      <c r="V331" s="182">
        <f t="shared" si="92"/>
        <v>100</v>
      </c>
      <c r="W331" s="180"/>
      <c r="X331" s="180"/>
      <c r="Y331" s="180"/>
      <c r="Z331" s="180"/>
      <c r="AA331" s="180"/>
      <c r="AB331" s="180"/>
      <c r="AC331" s="180"/>
      <c r="AD331" s="180"/>
      <c r="AE331" s="180"/>
      <c r="AF331" s="180"/>
      <c r="AG331" s="180"/>
      <c r="AH331" s="180"/>
      <c r="AI331" s="180">
        <v>0</v>
      </c>
      <c r="AJ331" s="181">
        <f t="shared" si="89"/>
        <v>0</v>
      </c>
      <c r="AK331" s="246">
        <f t="shared" si="96"/>
        <v>3800000</v>
      </c>
      <c r="AL331" s="181">
        <f t="shared" si="90"/>
        <v>100</v>
      </c>
      <c r="AM331" s="243"/>
    </row>
    <row r="332" spans="1:39" ht="27.75" customHeight="1" x14ac:dyDescent="0.25">
      <c r="A332" s="243"/>
      <c r="B332" s="341"/>
      <c r="C332" s="341"/>
      <c r="D332" s="341"/>
      <c r="E332" s="341"/>
      <c r="F332" s="341"/>
      <c r="G332" s="341"/>
      <c r="H332" s="341"/>
      <c r="I332" s="342"/>
      <c r="J332" s="341" t="s">
        <v>282</v>
      </c>
      <c r="K332" s="245"/>
      <c r="L332" s="257"/>
      <c r="M332" s="591" t="s">
        <v>606</v>
      </c>
      <c r="N332" s="592"/>
      <c r="O332" s="179"/>
      <c r="P332" s="180"/>
      <c r="Q332" s="180">
        <v>100000000</v>
      </c>
      <c r="R332" s="181">
        <f t="shared" si="99"/>
        <v>71.667993719017034</v>
      </c>
      <c r="S332" s="181">
        <v>100</v>
      </c>
      <c r="T332" s="180">
        <f t="shared" si="88"/>
        <v>0</v>
      </c>
      <c r="U332" s="180">
        <f t="shared" si="94"/>
        <v>0</v>
      </c>
      <c r="V332" s="182">
        <f t="shared" si="92"/>
        <v>100</v>
      </c>
      <c r="W332" s="180"/>
      <c r="X332" s="180"/>
      <c r="Y332" s="180"/>
      <c r="Z332" s="180"/>
      <c r="AA332" s="180"/>
      <c r="AB332" s="180"/>
      <c r="AC332" s="180"/>
      <c r="AD332" s="180"/>
      <c r="AE332" s="180"/>
      <c r="AF332" s="180"/>
      <c r="AG332" s="180"/>
      <c r="AH332" s="180"/>
      <c r="AI332" s="180">
        <v>0</v>
      </c>
      <c r="AJ332" s="181">
        <f t="shared" si="89"/>
        <v>0</v>
      </c>
      <c r="AK332" s="246">
        <f t="shared" si="96"/>
        <v>100000000</v>
      </c>
      <c r="AL332" s="181">
        <f t="shared" si="90"/>
        <v>100</v>
      </c>
      <c r="AM332" s="243"/>
    </row>
    <row r="333" spans="1:39" ht="27.75" customHeight="1" x14ac:dyDescent="0.25">
      <c r="A333" s="243"/>
      <c r="B333" s="341"/>
      <c r="C333" s="341"/>
      <c r="D333" s="341"/>
      <c r="E333" s="341"/>
      <c r="F333" s="341"/>
      <c r="G333" s="341"/>
      <c r="H333" s="341"/>
      <c r="I333" s="342"/>
      <c r="J333" s="341" t="s">
        <v>308</v>
      </c>
      <c r="K333" s="245"/>
      <c r="L333" s="257"/>
      <c r="M333" s="591" t="s">
        <v>607</v>
      </c>
      <c r="N333" s="592"/>
      <c r="O333" s="179"/>
      <c r="P333" s="180"/>
      <c r="Q333" s="180">
        <v>2000000</v>
      </c>
      <c r="R333" s="181">
        <f t="shared" si="99"/>
        <v>1.4333598743803406</v>
      </c>
      <c r="S333" s="181">
        <v>100</v>
      </c>
      <c r="T333" s="180">
        <f t="shared" si="88"/>
        <v>0</v>
      </c>
      <c r="U333" s="180">
        <f t="shared" si="94"/>
        <v>0</v>
      </c>
      <c r="V333" s="182">
        <f t="shared" si="92"/>
        <v>100</v>
      </c>
      <c r="W333" s="180"/>
      <c r="X333" s="180"/>
      <c r="Y333" s="180"/>
      <c r="Z333" s="180"/>
      <c r="AA333" s="180"/>
      <c r="AB333" s="180"/>
      <c r="AC333" s="180"/>
      <c r="AD333" s="180"/>
      <c r="AE333" s="180"/>
      <c r="AF333" s="180"/>
      <c r="AG333" s="180"/>
      <c r="AH333" s="180"/>
      <c r="AI333" s="180">
        <v>0</v>
      </c>
      <c r="AJ333" s="181">
        <f t="shared" si="89"/>
        <v>0</v>
      </c>
      <c r="AK333" s="246">
        <f t="shared" si="96"/>
        <v>2000000</v>
      </c>
      <c r="AL333" s="181">
        <f t="shared" si="90"/>
        <v>100</v>
      </c>
      <c r="AM333" s="243"/>
    </row>
    <row r="334" spans="1:39" s="297" customFormat="1" ht="36" customHeight="1" x14ac:dyDescent="0.25">
      <c r="A334" s="227">
        <f>SUM(A327+1)</f>
        <v>45</v>
      </c>
      <c r="B334" s="615" t="s">
        <v>152</v>
      </c>
      <c r="C334" s="615"/>
      <c r="D334" s="615"/>
      <c r="E334" s="615"/>
      <c r="F334" s="615"/>
      <c r="G334" s="615"/>
      <c r="H334" s="615"/>
      <c r="I334" s="614"/>
      <c r="J334" s="304" t="s">
        <v>489</v>
      </c>
      <c r="K334" s="230"/>
      <c r="L334" s="294"/>
      <c r="M334" s="610" t="s">
        <v>47</v>
      </c>
      <c r="N334" s="610"/>
      <c r="O334" s="309">
        <v>136000000</v>
      </c>
      <c r="P334" s="231">
        <f>O334</f>
        <v>136000000</v>
      </c>
      <c r="Q334" s="231">
        <f>SUM(Q335:Q344)</f>
        <v>341340000</v>
      </c>
      <c r="R334" s="233">
        <f>Q334/Q$243*100</f>
        <v>2.8617072705381759</v>
      </c>
      <c r="S334" s="233">
        <v>100</v>
      </c>
      <c r="T334" s="231">
        <f t="shared" si="88"/>
        <v>3.2251245092869278</v>
      </c>
      <c r="U334" s="231">
        <f t="shared" si="94"/>
        <v>9.2293622566172684E-2</v>
      </c>
      <c r="V334" s="296">
        <f t="shared" si="92"/>
        <v>96.774875490713072</v>
      </c>
      <c r="W334" s="231"/>
      <c r="X334" s="231" t="e">
        <f>#REF!</f>
        <v>#REF!</v>
      </c>
      <c r="Y334" s="231" t="e">
        <f>#REF!</f>
        <v>#REF!</v>
      </c>
      <c r="Z334" s="231" t="e">
        <f>#REF!</f>
        <v>#REF!</v>
      </c>
      <c r="AA334" s="231" t="e">
        <f>#REF!</f>
        <v>#REF!</v>
      </c>
      <c r="AB334" s="231">
        <v>88014000</v>
      </c>
      <c r="AC334" s="231" t="e">
        <f>#REF!</f>
        <v>#REF!</v>
      </c>
      <c r="AD334" s="231" t="e">
        <f>#REF!</f>
        <v>#REF!</v>
      </c>
      <c r="AE334" s="231" t="e">
        <f>#REF!</f>
        <v>#REF!</v>
      </c>
      <c r="AF334" s="231" t="e">
        <f>[1]April!N63</f>
        <v>#REF!</v>
      </c>
      <c r="AG334" s="231" t="e">
        <f>[2]april!N63</f>
        <v>#REF!</v>
      </c>
      <c r="AH334" s="231">
        <f>'[3]DES SKPD'!$N63</f>
        <v>174573000</v>
      </c>
      <c r="AI334" s="231">
        <f>SUM(AI335:AI344)</f>
        <v>11008640</v>
      </c>
      <c r="AJ334" s="233">
        <f t="shared" si="89"/>
        <v>3.2251245092869278</v>
      </c>
      <c r="AK334" s="234">
        <f t="shared" si="96"/>
        <v>330331360</v>
      </c>
      <c r="AL334" s="233">
        <f t="shared" si="90"/>
        <v>96.774875490713072</v>
      </c>
      <c r="AM334" s="227"/>
    </row>
    <row r="335" spans="1:39" ht="29.25" customHeight="1" x14ac:dyDescent="0.25">
      <c r="A335" s="243"/>
      <c r="B335" s="341"/>
      <c r="C335" s="341"/>
      <c r="D335" s="341"/>
      <c r="E335" s="341"/>
      <c r="F335" s="341"/>
      <c r="G335" s="341"/>
      <c r="H335" s="341"/>
      <c r="I335" s="342"/>
      <c r="J335" s="341" t="s">
        <v>259</v>
      </c>
      <c r="K335" s="245"/>
      <c r="L335" s="257"/>
      <c r="M335" s="591" t="s">
        <v>260</v>
      </c>
      <c r="N335" s="592"/>
      <c r="O335" s="179"/>
      <c r="P335" s="180"/>
      <c r="Q335" s="180">
        <v>1600000</v>
      </c>
      <c r="R335" s="181">
        <f t="shared" ref="R335:R344" si="100">Q335/Q$334*100</f>
        <v>0.46874084490537299</v>
      </c>
      <c r="S335" s="181">
        <v>100</v>
      </c>
      <c r="T335" s="180">
        <f t="shared" si="88"/>
        <v>0</v>
      </c>
      <c r="U335" s="180">
        <f t="shared" si="94"/>
        <v>0</v>
      </c>
      <c r="V335" s="182">
        <f t="shared" si="92"/>
        <v>100</v>
      </c>
      <c r="W335" s="180"/>
      <c r="X335" s="180"/>
      <c r="Y335" s="180"/>
      <c r="Z335" s="180"/>
      <c r="AA335" s="180"/>
      <c r="AB335" s="180"/>
      <c r="AC335" s="180"/>
      <c r="AD335" s="180"/>
      <c r="AE335" s="180"/>
      <c r="AF335" s="180"/>
      <c r="AG335" s="180"/>
      <c r="AH335" s="180"/>
      <c r="AI335" s="180">
        <v>0</v>
      </c>
      <c r="AJ335" s="181">
        <f t="shared" si="89"/>
        <v>0</v>
      </c>
      <c r="AK335" s="246">
        <f t="shared" si="96"/>
        <v>1600000</v>
      </c>
      <c r="AL335" s="181">
        <f t="shared" si="90"/>
        <v>100</v>
      </c>
      <c r="AM335" s="243"/>
    </row>
    <row r="336" spans="1:39" ht="29.25" customHeight="1" x14ac:dyDescent="0.25">
      <c r="A336" s="243"/>
      <c r="B336" s="341"/>
      <c r="C336" s="341"/>
      <c r="D336" s="341"/>
      <c r="E336" s="341"/>
      <c r="F336" s="341"/>
      <c r="G336" s="341"/>
      <c r="H336" s="341"/>
      <c r="I336" s="342"/>
      <c r="J336" s="341" t="s">
        <v>323</v>
      </c>
      <c r="K336" s="245"/>
      <c r="L336" s="257"/>
      <c r="M336" s="591" t="s">
        <v>324</v>
      </c>
      <c r="N336" s="592"/>
      <c r="O336" s="179"/>
      <c r="P336" s="180"/>
      <c r="Q336" s="180">
        <v>52980000</v>
      </c>
      <c r="R336" s="181">
        <f t="shared" si="100"/>
        <v>15.521181226929162</v>
      </c>
      <c r="S336" s="181">
        <v>100</v>
      </c>
      <c r="T336" s="180">
        <f t="shared" si="88"/>
        <v>7.1781804454511144</v>
      </c>
      <c r="U336" s="180">
        <f t="shared" si="94"/>
        <v>1.1141383957344584</v>
      </c>
      <c r="V336" s="182">
        <f t="shared" si="92"/>
        <v>92.821819554548881</v>
      </c>
      <c r="W336" s="180"/>
      <c r="X336" s="180"/>
      <c r="Y336" s="180"/>
      <c r="Z336" s="180"/>
      <c r="AA336" s="180"/>
      <c r="AB336" s="180"/>
      <c r="AC336" s="180"/>
      <c r="AD336" s="180"/>
      <c r="AE336" s="180"/>
      <c r="AF336" s="180"/>
      <c r="AG336" s="180"/>
      <c r="AH336" s="180"/>
      <c r="AI336" s="180">
        <v>3803000</v>
      </c>
      <c r="AJ336" s="181">
        <f t="shared" si="89"/>
        <v>7.1781804454511144</v>
      </c>
      <c r="AK336" s="246">
        <f t="shared" si="96"/>
        <v>49177000</v>
      </c>
      <c r="AL336" s="181">
        <f t="shared" si="90"/>
        <v>92.821819554548895</v>
      </c>
      <c r="AM336" s="243"/>
    </row>
    <row r="337" spans="1:39" ht="39.75" customHeight="1" x14ac:dyDescent="0.25">
      <c r="A337" s="243"/>
      <c r="B337" s="341"/>
      <c r="C337" s="341"/>
      <c r="D337" s="341"/>
      <c r="E337" s="341"/>
      <c r="F337" s="341"/>
      <c r="G337" s="341"/>
      <c r="H337" s="341"/>
      <c r="I337" s="342"/>
      <c r="J337" s="341" t="s">
        <v>315</v>
      </c>
      <c r="K337" s="245"/>
      <c r="L337" s="257"/>
      <c r="M337" s="591" t="s">
        <v>271</v>
      </c>
      <c r="N337" s="592"/>
      <c r="O337" s="179"/>
      <c r="P337" s="180"/>
      <c r="Q337" s="180">
        <v>1800000</v>
      </c>
      <c r="R337" s="181">
        <f t="shared" si="100"/>
        <v>0.52733345051854452</v>
      </c>
      <c r="S337" s="181">
        <v>100</v>
      </c>
      <c r="T337" s="180">
        <f t="shared" si="88"/>
        <v>0</v>
      </c>
      <c r="U337" s="180">
        <f t="shared" si="94"/>
        <v>0</v>
      </c>
      <c r="V337" s="182">
        <f t="shared" si="92"/>
        <v>100</v>
      </c>
      <c r="W337" s="180"/>
      <c r="X337" s="180"/>
      <c r="Y337" s="180"/>
      <c r="Z337" s="180"/>
      <c r="AA337" s="180"/>
      <c r="AB337" s="180"/>
      <c r="AC337" s="180"/>
      <c r="AD337" s="180"/>
      <c r="AE337" s="180"/>
      <c r="AF337" s="180"/>
      <c r="AG337" s="180"/>
      <c r="AH337" s="180"/>
      <c r="AI337" s="180">
        <v>0</v>
      </c>
      <c r="AJ337" s="181">
        <f t="shared" si="89"/>
        <v>0</v>
      </c>
      <c r="AK337" s="246">
        <f t="shared" si="96"/>
        <v>1800000</v>
      </c>
      <c r="AL337" s="181">
        <f t="shared" si="90"/>
        <v>100</v>
      </c>
      <c r="AM337" s="243"/>
    </row>
    <row r="338" spans="1:39" ht="29.25" customHeight="1" x14ac:dyDescent="0.25">
      <c r="A338" s="243"/>
      <c r="B338" s="341"/>
      <c r="C338" s="341"/>
      <c r="D338" s="341"/>
      <c r="E338" s="341"/>
      <c r="F338" s="341"/>
      <c r="G338" s="341"/>
      <c r="H338" s="341"/>
      <c r="I338" s="342"/>
      <c r="J338" s="341" t="s">
        <v>316</v>
      </c>
      <c r="K338" s="245"/>
      <c r="L338" s="257"/>
      <c r="M338" s="591" t="s">
        <v>317</v>
      </c>
      <c r="N338" s="592"/>
      <c r="O338" s="179"/>
      <c r="P338" s="180"/>
      <c r="Q338" s="180">
        <v>600000</v>
      </c>
      <c r="R338" s="181">
        <f t="shared" si="100"/>
        <v>0.17577781683951485</v>
      </c>
      <c r="S338" s="181">
        <v>100</v>
      </c>
      <c r="T338" s="180">
        <f t="shared" si="88"/>
        <v>0</v>
      </c>
      <c r="U338" s="180">
        <f t="shared" si="94"/>
        <v>0</v>
      </c>
      <c r="V338" s="182">
        <f t="shared" si="92"/>
        <v>100</v>
      </c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0"/>
      <c r="AG338" s="180"/>
      <c r="AH338" s="180"/>
      <c r="AI338" s="180">
        <v>0</v>
      </c>
      <c r="AJ338" s="181">
        <f t="shared" si="89"/>
        <v>0</v>
      </c>
      <c r="AK338" s="246">
        <f t="shared" si="96"/>
        <v>600000</v>
      </c>
      <c r="AL338" s="181">
        <f t="shared" si="90"/>
        <v>100</v>
      </c>
      <c r="AM338" s="243"/>
    </row>
    <row r="339" spans="1:39" ht="29.25" customHeight="1" x14ac:dyDescent="0.25">
      <c r="A339" s="243"/>
      <c r="B339" s="341"/>
      <c r="C339" s="341"/>
      <c r="D339" s="341"/>
      <c r="E339" s="341"/>
      <c r="F339" s="341"/>
      <c r="G339" s="341"/>
      <c r="H339" s="341"/>
      <c r="I339" s="342"/>
      <c r="J339" s="341" t="s">
        <v>318</v>
      </c>
      <c r="K339" s="245"/>
      <c r="L339" s="257"/>
      <c r="M339" s="591" t="s">
        <v>319</v>
      </c>
      <c r="N339" s="592"/>
      <c r="O339" s="179"/>
      <c r="P339" s="180"/>
      <c r="Q339" s="180">
        <v>97400000</v>
      </c>
      <c r="R339" s="181">
        <f t="shared" si="100"/>
        <v>28.534598933614578</v>
      </c>
      <c r="S339" s="181">
        <v>100</v>
      </c>
      <c r="T339" s="180">
        <f t="shared" si="88"/>
        <v>0</v>
      </c>
      <c r="U339" s="180">
        <f t="shared" si="94"/>
        <v>0</v>
      </c>
      <c r="V339" s="182">
        <f t="shared" si="92"/>
        <v>100</v>
      </c>
      <c r="W339" s="180"/>
      <c r="X339" s="180"/>
      <c r="Y339" s="180"/>
      <c r="Z339" s="180"/>
      <c r="AA339" s="180"/>
      <c r="AB339" s="180"/>
      <c r="AC339" s="180"/>
      <c r="AD339" s="180"/>
      <c r="AE339" s="180"/>
      <c r="AF339" s="180"/>
      <c r="AG339" s="180"/>
      <c r="AH339" s="180"/>
      <c r="AI339" s="180">
        <v>0</v>
      </c>
      <c r="AJ339" s="181">
        <f t="shared" si="89"/>
        <v>0</v>
      </c>
      <c r="AK339" s="246">
        <f t="shared" si="96"/>
        <v>97400000</v>
      </c>
      <c r="AL339" s="181">
        <f t="shared" si="90"/>
        <v>100</v>
      </c>
      <c r="AM339" s="243"/>
    </row>
    <row r="340" spans="1:39" ht="29.25" customHeight="1" x14ac:dyDescent="0.25">
      <c r="A340" s="243"/>
      <c r="B340" s="341"/>
      <c r="C340" s="341"/>
      <c r="D340" s="341"/>
      <c r="E340" s="341"/>
      <c r="F340" s="341"/>
      <c r="G340" s="341"/>
      <c r="H340" s="341"/>
      <c r="I340" s="342"/>
      <c r="J340" s="341" t="s">
        <v>280</v>
      </c>
      <c r="K340" s="245"/>
      <c r="L340" s="257"/>
      <c r="M340" s="591" t="s">
        <v>281</v>
      </c>
      <c r="N340" s="592"/>
      <c r="O340" s="179"/>
      <c r="P340" s="180"/>
      <c r="Q340" s="180">
        <v>2000000</v>
      </c>
      <c r="R340" s="181">
        <f t="shared" si="100"/>
        <v>0.58592605613171622</v>
      </c>
      <c r="S340" s="181">
        <v>100</v>
      </c>
      <c r="T340" s="180">
        <f t="shared" ref="T340:T408" si="101">AJ340</f>
        <v>0</v>
      </c>
      <c r="U340" s="180">
        <f t="shared" si="94"/>
        <v>0</v>
      </c>
      <c r="V340" s="182">
        <f t="shared" si="92"/>
        <v>100</v>
      </c>
      <c r="W340" s="180"/>
      <c r="X340" s="180"/>
      <c r="Y340" s="180"/>
      <c r="Z340" s="180"/>
      <c r="AA340" s="180"/>
      <c r="AB340" s="180"/>
      <c r="AC340" s="180"/>
      <c r="AD340" s="180"/>
      <c r="AE340" s="180"/>
      <c r="AF340" s="180"/>
      <c r="AG340" s="180"/>
      <c r="AH340" s="180"/>
      <c r="AI340" s="180">
        <v>0</v>
      </c>
      <c r="AJ340" s="181">
        <f t="shared" ref="AJ340:AJ403" si="102">AI340/Q340*100</f>
        <v>0</v>
      </c>
      <c r="AK340" s="246">
        <f t="shared" si="96"/>
        <v>2000000</v>
      </c>
      <c r="AL340" s="181">
        <f t="shared" ref="AL340:AL403" si="103">AK340/Q340*100</f>
        <v>100</v>
      </c>
      <c r="AM340" s="243"/>
    </row>
    <row r="341" spans="1:39" ht="29.25" customHeight="1" x14ac:dyDescent="0.25">
      <c r="A341" s="243"/>
      <c r="B341" s="341"/>
      <c r="C341" s="341"/>
      <c r="D341" s="341"/>
      <c r="E341" s="341"/>
      <c r="F341" s="341"/>
      <c r="G341" s="341"/>
      <c r="H341" s="341"/>
      <c r="I341" s="342"/>
      <c r="J341" s="341" t="s">
        <v>284</v>
      </c>
      <c r="K341" s="245"/>
      <c r="L341" s="257"/>
      <c r="M341" s="591" t="s">
        <v>285</v>
      </c>
      <c r="N341" s="592"/>
      <c r="O341" s="179"/>
      <c r="P341" s="180"/>
      <c r="Q341" s="180">
        <v>2200000</v>
      </c>
      <c r="R341" s="181">
        <f t="shared" si="100"/>
        <v>0.64451866174488781</v>
      </c>
      <c r="S341" s="181">
        <v>100</v>
      </c>
      <c r="T341" s="180">
        <f t="shared" si="101"/>
        <v>0</v>
      </c>
      <c r="U341" s="180">
        <f t="shared" si="94"/>
        <v>0</v>
      </c>
      <c r="V341" s="182">
        <f t="shared" si="92"/>
        <v>100</v>
      </c>
      <c r="W341" s="180"/>
      <c r="X341" s="180"/>
      <c r="Y341" s="180"/>
      <c r="Z341" s="180"/>
      <c r="AA341" s="180"/>
      <c r="AB341" s="180"/>
      <c r="AC341" s="180"/>
      <c r="AD341" s="180"/>
      <c r="AE341" s="180"/>
      <c r="AF341" s="180"/>
      <c r="AG341" s="180"/>
      <c r="AH341" s="180"/>
      <c r="AI341" s="180">
        <v>0</v>
      </c>
      <c r="AJ341" s="181">
        <f t="shared" si="102"/>
        <v>0</v>
      </c>
      <c r="AK341" s="246">
        <f t="shared" si="96"/>
        <v>2200000</v>
      </c>
      <c r="AL341" s="181">
        <f t="shared" si="103"/>
        <v>100</v>
      </c>
      <c r="AM341" s="243"/>
    </row>
    <row r="342" spans="1:39" ht="29.25" customHeight="1" x14ac:dyDescent="0.25">
      <c r="A342" s="243"/>
      <c r="B342" s="341"/>
      <c r="C342" s="341"/>
      <c r="D342" s="341"/>
      <c r="E342" s="341"/>
      <c r="F342" s="341"/>
      <c r="G342" s="341"/>
      <c r="H342" s="341"/>
      <c r="I342" s="342"/>
      <c r="J342" s="341" t="s">
        <v>282</v>
      </c>
      <c r="K342" s="245"/>
      <c r="L342" s="257"/>
      <c r="M342" s="591" t="s">
        <v>283</v>
      </c>
      <c r="N342" s="592"/>
      <c r="O342" s="179"/>
      <c r="P342" s="180"/>
      <c r="Q342" s="180">
        <v>159060000</v>
      </c>
      <c r="R342" s="181">
        <f t="shared" si="100"/>
        <v>46.598699244155391</v>
      </c>
      <c r="S342" s="181">
        <v>100</v>
      </c>
      <c r="T342" s="180">
        <f t="shared" si="101"/>
        <v>4.5301395699735947</v>
      </c>
      <c r="U342" s="180">
        <f t="shared" si="94"/>
        <v>2.1109861135524697</v>
      </c>
      <c r="V342" s="182">
        <f t="shared" si="92"/>
        <v>95.469860430026401</v>
      </c>
      <c r="W342" s="180"/>
      <c r="X342" s="180"/>
      <c r="Y342" s="180"/>
      <c r="Z342" s="180"/>
      <c r="AA342" s="180"/>
      <c r="AB342" s="180"/>
      <c r="AC342" s="180"/>
      <c r="AD342" s="180"/>
      <c r="AE342" s="180"/>
      <c r="AF342" s="180"/>
      <c r="AG342" s="180"/>
      <c r="AH342" s="180"/>
      <c r="AI342" s="180">
        <v>7205640</v>
      </c>
      <c r="AJ342" s="181">
        <f t="shared" si="102"/>
        <v>4.5301395699735947</v>
      </c>
      <c r="AK342" s="246">
        <f t="shared" si="96"/>
        <v>151854360</v>
      </c>
      <c r="AL342" s="181">
        <f t="shared" si="103"/>
        <v>95.469860430026415</v>
      </c>
      <c r="AM342" s="243"/>
    </row>
    <row r="343" spans="1:39" ht="29.25" customHeight="1" x14ac:dyDescent="0.25">
      <c r="A343" s="243"/>
      <c r="B343" s="341"/>
      <c r="C343" s="341"/>
      <c r="D343" s="341"/>
      <c r="E343" s="341"/>
      <c r="F343" s="341"/>
      <c r="G343" s="341"/>
      <c r="H343" s="341"/>
      <c r="I343" s="342"/>
      <c r="J343" s="341" t="s">
        <v>320</v>
      </c>
      <c r="K343" s="245"/>
      <c r="L343" s="257"/>
      <c r="M343" s="591" t="s">
        <v>321</v>
      </c>
      <c r="N343" s="592"/>
      <c r="O343" s="179"/>
      <c r="P343" s="180"/>
      <c r="Q343" s="180">
        <v>14400000</v>
      </c>
      <c r="R343" s="181">
        <f t="shared" si="100"/>
        <v>4.2186676041483562</v>
      </c>
      <c r="S343" s="181">
        <v>100</v>
      </c>
      <c r="T343" s="180">
        <f t="shared" si="101"/>
        <v>0</v>
      </c>
      <c r="U343" s="180">
        <f t="shared" si="94"/>
        <v>0</v>
      </c>
      <c r="V343" s="182">
        <f t="shared" si="92"/>
        <v>100</v>
      </c>
      <c r="W343" s="180"/>
      <c r="X343" s="180"/>
      <c r="Y343" s="180"/>
      <c r="Z343" s="180"/>
      <c r="AA343" s="180"/>
      <c r="AB343" s="180"/>
      <c r="AC343" s="180"/>
      <c r="AD343" s="180"/>
      <c r="AE343" s="180"/>
      <c r="AF343" s="180"/>
      <c r="AG343" s="180"/>
      <c r="AH343" s="180"/>
      <c r="AI343" s="180">
        <v>0</v>
      </c>
      <c r="AJ343" s="181">
        <f t="shared" si="102"/>
        <v>0</v>
      </c>
      <c r="AK343" s="246">
        <f t="shared" si="96"/>
        <v>14400000</v>
      </c>
      <c r="AL343" s="181">
        <f t="shared" si="103"/>
        <v>100</v>
      </c>
      <c r="AM343" s="243"/>
    </row>
    <row r="344" spans="1:39" ht="29.25" customHeight="1" x14ac:dyDescent="0.25">
      <c r="A344" s="243"/>
      <c r="B344" s="341"/>
      <c r="C344" s="341"/>
      <c r="D344" s="341"/>
      <c r="E344" s="341"/>
      <c r="F344" s="341"/>
      <c r="G344" s="341"/>
      <c r="H344" s="341"/>
      <c r="I344" s="342"/>
      <c r="J344" s="341" t="s">
        <v>407</v>
      </c>
      <c r="K344" s="245"/>
      <c r="L344" s="257"/>
      <c r="M344" s="591" t="s">
        <v>414</v>
      </c>
      <c r="N344" s="592"/>
      <c r="O344" s="179"/>
      <c r="P344" s="180"/>
      <c r="Q344" s="180">
        <v>9300000</v>
      </c>
      <c r="R344" s="181">
        <f t="shared" si="100"/>
        <v>2.7245561610124804</v>
      </c>
      <c r="S344" s="181"/>
      <c r="T344" s="180">
        <f t="shared" si="101"/>
        <v>0</v>
      </c>
      <c r="U344" s="180">
        <f t="shared" si="94"/>
        <v>0</v>
      </c>
      <c r="V344" s="182"/>
      <c r="W344" s="180"/>
      <c r="X344" s="180"/>
      <c r="Y344" s="180"/>
      <c r="Z344" s="180"/>
      <c r="AA344" s="180"/>
      <c r="AB344" s="180"/>
      <c r="AC344" s="180"/>
      <c r="AD344" s="180"/>
      <c r="AE344" s="180"/>
      <c r="AF344" s="180"/>
      <c r="AG344" s="180"/>
      <c r="AH344" s="180"/>
      <c r="AI344" s="180">
        <v>0</v>
      </c>
      <c r="AJ344" s="181">
        <f t="shared" si="102"/>
        <v>0</v>
      </c>
      <c r="AK344" s="246">
        <f t="shared" si="96"/>
        <v>9300000</v>
      </c>
      <c r="AL344" s="181">
        <f t="shared" si="103"/>
        <v>100</v>
      </c>
      <c r="AM344" s="243"/>
    </row>
    <row r="345" spans="1:39" s="297" customFormat="1" ht="45" customHeight="1" x14ac:dyDescent="0.25">
      <c r="A345" s="227">
        <f>A334+1</f>
        <v>46</v>
      </c>
      <c r="B345" s="615" t="s">
        <v>147</v>
      </c>
      <c r="C345" s="615"/>
      <c r="D345" s="615"/>
      <c r="E345" s="615"/>
      <c r="F345" s="615"/>
      <c r="G345" s="615"/>
      <c r="H345" s="615"/>
      <c r="I345" s="614"/>
      <c r="J345" s="304" t="s">
        <v>490</v>
      </c>
      <c r="K345" s="230"/>
      <c r="L345" s="294"/>
      <c r="M345" s="610" t="s">
        <v>48</v>
      </c>
      <c r="N345" s="610"/>
      <c r="O345" s="309">
        <v>606500000</v>
      </c>
      <c r="P345" s="231">
        <f>O345</f>
        <v>606500000</v>
      </c>
      <c r="Q345" s="231">
        <f>SUM(Q346:Q350)</f>
        <v>189188876</v>
      </c>
      <c r="R345" s="233">
        <f>Q345/Q$243*100</f>
        <v>1.5861111558977716</v>
      </c>
      <c r="S345" s="233">
        <v>100</v>
      </c>
      <c r="T345" s="231">
        <f t="shared" si="101"/>
        <v>0</v>
      </c>
      <c r="U345" s="231">
        <f t="shared" si="94"/>
        <v>0</v>
      </c>
      <c r="V345" s="296">
        <f t="shared" si="92"/>
        <v>100</v>
      </c>
      <c r="W345" s="231"/>
      <c r="X345" s="231" t="e">
        <f>#REF!</f>
        <v>#REF!</v>
      </c>
      <c r="Y345" s="231" t="e">
        <f>#REF!</f>
        <v>#REF!</v>
      </c>
      <c r="Z345" s="231" t="e">
        <f>#REF!</f>
        <v>#REF!</v>
      </c>
      <c r="AA345" s="231" t="e">
        <f>#REF!</f>
        <v>#REF!</v>
      </c>
      <c r="AB345" s="231">
        <v>143751020</v>
      </c>
      <c r="AC345" s="231" t="e">
        <f>#REF!</f>
        <v>#REF!</v>
      </c>
      <c r="AD345" s="231" t="e">
        <f>#REF!</f>
        <v>#REF!</v>
      </c>
      <c r="AE345" s="231" t="e">
        <f>#REF!</f>
        <v>#REF!</v>
      </c>
      <c r="AF345" s="231" t="e">
        <f>[1]April!N64</f>
        <v>#REF!</v>
      </c>
      <c r="AG345" s="231" t="e">
        <f>[2]april!N64</f>
        <v>#REF!</v>
      </c>
      <c r="AH345" s="231">
        <f>'[3]DES SKPD'!$N64</f>
        <v>571546340</v>
      </c>
      <c r="AI345" s="231">
        <f>SUM(AI346:AI350)</f>
        <v>0</v>
      </c>
      <c r="AJ345" s="233">
        <f t="shared" si="102"/>
        <v>0</v>
      </c>
      <c r="AK345" s="234">
        <f t="shared" si="96"/>
        <v>189188876</v>
      </c>
      <c r="AL345" s="233">
        <f t="shared" si="103"/>
        <v>100</v>
      </c>
      <c r="AM345" s="227"/>
    </row>
    <row r="346" spans="1:39" ht="28.5" customHeight="1" x14ac:dyDescent="0.25">
      <c r="A346" s="243"/>
      <c r="B346" s="341"/>
      <c r="C346" s="341"/>
      <c r="D346" s="341"/>
      <c r="E346" s="341"/>
      <c r="F346" s="341"/>
      <c r="G346" s="341"/>
      <c r="H346" s="341"/>
      <c r="I346" s="342"/>
      <c r="J346" s="341" t="s">
        <v>257</v>
      </c>
      <c r="K346" s="245"/>
      <c r="L346" s="257"/>
      <c r="M346" s="591" t="s">
        <v>428</v>
      </c>
      <c r="N346" s="592"/>
      <c r="O346" s="179"/>
      <c r="P346" s="180"/>
      <c r="Q346" s="180">
        <v>10000000</v>
      </c>
      <c r="R346" s="181">
        <f>Q346/Q$345*100</f>
        <v>5.2857230358512197</v>
      </c>
      <c r="S346" s="181">
        <v>100</v>
      </c>
      <c r="T346" s="180">
        <f t="shared" si="101"/>
        <v>0</v>
      </c>
      <c r="U346" s="180">
        <f t="shared" si="94"/>
        <v>0</v>
      </c>
      <c r="V346" s="182">
        <f t="shared" si="92"/>
        <v>100</v>
      </c>
      <c r="W346" s="180"/>
      <c r="X346" s="180"/>
      <c r="Y346" s="180"/>
      <c r="Z346" s="180"/>
      <c r="AA346" s="180"/>
      <c r="AB346" s="180"/>
      <c r="AC346" s="180"/>
      <c r="AD346" s="180"/>
      <c r="AE346" s="180"/>
      <c r="AF346" s="180"/>
      <c r="AG346" s="180"/>
      <c r="AH346" s="180"/>
      <c r="AI346" s="180">
        <v>0</v>
      </c>
      <c r="AJ346" s="181">
        <f t="shared" si="102"/>
        <v>0</v>
      </c>
      <c r="AK346" s="246">
        <f t="shared" si="96"/>
        <v>10000000</v>
      </c>
      <c r="AL346" s="181">
        <f t="shared" si="103"/>
        <v>100</v>
      </c>
      <c r="AM346" s="243"/>
    </row>
    <row r="347" spans="1:39" ht="28.5" customHeight="1" x14ac:dyDescent="0.25">
      <c r="A347" s="243"/>
      <c r="B347" s="341"/>
      <c r="C347" s="341"/>
      <c r="D347" s="341"/>
      <c r="E347" s="341"/>
      <c r="F347" s="341"/>
      <c r="G347" s="341"/>
      <c r="H347" s="341"/>
      <c r="I347" s="342"/>
      <c r="J347" s="341" t="s">
        <v>318</v>
      </c>
      <c r="K347" s="245"/>
      <c r="L347" s="257"/>
      <c r="M347" s="611" t="s">
        <v>319</v>
      </c>
      <c r="N347" s="598"/>
      <c r="O347" s="179"/>
      <c r="P347" s="180"/>
      <c r="Q347" s="180">
        <v>100000000</v>
      </c>
      <c r="R347" s="181">
        <f>Q347/Q$345*100</f>
        <v>52.857230358512197</v>
      </c>
      <c r="S347" s="181">
        <v>100</v>
      </c>
      <c r="T347" s="180">
        <f t="shared" si="101"/>
        <v>0</v>
      </c>
      <c r="U347" s="180">
        <f t="shared" si="94"/>
        <v>0</v>
      </c>
      <c r="V347" s="182">
        <f t="shared" si="92"/>
        <v>100</v>
      </c>
      <c r="W347" s="180"/>
      <c r="X347" s="180"/>
      <c r="Y347" s="180"/>
      <c r="Z347" s="180"/>
      <c r="AA347" s="180"/>
      <c r="AB347" s="180"/>
      <c r="AC347" s="180"/>
      <c r="AD347" s="180"/>
      <c r="AE347" s="180"/>
      <c r="AF347" s="180"/>
      <c r="AG347" s="180"/>
      <c r="AH347" s="180"/>
      <c r="AI347" s="180">
        <v>0</v>
      </c>
      <c r="AJ347" s="181">
        <f t="shared" si="102"/>
        <v>0</v>
      </c>
      <c r="AK347" s="246">
        <f t="shared" si="96"/>
        <v>100000000</v>
      </c>
      <c r="AL347" s="181">
        <f t="shared" si="103"/>
        <v>100</v>
      </c>
      <c r="AM347" s="243"/>
    </row>
    <row r="348" spans="1:39" ht="28.5" customHeight="1" x14ac:dyDescent="0.25">
      <c r="A348" s="243"/>
      <c r="B348" s="341"/>
      <c r="C348" s="341"/>
      <c r="D348" s="341"/>
      <c r="E348" s="341"/>
      <c r="F348" s="341"/>
      <c r="G348" s="341"/>
      <c r="H348" s="341"/>
      <c r="I348" s="342"/>
      <c r="J348" s="341" t="s">
        <v>282</v>
      </c>
      <c r="K348" s="245"/>
      <c r="L348" s="257"/>
      <c r="M348" s="591" t="s">
        <v>603</v>
      </c>
      <c r="N348" s="592"/>
      <c r="O348" s="179"/>
      <c r="P348" s="180"/>
      <c r="Q348" s="180">
        <v>12388876</v>
      </c>
      <c r="R348" s="181">
        <f>Q348/Q$345*100</f>
        <v>6.5484167261504318</v>
      </c>
      <c r="S348" s="181">
        <v>100</v>
      </c>
      <c r="T348" s="180">
        <f t="shared" si="101"/>
        <v>0</v>
      </c>
      <c r="U348" s="180">
        <f t="shared" si="94"/>
        <v>0</v>
      </c>
      <c r="V348" s="182">
        <f t="shared" si="92"/>
        <v>100</v>
      </c>
      <c r="W348" s="180"/>
      <c r="X348" s="180"/>
      <c r="Y348" s="180"/>
      <c r="Z348" s="180"/>
      <c r="AA348" s="180"/>
      <c r="AB348" s="180"/>
      <c r="AC348" s="180"/>
      <c r="AD348" s="180"/>
      <c r="AE348" s="180"/>
      <c r="AF348" s="180"/>
      <c r="AG348" s="180"/>
      <c r="AH348" s="180"/>
      <c r="AI348" s="180">
        <v>0</v>
      </c>
      <c r="AJ348" s="181">
        <f t="shared" si="102"/>
        <v>0</v>
      </c>
      <c r="AK348" s="246">
        <f t="shared" si="96"/>
        <v>12388876</v>
      </c>
      <c r="AL348" s="181">
        <f t="shared" si="103"/>
        <v>100</v>
      </c>
      <c r="AM348" s="243"/>
    </row>
    <row r="349" spans="1:39" ht="28.5" customHeight="1" x14ac:dyDescent="0.25">
      <c r="A349" s="243"/>
      <c r="B349" s="341"/>
      <c r="C349" s="341"/>
      <c r="D349" s="341"/>
      <c r="E349" s="341"/>
      <c r="F349" s="341"/>
      <c r="G349" s="341"/>
      <c r="H349" s="341"/>
      <c r="I349" s="342"/>
      <c r="J349" s="341" t="s">
        <v>320</v>
      </c>
      <c r="K349" s="245"/>
      <c r="L349" s="257"/>
      <c r="M349" s="591" t="s">
        <v>321</v>
      </c>
      <c r="N349" s="592"/>
      <c r="O349" s="179"/>
      <c r="P349" s="180"/>
      <c r="Q349" s="180">
        <v>57600000</v>
      </c>
      <c r="R349" s="181">
        <f>Q349/Q$345*100</f>
        <v>30.445764686503026</v>
      </c>
      <c r="S349" s="181">
        <v>100</v>
      </c>
      <c r="T349" s="180">
        <f t="shared" si="101"/>
        <v>0</v>
      </c>
      <c r="U349" s="180">
        <f t="shared" si="94"/>
        <v>0</v>
      </c>
      <c r="V349" s="182">
        <f t="shared" si="92"/>
        <v>100</v>
      </c>
      <c r="W349" s="180"/>
      <c r="X349" s="180"/>
      <c r="Y349" s="180"/>
      <c r="Z349" s="180"/>
      <c r="AA349" s="180"/>
      <c r="AB349" s="180"/>
      <c r="AC349" s="180"/>
      <c r="AD349" s="180"/>
      <c r="AE349" s="180"/>
      <c r="AF349" s="180"/>
      <c r="AG349" s="180"/>
      <c r="AH349" s="180"/>
      <c r="AI349" s="180">
        <v>0</v>
      </c>
      <c r="AJ349" s="181">
        <f t="shared" si="102"/>
        <v>0</v>
      </c>
      <c r="AK349" s="246">
        <f t="shared" si="96"/>
        <v>57600000</v>
      </c>
      <c r="AL349" s="181">
        <f t="shared" si="103"/>
        <v>100</v>
      </c>
      <c r="AM349" s="243"/>
    </row>
    <row r="350" spans="1:39" ht="28.5" customHeight="1" x14ac:dyDescent="0.25">
      <c r="A350" s="243"/>
      <c r="B350" s="341"/>
      <c r="C350" s="341"/>
      <c r="D350" s="341"/>
      <c r="E350" s="341"/>
      <c r="F350" s="341"/>
      <c r="G350" s="341"/>
      <c r="H350" s="341"/>
      <c r="I350" s="342"/>
      <c r="J350" s="341" t="s">
        <v>309</v>
      </c>
      <c r="K350" s="245"/>
      <c r="L350" s="257"/>
      <c r="M350" s="591" t="s">
        <v>607</v>
      </c>
      <c r="N350" s="592"/>
      <c r="O350" s="179"/>
      <c r="P350" s="180"/>
      <c r="Q350" s="180">
        <v>9200000</v>
      </c>
      <c r="R350" s="181">
        <f>Q350/Q$345*100</f>
        <v>4.8628651929831221</v>
      </c>
      <c r="S350" s="181">
        <v>100</v>
      </c>
      <c r="T350" s="180">
        <f t="shared" si="101"/>
        <v>0</v>
      </c>
      <c r="U350" s="180">
        <f t="shared" si="94"/>
        <v>0</v>
      </c>
      <c r="V350" s="182">
        <f t="shared" si="92"/>
        <v>100</v>
      </c>
      <c r="W350" s="180"/>
      <c r="X350" s="180"/>
      <c r="Y350" s="180"/>
      <c r="Z350" s="180"/>
      <c r="AA350" s="180"/>
      <c r="AB350" s="180"/>
      <c r="AC350" s="180"/>
      <c r="AD350" s="180"/>
      <c r="AE350" s="180"/>
      <c r="AF350" s="180"/>
      <c r="AG350" s="180"/>
      <c r="AH350" s="180"/>
      <c r="AI350" s="180">
        <v>0</v>
      </c>
      <c r="AJ350" s="181">
        <f t="shared" si="102"/>
        <v>0</v>
      </c>
      <c r="AK350" s="246">
        <f t="shared" si="96"/>
        <v>9200000</v>
      </c>
      <c r="AL350" s="181">
        <f t="shared" si="103"/>
        <v>100</v>
      </c>
      <c r="AM350" s="243"/>
    </row>
    <row r="351" spans="1:39" ht="28.5" customHeight="1" x14ac:dyDescent="0.25">
      <c r="A351" s="227">
        <v>47</v>
      </c>
      <c r="B351" s="341"/>
      <c r="C351" s="341"/>
      <c r="D351" s="341"/>
      <c r="E351" s="341"/>
      <c r="F351" s="341"/>
      <c r="G351" s="341"/>
      <c r="H351" s="341"/>
      <c r="I351" s="342"/>
      <c r="J351" s="304" t="s">
        <v>492</v>
      </c>
      <c r="K351" s="230"/>
      <c r="L351" s="294"/>
      <c r="M351" s="609" t="s">
        <v>493</v>
      </c>
      <c r="N351" s="609"/>
      <c r="O351" s="309">
        <v>558720000</v>
      </c>
      <c r="P351" s="231">
        <f>O351</f>
        <v>558720000</v>
      </c>
      <c r="Q351" s="231">
        <f>SUM(Q352:Q358)</f>
        <v>541894073</v>
      </c>
      <c r="R351" s="233">
        <f>Q351/Q$243*100</f>
        <v>4.5431013317092779</v>
      </c>
      <c r="S351" s="233">
        <v>100</v>
      </c>
      <c r="T351" s="231">
        <f t="shared" si="101"/>
        <v>0</v>
      </c>
      <c r="U351" s="231">
        <f t="shared" si="94"/>
        <v>0</v>
      </c>
      <c r="V351" s="296">
        <f t="shared" si="92"/>
        <v>100</v>
      </c>
      <c r="W351" s="231"/>
      <c r="X351" s="231" t="e">
        <f>#REF!</f>
        <v>#REF!</v>
      </c>
      <c r="Y351" s="231" t="e">
        <f>#REF!</f>
        <v>#REF!</v>
      </c>
      <c r="Z351" s="231" t="e">
        <f>#REF!</f>
        <v>#REF!</v>
      </c>
      <c r="AA351" s="231" t="e">
        <f>#REF!</f>
        <v>#REF!</v>
      </c>
      <c r="AB351" s="231">
        <v>192786500</v>
      </c>
      <c r="AC351" s="231" t="e">
        <f>#REF!</f>
        <v>#REF!</v>
      </c>
      <c r="AD351" s="231" t="e">
        <f>#REF!</f>
        <v>#REF!</v>
      </c>
      <c r="AE351" s="231" t="e">
        <f>#REF!</f>
        <v>#REF!</v>
      </c>
      <c r="AF351" s="231" t="e">
        <f>[1]April!N54</f>
        <v>#REF!</v>
      </c>
      <c r="AG351" s="231" t="e">
        <f>[2]april!N54</f>
        <v>#REF!</v>
      </c>
      <c r="AH351" s="231">
        <f>'[3]DES SKPD'!$N54</f>
        <v>508172500</v>
      </c>
      <c r="AI351" s="231">
        <f>SUM(AI352:AI358)</f>
        <v>0</v>
      </c>
      <c r="AJ351" s="233">
        <f t="shared" si="102"/>
        <v>0</v>
      </c>
      <c r="AK351" s="234">
        <f t="shared" si="96"/>
        <v>541894073</v>
      </c>
      <c r="AL351" s="233">
        <f t="shared" si="103"/>
        <v>100</v>
      </c>
      <c r="AM351" s="243"/>
    </row>
    <row r="352" spans="1:39" ht="28.5" customHeight="1" x14ac:dyDescent="0.25">
      <c r="A352" s="243"/>
      <c r="B352" s="341"/>
      <c r="C352" s="341"/>
      <c r="D352" s="341"/>
      <c r="E352" s="341"/>
      <c r="F352" s="341"/>
      <c r="G352" s="341"/>
      <c r="H352" s="341"/>
      <c r="I352" s="342"/>
      <c r="J352" s="341" t="s">
        <v>315</v>
      </c>
      <c r="K352" s="245"/>
      <c r="L352" s="257"/>
      <c r="M352" s="591" t="s">
        <v>271</v>
      </c>
      <c r="N352" s="592"/>
      <c r="O352" s="179"/>
      <c r="P352" s="180"/>
      <c r="Q352" s="180">
        <v>20304000</v>
      </c>
      <c r="R352" s="181">
        <f t="shared" ref="R352:R358" si="104">Q352/Q$351*100</f>
        <v>3.74685773689944</v>
      </c>
      <c r="S352" s="181">
        <v>100</v>
      </c>
      <c r="T352" s="180">
        <f t="shared" si="101"/>
        <v>0</v>
      </c>
      <c r="U352" s="180">
        <f t="shared" si="94"/>
        <v>0</v>
      </c>
      <c r="V352" s="182">
        <f t="shared" si="92"/>
        <v>100</v>
      </c>
      <c r="W352" s="180"/>
      <c r="X352" s="180"/>
      <c r="Y352" s="180"/>
      <c r="Z352" s="180"/>
      <c r="AA352" s="180"/>
      <c r="AB352" s="180"/>
      <c r="AC352" s="180"/>
      <c r="AD352" s="180"/>
      <c r="AE352" s="180"/>
      <c r="AF352" s="180"/>
      <c r="AG352" s="180"/>
      <c r="AH352" s="180"/>
      <c r="AI352" s="180">
        <v>0</v>
      </c>
      <c r="AJ352" s="181">
        <f t="shared" si="102"/>
        <v>0</v>
      </c>
      <c r="AK352" s="246">
        <f t="shared" si="96"/>
        <v>20304000</v>
      </c>
      <c r="AL352" s="181">
        <f t="shared" si="103"/>
        <v>100</v>
      </c>
      <c r="AM352" s="243"/>
    </row>
    <row r="353" spans="1:39" ht="28.5" customHeight="1" x14ac:dyDescent="0.25">
      <c r="A353" s="243"/>
      <c r="B353" s="341"/>
      <c r="C353" s="341"/>
      <c r="D353" s="341"/>
      <c r="E353" s="341"/>
      <c r="F353" s="341"/>
      <c r="G353" s="341"/>
      <c r="H353" s="341"/>
      <c r="I353" s="342"/>
      <c r="J353" s="341" t="s">
        <v>328</v>
      </c>
      <c r="K353" s="245"/>
      <c r="L353" s="257"/>
      <c r="M353" s="591" t="s">
        <v>319</v>
      </c>
      <c r="N353" s="592"/>
      <c r="O353" s="179"/>
      <c r="P353" s="180"/>
      <c r="Q353" s="180">
        <v>231000000</v>
      </c>
      <c r="R353" s="181">
        <f t="shared" si="104"/>
        <v>42.628257349476492</v>
      </c>
      <c r="S353" s="181">
        <v>100</v>
      </c>
      <c r="T353" s="180">
        <f t="shared" si="101"/>
        <v>0</v>
      </c>
      <c r="U353" s="180">
        <f t="shared" si="94"/>
        <v>0</v>
      </c>
      <c r="V353" s="182">
        <f t="shared" si="92"/>
        <v>100</v>
      </c>
      <c r="W353" s="180"/>
      <c r="X353" s="180"/>
      <c r="Y353" s="180"/>
      <c r="Z353" s="180"/>
      <c r="AA353" s="180"/>
      <c r="AB353" s="180"/>
      <c r="AC353" s="180"/>
      <c r="AD353" s="180"/>
      <c r="AE353" s="180"/>
      <c r="AF353" s="180"/>
      <c r="AG353" s="180"/>
      <c r="AH353" s="180"/>
      <c r="AI353" s="180">
        <v>0</v>
      </c>
      <c r="AJ353" s="181">
        <f t="shared" si="102"/>
        <v>0</v>
      </c>
      <c r="AK353" s="246">
        <f t="shared" si="96"/>
        <v>231000000</v>
      </c>
      <c r="AL353" s="181">
        <f t="shared" si="103"/>
        <v>100</v>
      </c>
      <c r="AM353" s="243"/>
    </row>
    <row r="354" spans="1:39" ht="28.5" customHeight="1" x14ac:dyDescent="0.25">
      <c r="A354" s="243"/>
      <c r="B354" s="341"/>
      <c r="C354" s="341"/>
      <c r="D354" s="341"/>
      <c r="E354" s="341"/>
      <c r="F354" s="341"/>
      <c r="G354" s="341"/>
      <c r="H354" s="341"/>
      <c r="I354" s="342"/>
      <c r="J354" s="312" t="s">
        <v>339</v>
      </c>
      <c r="M354" s="619" t="s">
        <v>608</v>
      </c>
      <c r="N354" s="620"/>
      <c r="O354" s="179"/>
      <c r="P354" s="180"/>
      <c r="Q354" s="180">
        <v>25200000</v>
      </c>
      <c r="R354" s="181">
        <f t="shared" si="104"/>
        <v>4.6503553472156174</v>
      </c>
      <c r="S354" s="181">
        <v>100</v>
      </c>
      <c r="T354" s="180">
        <f t="shared" si="101"/>
        <v>0</v>
      </c>
      <c r="U354" s="180">
        <f t="shared" si="94"/>
        <v>0</v>
      </c>
      <c r="V354" s="182">
        <f t="shared" si="92"/>
        <v>100</v>
      </c>
      <c r="W354" s="180"/>
      <c r="X354" s="180"/>
      <c r="Y354" s="180"/>
      <c r="Z354" s="180"/>
      <c r="AA354" s="180"/>
      <c r="AB354" s="180"/>
      <c r="AC354" s="180"/>
      <c r="AD354" s="180"/>
      <c r="AE354" s="180"/>
      <c r="AF354" s="180"/>
      <c r="AG354" s="180"/>
      <c r="AH354" s="180"/>
      <c r="AI354" s="180">
        <v>0</v>
      </c>
      <c r="AJ354" s="181">
        <f t="shared" si="102"/>
        <v>0</v>
      </c>
      <c r="AK354" s="246">
        <f t="shared" si="96"/>
        <v>25200000</v>
      </c>
      <c r="AL354" s="181">
        <f t="shared" si="103"/>
        <v>100</v>
      </c>
      <c r="AM354" s="243"/>
    </row>
    <row r="355" spans="1:39" ht="28.5" customHeight="1" x14ac:dyDescent="0.25">
      <c r="A355" s="243"/>
      <c r="B355" s="341"/>
      <c r="C355" s="341"/>
      <c r="D355" s="341"/>
      <c r="E355" s="341"/>
      <c r="F355" s="341"/>
      <c r="G355" s="341"/>
      <c r="H355" s="341"/>
      <c r="I355" s="342"/>
      <c r="J355" s="341" t="s">
        <v>284</v>
      </c>
      <c r="K355" s="245"/>
      <c r="L355" s="257"/>
      <c r="M355" s="591" t="s">
        <v>503</v>
      </c>
      <c r="N355" s="592"/>
      <c r="O355" s="179"/>
      <c r="P355" s="180"/>
      <c r="Q355" s="180">
        <v>152190073</v>
      </c>
      <c r="R355" s="181">
        <f t="shared" si="104"/>
        <v>28.084838086058934</v>
      </c>
      <c r="S355" s="181">
        <v>100</v>
      </c>
      <c r="T355" s="180">
        <f t="shared" si="101"/>
        <v>0</v>
      </c>
      <c r="U355" s="180">
        <f t="shared" si="94"/>
        <v>0</v>
      </c>
      <c r="V355" s="182">
        <f t="shared" si="92"/>
        <v>100</v>
      </c>
      <c r="W355" s="180"/>
      <c r="X355" s="180"/>
      <c r="Y355" s="180"/>
      <c r="Z355" s="180"/>
      <c r="AA355" s="180"/>
      <c r="AB355" s="180"/>
      <c r="AC355" s="180"/>
      <c r="AD355" s="180"/>
      <c r="AE355" s="180"/>
      <c r="AF355" s="180"/>
      <c r="AG355" s="180"/>
      <c r="AH355" s="180"/>
      <c r="AI355" s="180">
        <v>0</v>
      </c>
      <c r="AJ355" s="181">
        <f>AI355/Q355*100</f>
        <v>0</v>
      </c>
      <c r="AK355" s="246">
        <f>Q355-AI355</f>
        <v>152190073</v>
      </c>
      <c r="AL355" s="181">
        <f>AK355/Q355*100</f>
        <v>100</v>
      </c>
      <c r="AM355" s="243"/>
    </row>
    <row r="356" spans="1:39" ht="28.5" customHeight="1" x14ac:dyDescent="0.25">
      <c r="A356" s="243"/>
      <c r="B356" s="341"/>
      <c r="C356" s="341"/>
      <c r="D356" s="341"/>
      <c r="E356" s="341"/>
      <c r="F356" s="341"/>
      <c r="G356" s="341"/>
      <c r="H356" s="341"/>
      <c r="I356" s="342"/>
      <c r="J356" s="341" t="s">
        <v>320</v>
      </c>
      <c r="K356" s="245"/>
      <c r="L356" s="257"/>
      <c r="M356" s="591" t="s">
        <v>321</v>
      </c>
      <c r="N356" s="592"/>
      <c r="O356" s="179"/>
      <c r="P356" s="180"/>
      <c r="Q356" s="180">
        <v>9200000</v>
      </c>
      <c r="R356" s="181">
        <f t="shared" si="104"/>
        <v>1.6977487775549078</v>
      </c>
      <c r="S356" s="181">
        <v>100</v>
      </c>
      <c r="T356" s="180">
        <f t="shared" si="101"/>
        <v>0</v>
      </c>
      <c r="U356" s="180">
        <f t="shared" si="94"/>
        <v>0</v>
      </c>
      <c r="V356" s="182">
        <f t="shared" si="92"/>
        <v>100</v>
      </c>
      <c r="W356" s="180"/>
      <c r="X356" s="180"/>
      <c r="Y356" s="180"/>
      <c r="Z356" s="180"/>
      <c r="AA356" s="180"/>
      <c r="AB356" s="180"/>
      <c r="AC356" s="180"/>
      <c r="AD356" s="180"/>
      <c r="AE356" s="180"/>
      <c r="AF356" s="180"/>
      <c r="AG356" s="180"/>
      <c r="AH356" s="180"/>
      <c r="AI356" s="180">
        <v>0</v>
      </c>
      <c r="AJ356" s="181">
        <f t="shared" si="102"/>
        <v>0</v>
      </c>
      <c r="AK356" s="246">
        <f t="shared" ref="AK356:AK419" si="105">Q356-AI356</f>
        <v>9200000</v>
      </c>
      <c r="AL356" s="181">
        <f t="shared" si="103"/>
        <v>100</v>
      </c>
      <c r="AM356" s="243"/>
    </row>
    <row r="357" spans="1:39" ht="28.5" customHeight="1" x14ac:dyDescent="0.25">
      <c r="A357" s="243"/>
      <c r="B357" s="341"/>
      <c r="C357" s="341"/>
      <c r="D357" s="341"/>
      <c r="E357" s="341"/>
      <c r="F357" s="341"/>
      <c r="G357" s="341"/>
      <c r="H357" s="341"/>
      <c r="I357" s="342"/>
      <c r="J357" s="312" t="s">
        <v>407</v>
      </c>
      <c r="M357" s="616" t="s">
        <v>414</v>
      </c>
      <c r="N357" s="617"/>
      <c r="O357" s="179"/>
      <c r="P357" s="180"/>
      <c r="Q357" s="180">
        <v>8000000</v>
      </c>
      <c r="R357" s="181">
        <f t="shared" si="104"/>
        <v>1.4763032848303546</v>
      </c>
      <c r="S357" s="181">
        <v>100</v>
      </c>
      <c r="T357" s="180">
        <f t="shared" si="101"/>
        <v>0</v>
      </c>
      <c r="U357" s="180">
        <f t="shared" si="94"/>
        <v>0</v>
      </c>
      <c r="V357" s="182">
        <f t="shared" si="92"/>
        <v>100</v>
      </c>
      <c r="W357" s="180"/>
      <c r="X357" s="180"/>
      <c r="Y357" s="180"/>
      <c r="Z357" s="180"/>
      <c r="AA357" s="180"/>
      <c r="AB357" s="180"/>
      <c r="AC357" s="180"/>
      <c r="AD357" s="180"/>
      <c r="AE357" s="180"/>
      <c r="AF357" s="180"/>
      <c r="AG357" s="180"/>
      <c r="AH357" s="180"/>
      <c r="AI357" s="180">
        <v>0</v>
      </c>
      <c r="AJ357" s="181">
        <f t="shared" si="102"/>
        <v>0</v>
      </c>
      <c r="AK357" s="246">
        <f t="shared" si="105"/>
        <v>8000000</v>
      </c>
      <c r="AL357" s="181">
        <f t="shared" si="103"/>
        <v>100</v>
      </c>
      <c r="AM357" s="243"/>
    </row>
    <row r="358" spans="1:39" ht="28.5" customHeight="1" x14ac:dyDescent="0.25">
      <c r="A358" s="243"/>
      <c r="B358" s="341"/>
      <c r="C358" s="341"/>
      <c r="D358" s="341"/>
      <c r="E358" s="341"/>
      <c r="F358" s="341"/>
      <c r="G358" s="341"/>
      <c r="H358" s="341"/>
      <c r="I358" s="342"/>
      <c r="J358" s="312" t="s">
        <v>551</v>
      </c>
      <c r="M358" s="616" t="s">
        <v>550</v>
      </c>
      <c r="N358" s="617"/>
      <c r="O358" s="179"/>
      <c r="P358" s="180"/>
      <c r="Q358" s="180">
        <v>96000000</v>
      </c>
      <c r="R358" s="181">
        <f t="shared" si="104"/>
        <v>17.715639417964255</v>
      </c>
      <c r="S358" s="181">
        <v>100</v>
      </c>
      <c r="T358" s="180">
        <f t="shared" si="101"/>
        <v>0</v>
      </c>
      <c r="U358" s="180">
        <f t="shared" si="94"/>
        <v>0</v>
      </c>
      <c r="V358" s="182">
        <f t="shared" si="92"/>
        <v>100</v>
      </c>
      <c r="W358" s="180"/>
      <c r="X358" s="180"/>
      <c r="Y358" s="180"/>
      <c r="Z358" s="180"/>
      <c r="AA358" s="180"/>
      <c r="AB358" s="180"/>
      <c r="AC358" s="180"/>
      <c r="AD358" s="180"/>
      <c r="AE358" s="180"/>
      <c r="AF358" s="180"/>
      <c r="AG358" s="180"/>
      <c r="AH358" s="180"/>
      <c r="AI358" s="180">
        <v>0</v>
      </c>
      <c r="AJ358" s="181">
        <f t="shared" si="102"/>
        <v>0</v>
      </c>
      <c r="AK358" s="246">
        <f t="shared" si="105"/>
        <v>96000000</v>
      </c>
      <c r="AL358" s="181">
        <f t="shared" si="103"/>
        <v>100</v>
      </c>
      <c r="AM358" s="243"/>
    </row>
    <row r="359" spans="1:39" s="297" customFormat="1" ht="29.25" customHeight="1" x14ac:dyDescent="0.25">
      <c r="A359" s="227">
        <f>SUM(A351+1)</f>
        <v>48</v>
      </c>
      <c r="B359" s="615" t="s">
        <v>150</v>
      </c>
      <c r="C359" s="615"/>
      <c r="D359" s="615"/>
      <c r="E359" s="615"/>
      <c r="F359" s="615"/>
      <c r="G359" s="615"/>
      <c r="H359" s="615"/>
      <c r="I359" s="614"/>
      <c r="J359" s="304" t="s">
        <v>491</v>
      </c>
      <c r="K359" s="230"/>
      <c r="L359" s="294"/>
      <c r="M359" s="609" t="s">
        <v>49</v>
      </c>
      <c r="N359" s="609"/>
      <c r="O359" s="309">
        <v>558720000</v>
      </c>
      <c r="P359" s="231">
        <f>O359</f>
        <v>558720000</v>
      </c>
      <c r="Q359" s="231">
        <f>SUM(Q360:Q371)</f>
        <v>412540000</v>
      </c>
      <c r="R359" s="233">
        <f>Q359/Q$243*100</f>
        <v>3.4586298628576171</v>
      </c>
      <c r="S359" s="233">
        <v>100</v>
      </c>
      <c r="T359" s="231">
        <f t="shared" si="101"/>
        <v>0</v>
      </c>
      <c r="U359" s="231">
        <f t="shared" si="94"/>
        <v>0</v>
      </c>
      <c r="V359" s="296">
        <f t="shared" si="92"/>
        <v>100</v>
      </c>
      <c r="W359" s="231"/>
      <c r="X359" s="231" t="e">
        <f>#REF!</f>
        <v>#REF!</v>
      </c>
      <c r="Y359" s="231" t="e">
        <f>#REF!</f>
        <v>#REF!</v>
      </c>
      <c r="Z359" s="231" t="e">
        <f>#REF!</f>
        <v>#REF!</v>
      </c>
      <c r="AA359" s="231" t="e">
        <f>#REF!</f>
        <v>#REF!</v>
      </c>
      <c r="AB359" s="231">
        <v>192786500</v>
      </c>
      <c r="AC359" s="231" t="e">
        <f>#REF!</f>
        <v>#REF!</v>
      </c>
      <c r="AD359" s="231" t="e">
        <f>#REF!</f>
        <v>#REF!</v>
      </c>
      <c r="AE359" s="231" t="e">
        <f>#REF!</f>
        <v>#REF!</v>
      </c>
      <c r="AF359" s="231" t="e">
        <f>[1]April!N66</f>
        <v>#REF!</v>
      </c>
      <c r="AG359" s="231" t="e">
        <f>[2]april!N66</f>
        <v>#REF!</v>
      </c>
      <c r="AH359" s="231">
        <f>'[3]DES SKPD'!$N66</f>
        <v>558385000</v>
      </c>
      <c r="AI359" s="231">
        <f>SUM(AI360:AI371)</f>
        <v>0</v>
      </c>
      <c r="AJ359" s="233">
        <f t="shared" si="102"/>
        <v>0</v>
      </c>
      <c r="AK359" s="234">
        <f t="shared" si="105"/>
        <v>412540000</v>
      </c>
      <c r="AL359" s="233">
        <f t="shared" si="103"/>
        <v>100</v>
      </c>
      <c r="AM359" s="227"/>
    </row>
    <row r="360" spans="1:39" ht="29.25" customHeight="1" x14ac:dyDescent="0.25">
      <c r="A360" s="243"/>
      <c r="B360" s="341"/>
      <c r="C360" s="341"/>
      <c r="D360" s="341"/>
      <c r="E360" s="341"/>
      <c r="F360" s="341"/>
      <c r="G360" s="341"/>
      <c r="H360" s="341"/>
      <c r="I360" s="342"/>
      <c r="J360" s="341" t="s">
        <v>259</v>
      </c>
      <c r="K360" s="245"/>
      <c r="L360" s="257"/>
      <c r="M360" s="591" t="s">
        <v>260</v>
      </c>
      <c r="N360" s="592"/>
      <c r="O360" s="179"/>
      <c r="P360" s="180"/>
      <c r="Q360" s="180">
        <v>3080000</v>
      </c>
      <c r="R360" s="181">
        <f t="shared" ref="R360:R371" si="106">Q360/Q$359*100</f>
        <v>0.74659426964657971</v>
      </c>
      <c r="S360" s="181">
        <v>100</v>
      </c>
      <c r="T360" s="180">
        <f t="shared" si="101"/>
        <v>0</v>
      </c>
      <c r="U360" s="180">
        <f t="shared" si="94"/>
        <v>0</v>
      </c>
      <c r="V360" s="182">
        <f t="shared" si="92"/>
        <v>100</v>
      </c>
      <c r="W360" s="180"/>
      <c r="X360" s="180"/>
      <c r="Y360" s="180"/>
      <c r="Z360" s="180"/>
      <c r="AA360" s="180"/>
      <c r="AB360" s="180"/>
      <c r="AC360" s="180"/>
      <c r="AD360" s="180"/>
      <c r="AE360" s="180"/>
      <c r="AF360" s="180"/>
      <c r="AG360" s="180"/>
      <c r="AH360" s="180"/>
      <c r="AI360" s="180">
        <v>0</v>
      </c>
      <c r="AJ360" s="181">
        <f t="shared" si="102"/>
        <v>0</v>
      </c>
      <c r="AK360" s="246">
        <f t="shared" si="105"/>
        <v>3080000</v>
      </c>
      <c r="AL360" s="181">
        <f t="shared" si="103"/>
        <v>100</v>
      </c>
      <c r="AM360" s="243"/>
    </row>
    <row r="361" spans="1:39" ht="29.25" customHeight="1" x14ac:dyDescent="0.25">
      <c r="A361" s="243"/>
      <c r="B361" s="341"/>
      <c r="C361" s="341"/>
      <c r="D361" s="341"/>
      <c r="E361" s="341"/>
      <c r="F361" s="341"/>
      <c r="G361" s="341"/>
      <c r="H361" s="341"/>
      <c r="I361" s="342"/>
      <c r="J361" s="341" t="s">
        <v>347</v>
      </c>
      <c r="K361" s="245"/>
      <c r="L361" s="257"/>
      <c r="M361" s="591" t="s">
        <v>348</v>
      </c>
      <c r="N361" s="592"/>
      <c r="O361" s="179"/>
      <c r="P361" s="180"/>
      <c r="Q361" s="180">
        <v>57400000</v>
      </c>
      <c r="R361" s="181">
        <f t="shared" si="106"/>
        <v>13.913802297958986</v>
      </c>
      <c r="S361" s="181">
        <v>100</v>
      </c>
      <c r="T361" s="180">
        <f t="shared" si="101"/>
        <v>0</v>
      </c>
      <c r="U361" s="180">
        <f t="shared" ref="U361:U424" si="107">R361*T361/100</f>
        <v>0</v>
      </c>
      <c r="V361" s="182">
        <f t="shared" si="92"/>
        <v>100</v>
      </c>
      <c r="W361" s="180"/>
      <c r="X361" s="180"/>
      <c r="Y361" s="180"/>
      <c r="Z361" s="180"/>
      <c r="AA361" s="180"/>
      <c r="AB361" s="180"/>
      <c r="AC361" s="180"/>
      <c r="AD361" s="180"/>
      <c r="AE361" s="180"/>
      <c r="AF361" s="180"/>
      <c r="AG361" s="180"/>
      <c r="AH361" s="180"/>
      <c r="AI361" s="180">
        <v>0</v>
      </c>
      <c r="AJ361" s="181">
        <f t="shared" si="102"/>
        <v>0</v>
      </c>
      <c r="AK361" s="246">
        <f t="shared" si="105"/>
        <v>57400000</v>
      </c>
      <c r="AL361" s="181">
        <f t="shared" si="103"/>
        <v>100</v>
      </c>
      <c r="AM361" s="243"/>
    </row>
    <row r="362" spans="1:39" ht="29.25" customHeight="1" x14ac:dyDescent="0.25">
      <c r="A362" s="243"/>
      <c r="B362" s="341"/>
      <c r="C362" s="341"/>
      <c r="D362" s="341"/>
      <c r="E362" s="341"/>
      <c r="F362" s="341"/>
      <c r="G362" s="341"/>
      <c r="H362" s="341"/>
      <c r="I362" s="342"/>
      <c r="J362" s="341" t="s">
        <v>323</v>
      </c>
      <c r="K362" s="245"/>
      <c r="L362" s="257"/>
      <c r="M362" s="591" t="s">
        <v>324</v>
      </c>
      <c r="N362" s="592"/>
      <c r="O362" s="179"/>
      <c r="P362" s="180"/>
      <c r="Q362" s="180">
        <v>24084000</v>
      </c>
      <c r="R362" s="181">
        <f t="shared" si="106"/>
        <v>5.8379793474572166</v>
      </c>
      <c r="S362" s="181">
        <v>100</v>
      </c>
      <c r="T362" s="180">
        <f t="shared" si="101"/>
        <v>0</v>
      </c>
      <c r="U362" s="180">
        <f t="shared" si="107"/>
        <v>0</v>
      </c>
      <c r="V362" s="182">
        <f t="shared" si="92"/>
        <v>100</v>
      </c>
      <c r="W362" s="180"/>
      <c r="X362" s="180"/>
      <c r="Y362" s="180"/>
      <c r="Z362" s="180"/>
      <c r="AA362" s="180"/>
      <c r="AB362" s="180"/>
      <c r="AC362" s="180"/>
      <c r="AD362" s="180"/>
      <c r="AE362" s="180"/>
      <c r="AF362" s="180"/>
      <c r="AG362" s="180"/>
      <c r="AH362" s="180"/>
      <c r="AI362" s="180">
        <v>0</v>
      </c>
      <c r="AJ362" s="181">
        <f t="shared" si="102"/>
        <v>0</v>
      </c>
      <c r="AK362" s="246">
        <f t="shared" si="105"/>
        <v>24084000</v>
      </c>
      <c r="AL362" s="181">
        <f t="shared" si="103"/>
        <v>100</v>
      </c>
      <c r="AM362" s="243"/>
    </row>
    <row r="363" spans="1:39" ht="29.25" customHeight="1" x14ac:dyDescent="0.25">
      <c r="A363" s="243"/>
      <c r="B363" s="341"/>
      <c r="C363" s="341"/>
      <c r="D363" s="341"/>
      <c r="E363" s="341"/>
      <c r="F363" s="341"/>
      <c r="G363" s="341"/>
      <c r="H363" s="341"/>
      <c r="I363" s="342"/>
      <c r="J363" s="341" t="s">
        <v>269</v>
      </c>
      <c r="K363" s="245"/>
      <c r="L363" s="257"/>
      <c r="M363" s="591" t="s">
        <v>270</v>
      </c>
      <c r="N363" s="592"/>
      <c r="O363" s="179"/>
      <c r="P363" s="180"/>
      <c r="Q363" s="180">
        <v>1500000</v>
      </c>
      <c r="R363" s="181">
        <f t="shared" si="106"/>
        <v>0.36360110534736023</v>
      </c>
      <c r="S363" s="181">
        <v>100</v>
      </c>
      <c r="T363" s="180">
        <f t="shared" si="101"/>
        <v>0</v>
      </c>
      <c r="U363" s="180">
        <f t="shared" si="107"/>
        <v>0</v>
      </c>
      <c r="V363" s="182">
        <f t="shared" si="92"/>
        <v>100</v>
      </c>
      <c r="W363" s="180"/>
      <c r="X363" s="180"/>
      <c r="Y363" s="180"/>
      <c r="Z363" s="180"/>
      <c r="AA363" s="180"/>
      <c r="AB363" s="180"/>
      <c r="AC363" s="180"/>
      <c r="AD363" s="180"/>
      <c r="AE363" s="180"/>
      <c r="AF363" s="180"/>
      <c r="AG363" s="180"/>
      <c r="AH363" s="180"/>
      <c r="AI363" s="180">
        <v>0</v>
      </c>
      <c r="AJ363" s="181">
        <f t="shared" si="102"/>
        <v>0</v>
      </c>
      <c r="AK363" s="246">
        <f t="shared" si="105"/>
        <v>1500000</v>
      </c>
      <c r="AL363" s="181">
        <f t="shared" si="103"/>
        <v>100</v>
      </c>
      <c r="AM363" s="243"/>
    </row>
    <row r="364" spans="1:39" ht="29.25" customHeight="1" x14ac:dyDescent="0.25">
      <c r="A364" s="243"/>
      <c r="B364" s="341"/>
      <c r="C364" s="341"/>
      <c r="D364" s="341"/>
      <c r="E364" s="341"/>
      <c r="F364" s="341"/>
      <c r="G364" s="341"/>
      <c r="H364" s="341"/>
      <c r="I364" s="342"/>
      <c r="J364" s="341" t="s">
        <v>315</v>
      </c>
      <c r="K364" s="245"/>
      <c r="L364" s="257"/>
      <c r="M364" s="591" t="s">
        <v>271</v>
      </c>
      <c r="N364" s="592"/>
      <c r="O364" s="179"/>
      <c r="P364" s="180"/>
      <c r="Q364" s="180">
        <v>3116000</v>
      </c>
      <c r="R364" s="181">
        <f t="shared" si="106"/>
        <v>0.75532069617491637</v>
      </c>
      <c r="S364" s="181">
        <v>100</v>
      </c>
      <c r="T364" s="180">
        <f t="shared" si="101"/>
        <v>0</v>
      </c>
      <c r="U364" s="180">
        <f t="shared" si="107"/>
        <v>0</v>
      </c>
      <c r="V364" s="182">
        <f t="shared" si="92"/>
        <v>100</v>
      </c>
      <c r="W364" s="180"/>
      <c r="X364" s="180"/>
      <c r="Y364" s="180"/>
      <c r="Z364" s="180"/>
      <c r="AA364" s="180"/>
      <c r="AB364" s="180"/>
      <c r="AC364" s="180"/>
      <c r="AD364" s="180"/>
      <c r="AE364" s="180"/>
      <c r="AF364" s="180"/>
      <c r="AG364" s="180"/>
      <c r="AH364" s="180"/>
      <c r="AI364" s="180">
        <v>0</v>
      </c>
      <c r="AJ364" s="181">
        <f t="shared" si="102"/>
        <v>0</v>
      </c>
      <c r="AK364" s="246">
        <f t="shared" si="105"/>
        <v>3116000</v>
      </c>
      <c r="AL364" s="181">
        <f t="shared" si="103"/>
        <v>100</v>
      </c>
      <c r="AM364" s="243"/>
    </row>
    <row r="365" spans="1:39" ht="29.25" customHeight="1" x14ac:dyDescent="0.25">
      <c r="A365" s="243"/>
      <c r="B365" s="341"/>
      <c r="C365" s="341"/>
      <c r="D365" s="341"/>
      <c r="E365" s="341"/>
      <c r="F365" s="341"/>
      <c r="G365" s="341"/>
      <c r="H365" s="341"/>
      <c r="I365" s="342"/>
      <c r="J365" s="341" t="s">
        <v>316</v>
      </c>
      <c r="K365" s="245"/>
      <c r="L365" s="257"/>
      <c r="M365" s="591" t="s">
        <v>317</v>
      </c>
      <c r="N365" s="592"/>
      <c r="O365" s="179"/>
      <c r="P365" s="180"/>
      <c r="Q365" s="180">
        <v>2000000</v>
      </c>
      <c r="R365" s="181">
        <f t="shared" si="106"/>
        <v>0.48480147379648031</v>
      </c>
      <c r="S365" s="181">
        <v>100</v>
      </c>
      <c r="T365" s="180">
        <f t="shared" si="101"/>
        <v>0</v>
      </c>
      <c r="U365" s="180">
        <f t="shared" si="107"/>
        <v>0</v>
      </c>
      <c r="V365" s="182">
        <f t="shared" si="92"/>
        <v>100</v>
      </c>
      <c r="W365" s="180"/>
      <c r="X365" s="180"/>
      <c r="Y365" s="180"/>
      <c r="Z365" s="180"/>
      <c r="AA365" s="180"/>
      <c r="AB365" s="180"/>
      <c r="AC365" s="180"/>
      <c r="AD365" s="180"/>
      <c r="AE365" s="180"/>
      <c r="AF365" s="180"/>
      <c r="AG365" s="180"/>
      <c r="AH365" s="180"/>
      <c r="AI365" s="180">
        <v>0</v>
      </c>
      <c r="AJ365" s="181">
        <f t="shared" si="102"/>
        <v>0</v>
      </c>
      <c r="AK365" s="246">
        <f t="shared" si="105"/>
        <v>2000000</v>
      </c>
      <c r="AL365" s="181">
        <f t="shared" si="103"/>
        <v>100</v>
      </c>
      <c r="AM365" s="243"/>
    </row>
    <row r="366" spans="1:39" ht="29.25" customHeight="1" x14ac:dyDescent="0.25">
      <c r="A366" s="243"/>
      <c r="B366" s="341"/>
      <c r="C366" s="341"/>
      <c r="D366" s="341"/>
      <c r="E366" s="341"/>
      <c r="F366" s="341"/>
      <c r="G366" s="341"/>
      <c r="H366" s="341"/>
      <c r="I366" s="342"/>
      <c r="J366" s="341" t="s">
        <v>318</v>
      </c>
      <c r="K366" s="245"/>
      <c r="L366" s="257"/>
      <c r="M366" s="591" t="s">
        <v>319</v>
      </c>
      <c r="N366" s="592"/>
      <c r="O366" s="179"/>
      <c r="P366" s="180"/>
      <c r="Q366" s="180">
        <v>105200000</v>
      </c>
      <c r="R366" s="181">
        <f t="shared" si="106"/>
        <v>25.500557521694866</v>
      </c>
      <c r="S366" s="181">
        <v>100</v>
      </c>
      <c r="T366" s="180">
        <f t="shared" si="101"/>
        <v>0</v>
      </c>
      <c r="U366" s="180">
        <f t="shared" si="107"/>
        <v>0</v>
      </c>
      <c r="V366" s="182">
        <f t="shared" si="92"/>
        <v>100</v>
      </c>
      <c r="W366" s="180"/>
      <c r="X366" s="180"/>
      <c r="Y366" s="180"/>
      <c r="Z366" s="180"/>
      <c r="AA366" s="180"/>
      <c r="AB366" s="180"/>
      <c r="AC366" s="180"/>
      <c r="AD366" s="180"/>
      <c r="AE366" s="180"/>
      <c r="AF366" s="180"/>
      <c r="AG366" s="180"/>
      <c r="AH366" s="180"/>
      <c r="AI366" s="180">
        <v>0</v>
      </c>
      <c r="AJ366" s="181">
        <f t="shared" si="102"/>
        <v>0</v>
      </c>
      <c r="AK366" s="246">
        <f t="shared" si="105"/>
        <v>105200000</v>
      </c>
      <c r="AL366" s="181">
        <f t="shared" si="103"/>
        <v>100</v>
      </c>
      <c r="AM366" s="243"/>
    </row>
    <row r="367" spans="1:39" ht="29.25" customHeight="1" x14ac:dyDescent="0.25">
      <c r="A367" s="243"/>
      <c r="B367" s="341"/>
      <c r="C367" s="341"/>
      <c r="D367" s="341"/>
      <c r="E367" s="341"/>
      <c r="F367" s="341"/>
      <c r="G367" s="341"/>
      <c r="H367" s="341"/>
      <c r="I367" s="342"/>
      <c r="J367" s="341" t="s">
        <v>284</v>
      </c>
      <c r="K367" s="245"/>
      <c r="L367" s="257"/>
      <c r="M367" s="591" t="s">
        <v>285</v>
      </c>
      <c r="N367" s="592"/>
      <c r="O367" s="179"/>
      <c r="P367" s="180"/>
      <c r="Q367" s="180">
        <v>14740000</v>
      </c>
      <c r="R367" s="181">
        <f t="shared" si="106"/>
        <v>3.57298686188006</v>
      </c>
      <c r="S367" s="181">
        <v>100</v>
      </c>
      <c r="T367" s="180">
        <f t="shared" si="101"/>
        <v>0</v>
      </c>
      <c r="U367" s="180">
        <f t="shared" si="107"/>
        <v>0</v>
      </c>
      <c r="V367" s="182">
        <f t="shared" si="92"/>
        <v>100</v>
      </c>
      <c r="W367" s="180"/>
      <c r="X367" s="180"/>
      <c r="Y367" s="180"/>
      <c r="Z367" s="180"/>
      <c r="AA367" s="180"/>
      <c r="AB367" s="180"/>
      <c r="AC367" s="180"/>
      <c r="AD367" s="180"/>
      <c r="AE367" s="180"/>
      <c r="AF367" s="180"/>
      <c r="AG367" s="180"/>
      <c r="AH367" s="180"/>
      <c r="AI367" s="180">
        <v>0</v>
      </c>
      <c r="AJ367" s="181">
        <f t="shared" si="102"/>
        <v>0</v>
      </c>
      <c r="AK367" s="246">
        <f t="shared" si="105"/>
        <v>14740000</v>
      </c>
      <c r="AL367" s="181">
        <f t="shared" si="103"/>
        <v>100</v>
      </c>
      <c r="AM367" s="243"/>
    </row>
    <row r="368" spans="1:39" ht="29.25" customHeight="1" x14ac:dyDescent="0.25">
      <c r="A368" s="243"/>
      <c r="B368" s="341"/>
      <c r="C368" s="341"/>
      <c r="D368" s="341"/>
      <c r="E368" s="341"/>
      <c r="F368" s="341"/>
      <c r="G368" s="341"/>
      <c r="H368" s="341"/>
      <c r="I368" s="342"/>
      <c r="J368" s="341" t="s">
        <v>282</v>
      </c>
      <c r="K368" s="245"/>
      <c r="L368" s="257"/>
      <c r="M368" s="591" t="s">
        <v>283</v>
      </c>
      <c r="N368" s="592"/>
      <c r="O368" s="179"/>
      <c r="P368" s="180"/>
      <c r="Q368" s="180">
        <v>88420000</v>
      </c>
      <c r="R368" s="181">
        <f t="shared" si="106"/>
        <v>21.433073156542395</v>
      </c>
      <c r="S368" s="181">
        <v>100</v>
      </c>
      <c r="T368" s="180">
        <f t="shared" si="101"/>
        <v>0</v>
      </c>
      <c r="U368" s="180">
        <f t="shared" si="107"/>
        <v>0</v>
      </c>
      <c r="V368" s="182">
        <f t="shared" si="92"/>
        <v>100</v>
      </c>
      <c r="W368" s="180"/>
      <c r="X368" s="180"/>
      <c r="Y368" s="180"/>
      <c r="Z368" s="180"/>
      <c r="AA368" s="180"/>
      <c r="AB368" s="180"/>
      <c r="AC368" s="180"/>
      <c r="AD368" s="180"/>
      <c r="AE368" s="180"/>
      <c r="AF368" s="180"/>
      <c r="AG368" s="180"/>
      <c r="AH368" s="180"/>
      <c r="AI368" s="180">
        <v>0</v>
      </c>
      <c r="AJ368" s="181">
        <f t="shared" si="102"/>
        <v>0</v>
      </c>
      <c r="AK368" s="246">
        <f t="shared" si="105"/>
        <v>88420000</v>
      </c>
      <c r="AL368" s="181">
        <f t="shared" si="103"/>
        <v>100</v>
      </c>
      <c r="AM368" s="243"/>
    </row>
    <row r="369" spans="1:39" ht="29.25" customHeight="1" x14ac:dyDescent="0.25">
      <c r="A369" s="243"/>
      <c r="B369" s="341"/>
      <c r="C369" s="341"/>
      <c r="D369" s="341"/>
      <c r="E369" s="341"/>
      <c r="F369" s="341"/>
      <c r="G369" s="341"/>
      <c r="H369" s="341"/>
      <c r="I369" s="342"/>
      <c r="J369" s="341" t="s">
        <v>320</v>
      </c>
      <c r="K369" s="245"/>
      <c r="L369" s="257"/>
      <c r="M369" s="591" t="s">
        <v>321</v>
      </c>
      <c r="N369" s="592"/>
      <c r="O369" s="179"/>
      <c r="P369" s="180"/>
      <c r="Q369" s="180">
        <v>65600000</v>
      </c>
      <c r="R369" s="181">
        <f t="shared" si="106"/>
        <v>15.901488340524555</v>
      </c>
      <c r="S369" s="181">
        <v>100</v>
      </c>
      <c r="T369" s="180">
        <f t="shared" si="101"/>
        <v>0</v>
      </c>
      <c r="U369" s="180">
        <f t="shared" si="107"/>
        <v>0</v>
      </c>
      <c r="V369" s="182">
        <f t="shared" si="92"/>
        <v>100</v>
      </c>
      <c r="W369" s="180"/>
      <c r="X369" s="180"/>
      <c r="Y369" s="180"/>
      <c r="Z369" s="180"/>
      <c r="AA369" s="180"/>
      <c r="AB369" s="180"/>
      <c r="AC369" s="180"/>
      <c r="AD369" s="180"/>
      <c r="AE369" s="180"/>
      <c r="AF369" s="180"/>
      <c r="AG369" s="180"/>
      <c r="AH369" s="180"/>
      <c r="AI369" s="180">
        <v>0</v>
      </c>
      <c r="AJ369" s="181">
        <f t="shared" si="102"/>
        <v>0</v>
      </c>
      <c r="AK369" s="246">
        <f t="shared" si="105"/>
        <v>65600000</v>
      </c>
      <c r="AL369" s="181">
        <f t="shared" si="103"/>
        <v>100</v>
      </c>
      <c r="AM369" s="243"/>
    </row>
    <row r="370" spans="1:39" ht="29.25" customHeight="1" x14ac:dyDescent="0.25">
      <c r="A370" s="243"/>
      <c r="B370" s="341"/>
      <c r="C370" s="341"/>
      <c r="D370" s="341"/>
      <c r="E370" s="341"/>
      <c r="F370" s="341"/>
      <c r="G370" s="341"/>
      <c r="H370" s="341"/>
      <c r="I370" s="342"/>
      <c r="J370" s="341" t="s">
        <v>320</v>
      </c>
      <c r="K370" s="245"/>
      <c r="L370" s="257"/>
      <c r="M370" s="591" t="s">
        <v>414</v>
      </c>
      <c r="N370" s="592"/>
      <c r="O370" s="179"/>
      <c r="P370" s="180"/>
      <c r="Q370" s="180">
        <v>18600000</v>
      </c>
      <c r="R370" s="181">
        <f t="shared" si="106"/>
        <v>4.5086537063072676</v>
      </c>
      <c r="S370" s="181">
        <v>100</v>
      </c>
      <c r="T370" s="180">
        <f t="shared" si="101"/>
        <v>0</v>
      </c>
      <c r="U370" s="180">
        <f t="shared" si="107"/>
        <v>0</v>
      </c>
      <c r="V370" s="182">
        <f t="shared" si="92"/>
        <v>100</v>
      </c>
      <c r="W370" s="180"/>
      <c r="X370" s="180"/>
      <c r="Y370" s="180"/>
      <c r="Z370" s="180"/>
      <c r="AA370" s="180"/>
      <c r="AB370" s="180"/>
      <c r="AC370" s="180"/>
      <c r="AD370" s="180"/>
      <c r="AE370" s="180"/>
      <c r="AF370" s="180"/>
      <c r="AG370" s="180"/>
      <c r="AH370" s="180"/>
      <c r="AI370" s="180">
        <v>0</v>
      </c>
      <c r="AJ370" s="181">
        <f t="shared" si="102"/>
        <v>0</v>
      </c>
      <c r="AK370" s="246">
        <f t="shared" si="105"/>
        <v>18600000</v>
      </c>
      <c r="AL370" s="181">
        <f t="shared" si="103"/>
        <v>100</v>
      </c>
      <c r="AM370" s="243"/>
    </row>
    <row r="371" spans="1:39" ht="29.25" customHeight="1" x14ac:dyDescent="0.25">
      <c r="A371" s="243"/>
      <c r="B371" s="341"/>
      <c r="C371" s="341"/>
      <c r="D371" s="341"/>
      <c r="E371" s="341"/>
      <c r="F371" s="341"/>
      <c r="G371" s="341"/>
      <c r="H371" s="341"/>
      <c r="I371" s="342"/>
      <c r="J371" s="341" t="s">
        <v>350</v>
      </c>
      <c r="K371" s="245"/>
      <c r="L371" s="257"/>
      <c r="M371" s="591" t="s">
        <v>550</v>
      </c>
      <c r="N371" s="592"/>
      <c r="O371" s="179"/>
      <c r="P371" s="180"/>
      <c r="Q371" s="180">
        <v>28800000</v>
      </c>
      <c r="R371" s="181">
        <f t="shared" si="106"/>
        <v>6.9811412226693168</v>
      </c>
      <c r="S371" s="181">
        <v>100</v>
      </c>
      <c r="T371" s="180">
        <f t="shared" si="101"/>
        <v>0</v>
      </c>
      <c r="U371" s="180">
        <f t="shared" si="107"/>
        <v>0</v>
      </c>
      <c r="V371" s="182">
        <f t="shared" si="92"/>
        <v>100</v>
      </c>
      <c r="W371" s="180"/>
      <c r="X371" s="180"/>
      <c r="Y371" s="180"/>
      <c r="Z371" s="180"/>
      <c r="AA371" s="180"/>
      <c r="AB371" s="180"/>
      <c r="AC371" s="180"/>
      <c r="AD371" s="180"/>
      <c r="AE371" s="180"/>
      <c r="AF371" s="180"/>
      <c r="AG371" s="180"/>
      <c r="AH371" s="180"/>
      <c r="AI371" s="180">
        <v>0</v>
      </c>
      <c r="AJ371" s="181">
        <f t="shared" si="102"/>
        <v>0</v>
      </c>
      <c r="AK371" s="246">
        <f t="shared" si="105"/>
        <v>28800000</v>
      </c>
      <c r="AL371" s="181">
        <f t="shared" si="103"/>
        <v>100</v>
      </c>
      <c r="AM371" s="243"/>
    </row>
    <row r="372" spans="1:39" s="297" customFormat="1" ht="24.75" customHeight="1" x14ac:dyDescent="0.25">
      <c r="A372" s="227">
        <f>SUM(A359+1)</f>
        <v>49</v>
      </c>
      <c r="B372" s="615" t="s">
        <v>147</v>
      </c>
      <c r="C372" s="615"/>
      <c r="D372" s="615"/>
      <c r="E372" s="615"/>
      <c r="F372" s="615"/>
      <c r="G372" s="615"/>
      <c r="H372" s="615"/>
      <c r="I372" s="614"/>
      <c r="J372" s="304" t="s">
        <v>495</v>
      </c>
      <c r="K372" s="230"/>
      <c r="L372" s="294"/>
      <c r="M372" s="610" t="s">
        <v>50</v>
      </c>
      <c r="N372" s="610"/>
      <c r="O372" s="309">
        <v>509540000</v>
      </c>
      <c r="P372" s="231">
        <f>O372</f>
        <v>509540000</v>
      </c>
      <c r="Q372" s="231">
        <f>SUM(Q373:Q381)</f>
        <v>351260000</v>
      </c>
      <c r="R372" s="233">
        <f>Q372/Q$243*100</f>
        <v>2.9448740137377385</v>
      </c>
      <c r="S372" s="233">
        <v>100</v>
      </c>
      <c r="T372" s="231">
        <f t="shared" si="101"/>
        <v>0</v>
      </c>
      <c r="U372" s="231">
        <f t="shared" si="107"/>
        <v>0</v>
      </c>
      <c r="V372" s="296">
        <f t="shared" si="92"/>
        <v>100</v>
      </c>
      <c r="W372" s="231"/>
      <c r="X372" s="231" t="e">
        <f>#REF!</f>
        <v>#REF!</v>
      </c>
      <c r="Y372" s="231" t="e">
        <f>#REF!</f>
        <v>#REF!</v>
      </c>
      <c r="Z372" s="231" t="e">
        <f>#REF!</f>
        <v>#REF!</v>
      </c>
      <c r="AA372" s="231" t="e">
        <f>#REF!</f>
        <v>#REF!</v>
      </c>
      <c r="AB372" s="231">
        <v>227840500</v>
      </c>
      <c r="AC372" s="231" t="e">
        <f>#REF!</f>
        <v>#REF!</v>
      </c>
      <c r="AD372" s="231" t="e">
        <f>#REF!</f>
        <v>#REF!</v>
      </c>
      <c r="AE372" s="231" t="e">
        <f>#REF!</f>
        <v>#REF!</v>
      </c>
      <c r="AF372" s="231" t="e">
        <f>[1]April!N68</f>
        <v>#REF!</v>
      </c>
      <c r="AG372" s="231" t="e">
        <f>[2]april!N68</f>
        <v>#REF!</v>
      </c>
      <c r="AH372" s="231">
        <f>'[3]DES SKPD'!$N68</f>
        <v>375022000</v>
      </c>
      <c r="AI372" s="231">
        <f>SUM(AI373:AI381)</f>
        <v>0</v>
      </c>
      <c r="AJ372" s="233">
        <f t="shared" si="102"/>
        <v>0</v>
      </c>
      <c r="AK372" s="234">
        <f t="shared" si="105"/>
        <v>351260000</v>
      </c>
      <c r="AL372" s="233">
        <f t="shared" si="103"/>
        <v>100</v>
      </c>
      <c r="AM372" s="227"/>
    </row>
    <row r="373" spans="1:39" ht="24.75" customHeight="1" x14ac:dyDescent="0.25">
      <c r="A373" s="243"/>
      <c r="B373" s="341"/>
      <c r="C373" s="341"/>
      <c r="D373" s="341"/>
      <c r="E373" s="341"/>
      <c r="F373" s="341"/>
      <c r="G373" s="341"/>
      <c r="H373" s="341"/>
      <c r="I373" s="342"/>
      <c r="J373" s="341" t="s">
        <v>259</v>
      </c>
      <c r="K373" s="245"/>
      <c r="L373" s="257"/>
      <c r="M373" s="591" t="s">
        <v>260</v>
      </c>
      <c r="N373" s="592"/>
      <c r="O373" s="179"/>
      <c r="P373" s="180"/>
      <c r="Q373" s="180">
        <v>4620000</v>
      </c>
      <c r="R373" s="181">
        <f t="shared" ref="R373:R381" si="108">Q373/Q$372*100</f>
        <v>1.3152650458349939</v>
      </c>
      <c r="S373" s="181">
        <v>100</v>
      </c>
      <c r="T373" s="180">
        <f t="shared" si="101"/>
        <v>0</v>
      </c>
      <c r="U373" s="180">
        <f t="shared" si="107"/>
        <v>0</v>
      </c>
      <c r="V373" s="182">
        <f t="shared" si="92"/>
        <v>100</v>
      </c>
      <c r="W373" s="180"/>
      <c r="X373" s="180"/>
      <c r="Y373" s="180"/>
      <c r="Z373" s="180"/>
      <c r="AA373" s="180"/>
      <c r="AB373" s="180"/>
      <c r="AC373" s="180"/>
      <c r="AD373" s="180"/>
      <c r="AE373" s="180"/>
      <c r="AF373" s="180"/>
      <c r="AG373" s="180"/>
      <c r="AH373" s="180"/>
      <c r="AI373" s="180">
        <v>0</v>
      </c>
      <c r="AJ373" s="181">
        <f t="shared" si="102"/>
        <v>0</v>
      </c>
      <c r="AK373" s="246">
        <f t="shared" si="105"/>
        <v>4620000</v>
      </c>
      <c r="AL373" s="181">
        <f t="shared" si="103"/>
        <v>100</v>
      </c>
      <c r="AM373" s="243"/>
    </row>
    <row r="374" spans="1:39" ht="24.75" customHeight="1" x14ac:dyDescent="0.25">
      <c r="A374" s="243"/>
      <c r="B374" s="341"/>
      <c r="C374" s="341"/>
      <c r="D374" s="341"/>
      <c r="E374" s="341"/>
      <c r="F374" s="341"/>
      <c r="G374" s="341"/>
      <c r="H374" s="341"/>
      <c r="I374" s="342"/>
      <c r="J374" s="341" t="s">
        <v>323</v>
      </c>
      <c r="K374" s="245"/>
      <c r="L374" s="257"/>
      <c r="M374" s="591" t="s">
        <v>609</v>
      </c>
      <c r="N374" s="592"/>
      <c r="O374" s="179"/>
      <c r="P374" s="180"/>
      <c r="Q374" s="180">
        <v>18900000</v>
      </c>
      <c r="R374" s="181">
        <f t="shared" si="108"/>
        <v>5.3806297329613395</v>
      </c>
      <c r="S374" s="181">
        <v>100</v>
      </c>
      <c r="T374" s="180">
        <f t="shared" si="101"/>
        <v>0</v>
      </c>
      <c r="U374" s="180">
        <f t="shared" si="107"/>
        <v>0</v>
      </c>
      <c r="V374" s="182">
        <f t="shared" si="92"/>
        <v>100</v>
      </c>
      <c r="W374" s="180"/>
      <c r="X374" s="180"/>
      <c r="Y374" s="180"/>
      <c r="Z374" s="180"/>
      <c r="AA374" s="180"/>
      <c r="AB374" s="180"/>
      <c r="AC374" s="180"/>
      <c r="AD374" s="180"/>
      <c r="AE374" s="180"/>
      <c r="AF374" s="180"/>
      <c r="AG374" s="180"/>
      <c r="AH374" s="180"/>
      <c r="AI374" s="180">
        <v>0</v>
      </c>
      <c r="AJ374" s="181">
        <f t="shared" si="102"/>
        <v>0</v>
      </c>
      <c r="AK374" s="246">
        <f t="shared" si="105"/>
        <v>18900000</v>
      </c>
      <c r="AL374" s="181">
        <f t="shared" si="103"/>
        <v>100</v>
      </c>
      <c r="AM374" s="243"/>
    </row>
    <row r="375" spans="1:39" ht="24.75" customHeight="1" x14ac:dyDescent="0.25">
      <c r="A375" s="243"/>
      <c r="B375" s="341"/>
      <c r="C375" s="341"/>
      <c r="D375" s="341"/>
      <c r="E375" s="341"/>
      <c r="F375" s="341"/>
      <c r="G375" s="341"/>
      <c r="H375" s="341"/>
      <c r="I375" s="342"/>
      <c r="J375" s="341" t="s">
        <v>269</v>
      </c>
      <c r="K375" s="245"/>
      <c r="L375" s="257"/>
      <c r="M375" s="591" t="s">
        <v>352</v>
      </c>
      <c r="N375" s="592"/>
      <c r="O375" s="179"/>
      <c r="P375" s="180"/>
      <c r="Q375" s="180">
        <v>7500000</v>
      </c>
      <c r="R375" s="181">
        <f t="shared" si="108"/>
        <v>2.1351705289529126</v>
      </c>
      <c r="S375" s="181">
        <v>100</v>
      </c>
      <c r="T375" s="180">
        <f t="shared" si="101"/>
        <v>0</v>
      </c>
      <c r="U375" s="180">
        <f t="shared" si="107"/>
        <v>0</v>
      </c>
      <c r="V375" s="182">
        <f t="shared" si="92"/>
        <v>100</v>
      </c>
      <c r="W375" s="180"/>
      <c r="X375" s="180"/>
      <c r="Y375" s="180"/>
      <c r="Z375" s="180"/>
      <c r="AA375" s="180"/>
      <c r="AB375" s="180"/>
      <c r="AC375" s="180"/>
      <c r="AD375" s="180"/>
      <c r="AE375" s="180"/>
      <c r="AF375" s="180"/>
      <c r="AG375" s="180"/>
      <c r="AH375" s="180"/>
      <c r="AI375" s="180">
        <v>0</v>
      </c>
      <c r="AJ375" s="181">
        <f t="shared" si="102"/>
        <v>0</v>
      </c>
      <c r="AK375" s="246">
        <f t="shared" si="105"/>
        <v>7500000</v>
      </c>
      <c r="AL375" s="181">
        <f t="shared" si="103"/>
        <v>100</v>
      </c>
      <c r="AM375" s="243"/>
    </row>
    <row r="376" spans="1:39" ht="24.75" customHeight="1" x14ac:dyDescent="0.25">
      <c r="A376" s="243"/>
      <c r="B376" s="341"/>
      <c r="C376" s="341"/>
      <c r="D376" s="341"/>
      <c r="E376" s="341"/>
      <c r="F376" s="341"/>
      <c r="G376" s="341"/>
      <c r="H376" s="341"/>
      <c r="I376" s="342"/>
      <c r="J376" s="341" t="s">
        <v>315</v>
      </c>
      <c r="K376" s="245"/>
      <c r="L376" s="257"/>
      <c r="M376" s="591" t="s">
        <v>271</v>
      </c>
      <c r="N376" s="592"/>
      <c r="O376" s="179"/>
      <c r="P376" s="180"/>
      <c r="Q376" s="180">
        <v>7560000</v>
      </c>
      <c r="R376" s="181">
        <f t="shared" si="108"/>
        <v>2.1522518931845354</v>
      </c>
      <c r="S376" s="181">
        <v>100</v>
      </c>
      <c r="T376" s="180">
        <f t="shared" si="101"/>
        <v>0</v>
      </c>
      <c r="U376" s="180">
        <f t="shared" si="107"/>
        <v>0</v>
      </c>
      <c r="V376" s="182">
        <f t="shared" si="92"/>
        <v>100</v>
      </c>
      <c r="W376" s="180"/>
      <c r="X376" s="180"/>
      <c r="Y376" s="180"/>
      <c r="Z376" s="180"/>
      <c r="AA376" s="180"/>
      <c r="AB376" s="180"/>
      <c r="AC376" s="180"/>
      <c r="AD376" s="180"/>
      <c r="AE376" s="180"/>
      <c r="AF376" s="180"/>
      <c r="AG376" s="180"/>
      <c r="AH376" s="180"/>
      <c r="AI376" s="180">
        <v>0</v>
      </c>
      <c r="AJ376" s="181">
        <f t="shared" si="102"/>
        <v>0</v>
      </c>
      <c r="AK376" s="246">
        <f t="shared" si="105"/>
        <v>7560000</v>
      </c>
      <c r="AL376" s="181">
        <f t="shared" si="103"/>
        <v>100</v>
      </c>
      <c r="AM376" s="243"/>
    </row>
    <row r="377" spans="1:39" ht="24.75" customHeight="1" x14ac:dyDescent="0.25">
      <c r="A377" s="243"/>
      <c r="B377" s="341"/>
      <c r="C377" s="341"/>
      <c r="D377" s="341"/>
      <c r="E377" s="341"/>
      <c r="F377" s="341"/>
      <c r="G377" s="341"/>
      <c r="H377" s="341"/>
      <c r="I377" s="342"/>
      <c r="J377" s="341" t="s">
        <v>318</v>
      </c>
      <c r="K377" s="245"/>
      <c r="L377" s="257"/>
      <c r="M377" s="591" t="s">
        <v>319</v>
      </c>
      <c r="N377" s="592"/>
      <c r="O377" s="179"/>
      <c r="P377" s="180"/>
      <c r="Q377" s="180">
        <v>182850000</v>
      </c>
      <c r="R377" s="181">
        <f t="shared" si="108"/>
        <v>52.055457495872005</v>
      </c>
      <c r="S377" s="181">
        <v>100</v>
      </c>
      <c r="T377" s="180">
        <f t="shared" si="101"/>
        <v>0</v>
      </c>
      <c r="U377" s="180">
        <f t="shared" si="107"/>
        <v>0</v>
      </c>
      <c r="V377" s="182">
        <f t="shared" si="92"/>
        <v>100</v>
      </c>
      <c r="W377" s="180"/>
      <c r="X377" s="180"/>
      <c r="Y377" s="180"/>
      <c r="Z377" s="180"/>
      <c r="AA377" s="180"/>
      <c r="AB377" s="180"/>
      <c r="AC377" s="180"/>
      <c r="AD377" s="180"/>
      <c r="AE377" s="180"/>
      <c r="AF377" s="180"/>
      <c r="AG377" s="180"/>
      <c r="AH377" s="180"/>
      <c r="AI377" s="180">
        <v>0</v>
      </c>
      <c r="AJ377" s="181">
        <f t="shared" si="102"/>
        <v>0</v>
      </c>
      <c r="AK377" s="246">
        <f t="shared" si="105"/>
        <v>182850000</v>
      </c>
      <c r="AL377" s="181">
        <f t="shared" si="103"/>
        <v>100</v>
      </c>
      <c r="AM377" s="243"/>
    </row>
    <row r="378" spans="1:39" ht="24.75" customHeight="1" x14ac:dyDescent="0.25">
      <c r="A378" s="243"/>
      <c r="B378" s="341"/>
      <c r="C378" s="341"/>
      <c r="D378" s="341"/>
      <c r="E378" s="341"/>
      <c r="F378" s="341"/>
      <c r="G378" s="341"/>
      <c r="H378" s="341"/>
      <c r="I378" s="342"/>
      <c r="J378" s="341" t="s">
        <v>284</v>
      </c>
      <c r="K378" s="245"/>
      <c r="L378" s="257"/>
      <c r="M378" s="591" t="s">
        <v>285</v>
      </c>
      <c r="N378" s="592"/>
      <c r="O378" s="179"/>
      <c r="P378" s="180"/>
      <c r="Q378" s="180">
        <v>1320000</v>
      </c>
      <c r="R378" s="181">
        <f t="shared" si="108"/>
        <v>0.37579001309571258</v>
      </c>
      <c r="S378" s="181">
        <v>100</v>
      </c>
      <c r="T378" s="180">
        <f t="shared" si="101"/>
        <v>0</v>
      </c>
      <c r="U378" s="180">
        <f t="shared" si="107"/>
        <v>0</v>
      </c>
      <c r="V378" s="182">
        <f t="shared" si="92"/>
        <v>100</v>
      </c>
      <c r="W378" s="180"/>
      <c r="X378" s="180"/>
      <c r="Y378" s="180"/>
      <c r="Z378" s="180"/>
      <c r="AA378" s="180"/>
      <c r="AB378" s="180"/>
      <c r="AC378" s="180"/>
      <c r="AD378" s="180"/>
      <c r="AE378" s="180"/>
      <c r="AF378" s="180"/>
      <c r="AG378" s="180"/>
      <c r="AH378" s="180"/>
      <c r="AI378" s="180">
        <v>0</v>
      </c>
      <c r="AJ378" s="181">
        <f t="shared" si="102"/>
        <v>0</v>
      </c>
      <c r="AK378" s="246">
        <f t="shared" si="105"/>
        <v>1320000</v>
      </c>
      <c r="AL378" s="181">
        <f t="shared" si="103"/>
        <v>100</v>
      </c>
      <c r="AM378" s="243"/>
    </row>
    <row r="379" spans="1:39" ht="24.75" customHeight="1" x14ac:dyDescent="0.25">
      <c r="A379" s="243"/>
      <c r="B379" s="341"/>
      <c r="C379" s="341"/>
      <c r="D379" s="341"/>
      <c r="E379" s="341"/>
      <c r="F379" s="341"/>
      <c r="G379" s="341"/>
      <c r="H379" s="341"/>
      <c r="I379" s="342"/>
      <c r="J379" s="341" t="s">
        <v>282</v>
      </c>
      <c r="K379" s="245"/>
      <c r="L379" s="257"/>
      <c r="M379" s="591" t="s">
        <v>283</v>
      </c>
      <c r="N379" s="592"/>
      <c r="O379" s="179"/>
      <c r="P379" s="180"/>
      <c r="Q379" s="180">
        <v>108410000</v>
      </c>
      <c r="R379" s="181">
        <f t="shared" si="108"/>
        <v>30.863178272504697</v>
      </c>
      <c r="S379" s="181">
        <v>100</v>
      </c>
      <c r="T379" s="180">
        <f t="shared" si="101"/>
        <v>0</v>
      </c>
      <c r="U379" s="180">
        <f t="shared" si="107"/>
        <v>0</v>
      </c>
      <c r="V379" s="182">
        <f t="shared" si="92"/>
        <v>100</v>
      </c>
      <c r="W379" s="180"/>
      <c r="X379" s="180"/>
      <c r="Y379" s="180"/>
      <c r="Z379" s="180"/>
      <c r="AA379" s="180"/>
      <c r="AB379" s="180"/>
      <c r="AC379" s="180"/>
      <c r="AD379" s="180"/>
      <c r="AE379" s="180"/>
      <c r="AF379" s="180"/>
      <c r="AG379" s="180"/>
      <c r="AH379" s="180"/>
      <c r="AI379" s="180">
        <v>0</v>
      </c>
      <c r="AJ379" s="181">
        <f t="shared" si="102"/>
        <v>0</v>
      </c>
      <c r="AK379" s="246">
        <f t="shared" si="105"/>
        <v>108410000</v>
      </c>
      <c r="AL379" s="181">
        <f t="shared" si="103"/>
        <v>100</v>
      </c>
      <c r="AM379" s="243"/>
    </row>
    <row r="380" spans="1:39" ht="24.75" customHeight="1" x14ac:dyDescent="0.25">
      <c r="A380" s="243"/>
      <c r="B380" s="341"/>
      <c r="C380" s="341"/>
      <c r="D380" s="341"/>
      <c r="E380" s="341"/>
      <c r="F380" s="341"/>
      <c r="G380" s="341"/>
      <c r="H380" s="341"/>
      <c r="I380" s="342"/>
      <c r="J380" s="341" t="s">
        <v>320</v>
      </c>
      <c r="K380" s="245"/>
      <c r="L380" s="257"/>
      <c r="M380" s="591" t="s">
        <v>321</v>
      </c>
      <c r="N380" s="592"/>
      <c r="O380" s="179"/>
      <c r="P380" s="180"/>
      <c r="Q380" s="180">
        <v>16800000</v>
      </c>
      <c r="R380" s="181">
        <f t="shared" si="108"/>
        <v>4.7827819848545232</v>
      </c>
      <c r="S380" s="181">
        <v>100</v>
      </c>
      <c r="T380" s="180">
        <f t="shared" si="101"/>
        <v>0</v>
      </c>
      <c r="U380" s="180">
        <f t="shared" si="107"/>
        <v>0</v>
      </c>
      <c r="V380" s="182">
        <f t="shared" si="92"/>
        <v>100</v>
      </c>
      <c r="W380" s="180"/>
      <c r="X380" s="180"/>
      <c r="Y380" s="180"/>
      <c r="Z380" s="180"/>
      <c r="AA380" s="180"/>
      <c r="AB380" s="180"/>
      <c r="AC380" s="180"/>
      <c r="AD380" s="180"/>
      <c r="AE380" s="180"/>
      <c r="AF380" s="180"/>
      <c r="AG380" s="180"/>
      <c r="AH380" s="180"/>
      <c r="AI380" s="180">
        <v>0</v>
      </c>
      <c r="AJ380" s="181">
        <f t="shared" si="102"/>
        <v>0</v>
      </c>
      <c r="AK380" s="246">
        <f t="shared" si="105"/>
        <v>16800000</v>
      </c>
      <c r="AL380" s="181">
        <f t="shared" si="103"/>
        <v>100</v>
      </c>
      <c r="AM380" s="243"/>
    </row>
    <row r="381" spans="1:39" ht="24.75" customHeight="1" x14ac:dyDescent="0.25">
      <c r="A381" s="243"/>
      <c r="B381" s="341"/>
      <c r="C381" s="341"/>
      <c r="D381" s="341"/>
      <c r="E381" s="341"/>
      <c r="F381" s="341"/>
      <c r="G381" s="341"/>
      <c r="H381" s="341"/>
      <c r="I381" s="342"/>
      <c r="J381" s="341" t="s">
        <v>407</v>
      </c>
      <c r="K381" s="245"/>
      <c r="L381" s="257"/>
      <c r="M381" s="591" t="s">
        <v>414</v>
      </c>
      <c r="N381" s="592"/>
      <c r="O381" s="179"/>
      <c r="P381" s="180"/>
      <c r="Q381" s="180">
        <v>3300000</v>
      </c>
      <c r="R381" s="181">
        <f t="shared" si="108"/>
        <v>0.93947503273928146</v>
      </c>
      <c r="S381" s="181">
        <v>100</v>
      </c>
      <c r="T381" s="180">
        <f t="shared" si="101"/>
        <v>0</v>
      </c>
      <c r="U381" s="180">
        <f t="shared" si="107"/>
        <v>0</v>
      </c>
      <c r="V381" s="182">
        <f t="shared" si="92"/>
        <v>100</v>
      </c>
      <c r="W381" s="180"/>
      <c r="X381" s="180"/>
      <c r="Y381" s="180"/>
      <c r="Z381" s="180"/>
      <c r="AA381" s="180"/>
      <c r="AB381" s="180"/>
      <c r="AC381" s="180"/>
      <c r="AD381" s="180"/>
      <c r="AE381" s="180"/>
      <c r="AF381" s="180"/>
      <c r="AG381" s="180"/>
      <c r="AH381" s="180"/>
      <c r="AI381" s="180">
        <v>0</v>
      </c>
      <c r="AJ381" s="181">
        <f t="shared" si="102"/>
        <v>0</v>
      </c>
      <c r="AK381" s="246">
        <f t="shared" si="105"/>
        <v>3300000</v>
      </c>
      <c r="AL381" s="181">
        <f t="shared" si="103"/>
        <v>100</v>
      </c>
      <c r="AM381" s="243"/>
    </row>
    <row r="382" spans="1:39" s="297" customFormat="1" ht="30.75" customHeight="1" x14ac:dyDescent="0.25">
      <c r="A382" s="227">
        <f>A372+1</f>
        <v>50</v>
      </c>
      <c r="B382" s="615" t="s">
        <v>148</v>
      </c>
      <c r="C382" s="615"/>
      <c r="D382" s="615"/>
      <c r="E382" s="615"/>
      <c r="F382" s="615"/>
      <c r="G382" s="615"/>
      <c r="H382" s="615"/>
      <c r="I382" s="614"/>
      <c r="J382" s="304" t="s">
        <v>496</v>
      </c>
      <c r="K382" s="230"/>
      <c r="L382" s="294"/>
      <c r="M382" s="610" t="s">
        <v>199</v>
      </c>
      <c r="N382" s="610"/>
      <c r="O382" s="309">
        <v>569155000</v>
      </c>
      <c r="P382" s="231">
        <f>O382</f>
        <v>569155000</v>
      </c>
      <c r="Q382" s="231">
        <f>SUM(Q383:Q394)</f>
        <v>303990300</v>
      </c>
      <c r="R382" s="233">
        <f>Q382/Q$243*100</f>
        <v>2.5485769370219757</v>
      </c>
      <c r="S382" s="233">
        <v>100</v>
      </c>
      <c r="T382" s="231">
        <f t="shared" si="101"/>
        <v>0</v>
      </c>
      <c r="U382" s="231">
        <f t="shared" si="107"/>
        <v>0</v>
      </c>
      <c r="V382" s="296">
        <f t="shared" si="92"/>
        <v>100</v>
      </c>
      <c r="W382" s="231"/>
      <c r="X382" s="231" t="e">
        <f>#REF!</f>
        <v>#REF!</v>
      </c>
      <c r="Y382" s="231" t="e">
        <f>#REF!</f>
        <v>#REF!</v>
      </c>
      <c r="Z382" s="231" t="e">
        <f>#REF!</f>
        <v>#REF!</v>
      </c>
      <c r="AA382" s="231" t="e">
        <f>#REF!</f>
        <v>#REF!</v>
      </c>
      <c r="AB382" s="231">
        <v>286887000</v>
      </c>
      <c r="AC382" s="231" t="e">
        <f>#REF!</f>
        <v>#REF!</v>
      </c>
      <c r="AD382" s="231" t="e">
        <f>#REF!</f>
        <v>#REF!</v>
      </c>
      <c r="AE382" s="231" t="e">
        <f>#REF!</f>
        <v>#REF!</v>
      </c>
      <c r="AF382" s="231" t="e">
        <f>[1]April!N69</f>
        <v>#REF!</v>
      </c>
      <c r="AG382" s="231" t="e">
        <f>[2]april!N69</f>
        <v>#REF!</v>
      </c>
      <c r="AH382" s="231">
        <f>'[3]DES SKPD'!$N69</f>
        <v>642713500</v>
      </c>
      <c r="AI382" s="231">
        <f>SUM(AI383:AI394)</f>
        <v>0</v>
      </c>
      <c r="AJ382" s="233">
        <f t="shared" si="102"/>
        <v>0</v>
      </c>
      <c r="AK382" s="234">
        <f t="shared" si="105"/>
        <v>303990300</v>
      </c>
      <c r="AL382" s="233">
        <f t="shared" si="103"/>
        <v>100</v>
      </c>
      <c r="AM382" s="227"/>
    </row>
    <row r="383" spans="1:39" ht="24.75" customHeight="1" x14ac:dyDescent="0.25">
      <c r="A383" s="243"/>
      <c r="B383" s="341"/>
      <c r="C383" s="341"/>
      <c r="D383" s="341"/>
      <c r="E383" s="341"/>
      <c r="F383" s="341"/>
      <c r="G383" s="341"/>
      <c r="H383" s="341"/>
      <c r="I383" s="342"/>
      <c r="J383" s="341" t="s">
        <v>259</v>
      </c>
      <c r="K383" s="245"/>
      <c r="L383" s="257"/>
      <c r="M383" s="591" t="s">
        <v>260</v>
      </c>
      <c r="N383" s="592"/>
      <c r="O383" s="179"/>
      <c r="P383" s="180"/>
      <c r="Q383" s="180">
        <v>1540000</v>
      </c>
      <c r="R383" s="181">
        <f t="shared" ref="R383:R394" si="109">Q383/Q$382*100</f>
        <v>0.50659511175192107</v>
      </c>
      <c r="S383" s="181">
        <v>100</v>
      </c>
      <c r="T383" s="180">
        <f t="shared" si="101"/>
        <v>0</v>
      </c>
      <c r="U383" s="180">
        <f t="shared" si="107"/>
        <v>0</v>
      </c>
      <c r="V383" s="182">
        <f t="shared" si="92"/>
        <v>100</v>
      </c>
      <c r="W383" s="180"/>
      <c r="X383" s="180"/>
      <c r="Y383" s="180"/>
      <c r="Z383" s="180"/>
      <c r="AA383" s="180"/>
      <c r="AB383" s="180"/>
      <c r="AC383" s="180"/>
      <c r="AD383" s="180"/>
      <c r="AE383" s="180"/>
      <c r="AF383" s="180"/>
      <c r="AG383" s="180"/>
      <c r="AH383" s="180"/>
      <c r="AI383" s="180">
        <v>0</v>
      </c>
      <c r="AJ383" s="181">
        <f t="shared" si="102"/>
        <v>0</v>
      </c>
      <c r="AK383" s="246">
        <f t="shared" si="105"/>
        <v>1540000</v>
      </c>
      <c r="AL383" s="181">
        <f t="shared" si="103"/>
        <v>100</v>
      </c>
      <c r="AM383" s="243"/>
    </row>
    <row r="384" spans="1:39" ht="24.75" customHeight="1" x14ac:dyDescent="0.25">
      <c r="A384" s="243"/>
      <c r="B384" s="341"/>
      <c r="C384" s="341"/>
      <c r="D384" s="341"/>
      <c r="E384" s="341"/>
      <c r="F384" s="341"/>
      <c r="G384" s="341"/>
      <c r="H384" s="341"/>
      <c r="I384" s="342"/>
      <c r="J384" s="341" t="s">
        <v>326</v>
      </c>
      <c r="K384" s="245"/>
      <c r="L384" s="257"/>
      <c r="M384" s="591" t="s">
        <v>327</v>
      </c>
      <c r="N384" s="592"/>
      <c r="O384" s="179"/>
      <c r="P384" s="180"/>
      <c r="Q384" s="180">
        <v>51150000</v>
      </c>
      <c r="R384" s="181">
        <f t="shared" si="109"/>
        <v>16.826194783188804</v>
      </c>
      <c r="S384" s="181">
        <v>100</v>
      </c>
      <c r="T384" s="180">
        <f t="shared" si="101"/>
        <v>0</v>
      </c>
      <c r="U384" s="180">
        <f t="shared" si="107"/>
        <v>0</v>
      </c>
      <c r="V384" s="182">
        <f t="shared" si="92"/>
        <v>100</v>
      </c>
      <c r="W384" s="180"/>
      <c r="X384" s="180"/>
      <c r="Y384" s="180"/>
      <c r="Z384" s="180"/>
      <c r="AA384" s="180"/>
      <c r="AB384" s="180"/>
      <c r="AC384" s="180"/>
      <c r="AD384" s="180"/>
      <c r="AE384" s="180"/>
      <c r="AF384" s="180"/>
      <c r="AG384" s="180"/>
      <c r="AH384" s="180"/>
      <c r="AI384" s="180">
        <v>0</v>
      </c>
      <c r="AJ384" s="181">
        <f t="shared" si="102"/>
        <v>0</v>
      </c>
      <c r="AK384" s="246">
        <f t="shared" si="105"/>
        <v>51150000</v>
      </c>
      <c r="AL384" s="181">
        <f t="shared" si="103"/>
        <v>100</v>
      </c>
      <c r="AM384" s="243"/>
    </row>
    <row r="385" spans="1:39" ht="24.75" customHeight="1" x14ac:dyDescent="0.25">
      <c r="A385" s="243"/>
      <c r="B385" s="341"/>
      <c r="C385" s="341"/>
      <c r="D385" s="341"/>
      <c r="E385" s="341"/>
      <c r="F385" s="341"/>
      <c r="G385" s="341"/>
      <c r="H385" s="341"/>
      <c r="I385" s="342"/>
      <c r="J385" s="341" t="s">
        <v>323</v>
      </c>
      <c r="K385" s="245"/>
      <c r="L385" s="257"/>
      <c r="M385" s="591" t="s">
        <v>324</v>
      </c>
      <c r="N385" s="592"/>
      <c r="O385" s="179"/>
      <c r="P385" s="180"/>
      <c r="Q385" s="180">
        <v>5000000</v>
      </c>
      <c r="R385" s="181">
        <f t="shared" si="109"/>
        <v>1.6447893238698736</v>
      </c>
      <c r="S385" s="181">
        <v>100</v>
      </c>
      <c r="T385" s="180">
        <f t="shared" si="101"/>
        <v>0</v>
      </c>
      <c r="U385" s="180">
        <f t="shared" si="107"/>
        <v>0</v>
      </c>
      <c r="V385" s="182">
        <f t="shared" si="92"/>
        <v>100</v>
      </c>
      <c r="W385" s="180"/>
      <c r="X385" s="180"/>
      <c r="Y385" s="180"/>
      <c r="Z385" s="180"/>
      <c r="AA385" s="180"/>
      <c r="AB385" s="180"/>
      <c r="AC385" s="180"/>
      <c r="AD385" s="180"/>
      <c r="AE385" s="180"/>
      <c r="AF385" s="180"/>
      <c r="AG385" s="180"/>
      <c r="AH385" s="180"/>
      <c r="AI385" s="180">
        <v>0</v>
      </c>
      <c r="AJ385" s="181">
        <f t="shared" si="102"/>
        <v>0</v>
      </c>
      <c r="AK385" s="246">
        <f t="shared" si="105"/>
        <v>5000000</v>
      </c>
      <c r="AL385" s="181">
        <f t="shared" si="103"/>
        <v>100</v>
      </c>
      <c r="AM385" s="243"/>
    </row>
    <row r="386" spans="1:39" ht="24.75" customHeight="1" x14ac:dyDescent="0.25">
      <c r="A386" s="243"/>
      <c r="B386" s="341"/>
      <c r="C386" s="341"/>
      <c r="D386" s="341"/>
      <c r="E386" s="341"/>
      <c r="F386" s="341"/>
      <c r="G386" s="341"/>
      <c r="H386" s="341"/>
      <c r="I386" s="342"/>
      <c r="J386" s="341" t="s">
        <v>269</v>
      </c>
      <c r="K386" s="245"/>
      <c r="L386" s="257"/>
      <c r="M386" s="591" t="s">
        <v>270</v>
      </c>
      <c r="N386" s="592"/>
      <c r="O386" s="179"/>
      <c r="P386" s="180"/>
      <c r="Q386" s="180">
        <v>22000000</v>
      </c>
      <c r="R386" s="181">
        <f t="shared" si="109"/>
        <v>7.2370730250274438</v>
      </c>
      <c r="S386" s="181">
        <v>100</v>
      </c>
      <c r="T386" s="180">
        <f t="shared" si="101"/>
        <v>0</v>
      </c>
      <c r="U386" s="180">
        <f t="shared" si="107"/>
        <v>0</v>
      </c>
      <c r="V386" s="182">
        <f t="shared" si="92"/>
        <v>100</v>
      </c>
      <c r="W386" s="180"/>
      <c r="X386" s="180"/>
      <c r="Y386" s="180"/>
      <c r="Z386" s="180"/>
      <c r="AA386" s="180"/>
      <c r="AB386" s="180"/>
      <c r="AC386" s="180"/>
      <c r="AD386" s="180"/>
      <c r="AE386" s="180"/>
      <c r="AF386" s="180"/>
      <c r="AG386" s="180"/>
      <c r="AH386" s="180"/>
      <c r="AI386" s="180">
        <v>0</v>
      </c>
      <c r="AJ386" s="181">
        <f t="shared" si="102"/>
        <v>0</v>
      </c>
      <c r="AK386" s="246">
        <f t="shared" si="105"/>
        <v>22000000</v>
      </c>
      <c r="AL386" s="181">
        <f t="shared" si="103"/>
        <v>100</v>
      </c>
      <c r="AM386" s="243"/>
    </row>
    <row r="387" spans="1:39" ht="24.75" customHeight="1" x14ac:dyDescent="0.25">
      <c r="A387" s="243"/>
      <c r="B387" s="341"/>
      <c r="C387" s="341"/>
      <c r="D387" s="341"/>
      <c r="E387" s="341"/>
      <c r="F387" s="341"/>
      <c r="G387" s="341"/>
      <c r="H387" s="341"/>
      <c r="I387" s="342"/>
      <c r="J387" s="341" t="s">
        <v>315</v>
      </c>
      <c r="K387" s="245"/>
      <c r="L387" s="257"/>
      <c r="M387" s="591" t="s">
        <v>271</v>
      </c>
      <c r="N387" s="592"/>
      <c r="O387" s="179"/>
      <c r="P387" s="180"/>
      <c r="Q387" s="180">
        <v>3400300</v>
      </c>
      <c r="R387" s="181">
        <f t="shared" si="109"/>
        <v>1.1185554275909462</v>
      </c>
      <c r="S387" s="181">
        <v>100</v>
      </c>
      <c r="T387" s="180">
        <f t="shared" si="101"/>
        <v>0</v>
      </c>
      <c r="U387" s="180">
        <f t="shared" si="107"/>
        <v>0</v>
      </c>
      <c r="V387" s="182">
        <f t="shared" si="92"/>
        <v>100</v>
      </c>
      <c r="W387" s="180"/>
      <c r="X387" s="180"/>
      <c r="Y387" s="180"/>
      <c r="Z387" s="180"/>
      <c r="AA387" s="180"/>
      <c r="AB387" s="180"/>
      <c r="AC387" s="180"/>
      <c r="AD387" s="180"/>
      <c r="AE387" s="180"/>
      <c r="AF387" s="180"/>
      <c r="AG387" s="180"/>
      <c r="AH387" s="180"/>
      <c r="AI387" s="180">
        <v>0</v>
      </c>
      <c r="AJ387" s="181">
        <f t="shared" si="102"/>
        <v>0</v>
      </c>
      <c r="AK387" s="246">
        <f t="shared" si="105"/>
        <v>3400300</v>
      </c>
      <c r="AL387" s="181">
        <f t="shared" si="103"/>
        <v>100</v>
      </c>
      <c r="AM387" s="243"/>
    </row>
    <row r="388" spans="1:39" ht="24.75" customHeight="1" x14ac:dyDescent="0.25">
      <c r="A388" s="243"/>
      <c r="B388" s="341"/>
      <c r="C388" s="341"/>
      <c r="D388" s="341"/>
      <c r="E388" s="341"/>
      <c r="F388" s="341"/>
      <c r="G388" s="341"/>
      <c r="H388" s="341"/>
      <c r="I388" s="342"/>
      <c r="J388" s="341" t="s">
        <v>328</v>
      </c>
      <c r="K388" s="245"/>
      <c r="L388" s="257"/>
      <c r="M388" s="591" t="s">
        <v>329</v>
      </c>
      <c r="N388" s="592"/>
      <c r="O388" s="179"/>
      <c r="P388" s="180"/>
      <c r="Q388" s="180">
        <v>15000000</v>
      </c>
      <c r="R388" s="181">
        <f t="shared" si="109"/>
        <v>4.9343679716096203</v>
      </c>
      <c r="S388" s="181">
        <v>100</v>
      </c>
      <c r="T388" s="180">
        <f t="shared" si="101"/>
        <v>0</v>
      </c>
      <c r="U388" s="180">
        <f t="shared" si="107"/>
        <v>0</v>
      </c>
      <c r="V388" s="182">
        <f t="shared" si="92"/>
        <v>100</v>
      </c>
      <c r="W388" s="180"/>
      <c r="X388" s="180"/>
      <c r="Y388" s="180"/>
      <c r="Z388" s="180"/>
      <c r="AA388" s="180"/>
      <c r="AB388" s="180"/>
      <c r="AC388" s="180"/>
      <c r="AD388" s="180"/>
      <c r="AE388" s="180"/>
      <c r="AF388" s="180"/>
      <c r="AG388" s="180"/>
      <c r="AH388" s="180"/>
      <c r="AI388" s="180">
        <v>0</v>
      </c>
      <c r="AJ388" s="181">
        <f t="shared" si="102"/>
        <v>0</v>
      </c>
      <c r="AK388" s="246">
        <f t="shared" si="105"/>
        <v>15000000</v>
      </c>
      <c r="AL388" s="181">
        <f t="shared" si="103"/>
        <v>100</v>
      </c>
      <c r="AM388" s="243"/>
    </row>
    <row r="389" spans="1:39" ht="27.75" customHeight="1" x14ac:dyDescent="0.25">
      <c r="A389" s="243"/>
      <c r="B389" s="341"/>
      <c r="C389" s="341"/>
      <c r="D389" s="341"/>
      <c r="E389" s="341"/>
      <c r="F389" s="341"/>
      <c r="G389" s="341"/>
      <c r="H389" s="341"/>
      <c r="I389" s="342"/>
      <c r="J389" s="341" t="s">
        <v>318</v>
      </c>
      <c r="K389" s="245"/>
      <c r="L389" s="257"/>
      <c r="M389" s="591" t="s">
        <v>319</v>
      </c>
      <c r="N389" s="592"/>
      <c r="O389" s="179"/>
      <c r="P389" s="180"/>
      <c r="Q389" s="180">
        <v>91000000</v>
      </c>
      <c r="R389" s="181">
        <f t="shared" si="109"/>
        <v>29.935165694431699</v>
      </c>
      <c r="S389" s="181">
        <v>100</v>
      </c>
      <c r="T389" s="180">
        <f t="shared" si="101"/>
        <v>0</v>
      </c>
      <c r="U389" s="180">
        <f t="shared" si="107"/>
        <v>0</v>
      </c>
      <c r="V389" s="182">
        <f t="shared" si="92"/>
        <v>100</v>
      </c>
      <c r="W389" s="180"/>
      <c r="X389" s="180"/>
      <c r="Y389" s="180"/>
      <c r="Z389" s="180"/>
      <c r="AA389" s="180"/>
      <c r="AB389" s="180"/>
      <c r="AC389" s="180"/>
      <c r="AD389" s="180"/>
      <c r="AE389" s="180"/>
      <c r="AF389" s="180"/>
      <c r="AG389" s="180"/>
      <c r="AH389" s="180"/>
      <c r="AI389" s="180">
        <v>0</v>
      </c>
      <c r="AJ389" s="181">
        <f t="shared" si="102"/>
        <v>0</v>
      </c>
      <c r="AK389" s="246">
        <f t="shared" si="105"/>
        <v>91000000</v>
      </c>
      <c r="AL389" s="181">
        <f t="shared" si="103"/>
        <v>100</v>
      </c>
      <c r="AM389" s="243"/>
    </row>
    <row r="390" spans="1:39" ht="24.75" customHeight="1" x14ac:dyDescent="0.25">
      <c r="A390" s="243"/>
      <c r="B390" s="341"/>
      <c r="C390" s="341"/>
      <c r="D390" s="341"/>
      <c r="E390" s="341"/>
      <c r="F390" s="341"/>
      <c r="G390" s="341"/>
      <c r="H390" s="341"/>
      <c r="I390" s="342"/>
      <c r="J390" s="341" t="s">
        <v>280</v>
      </c>
      <c r="K390" s="245"/>
      <c r="L390" s="257"/>
      <c r="M390" s="591" t="s">
        <v>281</v>
      </c>
      <c r="N390" s="592"/>
      <c r="O390" s="179"/>
      <c r="P390" s="180"/>
      <c r="Q390" s="180">
        <v>27500000</v>
      </c>
      <c r="R390" s="181">
        <f t="shared" si="109"/>
        <v>9.0463412812843043</v>
      </c>
      <c r="S390" s="181">
        <v>100</v>
      </c>
      <c r="T390" s="180">
        <f t="shared" si="101"/>
        <v>0</v>
      </c>
      <c r="U390" s="180">
        <f t="shared" si="107"/>
        <v>0</v>
      </c>
      <c r="V390" s="182">
        <f t="shared" si="92"/>
        <v>100</v>
      </c>
      <c r="W390" s="180"/>
      <c r="X390" s="180"/>
      <c r="Y390" s="180"/>
      <c r="Z390" s="180"/>
      <c r="AA390" s="180"/>
      <c r="AB390" s="180"/>
      <c r="AC390" s="180"/>
      <c r="AD390" s="180"/>
      <c r="AE390" s="180"/>
      <c r="AF390" s="180"/>
      <c r="AG390" s="180"/>
      <c r="AH390" s="180"/>
      <c r="AI390" s="180">
        <v>0</v>
      </c>
      <c r="AJ390" s="181">
        <f t="shared" si="102"/>
        <v>0</v>
      </c>
      <c r="AK390" s="246">
        <f t="shared" si="105"/>
        <v>27500000</v>
      </c>
      <c r="AL390" s="181">
        <f t="shared" si="103"/>
        <v>100</v>
      </c>
      <c r="AM390" s="243"/>
    </row>
    <row r="391" spans="1:39" ht="24.75" customHeight="1" x14ac:dyDescent="0.25">
      <c r="A391" s="243"/>
      <c r="B391" s="341"/>
      <c r="C391" s="341"/>
      <c r="D391" s="341"/>
      <c r="E391" s="341"/>
      <c r="F391" s="341"/>
      <c r="G391" s="341"/>
      <c r="H391" s="341"/>
      <c r="I391" s="342"/>
      <c r="J391" s="341" t="s">
        <v>284</v>
      </c>
      <c r="K391" s="245"/>
      <c r="L391" s="257"/>
      <c r="M391" s="591" t="s">
        <v>285</v>
      </c>
      <c r="N391" s="592"/>
      <c r="O391" s="179"/>
      <c r="P391" s="180"/>
      <c r="Q391" s="180">
        <v>6600000</v>
      </c>
      <c r="R391" s="181">
        <f t="shared" si="109"/>
        <v>2.1711219075082329</v>
      </c>
      <c r="S391" s="181">
        <v>100</v>
      </c>
      <c r="T391" s="180">
        <f t="shared" si="101"/>
        <v>0</v>
      </c>
      <c r="U391" s="180">
        <f t="shared" si="107"/>
        <v>0</v>
      </c>
      <c r="V391" s="182">
        <f t="shared" si="92"/>
        <v>100</v>
      </c>
      <c r="W391" s="180"/>
      <c r="X391" s="180"/>
      <c r="Y391" s="180"/>
      <c r="Z391" s="180"/>
      <c r="AA391" s="180"/>
      <c r="AB391" s="180"/>
      <c r="AC391" s="180"/>
      <c r="AD391" s="180"/>
      <c r="AE391" s="180"/>
      <c r="AF391" s="180"/>
      <c r="AG391" s="180"/>
      <c r="AH391" s="180"/>
      <c r="AI391" s="180">
        <v>0</v>
      </c>
      <c r="AJ391" s="181">
        <f t="shared" si="102"/>
        <v>0</v>
      </c>
      <c r="AK391" s="246">
        <f t="shared" si="105"/>
        <v>6600000</v>
      </c>
      <c r="AL391" s="181">
        <f t="shared" si="103"/>
        <v>100</v>
      </c>
      <c r="AM391" s="243"/>
    </row>
    <row r="392" spans="1:39" ht="24.75" customHeight="1" x14ac:dyDescent="0.25">
      <c r="A392" s="243"/>
      <c r="B392" s="341"/>
      <c r="C392" s="341"/>
      <c r="D392" s="341"/>
      <c r="E392" s="341"/>
      <c r="F392" s="341"/>
      <c r="G392" s="341"/>
      <c r="H392" s="341"/>
      <c r="I392" s="342"/>
      <c r="J392" s="341" t="s">
        <v>282</v>
      </c>
      <c r="K392" s="245"/>
      <c r="L392" s="257"/>
      <c r="M392" s="591" t="s">
        <v>283</v>
      </c>
      <c r="N392" s="592"/>
      <c r="O392" s="179"/>
      <c r="P392" s="180"/>
      <c r="Q392" s="180">
        <v>17400000</v>
      </c>
      <c r="R392" s="181">
        <f t="shared" si="109"/>
        <v>5.7238668470671596</v>
      </c>
      <c r="S392" s="181">
        <v>100</v>
      </c>
      <c r="T392" s="180">
        <f t="shared" si="101"/>
        <v>0</v>
      </c>
      <c r="U392" s="180">
        <f t="shared" si="107"/>
        <v>0</v>
      </c>
      <c r="V392" s="182">
        <f t="shared" si="92"/>
        <v>100</v>
      </c>
      <c r="W392" s="180"/>
      <c r="X392" s="180"/>
      <c r="Y392" s="180"/>
      <c r="Z392" s="180"/>
      <c r="AA392" s="180"/>
      <c r="AB392" s="180"/>
      <c r="AC392" s="180"/>
      <c r="AD392" s="180"/>
      <c r="AE392" s="180"/>
      <c r="AF392" s="180"/>
      <c r="AG392" s="180"/>
      <c r="AH392" s="180"/>
      <c r="AI392" s="180">
        <v>0</v>
      </c>
      <c r="AJ392" s="181">
        <f t="shared" si="102"/>
        <v>0</v>
      </c>
      <c r="AK392" s="246">
        <f t="shared" si="105"/>
        <v>17400000</v>
      </c>
      <c r="AL392" s="181">
        <f t="shared" si="103"/>
        <v>100</v>
      </c>
      <c r="AM392" s="243"/>
    </row>
    <row r="393" spans="1:39" ht="24.75" customHeight="1" x14ac:dyDescent="0.25">
      <c r="A393" s="243"/>
      <c r="B393" s="341"/>
      <c r="C393" s="341"/>
      <c r="D393" s="341"/>
      <c r="E393" s="341"/>
      <c r="F393" s="341"/>
      <c r="G393" s="341"/>
      <c r="H393" s="341"/>
      <c r="I393" s="342"/>
      <c r="J393" s="341" t="s">
        <v>320</v>
      </c>
      <c r="K393" s="245"/>
      <c r="L393" s="257"/>
      <c r="M393" s="591" t="s">
        <v>321</v>
      </c>
      <c r="N393" s="592"/>
      <c r="O393" s="179"/>
      <c r="P393" s="180"/>
      <c r="Q393" s="180">
        <v>50400000</v>
      </c>
      <c r="R393" s="181">
        <f t="shared" si="109"/>
        <v>16.579476384608324</v>
      </c>
      <c r="S393" s="181">
        <v>100</v>
      </c>
      <c r="T393" s="180">
        <f t="shared" si="101"/>
        <v>0</v>
      </c>
      <c r="U393" s="180">
        <f t="shared" si="107"/>
        <v>0</v>
      </c>
      <c r="V393" s="182">
        <f t="shared" si="92"/>
        <v>100</v>
      </c>
      <c r="W393" s="180"/>
      <c r="X393" s="180"/>
      <c r="Y393" s="180"/>
      <c r="Z393" s="180"/>
      <c r="AA393" s="180"/>
      <c r="AB393" s="180"/>
      <c r="AC393" s="180"/>
      <c r="AD393" s="180"/>
      <c r="AE393" s="180"/>
      <c r="AF393" s="180"/>
      <c r="AG393" s="180"/>
      <c r="AH393" s="180"/>
      <c r="AI393" s="180">
        <v>0</v>
      </c>
      <c r="AJ393" s="181">
        <f t="shared" si="102"/>
        <v>0</v>
      </c>
      <c r="AK393" s="246">
        <f t="shared" si="105"/>
        <v>50400000</v>
      </c>
      <c r="AL393" s="181">
        <f t="shared" si="103"/>
        <v>100</v>
      </c>
      <c r="AM393" s="243"/>
    </row>
    <row r="394" spans="1:39" ht="24.75" customHeight="1" x14ac:dyDescent="0.25">
      <c r="A394" s="243"/>
      <c r="B394" s="341"/>
      <c r="C394" s="341"/>
      <c r="D394" s="341"/>
      <c r="E394" s="341"/>
      <c r="F394" s="341"/>
      <c r="G394" s="341"/>
      <c r="H394" s="341"/>
      <c r="I394" s="342"/>
      <c r="J394" s="341" t="s">
        <v>407</v>
      </c>
      <c r="K394" s="245"/>
      <c r="L394" s="257"/>
      <c r="M394" s="619" t="s">
        <v>414</v>
      </c>
      <c r="N394" s="620"/>
      <c r="O394" s="179"/>
      <c r="P394" s="180"/>
      <c r="Q394" s="180">
        <v>13000000</v>
      </c>
      <c r="R394" s="181">
        <f t="shared" si="109"/>
        <v>4.2764522420616711</v>
      </c>
      <c r="S394" s="181"/>
      <c r="T394" s="180">
        <f t="shared" si="101"/>
        <v>0</v>
      </c>
      <c r="U394" s="180">
        <f t="shared" si="107"/>
        <v>0</v>
      </c>
      <c r="V394" s="182"/>
      <c r="W394" s="180"/>
      <c r="X394" s="180"/>
      <c r="Y394" s="180"/>
      <c r="Z394" s="180"/>
      <c r="AA394" s="180"/>
      <c r="AB394" s="180"/>
      <c r="AC394" s="180"/>
      <c r="AD394" s="180"/>
      <c r="AE394" s="180"/>
      <c r="AF394" s="180"/>
      <c r="AG394" s="180"/>
      <c r="AH394" s="180"/>
      <c r="AI394" s="180">
        <v>0</v>
      </c>
      <c r="AJ394" s="181">
        <f t="shared" si="102"/>
        <v>0</v>
      </c>
      <c r="AK394" s="246">
        <f t="shared" si="105"/>
        <v>13000000</v>
      </c>
      <c r="AL394" s="181">
        <f t="shared" si="103"/>
        <v>100</v>
      </c>
      <c r="AM394" s="243"/>
    </row>
    <row r="395" spans="1:39" s="297" customFormat="1" ht="29.25" customHeight="1" x14ac:dyDescent="0.25">
      <c r="A395" s="227">
        <f>A382+1</f>
        <v>51</v>
      </c>
      <c r="B395" s="615" t="s">
        <v>150</v>
      </c>
      <c r="C395" s="615"/>
      <c r="D395" s="615"/>
      <c r="E395" s="615"/>
      <c r="F395" s="615"/>
      <c r="G395" s="615"/>
      <c r="H395" s="615"/>
      <c r="I395" s="614"/>
      <c r="J395" s="304" t="s">
        <v>497</v>
      </c>
      <c r="K395" s="230"/>
      <c r="L395" s="294"/>
      <c r="M395" s="610" t="s">
        <v>51</v>
      </c>
      <c r="N395" s="610"/>
      <c r="O395" s="309">
        <v>316240000</v>
      </c>
      <c r="P395" s="231">
        <f>O395</f>
        <v>316240000</v>
      </c>
      <c r="Q395" s="231">
        <f>SUM(Q396:Q402)</f>
        <v>266500000</v>
      </c>
      <c r="R395" s="233">
        <f>Q395/Q$243*100</f>
        <v>2.2342678490608305</v>
      </c>
      <c r="S395" s="233">
        <v>100</v>
      </c>
      <c r="T395" s="231">
        <f t="shared" si="101"/>
        <v>0</v>
      </c>
      <c r="U395" s="231">
        <f t="shared" si="107"/>
        <v>0</v>
      </c>
      <c r="V395" s="296">
        <f t="shared" si="92"/>
        <v>100</v>
      </c>
      <c r="W395" s="231"/>
      <c r="X395" s="231" t="e">
        <f>#REF!</f>
        <v>#REF!</v>
      </c>
      <c r="Y395" s="231" t="e">
        <f>#REF!</f>
        <v>#REF!</v>
      </c>
      <c r="Z395" s="231" t="e">
        <f>#REF!</f>
        <v>#REF!</v>
      </c>
      <c r="AA395" s="231" t="e">
        <f>#REF!</f>
        <v>#REF!</v>
      </c>
      <c r="AB395" s="231">
        <v>13182000</v>
      </c>
      <c r="AC395" s="231" t="e">
        <f>#REF!</f>
        <v>#REF!</v>
      </c>
      <c r="AD395" s="231" t="e">
        <f>#REF!</f>
        <v>#REF!</v>
      </c>
      <c r="AE395" s="231" t="e">
        <f>#REF!</f>
        <v>#REF!</v>
      </c>
      <c r="AF395" s="231" t="e">
        <f>[1]April!N70</f>
        <v>#REF!</v>
      </c>
      <c r="AG395" s="231" t="e">
        <f>[2]april!N70</f>
        <v>#REF!</v>
      </c>
      <c r="AH395" s="231">
        <f>'[3]DES SKPD'!$N70</f>
        <v>293250450</v>
      </c>
      <c r="AI395" s="231">
        <f>SUM(AI396:AI402)</f>
        <v>0</v>
      </c>
      <c r="AJ395" s="233">
        <f t="shared" si="102"/>
        <v>0</v>
      </c>
      <c r="AK395" s="234">
        <f t="shared" si="105"/>
        <v>266500000</v>
      </c>
      <c r="AL395" s="233">
        <f t="shared" si="103"/>
        <v>100</v>
      </c>
      <c r="AM395" s="227"/>
    </row>
    <row r="396" spans="1:39" ht="29.25" customHeight="1" x14ac:dyDescent="0.25">
      <c r="A396" s="243"/>
      <c r="B396" s="341"/>
      <c r="C396" s="341"/>
      <c r="D396" s="341"/>
      <c r="E396" s="341"/>
      <c r="F396" s="341"/>
      <c r="G396" s="341"/>
      <c r="H396" s="341"/>
      <c r="I396" s="342"/>
      <c r="J396" s="341" t="s">
        <v>315</v>
      </c>
      <c r="K396" s="245"/>
      <c r="L396" s="257"/>
      <c r="M396" s="591" t="s">
        <v>271</v>
      </c>
      <c r="N396" s="592"/>
      <c r="O396" s="179"/>
      <c r="P396" s="180"/>
      <c r="Q396" s="180">
        <v>8000000</v>
      </c>
      <c r="R396" s="181">
        <f t="shared" ref="R396:R402" si="110">Q396/Q$395*100</f>
        <v>3.0018761726078798</v>
      </c>
      <c r="S396" s="181">
        <v>100</v>
      </c>
      <c r="T396" s="180">
        <f t="shared" si="101"/>
        <v>0</v>
      </c>
      <c r="U396" s="180">
        <f t="shared" si="107"/>
        <v>0</v>
      </c>
      <c r="V396" s="182">
        <f t="shared" si="92"/>
        <v>100</v>
      </c>
      <c r="W396" s="180"/>
      <c r="X396" s="180"/>
      <c r="Y396" s="180"/>
      <c r="Z396" s="180"/>
      <c r="AA396" s="180"/>
      <c r="AB396" s="180"/>
      <c r="AC396" s="180"/>
      <c r="AD396" s="180"/>
      <c r="AE396" s="180"/>
      <c r="AF396" s="180"/>
      <c r="AG396" s="180"/>
      <c r="AH396" s="180"/>
      <c r="AI396" s="180">
        <v>0</v>
      </c>
      <c r="AJ396" s="181">
        <f t="shared" si="102"/>
        <v>0</v>
      </c>
      <c r="AK396" s="246">
        <f t="shared" si="105"/>
        <v>8000000</v>
      </c>
      <c r="AL396" s="181">
        <f t="shared" si="103"/>
        <v>100</v>
      </c>
      <c r="AM396" s="243"/>
    </row>
    <row r="397" spans="1:39" ht="29.25" customHeight="1" x14ac:dyDescent="0.25">
      <c r="A397" s="243"/>
      <c r="B397" s="341"/>
      <c r="C397" s="341"/>
      <c r="D397" s="341"/>
      <c r="E397" s="341"/>
      <c r="F397" s="341"/>
      <c r="G397" s="341"/>
      <c r="H397" s="341"/>
      <c r="I397" s="342"/>
      <c r="J397" s="341" t="s">
        <v>284</v>
      </c>
      <c r="K397" s="245"/>
      <c r="L397" s="257"/>
      <c r="M397" s="591" t="s">
        <v>319</v>
      </c>
      <c r="N397" s="592"/>
      <c r="O397" s="179"/>
      <c r="P397" s="180"/>
      <c r="Q397" s="180">
        <v>27000000</v>
      </c>
      <c r="R397" s="181">
        <f t="shared" si="110"/>
        <v>10.131332082551594</v>
      </c>
      <c r="S397" s="181">
        <v>100</v>
      </c>
      <c r="T397" s="180">
        <f t="shared" si="101"/>
        <v>0</v>
      </c>
      <c r="U397" s="180">
        <f t="shared" si="107"/>
        <v>0</v>
      </c>
      <c r="V397" s="182"/>
      <c r="W397" s="180"/>
      <c r="X397" s="180"/>
      <c r="Y397" s="180"/>
      <c r="Z397" s="180"/>
      <c r="AA397" s="180"/>
      <c r="AB397" s="180"/>
      <c r="AC397" s="180"/>
      <c r="AD397" s="180"/>
      <c r="AE397" s="180"/>
      <c r="AF397" s="180"/>
      <c r="AG397" s="180"/>
      <c r="AH397" s="180"/>
      <c r="AI397" s="180">
        <v>0</v>
      </c>
      <c r="AJ397" s="181">
        <f t="shared" si="102"/>
        <v>0</v>
      </c>
      <c r="AK397" s="246">
        <f t="shared" si="105"/>
        <v>27000000</v>
      </c>
      <c r="AL397" s="181">
        <f t="shared" si="103"/>
        <v>100</v>
      </c>
      <c r="AM397" s="243"/>
    </row>
    <row r="398" spans="1:39" ht="29.25" customHeight="1" x14ac:dyDescent="0.25">
      <c r="A398" s="243"/>
      <c r="B398" s="341"/>
      <c r="C398" s="341"/>
      <c r="D398" s="341"/>
      <c r="E398" s="341"/>
      <c r="F398" s="341"/>
      <c r="G398" s="341"/>
      <c r="H398" s="341"/>
      <c r="I398" s="342"/>
      <c r="J398" s="341" t="s">
        <v>282</v>
      </c>
      <c r="K398" s="245"/>
      <c r="L398" s="257"/>
      <c r="M398" s="591" t="s">
        <v>340</v>
      </c>
      <c r="N398" s="592"/>
      <c r="O398" s="179"/>
      <c r="P398" s="180"/>
      <c r="Q398" s="180">
        <v>5000000</v>
      </c>
      <c r="R398" s="181">
        <f t="shared" si="110"/>
        <v>1.876172607879925</v>
      </c>
      <c r="S398" s="181">
        <v>100</v>
      </c>
      <c r="T398" s="180">
        <f t="shared" si="101"/>
        <v>0</v>
      </c>
      <c r="U398" s="180">
        <f t="shared" si="107"/>
        <v>0</v>
      </c>
      <c r="V398" s="182">
        <f t="shared" si="92"/>
        <v>100</v>
      </c>
      <c r="W398" s="180"/>
      <c r="X398" s="180"/>
      <c r="Y398" s="180"/>
      <c r="Z398" s="180"/>
      <c r="AA398" s="180"/>
      <c r="AB398" s="180"/>
      <c r="AC398" s="180"/>
      <c r="AD398" s="180"/>
      <c r="AE398" s="180"/>
      <c r="AF398" s="180"/>
      <c r="AG398" s="180"/>
      <c r="AH398" s="180"/>
      <c r="AI398" s="180">
        <v>0</v>
      </c>
      <c r="AJ398" s="181">
        <f t="shared" si="102"/>
        <v>0</v>
      </c>
      <c r="AK398" s="246">
        <f t="shared" si="105"/>
        <v>5000000</v>
      </c>
      <c r="AL398" s="181">
        <f t="shared" si="103"/>
        <v>100</v>
      </c>
      <c r="AM398" s="243"/>
    </row>
    <row r="399" spans="1:39" ht="29.25" customHeight="1" x14ac:dyDescent="0.25">
      <c r="A399" s="243"/>
      <c r="B399" s="341"/>
      <c r="C399" s="341"/>
      <c r="D399" s="341"/>
      <c r="E399" s="341"/>
      <c r="F399" s="341"/>
      <c r="G399" s="341"/>
      <c r="H399" s="341"/>
      <c r="I399" s="342"/>
      <c r="J399" s="341" t="s">
        <v>308</v>
      </c>
      <c r="K399" s="245"/>
      <c r="L399" s="257"/>
      <c r="M399" s="591" t="s">
        <v>590</v>
      </c>
      <c r="N399" s="592"/>
      <c r="O399" s="179"/>
      <c r="P399" s="180"/>
      <c r="Q399" s="180">
        <v>15000000</v>
      </c>
      <c r="R399" s="181">
        <f t="shared" si="110"/>
        <v>5.6285178236397746</v>
      </c>
      <c r="S399" s="181">
        <v>100</v>
      </c>
      <c r="T399" s="180">
        <f t="shared" si="101"/>
        <v>0</v>
      </c>
      <c r="U399" s="180">
        <f t="shared" si="107"/>
        <v>0</v>
      </c>
      <c r="V399" s="182">
        <f t="shared" si="92"/>
        <v>100</v>
      </c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  <c r="AG399" s="180"/>
      <c r="AH399" s="180"/>
      <c r="AI399" s="180">
        <v>0</v>
      </c>
      <c r="AJ399" s="181">
        <f t="shared" si="102"/>
        <v>0</v>
      </c>
      <c r="AK399" s="246">
        <f t="shared" si="105"/>
        <v>15000000</v>
      </c>
      <c r="AL399" s="181">
        <f t="shared" si="103"/>
        <v>100</v>
      </c>
      <c r="AM399" s="243"/>
    </row>
    <row r="400" spans="1:39" ht="29.25" customHeight="1" x14ac:dyDescent="0.25">
      <c r="A400" s="243"/>
      <c r="B400" s="341"/>
      <c r="C400" s="341"/>
      <c r="D400" s="341"/>
      <c r="E400" s="341"/>
      <c r="F400" s="341"/>
      <c r="G400" s="341"/>
      <c r="H400" s="341"/>
      <c r="I400" s="342"/>
      <c r="J400" s="341" t="s">
        <v>309</v>
      </c>
      <c r="K400" s="245"/>
      <c r="L400" s="257"/>
      <c r="M400" s="591" t="s">
        <v>321</v>
      </c>
      <c r="N400" s="592"/>
      <c r="O400" s="179"/>
      <c r="P400" s="180"/>
      <c r="Q400" s="180">
        <v>9500000</v>
      </c>
      <c r="R400" s="181">
        <f t="shared" si="110"/>
        <v>3.5647279549718571</v>
      </c>
      <c r="S400" s="181">
        <v>100</v>
      </c>
      <c r="T400" s="180">
        <f t="shared" si="101"/>
        <v>0</v>
      </c>
      <c r="U400" s="180">
        <f t="shared" si="107"/>
        <v>0</v>
      </c>
      <c r="V400" s="182">
        <f t="shared" si="92"/>
        <v>100</v>
      </c>
      <c r="W400" s="180"/>
      <c r="X400" s="180"/>
      <c r="Y400" s="180"/>
      <c r="Z400" s="180"/>
      <c r="AA400" s="180"/>
      <c r="AB400" s="180"/>
      <c r="AC400" s="180"/>
      <c r="AD400" s="180"/>
      <c r="AE400" s="180"/>
      <c r="AF400" s="180"/>
      <c r="AG400" s="180"/>
      <c r="AH400" s="180"/>
      <c r="AI400" s="180">
        <v>0</v>
      </c>
      <c r="AJ400" s="181">
        <f t="shared" si="102"/>
        <v>0</v>
      </c>
      <c r="AK400" s="246">
        <f t="shared" si="105"/>
        <v>9500000</v>
      </c>
      <c r="AL400" s="181">
        <f t="shared" si="103"/>
        <v>100</v>
      </c>
      <c r="AM400" s="243"/>
    </row>
    <row r="401" spans="1:39" ht="29.25" customHeight="1" x14ac:dyDescent="0.25">
      <c r="A401" s="243"/>
      <c r="B401" s="341"/>
      <c r="C401" s="341"/>
      <c r="D401" s="341"/>
      <c r="E401" s="341"/>
      <c r="F401" s="341"/>
      <c r="G401" s="341"/>
      <c r="H401" s="341"/>
      <c r="I401" s="342"/>
      <c r="J401" s="341" t="s">
        <v>309</v>
      </c>
      <c r="K401" s="245"/>
      <c r="L401" s="257"/>
      <c r="M401" s="591" t="s">
        <v>310</v>
      </c>
      <c r="N401" s="592"/>
      <c r="O401" s="179"/>
      <c r="P401" s="180"/>
      <c r="Q401" s="180">
        <v>200000000</v>
      </c>
      <c r="R401" s="181">
        <f t="shared" si="110"/>
        <v>75.046904315196997</v>
      </c>
      <c r="S401" s="181">
        <v>100</v>
      </c>
      <c r="T401" s="180">
        <f t="shared" si="101"/>
        <v>0</v>
      </c>
      <c r="U401" s="180">
        <f t="shared" si="107"/>
        <v>0</v>
      </c>
      <c r="V401" s="182">
        <f t="shared" si="92"/>
        <v>100</v>
      </c>
      <c r="W401" s="180"/>
      <c r="X401" s="180"/>
      <c r="Y401" s="180"/>
      <c r="Z401" s="180"/>
      <c r="AA401" s="180"/>
      <c r="AB401" s="180"/>
      <c r="AC401" s="180"/>
      <c r="AD401" s="180"/>
      <c r="AE401" s="180"/>
      <c r="AF401" s="180"/>
      <c r="AG401" s="180"/>
      <c r="AH401" s="180"/>
      <c r="AI401" s="180">
        <v>0</v>
      </c>
      <c r="AJ401" s="181">
        <f t="shared" si="102"/>
        <v>0</v>
      </c>
      <c r="AK401" s="246">
        <f t="shared" si="105"/>
        <v>200000000</v>
      </c>
      <c r="AL401" s="181">
        <f t="shared" si="103"/>
        <v>100</v>
      </c>
      <c r="AM401" s="243"/>
    </row>
    <row r="402" spans="1:39" ht="29.25" customHeight="1" x14ac:dyDescent="0.25">
      <c r="A402" s="243"/>
      <c r="B402" s="341"/>
      <c r="C402" s="341"/>
      <c r="D402" s="341"/>
      <c r="E402" s="341"/>
      <c r="F402" s="341"/>
      <c r="G402" s="341"/>
      <c r="H402" s="341"/>
      <c r="I402" s="342"/>
      <c r="J402" s="341" t="s">
        <v>407</v>
      </c>
      <c r="K402" s="245"/>
      <c r="L402" s="257"/>
      <c r="M402" s="591" t="s">
        <v>610</v>
      </c>
      <c r="N402" s="592"/>
      <c r="O402" s="179"/>
      <c r="P402" s="180"/>
      <c r="Q402" s="180">
        <v>2000000</v>
      </c>
      <c r="R402" s="181">
        <f t="shared" si="110"/>
        <v>0.75046904315196994</v>
      </c>
      <c r="S402" s="181">
        <v>100</v>
      </c>
      <c r="T402" s="180">
        <f t="shared" si="101"/>
        <v>0</v>
      </c>
      <c r="U402" s="180">
        <f t="shared" si="107"/>
        <v>0</v>
      </c>
      <c r="V402" s="182">
        <f t="shared" si="92"/>
        <v>100</v>
      </c>
      <c r="W402" s="180"/>
      <c r="X402" s="180"/>
      <c r="Y402" s="180"/>
      <c r="Z402" s="180"/>
      <c r="AA402" s="180"/>
      <c r="AB402" s="180"/>
      <c r="AC402" s="180"/>
      <c r="AD402" s="180"/>
      <c r="AE402" s="180"/>
      <c r="AF402" s="180"/>
      <c r="AG402" s="180"/>
      <c r="AH402" s="180"/>
      <c r="AI402" s="180">
        <v>0</v>
      </c>
      <c r="AJ402" s="181">
        <f t="shared" si="102"/>
        <v>0</v>
      </c>
      <c r="AK402" s="246">
        <f t="shared" si="105"/>
        <v>2000000</v>
      </c>
      <c r="AL402" s="181">
        <f t="shared" si="103"/>
        <v>100</v>
      </c>
      <c r="AM402" s="243"/>
    </row>
    <row r="403" spans="1:39" s="297" customFormat="1" ht="30" customHeight="1" x14ac:dyDescent="0.25">
      <c r="A403" s="227">
        <f>A395+1</f>
        <v>52</v>
      </c>
      <c r="B403" s="615" t="s">
        <v>151</v>
      </c>
      <c r="C403" s="615"/>
      <c r="D403" s="615"/>
      <c r="E403" s="615"/>
      <c r="F403" s="615"/>
      <c r="G403" s="615"/>
      <c r="H403" s="615"/>
      <c r="I403" s="614"/>
      <c r="J403" s="304" t="s">
        <v>498</v>
      </c>
      <c r="K403" s="230"/>
      <c r="L403" s="294"/>
      <c r="M403" s="613" t="s">
        <v>52</v>
      </c>
      <c r="N403" s="613"/>
      <c r="O403" s="309">
        <v>252956000</v>
      </c>
      <c r="P403" s="231">
        <f>O403</f>
        <v>252956000</v>
      </c>
      <c r="Q403" s="231">
        <f>SUM(Q404:Q416)</f>
        <v>394282000</v>
      </c>
      <c r="R403" s="233">
        <f>Q403/Q$33*100</f>
        <v>1.2404167461869322</v>
      </c>
      <c r="S403" s="233">
        <v>100</v>
      </c>
      <c r="T403" s="231">
        <f t="shared" si="101"/>
        <v>0</v>
      </c>
      <c r="U403" s="231">
        <f t="shared" si="107"/>
        <v>0</v>
      </c>
      <c r="V403" s="296">
        <f t="shared" si="92"/>
        <v>100</v>
      </c>
      <c r="W403" s="231"/>
      <c r="X403" s="231" t="e">
        <f>#REF!</f>
        <v>#REF!</v>
      </c>
      <c r="Y403" s="231" t="e">
        <f>#REF!</f>
        <v>#REF!</v>
      </c>
      <c r="Z403" s="231" t="e">
        <f>#REF!</f>
        <v>#REF!</v>
      </c>
      <c r="AA403" s="231" t="e">
        <f>#REF!</f>
        <v>#REF!</v>
      </c>
      <c r="AB403" s="231">
        <v>58582925</v>
      </c>
      <c r="AC403" s="231" t="e">
        <f>#REF!</f>
        <v>#REF!</v>
      </c>
      <c r="AD403" s="231" t="e">
        <f>#REF!</f>
        <v>#REF!</v>
      </c>
      <c r="AE403" s="231" t="e">
        <f>#REF!</f>
        <v>#REF!</v>
      </c>
      <c r="AF403" s="231" t="e">
        <f>[1]April!N71</f>
        <v>#REF!</v>
      </c>
      <c r="AG403" s="231" t="e">
        <f>[2]april!N71</f>
        <v>#REF!</v>
      </c>
      <c r="AH403" s="231">
        <f>'[3]DES SKPD'!$N71</f>
        <v>205056925</v>
      </c>
      <c r="AI403" s="231">
        <f>SUM(AI404:AI416)</f>
        <v>0</v>
      </c>
      <c r="AJ403" s="233">
        <f t="shared" si="102"/>
        <v>0</v>
      </c>
      <c r="AK403" s="234">
        <f t="shared" si="105"/>
        <v>394282000</v>
      </c>
      <c r="AL403" s="233">
        <f t="shared" si="103"/>
        <v>100</v>
      </c>
      <c r="AM403" s="227"/>
    </row>
    <row r="404" spans="1:39" ht="29.25" customHeight="1" x14ac:dyDescent="0.25">
      <c r="A404" s="243"/>
      <c r="B404" s="341"/>
      <c r="C404" s="341"/>
      <c r="D404" s="341"/>
      <c r="E404" s="341"/>
      <c r="F404" s="341"/>
      <c r="G404" s="341"/>
      <c r="H404" s="341"/>
      <c r="I404" s="342"/>
      <c r="J404" s="341" t="s">
        <v>415</v>
      </c>
      <c r="K404" s="245"/>
      <c r="L404" s="257"/>
      <c r="M404" s="604" t="s">
        <v>260</v>
      </c>
      <c r="N404" s="592"/>
      <c r="O404" s="179"/>
      <c r="P404" s="180"/>
      <c r="Q404" s="180">
        <v>2400000</v>
      </c>
      <c r="R404" s="181">
        <f>Q404/Q$403*100</f>
        <v>0.60870138631740733</v>
      </c>
      <c r="S404" s="181">
        <v>100</v>
      </c>
      <c r="T404" s="180">
        <f t="shared" si="101"/>
        <v>0</v>
      </c>
      <c r="U404" s="180">
        <f t="shared" si="107"/>
        <v>0</v>
      </c>
      <c r="V404" s="182">
        <f t="shared" si="92"/>
        <v>100</v>
      </c>
      <c r="W404" s="180"/>
      <c r="X404" s="180"/>
      <c r="Y404" s="180"/>
      <c r="Z404" s="180"/>
      <c r="AA404" s="180"/>
      <c r="AB404" s="180"/>
      <c r="AC404" s="180"/>
      <c r="AD404" s="180"/>
      <c r="AE404" s="180"/>
      <c r="AF404" s="180"/>
      <c r="AG404" s="180"/>
      <c r="AH404" s="180"/>
      <c r="AI404" s="180">
        <v>0</v>
      </c>
      <c r="AJ404" s="181">
        <f t="shared" ref="AJ404:AJ468" si="111">AI404/Q404*100</f>
        <v>0</v>
      </c>
      <c r="AK404" s="246">
        <f t="shared" si="105"/>
        <v>2400000</v>
      </c>
      <c r="AL404" s="181">
        <f t="shared" ref="AL404:AL468" si="112">AK404/Q404*100</f>
        <v>100</v>
      </c>
      <c r="AM404" s="243"/>
    </row>
    <row r="405" spans="1:39" ht="29.25" customHeight="1" x14ac:dyDescent="0.25">
      <c r="A405" s="243"/>
      <c r="B405" s="341"/>
      <c r="C405" s="341"/>
      <c r="D405" s="341"/>
      <c r="E405" s="341"/>
      <c r="F405" s="341"/>
      <c r="G405" s="341"/>
      <c r="H405" s="341"/>
      <c r="I405" s="342"/>
      <c r="J405" s="341" t="s">
        <v>326</v>
      </c>
      <c r="K405" s="245"/>
      <c r="L405" s="257"/>
      <c r="M405" s="604" t="s">
        <v>327</v>
      </c>
      <c r="N405" s="592"/>
      <c r="O405" s="179"/>
      <c r="P405" s="180"/>
      <c r="Q405" s="180">
        <v>32800000</v>
      </c>
      <c r="R405" s="181">
        <f t="shared" ref="R405:R416" si="113">Q405/Q$403*100</f>
        <v>8.3189189463379005</v>
      </c>
      <c r="S405" s="181">
        <v>100</v>
      </c>
      <c r="T405" s="180">
        <f t="shared" si="101"/>
        <v>0</v>
      </c>
      <c r="U405" s="180">
        <f t="shared" si="107"/>
        <v>0</v>
      </c>
      <c r="V405" s="182">
        <f t="shared" si="92"/>
        <v>100</v>
      </c>
      <c r="W405" s="180"/>
      <c r="X405" s="180"/>
      <c r="Y405" s="180"/>
      <c r="Z405" s="180"/>
      <c r="AA405" s="180"/>
      <c r="AB405" s="180"/>
      <c r="AC405" s="180"/>
      <c r="AD405" s="180"/>
      <c r="AE405" s="180"/>
      <c r="AF405" s="180"/>
      <c r="AG405" s="180"/>
      <c r="AH405" s="180"/>
      <c r="AI405" s="180">
        <v>0</v>
      </c>
      <c r="AJ405" s="181">
        <f t="shared" si="111"/>
        <v>0</v>
      </c>
      <c r="AK405" s="246">
        <f t="shared" si="105"/>
        <v>32800000</v>
      </c>
      <c r="AL405" s="181">
        <f t="shared" si="112"/>
        <v>100</v>
      </c>
      <c r="AM405" s="243"/>
    </row>
    <row r="406" spans="1:39" ht="29.25" customHeight="1" x14ac:dyDescent="0.25">
      <c r="A406" s="243"/>
      <c r="B406" s="341"/>
      <c r="C406" s="341"/>
      <c r="D406" s="341"/>
      <c r="E406" s="341"/>
      <c r="F406" s="341"/>
      <c r="G406" s="341"/>
      <c r="H406" s="341"/>
      <c r="I406" s="342"/>
      <c r="J406" s="341" t="s">
        <v>347</v>
      </c>
      <c r="K406" s="245"/>
      <c r="L406" s="257"/>
      <c r="M406" s="604" t="s">
        <v>348</v>
      </c>
      <c r="N406" s="592"/>
      <c r="O406" s="179"/>
      <c r="P406" s="180"/>
      <c r="Q406" s="180">
        <v>27800000</v>
      </c>
      <c r="R406" s="181">
        <f t="shared" si="113"/>
        <v>7.0507910581766353</v>
      </c>
      <c r="S406" s="181">
        <v>100</v>
      </c>
      <c r="T406" s="180">
        <f t="shared" si="101"/>
        <v>0</v>
      </c>
      <c r="U406" s="180">
        <f t="shared" si="107"/>
        <v>0</v>
      </c>
      <c r="V406" s="182">
        <f t="shared" si="92"/>
        <v>100</v>
      </c>
      <c r="W406" s="180"/>
      <c r="X406" s="180"/>
      <c r="Y406" s="180"/>
      <c r="Z406" s="180"/>
      <c r="AA406" s="180"/>
      <c r="AB406" s="180"/>
      <c r="AC406" s="180"/>
      <c r="AD406" s="180"/>
      <c r="AE406" s="180"/>
      <c r="AF406" s="180"/>
      <c r="AG406" s="180"/>
      <c r="AH406" s="180"/>
      <c r="AI406" s="180">
        <v>0</v>
      </c>
      <c r="AJ406" s="181">
        <f t="shared" si="111"/>
        <v>0</v>
      </c>
      <c r="AK406" s="246">
        <f t="shared" si="105"/>
        <v>27800000</v>
      </c>
      <c r="AL406" s="181">
        <f t="shared" si="112"/>
        <v>100</v>
      </c>
      <c r="AM406" s="243"/>
    </row>
    <row r="407" spans="1:39" ht="29.25" customHeight="1" x14ac:dyDescent="0.25">
      <c r="A407" s="243"/>
      <c r="B407" s="341"/>
      <c r="C407" s="341"/>
      <c r="D407" s="341"/>
      <c r="E407" s="341"/>
      <c r="F407" s="341"/>
      <c r="G407" s="341"/>
      <c r="H407" s="341"/>
      <c r="I407" s="342"/>
      <c r="J407" s="341" t="s">
        <v>323</v>
      </c>
      <c r="K407" s="245"/>
      <c r="L407" s="257"/>
      <c r="M407" s="604" t="s">
        <v>324</v>
      </c>
      <c r="N407" s="592"/>
      <c r="O407" s="179"/>
      <c r="P407" s="180"/>
      <c r="Q407" s="180">
        <v>35352000</v>
      </c>
      <c r="R407" s="181">
        <f t="shared" si="113"/>
        <v>8.9661714204554102</v>
      </c>
      <c r="S407" s="181">
        <v>100</v>
      </c>
      <c r="T407" s="180">
        <f t="shared" si="101"/>
        <v>0</v>
      </c>
      <c r="U407" s="180">
        <f t="shared" si="107"/>
        <v>0</v>
      </c>
      <c r="V407" s="182">
        <f t="shared" si="92"/>
        <v>100</v>
      </c>
      <c r="W407" s="180"/>
      <c r="X407" s="180"/>
      <c r="Y407" s="180"/>
      <c r="Z407" s="180"/>
      <c r="AA407" s="180"/>
      <c r="AB407" s="180"/>
      <c r="AC407" s="180"/>
      <c r="AD407" s="180"/>
      <c r="AE407" s="180"/>
      <c r="AF407" s="180"/>
      <c r="AG407" s="180"/>
      <c r="AH407" s="180"/>
      <c r="AI407" s="180">
        <v>0</v>
      </c>
      <c r="AJ407" s="181">
        <f t="shared" si="111"/>
        <v>0</v>
      </c>
      <c r="AK407" s="246">
        <f t="shared" si="105"/>
        <v>35352000</v>
      </c>
      <c r="AL407" s="181">
        <f t="shared" si="112"/>
        <v>100</v>
      </c>
      <c r="AM407" s="243"/>
    </row>
    <row r="408" spans="1:39" ht="29.25" customHeight="1" x14ac:dyDescent="0.25">
      <c r="A408" s="243"/>
      <c r="B408" s="341"/>
      <c r="C408" s="341"/>
      <c r="D408" s="341"/>
      <c r="E408" s="341"/>
      <c r="F408" s="341"/>
      <c r="G408" s="341"/>
      <c r="H408" s="341"/>
      <c r="I408" s="342"/>
      <c r="J408" s="341" t="s">
        <v>269</v>
      </c>
      <c r="K408" s="245"/>
      <c r="L408" s="257"/>
      <c r="M408" s="604" t="s">
        <v>270</v>
      </c>
      <c r="N408" s="592"/>
      <c r="O408" s="179"/>
      <c r="P408" s="180"/>
      <c r="Q408" s="180">
        <v>16330000</v>
      </c>
      <c r="R408" s="181">
        <f t="shared" si="113"/>
        <v>4.1417056827346919</v>
      </c>
      <c r="S408" s="181">
        <v>100</v>
      </c>
      <c r="T408" s="180">
        <f t="shared" si="101"/>
        <v>0</v>
      </c>
      <c r="U408" s="180">
        <f t="shared" si="107"/>
        <v>0</v>
      </c>
      <c r="V408" s="182">
        <f t="shared" si="92"/>
        <v>100</v>
      </c>
      <c r="W408" s="180"/>
      <c r="X408" s="180"/>
      <c r="Y408" s="180"/>
      <c r="Z408" s="180"/>
      <c r="AA408" s="180"/>
      <c r="AB408" s="180"/>
      <c r="AC408" s="180"/>
      <c r="AD408" s="180"/>
      <c r="AE408" s="180"/>
      <c r="AF408" s="180"/>
      <c r="AG408" s="180"/>
      <c r="AH408" s="180"/>
      <c r="AI408" s="180">
        <v>0</v>
      </c>
      <c r="AJ408" s="181">
        <f t="shared" si="111"/>
        <v>0</v>
      </c>
      <c r="AK408" s="246">
        <f t="shared" si="105"/>
        <v>16330000</v>
      </c>
      <c r="AL408" s="181">
        <f t="shared" si="112"/>
        <v>100</v>
      </c>
      <c r="AM408" s="243"/>
    </row>
    <row r="409" spans="1:39" ht="29.25" customHeight="1" x14ac:dyDescent="0.25">
      <c r="A409" s="243"/>
      <c r="B409" s="341"/>
      <c r="C409" s="341"/>
      <c r="D409" s="341"/>
      <c r="E409" s="341"/>
      <c r="F409" s="341"/>
      <c r="G409" s="341"/>
      <c r="H409" s="341"/>
      <c r="I409" s="342"/>
      <c r="J409" s="341" t="s">
        <v>315</v>
      </c>
      <c r="K409" s="245"/>
      <c r="L409" s="257"/>
      <c r="M409" s="604" t="s">
        <v>271</v>
      </c>
      <c r="N409" s="592"/>
      <c r="O409" s="179"/>
      <c r="P409" s="180"/>
      <c r="Q409" s="180">
        <v>21000000</v>
      </c>
      <c r="R409" s="181">
        <f t="shared" si="113"/>
        <v>5.3261371302773144</v>
      </c>
      <c r="S409" s="181">
        <v>100</v>
      </c>
      <c r="T409" s="180">
        <f t="shared" ref="T409:T620" si="114">AJ409</f>
        <v>0</v>
      </c>
      <c r="U409" s="180">
        <f t="shared" si="107"/>
        <v>0</v>
      </c>
      <c r="V409" s="182">
        <f t="shared" si="92"/>
        <v>100</v>
      </c>
      <c r="W409" s="180"/>
      <c r="X409" s="180"/>
      <c r="Y409" s="180"/>
      <c r="Z409" s="180"/>
      <c r="AA409" s="180"/>
      <c r="AB409" s="180"/>
      <c r="AC409" s="180"/>
      <c r="AD409" s="180"/>
      <c r="AE409" s="180"/>
      <c r="AF409" s="180"/>
      <c r="AG409" s="180"/>
      <c r="AH409" s="180"/>
      <c r="AI409" s="180">
        <v>0</v>
      </c>
      <c r="AJ409" s="181">
        <f t="shared" si="111"/>
        <v>0</v>
      </c>
      <c r="AK409" s="246">
        <f t="shared" si="105"/>
        <v>21000000</v>
      </c>
      <c r="AL409" s="181">
        <f t="shared" si="112"/>
        <v>100</v>
      </c>
      <c r="AM409" s="243"/>
    </row>
    <row r="410" spans="1:39" ht="29.25" customHeight="1" x14ac:dyDescent="0.25">
      <c r="A410" s="243"/>
      <c r="B410" s="341"/>
      <c r="C410" s="341"/>
      <c r="D410" s="341"/>
      <c r="E410" s="341"/>
      <c r="F410" s="341"/>
      <c r="G410" s="341"/>
      <c r="H410" s="341"/>
      <c r="I410" s="342"/>
      <c r="J410" s="341" t="s">
        <v>316</v>
      </c>
      <c r="K410" s="245"/>
      <c r="L410" s="257"/>
      <c r="M410" s="604" t="s">
        <v>317</v>
      </c>
      <c r="N410" s="592"/>
      <c r="O410" s="179"/>
      <c r="P410" s="180"/>
      <c r="Q410" s="180">
        <v>900000</v>
      </c>
      <c r="R410" s="181">
        <f t="shared" si="113"/>
        <v>0.22826301986902778</v>
      </c>
      <c r="S410" s="181">
        <v>100</v>
      </c>
      <c r="T410" s="180">
        <f t="shared" si="114"/>
        <v>0</v>
      </c>
      <c r="U410" s="180">
        <f t="shared" si="107"/>
        <v>0</v>
      </c>
      <c r="V410" s="182">
        <f t="shared" si="92"/>
        <v>100</v>
      </c>
      <c r="W410" s="180"/>
      <c r="X410" s="180"/>
      <c r="Y410" s="180"/>
      <c r="Z410" s="180"/>
      <c r="AA410" s="180"/>
      <c r="AB410" s="180"/>
      <c r="AC410" s="180"/>
      <c r="AD410" s="180"/>
      <c r="AE410" s="180"/>
      <c r="AF410" s="180"/>
      <c r="AG410" s="180"/>
      <c r="AH410" s="180"/>
      <c r="AI410" s="180">
        <v>0</v>
      </c>
      <c r="AJ410" s="181">
        <f t="shared" si="111"/>
        <v>0</v>
      </c>
      <c r="AK410" s="246">
        <f t="shared" si="105"/>
        <v>900000</v>
      </c>
      <c r="AL410" s="181">
        <f t="shared" si="112"/>
        <v>100</v>
      </c>
      <c r="AM410" s="243"/>
    </row>
    <row r="411" spans="1:39" ht="29.25" customHeight="1" x14ac:dyDescent="0.25">
      <c r="A411" s="243"/>
      <c r="B411" s="341"/>
      <c r="C411" s="341"/>
      <c r="D411" s="341"/>
      <c r="E411" s="341"/>
      <c r="F411" s="341"/>
      <c r="G411" s="341"/>
      <c r="H411" s="341"/>
      <c r="I411" s="342"/>
      <c r="J411" s="341" t="s">
        <v>318</v>
      </c>
      <c r="K411" s="245"/>
      <c r="L411" s="257"/>
      <c r="M411" s="604" t="s">
        <v>319</v>
      </c>
      <c r="N411" s="592"/>
      <c r="O411" s="179"/>
      <c r="P411" s="180"/>
      <c r="Q411" s="180">
        <v>109500000</v>
      </c>
      <c r="R411" s="181">
        <f t="shared" si="113"/>
        <v>27.772000750731713</v>
      </c>
      <c r="S411" s="181">
        <v>100</v>
      </c>
      <c r="T411" s="180">
        <f t="shared" si="114"/>
        <v>0</v>
      </c>
      <c r="U411" s="180">
        <f t="shared" si="107"/>
        <v>0</v>
      </c>
      <c r="V411" s="182">
        <f t="shared" si="92"/>
        <v>100</v>
      </c>
      <c r="W411" s="180"/>
      <c r="X411" s="180"/>
      <c r="Y411" s="180"/>
      <c r="Z411" s="180"/>
      <c r="AA411" s="180"/>
      <c r="AB411" s="180"/>
      <c r="AC411" s="180"/>
      <c r="AD411" s="180"/>
      <c r="AE411" s="180"/>
      <c r="AF411" s="180"/>
      <c r="AG411" s="180"/>
      <c r="AH411" s="180"/>
      <c r="AI411" s="180">
        <v>0</v>
      </c>
      <c r="AJ411" s="181">
        <f t="shared" si="111"/>
        <v>0</v>
      </c>
      <c r="AK411" s="246">
        <f t="shared" si="105"/>
        <v>109500000</v>
      </c>
      <c r="AL411" s="181">
        <f t="shared" si="112"/>
        <v>100</v>
      </c>
      <c r="AM411" s="243"/>
    </row>
    <row r="412" spans="1:39" ht="29.25" customHeight="1" x14ac:dyDescent="0.25">
      <c r="A412" s="243"/>
      <c r="B412" s="341"/>
      <c r="C412" s="341"/>
      <c r="D412" s="341"/>
      <c r="E412" s="341"/>
      <c r="F412" s="341"/>
      <c r="G412" s="341"/>
      <c r="H412" s="341"/>
      <c r="I412" s="342"/>
      <c r="J412" s="341" t="s">
        <v>284</v>
      </c>
      <c r="K412" s="245"/>
      <c r="L412" s="257"/>
      <c r="M412" s="604" t="s">
        <v>285</v>
      </c>
      <c r="N412" s="592"/>
      <c r="O412" s="179"/>
      <c r="P412" s="180"/>
      <c r="Q412" s="180">
        <v>25000000</v>
      </c>
      <c r="R412" s="181">
        <f t="shared" si="113"/>
        <v>6.3406394408063269</v>
      </c>
      <c r="S412" s="181">
        <v>100</v>
      </c>
      <c r="T412" s="180">
        <f t="shared" si="114"/>
        <v>0</v>
      </c>
      <c r="U412" s="180">
        <f t="shared" si="107"/>
        <v>0</v>
      </c>
      <c r="V412" s="182">
        <f t="shared" si="92"/>
        <v>100</v>
      </c>
      <c r="W412" s="180"/>
      <c r="X412" s="180"/>
      <c r="Y412" s="180"/>
      <c r="Z412" s="180"/>
      <c r="AA412" s="180"/>
      <c r="AB412" s="180"/>
      <c r="AC412" s="180"/>
      <c r="AD412" s="180"/>
      <c r="AE412" s="180"/>
      <c r="AF412" s="180"/>
      <c r="AG412" s="180"/>
      <c r="AH412" s="180"/>
      <c r="AI412" s="180">
        <v>0</v>
      </c>
      <c r="AJ412" s="181">
        <f t="shared" si="111"/>
        <v>0</v>
      </c>
      <c r="AK412" s="246">
        <f t="shared" si="105"/>
        <v>25000000</v>
      </c>
      <c r="AL412" s="181">
        <f t="shared" si="112"/>
        <v>100</v>
      </c>
      <c r="AM412" s="243"/>
    </row>
    <row r="413" spans="1:39" ht="29.25" customHeight="1" x14ac:dyDescent="0.25">
      <c r="A413" s="243"/>
      <c r="B413" s="341"/>
      <c r="C413" s="341"/>
      <c r="D413" s="341"/>
      <c r="E413" s="341"/>
      <c r="F413" s="341"/>
      <c r="G413" s="341"/>
      <c r="H413" s="341"/>
      <c r="I413" s="342"/>
      <c r="J413" s="341" t="s">
        <v>282</v>
      </c>
      <c r="K413" s="245"/>
      <c r="L413" s="257"/>
      <c r="M413" s="604" t="s">
        <v>283</v>
      </c>
      <c r="N413" s="592"/>
      <c r="O413" s="179"/>
      <c r="P413" s="180"/>
      <c r="Q413" s="180">
        <v>74100000</v>
      </c>
      <c r="R413" s="181">
        <f t="shared" si="113"/>
        <v>18.793655302549954</v>
      </c>
      <c r="S413" s="181">
        <v>100</v>
      </c>
      <c r="T413" s="180">
        <f t="shared" si="114"/>
        <v>0</v>
      </c>
      <c r="U413" s="180">
        <f t="shared" si="107"/>
        <v>0</v>
      </c>
      <c r="V413" s="182">
        <f t="shared" si="92"/>
        <v>100</v>
      </c>
      <c r="W413" s="180"/>
      <c r="X413" s="180"/>
      <c r="Y413" s="180"/>
      <c r="Z413" s="180"/>
      <c r="AA413" s="180"/>
      <c r="AB413" s="180"/>
      <c r="AC413" s="180"/>
      <c r="AD413" s="180"/>
      <c r="AE413" s="180"/>
      <c r="AF413" s="180"/>
      <c r="AG413" s="180"/>
      <c r="AH413" s="180"/>
      <c r="AI413" s="180">
        <v>0</v>
      </c>
      <c r="AJ413" s="181">
        <f t="shared" si="111"/>
        <v>0</v>
      </c>
      <c r="AK413" s="246">
        <f t="shared" si="105"/>
        <v>74100000</v>
      </c>
      <c r="AL413" s="181">
        <f t="shared" si="112"/>
        <v>100</v>
      </c>
      <c r="AM413" s="243"/>
    </row>
    <row r="414" spans="1:39" ht="29.25" customHeight="1" x14ac:dyDescent="0.25">
      <c r="A414" s="243"/>
      <c r="B414" s="341"/>
      <c r="C414" s="341"/>
      <c r="D414" s="341"/>
      <c r="E414" s="341"/>
      <c r="F414" s="341"/>
      <c r="G414" s="341"/>
      <c r="H414" s="341"/>
      <c r="I414" s="342"/>
      <c r="J414" s="341" t="s">
        <v>320</v>
      </c>
      <c r="K414" s="245"/>
      <c r="L414" s="257"/>
      <c r="M414" s="604" t="s">
        <v>321</v>
      </c>
      <c r="N414" s="592"/>
      <c r="O414" s="179"/>
      <c r="P414" s="180"/>
      <c r="Q414" s="180">
        <v>26600000</v>
      </c>
      <c r="R414" s="181">
        <f t="shared" si="113"/>
        <v>6.7464403650179321</v>
      </c>
      <c r="S414" s="181">
        <v>100</v>
      </c>
      <c r="T414" s="180">
        <f t="shared" si="114"/>
        <v>0</v>
      </c>
      <c r="U414" s="180">
        <f t="shared" si="107"/>
        <v>0</v>
      </c>
      <c r="V414" s="182">
        <f t="shared" si="92"/>
        <v>100</v>
      </c>
      <c r="W414" s="180"/>
      <c r="X414" s="180"/>
      <c r="Y414" s="180"/>
      <c r="Z414" s="180"/>
      <c r="AA414" s="180"/>
      <c r="AB414" s="180"/>
      <c r="AC414" s="180"/>
      <c r="AD414" s="180"/>
      <c r="AE414" s="180"/>
      <c r="AF414" s="180"/>
      <c r="AG414" s="180"/>
      <c r="AH414" s="180"/>
      <c r="AI414" s="180">
        <v>0</v>
      </c>
      <c r="AJ414" s="181">
        <f t="shared" si="111"/>
        <v>0</v>
      </c>
      <c r="AK414" s="246">
        <f t="shared" si="105"/>
        <v>26600000</v>
      </c>
      <c r="AL414" s="181">
        <f t="shared" si="112"/>
        <v>100</v>
      </c>
      <c r="AM414" s="243"/>
    </row>
    <row r="415" spans="1:39" ht="29.25" customHeight="1" x14ac:dyDescent="0.25">
      <c r="A415" s="243"/>
      <c r="B415" s="341"/>
      <c r="C415" s="341"/>
      <c r="D415" s="341"/>
      <c r="E415" s="341"/>
      <c r="F415" s="341"/>
      <c r="G415" s="341"/>
      <c r="H415" s="341"/>
      <c r="I415" s="342"/>
      <c r="J415" s="341" t="s">
        <v>309</v>
      </c>
      <c r="K415" s="245"/>
      <c r="L415" s="257"/>
      <c r="M415" s="604" t="s">
        <v>611</v>
      </c>
      <c r="N415" s="592"/>
      <c r="O415" s="179"/>
      <c r="P415" s="180"/>
      <c r="Q415" s="180">
        <v>12900000</v>
      </c>
      <c r="R415" s="181">
        <f t="shared" si="113"/>
        <v>3.2717699514560645</v>
      </c>
      <c r="S415" s="181">
        <v>100</v>
      </c>
      <c r="T415" s="180">
        <f t="shared" si="114"/>
        <v>0</v>
      </c>
      <c r="U415" s="180">
        <f t="shared" si="107"/>
        <v>0</v>
      </c>
      <c r="V415" s="182">
        <f t="shared" si="92"/>
        <v>100</v>
      </c>
      <c r="W415" s="180"/>
      <c r="X415" s="180"/>
      <c r="Y415" s="180"/>
      <c r="Z415" s="180"/>
      <c r="AA415" s="180"/>
      <c r="AB415" s="180"/>
      <c r="AC415" s="180"/>
      <c r="AD415" s="180"/>
      <c r="AE415" s="180"/>
      <c r="AF415" s="180"/>
      <c r="AG415" s="180"/>
      <c r="AH415" s="180"/>
      <c r="AI415" s="180">
        <v>0</v>
      </c>
      <c r="AJ415" s="181">
        <f t="shared" si="111"/>
        <v>0</v>
      </c>
      <c r="AK415" s="246">
        <f t="shared" si="105"/>
        <v>12900000</v>
      </c>
      <c r="AL415" s="181">
        <f t="shared" si="112"/>
        <v>100</v>
      </c>
      <c r="AM415" s="243"/>
    </row>
    <row r="416" spans="1:39" ht="29.25" customHeight="1" x14ac:dyDescent="0.25">
      <c r="A416" s="243"/>
      <c r="B416" s="341"/>
      <c r="C416" s="341"/>
      <c r="D416" s="341"/>
      <c r="E416" s="341"/>
      <c r="F416" s="341"/>
      <c r="G416" s="341"/>
      <c r="H416" s="341"/>
      <c r="I416" s="342"/>
      <c r="J416" s="341" t="s">
        <v>551</v>
      </c>
      <c r="K416" s="245"/>
      <c r="L416" s="257"/>
      <c r="M416" s="604" t="s">
        <v>550</v>
      </c>
      <c r="N416" s="592"/>
      <c r="O416" s="179"/>
      <c r="P416" s="180"/>
      <c r="Q416" s="180">
        <v>9600000</v>
      </c>
      <c r="R416" s="181">
        <f t="shared" si="113"/>
        <v>2.4348055452696293</v>
      </c>
      <c r="S416" s="181"/>
      <c r="T416" s="180">
        <f t="shared" si="114"/>
        <v>0</v>
      </c>
      <c r="U416" s="180">
        <f t="shared" si="107"/>
        <v>0</v>
      </c>
      <c r="V416" s="182"/>
      <c r="W416" s="180"/>
      <c r="X416" s="180"/>
      <c r="Y416" s="180"/>
      <c r="Z416" s="180"/>
      <c r="AA416" s="180"/>
      <c r="AB416" s="180"/>
      <c r="AC416" s="180"/>
      <c r="AD416" s="180"/>
      <c r="AE416" s="180"/>
      <c r="AF416" s="180"/>
      <c r="AG416" s="180"/>
      <c r="AH416" s="180"/>
      <c r="AI416" s="180">
        <v>0</v>
      </c>
      <c r="AJ416" s="181">
        <f t="shared" si="111"/>
        <v>0</v>
      </c>
      <c r="AK416" s="246">
        <f t="shared" si="105"/>
        <v>9600000</v>
      </c>
      <c r="AL416" s="181">
        <f t="shared" si="112"/>
        <v>100</v>
      </c>
      <c r="AM416" s="243"/>
    </row>
    <row r="417" spans="1:39" ht="29.25" customHeight="1" x14ac:dyDescent="0.25">
      <c r="A417" s="227">
        <v>53</v>
      </c>
      <c r="B417" s="341"/>
      <c r="C417" s="341"/>
      <c r="D417" s="341"/>
      <c r="E417" s="341"/>
      <c r="F417" s="341"/>
      <c r="G417" s="341"/>
      <c r="H417" s="341"/>
      <c r="I417" s="342"/>
      <c r="J417" s="304" t="s">
        <v>499</v>
      </c>
      <c r="K417" s="230"/>
      <c r="L417" s="294"/>
      <c r="M417" s="613" t="s">
        <v>500</v>
      </c>
      <c r="N417" s="613"/>
      <c r="O417" s="309">
        <v>252956000</v>
      </c>
      <c r="P417" s="231">
        <f>O417</f>
        <v>252956000</v>
      </c>
      <c r="Q417" s="231">
        <f>SUM(Q418:Q419)</f>
        <v>418500000</v>
      </c>
      <c r="R417" s="233">
        <f>Q417/Q$243*100</f>
        <v>3.5085969787315476</v>
      </c>
      <c r="S417" s="233">
        <v>100</v>
      </c>
      <c r="T417" s="231">
        <f t="shared" si="114"/>
        <v>0</v>
      </c>
      <c r="U417" s="231">
        <f t="shared" si="107"/>
        <v>0</v>
      </c>
      <c r="V417" s="296">
        <f t="shared" ref="V417:V419" si="115">S417-T417</f>
        <v>100</v>
      </c>
      <c r="W417" s="231"/>
      <c r="X417" s="231" t="e">
        <f>#REF!</f>
        <v>#REF!</v>
      </c>
      <c r="Y417" s="231" t="e">
        <f>#REF!</f>
        <v>#REF!</v>
      </c>
      <c r="Z417" s="231" t="e">
        <f>#REF!</f>
        <v>#REF!</v>
      </c>
      <c r="AA417" s="231" t="e">
        <f>#REF!</f>
        <v>#REF!</v>
      </c>
      <c r="AB417" s="231">
        <v>58582925</v>
      </c>
      <c r="AC417" s="231" t="e">
        <f>#REF!</f>
        <v>#REF!</v>
      </c>
      <c r="AD417" s="231" t="e">
        <f>#REF!</f>
        <v>#REF!</v>
      </c>
      <c r="AE417" s="231" t="e">
        <f>#REF!</f>
        <v>#REF!</v>
      </c>
      <c r="AF417" s="231" t="e">
        <f>[1]April!N86</f>
        <v>#REF!</v>
      </c>
      <c r="AG417" s="231" t="e">
        <f>[2]april!N86</f>
        <v>#REF!</v>
      </c>
      <c r="AH417" s="231">
        <f>'[3]DES SKPD'!$N86</f>
        <v>126710000</v>
      </c>
      <c r="AI417" s="231">
        <f>SUM(AI418:AI419)</f>
        <v>0</v>
      </c>
      <c r="AJ417" s="233">
        <f t="shared" si="111"/>
        <v>0</v>
      </c>
      <c r="AK417" s="234">
        <f t="shared" si="105"/>
        <v>418500000</v>
      </c>
      <c r="AL417" s="233">
        <f t="shared" si="112"/>
        <v>100</v>
      </c>
      <c r="AM417" s="243"/>
    </row>
    <row r="418" spans="1:39" ht="29.25" customHeight="1" x14ac:dyDescent="0.25">
      <c r="A418" s="243"/>
      <c r="B418" s="341"/>
      <c r="C418" s="341"/>
      <c r="D418" s="341"/>
      <c r="E418" s="341"/>
      <c r="F418" s="341"/>
      <c r="G418" s="341"/>
      <c r="H418" s="341"/>
      <c r="I418" s="342"/>
      <c r="J418" s="341" t="s">
        <v>537</v>
      </c>
      <c r="K418" s="245"/>
      <c r="L418" s="257"/>
      <c r="M418" s="604" t="s">
        <v>605</v>
      </c>
      <c r="N418" s="592"/>
      <c r="O418" s="179"/>
      <c r="P418" s="180"/>
      <c r="Q418" s="180">
        <v>38500000</v>
      </c>
      <c r="R418" s="181">
        <f t="shared" ref="R418:R419" si="116">Q418/Q$417*100</f>
        <v>9.1995221027479097</v>
      </c>
      <c r="S418" s="181">
        <v>100</v>
      </c>
      <c r="T418" s="180">
        <f t="shared" si="114"/>
        <v>0</v>
      </c>
      <c r="U418" s="180">
        <f t="shared" si="107"/>
        <v>0</v>
      </c>
      <c r="V418" s="182">
        <f t="shared" si="115"/>
        <v>100</v>
      </c>
      <c r="W418" s="180"/>
      <c r="X418" s="180"/>
      <c r="Y418" s="180"/>
      <c r="Z418" s="180"/>
      <c r="AA418" s="180"/>
      <c r="AB418" s="180"/>
      <c r="AC418" s="180"/>
      <c r="AD418" s="180"/>
      <c r="AE418" s="180"/>
      <c r="AF418" s="180"/>
      <c r="AG418" s="180"/>
      <c r="AH418" s="180"/>
      <c r="AI418" s="180">
        <v>0</v>
      </c>
      <c r="AJ418" s="181">
        <f t="shared" si="111"/>
        <v>0</v>
      </c>
      <c r="AK418" s="246">
        <f t="shared" si="105"/>
        <v>38500000</v>
      </c>
      <c r="AL418" s="181">
        <f t="shared" si="112"/>
        <v>100</v>
      </c>
      <c r="AM418" s="243"/>
    </row>
    <row r="419" spans="1:39" ht="29.25" customHeight="1" x14ac:dyDescent="0.25">
      <c r="A419" s="243"/>
      <c r="B419" s="341"/>
      <c r="C419" s="341"/>
      <c r="D419" s="341"/>
      <c r="E419" s="341"/>
      <c r="F419" s="341"/>
      <c r="G419" s="341"/>
      <c r="H419" s="341"/>
      <c r="I419" s="342"/>
      <c r="J419" s="341" t="s">
        <v>415</v>
      </c>
      <c r="K419" s="245"/>
      <c r="L419" s="257"/>
      <c r="M419" s="604" t="s">
        <v>303</v>
      </c>
      <c r="N419" s="592"/>
      <c r="O419" s="179"/>
      <c r="P419" s="180"/>
      <c r="Q419" s="180">
        <v>380000000</v>
      </c>
      <c r="R419" s="181">
        <f t="shared" si="116"/>
        <v>90.80047789725208</v>
      </c>
      <c r="S419" s="181">
        <v>100</v>
      </c>
      <c r="T419" s="180">
        <f t="shared" si="114"/>
        <v>0</v>
      </c>
      <c r="U419" s="180">
        <f t="shared" si="107"/>
        <v>0</v>
      </c>
      <c r="V419" s="182">
        <f t="shared" si="115"/>
        <v>100</v>
      </c>
      <c r="W419" s="180"/>
      <c r="X419" s="180"/>
      <c r="Y419" s="180"/>
      <c r="Z419" s="180"/>
      <c r="AA419" s="180"/>
      <c r="AB419" s="180"/>
      <c r="AC419" s="180"/>
      <c r="AD419" s="180"/>
      <c r="AE419" s="180"/>
      <c r="AF419" s="180"/>
      <c r="AG419" s="180"/>
      <c r="AH419" s="180"/>
      <c r="AI419" s="180">
        <v>0</v>
      </c>
      <c r="AJ419" s="181">
        <f t="shared" si="111"/>
        <v>0</v>
      </c>
      <c r="AK419" s="246">
        <f t="shared" si="105"/>
        <v>380000000</v>
      </c>
      <c r="AL419" s="181">
        <f t="shared" si="112"/>
        <v>100</v>
      </c>
      <c r="AM419" s="243"/>
    </row>
    <row r="420" spans="1:39" s="297" customFormat="1" ht="29.25" customHeight="1" x14ac:dyDescent="0.25">
      <c r="A420" s="227">
        <f>SUM(A417+1)</f>
        <v>54</v>
      </c>
      <c r="B420" s="615" t="s">
        <v>153</v>
      </c>
      <c r="C420" s="615"/>
      <c r="D420" s="615"/>
      <c r="E420" s="615"/>
      <c r="F420" s="615"/>
      <c r="G420" s="615"/>
      <c r="H420" s="615"/>
      <c r="I420" s="614"/>
      <c r="J420" s="304" t="s">
        <v>504</v>
      </c>
      <c r="K420" s="230"/>
      <c r="L420" s="294"/>
      <c r="M420" s="610" t="s">
        <v>53</v>
      </c>
      <c r="N420" s="610"/>
      <c r="O420" s="309">
        <v>420443450</v>
      </c>
      <c r="P420" s="231">
        <f>O420</f>
        <v>420443450</v>
      </c>
      <c r="Q420" s="231">
        <f>SUM(Q421:Q430)</f>
        <v>179508000</v>
      </c>
      <c r="R420" s="233">
        <f>Q420/Q$243*100</f>
        <v>1.5049491671640207</v>
      </c>
      <c r="S420" s="233">
        <v>100</v>
      </c>
      <c r="T420" s="231">
        <f t="shared" si="114"/>
        <v>0</v>
      </c>
      <c r="U420" s="231">
        <f t="shared" si="107"/>
        <v>0</v>
      </c>
      <c r="V420" s="296">
        <f t="shared" si="92"/>
        <v>100</v>
      </c>
      <c r="W420" s="231"/>
      <c r="X420" s="231" t="e">
        <f>#REF!</f>
        <v>#REF!</v>
      </c>
      <c r="Y420" s="231" t="e">
        <f>#REF!</f>
        <v>#REF!</v>
      </c>
      <c r="Z420" s="231" t="e">
        <f>#REF!</f>
        <v>#REF!</v>
      </c>
      <c r="AA420" s="231" t="e">
        <f>#REF!</f>
        <v>#REF!</v>
      </c>
      <c r="AB420" s="231">
        <v>55843500</v>
      </c>
      <c r="AC420" s="231" t="e">
        <f>#REF!</f>
        <v>#REF!</v>
      </c>
      <c r="AD420" s="231" t="e">
        <f>#REF!</f>
        <v>#REF!</v>
      </c>
      <c r="AE420" s="231" t="e">
        <f>#REF!</f>
        <v>#REF!</v>
      </c>
      <c r="AF420" s="231" t="e">
        <f>[1]April!N73</f>
        <v>#REF!</v>
      </c>
      <c r="AG420" s="231" t="e">
        <f>[2]april!N73</f>
        <v>#REF!</v>
      </c>
      <c r="AH420" s="231">
        <f>'[3]DES SKPD'!$N73</f>
        <v>192051900</v>
      </c>
      <c r="AI420" s="231">
        <f>SUM(AI421:AI430)</f>
        <v>0</v>
      </c>
      <c r="AJ420" s="233">
        <f t="shared" si="111"/>
        <v>0</v>
      </c>
      <c r="AK420" s="234">
        <f t="shared" ref="AK420:AK484" si="117">Q420-AI420</f>
        <v>179508000</v>
      </c>
      <c r="AL420" s="233">
        <f t="shared" si="112"/>
        <v>100</v>
      </c>
      <c r="AM420" s="227"/>
    </row>
    <row r="421" spans="1:39" ht="24.75" customHeight="1" x14ac:dyDescent="0.25">
      <c r="A421" s="243"/>
      <c r="B421" s="341"/>
      <c r="C421" s="341"/>
      <c r="D421" s="341"/>
      <c r="E421" s="341"/>
      <c r="F421" s="341"/>
      <c r="G421" s="341"/>
      <c r="H421" s="341"/>
      <c r="I421" s="342"/>
      <c r="J421" s="341" t="s">
        <v>273</v>
      </c>
      <c r="K421" s="245"/>
      <c r="L421" s="257"/>
      <c r="M421" s="591" t="s">
        <v>322</v>
      </c>
      <c r="N421" s="592"/>
      <c r="O421" s="179"/>
      <c r="P421" s="180"/>
      <c r="Q421" s="180">
        <v>20400000</v>
      </c>
      <c r="R421" s="181">
        <f t="shared" ref="R421:R430" si="118">Q421/Q$420*100</f>
        <v>11.364396015776455</v>
      </c>
      <c r="S421" s="181">
        <v>100</v>
      </c>
      <c r="T421" s="180">
        <f t="shared" si="114"/>
        <v>0</v>
      </c>
      <c r="U421" s="180">
        <f t="shared" si="107"/>
        <v>0</v>
      </c>
      <c r="V421" s="182">
        <f t="shared" si="92"/>
        <v>100</v>
      </c>
      <c r="W421" s="180"/>
      <c r="X421" s="180"/>
      <c r="Y421" s="180"/>
      <c r="Z421" s="180"/>
      <c r="AA421" s="180"/>
      <c r="AB421" s="180"/>
      <c r="AC421" s="180"/>
      <c r="AD421" s="180"/>
      <c r="AE421" s="180"/>
      <c r="AF421" s="180"/>
      <c r="AG421" s="180"/>
      <c r="AH421" s="180"/>
      <c r="AI421" s="180">
        <v>0</v>
      </c>
      <c r="AJ421" s="181">
        <f t="shared" si="111"/>
        <v>0</v>
      </c>
      <c r="AK421" s="246">
        <f t="shared" si="117"/>
        <v>20400000</v>
      </c>
      <c r="AL421" s="181">
        <f t="shared" si="112"/>
        <v>100</v>
      </c>
      <c r="AM421" s="243"/>
    </row>
    <row r="422" spans="1:39" ht="24.75" customHeight="1" x14ac:dyDescent="0.25">
      <c r="A422" s="243"/>
      <c r="B422" s="341"/>
      <c r="C422" s="341"/>
      <c r="D422" s="341"/>
      <c r="E422" s="341"/>
      <c r="F422" s="341"/>
      <c r="G422" s="341"/>
      <c r="H422" s="341"/>
      <c r="I422" s="342"/>
      <c r="J422" s="341" t="s">
        <v>323</v>
      </c>
      <c r="K422" s="245"/>
      <c r="L422" s="257"/>
      <c r="M422" s="591" t="s">
        <v>324</v>
      </c>
      <c r="N422" s="592"/>
      <c r="O422" s="179"/>
      <c r="P422" s="180"/>
      <c r="Q422" s="180">
        <v>8408000</v>
      </c>
      <c r="R422" s="181">
        <f t="shared" si="118"/>
        <v>4.6839138088553156</v>
      </c>
      <c r="S422" s="181">
        <v>100</v>
      </c>
      <c r="T422" s="180">
        <f t="shared" si="114"/>
        <v>0</v>
      </c>
      <c r="U422" s="180">
        <f t="shared" si="107"/>
        <v>0</v>
      </c>
      <c r="V422" s="182">
        <f t="shared" si="92"/>
        <v>100</v>
      </c>
      <c r="W422" s="180"/>
      <c r="X422" s="180"/>
      <c r="Y422" s="180"/>
      <c r="Z422" s="180"/>
      <c r="AA422" s="180"/>
      <c r="AB422" s="180"/>
      <c r="AC422" s="180"/>
      <c r="AD422" s="180"/>
      <c r="AE422" s="180"/>
      <c r="AF422" s="180"/>
      <c r="AG422" s="180"/>
      <c r="AH422" s="180"/>
      <c r="AI422" s="180">
        <v>0</v>
      </c>
      <c r="AJ422" s="181">
        <f t="shared" si="111"/>
        <v>0</v>
      </c>
      <c r="AK422" s="246">
        <f t="shared" si="117"/>
        <v>8408000</v>
      </c>
      <c r="AL422" s="181">
        <f t="shared" si="112"/>
        <v>100</v>
      </c>
      <c r="AM422" s="243"/>
    </row>
    <row r="423" spans="1:39" ht="24.75" customHeight="1" x14ac:dyDescent="0.25">
      <c r="A423" s="243"/>
      <c r="B423" s="341"/>
      <c r="C423" s="341"/>
      <c r="D423" s="341"/>
      <c r="E423" s="341"/>
      <c r="F423" s="341"/>
      <c r="G423" s="341"/>
      <c r="H423" s="341"/>
      <c r="I423" s="342"/>
      <c r="J423" s="341" t="s">
        <v>417</v>
      </c>
      <c r="K423" s="245"/>
      <c r="L423" s="257"/>
      <c r="M423" s="591" t="s">
        <v>408</v>
      </c>
      <c r="N423" s="592"/>
      <c r="O423" s="179"/>
      <c r="P423" s="180"/>
      <c r="Q423" s="180">
        <v>3000000</v>
      </c>
      <c r="R423" s="181">
        <f t="shared" si="118"/>
        <v>1.6712347082024199</v>
      </c>
      <c r="S423" s="181">
        <v>101</v>
      </c>
      <c r="T423" s="180">
        <f t="shared" si="114"/>
        <v>0</v>
      </c>
      <c r="U423" s="180">
        <f t="shared" si="107"/>
        <v>0</v>
      </c>
      <c r="V423" s="182">
        <f t="shared" si="92"/>
        <v>101</v>
      </c>
      <c r="W423" s="180"/>
      <c r="X423" s="180"/>
      <c r="Y423" s="180"/>
      <c r="Z423" s="180"/>
      <c r="AA423" s="180"/>
      <c r="AB423" s="180"/>
      <c r="AC423" s="180"/>
      <c r="AD423" s="180"/>
      <c r="AE423" s="180"/>
      <c r="AF423" s="180"/>
      <c r="AG423" s="180"/>
      <c r="AH423" s="180"/>
      <c r="AI423" s="180">
        <v>0</v>
      </c>
      <c r="AJ423" s="181">
        <f t="shared" si="111"/>
        <v>0</v>
      </c>
      <c r="AK423" s="246">
        <f t="shared" si="117"/>
        <v>3000000</v>
      </c>
      <c r="AL423" s="181">
        <f t="shared" si="112"/>
        <v>100</v>
      </c>
      <c r="AM423" s="243"/>
    </row>
    <row r="424" spans="1:39" ht="24.75" customHeight="1" x14ac:dyDescent="0.25">
      <c r="A424" s="243"/>
      <c r="B424" s="341"/>
      <c r="C424" s="341"/>
      <c r="D424" s="341"/>
      <c r="E424" s="341"/>
      <c r="F424" s="341"/>
      <c r="G424" s="341"/>
      <c r="H424" s="341"/>
      <c r="I424" s="342"/>
      <c r="J424" s="341" t="s">
        <v>315</v>
      </c>
      <c r="K424" s="245"/>
      <c r="L424" s="257"/>
      <c r="M424" s="591" t="s">
        <v>271</v>
      </c>
      <c r="N424" s="592"/>
      <c r="O424" s="179"/>
      <c r="P424" s="180"/>
      <c r="Q424" s="180">
        <v>4000000</v>
      </c>
      <c r="R424" s="181">
        <f t="shared" si="118"/>
        <v>2.2283129442698932</v>
      </c>
      <c r="S424" s="181">
        <v>100</v>
      </c>
      <c r="T424" s="180">
        <f t="shared" si="114"/>
        <v>0</v>
      </c>
      <c r="U424" s="180">
        <f t="shared" si="107"/>
        <v>0</v>
      </c>
      <c r="V424" s="182">
        <f t="shared" si="92"/>
        <v>100</v>
      </c>
      <c r="W424" s="180"/>
      <c r="X424" s="180"/>
      <c r="Y424" s="180"/>
      <c r="Z424" s="180"/>
      <c r="AA424" s="180"/>
      <c r="AB424" s="180"/>
      <c r="AC424" s="180"/>
      <c r="AD424" s="180"/>
      <c r="AE424" s="180"/>
      <c r="AF424" s="180"/>
      <c r="AG424" s="180"/>
      <c r="AH424" s="180"/>
      <c r="AI424" s="180">
        <v>0</v>
      </c>
      <c r="AJ424" s="181">
        <f t="shared" si="111"/>
        <v>0</v>
      </c>
      <c r="AK424" s="246">
        <f t="shared" si="117"/>
        <v>4000000</v>
      </c>
      <c r="AL424" s="181">
        <f t="shared" si="112"/>
        <v>100</v>
      </c>
      <c r="AM424" s="243"/>
    </row>
    <row r="425" spans="1:39" ht="29.25" customHeight="1" x14ac:dyDescent="0.25">
      <c r="A425" s="243"/>
      <c r="B425" s="341"/>
      <c r="C425" s="341"/>
      <c r="D425" s="341"/>
      <c r="E425" s="341"/>
      <c r="F425" s="341"/>
      <c r="G425" s="341"/>
      <c r="H425" s="341"/>
      <c r="I425" s="342"/>
      <c r="J425" s="341" t="s">
        <v>328</v>
      </c>
      <c r="K425" s="245"/>
      <c r="L425" s="257"/>
      <c r="M425" s="591" t="s">
        <v>329</v>
      </c>
      <c r="N425" s="592"/>
      <c r="O425" s="179"/>
      <c r="P425" s="180"/>
      <c r="Q425" s="180">
        <v>26000000</v>
      </c>
      <c r="R425" s="181">
        <f t="shared" si="118"/>
        <v>14.484034137754307</v>
      </c>
      <c r="S425" s="181">
        <v>100</v>
      </c>
      <c r="T425" s="180">
        <f t="shared" si="114"/>
        <v>0</v>
      </c>
      <c r="U425" s="180">
        <f t="shared" ref="U425:U667" si="119">R425*T425/100</f>
        <v>0</v>
      </c>
      <c r="V425" s="182">
        <f t="shared" si="92"/>
        <v>100</v>
      </c>
      <c r="W425" s="180"/>
      <c r="X425" s="180"/>
      <c r="Y425" s="180"/>
      <c r="Z425" s="180"/>
      <c r="AA425" s="180"/>
      <c r="AB425" s="180"/>
      <c r="AC425" s="180"/>
      <c r="AD425" s="180"/>
      <c r="AE425" s="180"/>
      <c r="AF425" s="180"/>
      <c r="AG425" s="180"/>
      <c r="AH425" s="180"/>
      <c r="AI425" s="180">
        <v>0</v>
      </c>
      <c r="AJ425" s="181">
        <f t="shared" si="111"/>
        <v>0</v>
      </c>
      <c r="AK425" s="246">
        <f t="shared" si="117"/>
        <v>26000000</v>
      </c>
      <c r="AL425" s="181">
        <f t="shared" si="112"/>
        <v>100</v>
      </c>
      <c r="AM425" s="243"/>
    </row>
    <row r="426" spans="1:39" ht="24.75" customHeight="1" x14ac:dyDescent="0.25">
      <c r="A426" s="243"/>
      <c r="B426" s="341"/>
      <c r="C426" s="341"/>
      <c r="D426" s="341"/>
      <c r="E426" s="341"/>
      <c r="F426" s="341"/>
      <c r="G426" s="341"/>
      <c r="H426" s="341"/>
      <c r="I426" s="342"/>
      <c r="J426" s="341" t="s">
        <v>280</v>
      </c>
      <c r="K426" s="245"/>
      <c r="L426" s="257"/>
      <c r="M426" s="591" t="s">
        <v>281</v>
      </c>
      <c r="N426" s="592"/>
      <c r="O426" s="179"/>
      <c r="P426" s="180"/>
      <c r="Q426" s="180">
        <v>48500000</v>
      </c>
      <c r="R426" s="181">
        <f t="shared" si="118"/>
        <v>27.018294449272457</v>
      </c>
      <c r="S426" s="181">
        <v>100</v>
      </c>
      <c r="T426" s="180">
        <f t="shared" si="114"/>
        <v>0</v>
      </c>
      <c r="U426" s="180">
        <f t="shared" si="119"/>
        <v>0</v>
      </c>
      <c r="V426" s="182">
        <f t="shared" si="92"/>
        <v>100</v>
      </c>
      <c r="W426" s="180"/>
      <c r="X426" s="180"/>
      <c r="Y426" s="180"/>
      <c r="Z426" s="180"/>
      <c r="AA426" s="180"/>
      <c r="AB426" s="180"/>
      <c r="AC426" s="180"/>
      <c r="AD426" s="180"/>
      <c r="AE426" s="180"/>
      <c r="AF426" s="180"/>
      <c r="AG426" s="180"/>
      <c r="AH426" s="180"/>
      <c r="AI426" s="180">
        <v>0</v>
      </c>
      <c r="AJ426" s="181">
        <f t="shared" si="111"/>
        <v>0</v>
      </c>
      <c r="AK426" s="246">
        <f t="shared" si="117"/>
        <v>48500000</v>
      </c>
      <c r="AL426" s="181">
        <f t="shared" si="112"/>
        <v>100</v>
      </c>
      <c r="AM426" s="243"/>
    </row>
    <row r="427" spans="1:39" ht="24.75" customHeight="1" x14ac:dyDescent="0.25">
      <c r="A427" s="243"/>
      <c r="B427" s="341"/>
      <c r="C427" s="341"/>
      <c r="D427" s="341"/>
      <c r="E427" s="341"/>
      <c r="F427" s="341"/>
      <c r="G427" s="341"/>
      <c r="H427" s="341"/>
      <c r="I427" s="342"/>
      <c r="J427" s="341" t="s">
        <v>284</v>
      </c>
      <c r="K427" s="245"/>
      <c r="L427" s="257"/>
      <c r="M427" s="591" t="s">
        <v>285</v>
      </c>
      <c r="N427" s="592"/>
      <c r="O427" s="179"/>
      <c r="P427" s="180"/>
      <c r="Q427" s="180">
        <v>10000000</v>
      </c>
      <c r="R427" s="181">
        <f t="shared" si="118"/>
        <v>5.5707823606747331</v>
      </c>
      <c r="S427" s="181">
        <v>100</v>
      </c>
      <c r="T427" s="180">
        <f t="shared" si="114"/>
        <v>0</v>
      </c>
      <c r="U427" s="180">
        <f t="shared" si="119"/>
        <v>0</v>
      </c>
      <c r="V427" s="182">
        <f t="shared" si="92"/>
        <v>100</v>
      </c>
      <c r="W427" s="180"/>
      <c r="X427" s="180"/>
      <c r="Y427" s="180"/>
      <c r="Z427" s="180"/>
      <c r="AA427" s="180"/>
      <c r="AB427" s="180"/>
      <c r="AC427" s="180"/>
      <c r="AD427" s="180"/>
      <c r="AE427" s="180"/>
      <c r="AF427" s="180"/>
      <c r="AG427" s="180"/>
      <c r="AH427" s="180"/>
      <c r="AI427" s="180">
        <v>0</v>
      </c>
      <c r="AJ427" s="181">
        <f t="shared" si="111"/>
        <v>0</v>
      </c>
      <c r="AK427" s="246">
        <f t="shared" si="117"/>
        <v>10000000</v>
      </c>
      <c r="AL427" s="181">
        <f t="shared" si="112"/>
        <v>100</v>
      </c>
      <c r="AM427" s="243"/>
    </row>
    <row r="428" spans="1:39" ht="24.75" customHeight="1" x14ac:dyDescent="0.25">
      <c r="A428" s="243"/>
      <c r="B428" s="341"/>
      <c r="C428" s="341"/>
      <c r="D428" s="341"/>
      <c r="E428" s="341"/>
      <c r="F428" s="341"/>
      <c r="G428" s="341"/>
      <c r="H428" s="341"/>
      <c r="I428" s="342"/>
      <c r="J428" s="341" t="s">
        <v>282</v>
      </c>
      <c r="K428" s="245"/>
      <c r="L428" s="257"/>
      <c r="M428" s="591" t="s">
        <v>283</v>
      </c>
      <c r="N428" s="592"/>
      <c r="O428" s="179"/>
      <c r="P428" s="180"/>
      <c r="Q428" s="180">
        <v>10000000</v>
      </c>
      <c r="R428" s="181">
        <f t="shared" si="118"/>
        <v>5.5707823606747331</v>
      </c>
      <c r="S428" s="181">
        <v>100</v>
      </c>
      <c r="T428" s="180">
        <f t="shared" si="114"/>
        <v>0</v>
      </c>
      <c r="U428" s="180">
        <f t="shared" si="119"/>
        <v>0</v>
      </c>
      <c r="V428" s="182">
        <f t="shared" si="92"/>
        <v>100</v>
      </c>
      <c r="W428" s="180"/>
      <c r="X428" s="180"/>
      <c r="Y428" s="180"/>
      <c r="Z428" s="180"/>
      <c r="AA428" s="180"/>
      <c r="AB428" s="180"/>
      <c r="AC428" s="180"/>
      <c r="AD428" s="180"/>
      <c r="AE428" s="180"/>
      <c r="AF428" s="180"/>
      <c r="AG428" s="180"/>
      <c r="AH428" s="180"/>
      <c r="AI428" s="180">
        <v>0</v>
      </c>
      <c r="AJ428" s="181">
        <f t="shared" si="111"/>
        <v>0</v>
      </c>
      <c r="AK428" s="246">
        <f t="shared" si="117"/>
        <v>10000000</v>
      </c>
      <c r="AL428" s="181">
        <f t="shared" si="112"/>
        <v>100</v>
      </c>
      <c r="AM428" s="243"/>
    </row>
    <row r="429" spans="1:39" ht="24.75" customHeight="1" x14ac:dyDescent="0.25">
      <c r="A429" s="243"/>
      <c r="B429" s="341"/>
      <c r="C429" s="341"/>
      <c r="D429" s="341"/>
      <c r="E429" s="341"/>
      <c r="F429" s="341"/>
      <c r="G429" s="341"/>
      <c r="H429" s="341"/>
      <c r="I429" s="342"/>
      <c r="J429" s="341" t="s">
        <v>309</v>
      </c>
      <c r="K429" s="245"/>
      <c r="L429" s="257"/>
      <c r="M429" s="591" t="s">
        <v>321</v>
      </c>
      <c r="N429" s="592"/>
      <c r="O429" s="179"/>
      <c r="P429" s="180"/>
      <c r="Q429" s="180">
        <v>39600000</v>
      </c>
      <c r="R429" s="181">
        <f t="shared" si="118"/>
        <v>22.060298148271944</v>
      </c>
      <c r="S429" s="181">
        <v>100</v>
      </c>
      <c r="T429" s="180">
        <f t="shared" si="114"/>
        <v>0</v>
      </c>
      <c r="U429" s="180">
        <f t="shared" si="119"/>
        <v>0</v>
      </c>
      <c r="V429" s="182">
        <f t="shared" si="92"/>
        <v>100</v>
      </c>
      <c r="W429" s="180"/>
      <c r="X429" s="180"/>
      <c r="Y429" s="180"/>
      <c r="Z429" s="180"/>
      <c r="AA429" s="180"/>
      <c r="AB429" s="180"/>
      <c r="AC429" s="180"/>
      <c r="AD429" s="180"/>
      <c r="AE429" s="180"/>
      <c r="AF429" s="180"/>
      <c r="AG429" s="180"/>
      <c r="AH429" s="180"/>
      <c r="AI429" s="180">
        <v>0</v>
      </c>
      <c r="AJ429" s="181">
        <f t="shared" si="111"/>
        <v>0</v>
      </c>
      <c r="AK429" s="246">
        <f t="shared" si="117"/>
        <v>39600000</v>
      </c>
      <c r="AL429" s="181">
        <f t="shared" si="112"/>
        <v>100</v>
      </c>
      <c r="AM429" s="243"/>
    </row>
    <row r="430" spans="1:39" ht="24.75" customHeight="1" x14ac:dyDescent="0.25">
      <c r="A430" s="243"/>
      <c r="B430" s="341"/>
      <c r="C430" s="341"/>
      <c r="D430" s="341"/>
      <c r="E430" s="341"/>
      <c r="F430" s="341"/>
      <c r="G430" s="341"/>
      <c r="H430" s="341"/>
      <c r="I430" s="342"/>
      <c r="J430" s="341" t="s">
        <v>407</v>
      </c>
      <c r="K430" s="245"/>
      <c r="L430" s="257"/>
      <c r="M430" s="591" t="s">
        <v>414</v>
      </c>
      <c r="N430" s="592"/>
      <c r="O430" s="179"/>
      <c r="P430" s="180"/>
      <c r="Q430" s="180">
        <v>9600000</v>
      </c>
      <c r="R430" s="181">
        <f t="shared" si="118"/>
        <v>5.3479510662477434</v>
      </c>
      <c r="S430" s="181"/>
      <c r="T430" s="180">
        <f t="shared" si="114"/>
        <v>0</v>
      </c>
      <c r="U430" s="180">
        <f t="shared" si="119"/>
        <v>0</v>
      </c>
      <c r="V430" s="182"/>
      <c r="W430" s="180"/>
      <c r="X430" s="180"/>
      <c r="Y430" s="180"/>
      <c r="Z430" s="180"/>
      <c r="AA430" s="180"/>
      <c r="AB430" s="180"/>
      <c r="AC430" s="180"/>
      <c r="AD430" s="180"/>
      <c r="AE430" s="180"/>
      <c r="AF430" s="180"/>
      <c r="AG430" s="180"/>
      <c r="AH430" s="180"/>
      <c r="AI430" s="180">
        <v>0</v>
      </c>
      <c r="AJ430" s="181">
        <f t="shared" si="111"/>
        <v>0</v>
      </c>
      <c r="AK430" s="246">
        <f t="shared" si="117"/>
        <v>9600000</v>
      </c>
      <c r="AL430" s="181">
        <f t="shared" si="112"/>
        <v>100</v>
      </c>
      <c r="AM430" s="243"/>
    </row>
    <row r="431" spans="1:39" s="297" customFormat="1" ht="24.75" customHeight="1" x14ac:dyDescent="0.25">
      <c r="A431" s="227">
        <f>A420+1</f>
        <v>55</v>
      </c>
      <c r="B431" s="615" t="s">
        <v>154</v>
      </c>
      <c r="C431" s="615"/>
      <c r="D431" s="615"/>
      <c r="E431" s="615"/>
      <c r="F431" s="615"/>
      <c r="G431" s="615"/>
      <c r="H431" s="615"/>
      <c r="I431" s="614"/>
      <c r="J431" s="304" t="s">
        <v>505</v>
      </c>
      <c r="K431" s="230"/>
      <c r="L431" s="294"/>
      <c r="M431" s="610" t="s">
        <v>54</v>
      </c>
      <c r="N431" s="610"/>
      <c r="O431" s="309">
        <v>255497500</v>
      </c>
      <c r="P431" s="231">
        <f>O431</f>
        <v>255497500</v>
      </c>
      <c r="Q431" s="231">
        <f>SUM(Q432:Q441)</f>
        <v>106437000</v>
      </c>
      <c r="R431" s="233">
        <f>Q431/Q$33*100</f>
        <v>0.33485230675987876</v>
      </c>
      <c r="S431" s="233">
        <v>100</v>
      </c>
      <c r="T431" s="231">
        <f t="shared" si="114"/>
        <v>0</v>
      </c>
      <c r="U431" s="231">
        <f t="shared" si="119"/>
        <v>0</v>
      </c>
      <c r="V431" s="296">
        <f t="shared" si="92"/>
        <v>100</v>
      </c>
      <c r="W431" s="231"/>
      <c r="X431" s="231" t="e">
        <f>#REF!</f>
        <v>#REF!</v>
      </c>
      <c r="Y431" s="231" t="e">
        <f>#REF!</f>
        <v>#REF!</v>
      </c>
      <c r="Z431" s="231" t="e">
        <f>#REF!</f>
        <v>#REF!</v>
      </c>
      <c r="AA431" s="231" t="e">
        <f>#REF!</f>
        <v>#REF!</v>
      </c>
      <c r="AB431" s="231">
        <v>62640000</v>
      </c>
      <c r="AC431" s="231" t="e">
        <f>#REF!</f>
        <v>#REF!</v>
      </c>
      <c r="AD431" s="231" t="e">
        <f>#REF!</f>
        <v>#REF!</v>
      </c>
      <c r="AE431" s="231" t="e">
        <f>#REF!</f>
        <v>#REF!</v>
      </c>
      <c r="AF431" s="231" t="e">
        <f>[1]April!N74</f>
        <v>#REF!</v>
      </c>
      <c r="AG431" s="231" t="e">
        <f>[2]april!N74</f>
        <v>#REF!</v>
      </c>
      <c r="AH431" s="231">
        <f>'[3]DES SKPD'!$N74</f>
        <v>327019800</v>
      </c>
      <c r="AI431" s="231">
        <f>SUM(AI432:AI441)</f>
        <v>0</v>
      </c>
      <c r="AJ431" s="233">
        <f t="shared" si="111"/>
        <v>0</v>
      </c>
      <c r="AK431" s="234">
        <f t="shared" si="117"/>
        <v>106437000</v>
      </c>
      <c r="AL431" s="233">
        <f t="shared" si="112"/>
        <v>100</v>
      </c>
      <c r="AM431" s="227"/>
    </row>
    <row r="432" spans="1:39" ht="24.75" customHeight="1" x14ac:dyDescent="0.25">
      <c r="A432" s="243"/>
      <c r="B432" s="341"/>
      <c r="C432" s="341"/>
      <c r="D432" s="341"/>
      <c r="E432" s="341"/>
      <c r="F432" s="341"/>
      <c r="G432" s="341"/>
      <c r="H432" s="341"/>
      <c r="I432" s="342"/>
      <c r="J432" s="341" t="s">
        <v>257</v>
      </c>
      <c r="K432" s="245"/>
      <c r="L432" s="257"/>
      <c r="M432" s="591" t="s">
        <v>324</v>
      </c>
      <c r="N432" s="592"/>
      <c r="O432" s="179"/>
      <c r="P432" s="180"/>
      <c r="Q432" s="180">
        <v>27357000</v>
      </c>
      <c r="R432" s="181">
        <f>Q432/Q$431*100</f>
        <v>25.702528256151524</v>
      </c>
      <c r="S432" s="181">
        <v>100</v>
      </c>
      <c r="T432" s="180">
        <f t="shared" si="114"/>
        <v>0</v>
      </c>
      <c r="U432" s="180">
        <f t="shared" si="119"/>
        <v>0</v>
      </c>
      <c r="V432" s="182">
        <f t="shared" si="92"/>
        <v>100</v>
      </c>
      <c r="W432" s="180"/>
      <c r="X432" s="180"/>
      <c r="Y432" s="180"/>
      <c r="Z432" s="180"/>
      <c r="AA432" s="180"/>
      <c r="AB432" s="180"/>
      <c r="AC432" s="180"/>
      <c r="AD432" s="180"/>
      <c r="AE432" s="180"/>
      <c r="AF432" s="180"/>
      <c r="AG432" s="180"/>
      <c r="AH432" s="180"/>
      <c r="AI432" s="180">
        <v>0</v>
      </c>
      <c r="AJ432" s="181">
        <f t="shared" si="111"/>
        <v>0</v>
      </c>
      <c r="AK432" s="246">
        <f t="shared" si="117"/>
        <v>27357000</v>
      </c>
      <c r="AL432" s="181">
        <f t="shared" si="112"/>
        <v>100</v>
      </c>
      <c r="AM432" s="243"/>
    </row>
    <row r="433" spans="1:39" ht="24.75" customHeight="1" x14ac:dyDescent="0.25">
      <c r="A433" s="243"/>
      <c r="B433" s="341"/>
      <c r="C433" s="341"/>
      <c r="D433" s="341"/>
      <c r="E433" s="341"/>
      <c r="F433" s="341"/>
      <c r="G433" s="341"/>
      <c r="H433" s="341"/>
      <c r="I433" s="342"/>
      <c r="J433" s="341" t="s">
        <v>269</v>
      </c>
      <c r="K433" s="245"/>
      <c r="L433" s="257"/>
      <c r="M433" s="591" t="s">
        <v>270</v>
      </c>
      <c r="N433" s="592"/>
      <c r="O433" s="179"/>
      <c r="P433" s="180"/>
      <c r="Q433" s="180">
        <v>4500000</v>
      </c>
      <c r="R433" s="181">
        <f t="shared" ref="R433:R441" si="120">Q433/Q$431*100</f>
        <v>4.2278530961977507</v>
      </c>
      <c r="S433" s="181">
        <v>100</v>
      </c>
      <c r="T433" s="180">
        <f t="shared" si="114"/>
        <v>0</v>
      </c>
      <c r="U433" s="180">
        <f t="shared" si="119"/>
        <v>0</v>
      </c>
      <c r="V433" s="182">
        <f t="shared" si="92"/>
        <v>100</v>
      </c>
      <c r="W433" s="180"/>
      <c r="X433" s="180"/>
      <c r="Y433" s="180"/>
      <c r="Z433" s="180"/>
      <c r="AA433" s="180"/>
      <c r="AB433" s="180"/>
      <c r="AC433" s="180"/>
      <c r="AD433" s="180"/>
      <c r="AE433" s="180"/>
      <c r="AF433" s="180"/>
      <c r="AG433" s="180"/>
      <c r="AH433" s="180"/>
      <c r="AI433" s="180">
        <v>0</v>
      </c>
      <c r="AJ433" s="181">
        <f t="shared" si="111"/>
        <v>0</v>
      </c>
      <c r="AK433" s="246">
        <f t="shared" si="117"/>
        <v>4500000</v>
      </c>
      <c r="AL433" s="181">
        <f t="shared" si="112"/>
        <v>100</v>
      </c>
      <c r="AM433" s="243"/>
    </row>
    <row r="434" spans="1:39" ht="24.75" customHeight="1" x14ac:dyDescent="0.25">
      <c r="A434" s="243"/>
      <c r="B434" s="341"/>
      <c r="C434" s="341"/>
      <c r="D434" s="341"/>
      <c r="E434" s="341"/>
      <c r="F434" s="341"/>
      <c r="G434" s="341"/>
      <c r="H434" s="341"/>
      <c r="I434" s="342"/>
      <c r="J434" s="341" t="s">
        <v>315</v>
      </c>
      <c r="K434" s="245"/>
      <c r="L434" s="257"/>
      <c r="M434" s="591" t="s">
        <v>271</v>
      </c>
      <c r="N434" s="592"/>
      <c r="O434" s="179"/>
      <c r="P434" s="180"/>
      <c r="Q434" s="180">
        <v>1580000</v>
      </c>
      <c r="R434" s="181">
        <f t="shared" si="120"/>
        <v>1.4844461982205437</v>
      </c>
      <c r="S434" s="181">
        <v>100</v>
      </c>
      <c r="T434" s="180">
        <f t="shared" si="114"/>
        <v>0</v>
      </c>
      <c r="U434" s="180">
        <f t="shared" si="119"/>
        <v>0</v>
      </c>
      <c r="V434" s="182">
        <f t="shared" si="92"/>
        <v>100</v>
      </c>
      <c r="W434" s="180"/>
      <c r="X434" s="180"/>
      <c r="Y434" s="180"/>
      <c r="Z434" s="180"/>
      <c r="AA434" s="180"/>
      <c r="AB434" s="180"/>
      <c r="AC434" s="180"/>
      <c r="AD434" s="180"/>
      <c r="AE434" s="180"/>
      <c r="AF434" s="180"/>
      <c r="AG434" s="180"/>
      <c r="AH434" s="180"/>
      <c r="AI434" s="180">
        <v>0</v>
      </c>
      <c r="AJ434" s="181">
        <f t="shared" si="111"/>
        <v>0</v>
      </c>
      <c r="AK434" s="246">
        <f t="shared" si="117"/>
        <v>1580000</v>
      </c>
      <c r="AL434" s="181">
        <f t="shared" si="112"/>
        <v>100</v>
      </c>
      <c r="AM434" s="243"/>
    </row>
    <row r="435" spans="1:39" ht="24.75" customHeight="1" x14ac:dyDescent="0.25">
      <c r="A435" s="243"/>
      <c r="B435" s="341"/>
      <c r="C435" s="341"/>
      <c r="D435" s="341"/>
      <c r="E435" s="341"/>
      <c r="F435" s="341"/>
      <c r="G435" s="341"/>
      <c r="H435" s="341"/>
      <c r="I435" s="342"/>
      <c r="J435" s="341" t="s">
        <v>328</v>
      </c>
      <c r="K435" s="245"/>
      <c r="L435" s="257"/>
      <c r="M435" s="591" t="s">
        <v>612</v>
      </c>
      <c r="N435" s="592"/>
      <c r="O435" s="179"/>
      <c r="P435" s="180"/>
      <c r="Q435" s="180">
        <v>500000</v>
      </c>
      <c r="R435" s="181">
        <f t="shared" si="120"/>
        <v>0.46976145513308343</v>
      </c>
      <c r="S435" s="181">
        <v>100</v>
      </c>
      <c r="T435" s="180">
        <f t="shared" si="114"/>
        <v>0</v>
      </c>
      <c r="U435" s="180">
        <f t="shared" si="119"/>
        <v>0</v>
      </c>
      <c r="V435" s="182">
        <f t="shared" si="92"/>
        <v>100</v>
      </c>
      <c r="W435" s="180"/>
      <c r="X435" s="180"/>
      <c r="Y435" s="180"/>
      <c r="Z435" s="180"/>
      <c r="AA435" s="180"/>
      <c r="AB435" s="180"/>
      <c r="AC435" s="180"/>
      <c r="AD435" s="180"/>
      <c r="AE435" s="180"/>
      <c r="AF435" s="180"/>
      <c r="AG435" s="180"/>
      <c r="AH435" s="180"/>
      <c r="AI435" s="180">
        <v>0</v>
      </c>
      <c r="AJ435" s="181">
        <f t="shared" si="111"/>
        <v>0</v>
      </c>
      <c r="AK435" s="246">
        <f t="shared" si="117"/>
        <v>500000</v>
      </c>
      <c r="AL435" s="181">
        <f t="shared" si="112"/>
        <v>100</v>
      </c>
      <c r="AM435" s="243"/>
    </row>
    <row r="436" spans="1:39" ht="29.25" customHeight="1" x14ac:dyDescent="0.25">
      <c r="A436" s="243"/>
      <c r="B436" s="341"/>
      <c r="C436" s="341"/>
      <c r="D436" s="341"/>
      <c r="E436" s="341"/>
      <c r="F436" s="341"/>
      <c r="G436" s="341"/>
      <c r="H436" s="341"/>
      <c r="I436" s="342"/>
      <c r="J436" s="341" t="s">
        <v>339</v>
      </c>
      <c r="K436" s="245"/>
      <c r="L436" s="257"/>
      <c r="M436" s="591" t="s">
        <v>613</v>
      </c>
      <c r="N436" s="592"/>
      <c r="O436" s="179"/>
      <c r="P436" s="180"/>
      <c r="Q436" s="180">
        <v>9400000</v>
      </c>
      <c r="R436" s="181">
        <f t="shared" si="120"/>
        <v>8.8315153565019671</v>
      </c>
      <c r="S436" s="181">
        <v>100</v>
      </c>
      <c r="T436" s="180">
        <f t="shared" si="114"/>
        <v>0</v>
      </c>
      <c r="U436" s="180">
        <f t="shared" si="119"/>
        <v>0</v>
      </c>
      <c r="V436" s="182">
        <f t="shared" si="92"/>
        <v>100</v>
      </c>
      <c r="W436" s="180"/>
      <c r="X436" s="180"/>
      <c r="Y436" s="180"/>
      <c r="Z436" s="180"/>
      <c r="AA436" s="180"/>
      <c r="AB436" s="180"/>
      <c r="AC436" s="180"/>
      <c r="AD436" s="180"/>
      <c r="AE436" s="180"/>
      <c r="AF436" s="180"/>
      <c r="AG436" s="180"/>
      <c r="AH436" s="180"/>
      <c r="AI436" s="180">
        <v>0</v>
      </c>
      <c r="AJ436" s="181">
        <f t="shared" si="111"/>
        <v>0</v>
      </c>
      <c r="AK436" s="246">
        <f t="shared" si="117"/>
        <v>9400000</v>
      </c>
      <c r="AL436" s="181">
        <f t="shared" si="112"/>
        <v>100</v>
      </c>
      <c r="AM436" s="243"/>
    </row>
    <row r="437" spans="1:39" ht="24.75" customHeight="1" x14ac:dyDescent="0.25">
      <c r="A437" s="243"/>
      <c r="B437" s="341"/>
      <c r="C437" s="341"/>
      <c r="D437" s="341"/>
      <c r="E437" s="341"/>
      <c r="F437" s="341"/>
      <c r="G437" s="341"/>
      <c r="H437" s="341"/>
      <c r="I437" s="342"/>
      <c r="J437" s="341" t="s">
        <v>284</v>
      </c>
      <c r="K437" s="245"/>
      <c r="L437" s="257"/>
      <c r="M437" s="591" t="s">
        <v>319</v>
      </c>
      <c r="N437" s="592"/>
      <c r="O437" s="179"/>
      <c r="P437" s="180"/>
      <c r="Q437" s="180">
        <v>24500000</v>
      </c>
      <c r="R437" s="181">
        <f t="shared" si="120"/>
        <v>23.018311301521088</v>
      </c>
      <c r="S437" s="181">
        <v>100</v>
      </c>
      <c r="T437" s="180">
        <f t="shared" si="114"/>
        <v>0</v>
      </c>
      <c r="U437" s="180">
        <f t="shared" si="119"/>
        <v>0</v>
      </c>
      <c r="V437" s="182">
        <f t="shared" si="92"/>
        <v>100</v>
      </c>
      <c r="W437" s="180"/>
      <c r="X437" s="180"/>
      <c r="Y437" s="180"/>
      <c r="Z437" s="180"/>
      <c r="AA437" s="180"/>
      <c r="AB437" s="180"/>
      <c r="AC437" s="180"/>
      <c r="AD437" s="180"/>
      <c r="AE437" s="180"/>
      <c r="AF437" s="180"/>
      <c r="AG437" s="180"/>
      <c r="AH437" s="180"/>
      <c r="AI437" s="180">
        <v>0</v>
      </c>
      <c r="AJ437" s="181">
        <f t="shared" si="111"/>
        <v>0</v>
      </c>
      <c r="AK437" s="246">
        <f t="shared" si="117"/>
        <v>24500000</v>
      </c>
      <c r="AL437" s="181">
        <f t="shared" si="112"/>
        <v>100</v>
      </c>
      <c r="AM437" s="243"/>
    </row>
    <row r="438" spans="1:39" ht="24.75" customHeight="1" x14ac:dyDescent="0.25">
      <c r="A438" s="243"/>
      <c r="B438" s="341"/>
      <c r="C438" s="341"/>
      <c r="D438" s="341"/>
      <c r="E438" s="341"/>
      <c r="F438" s="341"/>
      <c r="G438" s="341"/>
      <c r="H438" s="341"/>
      <c r="I438" s="342"/>
      <c r="J438" s="341" t="s">
        <v>282</v>
      </c>
      <c r="K438" s="245"/>
      <c r="L438" s="257"/>
      <c r="M438" s="591" t="s">
        <v>585</v>
      </c>
      <c r="N438" s="592"/>
      <c r="O438" s="179"/>
      <c r="P438" s="180"/>
      <c r="Q438" s="180">
        <v>2500000</v>
      </c>
      <c r="R438" s="181">
        <f t="shared" si="120"/>
        <v>2.348807275665417</v>
      </c>
      <c r="S438" s="181">
        <v>100</v>
      </c>
      <c r="T438" s="180">
        <f t="shared" si="114"/>
        <v>0</v>
      </c>
      <c r="U438" s="180">
        <f t="shared" si="119"/>
        <v>0</v>
      </c>
      <c r="V438" s="182">
        <f t="shared" si="92"/>
        <v>100</v>
      </c>
      <c r="W438" s="180"/>
      <c r="X438" s="180"/>
      <c r="Y438" s="180"/>
      <c r="Z438" s="180"/>
      <c r="AA438" s="180"/>
      <c r="AB438" s="180"/>
      <c r="AC438" s="180"/>
      <c r="AD438" s="180"/>
      <c r="AE438" s="180"/>
      <c r="AF438" s="180"/>
      <c r="AG438" s="180"/>
      <c r="AH438" s="180"/>
      <c r="AI438" s="180">
        <v>0</v>
      </c>
      <c r="AJ438" s="181">
        <f t="shared" si="111"/>
        <v>0</v>
      </c>
      <c r="AK438" s="246">
        <f t="shared" si="117"/>
        <v>2500000</v>
      </c>
      <c r="AL438" s="181">
        <f t="shared" si="112"/>
        <v>100</v>
      </c>
      <c r="AM438" s="243"/>
    </row>
    <row r="439" spans="1:39" ht="24.75" customHeight="1" x14ac:dyDescent="0.25">
      <c r="A439" s="243"/>
      <c r="B439" s="341"/>
      <c r="C439" s="341"/>
      <c r="D439" s="341"/>
      <c r="E439" s="341"/>
      <c r="F439" s="341"/>
      <c r="G439" s="341"/>
      <c r="H439" s="341"/>
      <c r="I439" s="342"/>
      <c r="J439" s="341" t="s">
        <v>282</v>
      </c>
      <c r="K439" s="245"/>
      <c r="L439" s="257"/>
      <c r="M439" s="591" t="s">
        <v>503</v>
      </c>
      <c r="N439" s="592"/>
      <c r="O439" s="179"/>
      <c r="P439" s="180"/>
      <c r="Q439" s="180">
        <v>23900000</v>
      </c>
      <c r="R439" s="181">
        <f t="shared" si="120"/>
        <v>22.454597555361389</v>
      </c>
      <c r="S439" s="181">
        <v>100</v>
      </c>
      <c r="T439" s="180">
        <f t="shared" si="114"/>
        <v>0</v>
      </c>
      <c r="U439" s="180">
        <f t="shared" si="119"/>
        <v>0</v>
      </c>
      <c r="V439" s="182">
        <f t="shared" si="92"/>
        <v>100</v>
      </c>
      <c r="W439" s="180"/>
      <c r="X439" s="180"/>
      <c r="Y439" s="180"/>
      <c r="Z439" s="180"/>
      <c r="AA439" s="180"/>
      <c r="AB439" s="180"/>
      <c r="AC439" s="180"/>
      <c r="AD439" s="180"/>
      <c r="AE439" s="180"/>
      <c r="AF439" s="180"/>
      <c r="AG439" s="180"/>
      <c r="AH439" s="180"/>
      <c r="AI439" s="180">
        <v>0</v>
      </c>
      <c r="AJ439" s="181">
        <f t="shared" si="111"/>
        <v>0</v>
      </c>
      <c r="AK439" s="246">
        <f t="shared" si="117"/>
        <v>23900000</v>
      </c>
      <c r="AL439" s="181">
        <f t="shared" si="112"/>
        <v>100</v>
      </c>
      <c r="AM439" s="243"/>
    </row>
    <row r="440" spans="1:39" ht="24.75" customHeight="1" x14ac:dyDescent="0.25">
      <c r="A440" s="243"/>
      <c r="B440" s="341"/>
      <c r="C440" s="341"/>
      <c r="D440" s="341"/>
      <c r="E440" s="341"/>
      <c r="F440" s="341"/>
      <c r="G440" s="341"/>
      <c r="H440" s="341"/>
      <c r="I440" s="342"/>
      <c r="J440" s="341" t="s">
        <v>320</v>
      </c>
      <c r="K440" s="245"/>
      <c r="L440" s="257"/>
      <c r="M440" s="591" t="s">
        <v>321</v>
      </c>
      <c r="N440" s="592"/>
      <c r="O440" s="179"/>
      <c r="P440" s="180"/>
      <c r="Q440" s="180">
        <v>7400000</v>
      </c>
      <c r="R440" s="181">
        <f t="shared" si="120"/>
        <v>6.9524695359696338</v>
      </c>
      <c r="S440" s="181">
        <v>100</v>
      </c>
      <c r="T440" s="180">
        <f t="shared" si="114"/>
        <v>0</v>
      </c>
      <c r="U440" s="180">
        <f t="shared" si="119"/>
        <v>0</v>
      </c>
      <c r="V440" s="182">
        <f t="shared" si="92"/>
        <v>100</v>
      </c>
      <c r="W440" s="180"/>
      <c r="X440" s="180"/>
      <c r="Y440" s="180"/>
      <c r="Z440" s="180"/>
      <c r="AA440" s="180"/>
      <c r="AB440" s="180"/>
      <c r="AC440" s="180"/>
      <c r="AD440" s="180"/>
      <c r="AE440" s="180"/>
      <c r="AF440" s="180"/>
      <c r="AG440" s="180"/>
      <c r="AH440" s="180"/>
      <c r="AI440" s="180">
        <v>0</v>
      </c>
      <c r="AJ440" s="181">
        <f t="shared" si="111"/>
        <v>0</v>
      </c>
      <c r="AK440" s="246">
        <f t="shared" si="117"/>
        <v>7400000</v>
      </c>
      <c r="AL440" s="181">
        <f t="shared" si="112"/>
        <v>100</v>
      </c>
      <c r="AM440" s="243"/>
    </row>
    <row r="441" spans="1:39" ht="24.75" customHeight="1" x14ac:dyDescent="0.25">
      <c r="A441" s="243"/>
      <c r="B441" s="341"/>
      <c r="C441" s="341"/>
      <c r="D441" s="341"/>
      <c r="E441" s="341"/>
      <c r="F441" s="341"/>
      <c r="G441" s="341"/>
      <c r="H441" s="341"/>
      <c r="I441" s="342"/>
      <c r="J441" s="341" t="s">
        <v>407</v>
      </c>
      <c r="K441" s="245"/>
      <c r="L441" s="257"/>
      <c r="M441" s="591" t="s">
        <v>614</v>
      </c>
      <c r="N441" s="592"/>
      <c r="O441" s="179"/>
      <c r="P441" s="180"/>
      <c r="Q441" s="180">
        <v>4800000</v>
      </c>
      <c r="R441" s="181">
        <f t="shared" si="120"/>
        <v>4.5097099692776013</v>
      </c>
      <c r="S441" s="181">
        <v>100</v>
      </c>
      <c r="T441" s="180">
        <f t="shared" si="114"/>
        <v>0</v>
      </c>
      <c r="U441" s="180">
        <f t="shared" si="119"/>
        <v>0</v>
      </c>
      <c r="V441" s="182">
        <f t="shared" si="92"/>
        <v>100</v>
      </c>
      <c r="W441" s="180"/>
      <c r="X441" s="180"/>
      <c r="Y441" s="180"/>
      <c r="Z441" s="180"/>
      <c r="AA441" s="180"/>
      <c r="AB441" s="180"/>
      <c r="AC441" s="180"/>
      <c r="AD441" s="180"/>
      <c r="AE441" s="180"/>
      <c r="AF441" s="180"/>
      <c r="AG441" s="180"/>
      <c r="AH441" s="180"/>
      <c r="AI441" s="180">
        <v>0</v>
      </c>
      <c r="AJ441" s="181">
        <f t="shared" si="111"/>
        <v>0</v>
      </c>
      <c r="AK441" s="246">
        <f t="shared" si="117"/>
        <v>4800000</v>
      </c>
      <c r="AL441" s="181">
        <f t="shared" si="112"/>
        <v>100</v>
      </c>
      <c r="AM441" s="243"/>
    </row>
    <row r="442" spans="1:39" s="297" customFormat="1" ht="28.5" customHeight="1" x14ac:dyDescent="0.25">
      <c r="A442" s="227">
        <f>A431+1</f>
        <v>56</v>
      </c>
      <c r="B442" s="618" t="s">
        <v>155</v>
      </c>
      <c r="C442" s="615"/>
      <c r="D442" s="615"/>
      <c r="E442" s="615"/>
      <c r="F442" s="615"/>
      <c r="G442" s="615"/>
      <c r="H442" s="615"/>
      <c r="I442" s="614"/>
      <c r="J442" s="304" t="s">
        <v>506</v>
      </c>
      <c r="K442" s="230"/>
      <c r="L442" s="294"/>
      <c r="M442" s="610" t="s">
        <v>55</v>
      </c>
      <c r="N442" s="612"/>
      <c r="O442" s="309">
        <v>589234000</v>
      </c>
      <c r="P442" s="231">
        <f>O442</f>
        <v>589234000</v>
      </c>
      <c r="Q442" s="231">
        <f>SUM(Q443:Q451)</f>
        <v>131960000</v>
      </c>
      <c r="R442" s="233">
        <f>Q442/Q$243*100</f>
        <v>1.1063188944167623</v>
      </c>
      <c r="S442" s="233">
        <v>100</v>
      </c>
      <c r="T442" s="231">
        <f t="shared" si="114"/>
        <v>0</v>
      </c>
      <c r="U442" s="231">
        <f t="shared" si="119"/>
        <v>0</v>
      </c>
      <c r="V442" s="296">
        <f t="shared" si="92"/>
        <v>100</v>
      </c>
      <c r="W442" s="231"/>
      <c r="X442" s="231" t="e">
        <f>#REF!</f>
        <v>#REF!</v>
      </c>
      <c r="Y442" s="231" t="e">
        <f>#REF!</f>
        <v>#REF!</v>
      </c>
      <c r="Z442" s="231" t="e">
        <f>#REF!</f>
        <v>#REF!</v>
      </c>
      <c r="AA442" s="231" t="e">
        <f>#REF!</f>
        <v>#REF!</v>
      </c>
      <c r="AB442" s="231">
        <v>371113894</v>
      </c>
      <c r="AC442" s="231" t="e">
        <f>#REF!</f>
        <v>#REF!</v>
      </c>
      <c r="AD442" s="231" t="e">
        <f>#REF!</f>
        <v>#REF!</v>
      </c>
      <c r="AE442" s="231" t="e">
        <f>#REF!</f>
        <v>#REF!</v>
      </c>
      <c r="AF442" s="231" t="e">
        <f>[1]April!N75</f>
        <v>#REF!</v>
      </c>
      <c r="AG442" s="231" t="e">
        <f>[2]april!N75</f>
        <v>#REF!</v>
      </c>
      <c r="AH442" s="231">
        <f>'[3]DES SKPD'!$N75</f>
        <v>574563894</v>
      </c>
      <c r="AI442" s="231">
        <f>SUM(AI443:AI451)</f>
        <v>0</v>
      </c>
      <c r="AJ442" s="233">
        <f t="shared" si="111"/>
        <v>0</v>
      </c>
      <c r="AK442" s="234">
        <f t="shared" si="117"/>
        <v>131960000</v>
      </c>
      <c r="AL442" s="233">
        <f t="shared" si="112"/>
        <v>100</v>
      </c>
      <c r="AM442" s="227"/>
    </row>
    <row r="443" spans="1:39" ht="24.75" customHeight="1" x14ac:dyDescent="0.25">
      <c r="A443" s="243"/>
      <c r="B443" s="341"/>
      <c r="C443" s="341"/>
      <c r="D443" s="341"/>
      <c r="E443" s="341"/>
      <c r="F443" s="341"/>
      <c r="G443" s="341"/>
      <c r="H443" s="341"/>
      <c r="I443" s="342"/>
      <c r="J443" s="341" t="s">
        <v>259</v>
      </c>
      <c r="K443" s="245"/>
      <c r="L443" s="257"/>
      <c r="M443" s="591" t="s">
        <v>260</v>
      </c>
      <c r="N443" s="592"/>
      <c r="O443" s="179"/>
      <c r="P443" s="180"/>
      <c r="Q443" s="180">
        <v>1540000</v>
      </c>
      <c r="R443" s="181">
        <f t="shared" ref="R443:R451" si="121">Q443/Q$442*100</f>
        <v>1.1670203091846014</v>
      </c>
      <c r="S443" s="181">
        <v>100</v>
      </c>
      <c r="T443" s="180">
        <f t="shared" si="114"/>
        <v>0</v>
      </c>
      <c r="U443" s="180">
        <f t="shared" si="119"/>
        <v>0</v>
      </c>
      <c r="V443" s="182">
        <f t="shared" si="92"/>
        <v>100</v>
      </c>
      <c r="W443" s="180"/>
      <c r="X443" s="180"/>
      <c r="Y443" s="180"/>
      <c r="Z443" s="180"/>
      <c r="AA443" s="180"/>
      <c r="AB443" s="180"/>
      <c r="AC443" s="180"/>
      <c r="AD443" s="180"/>
      <c r="AE443" s="180"/>
      <c r="AF443" s="180"/>
      <c r="AG443" s="180"/>
      <c r="AH443" s="180"/>
      <c r="AI443" s="180">
        <v>0</v>
      </c>
      <c r="AJ443" s="181">
        <f t="shared" si="111"/>
        <v>0</v>
      </c>
      <c r="AK443" s="246">
        <f t="shared" si="117"/>
        <v>1540000</v>
      </c>
      <c r="AL443" s="181">
        <f t="shared" si="112"/>
        <v>100</v>
      </c>
      <c r="AM443" s="243"/>
    </row>
    <row r="444" spans="1:39" ht="39" customHeight="1" x14ac:dyDescent="0.25">
      <c r="A444" s="243"/>
      <c r="B444" s="341"/>
      <c r="C444" s="341"/>
      <c r="D444" s="341"/>
      <c r="E444" s="341"/>
      <c r="F444" s="341"/>
      <c r="G444" s="341"/>
      <c r="H444" s="341"/>
      <c r="I444" s="342"/>
      <c r="J444" s="341" t="s">
        <v>345</v>
      </c>
      <c r="K444" s="245"/>
      <c r="L444" s="257"/>
      <c r="M444" s="591" t="s">
        <v>346</v>
      </c>
      <c r="N444" s="592"/>
      <c r="O444" s="179"/>
      <c r="P444" s="180"/>
      <c r="Q444" s="180">
        <v>1400000</v>
      </c>
      <c r="R444" s="181">
        <f t="shared" si="121"/>
        <v>1.0609275538041831</v>
      </c>
      <c r="S444" s="181">
        <v>100</v>
      </c>
      <c r="T444" s="180">
        <f t="shared" si="114"/>
        <v>0</v>
      </c>
      <c r="U444" s="180">
        <f t="shared" si="119"/>
        <v>0</v>
      </c>
      <c r="V444" s="182">
        <f t="shared" si="92"/>
        <v>100</v>
      </c>
      <c r="W444" s="180"/>
      <c r="X444" s="180"/>
      <c r="Y444" s="180"/>
      <c r="Z444" s="180"/>
      <c r="AA444" s="180"/>
      <c r="AB444" s="180"/>
      <c r="AC444" s="180"/>
      <c r="AD444" s="180"/>
      <c r="AE444" s="180"/>
      <c r="AF444" s="180"/>
      <c r="AG444" s="180"/>
      <c r="AH444" s="180"/>
      <c r="AI444" s="180">
        <v>0</v>
      </c>
      <c r="AJ444" s="181">
        <f t="shared" si="111"/>
        <v>0</v>
      </c>
      <c r="AK444" s="246">
        <f t="shared" si="117"/>
        <v>1400000</v>
      </c>
      <c r="AL444" s="181">
        <f t="shared" si="112"/>
        <v>100</v>
      </c>
      <c r="AM444" s="243"/>
    </row>
    <row r="445" spans="1:39" ht="24.75" customHeight="1" x14ac:dyDescent="0.25">
      <c r="A445" s="243"/>
      <c r="B445" s="341"/>
      <c r="C445" s="341"/>
      <c r="D445" s="341"/>
      <c r="E445" s="341"/>
      <c r="F445" s="341"/>
      <c r="G445" s="341"/>
      <c r="H445" s="341"/>
      <c r="I445" s="342"/>
      <c r="J445" s="341" t="s">
        <v>315</v>
      </c>
      <c r="K445" s="245"/>
      <c r="L445" s="257"/>
      <c r="M445" s="591" t="s">
        <v>271</v>
      </c>
      <c r="N445" s="592"/>
      <c r="O445" s="179"/>
      <c r="P445" s="180"/>
      <c r="Q445" s="180">
        <v>3400000</v>
      </c>
      <c r="R445" s="181">
        <f t="shared" si="121"/>
        <v>2.5765383449530157</v>
      </c>
      <c r="S445" s="181">
        <v>100</v>
      </c>
      <c r="T445" s="180">
        <f t="shared" si="114"/>
        <v>0</v>
      </c>
      <c r="U445" s="180">
        <f t="shared" si="119"/>
        <v>0</v>
      </c>
      <c r="V445" s="182">
        <f t="shared" si="92"/>
        <v>100</v>
      </c>
      <c r="W445" s="180"/>
      <c r="X445" s="180"/>
      <c r="Y445" s="180"/>
      <c r="Z445" s="180"/>
      <c r="AA445" s="180"/>
      <c r="AB445" s="180"/>
      <c r="AC445" s="180"/>
      <c r="AD445" s="180"/>
      <c r="AE445" s="180"/>
      <c r="AF445" s="180"/>
      <c r="AG445" s="180"/>
      <c r="AH445" s="180"/>
      <c r="AI445" s="180">
        <v>0</v>
      </c>
      <c r="AJ445" s="181">
        <f t="shared" si="111"/>
        <v>0</v>
      </c>
      <c r="AK445" s="246">
        <f t="shared" si="117"/>
        <v>3400000</v>
      </c>
      <c r="AL445" s="181">
        <f t="shared" si="112"/>
        <v>100</v>
      </c>
      <c r="AM445" s="243"/>
    </row>
    <row r="446" spans="1:39" ht="27.75" customHeight="1" x14ac:dyDescent="0.25">
      <c r="A446" s="243"/>
      <c r="B446" s="341"/>
      <c r="C446" s="341"/>
      <c r="D446" s="341"/>
      <c r="E446" s="341"/>
      <c r="F446" s="341"/>
      <c r="G446" s="341"/>
      <c r="H446" s="341"/>
      <c r="I446" s="342"/>
      <c r="J446" s="341" t="s">
        <v>318</v>
      </c>
      <c r="K446" s="245"/>
      <c r="L446" s="257"/>
      <c r="M446" s="591" t="s">
        <v>319</v>
      </c>
      <c r="N446" s="592"/>
      <c r="O446" s="179"/>
      <c r="P446" s="180"/>
      <c r="Q446" s="180">
        <v>64800000</v>
      </c>
      <c r="R446" s="181">
        <f t="shared" si="121"/>
        <v>49.105789633222194</v>
      </c>
      <c r="S446" s="181">
        <v>100</v>
      </c>
      <c r="T446" s="180">
        <f t="shared" si="114"/>
        <v>0</v>
      </c>
      <c r="U446" s="180">
        <f t="shared" si="119"/>
        <v>0</v>
      </c>
      <c r="V446" s="182">
        <f t="shared" si="92"/>
        <v>100</v>
      </c>
      <c r="W446" s="180"/>
      <c r="X446" s="180"/>
      <c r="Y446" s="180"/>
      <c r="Z446" s="180"/>
      <c r="AA446" s="180"/>
      <c r="AB446" s="180"/>
      <c r="AC446" s="180"/>
      <c r="AD446" s="180"/>
      <c r="AE446" s="180"/>
      <c r="AF446" s="180"/>
      <c r="AG446" s="180"/>
      <c r="AH446" s="180"/>
      <c r="AI446" s="180">
        <v>0</v>
      </c>
      <c r="AJ446" s="181">
        <f t="shared" si="111"/>
        <v>0</v>
      </c>
      <c r="AK446" s="246">
        <f t="shared" si="117"/>
        <v>64800000</v>
      </c>
      <c r="AL446" s="181">
        <f t="shared" si="112"/>
        <v>100</v>
      </c>
      <c r="AM446" s="243"/>
    </row>
    <row r="447" spans="1:39" ht="24.75" customHeight="1" x14ac:dyDescent="0.25">
      <c r="A447" s="243"/>
      <c r="B447" s="341"/>
      <c r="C447" s="341"/>
      <c r="D447" s="341"/>
      <c r="E447" s="341"/>
      <c r="F447" s="341"/>
      <c r="G447" s="341"/>
      <c r="H447" s="341"/>
      <c r="I447" s="342"/>
      <c r="J447" s="341" t="s">
        <v>330</v>
      </c>
      <c r="K447" s="245"/>
      <c r="L447" s="257"/>
      <c r="M447" s="591" t="s">
        <v>331</v>
      </c>
      <c r="N447" s="592"/>
      <c r="O447" s="179"/>
      <c r="P447" s="180"/>
      <c r="Q447" s="180">
        <v>12000000</v>
      </c>
      <c r="R447" s="181">
        <f t="shared" si="121"/>
        <v>9.0936647468929976</v>
      </c>
      <c r="S447" s="181">
        <v>100</v>
      </c>
      <c r="T447" s="180">
        <f t="shared" si="114"/>
        <v>0</v>
      </c>
      <c r="U447" s="180">
        <f t="shared" si="119"/>
        <v>0</v>
      </c>
      <c r="V447" s="182">
        <f t="shared" si="92"/>
        <v>100</v>
      </c>
      <c r="W447" s="180"/>
      <c r="X447" s="180"/>
      <c r="Y447" s="180"/>
      <c r="Z447" s="180"/>
      <c r="AA447" s="180"/>
      <c r="AB447" s="180"/>
      <c r="AC447" s="180"/>
      <c r="AD447" s="180"/>
      <c r="AE447" s="180"/>
      <c r="AF447" s="180"/>
      <c r="AG447" s="180"/>
      <c r="AH447" s="180"/>
      <c r="AI447" s="180">
        <v>0</v>
      </c>
      <c r="AJ447" s="181">
        <f t="shared" si="111"/>
        <v>0</v>
      </c>
      <c r="AK447" s="246">
        <f t="shared" si="117"/>
        <v>12000000</v>
      </c>
      <c r="AL447" s="181">
        <f t="shared" si="112"/>
        <v>100</v>
      </c>
      <c r="AM447" s="243"/>
    </row>
    <row r="448" spans="1:39" ht="24.75" customHeight="1" x14ac:dyDescent="0.25">
      <c r="A448" s="243"/>
      <c r="B448" s="341"/>
      <c r="C448" s="341"/>
      <c r="D448" s="341"/>
      <c r="E448" s="341"/>
      <c r="F448" s="341"/>
      <c r="G448" s="341"/>
      <c r="H448" s="341"/>
      <c r="I448" s="342"/>
      <c r="J448" s="341" t="s">
        <v>284</v>
      </c>
      <c r="K448" s="245"/>
      <c r="L448" s="257"/>
      <c r="M448" s="591" t="s">
        <v>585</v>
      </c>
      <c r="N448" s="592"/>
      <c r="O448" s="179"/>
      <c r="P448" s="180"/>
      <c r="Q448" s="180">
        <v>300000</v>
      </c>
      <c r="R448" s="181">
        <f t="shared" si="121"/>
        <v>0.22734161867232497</v>
      </c>
      <c r="S448" s="181">
        <v>100</v>
      </c>
      <c r="T448" s="180">
        <f t="shared" si="114"/>
        <v>0</v>
      </c>
      <c r="U448" s="180">
        <f t="shared" si="119"/>
        <v>0</v>
      </c>
      <c r="V448" s="182">
        <f t="shared" si="92"/>
        <v>100</v>
      </c>
      <c r="W448" s="180"/>
      <c r="X448" s="180"/>
      <c r="Y448" s="180"/>
      <c r="Z448" s="180"/>
      <c r="AA448" s="180"/>
      <c r="AB448" s="180"/>
      <c r="AC448" s="180"/>
      <c r="AD448" s="180"/>
      <c r="AE448" s="180"/>
      <c r="AF448" s="180"/>
      <c r="AG448" s="180"/>
      <c r="AH448" s="180"/>
      <c r="AI448" s="180">
        <v>0</v>
      </c>
      <c r="AJ448" s="181">
        <f t="shared" si="111"/>
        <v>0</v>
      </c>
      <c r="AK448" s="246">
        <f t="shared" si="117"/>
        <v>300000</v>
      </c>
      <c r="AL448" s="181">
        <f t="shared" si="112"/>
        <v>100</v>
      </c>
      <c r="AM448" s="243"/>
    </row>
    <row r="449" spans="1:39" ht="24.75" customHeight="1" x14ac:dyDescent="0.25">
      <c r="A449" s="243"/>
      <c r="B449" s="341"/>
      <c r="C449" s="341"/>
      <c r="D449" s="341"/>
      <c r="E449" s="341"/>
      <c r="F449" s="341"/>
      <c r="G449" s="341"/>
      <c r="H449" s="341"/>
      <c r="I449" s="342"/>
      <c r="J449" s="341" t="s">
        <v>282</v>
      </c>
      <c r="K449" s="245"/>
      <c r="L449" s="257"/>
      <c r="M449" s="591" t="s">
        <v>503</v>
      </c>
      <c r="N449" s="592"/>
      <c r="O449" s="179"/>
      <c r="P449" s="180"/>
      <c r="Q449" s="180">
        <v>26720000</v>
      </c>
      <c r="R449" s="181">
        <f t="shared" si="121"/>
        <v>20.248560169748409</v>
      </c>
      <c r="S449" s="181">
        <v>100</v>
      </c>
      <c r="T449" s="180">
        <f t="shared" si="114"/>
        <v>0</v>
      </c>
      <c r="U449" s="180">
        <f t="shared" si="119"/>
        <v>0</v>
      </c>
      <c r="V449" s="182">
        <f t="shared" si="92"/>
        <v>100</v>
      </c>
      <c r="W449" s="180"/>
      <c r="X449" s="180"/>
      <c r="Y449" s="180"/>
      <c r="Z449" s="180"/>
      <c r="AA449" s="180"/>
      <c r="AB449" s="180"/>
      <c r="AC449" s="180"/>
      <c r="AD449" s="180"/>
      <c r="AE449" s="180"/>
      <c r="AF449" s="180"/>
      <c r="AG449" s="180"/>
      <c r="AH449" s="180"/>
      <c r="AI449" s="180">
        <v>0</v>
      </c>
      <c r="AJ449" s="181">
        <f t="shared" si="111"/>
        <v>0</v>
      </c>
      <c r="AK449" s="246">
        <f t="shared" si="117"/>
        <v>26720000</v>
      </c>
      <c r="AL449" s="181">
        <f t="shared" si="112"/>
        <v>100</v>
      </c>
      <c r="AM449" s="243"/>
    </row>
    <row r="450" spans="1:39" ht="24.75" customHeight="1" x14ac:dyDescent="0.25">
      <c r="A450" s="243"/>
      <c r="B450" s="341"/>
      <c r="C450" s="341"/>
      <c r="D450" s="341"/>
      <c r="E450" s="341"/>
      <c r="F450" s="341"/>
      <c r="G450" s="341"/>
      <c r="H450" s="341"/>
      <c r="I450" s="342"/>
      <c r="J450" s="341" t="s">
        <v>320</v>
      </c>
      <c r="K450" s="245"/>
      <c r="L450" s="257"/>
      <c r="M450" s="591" t="s">
        <v>321</v>
      </c>
      <c r="N450" s="592"/>
      <c r="O450" s="179"/>
      <c r="P450" s="180"/>
      <c r="Q450" s="180">
        <v>13800000</v>
      </c>
      <c r="R450" s="181">
        <f t="shared" si="121"/>
        <v>10.457714458926947</v>
      </c>
      <c r="S450" s="181">
        <v>100</v>
      </c>
      <c r="T450" s="180">
        <f t="shared" si="114"/>
        <v>0</v>
      </c>
      <c r="U450" s="180">
        <f t="shared" si="119"/>
        <v>0</v>
      </c>
      <c r="V450" s="182">
        <f t="shared" si="92"/>
        <v>100</v>
      </c>
      <c r="W450" s="180"/>
      <c r="X450" s="180"/>
      <c r="Y450" s="180"/>
      <c r="Z450" s="180"/>
      <c r="AA450" s="180"/>
      <c r="AB450" s="180"/>
      <c r="AC450" s="180"/>
      <c r="AD450" s="180"/>
      <c r="AE450" s="180"/>
      <c r="AF450" s="180"/>
      <c r="AG450" s="180"/>
      <c r="AH450" s="180"/>
      <c r="AI450" s="180">
        <v>0</v>
      </c>
      <c r="AJ450" s="181">
        <f t="shared" si="111"/>
        <v>0</v>
      </c>
      <c r="AK450" s="246">
        <f t="shared" si="117"/>
        <v>13800000</v>
      </c>
      <c r="AL450" s="181">
        <f t="shared" si="112"/>
        <v>100</v>
      </c>
      <c r="AM450" s="243"/>
    </row>
    <row r="451" spans="1:39" ht="24.75" customHeight="1" x14ac:dyDescent="0.25">
      <c r="A451" s="243"/>
      <c r="B451" s="341"/>
      <c r="C451" s="341"/>
      <c r="D451" s="341"/>
      <c r="E451" s="341"/>
      <c r="F451" s="341"/>
      <c r="G451" s="341"/>
      <c r="H451" s="341"/>
      <c r="I451" s="342"/>
      <c r="J451" s="341" t="s">
        <v>407</v>
      </c>
      <c r="K451" s="245"/>
      <c r="L451" s="257"/>
      <c r="M451" s="591" t="s">
        <v>414</v>
      </c>
      <c r="N451" s="592"/>
      <c r="O451" s="179"/>
      <c r="P451" s="180"/>
      <c r="Q451" s="180">
        <v>8000000</v>
      </c>
      <c r="R451" s="181">
        <f t="shared" si="121"/>
        <v>6.0624431645953321</v>
      </c>
      <c r="S451" s="181"/>
      <c r="T451" s="180">
        <f t="shared" si="114"/>
        <v>0</v>
      </c>
      <c r="U451" s="180">
        <f t="shared" si="119"/>
        <v>0</v>
      </c>
      <c r="V451" s="182"/>
      <c r="W451" s="180"/>
      <c r="X451" s="180"/>
      <c r="Y451" s="180"/>
      <c r="Z451" s="180"/>
      <c r="AA451" s="180"/>
      <c r="AB451" s="180"/>
      <c r="AC451" s="180"/>
      <c r="AD451" s="180"/>
      <c r="AE451" s="180"/>
      <c r="AF451" s="180"/>
      <c r="AG451" s="180"/>
      <c r="AH451" s="180"/>
      <c r="AI451" s="180">
        <v>0</v>
      </c>
      <c r="AJ451" s="181">
        <f t="shared" si="111"/>
        <v>0</v>
      </c>
      <c r="AK451" s="246">
        <f t="shared" si="117"/>
        <v>8000000</v>
      </c>
      <c r="AL451" s="181">
        <f t="shared" si="112"/>
        <v>100</v>
      </c>
      <c r="AM451" s="243"/>
    </row>
    <row r="452" spans="1:39" s="297" customFormat="1" ht="30" customHeight="1" x14ac:dyDescent="0.25">
      <c r="A452" s="227">
        <f>A442+1</f>
        <v>57</v>
      </c>
      <c r="B452" s="615" t="s">
        <v>156</v>
      </c>
      <c r="C452" s="615"/>
      <c r="D452" s="615"/>
      <c r="E452" s="615"/>
      <c r="F452" s="615"/>
      <c r="G452" s="615"/>
      <c r="H452" s="615"/>
      <c r="I452" s="614"/>
      <c r="J452" s="304" t="s">
        <v>507</v>
      </c>
      <c r="K452" s="230"/>
      <c r="L452" s="294"/>
      <c r="M452" s="610" t="s">
        <v>157</v>
      </c>
      <c r="N452" s="610"/>
      <c r="O452" s="309">
        <v>1493981000</v>
      </c>
      <c r="P452" s="231">
        <f>O452</f>
        <v>1493981000</v>
      </c>
      <c r="Q452" s="231">
        <f>SUM(Q453:Q460)</f>
        <v>759011476</v>
      </c>
      <c r="R452" s="233">
        <f>Q452/Q$243*100</f>
        <v>6.3633581159287287</v>
      </c>
      <c r="S452" s="233">
        <v>100</v>
      </c>
      <c r="T452" s="231">
        <f t="shared" si="114"/>
        <v>0</v>
      </c>
      <c r="U452" s="231">
        <f t="shared" si="119"/>
        <v>0</v>
      </c>
      <c r="V452" s="296">
        <f t="shared" si="92"/>
        <v>100</v>
      </c>
      <c r="W452" s="231"/>
      <c r="X452" s="231" t="e">
        <f>#REF!</f>
        <v>#REF!</v>
      </c>
      <c r="Y452" s="231" t="e">
        <f>#REF!</f>
        <v>#REF!</v>
      </c>
      <c r="Z452" s="231" t="e">
        <f>#REF!</f>
        <v>#REF!</v>
      </c>
      <c r="AA452" s="231" t="e">
        <f>#REF!</f>
        <v>#REF!</v>
      </c>
      <c r="AB452" s="231">
        <v>366754000</v>
      </c>
      <c r="AC452" s="231" t="e">
        <f>#REF!</f>
        <v>#REF!</v>
      </c>
      <c r="AD452" s="231" t="e">
        <f>#REF!</f>
        <v>#REF!</v>
      </c>
      <c r="AE452" s="231" t="e">
        <f>#REF!</f>
        <v>#REF!</v>
      </c>
      <c r="AF452" s="231" t="e">
        <f>[1]April!N76</f>
        <v>#REF!</v>
      </c>
      <c r="AG452" s="231" t="e">
        <f>[2]april!N76</f>
        <v>#REF!</v>
      </c>
      <c r="AH452" s="231">
        <f>'[3]DES SKPD'!$N76</f>
        <v>1083037500</v>
      </c>
      <c r="AI452" s="231">
        <f>SUM(AI453:AI459)</f>
        <v>0</v>
      </c>
      <c r="AJ452" s="233">
        <f t="shared" si="111"/>
        <v>0</v>
      </c>
      <c r="AK452" s="234">
        <f t="shared" si="117"/>
        <v>759011476</v>
      </c>
      <c r="AL452" s="233">
        <f t="shared" si="112"/>
        <v>100</v>
      </c>
      <c r="AM452" s="227"/>
    </row>
    <row r="453" spans="1:39" ht="30" customHeight="1" x14ac:dyDescent="0.25">
      <c r="A453" s="243"/>
      <c r="B453" s="341"/>
      <c r="C453" s="341"/>
      <c r="D453" s="341"/>
      <c r="E453" s="341"/>
      <c r="F453" s="341"/>
      <c r="G453" s="341"/>
      <c r="H453" s="341"/>
      <c r="I453" s="342"/>
      <c r="J453" s="341" t="s">
        <v>259</v>
      </c>
      <c r="K453" s="245"/>
      <c r="L453" s="257"/>
      <c r="M453" s="591" t="s">
        <v>615</v>
      </c>
      <c r="N453" s="592"/>
      <c r="O453" s="179"/>
      <c r="P453" s="180"/>
      <c r="Q453" s="180">
        <v>3850000</v>
      </c>
      <c r="R453" s="181">
        <f t="shared" ref="R453:R459" si="122">Q453/Q$452*100</f>
        <v>0.5072387074158019</v>
      </c>
      <c r="S453" s="181">
        <v>100</v>
      </c>
      <c r="T453" s="180">
        <f t="shared" si="114"/>
        <v>0</v>
      </c>
      <c r="U453" s="180">
        <f t="shared" si="119"/>
        <v>0</v>
      </c>
      <c r="V453" s="182">
        <f t="shared" si="92"/>
        <v>100</v>
      </c>
      <c r="W453" s="180"/>
      <c r="X453" s="180"/>
      <c r="Y453" s="180"/>
      <c r="Z453" s="180"/>
      <c r="AA453" s="180"/>
      <c r="AB453" s="180"/>
      <c r="AC453" s="180"/>
      <c r="AD453" s="180"/>
      <c r="AE453" s="180"/>
      <c r="AF453" s="180"/>
      <c r="AG453" s="180"/>
      <c r="AH453" s="180"/>
      <c r="AI453" s="180">
        <v>0</v>
      </c>
      <c r="AJ453" s="181">
        <f t="shared" si="111"/>
        <v>0</v>
      </c>
      <c r="AK453" s="246">
        <f t="shared" si="117"/>
        <v>3850000</v>
      </c>
      <c r="AL453" s="181">
        <f t="shared" si="112"/>
        <v>100</v>
      </c>
      <c r="AM453" s="243"/>
    </row>
    <row r="454" spans="1:39" ht="30" customHeight="1" x14ac:dyDescent="0.25">
      <c r="A454" s="243"/>
      <c r="B454" s="341"/>
      <c r="C454" s="341"/>
      <c r="D454" s="341"/>
      <c r="E454" s="341"/>
      <c r="F454" s="341"/>
      <c r="G454" s="341"/>
      <c r="H454" s="341"/>
      <c r="I454" s="342"/>
      <c r="J454" s="341" t="s">
        <v>269</v>
      </c>
      <c r="K454" s="245"/>
      <c r="L454" s="257"/>
      <c r="M454" s="591" t="s">
        <v>354</v>
      </c>
      <c r="N454" s="592"/>
      <c r="O454" s="179"/>
      <c r="P454" s="180"/>
      <c r="Q454" s="180">
        <v>155506476</v>
      </c>
      <c r="R454" s="181">
        <f t="shared" si="122"/>
        <v>20.488026982084786</v>
      </c>
      <c r="S454" s="181">
        <v>100</v>
      </c>
      <c r="T454" s="180">
        <f t="shared" si="114"/>
        <v>0</v>
      </c>
      <c r="U454" s="180">
        <f t="shared" si="119"/>
        <v>0</v>
      </c>
      <c r="V454" s="182">
        <f t="shared" si="92"/>
        <v>100</v>
      </c>
      <c r="W454" s="180"/>
      <c r="X454" s="180"/>
      <c r="Y454" s="180"/>
      <c r="Z454" s="180"/>
      <c r="AA454" s="180"/>
      <c r="AB454" s="180"/>
      <c r="AC454" s="180"/>
      <c r="AD454" s="180"/>
      <c r="AE454" s="180"/>
      <c r="AF454" s="180"/>
      <c r="AG454" s="180"/>
      <c r="AH454" s="180"/>
      <c r="AI454" s="180">
        <v>0</v>
      </c>
      <c r="AJ454" s="181">
        <f t="shared" si="111"/>
        <v>0</v>
      </c>
      <c r="AK454" s="246">
        <f t="shared" si="117"/>
        <v>155506476</v>
      </c>
      <c r="AL454" s="181">
        <f t="shared" si="112"/>
        <v>100</v>
      </c>
      <c r="AM454" s="243"/>
    </row>
    <row r="455" spans="1:39" ht="30" customHeight="1" x14ac:dyDescent="0.25">
      <c r="A455" s="243"/>
      <c r="B455" s="341"/>
      <c r="C455" s="341"/>
      <c r="D455" s="341"/>
      <c r="E455" s="341"/>
      <c r="F455" s="341"/>
      <c r="G455" s="341"/>
      <c r="H455" s="341"/>
      <c r="I455" s="342"/>
      <c r="J455" s="341" t="s">
        <v>306</v>
      </c>
      <c r="K455" s="245"/>
      <c r="L455" s="257"/>
      <c r="M455" s="591" t="s">
        <v>352</v>
      </c>
      <c r="N455" s="592"/>
      <c r="O455" s="179"/>
      <c r="P455" s="180"/>
      <c r="Q455" s="180">
        <v>47955000</v>
      </c>
      <c r="R455" s="181">
        <f t="shared" si="122"/>
        <v>6.3180862893830607</v>
      </c>
      <c r="S455" s="181">
        <v>100</v>
      </c>
      <c r="T455" s="180">
        <f t="shared" si="114"/>
        <v>0</v>
      </c>
      <c r="U455" s="180">
        <f t="shared" si="119"/>
        <v>0</v>
      </c>
      <c r="V455" s="182">
        <f t="shared" si="92"/>
        <v>100</v>
      </c>
      <c r="W455" s="180"/>
      <c r="X455" s="180"/>
      <c r="Y455" s="180"/>
      <c r="Z455" s="180"/>
      <c r="AA455" s="180"/>
      <c r="AB455" s="180"/>
      <c r="AC455" s="180"/>
      <c r="AD455" s="180"/>
      <c r="AE455" s="180"/>
      <c r="AF455" s="180"/>
      <c r="AG455" s="180"/>
      <c r="AH455" s="180"/>
      <c r="AI455" s="180">
        <v>0</v>
      </c>
      <c r="AJ455" s="181">
        <f t="shared" si="111"/>
        <v>0</v>
      </c>
      <c r="AK455" s="246">
        <f t="shared" si="117"/>
        <v>47955000</v>
      </c>
      <c r="AL455" s="181">
        <f t="shared" si="112"/>
        <v>100</v>
      </c>
      <c r="AM455" s="243"/>
    </row>
    <row r="456" spans="1:39" ht="30" customHeight="1" x14ac:dyDescent="0.25">
      <c r="A456" s="243"/>
      <c r="B456" s="341"/>
      <c r="C456" s="341"/>
      <c r="D456" s="341"/>
      <c r="E456" s="341"/>
      <c r="F456" s="341"/>
      <c r="G456" s="341"/>
      <c r="H456" s="341"/>
      <c r="I456" s="342"/>
      <c r="J456" s="341" t="s">
        <v>308</v>
      </c>
      <c r="K456" s="245"/>
      <c r="L456" s="257"/>
      <c r="M456" s="591" t="s">
        <v>612</v>
      </c>
      <c r="N456" s="592"/>
      <c r="O456" s="179"/>
      <c r="P456" s="180"/>
      <c r="Q456" s="180">
        <v>5000000</v>
      </c>
      <c r="R456" s="181">
        <f t="shared" si="122"/>
        <v>0.65875156807247004</v>
      </c>
      <c r="S456" s="181">
        <v>100</v>
      </c>
      <c r="T456" s="180">
        <f t="shared" si="114"/>
        <v>0</v>
      </c>
      <c r="U456" s="180">
        <f t="shared" si="119"/>
        <v>0</v>
      </c>
      <c r="V456" s="182">
        <f t="shared" si="92"/>
        <v>100</v>
      </c>
      <c r="W456" s="180"/>
      <c r="X456" s="180"/>
      <c r="Y456" s="180"/>
      <c r="Z456" s="180"/>
      <c r="AA456" s="180"/>
      <c r="AB456" s="180"/>
      <c r="AC456" s="180"/>
      <c r="AD456" s="180"/>
      <c r="AE456" s="180"/>
      <c r="AF456" s="180"/>
      <c r="AG456" s="180"/>
      <c r="AH456" s="180"/>
      <c r="AI456" s="180">
        <v>0</v>
      </c>
      <c r="AJ456" s="181">
        <f t="shared" si="111"/>
        <v>0</v>
      </c>
      <c r="AK456" s="246">
        <f t="shared" si="117"/>
        <v>5000000</v>
      </c>
      <c r="AL456" s="181">
        <f t="shared" si="112"/>
        <v>100</v>
      </c>
      <c r="AM456" s="243"/>
    </row>
    <row r="457" spans="1:39" ht="30" customHeight="1" x14ac:dyDescent="0.25">
      <c r="A457" s="243"/>
      <c r="B457" s="341"/>
      <c r="C457" s="341"/>
      <c r="D457" s="341"/>
      <c r="E457" s="341"/>
      <c r="F457" s="341"/>
      <c r="G457" s="341"/>
      <c r="H457" s="341"/>
      <c r="I457" s="342"/>
      <c r="J457" s="341" t="s">
        <v>282</v>
      </c>
      <c r="K457" s="245"/>
      <c r="L457" s="257"/>
      <c r="M457" s="591" t="s">
        <v>616</v>
      </c>
      <c r="N457" s="592"/>
      <c r="O457" s="179"/>
      <c r="P457" s="180"/>
      <c r="Q457" s="180">
        <v>63700000</v>
      </c>
      <c r="R457" s="181">
        <f t="shared" si="122"/>
        <v>8.3924949772432687</v>
      </c>
      <c r="S457" s="181">
        <v>100</v>
      </c>
      <c r="T457" s="180">
        <f t="shared" si="114"/>
        <v>0</v>
      </c>
      <c r="U457" s="180">
        <f t="shared" si="119"/>
        <v>0</v>
      </c>
      <c r="V457" s="182">
        <f t="shared" si="92"/>
        <v>100</v>
      </c>
      <c r="W457" s="180"/>
      <c r="X457" s="180"/>
      <c r="Y457" s="180"/>
      <c r="Z457" s="180"/>
      <c r="AA457" s="180"/>
      <c r="AB457" s="180"/>
      <c r="AC457" s="180"/>
      <c r="AD457" s="180"/>
      <c r="AE457" s="180"/>
      <c r="AF457" s="180"/>
      <c r="AG457" s="180"/>
      <c r="AH457" s="180"/>
      <c r="AI457" s="180">
        <v>0</v>
      </c>
      <c r="AJ457" s="181">
        <f t="shared" si="111"/>
        <v>0</v>
      </c>
      <c r="AK457" s="246">
        <f t="shared" si="117"/>
        <v>63700000</v>
      </c>
      <c r="AL457" s="181">
        <f t="shared" si="112"/>
        <v>100</v>
      </c>
      <c r="AM457" s="243"/>
    </row>
    <row r="458" spans="1:39" ht="30" customHeight="1" x14ac:dyDescent="0.25">
      <c r="A458" s="243"/>
      <c r="B458" s="341"/>
      <c r="C458" s="341"/>
      <c r="D458" s="341"/>
      <c r="E458" s="341"/>
      <c r="F458" s="341"/>
      <c r="G458" s="341"/>
      <c r="H458" s="341"/>
      <c r="I458" s="342"/>
      <c r="J458" s="341" t="s">
        <v>308</v>
      </c>
      <c r="K458" s="245"/>
      <c r="L458" s="257"/>
      <c r="M458" s="591" t="s">
        <v>601</v>
      </c>
      <c r="N458" s="592"/>
      <c r="O458" s="179"/>
      <c r="P458" s="180"/>
      <c r="Q458" s="180">
        <v>225000000</v>
      </c>
      <c r="R458" s="181">
        <f t="shared" si="122"/>
        <v>29.643820563261151</v>
      </c>
      <c r="S458" s="181">
        <v>100</v>
      </c>
      <c r="T458" s="180">
        <f t="shared" si="114"/>
        <v>0</v>
      </c>
      <c r="U458" s="180">
        <f t="shared" si="119"/>
        <v>0</v>
      </c>
      <c r="V458" s="182">
        <f t="shared" si="92"/>
        <v>100</v>
      </c>
      <c r="W458" s="180"/>
      <c r="X458" s="180"/>
      <c r="Y458" s="180"/>
      <c r="Z458" s="180"/>
      <c r="AA458" s="180"/>
      <c r="AB458" s="180"/>
      <c r="AC458" s="180"/>
      <c r="AD458" s="180"/>
      <c r="AE458" s="180"/>
      <c r="AF458" s="180"/>
      <c r="AG458" s="180"/>
      <c r="AH458" s="180"/>
      <c r="AI458" s="180">
        <v>0</v>
      </c>
      <c r="AJ458" s="181">
        <f t="shared" si="111"/>
        <v>0</v>
      </c>
      <c r="AK458" s="246">
        <f t="shared" si="117"/>
        <v>225000000</v>
      </c>
      <c r="AL458" s="181">
        <f t="shared" si="112"/>
        <v>100</v>
      </c>
      <c r="AM458" s="243"/>
    </row>
    <row r="459" spans="1:39" ht="30" customHeight="1" x14ac:dyDescent="0.25">
      <c r="A459" s="243"/>
      <c r="B459" s="341"/>
      <c r="C459" s="341"/>
      <c r="D459" s="341"/>
      <c r="E459" s="341"/>
      <c r="F459" s="341"/>
      <c r="G459" s="341"/>
      <c r="H459" s="341"/>
      <c r="I459" s="342"/>
      <c r="J459" s="341" t="s">
        <v>309</v>
      </c>
      <c r="K459" s="245"/>
      <c r="L459" s="257"/>
      <c r="M459" s="591" t="s">
        <v>310</v>
      </c>
      <c r="N459" s="592"/>
      <c r="O459" s="179"/>
      <c r="P459" s="180"/>
      <c r="Q459" s="180">
        <v>28500000</v>
      </c>
      <c r="R459" s="181">
        <f t="shared" si="122"/>
        <v>3.7548839380130796</v>
      </c>
      <c r="S459" s="181">
        <v>100</v>
      </c>
      <c r="T459" s="180">
        <f t="shared" si="114"/>
        <v>0</v>
      </c>
      <c r="U459" s="180">
        <f t="shared" si="119"/>
        <v>0</v>
      </c>
      <c r="V459" s="182">
        <f t="shared" si="92"/>
        <v>100</v>
      </c>
      <c r="W459" s="180"/>
      <c r="X459" s="180"/>
      <c r="Y459" s="180"/>
      <c r="Z459" s="180"/>
      <c r="AA459" s="180"/>
      <c r="AB459" s="180"/>
      <c r="AC459" s="180"/>
      <c r="AD459" s="180"/>
      <c r="AE459" s="180"/>
      <c r="AF459" s="180"/>
      <c r="AG459" s="180"/>
      <c r="AH459" s="180"/>
      <c r="AI459" s="180">
        <v>0</v>
      </c>
      <c r="AJ459" s="181">
        <f t="shared" si="111"/>
        <v>0</v>
      </c>
      <c r="AK459" s="246">
        <f t="shared" si="117"/>
        <v>28500000</v>
      </c>
      <c r="AL459" s="181">
        <f t="shared" si="112"/>
        <v>100</v>
      </c>
      <c r="AM459" s="243"/>
    </row>
    <row r="460" spans="1:39" ht="30" customHeight="1" x14ac:dyDescent="0.25">
      <c r="A460" s="243"/>
      <c r="B460" s="358"/>
      <c r="C460" s="358"/>
      <c r="D460" s="358"/>
      <c r="E460" s="358"/>
      <c r="F460" s="358"/>
      <c r="G460" s="358"/>
      <c r="H460" s="358"/>
      <c r="I460" s="359"/>
      <c r="J460" s="358" t="s">
        <v>551</v>
      </c>
      <c r="K460" s="245"/>
      <c r="L460" s="257"/>
      <c r="M460" s="591" t="s">
        <v>550</v>
      </c>
      <c r="N460" s="592"/>
      <c r="O460" s="179"/>
      <c r="P460" s="180"/>
      <c r="Q460" s="180">
        <v>229500000</v>
      </c>
      <c r="R460" s="181">
        <f t="shared" ref="R460" si="123">Q460/Q$452*100</f>
        <v>30.236696974526378</v>
      </c>
      <c r="S460" s="181">
        <v>100</v>
      </c>
      <c r="T460" s="180">
        <f t="shared" ref="T460" si="124">AJ460</f>
        <v>0</v>
      </c>
      <c r="U460" s="180">
        <f t="shared" ref="U460" si="125">R460*T460/100</f>
        <v>0</v>
      </c>
      <c r="V460" s="182">
        <f t="shared" ref="V460" si="126">S460-T460</f>
        <v>100</v>
      </c>
      <c r="W460" s="180"/>
      <c r="X460" s="180"/>
      <c r="Y460" s="180"/>
      <c r="Z460" s="180"/>
      <c r="AA460" s="180"/>
      <c r="AB460" s="180"/>
      <c r="AC460" s="180"/>
      <c r="AD460" s="180"/>
      <c r="AE460" s="180"/>
      <c r="AF460" s="180"/>
      <c r="AG460" s="180"/>
      <c r="AH460" s="180"/>
      <c r="AI460" s="180">
        <v>0</v>
      </c>
      <c r="AJ460" s="181">
        <f t="shared" ref="AJ460" si="127">AI460/Q460*100</f>
        <v>0</v>
      </c>
      <c r="AK460" s="246">
        <f t="shared" ref="AK460" si="128">Q460-AI460</f>
        <v>229500000</v>
      </c>
      <c r="AL460" s="181">
        <f t="shared" ref="AL460" si="129">AK460/Q460*100</f>
        <v>100</v>
      </c>
      <c r="AM460" s="243"/>
    </row>
    <row r="461" spans="1:39" s="297" customFormat="1" ht="31.5" customHeight="1" x14ac:dyDescent="0.25">
      <c r="A461" s="227">
        <f>A452+1</f>
        <v>58</v>
      </c>
      <c r="B461" s="615" t="s">
        <v>158</v>
      </c>
      <c r="C461" s="615"/>
      <c r="D461" s="615"/>
      <c r="E461" s="615"/>
      <c r="F461" s="615"/>
      <c r="G461" s="615"/>
      <c r="H461" s="615"/>
      <c r="I461" s="614"/>
      <c r="J461" s="304" t="s">
        <v>508</v>
      </c>
      <c r="K461" s="230"/>
      <c r="L461" s="294"/>
      <c r="M461" s="609" t="s">
        <v>159</v>
      </c>
      <c r="N461" s="609"/>
      <c r="O461" s="309">
        <v>355300000</v>
      </c>
      <c r="P461" s="231">
        <f>O461</f>
        <v>355300000</v>
      </c>
      <c r="Q461" s="231">
        <f>SUM(Q462:Q470)</f>
        <v>83400000</v>
      </c>
      <c r="R461" s="233">
        <f>Q461/Q$33*100</f>
        <v>0.26237757907282139</v>
      </c>
      <c r="S461" s="233">
        <v>100</v>
      </c>
      <c r="T461" s="231">
        <f t="shared" si="114"/>
        <v>0</v>
      </c>
      <c r="U461" s="231">
        <f t="shared" si="119"/>
        <v>0</v>
      </c>
      <c r="V461" s="296">
        <f t="shared" si="92"/>
        <v>100</v>
      </c>
      <c r="W461" s="231"/>
      <c r="X461" s="231" t="e">
        <f>#REF!</f>
        <v>#REF!</v>
      </c>
      <c r="Y461" s="231" t="e">
        <f>#REF!</f>
        <v>#REF!</v>
      </c>
      <c r="Z461" s="231" t="e">
        <f>#REF!</f>
        <v>#REF!</v>
      </c>
      <c r="AA461" s="231" t="e">
        <f>#REF!</f>
        <v>#REF!</v>
      </c>
      <c r="AB461" s="231">
        <v>131395500</v>
      </c>
      <c r="AC461" s="231" t="e">
        <f>#REF!</f>
        <v>#REF!</v>
      </c>
      <c r="AD461" s="231" t="e">
        <f>#REF!</f>
        <v>#REF!</v>
      </c>
      <c r="AE461" s="231" t="e">
        <f>#REF!</f>
        <v>#REF!</v>
      </c>
      <c r="AF461" s="231" t="e">
        <f>[1]April!N67</f>
        <v>#REF!</v>
      </c>
      <c r="AG461" s="231" t="e">
        <f>[2]april!N77</f>
        <v>#REF!</v>
      </c>
      <c r="AH461" s="231">
        <f>'[3]DES SKPD'!$N77</f>
        <v>318242454</v>
      </c>
      <c r="AI461" s="231">
        <f>SUM(AI462:AI470)</f>
        <v>0</v>
      </c>
      <c r="AJ461" s="233">
        <f t="shared" si="111"/>
        <v>0</v>
      </c>
      <c r="AK461" s="234">
        <f t="shared" si="117"/>
        <v>83400000</v>
      </c>
      <c r="AL461" s="233">
        <f t="shared" si="112"/>
        <v>100</v>
      </c>
      <c r="AM461" s="227"/>
    </row>
    <row r="462" spans="1:39" ht="24.75" customHeight="1" x14ac:dyDescent="0.25">
      <c r="A462" s="243"/>
      <c r="B462" s="341"/>
      <c r="C462" s="341"/>
      <c r="D462" s="341"/>
      <c r="E462" s="341"/>
      <c r="F462" s="341"/>
      <c r="G462" s="341"/>
      <c r="H462" s="341"/>
      <c r="I462" s="342"/>
      <c r="J462" s="341" t="s">
        <v>257</v>
      </c>
      <c r="K462" s="245"/>
      <c r="L462" s="257"/>
      <c r="M462" s="591" t="s">
        <v>258</v>
      </c>
      <c r="N462" s="592"/>
      <c r="O462" s="179"/>
      <c r="P462" s="180"/>
      <c r="Q462" s="180">
        <v>2600000</v>
      </c>
      <c r="R462" s="181">
        <f>Q462/Q$461*100</f>
        <v>3.1175059952038371</v>
      </c>
      <c r="S462" s="181">
        <v>100</v>
      </c>
      <c r="T462" s="180">
        <f t="shared" si="114"/>
        <v>0</v>
      </c>
      <c r="U462" s="180">
        <f t="shared" si="119"/>
        <v>0</v>
      </c>
      <c r="V462" s="182">
        <f t="shared" si="92"/>
        <v>100</v>
      </c>
      <c r="W462" s="180"/>
      <c r="X462" s="180"/>
      <c r="Y462" s="180"/>
      <c r="Z462" s="180"/>
      <c r="AA462" s="180"/>
      <c r="AB462" s="180"/>
      <c r="AC462" s="180"/>
      <c r="AD462" s="180"/>
      <c r="AE462" s="180"/>
      <c r="AF462" s="180"/>
      <c r="AG462" s="180"/>
      <c r="AH462" s="180"/>
      <c r="AI462" s="180">
        <v>0</v>
      </c>
      <c r="AJ462" s="181">
        <f t="shared" si="111"/>
        <v>0</v>
      </c>
      <c r="AK462" s="246">
        <f t="shared" si="117"/>
        <v>2600000</v>
      </c>
      <c r="AL462" s="181">
        <f t="shared" si="112"/>
        <v>100</v>
      </c>
      <c r="AM462" s="243"/>
    </row>
    <row r="463" spans="1:39" ht="24.75" customHeight="1" x14ac:dyDescent="0.25">
      <c r="A463" s="243"/>
      <c r="B463" s="341"/>
      <c r="C463" s="341"/>
      <c r="D463" s="341"/>
      <c r="E463" s="341"/>
      <c r="F463" s="341"/>
      <c r="G463" s="341"/>
      <c r="H463" s="341"/>
      <c r="I463" s="342"/>
      <c r="J463" s="341" t="s">
        <v>269</v>
      </c>
      <c r="K463" s="245"/>
      <c r="L463" s="257"/>
      <c r="M463" s="591" t="s">
        <v>352</v>
      </c>
      <c r="N463" s="592"/>
      <c r="O463" s="179"/>
      <c r="P463" s="180"/>
      <c r="Q463" s="180">
        <v>3000000</v>
      </c>
      <c r="R463" s="181">
        <f t="shared" ref="R463:R470" si="130">Q463/Q$461*100</f>
        <v>3.5971223021582732</v>
      </c>
      <c r="S463" s="181">
        <v>100</v>
      </c>
      <c r="T463" s="180">
        <f t="shared" si="114"/>
        <v>0</v>
      </c>
      <c r="U463" s="180">
        <f t="shared" si="119"/>
        <v>0</v>
      </c>
      <c r="V463" s="182">
        <f t="shared" si="92"/>
        <v>100</v>
      </c>
      <c r="W463" s="180"/>
      <c r="X463" s="180"/>
      <c r="Y463" s="180"/>
      <c r="Z463" s="180"/>
      <c r="AA463" s="180"/>
      <c r="AB463" s="180"/>
      <c r="AC463" s="180"/>
      <c r="AD463" s="180"/>
      <c r="AE463" s="180"/>
      <c r="AF463" s="180"/>
      <c r="AG463" s="180"/>
      <c r="AH463" s="180"/>
      <c r="AI463" s="180">
        <v>0</v>
      </c>
      <c r="AJ463" s="181">
        <f t="shared" si="111"/>
        <v>0</v>
      </c>
      <c r="AK463" s="246">
        <f t="shared" si="117"/>
        <v>3000000</v>
      </c>
      <c r="AL463" s="181">
        <f t="shared" si="112"/>
        <v>100</v>
      </c>
      <c r="AM463" s="243"/>
    </row>
    <row r="464" spans="1:39" ht="24.75" customHeight="1" x14ac:dyDescent="0.25">
      <c r="A464" s="243"/>
      <c r="B464" s="341"/>
      <c r="C464" s="341"/>
      <c r="D464" s="341"/>
      <c r="E464" s="341"/>
      <c r="F464" s="341"/>
      <c r="G464" s="341"/>
      <c r="H464" s="341"/>
      <c r="I464" s="342"/>
      <c r="J464" s="341" t="s">
        <v>315</v>
      </c>
      <c r="K464" s="245"/>
      <c r="L464" s="257"/>
      <c r="M464" s="591" t="s">
        <v>271</v>
      </c>
      <c r="N464" s="592"/>
      <c r="O464" s="179"/>
      <c r="P464" s="180"/>
      <c r="Q464" s="180">
        <v>1400000</v>
      </c>
      <c r="R464" s="181">
        <f t="shared" si="130"/>
        <v>1.6786570743405276</v>
      </c>
      <c r="S464" s="181">
        <v>100</v>
      </c>
      <c r="T464" s="180">
        <f t="shared" si="114"/>
        <v>0</v>
      </c>
      <c r="U464" s="180">
        <f t="shared" si="119"/>
        <v>0</v>
      </c>
      <c r="V464" s="182">
        <f t="shared" si="92"/>
        <v>100</v>
      </c>
      <c r="W464" s="180"/>
      <c r="X464" s="180"/>
      <c r="Y464" s="180"/>
      <c r="Z464" s="180"/>
      <c r="AA464" s="180"/>
      <c r="AB464" s="180"/>
      <c r="AC464" s="180"/>
      <c r="AD464" s="180"/>
      <c r="AE464" s="180"/>
      <c r="AF464" s="180"/>
      <c r="AG464" s="180"/>
      <c r="AH464" s="180"/>
      <c r="AI464" s="180">
        <v>0</v>
      </c>
      <c r="AJ464" s="181">
        <f t="shared" si="111"/>
        <v>0</v>
      </c>
      <c r="AK464" s="246">
        <f t="shared" si="117"/>
        <v>1400000</v>
      </c>
      <c r="AL464" s="181">
        <f t="shared" si="112"/>
        <v>100</v>
      </c>
      <c r="AM464" s="243"/>
    </row>
    <row r="465" spans="1:39" ht="24.75" customHeight="1" x14ac:dyDescent="0.25">
      <c r="A465" s="243"/>
      <c r="B465" s="341"/>
      <c r="C465" s="341"/>
      <c r="D465" s="341"/>
      <c r="E465" s="341"/>
      <c r="F465" s="341"/>
      <c r="G465" s="341"/>
      <c r="H465" s="341"/>
      <c r="I465" s="342"/>
      <c r="J465" s="341"/>
      <c r="K465" s="245"/>
      <c r="L465" s="257"/>
      <c r="M465" s="591" t="s">
        <v>612</v>
      </c>
      <c r="N465" s="592"/>
      <c r="O465" s="179"/>
      <c r="P465" s="180"/>
      <c r="Q465" s="180">
        <v>1200000</v>
      </c>
      <c r="R465" s="181">
        <f t="shared" si="130"/>
        <v>1.4388489208633095</v>
      </c>
      <c r="S465" s="181">
        <v>100</v>
      </c>
      <c r="T465" s="180">
        <f t="shared" si="114"/>
        <v>0</v>
      </c>
      <c r="U465" s="180">
        <f t="shared" si="119"/>
        <v>0</v>
      </c>
      <c r="V465" s="182">
        <f t="shared" si="92"/>
        <v>100</v>
      </c>
      <c r="W465" s="180"/>
      <c r="X465" s="180"/>
      <c r="Y465" s="180"/>
      <c r="Z465" s="180"/>
      <c r="AA465" s="180"/>
      <c r="AB465" s="180"/>
      <c r="AC465" s="180"/>
      <c r="AD465" s="180"/>
      <c r="AE465" s="180"/>
      <c r="AF465" s="180"/>
      <c r="AG465" s="180"/>
      <c r="AH465" s="180"/>
      <c r="AI465" s="180">
        <v>0</v>
      </c>
      <c r="AJ465" s="181">
        <f t="shared" si="111"/>
        <v>0</v>
      </c>
      <c r="AK465" s="246">
        <f t="shared" si="117"/>
        <v>1200000</v>
      </c>
      <c r="AL465" s="181">
        <f t="shared" si="112"/>
        <v>100</v>
      </c>
      <c r="AM465" s="243"/>
    </row>
    <row r="466" spans="1:39" ht="33" customHeight="1" x14ac:dyDescent="0.25">
      <c r="A466" s="243"/>
      <c r="B466" s="341"/>
      <c r="C466" s="341"/>
      <c r="D466" s="341"/>
      <c r="E466" s="341"/>
      <c r="F466" s="341"/>
      <c r="G466" s="341"/>
      <c r="H466" s="341"/>
      <c r="I466" s="342"/>
      <c r="J466" s="341" t="s">
        <v>318</v>
      </c>
      <c r="K466" s="245"/>
      <c r="L466" s="257"/>
      <c r="M466" s="591" t="s">
        <v>319</v>
      </c>
      <c r="N466" s="592"/>
      <c r="O466" s="179"/>
      <c r="P466" s="180"/>
      <c r="Q466" s="180">
        <v>36000000</v>
      </c>
      <c r="R466" s="181">
        <f t="shared" si="130"/>
        <v>43.165467625899282</v>
      </c>
      <c r="S466" s="181">
        <v>100</v>
      </c>
      <c r="T466" s="180">
        <f t="shared" si="114"/>
        <v>0</v>
      </c>
      <c r="U466" s="180">
        <f t="shared" si="119"/>
        <v>0</v>
      </c>
      <c r="V466" s="182">
        <f t="shared" si="92"/>
        <v>100</v>
      </c>
      <c r="W466" s="180"/>
      <c r="X466" s="180"/>
      <c r="Y466" s="180"/>
      <c r="Z466" s="180"/>
      <c r="AA466" s="180"/>
      <c r="AB466" s="180"/>
      <c r="AC466" s="180"/>
      <c r="AD466" s="180"/>
      <c r="AE466" s="180"/>
      <c r="AF466" s="180"/>
      <c r="AG466" s="180"/>
      <c r="AH466" s="180"/>
      <c r="AI466" s="180">
        <v>0</v>
      </c>
      <c r="AJ466" s="181">
        <f t="shared" si="111"/>
        <v>0</v>
      </c>
      <c r="AK466" s="246">
        <f t="shared" si="117"/>
        <v>36000000</v>
      </c>
      <c r="AL466" s="181">
        <f t="shared" si="112"/>
        <v>100</v>
      </c>
      <c r="AM466" s="243"/>
    </row>
    <row r="467" spans="1:39" ht="24.75" customHeight="1" x14ac:dyDescent="0.25">
      <c r="A467" s="243"/>
      <c r="B467" s="341"/>
      <c r="C467" s="341"/>
      <c r="D467" s="341"/>
      <c r="E467" s="341"/>
      <c r="F467" s="341"/>
      <c r="G467" s="341"/>
      <c r="H467" s="341"/>
      <c r="I467" s="342"/>
      <c r="J467" s="341" t="s">
        <v>284</v>
      </c>
      <c r="K467" s="245"/>
      <c r="L467" s="257"/>
      <c r="M467" s="591" t="s">
        <v>285</v>
      </c>
      <c r="N467" s="592"/>
      <c r="O467" s="179"/>
      <c r="P467" s="180"/>
      <c r="Q467" s="180">
        <v>10000000</v>
      </c>
      <c r="R467" s="181">
        <f t="shared" si="130"/>
        <v>11.990407673860911</v>
      </c>
      <c r="S467" s="181">
        <v>100</v>
      </c>
      <c r="T467" s="180">
        <f t="shared" si="114"/>
        <v>0</v>
      </c>
      <c r="U467" s="180">
        <f t="shared" si="119"/>
        <v>0</v>
      </c>
      <c r="V467" s="182">
        <f t="shared" si="92"/>
        <v>100</v>
      </c>
      <c r="W467" s="180"/>
      <c r="X467" s="180"/>
      <c r="Y467" s="180"/>
      <c r="Z467" s="180"/>
      <c r="AA467" s="180"/>
      <c r="AB467" s="180"/>
      <c r="AC467" s="180"/>
      <c r="AD467" s="180"/>
      <c r="AE467" s="180"/>
      <c r="AF467" s="180"/>
      <c r="AG467" s="180"/>
      <c r="AH467" s="180"/>
      <c r="AI467" s="180">
        <v>0</v>
      </c>
      <c r="AJ467" s="181">
        <f t="shared" si="111"/>
        <v>0</v>
      </c>
      <c r="AK467" s="246">
        <f t="shared" si="117"/>
        <v>10000000</v>
      </c>
      <c r="AL467" s="181">
        <f t="shared" si="112"/>
        <v>100</v>
      </c>
      <c r="AM467" s="243"/>
    </row>
    <row r="468" spans="1:39" ht="24.75" customHeight="1" x14ac:dyDescent="0.25">
      <c r="A468" s="243"/>
      <c r="B468" s="341"/>
      <c r="C468" s="341"/>
      <c r="D468" s="341"/>
      <c r="E468" s="341"/>
      <c r="F468" s="341"/>
      <c r="G468" s="341"/>
      <c r="H468" s="341"/>
      <c r="I468" s="342"/>
      <c r="J468" s="341"/>
      <c r="K468" s="245"/>
      <c r="L468" s="257"/>
      <c r="M468" s="591" t="s">
        <v>503</v>
      </c>
      <c r="N468" s="592"/>
      <c r="O468" s="179"/>
      <c r="P468" s="180"/>
      <c r="Q468" s="180">
        <v>12000000</v>
      </c>
      <c r="R468" s="181">
        <f t="shared" si="130"/>
        <v>14.388489208633093</v>
      </c>
      <c r="S468" s="181">
        <v>100</v>
      </c>
      <c r="T468" s="180">
        <f t="shared" si="114"/>
        <v>0</v>
      </c>
      <c r="U468" s="180">
        <f t="shared" si="119"/>
        <v>0</v>
      </c>
      <c r="V468" s="182">
        <f t="shared" si="92"/>
        <v>100</v>
      </c>
      <c r="W468" s="180"/>
      <c r="X468" s="180"/>
      <c r="Y468" s="180"/>
      <c r="Z468" s="180"/>
      <c r="AA468" s="180"/>
      <c r="AB468" s="180"/>
      <c r="AC468" s="180"/>
      <c r="AD468" s="180"/>
      <c r="AE468" s="180"/>
      <c r="AF468" s="180"/>
      <c r="AG468" s="180"/>
      <c r="AH468" s="180"/>
      <c r="AI468" s="180">
        <v>0</v>
      </c>
      <c r="AJ468" s="181">
        <f t="shared" si="111"/>
        <v>0</v>
      </c>
      <c r="AK468" s="246">
        <f t="shared" si="117"/>
        <v>12000000</v>
      </c>
      <c r="AL468" s="181">
        <f t="shared" si="112"/>
        <v>100</v>
      </c>
      <c r="AM468" s="243"/>
    </row>
    <row r="469" spans="1:39" ht="24.75" customHeight="1" x14ac:dyDescent="0.25">
      <c r="A469" s="243"/>
      <c r="B469" s="341"/>
      <c r="C469" s="341"/>
      <c r="D469" s="341"/>
      <c r="E469" s="341"/>
      <c r="F469" s="341"/>
      <c r="G469" s="341"/>
      <c r="H469" s="341"/>
      <c r="I469" s="342"/>
      <c r="J469" s="341" t="s">
        <v>320</v>
      </c>
      <c r="K469" s="245"/>
      <c r="L469" s="257"/>
      <c r="M469" s="611" t="s">
        <v>321</v>
      </c>
      <c r="N469" s="598"/>
      <c r="O469" s="179"/>
      <c r="P469" s="180"/>
      <c r="Q469" s="180">
        <v>11600000</v>
      </c>
      <c r="R469" s="181">
        <f t="shared" si="130"/>
        <v>13.908872901678656</v>
      </c>
      <c r="S469" s="181">
        <v>100</v>
      </c>
      <c r="T469" s="180">
        <f t="shared" si="114"/>
        <v>0</v>
      </c>
      <c r="U469" s="180">
        <f t="shared" si="119"/>
        <v>0</v>
      </c>
      <c r="V469" s="182">
        <f t="shared" si="92"/>
        <v>100</v>
      </c>
      <c r="W469" s="180"/>
      <c r="X469" s="180"/>
      <c r="Y469" s="180"/>
      <c r="Z469" s="180"/>
      <c r="AA469" s="180"/>
      <c r="AB469" s="180"/>
      <c r="AC469" s="180"/>
      <c r="AD469" s="180"/>
      <c r="AE469" s="180"/>
      <c r="AF469" s="180"/>
      <c r="AG469" s="180"/>
      <c r="AH469" s="180"/>
      <c r="AI469" s="180">
        <v>0</v>
      </c>
      <c r="AJ469" s="181">
        <f t="shared" ref="AJ469:AJ532" si="131">AI469/Q469*100</f>
        <v>0</v>
      </c>
      <c r="AK469" s="246">
        <f t="shared" si="117"/>
        <v>11600000</v>
      </c>
      <c r="AL469" s="181">
        <f t="shared" ref="AL469:AL506" si="132">AK469/Q469*100</f>
        <v>100</v>
      </c>
      <c r="AM469" s="243"/>
    </row>
    <row r="470" spans="1:39" ht="24.75" customHeight="1" x14ac:dyDescent="0.25">
      <c r="A470" s="243"/>
      <c r="B470" s="341"/>
      <c r="C470" s="341"/>
      <c r="D470" s="341"/>
      <c r="E470" s="341"/>
      <c r="F470" s="341"/>
      <c r="G470" s="341"/>
      <c r="H470" s="341"/>
      <c r="I470" s="342"/>
      <c r="J470" s="341" t="s">
        <v>407</v>
      </c>
      <c r="K470" s="245"/>
      <c r="L470" s="257"/>
      <c r="M470" s="591" t="s">
        <v>414</v>
      </c>
      <c r="N470" s="592"/>
      <c r="O470" s="179"/>
      <c r="P470" s="180"/>
      <c r="Q470" s="180">
        <v>5600000</v>
      </c>
      <c r="R470" s="181">
        <f t="shared" si="130"/>
        <v>6.7146282973621103</v>
      </c>
      <c r="S470" s="181">
        <v>100</v>
      </c>
      <c r="T470" s="180">
        <f t="shared" si="114"/>
        <v>0</v>
      </c>
      <c r="U470" s="180">
        <f t="shared" si="119"/>
        <v>0</v>
      </c>
      <c r="V470" s="182">
        <f t="shared" si="92"/>
        <v>100</v>
      </c>
      <c r="W470" s="180"/>
      <c r="X470" s="180"/>
      <c r="Y470" s="180"/>
      <c r="Z470" s="180"/>
      <c r="AA470" s="180"/>
      <c r="AB470" s="180"/>
      <c r="AC470" s="180"/>
      <c r="AD470" s="180"/>
      <c r="AE470" s="180"/>
      <c r="AF470" s="180"/>
      <c r="AG470" s="180"/>
      <c r="AH470" s="180"/>
      <c r="AI470" s="180">
        <v>0</v>
      </c>
      <c r="AJ470" s="181">
        <f t="shared" si="131"/>
        <v>0</v>
      </c>
      <c r="AK470" s="246">
        <f t="shared" si="117"/>
        <v>5600000</v>
      </c>
      <c r="AL470" s="181">
        <f t="shared" si="132"/>
        <v>100</v>
      </c>
      <c r="AM470" s="243"/>
    </row>
    <row r="471" spans="1:39" ht="33.75" customHeight="1" x14ac:dyDescent="0.25">
      <c r="A471" s="227">
        <v>59</v>
      </c>
      <c r="B471" s="341"/>
      <c r="C471" s="341"/>
      <c r="D471" s="341"/>
      <c r="E471" s="341"/>
      <c r="F471" s="341"/>
      <c r="G471" s="341"/>
      <c r="H471" s="341"/>
      <c r="I471" s="342"/>
      <c r="J471" s="304" t="s">
        <v>511</v>
      </c>
      <c r="K471" s="230"/>
      <c r="L471" s="294"/>
      <c r="M471" s="609" t="s">
        <v>512</v>
      </c>
      <c r="N471" s="609"/>
      <c r="O471" s="309">
        <v>355300000</v>
      </c>
      <c r="P471" s="231">
        <f>O471</f>
        <v>355300000</v>
      </c>
      <c r="Q471" s="231">
        <f>SUM(Q472:Q477)</f>
        <v>14850000</v>
      </c>
      <c r="R471" s="233">
        <f>Q471/Q$243*100</f>
        <v>0.12449860247111945</v>
      </c>
      <c r="S471" s="233">
        <v>100</v>
      </c>
      <c r="T471" s="231">
        <f t="shared" si="114"/>
        <v>0</v>
      </c>
      <c r="U471" s="231">
        <f t="shared" si="119"/>
        <v>0</v>
      </c>
      <c r="V471" s="296">
        <f t="shared" si="92"/>
        <v>100</v>
      </c>
      <c r="W471" s="231"/>
      <c r="X471" s="231" t="e">
        <f>#REF!</f>
        <v>#REF!</v>
      </c>
      <c r="Y471" s="231" t="e">
        <f>#REF!</f>
        <v>#REF!</v>
      </c>
      <c r="Z471" s="231" t="e">
        <f>#REF!</f>
        <v>#REF!</v>
      </c>
      <c r="AA471" s="231" t="e">
        <f>#REF!</f>
        <v>#REF!</v>
      </c>
      <c r="AB471" s="231">
        <v>131395500</v>
      </c>
      <c r="AC471" s="231" t="e">
        <f>#REF!</f>
        <v>#REF!</v>
      </c>
      <c r="AD471" s="231" t="e">
        <f>#REF!</f>
        <v>#REF!</v>
      </c>
      <c r="AE471" s="231" t="e">
        <f>#REF!</f>
        <v>#REF!</v>
      </c>
      <c r="AF471" s="231" t="e">
        <f>[1]April!N80</f>
        <v>#REF!</v>
      </c>
      <c r="AG471" s="231" t="e">
        <f>[2]april!N90</f>
        <v>#REF!</v>
      </c>
      <c r="AH471" s="231" t="e">
        <f>'[3]DES SKPD'!$N90</f>
        <v>#REF!</v>
      </c>
      <c r="AI471" s="231">
        <f>SUM(AI472:AI477)</f>
        <v>0</v>
      </c>
      <c r="AJ471" s="233">
        <f t="shared" si="131"/>
        <v>0</v>
      </c>
      <c r="AK471" s="234">
        <f t="shared" si="117"/>
        <v>14850000</v>
      </c>
      <c r="AL471" s="233">
        <f t="shared" si="132"/>
        <v>100</v>
      </c>
      <c r="AM471" s="227"/>
    </row>
    <row r="472" spans="1:39" ht="24.75" customHeight="1" x14ac:dyDescent="0.25">
      <c r="A472" s="243"/>
      <c r="B472" s="341"/>
      <c r="C472" s="341"/>
      <c r="D472" s="341"/>
      <c r="E472" s="341"/>
      <c r="F472" s="341"/>
      <c r="G472" s="341"/>
      <c r="H472" s="341"/>
      <c r="I472" s="342"/>
      <c r="J472" s="341" t="s">
        <v>257</v>
      </c>
      <c r="K472" s="245"/>
      <c r="L472" s="257"/>
      <c r="M472" s="591" t="s">
        <v>260</v>
      </c>
      <c r="N472" s="592"/>
      <c r="O472" s="179"/>
      <c r="P472" s="180"/>
      <c r="Q472" s="180">
        <v>650000</v>
      </c>
      <c r="R472" s="181">
        <f t="shared" ref="R472:R477" si="133">Q472/Q$471*100</f>
        <v>4.3771043771043772</v>
      </c>
      <c r="S472" s="181">
        <v>100</v>
      </c>
      <c r="T472" s="180">
        <f t="shared" si="114"/>
        <v>0</v>
      </c>
      <c r="U472" s="180">
        <f t="shared" si="119"/>
        <v>0</v>
      </c>
      <c r="V472" s="182">
        <f t="shared" si="92"/>
        <v>100</v>
      </c>
      <c r="W472" s="180"/>
      <c r="X472" s="180"/>
      <c r="Y472" s="180"/>
      <c r="Z472" s="180"/>
      <c r="AA472" s="180"/>
      <c r="AB472" s="180"/>
      <c r="AC472" s="180"/>
      <c r="AD472" s="180"/>
      <c r="AE472" s="180"/>
      <c r="AF472" s="180"/>
      <c r="AG472" s="180"/>
      <c r="AH472" s="180"/>
      <c r="AI472" s="180">
        <v>0</v>
      </c>
      <c r="AJ472" s="181">
        <f t="shared" si="131"/>
        <v>0</v>
      </c>
      <c r="AK472" s="246">
        <f t="shared" si="117"/>
        <v>650000</v>
      </c>
      <c r="AL472" s="181">
        <f t="shared" si="132"/>
        <v>100</v>
      </c>
      <c r="AM472" s="243"/>
    </row>
    <row r="473" spans="1:39" ht="24.75" customHeight="1" x14ac:dyDescent="0.25">
      <c r="A473" s="243"/>
      <c r="B473" s="341"/>
      <c r="C473" s="341"/>
      <c r="D473" s="341"/>
      <c r="E473" s="341"/>
      <c r="F473" s="341"/>
      <c r="G473" s="341"/>
      <c r="H473" s="341"/>
      <c r="I473" s="342"/>
      <c r="J473" s="341" t="s">
        <v>326</v>
      </c>
      <c r="K473" s="245"/>
      <c r="L473" s="257"/>
      <c r="M473" s="591" t="s">
        <v>351</v>
      </c>
      <c r="N473" s="592"/>
      <c r="O473" s="179"/>
      <c r="P473" s="180"/>
      <c r="Q473" s="180">
        <v>250000</v>
      </c>
      <c r="R473" s="181">
        <f t="shared" si="133"/>
        <v>1.6835016835016834</v>
      </c>
      <c r="S473" s="181">
        <v>100</v>
      </c>
      <c r="T473" s="180">
        <f t="shared" si="114"/>
        <v>0</v>
      </c>
      <c r="U473" s="180">
        <f t="shared" si="119"/>
        <v>0</v>
      </c>
      <c r="V473" s="182">
        <f t="shared" si="92"/>
        <v>100</v>
      </c>
      <c r="W473" s="180"/>
      <c r="X473" s="180"/>
      <c r="Y473" s="180"/>
      <c r="Z473" s="180"/>
      <c r="AA473" s="180"/>
      <c r="AB473" s="180"/>
      <c r="AC473" s="180"/>
      <c r="AD473" s="180"/>
      <c r="AE473" s="180"/>
      <c r="AF473" s="180"/>
      <c r="AG473" s="180"/>
      <c r="AH473" s="180"/>
      <c r="AI473" s="180">
        <v>0</v>
      </c>
      <c r="AJ473" s="181">
        <f t="shared" si="131"/>
        <v>0</v>
      </c>
      <c r="AK473" s="246">
        <f t="shared" si="117"/>
        <v>250000</v>
      </c>
      <c r="AL473" s="181">
        <f t="shared" si="132"/>
        <v>100</v>
      </c>
      <c r="AM473" s="243"/>
    </row>
    <row r="474" spans="1:39" ht="24.75" customHeight="1" x14ac:dyDescent="0.25">
      <c r="A474" s="243"/>
      <c r="B474" s="341"/>
      <c r="C474" s="341"/>
      <c r="D474" s="341"/>
      <c r="E474" s="341"/>
      <c r="F474" s="341"/>
      <c r="G474" s="341"/>
      <c r="H474" s="341"/>
      <c r="I474" s="342"/>
      <c r="J474" s="341" t="s">
        <v>315</v>
      </c>
      <c r="K474" s="245"/>
      <c r="L474" s="257"/>
      <c r="M474" s="591" t="s">
        <v>271</v>
      </c>
      <c r="N474" s="592"/>
      <c r="O474" s="179"/>
      <c r="P474" s="180"/>
      <c r="Q474" s="180">
        <v>250000</v>
      </c>
      <c r="R474" s="181">
        <f t="shared" si="133"/>
        <v>1.6835016835016834</v>
      </c>
      <c r="S474" s="181">
        <v>100</v>
      </c>
      <c r="T474" s="180">
        <f t="shared" si="114"/>
        <v>0</v>
      </c>
      <c r="U474" s="180">
        <f t="shared" si="119"/>
        <v>0</v>
      </c>
      <c r="V474" s="182">
        <f t="shared" si="92"/>
        <v>100</v>
      </c>
      <c r="W474" s="180"/>
      <c r="X474" s="180"/>
      <c r="Y474" s="180"/>
      <c r="Z474" s="180"/>
      <c r="AA474" s="180"/>
      <c r="AB474" s="180"/>
      <c r="AC474" s="180"/>
      <c r="AD474" s="180"/>
      <c r="AE474" s="180"/>
      <c r="AF474" s="180"/>
      <c r="AG474" s="180"/>
      <c r="AH474" s="180"/>
      <c r="AI474" s="180">
        <v>0</v>
      </c>
      <c r="AJ474" s="181">
        <f t="shared" si="131"/>
        <v>0</v>
      </c>
      <c r="AK474" s="246">
        <f t="shared" si="117"/>
        <v>250000</v>
      </c>
      <c r="AL474" s="181">
        <f t="shared" si="132"/>
        <v>100</v>
      </c>
      <c r="AM474" s="243"/>
    </row>
    <row r="475" spans="1:39" ht="29.25" customHeight="1" x14ac:dyDescent="0.25">
      <c r="A475" s="243"/>
      <c r="B475" s="341"/>
      <c r="C475" s="341"/>
      <c r="D475" s="341"/>
      <c r="E475" s="341"/>
      <c r="F475" s="341"/>
      <c r="G475" s="341"/>
      <c r="H475" s="341"/>
      <c r="I475" s="342"/>
      <c r="J475" s="341" t="s">
        <v>318</v>
      </c>
      <c r="K475" s="245"/>
      <c r="L475" s="257"/>
      <c r="M475" s="591" t="s">
        <v>329</v>
      </c>
      <c r="N475" s="592"/>
      <c r="O475" s="179"/>
      <c r="P475" s="180"/>
      <c r="Q475" s="180">
        <v>5000000</v>
      </c>
      <c r="R475" s="181">
        <f t="shared" si="133"/>
        <v>33.670033670033675</v>
      </c>
      <c r="S475" s="181">
        <v>100</v>
      </c>
      <c r="T475" s="180">
        <f t="shared" si="114"/>
        <v>0</v>
      </c>
      <c r="U475" s="180">
        <f t="shared" si="119"/>
        <v>0</v>
      </c>
      <c r="V475" s="182">
        <f t="shared" si="92"/>
        <v>100</v>
      </c>
      <c r="W475" s="180"/>
      <c r="X475" s="180"/>
      <c r="Y475" s="180"/>
      <c r="Z475" s="180"/>
      <c r="AA475" s="180"/>
      <c r="AB475" s="180"/>
      <c r="AC475" s="180"/>
      <c r="AD475" s="180"/>
      <c r="AE475" s="180"/>
      <c r="AF475" s="180"/>
      <c r="AG475" s="180"/>
      <c r="AH475" s="180"/>
      <c r="AI475" s="180">
        <v>0</v>
      </c>
      <c r="AJ475" s="181">
        <f t="shared" si="131"/>
        <v>0</v>
      </c>
      <c r="AK475" s="246">
        <f t="shared" si="117"/>
        <v>5000000</v>
      </c>
      <c r="AL475" s="181">
        <f t="shared" si="132"/>
        <v>100</v>
      </c>
      <c r="AM475" s="243"/>
    </row>
    <row r="476" spans="1:39" ht="29.25" customHeight="1" x14ac:dyDescent="0.25">
      <c r="A476" s="243"/>
      <c r="B476" s="341"/>
      <c r="C476" s="341"/>
      <c r="D476" s="341"/>
      <c r="E476" s="341"/>
      <c r="F476" s="341"/>
      <c r="G476" s="341"/>
      <c r="H476" s="341"/>
      <c r="I476" s="342"/>
      <c r="J476" s="341" t="s">
        <v>284</v>
      </c>
      <c r="K476" s="245"/>
      <c r="L476" s="257"/>
      <c r="M476" s="591" t="s">
        <v>285</v>
      </c>
      <c r="N476" s="592"/>
      <c r="O476" s="179"/>
      <c r="P476" s="180"/>
      <c r="Q476" s="180">
        <v>2200000</v>
      </c>
      <c r="R476" s="181">
        <f t="shared" si="133"/>
        <v>14.814814814814813</v>
      </c>
      <c r="S476" s="181">
        <v>100</v>
      </c>
      <c r="T476" s="180">
        <f t="shared" si="114"/>
        <v>0</v>
      </c>
      <c r="U476" s="180">
        <f t="shared" si="119"/>
        <v>0</v>
      </c>
      <c r="V476" s="182">
        <f t="shared" si="92"/>
        <v>100</v>
      </c>
      <c r="W476" s="180"/>
      <c r="X476" s="180"/>
      <c r="Y476" s="180"/>
      <c r="Z476" s="180"/>
      <c r="AA476" s="180"/>
      <c r="AB476" s="180"/>
      <c r="AC476" s="180"/>
      <c r="AD476" s="180"/>
      <c r="AE476" s="180"/>
      <c r="AF476" s="180"/>
      <c r="AG476" s="180"/>
      <c r="AH476" s="180"/>
      <c r="AI476" s="180">
        <v>0</v>
      </c>
      <c r="AJ476" s="181">
        <f t="shared" si="131"/>
        <v>0</v>
      </c>
      <c r="AK476" s="246">
        <f t="shared" si="117"/>
        <v>2200000</v>
      </c>
      <c r="AL476" s="181">
        <f t="shared" si="132"/>
        <v>100</v>
      </c>
      <c r="AM476" s="243"/>
    </row>
    <row r="477" spans="1:39" ht="24.75" customHeight="1" x14ac:dyDescent="0.25">
      <c r="A477" s="243"/>
      <c r="B477" s="341"/>
      <c r="C477" s="341"/>
      <c r="D477" s="341"/>
      <c r="E477" s="341"/>
      <c r="F477" s="341"/>
      <c r="G477" s="341"/>
      <c r="H477" s="341"/>
      <c r="I477" s="342"/>
      <c r="J477" s="341" t="s">
        <v>282</v>
      </c>
      <c r="K477" s="245"/>
      <c r="L477" s="257"/>
      <c r="M477" s="616" t="s">
        <v>418</v>
      </c>
      <c r="N477" s="617"/>
      <c r="O477" s="179"/>
      <c r="P477" s="180"/>
      <c r="Q477" s="180">
        <v>6500000</v>
      </c>
      <c r="R477" s="181">
        <f t="shared" si="133"/>
        <v>43.771043771043772</v>
      </c>
      <c r="S477" s="181">
        <v>100</v>
      </c>
      <c r="T477" s="180">
        <f t="shared" si="114"/>
        <v>0</v>
      </c>
      <c r="U477" s="180">
        <f t="shared" si="119"/>
        <v>0</v>
      </c>
      <c r="V477" s="182">
        <f t="shared" si="92"/>
        <v>100</v>
      </c>
      <c r="W477" s="180"/>
      <c r="X477" s="180"/>
      <c r="Y477" s="180"/>
      <c r="Z477" s="180"/>
      <c r="AA477" s="180"/>
      <c r="AB477" s="180"/>
      <c r="AC477" s="180"/>
      <c r="AD477" s="180"/>
      <c r="AE477" s="180"/>
      <c r="AF477" s="180"/>
      <c r="AG477" s="180"/>
      <c r="AH477" s="180"/>
      <c r="AI477" s="180">
        <v>0</v>
      </c>
      <c r="AJ477" s="181">
        <f t="shared" si="131"/>
        <v>0</v>
      </c>
      <c r="AK477" s="246">
        <f t="shared" si="117"/>
        <v>6500000</v>
      </c>
      <c r="AL477" s="181">
        <f t="shared" si="132"/>
        <v>100</v>
      </c>
      <c r="AM477" s="243"/>
    </row>
    <row r="478" spans="1:39" ht="30.75" customHeight="1" x14ac:dyDescent="0.25">
      <c r="A478" s="227">
        <v>60</v>
      </c>
      <c r="B478" s="341"/>
      <c r="C478" s="341"/>
      <c r="D478" s="341"/>
      <c r="E478" s="341"/>
      <c r="F478" s="341"/>
      <c r="G478" s="341"/>
      <c r="H478" s="341"/>
      <c r="I478" s="342"/>
      <c r="J478" s="304" t="s">
        <v>513</v>
      </c>
      <c r="M478" s="609" t="s">
        <v>160</v>
      </c>
      <c r="N478" s="609"/>
      <c r="O478" s="309">
        <v>355300000</v>
      </c>
      <c r="P478" s="231">
        <f>O478</f>
        <v>355300000</v>
      </c>
      <c r="Q478" s="231">
        <f>SUM(Q479:Q484)</f>
        <v>241740393</v>
      </c>
      <c r="R478" s="233">
        <f>Q478/Q$243*100</f>
        <v>2.0266896356443893</v>
      </c>
      <c r="S478" s="233">
        <v>100</v>
      </c>
      <c r="T478" s="231">
        <f t="shared" si="114"/>
        <v>0</v>
      </c>
      <c r="U478" s="231">
        <f t="shared" si="119"/>
        <v>0</v>
      </c>
      <c r="V478" s="296">
        <f t="shared" si="92"/>
        <v>100</v>
      </c>
      <c r="W478" s="231"/>
      <c r="X478" s="231" t="e">
        <f>#REF!</f>
        <v>#REF!</v>
      </c>
      <c r="Y478" s="231" t="e">
        <f>#REF!</f>
        <v>#REF!</v>
      </c>
      <c r="Z478" s="231" t="e">
        <f>#REF!</f>
        <v>#REF!</v>
      </c>
      <c r="AA478" s="231" t="e">
        <f>#REF!</f>
        <v>#REF!</v>
      </c>
      <c r="AB478" s="231">
        <v>131395500</v>
      </c>
      <c r="AC478" s="231" t="e">
        <f>#REF!</f>
        <v>#REF!</v>
      </c>
      <c r="AD478" s="231" t="e">
        <f>#REF!</f>
        <v>#REF!</v>
      </c>
      <c r="AE478" s="231" t="e">
        <f>#REF!</f>
        <v>#REF!</v>
      </c>
      <c r="AF478" s="231" t="e">
        <f>[1]April!N89</f>
        <v>#REF!</v>
      </c>
      <c r="AG478" s="231" t="e">
        <f>[2]april!N99</f>
        <v>#REF!</v>
      </c>
      <c r="AH478" s="231" t="e">
        <f>'[3]DES SKPD'!$N99</f>
        <v>#REF!</v>
      </c>
      <c r="AI478" s="231">
        <f>SUM(AI479:AI484)</f>
        <v>0</v>
      </c>
      <c r="AJ478" s="233">
        <f t="shared" si="131"/>
        <v>0</v>
      </c>
      <c r="AK478" s="234">
        <f>Q478-AI478</f>
        <v>241740393</v>
      </c>
      <c r="AL478" s="233">
        <f>AK478/Q478*100</f>
        <v>100</v>
      </c>
      <c r="AM478" s="243"/>
    </row>
    <row r="479" spans="1:39" ht="24.75" customHeight="1" x14ac:dyDescent="0.25">
      <c r="A479" s="243"/>
      <c r="B479" s="341"/>
      <c r="C479" s="341"/>
      <c r="D479" s="341"/>
      <c r="E479" s="341"/>
      <c r="F479" s="341"/>
      <c r="G479" s="341"/>
      <c r="H479" s="341"/>
      <c r="I479" s="342"/>
      <c r="J479" s="341" t="s">
        <v>257</v>
      </c>
      <c r="K479" s="245"/>
      <c r="L479" s="257"/>
      <c r="M479" s="591" t="s">
        <v>324</v>
      </c>
      <c r="N479" s="592"/>
      <c r="O479" s="179"/>
      <c r="P479" s="180"/>
      <c r="Q479" s="180">
        <v>15000000</v>
      </c>
      <c r="R479" s="181">
        <f>Q479/Q478*100</f>
        <v>6.2050035634714966</v>
      </c>
      <c r="S479" s="181">
        <v>100</v>
      </c>
      <c r="T479" s="180">
        <f t="shared" si="114"/>
        <v>0</v>
      </c>
      <c r="U479" s="180">
        <f t="shared" si="119"/>
        <v>0</v>
      </c>
      <c r="V479" s="182">
        <f t="shared" si="92"/>
        <v>100</v>
      </c>
      <c r="W479" s="180"/>
      <c r="X479" s="180"/>
      <c r="Y479" s="180"/>
      <c r="Z479" s="180"/>
      <c r="AA479" s="180"/>
      <c r="AB479" s="180"/>
      <c r="AC479" s="180"/>
      <c r="AD479" s="180"/>
      <c r="AE479" s="180"/>
      <c r="AF479" s="180"/>
      <c r="AG479" s="180"/>
      <c r="AH479" s="180"/>
      <c r="AI479" s="180">
        <v>0</v>
      </c>
      <c r="AJ479" s="181">
        <f t="shared" si="131"/>
        <v>0</v>
      </c>
      <c r="AK479" s="246">
        <f t="shared" si="117"/>
        <v>15000000</v>
      </c>
      <c r="AL479" s="181">
        <f t="shared" si="132"/>
        <v>100</v>
      </c>
      <c r="AM479" s="243"/>
    </row>
    <row r="480" spans="1:39" ht="24.75" customHeight="1" x14ac:dyDescent="0.25">
      <c r="A480" s="243"/>
      <c r="B480" s="341"/>
      <c r="C480" s="341"/>
      <c r="D480" s="341"/>
      <c r="E480" s="341"/>
      <c r="F480" s="341"/>
      <c r="G480" s="341"/>
      <c r="H480" s="341"/>
      <c r="I480" s="342"/>
      <c r="J480" s="341" t="s">
        <v>326</v>
      </c>
      <c r="K480" s="245"/>
      <c r="L480" s="257"/>
      <c r="M480" s="591" t="s">
        <v>428</v>
      </c>
      <c r="N480" s="592"/>
      <c r="O480" s="179"/>
      <c r="P480" s="180"/>
      <c r="Q480" s="180">
        <v>8000000</v>
      </c>
      <c r="R480" s="181">
        <f>Q480/Q478*100</f>
        <v>3.3093352338514648</v>
      </c>
      <c r="S480" s="181">
        <v>100</v>
      </c>
      <c r="T480" s="180">
        <f t="shared" si="114"/>
        <v>0</v>
      </c>
      <c r="U480" s="180">
        <f t="shared" si="119"/>
        <v>0</v>
      </c>
      <c r="V480" s="182">
        <f t="shared" si="92"/>
        <v>100</v>
      </c>
      <c r="W480" s="180"/>
      <c r="X480" s="180"/>
      <c r="Y480" s="180"/>
      <c r="Z480" s="180"/>
      <c r="AA480" s="180"/>
      <c r="AB480" s="180"/>
      <c r="AC480" s="180"/>
      <c r="AD480" s="180"/>
      <c r="AE480" s="180"/>
      <c r="AF480" s="180"/>
      <c r="AG480" s="180"/>
      <c r="AH480" s="180"/>
      <c r="AI480" s="180">
        <v>0</v>
      </c>
      <c r="AJ480" s="181">
        <f t="shared" si="131"/>
        <v>0</v>
      </c>
      <c r="AK480" s="246">
        <f t="shared" si="117"/>
        <v>8000000</v>
      </c>
      <c r="AL480" s="181">
        <f t="shared" si="132"/>
        <v>100</v>
      </c>
      <c r="AM480" s="243"/>
    </row>
    <row r="481" spans="1:39" ht="24.75" customHeight="1" x14ac:dyDescent="0.25">
      <c r="A481" s="227"/>
      <c r="B481" s="341"/>
      <c r="C481" s="341"/>
      <c r="D481" s="341"/>
      <c r="E481" s="341"/>
      <c r="F481" s="341"/>
      <c r="G481" s="341"/>
      <c r="H481" s="341"/>
      <c r="I481" s="342"/>
      <c r="J481" s="341" t="s">
        <v>315</v>
      </c>
      <c r="K481" s="245"/>
      <c r="L481" s="257"/>
      <c r="M481" s="591" t="s">
        <v>329</v>
      </c>
      <c r="N481" s="592"/>
      <c r="O481" s="179"/>
      <c r="P481" s="180"/>
      <c r="Q481" s="180">
        <v>24000000</v>
      </c>
      <c r="R481" s="181">
        <f>Q481/Q478*100</f>
        <v>9.9280057015543939</v>
      </c>
      <c r="S481" s="181">
        <v>100</v>
      </c>
      <c r="T481" s="180">
        <f t="shared" si="114"/>
        <v>0</v>
      </c>
      <c r="U481" s="180">
        <f t="shared" si="119"/>
        <v>0</v>
      </c>
      <c r="V481" s="182">
        <f t="shared" si="92"/>
        <v>100</v>
      </c>
      <c r="W481" s="180"/>
      <c r="X481" s="180"/>
      <c r="Y481" s="180"/>
      <c r="Z481" s="180"/>
      <c r="AA481" s="180"/>
      <c r="AB481" s="180"/>
      <c r="AC481" s="180"/>
      <c r="AD481" s="180"/>
      <c r="AE481" s="180"/>
      <c r="AF481" s="180"/>
      <c r="AG481" s="180"/>
      <c r="AH481" s="180"/>
      <c r="AI481" s="180">
        <v>0</v>
      </c>
      <c r="AJ481" s="181">
        <f t="shared" si="131"/>
        <v>0</v>
      </c>
      <c r="AK481" s="246">
        <f t="shared" si="117"/>
        <v>24000000</v>
      </c>
      <c r="AL481" s="181">
        <f t="shared" si="132"/>
        <v>100</v>
      </c>
      <c r="AM481" s="243"/>
    </row>
    <row r="482" spans="1:39" ht="24.75" customHeight="1" x14ac:dyDescent="0.25">
      <c r="A482" s="243"/>
      <c r="B482" s="341"/>
      <c r="C482" s="341"/>
      <c r="D482" s="341"/>
      <c r="E482" s="341"/>
      <c r="F482" s="341"/>
      <c r="G482" s="341"/>
      <c r="H482" s="341"/>
      <c r="I482" s="342"/>
      <c r="J482" s="341" t="s">
        <v>280</v>
      </c>
      <c r="K482" s="245"/>
      <c r="L482" s="257"/>
      <c r="M482" s="591" t="s">
        <v>585</v>
      </c>
      <c r="N482" s="592"/>
      <c r="O482" s="179"/>
      <c r="P482" s="180"/>
      <c r="Q482" s="180">
        <v>15000000</v>
      </c>
      <c r="R482" s="181">
        <f>Q482/Q478*100</f>
        <v>6.2050035634714966</v>
      </c>
      <c r="S482" s="181">
        <v>100</v>
      </c>
      <c r="T482" s="180">
        <f t="shared" si="114"/>
        <v>0</v>
      </c>
      <c r="U482" s="180">
        <f t="shared" si="119"/>
        <v>0</v>
      </c>
      <c r="V482" s="182">
        <f t="shared" si="92"/>
        <v>100</v>
      </c>
      <c r="W482" s="180"/>
      <c r="X482" s="180"/>
      <c r="Y482" s="180"/>
      <c r="Z482" s="180"/>
      <c r="AA482" s="180"/>
      <c r="AB482" s="180"/>
      <c r="AC482" s="180"/>
      <c r="AD482" s="180"/>
      <c r="AE482" s="180"/>
      <c r="AF482" s="180"/>
      <c r="AG482" s="180"/>
      <c r="AH482" s="180"/>
      <c r="AI482" s="180">
        <v>0</v>
      </c>
      <c r="AJ482" s="181">
        <f t="shared" si="131"/>
        <v>0</v>
      </c>
      <c r="AK482" s="246">
        <f t="shared" si="117"/>
        <v>15000000</v>
      </c>
      <c r="AL482" s="181">
        <f t="shared" si="132"/>
        <v>100</v>
      </c>
      <c r="AM482" s="243"/>
    </row>
    <row r="483" spans="1:39" ht="24.75" customHeight="1" x14ac:dyDescent="0.25">
      <c r="A483" s="243"/>
      <c r="B483" s="341"/>
      <c r="C483" s="341"/>
      <c r="D483" s="341"/>
      <c r="E483" s="341"/>
      <c r="F483" s="341"/>
      <c r="G483" s="341"/>
      <c r="H483" s="341"/>
      <c r="I483" s="342"/>
      <c r="J483" s="341" t="s">
        <v>284</v>
      </c>
      <c r="K483" s="245"/>
      <c r="L483" s="257"/>
      <c r="M483" s="591" t="s">
        <v>503</v>
      </c>
      <c r="N483" s="592"/>
      <c r="O483" s="179"/>
      <c r="P483" s="180"/>
      <c r="Q483" s="180">
        <v>29740393</v>
      </c>
      <c r="R483" s="181">
        <f>Q483/Q478*100</f>
        <v>12.302616302936183</v>
      </c>
      <c r="S483" s="181">
        <v>100</v>
      </c>
      <c r="T483" s="180">
        <f t="shared" si="114"/>
        <v>0</v>
      </c>
      <c r="U483" s="180">
        <f t="shared" si="119"/>
        <v>0</v>
      </c>
      <c r="V483" s="182">
        <f t="shared" si="92"/>
        <v>100</v>
      </c>
      <c r="W483" s="180"/>
      <c r="X483" s="180"/>
      <c r="Y483" s="180"/>
      <c r="Z483" s="180"/>
      <c r="AA483" s="180"/>
      <c r="AB483" s="180"/>
      <c r="AC483" s="180"/>
      <c r="AD483" s="180"/>
      <c r="AE483" s="180"/>
      <c r="AF483" s="180"/>
      <c r="AG483" s="180"/>
      <c r="AH483" s="180"/>
      <c r="AI483" s="180">
        <v>0</v>
      </c>
      <c r="AJ483" s="181">
        <f t="shared" si="131"/>
        <v>0</v>
      </c>
      <c r="AK483" s="246">
        <f t="shared" si="117"/>
        <v>29740393</v>
      </c>
      <c r="AL483" s="181">
        <f t="shared" si="132"/>
        <v>100</v>
      </c>
      <c r="AM483" s="243"/>
    </row>
    <row r="484" spans="1:39" ht="24.75" customHeight="1" x14ac:dyDescent="0.25">
      <c r="A484" s="243"/>
      <c r="B484" s="341"/>
      <c r="C484" s="341"/>
      <c r="D484" s="341"/>
      <c r="E484" s="341"/>
      <c r="F484" s="341"/>
      <c r="G484" s="341"/>
      <c r="H484" s="341"/>
      <c r="I484" s="342"/>
      <c r="J484" s="341" t="s">
        <v>282</v>
      </c>
      <c r="K484" s="245"/>
      <c r="L484" s="257"/>
      <c r="M484" s="591" t="s">
        <v>591</v>
      </c>
      <c r="N484" s="592"/>
      <c r="O484" s="179"/>
      <c r="P484" s="180"/>
      <c r="Q484" s="180">
        <v>150000000</v>
      </c>
      <c r="R484" s="181">
        <f>Q484/Q478*100</f>
        <v>62.050035634714959</v>
      </c>
      <c r="S484" s="181">
        <v>100</v>
      </c>
      <c r="T484" s="180">
        <f t="shared" si="114"/>
        <v>0</v>
      </c>
      <c r="U484" s="180">
        <f t="shared" si="119"/>
        <v>0</v>
      </c>
      <c r="V484" s="182">
        <f t="shared" si="92"/>
        <v>100</v>
      </c>
      <c r="W484" s="180"/>
      <c r="X484" s="180"/>
      <c r="Y484" s="180"/>
      <c r="Z484" s="180"/>
      <c r="AA484" s="180"/>
      <c r="AB484" s="180"/>
      <c r="AC484" s="180"/>
      <c r="AD484" s="180"/>
      <c r="AE484" s="180"/>
      <c r="AF484" s="180"/>
      <c r="AG484" s="180"/>
      <c r="AH484" s="180"/>
      <c r="AI484" s="180">
        <v>0</v>
      </c>
      <c r="AJ484" s="181">
        <f t="shared" si="131"/>
        <v>0</v>
      </c>
      <c r="AK484" s="246">
        <f t="shared" si="117"/>
        <v>150000000</v>
      </c>
      <c r="AL484" s="181">
        <f t="shared" si="132"/>
        <v>100</v>
      </c>
      <c r="AM484" s="243"/>
    </row>
    <row r="485" spans="1:39" s="297" customFormat="1" ht="27.75" customHeight="1" x14ac:dyDescent="0.25">
      <c r="A485" s="227">
        <v>61</v>
      </c>
      <c r="B485" s="346"/>
      <c r="C485" s="346"/>
      <c r="D485" s="346"/>
      <c r="E485" s="346"/>
      <c r="F485" s="346"/>
      <c r="G485" s="346"/>
      <c r="H485" s="346"/>
      <c r="I485" s="345"/>
      <c r="J485" s="304" t="s">
        <v>514</v>
      </c>
      <c r="K485" s="230"/>
      <c r="L485" s="294"/>
      <c r="M485" s="610" t="s">
        <v>200</v>
      </c>
      <c r="N485" s="612"/>
      <c r="O485" s="309"/>
      <c r="P485" s="231"/>
      <c r="Q485" s="231">
        <f>SUM(Q486:Q489)</f>
        <v>395380000</v>
      </c>
      <c r="R485" s="233">
        <f>Q485/Q$243*100</f>
        <v>3.3147648111132124</v>
      </c>
      <c r="S485" s="233">
        <v>100</v>
      </c>
      <c r="T485" s="231">
        <f t="shared" si="114"/>
        <v>34.798320602964239</v>
      </c>
      <c r="U485" s="231">
        <f t="shared" si="119"/>
        <v>1.1534824862054176</v>
      </c>
      <c r="V485" s="296">
        <f t="shared" si="92"/>
        <v>65.201679397035761</v>
      </c>
      <c r="W485" s="231"/>
      <c r="X485" s="231"/>
      <c r="Y485" s="231"/>
      <c r="Z485" s="231"/>
      <c r="AA485" s="231"/>
      <c r="AB485" s="231"/>
      <c r="AC485" s="231"/>
      <c r="AD485" s="231"/>
      <c r="AE485" s="231"/>
      <c r="AF485" s="231"/>
      <c r="AG485" s="231"/>
      <c r="AH485" s="231"/>
      <c r="AI485" s="231">
        <f>SUM(AI486:AI489)</f>
        <v>137585600</v>
      </c>
      <c r="AJ485" s="233">
        <f t="shared" si="131"/>
        <v>34.798320602964239</v>
      </c>
      <c r="AK485" s="234">
        <f t="shared" ref="AK485:AK490" si="134">Q485-AI485</f>
        <v>257794400</v>
      </c>
      <c r="AL485" s="233">
        <f t="shared" si="132"/>
        <v>65.201679397035761</v>
      </c>
      <c r="AM485" s="227"/>
    </row>
    <row r="486" spans="1:39" ht="29.25" customHeight="1" x14ac:dyDescent="0.25">
      <c r="A486" s="243"/>
      <c r="B486" s="341"/>
      <c r="C486" s="341"/>
      <c r="D486" s="341"/>
      <c r="E486" s="341"/>
      <c r="F486" s="341"/>
      <c r="G486" s="341"/>
      <c r="H486" s="341"/>
      <c r="I486" s="342"/>
      <c r="J486" s="341" t="s">
        <v>315</v>
      </c>
      <c r="K486" s="245"/>
      <c r="L486" s="257"/>
      <c r="M486" s="591" t="s">
        <v>271</v>
      </c>
      <c r="N486" s="592"/>
      <c r="O486" s="179"/>
      <c r="P486" s="180"/>
      <c r="Q486" s="180">
        <v>20295000</v>
      </c>
      <c r="R486" s="181">
        <f>Q486/Q$485*100</f>
        <v>5.1330365724113509</v>
      </c>
      <c r="S486" s="181">
        <v>100</v>
      </c>
      <c r="T486" s="180">
        <f t="shared" si="114"/>
        <v>99.744271988174432</v>
      </c>
      <c r="U486" s="180">
        <f t="shared" si="119"/>
        <v>5.1199099600384441</v>
      </c>
      <c r="V486" s="182">
        <f t="shared" si="92"/>
        <v>0.25572801182556759</v>
      </c>
      <c r="W486" s="180"/>
      <c r="X486" s="180"/>
      <c r="Y486" s="180"/>
      <c r="Z486" s="180"/>
      <c r="AA486" s="180"/>
      <c r="AB486" s="180"/>
      <c r="AC486" s="180"/>
      <c r="AD486" s="180"/>
      <c r="AE486" s="180"/>
      <c r="AF486" s="180"/>
      <c r="AG486" s="180"/>
      <c r="AH486" s="180"/>
      <c r="AI486" s="180">
        <v>20243100</v>
      </c>
      <c r="AJ486" s="181">
        <f t="shared" si="131"/>
        <v>99.744271988174432</v>
      </c>
      <c r="AK486" s="246">
        <f t="shared" si="134"/>
        <v>51900</v>
      </c>
      <c r="AL486" s="181">
        <f t="shared" si="132"/>
        <v>0.25572801182557281</v>
      </c>
      <c r="AM486" s="243"/>
    </row>
    <row r="487" spans="1:39" ht="24.75" customHeight="1" x14ac:dyDescent="0.25">
      <c r="A487" s="243"/>
      <c r="B487" s="341"/>
      <c r="C487" s="341"/>
      <c r="D487" s="341"/>
      <c r="E487" s="341"/>
      <c r="F487" s="341"/>
      <c r="G487" s="341"/>
      <c r="H487" s="341"/>
      <c r="I487" s="342"/>
      <c r="J487" s="341" t="s">
        <v>284</v>
      </c>
      <c r="K487" s="245"/>
      <c r="L487" s="257"/>
      <c r="M487" s="591" t="s">
        <v>285</v>
      </c>
      <c r="N487" s="592"/>
      <c r="O487" s="179"/>
      <c r="P487" s="180"/>
      <c r="Q487" s="180">
        <v>5000000</v>
      </c>
      <c r="R487" s="181">
        <f>Q487/Q$485*100</f>
        <v>1.2646062016288129</v>
      </c>
      <c r="S487" s="181">
        <v>100</v>
      </c>
      <c r="T487" s="180">
        <f t="shared" si="114"/>
        <v>0</v>
      </c>
      <c r="U487" s="180">
        <f t="shared" si="119"/>
        <v>0</v>
      </c>
      <c r="V487" s="182">
        <f t="shared" si="92"/>
        <v>100</v>
      </c>
      <c r="W487" s="180"/>
      <c r="X487" s="180"/>
      <c r="Y487" s="180"/>
      <c r="Z487" s="180"/>
      <c r="AA487" s="180"/>
      <c r="AB487" s="180"/>
      <c r="AC487" s="180"/>
      <c r="AD487" s="180"/>
      <c r="AE487" s="180"/>
      <c r="AF487" s="180"/>
      <c r="AG487" s="180"/>
      <c r="AH487" s="180"/>
      <c r="AI487" s="180">
        <v>0</v>
      </c>
      <c r="AJ487" s="181">
        <f t="shared" si="131"/>
        <v>0</v>
      </c>
      <c r="AK487" s="246">
        <f t="shared" si="134"/>
        <v>5000000</v>
      </c>
      <c r="AL487" s="181">
        <f t="shared" si="132"/>
        <v>100</v>
      </c>
      <c r="AM487" s="243"/>
    </row>
    <row r="488" spans="1:39" ht="24.75" customHeight="1" x14ac:dyDescent="0.25">
      <c r="A488" s="243"/>
      <c r="B488" s="341"/>
      <c r="C488" s="341"/>
      <c r="D488" s="341"/>
      <c r="E488" s="341"/>
      <c r="F488" s="341"/>
      <c r="G488" s="341"/>
      <c r="H488" s="341"/>
      <c r="I488" s="342"/>
      <c r="J488" s="341" t="s">
        <v>309</v>
      </c>
      <c r="K488" s="245"/>
      <c r="L488" s="257"/>
      <c r="M488" s="591" t="s">
        <v>310</v>
      </c>
      <c r="N488" s="592"/>
      <c r="O488" s="179"/>
      <c r="P488" s="180"/>
      <c r="Q488" s="180">
        <v>219362000</v>
      </c>
      <c r="R488" s="181">
        <f>Q488/Q$485*100</f>
        <v>55.48130912033993</v>
      </c>
      <c r="S488" s="181">
        <v>100</v>
      </c>
      <c r="T488" s="180">
        <f t="shared" si="114"/>
        <v>53.492628623006723</v>
      </c>
      <c r="U488" s="180">
        <f t="shared" si="119"/>
        <v>29.678410642925797</v>
      </c>
      <c r="V488" s="182">
        <f t="shared" si="92"/>
        <v>46.507371376993277</v>
      </c>
      <c r="W488" s="180"/>
      <c r="X488" s="180"/>
      <c r="Y488" s="180"/>
      <c r="Z488" s="180"/>
      <c r="AA488" s="180"/>
      <c r="AB488" s="180"/>
      <c r="AC488" s="180"/>
      <c r="AD488" s="180"/>
      <c r="AE488" s="180"/>
      <c r="AF488" s="180"/>
      <c r="AG488" s="180"/>
      <c r="AH488" s="180"/>
      <c r="AI488" s="180">
        <v>117342500</v>
      </c>
      <c r="AJ488" s="181">
        <f t="shared" si="131"/>
        <v>53.492628623006723</v>
      </c>
      <c r="AK488" s="246">
        <f t="shared" si="134"/>
        <v>102019500</v>
      </c>
      <c r="AL488" s="181">
        <f t="shared" si="132"/>
        <v>46.507371376993277</v>
      </c>
      <c r="AM488" s="243"/>
    </row>
    <row r="489" spans="1:39" ht="24.75" customHeight="1" x14ac:dyDescent="0.25">
      <c r="A489" s="243"/>
      <c r="B489" s="341"/>
      <c r="C489" s="341"/>
      <c r="D489" s="341"/>
      <c r="E489" s="341"/>
      <c r="F489" s="341"/>
      <c r="G489" s="341"/>
      <c r="H489" s="341"/>
      <c r="I489" s="342"/>
      <c r="J489" s="341" t="s">
        <v>342</v>
      </c>
      <c r="K489" s="245"/>
      <c r="L489" s="257"/>
      <c r="M489" s="591" t="s">
        <v>617</v>
      </c>
      <c r="N489" s="592"/>
      <c r="O489" s="179"/>
      <c r="P489" s="180"/>
      <c r="Q489" s="180">
        <v>150723000</v>
      </c>
      <c r="R489" s="181">
        <f>Q489/Q$485*100</f>
        <v>38.121048105619906</v>
      </c>
      <c r="S489" s="181">
        <v>100</v>
      </c>
      <c r="T489" s="180">
        <f t="shared" si="114"/>
        <v>0</v>
      </c>
      <c r="U489" s="180">
        <f t="shared" si="119"/>
        <v>0</v>
      </c>
      <c r="V489" s="182">
        <f t="shared" si="92"/>
        <v>100</v>
      </c>
      <c r="W489" s="180"/>
      <c r="X489" s="180"/>
      <c r="Y489" s="180"/>
      <c r="Z489" s="180"/>
      <c r="AA489" s="180"/>
      <c r="AB489" s="180"/>
      <c r="AC489" s="180"/>
      <c r="AD489" s="180"/>
      <c r="AE489" s="180"/>
      <c r="AF489" s="180"/>
      <c r="AG489" s="180"/>
      <c r="AH489" s="180"/>
      <c r="AI489" s="180">
        <v>0</v>
      </c>
      <c r="AJ489" s="181">
        <f t="shared" si="131"/>
        <v>0</v>
      </c>
      <c r="AK489" s="246">
        <f t="shared" si="134"/>
        <v>150723000</v>
      </c>
      <c r="AL489" s="181">
        <f t="shared" si="132"/>
        <v>100</v>
      </c>
      <c r="AM489" s="243"/>
    </row>
    <row r="490" spans="1:39" s="297" customFormat="1" ht="29.25" customHeight="1" x14ac:dyDescent="0.25">
      <c r="A490" s="227">
        <f>SUM(A485+1)</f>
        <v>62</v>
      </c>
      <c r="B490" s="615" t="s">
        <v>158</v>
      </c>
      <c r="C490" s="615"/>
      <c r="D490" s="615"/>
      <c r="E490" s="615"/>
      <c r="F490" s="615"/>
      <c r="G490" s="615"/>
      <c r="H490" s="615"/>
      <c r="I490" s="614"/>
      <c r="J490" s="304" t="s">
        <v>515</v>
      </c>
      <c r="K490" s="230"/>
      <c r="L490" s="294"/>
      <c r="M490" s="610" t="s">
        <v>161</v>
      </c>
      <c r="N490" s="610"/>
      <c r="O490" s="309">
        <v>355300000</v>
      </c>
      <c r="P490" s="231">
        <v>0</v>
      </c>
      <c r="Q490" s="231">
        <f>SUM(Q491:Q498)</f>
        <v>20233874</v>
      </c>
      <c r="R490" s="233">
        <f>Q490/Q$243*100</f>
        <v>0.16963562529136159</v>
      </c>
      <c r="S490" s="233">
        <v>100</v>
      </c>
      <c r="T490" s="231">
        <f t="shared" si="114"/>
        <v>0</v>
      </c>
      <c r="U490" s="231">
        <f t="shared" si="119"/>
        <v>0</v>
      </c>
      <c r="V490" s="296">
        <f t="shared" si="92"/>
        <v>100</v>
      </c>
      <c r="W490" s="231"/>
      <c r="X490" s="231"/>
      <c r="Y490" s="231"/>
      <c r="Z490" s="231"/>
      <c r="AA490" s="231"/>
      <c r="AB490" s="231"/>
      <c r="AC490" s="231"/>
      <c r="AD490" s="231"/>
      <c r="AE490" s="231"/>
      <c r="AF490" s="231"/>
      <c r="AG490" s="231" t="e">
        <f>[2]april!N82</f>
        <v>#REF!</v>
      </c>
      <c r="AH490" s="231">
        <f>'[3]DES SKPD'!$N82</f>
        <v>34370000</v>
      </c>
      <c r="AI490" s="231">
        <f>SUM(AI491:AI498)</f>
        <v>0</v>
      </c>
      <c r="AJ490" s="233">
        <f t="shared" si="131"/>
        <v>0</v>
      </c>
      <c r="AK490" s="234">
        <f t="shared" si="134"/>
        <v>20233874</v>
      </c>
      <c r="AL490" s="233">
        <f t="shared" si="132"/>
        <v>100</v>
      </c>
      <c r="AM490" s="227"/>
    </row>
    <row r="491" spans="1:39" ht="29.25" customHeight="1" x14ac:dyDescent="0.25">
      <c r="A491" s="243"/>
      <c r="B491" s="341"/>
      <c r="C491" s="341"/>
      <c r="D491" s="341"/>
      <c r="E491" s="341"/>
      <c r="F491" s="341"/>
      <c r="G491" s="341"/>
      <c r="H491" s="341"/>
      <c r="I491" s="342"/>
      <c r="J491" s="341" t="s">
        <v>257</v>
      </c>
      <c r="K491" s="245"/>
      <c r="L491" s="257"/>
      <c r="M491" s="591" t="s">
        <v>260</v>
      </c>
      <c r="N491" s="592"/>
      <c r="O491" s="179"/>
      <c r="P491" s="180"/>
      <c r="Q491" s="180">
        <v>650000</v>
      </c>
      <c r="R491" s="181">
        <f>Q491/Q$490*100</f>
        <v>3.2124347517435363</v>
      </c>
      <c r="S491" s="181">
        <v>100</v>
      </c>
      <c r="T491" s="180">
        <f t="shared" si="114"/>
        <v>0</v>
      </c>
      <c r="U491" s="180">
        <f t="shared" si="119"/>
        <v>0</v>
      </c>
      <c r="V491" s="182">
        <f t="shared" si="92"/>
        <v>100</v>
      </c>
      <c r="W491" s="180"/>
      <c r="X491" s="180"/>
      <c r="Y491" s="180"/>
      <c r="Z491" s="180"/>
      <c r="AA491" s="180"/>
      <c r="AB491" s="180"/>
      <c r="AC491" s="180"/>
      <c r="AD491" s="180"/>
      <c r="AE491" s="180"/>
      <c r="AF491" s="180"/>
      <c r="AG491" s="180"/>
      <c r="AH491" s="180"/>
      <c r="AI491" s="180">
        <v>0</v>
      </c>
      <c r="AJ491" s="181">
        <f t="shared" si="131"/>
        <v>0</v>
      </c>
      <c r="AK491" s="180">
        <f>SUM(Q491-AI491)</f>
        <v>650000</v>
      </c>
      <c r="AL491" s="181">
        <f t="shared" si="132"/>
        <v>100</v>
      </c>
      <c r="AM491" s="243"/>
    </row>
    <row r="492" spans="1:39" ht="42" customHeight="1" x14ac:dyDescent="0.25">
      <c r="A492" s="243"/>
      <c r="B492" s="341"/>
      <c r="C492" s="341"/>
      <c r="D492" s="341"/>
      <c r="E492" s="341"/>
      <c r="F492" s="341"/>
      <c r="G492" s="341"/>
      <c r="H492" s="341"/>
      <c r="I492" s="342"/>
      <c r="J492" s="341" t="s">
        <v>345</v>
      </c>
      <c r="K492" s="245"/>
      <c r="L492" s="257"/>
      <c r="M492" s="591" t="s">
        <v>351</v>
      </c>
      <c r="N492" s="592"/>
      <c r="O492" s="179"/>
      <c r="P492" s="180"/>
      <c r="Q492" s="180">
        <v>250000</v>
      </c>
      <c r="R492" s="181">
        <f t="shared" ref="R492:R498" si="135">Q492/Q$490*100</f>
        <v>1.2355518275936679</v>
      </c>
      <c r="S492" s="181">
        <v>100</v>
      </c>
      <c r="T492" s="180">
        <f t="shared" si="114"/>
        <v>0</v>
      </c>
      <c r="U492" s="180">
        <f t="shared" si="119"/>
        <v>0</v>
      </c>
      <c r="V492" s="182">
        <f t="shared" si="92"/>
        <v>100</v>
      </c>
      <c r="W492" s="180"/>
      <c r="X492" s="180"/>
      <c r="Y492" s="180"/>
      <c r="Z492" s="180"/>
      <c r="AA492" s="180"/>
      <c r="AB492" s="180"/>
      <c r="AC492" s="180"/>
      <c r="AD492" s="180"/>
      <c r="AE492" s="180"/>
      <c r="AF492" s="180"/>
      <c r="AG492" s="180"/>
      <c r="AH492" s="180"/>
      <c r="AI492" s="180">
        <v>0</v>
      </c>
      <c r="AJ492" s="181">
        <f t="shared" si="131"/>
        <v>0</v>
      </c>
      <c r="AK492" s="180">
        <f t="shared" ref="AK492:AK498" si="136">SUM(Q492-AI492)</f>
        <v>250000</v>
      </c>
      <c r="AL492" s="181">
        <f t="shared" si="132"/>
        <v>100</v>
      </c>
      <c r="AM492" s="243"/>
    </row>
    <row r="493" spans="1:39" ht="29.25" customHeight="1" x14ac:dyDescent="0.25">
      <c r="A493" s="243"/>
      <c r="B493" s="341"/>
      <c r="C493" s="341"/>
      <c r="D493" s="341"/>
      <c r="E493" s="341"/>
      <c r="F493" s="341"/>
      <c r="G493" s="341"/>
      <c r="H493" s="341"/>
      <c r="I493" s="342"/>
      <c r="J493" s="341" t="s">
        <v>315</v>
      </c>
      <c r="K493" s="245"/>
      <c r="L493" s="257"/>
      <c r="M493" s="591" t="s">
        <v>271</v>
      </c>
      <c r="N493" s="592"/>
      <c r="O493" s="179"/>
      <c r="P493" s="180"/>
      <c r="Q493" s="180">
        <v>250000</v>
      </c>
      <c r="R493" s="181">
        <f t="shared" si="135"/>
        <v>1.2355518275936679</v>
      </c>
      <c r="S493" s="181">
        <v>100</v>
      </c>
      <c r="T493" s="180">
        <f t="shared" si="114"/>
        <v>0</v>
      </c>
      <c r="U493" s="180">
        <f t="shared" si="119"/>
        <v>0</v>
      </c>
      <c r="V493" s="182">
        <f t="shared" si="92"/>
        <v>100</v>
      </c>
      <c r="W493" s="180"/>
      <c r="X493" s="180"/>
      <c r="Y493" s="180"/>
      <c r="Z493" s="180"/>
      <c r="AA493" s="180"/>
      <c r="AB493" s="180"/>
      <c r="AC493" s="180"/>
      <c r="AD493" s="180"/>
      <c r="AE493" s="180"/>
      <c r="AF493" s="180"/>
      <c r="AG493" s="180"/>
      <c r="AH493" s="180"/>
      <c r="AI493" s="180">
        <v>0</v>
      </c>
      <c r="AJ493" s="181">
        <f t="shared" si="131"/>
        <v>0</v>
      </c>
      <c r="AK493" s="180">
        <f t="shared" si="136"/>
        <v>250000</v>
      </c>
      <c r="AL493" s="181">
        <f t="shared" si="132"/>
        <v>100</v>
      </c>
      <c r="AM493" s="243"/>
    </row>
    <row r="494" spans="1:39" ht="29.25" customHeight="1" x14ac:dyDescent="0.25">
      <c r="A494" s="243"/>
      <c r="B494" s="341"/>
      <c r="C494" s="341"/>
      <c r="D494" s="341"/>
      <c r="E494" s="341"/>
      <c r="F494" s="341"/>
      <c r="G494" s="341"/>
      <c r="H494" s="341"/>
      <c r="I494" s="342"/>
      <c r="J494" s="341" t="s">
        <v>342</v>
      </c>
      <c r="K494" s="245"/>
      <c r="L494" s="257"/>
      <c r="M494" s="591" t="s">
        <v>612</v>
      </c>
      <c r="N494" s="592"/>
      <c r="O494" s="179"/>
      <c r="P494" s="180"/>
      <c r="Q494" s="180">
        <v>250000</v>
      </c>
      <c r="R494" s="181">
        <f t="shared" si="135"/>
        <v>1.2355518275936679</v>
      </c>
      <c r="S494" s="181">
        <v>100</v>
      </c>
      <c r="T494" s="180">
        <f t="shared" si="114"/>
        <v>0</v>
      </c>
      <c r="U494" s="180">
        <f t="shared" si="119"/>
        <v>0</v>
      </c>
      <c r="V494" s="182">
        <f t="shared" si="92"/>
        <v>100</v>
      </c>
      <c r="W494" s="180"/>
      <c r="X494" s="180"/>
      <c r="Y494" s="180"/>
      <c r="Z494" s="180"/>
      <c r="AA494" s="180"/>
      <c r="AB494" s="180"/>
      <c r="AC494" s="180"/>
      <c r="AD494" s="180"/>
      <c r="AE494" s="180"/>
      <c r="AF494" s="180"/>
      <c r="AG494" s="180"/>
      <c r="AH494" s="180"/>
      <c r="AI494" s="180">
        <v>0</v>
      </c>
      <c r="AJ494" s="181">
        <f t="shared" si="131"/>
        <v>0</v>
      </c>
      <c r="AK494" s="180">
        <f t="shared" si="136"/>
        <v>250000</v>
      </c>
      <c r="AL494" s="181">
        <f t="shared" si="132"/>
        <v>100</v>
      </c>
      <c r="AM494" s="243"/>
    </row>
    <row r="495" spans="1:39" ht="29.25" customHeight="1" x14ac:dyDescent="0.25">
      <c r="A495" s="243"/>
      <c r="B495" s="341"/>
      <c r="C495" s="341"/>
      <c r="D495" s="341"/>
      <c r="E495" s="341"/>
      <c r="F495" s="341"/>
      <c r="G495" s="341"/>
      <c r="H495" s="341"/>
      <c r="I495" s="342"/>
      <c r="J495" s="341" t="s">
        <v>318</v>
      </c>
      <c r="K495" s="245"/>
      <c r="L495" s="257"/>
      <c r="M495" s="591" t="s">
        <v>319</v>
      </c>
      <c r="N495" s="592"/>
      <c r="O495" s="179"/>
      <c r="P495" s="180"/>
      <c r="Q495" s="180">
        <v>10500000</v>
      </c>
      <c r="R495" s="181">
        <f t="shared" si="135"/>
        <v>51.893176758934054</v>
      </c>
      <c r="S495" s="181">
        <v>100</v>
      </c>
      <c r="T495" s="180">
        <f t="shared" si="114"/>
        <v>0</v>
      </c>
      <c r="U495" s="180">
        <f t="shared" si="119"/>
        <v>0</v>
      </c>
      <c r="V495" s="182">
        <f t="shared" si="92"/>
        <v>100</v>
      </c>
      <c r="W495" s="180"/>
      <c r="X495" s="180"/>
      <c r="Y495" s="180"/>
      <c r="Z495" s="180"/>
      <c r="AA495" s="180"/>
      <c r="AB495" s="180"/>
      <c r="AC495" s="180"/>
      <c r="AD495" s="180"/>
      <c r="AE495" s="180"/>
      <c r="AF495" s="180"/>
      <c r="AG495" s="180"/>
      <c r="AH495" s="180"/>
      <c r="AI495" s="180">
        <v>0</v>
      </c>
      <c r="AJ495" s="181">
        <f t="shared" si="131"/>
        <v>0</v>
      </c>
      <c r="AK495" s="180">
        <f t="shared" si="136"/>
        <v>10500000</v>
      </c>
      <c r="AL495" s="181">
        <f t="shared" si="132"/>
        <v>100</v>
      </c>
      <c r="AM495" s="243"/>
    </row>
    <row r="496" spans="1:39" ht="29.25" customHeight="1" x14ac:dyDescent="0.25">
      <c r="A496" s="243"/>
      <c r="B496" s="341"/>
      <c r="C496" s="341"/>
      <c r="D496" s="341"/>
      <c r="E496" s="341"/>
      <c r="F496" s="341"/>
      <c r="G496" s="341"/>
      <c r="H496" s="341"/>
      <c r="I496" s="342"/>
      <c r="J496" s="341" t="s">
        <v>284</v>
      </c>
      <c r="K496" s="245"/>
      <c r="L496" s="257"/>
      <c r="M496" s="591" t="s">
        <v>285</v>
      </c>
      <c r="N496" s="592"/>
      <c r="O496" s="179"/>
      <c r="P496" s="180"/>
      <c r="Q496" s="180">
        <v>2890000</v>
      </c>
      <c r="R496" s="181">
        <f t="shared" si="135"/>
        <v>14.2829791269828</v>
      </c>
      <c r="S496" s="181">
        <v>100</v>
      </c>
      <c r="T496" s="180">
        <f t="shared" si="114"/>
        <v>0</v>
      </c>
      <c r="U496" s="180">
        <f t="shared" si="119"/>
        <v>0</v>
      </c>
      <c r="V496" s="182">
        <f t="shared" si="92"/>
        <v>100</v>
      </c>
      <c r="W496" s="180"/>
      <c r="X496" s="180"/>
      <c r="Y496" s="180"/>
      <c r="Z496" s="180"/>
      <c r="AA496" s="180"/>
      <c r="AB496" s="180"/>
      <c r="AC496" s="180"/>
      <c r="AD496" s="180"/>
      <c r="AE496" s="180"/>
      <c r="AF496" s="180"/>
      <c r="AG496" s="180"/>
      <c r="AH496" s="180"/>
      <c r="AI496" s="180">
        <v>0</v>
      </c>
      <c r="AJ496" s="181">
        <f t="shared" si="131"/>
        <v>0</v>
      </c>
      <c r="AK496" s="180">
        <f t="shared" si="136"/>
        <v>2890000</v>
      </c>
      <c r="AL496" s="181">
        <f t="shared" si="132"/>
        <v>100</v>
      </c>
      <c r="AM496" s="243"/>
    </row>
    <row r="497" spans="1:39" ht="29.25" customHeight="1" x14ac:dyDescent="0.25">
      <c r="A497" s="243"/>
      <c r="B497" s="341"/>
      <c r="C497" s="341"/>
      <c r="D497" s="341"/>
      <c r="E497" s="341"/>
      <c r="F497" s="341"/>
      <c r="G497" s="341"/>
      <c r="H497" s="341"/>
      <c r="I497" s="342"/>
      <c r="J497" s="341" t="s">
        <v>282</v>
      </c>
      <c r="K497" s="245"/>
      <c r="L497" s="257"/>
      <c r="M497" s="591" t="s">
        <v>283</v>
      </c>
      <c r="N497" s="592"/>
      <c r="O497" s="179"/>
      <c r="P497" s="180"/>
      <c r="Q497" s="180">
        <v>2943874</v>
      </c>
      <c r="R497" s="181">
        <f t="shared" si="135"/>
        <v>14.549235603621927</v>
      </c>
      <c r="S497" s="181">
        <v>100</v>
      </c>
      <c r="T497" s="180">
        <f t="shared" si="114"/>
        <v>0</v>
      </c>
      <c r="U497" s="180">
        <f t="shared" si="119"/>
        <v>0</v>
      </c>
      <c r="V497" s="182">
        <f t="shared" si="92"/>
        <v>100</v>
      </c>
      <c r="W497" s="180"/>
      <c r="X497" s="180"/>
      <c r="Y497" s="180"/>
      <c r="Z497" s="180"/>
      <c r="AA497" s="180"/>
      <c r="AB497" s="180"/>
      <c r="AC497" s="180"/>
      <c r="AD497" s="180"/>
      <c r="AE497" s="180"/>
      <c r="AF497" s="180"/>
      <c r="AG497" s="180"/>
      <c r="AH497" s="180"/>
      <c r="AI497" s="180">
        <v>0</v>
      </c>
      <c r="AJ497" s="181">
        <f t="shared" si="131"/>
        <v>0</v>
      </c>
      <c r="AK497" s="180">
        <f t="shared" si="136"/>
        <v>2943874</v>
      </c>
      <c r="AL497" s="181">
        <f t="shared" si="132"/>
        <v>100</v>
      </c>
      <c r="AM497" s="243"/>
    </row>
    <row r="498" spans="1:39" ht="29.25" customHeight="1" x14ac:dyDescent="0.25">
      <c r="A498" s="243"/>
      <c r="B498" s="341"/>
      <c r="C498" s="341"/>
      <c r="D498" s="341"/>
      <c r="E498" s="341"/>
      <c r="F498" s="341"/>
      <c r="G498" s="341"/>
      <c r="H498" s="341"/>
      <c r="I498" s="342"/>
      <c r="J498" s="341" t="s">
        <v>320</v>
      </c>
      <c r="K498" s="245"/>
      <c r="L498" s="257"/>
      <c r="M498" s="591" t="s">
        <v>321</v>
      </c>
      <c r="N498" s="592"/>
      <c r="O498" s="179"/>
      <c r="P498" s="180"/>
      <c r="Q498" s="180">
        <v>2500000</v>
      </c>
      <c r="R498" s="181">
        <f t="shared" si="135"/>
        <v>12.35551827593668</v>
      </c>
      <c r="S498" s="181">
        <v>100</v>
      </c>
      <c r="T498" s="180">
        <f t="shared" si="114"/>
        <v>0</v>
      </c>
      <c r="U498" s="180">
        <f t="shared" si="119"/>
        <v>0</v>
      </c>
      <c r="V498" s="182">
        <f t="shared" si="92"/>
        <v>100</v>
      </c>
      <c r="W498" s="180"/>
      <c r="X498" s="180"/>
      <c r="Y498" s="180"/>
      <c r="Z498" s="180"/>
      <c r="AA498" s="180"/>
      <c r="AB498" s="180"/>
      <c r="AC498" s="180"/>
      <c r="AD498" s="180"/>
      <c r="AE498" s="180"/>
      <c r="AF498" s="180"/>
      <c r="AG498" s="180"/>
      <c r="AH498" s="180"/>
      <c r="AI498" s="180">
        <v>0</v>
      </c>
      <c r="AJ498" s="181">
        <f t="shared" si="131"/>
        <v>0</v>
      </c>
      <c r="AK498" s="180">
        <f t="shared" si="136"/>
        <v>2500000</v>
      </c>
      <c r="AL498" s="181">
        <f t="shared" si="132"/>
        <v>100</v>
      </c>
      <c r="AM498" s="243"/>
    </row>
    <row r="499" spans="1:39" s="297" customFormat="1" ht="29.25" customHeight="1" x14ac:dyDescent="0.25">
      <c r="A499" s="227">
        <f>A490+1</f>
        <v>63</v>
      </c>
      <c r="B499" s="615" t="s">
        <v>158</v>
      </c>
      <c r="C499" s="615"/>
      <c r="D499" s="615"/>
      <c r="E499" s="615"/>
      <c r="F499" s="615"/>
      <c r="G499" s="615"/>
      <c r="H499" s="615"/>
      <c r="I499" s="614"/>
      <c r="J499" s="304" t="s">
        <v>516</v>
      </c>
      <c r="K499" s="230"/>
      <c r="L499" s="294"/>
      <c r="M499" s="610" t="s">
        <v>162</v>
      </c>
      <c r="N499" s="610"/>
      <c r="O499" s="309">
        <v>355300000</v>
      </c>
      <c r="P499" s="231">
        <v>0</v>
      </c>
      <c r="Q499" s="231">
        <f>SUM(Q500:Q505)</f>
        <v>381500000</v>
      </c>
      <c r="R499" s="233">
        <f>Q499/Q$243*100</f>
        <v>3.1983984405880177</v>
      </c>
      <c r="S499" s="233">
        <v>100</v>
      </c>
      <c r="T499" s="231">
        <f t="shared" si="114"/>
        <v>6.5132372214941014</v>
      </c>
      <c r="U499" s="231">
        <f t="shared" si="119"/>
        <v>0.20831927772406567</v>
      </c>
      <c r="V499" s="296">
        <f t="shared" si="92"/>
        <v>93.486762778505891</v>
      </c>
      <c r="W499" s="231"/>
      <c r="X499" s="231"/>
      <c r="Y499" s="231"/>
      <c r="Z499" s="231"/>
      <c r="AA499" s="231"/>
      <c r="AB499" s="231"/>
      <c r="AC499" s="231"/>
      <c r="AD499" s="231"/>
      <c r="AE499" s="231"/>
      <c r="AF499" s="231"/>
      <c r="AG499" s="231" t="e">
        <f>[2]april!N83</f>
        <v>#REF!</v>
      </c>
      <c r="AH499" s="231">
        <f>'[3]DES SKPD'!$N83</f>
        <v>33663000</v>
      </c>
      <c r="AI499" s="231">
        <f>SUM(AI500:AI505)</f>
        <v>24848000</v>
      </c>
      <c r="AJ499" s="233">
        <f t="shared" si="131"/>
        <v>6.5132372214941014</v>
      </c>
      <c r="AK499" s="234">
        <f>Q499-AI499</f>
        <v>356652000</v>
      </c>
      <c r="AL499" s="233">
        <f t="shared" si="132"/>
        <v>93.486762778505891</v>
      </c>
      <c r="AM499" s="227"/>
    </row>
    <row r="500" spans="1:39" ht="29.25" customHeight="1" x14ac:dyDescent="0.25">
      <c r="A500" s="243"/>
      <c r="B500" s="341"/>
      <c r="C500" s="341"/>
      <c r="D500" s="341"/>
      <c r="E500" s="341"/>
      <c r="F500" s="341"/>
      <c r="G500" s="341"/>
      <c r="H500" s="341"/>
      <c r="I500" s="342"/>
      <c r="J500" s="341" t="s">
        <v>332</v>
      </c>
      <c r="K500" s="245"/>
      <c r="L500" s="257"/>
      <c r="M500" s="591" t="s">
        <v>351</v>
      </c>
      <c r="N500" s="592"/>
      <c r="O500" s="179"/>
      <c r="P500" s="180"/>
      <c r="Q500" s="180">
        <v>500000</v>
      </c>
      <c r="R500" s="181">
        <f t="shared" ref="R500:R505" si="137">Q500/Q$499*100</f>
        <v>0.13106159895150721</v>
      </c>
      <c r="S500" s="181">
        <v>100</v>
      </c>
      <c r="T500" s="180">
        <f t="shared" si="114"/>
        <v>0</v>
      </c>
      <c r="U500" s="180">
        <f t="shared" si="119"/>
        <v>0</v>
      </c>
      <c r="V500" s="182">
        <f t="shared" si="92"/>
        <v>100</v>
      </c>
      <c r="W500" s="180"/>
      <c r="X500" s="180"/>
      <c r="Y500" s="180"/>
      <c r="Z500" s="180"/>
      <c r="AA500" s="180"/>
      <c r="AB500" s="180"/>
      <c r="AC500" s="180"/>
      <c r="AD500" s="180"/>
      <c r="AE500" s="180"/>
      <c r="AF500" s="180"/>
      <c r="AG500" s="180"/>
      <c r="AH500" s="180"/>
      <c r="AI500" s="180">
        <v>0</v>
      </c>
      <c r="AJ500" s="181">
        <f t="shared" si="131"/>
        <v>0</v>
      </c>
      <c r="AK500" s="180">
        <f t="shared" ref="AK500:AK505" si="138">SUM(Q500-AI500)</f>
        <v>500000</v>
      </c>
      <c r="AL500" s="181">
        <f t="shared" si="132"/>
        <v>100</v>
      </c>
      <c r="AM500" s="243"/>
    </row>
    <row r="501" spans="1:39" ht="29.25" customHeight="1" x14ac:dyDescent="0.25">
      <c r="A501" s="243"/>
      <c r="B501" s="341"/>
      <c r="C501" s="341"/>
      <c r="D501" s="341"/>
      <c r="E501" s="341"/>
      <c r="F501" s="341"/>
      <c r="G501" s="341"/>
      <c r="H501" s="341"/>
      <c r="I501" s="342"/>
      <c r="J501" s="341" t="s">
        <v>269</v>
      </c>
      <c r="K501" s="245"/>
      <c r="L501" s="257"/>
      <c r="M501" s="591" t="s">
        <v>270</v>
      </c>
      <c r="N501" s="592"/>
      <c r="O501" s="179"/>
      <c r="P501" s="180"/>
      <c r="Q501" s="180">
        <v>30000000</v>
      </c>
      <c r="R501" s="181">
        <f t="shared" si="137"/>
        <v>7.8636959370904327</v>
      </c>
      <c r="S501" s="181">
        <v>100</v>
      </c>
      <c r="T501" s="180">
        <f t="shared" si="114"/>
        <v>66.25</v>
      </c>
      <c r="U501" s="180">
        <f t="shared" si="119"/>
        <v>5.2096985583224118</v>
      </c>
      <c r="V501" s="182">
        <f t="shared" si="92"/>
        <v>33.75</v>
      </c>
      <c r="W501" s="180"/>
      <c r="X501" s="180"/>
      <c r="Y501" s="180"/>
      <c r="Z501" s="180"/>
      <c r="AA501" s="180"/>
      <c r="AB501" s="180"/>
      <c r="AC501" s="180"/>
      <c r="AD501" s="180"/>
      <c r="AE501" s="180"/>
      <c r="AF501" s="180"/>
      <c r="AG501" s="180"/>
      <c r="AH501" s="180"/>
      <c r="AI501" s="180">
        <v>19875000</v>
      </c>
      <c r="AJ501" s="181">
        <f t="shared" si="131"/>
        <v>66.25</v>
      </c>
      <c r="AK501" s="180">
        <f t="shared" si="138"/>
        <v>10125000</v>
      </c>
      <c r="AL501" s="181">
        <f t="shared" si="132"/>
        <v>33.75</v>
      </c>
      <c r="AM501" s="243"/>
    </row>
    <row r="502" spans="1:39" ht="29.25" customHeight="1" x14ac:dyDescent="0.25">
      <c r="A502" s="243"/>
      <c r="B502" s="341"/>
      <c r="C502" s="341"/>
      <c r="D502" s="341"/>
      <c r="E502" s="341"/>
      <c r="F502" s="341"/>
      <c r="G502" s="341"/>
      <c r="H502" s="341"/>
      <c r="I502" s="342"/>
      <c r="J502" s="341" t="s">
        <v>315</v>
      </c>
      <c r="K502" s="245"/>
      <c r="L502" s="257"/>
      <c r="M502" s="591" t="s">
        <v>271</v>
      </c>
      <c r="N502" s="592"/>
      <c r="O502" s="179"/>
      <c r="P502" s="180"/>
      <c r="Q502" s="180">
        <v>2500000</v>
      </c>
      <c r="R502" s="181">
        <f t="shared" si="137"/>
        <v>0.65530799475753598</v>
      </c>
      <c r="S502" s="181">
        <v>100</v>
      </c>
      <c r="T502" s="180">
        <f t="shared" si="114"/>
        <v>20</v>
      </c>
      <c r="U502" s="180">
        <f t="shared" si="119"/>
        <v>0.13106159895150721</v>
      </c>
      <c r="V502" s="182">
        <f t="shared" si="92"/>
        <v>80</v>
      </c>
      <c r="W502" s="180"/>
      <c r="X502" s="180"/>
      <c r="Y502" s="180"/>
      <c r="Z502" s="180"/>
      <c r="AA502" s="180"/>
      <c r="AB502" s="180"/>
      <c r="AC502" s="180"/>
      <c r="AD502" s="180"/>
      <c r="AE502" s="180"/>
      <c r="AF502" s="180"/>
      <c r="AG502" s="180"/>
      <c r="AH502" s="180"/>
      <c r="AI502" s="180">
        <v>500000</v>
      </c>
      <c r="AJ502" s="181">
        <f t="shared" si="131"/>
        <v>20</v>
      </c>
      <c r="AK502" s="180">
        <f t="shared" si="138"/>
        <v>2000000</v>
      </c>
      <c r="AL502" s="181">
        <f t="shared" si="132"/>
        <v>80</v>
      </c>
      <c r="AM502" s="243"/>
    </row>
    <row r="503" spans="1:39" ht="29.25" customHeight="1" x14ac:dyDescent="0.25">
      <c r="A503" s="243"/>
      <c r="B503" s="341"/>
      <c r="C503" s="341"/>
      <c r="D503" s="341"/>
      <c r="E503" s="341"/>
      <c r="F503" s="341"/>
      <c r="G503" s="341"/>
      <c r="H503" s="341"/>
      <c r="I503" s="342"/>
      <c r="J503" s="341" t="s">
        <v>284</v>
      </c>
      <c r="K503" s="245"/>
      <c r="L503" s="257"/>
      <c r="M503" s="591" t="s">
        <v>285</v>
      </c>
      <c r="N503" s="592"/>
      <c r="O503" s="179"/>
      <c r="P503" s="180"/>
      <c r="Q503" s="180">
        <v>15400000</v>
      </c>
      <c r="R503" s="181">
        <f t="shared" si="137"/>
        <v>4.0366972477064227</v>
      </c>
      <c r="S503" s="181">
        <v>100</v>
      </c>
      <c r="T503" s="180">
        <f t="shared" si="114"/>
        <v>15</v>
      </c>
      <c r="U503" s="180">
        <f t="shared" si="119"/>
        <v>0.60550458715596345</v>
      </c>
      <c r="V503" s="182">
        <f t="shared" si="92"/>
        <v>85</v>
      </c>
      <c r="W503" s="180"/>
      <c r="X503" s="180"/>
      <c r="Y503" s="180"/>
      <c r="Z503" s="180"/>
      <c r="AA503" s="180"/>
      <c r="AB503" s="180"/>
      <c r="AC503" s="180"/>
      <c r="AD503" s="180"/>
      <c r="AE503" s="180"/>
      <c r="AF503" s="180"/>
      <c r="AG503" s="180"/>
      <c r="AH503" s="180"/>
      <c r="AI503" s="180">
        <v>2310000</v>
      </c>
      <c r="AJ503" s="181">
        <f t="shared" si="131"/>
        <v>15</v>
      </c>
      <c r="AK503" s="180">
        <f t="shared" si="138"/>
        <v>13090000</v>
      </c>
      <c r="AL503" s="181">
        <f t="shared" si="132"/>
        <v>85</v>
      </c>
      <c r="AM503" s="243"/>
    </row>
    <row r="504" spans="1:39" ht="29.25" customHeight="1" x14ac:dyDescent="0.25">
      <c r="A504" s="243"/>
      <c r="B504" s="341"/>
      <c r="C504" s="341"/>
      <c r="D504" s="341"/>
      <c r="E504" s="341"/>
      <c r="F504" s="341"/>
      <c r="G504" s="341"/>
      <c r="H504" s="341"/>
      <c r="I504" s="342"/>
      <c r="J504" s="341" t="s">
        <v>282</v>
      </c>
      <c r="K504" s="245"/>
      <c r="L504" s="257"/>
      <c r="M504" s="591" t="s">
        <v>283</v>
      </c>
      <c r="N504" s="592"/>
      <c r="O504" s="179"/>
      <c r="P504" s="180"/>
      <c r="Q504" s="180">
        <v>18700000</v>
      </c>
      <c r="R504" s="181">
        <f t="shared" si="137"/>
        <v>4.9017038007863691</v>
      </c>
      <c r="S504" s="181">
        <v>100</v>
      </c>
      <c r="T504" s="180">
        <f t="shared" si="114"/>
        <v>11.566844919786096</v>
      </c>
      <c r="U504" s="180">
        <f t="shared" si="119"/>
        <v>0.56697247706422016</v>
      </c>
      <c r="V504" s="182">
        <f t="shared" si="92"/>
        <v>88.433155080213908</v>
      </c>
      <c r="W504" s="180"/>
      <c r="X504" s="180"/>
      <c r="Y504" s="180"/>
      <c r="Z504" s="180"/>
      <c r="AA504" s="180"/>
      <c r="AB504" s="180"/>
      <c r="AC504" s="180"/>
      <c r="AD504" s="180"/>
      <c r="AE504" s="180"/>
      <c r="AF504" s="180"/>
      <c r="AG504" s="180"/>
      <c r="AH504" s="180"/>
      <c r="AI504" s="180">
        <v>2163000</v>
      </c>
      <c r="AJ504" s="181">
        <f t="shared" si="131"/>
        <v>11.566844919786096</v>
      </c>
      <c r="AK504" s="180">
        <f t="shared" si="138"/>
        <v>16537000</v>
      </c>
      <c r="AL504" s="181">
        <f t="shared" si="132"/>
        <v>88.433155080213893</v>
      </c>
      <c r="AM504" s="243"/>
    </row>
    <row r="505" spans="1:39" ht="29.25" customHeight="1" x14ac:dyDescent="0.25">
      <c r="A505" s="243"/>
      <c r="B505" s="341"/>
      <c r="C505" s="341"/>
      <c r="D505" s="341"/>
      <c r="E505" s="341"/>
      <c r="F505" s="341"/>
      <c r="G505" s="341"/>
      <c r="H505" s="341"/>
      <c r="I505" s="342"/>
      <c r="J505" s="341" t="s">
        <v>551</v>
      </c>
      <c r="K505" s="245"/>
      <c r="L505" s="257"/>
      <c r="M505" s="591" t="s">
        <v>550</v>
      </c>
      <c r="N505" s="592"/>
      <c r="O505" s="179"/>
      <c r="P505" s="180"/>
      <c r="Q505" s="180">
        <v>314400000</v>
      </c>
      <c r="R505" s="181">
        <f t="shared" si="137"/>
        <v>82.411533420707727</v>
      </c>
      <c r="S505" s="181">
        <v>100</v>
      </c>
      <c r="T505" s="180">
        <f t="shared" si="114"/>
        <v>0</v>
      </c>
      <c r="U505" s="180">
        <f t="shared" si="119"/>
        <v>0</v>
      </c>
      <c r="V505" s="182">
        <f t="shared" si="92"/>
        <v>100</v>
      </c>
      <c r="W505" s="180"/>
      <c r="X505" s="180"/>
      <c r="Y505" s="180"/>
      <c r="Z505" s="180"/>
      <c r="AA505" s="180"/>
      <c r="AB505" s="180"/>
      <c r="AC505" s="180"/>
      <c r="AD505" s="180"/>
      <c r="AE505" s="180"/>
      <c r="AF505" s="180"/>
      <c r="AG505" s="180"/>
      <c r="AH505" s="180"/>
      <c r="AI505" s="180">
        <v>0</v>
      </c>
      <c r="AJ505" s="181">
        <f t="shared" si="131"/>
        <v>0</v>
      </c>
      <c r="AK505" s="180">
        <f t="shared" si="138"/>
        <v>314400000</v>
      </c>
      <c r="AL505" s="181">
        <f t="shared" si="132"/>
        <v>100</v>
      </c>
      <c r="AM505" s="243"/>
    </row>
    <row r="506" spans="1:39" s="297" customFormat="1" ht="29.25" customHeight="1" x14ac:dyDescent="0.25">
      <c r="A506" s="227">
        <f>SUM(A499+1)</f>
        <v>64</v>
      </c>
      <c r="B506" s="346"/>
      <c r="C506" s="346"/>
      <c r="D506" s="346"/>
      <c r="E506" s="346"/>
      <c r="F506" s="346"/>
      <c r="G506" s="346"/>
      <c r="H506" s="346"/>
      <c r="I506" s="345"/>
      <c r="J506" s="304" t="s">
        <v>517</v>
      </c>
      <c r="K506" s="230"/>
      <c r="L506" s="294"/>
      <c r="M506" s="610" t="s">
        <v>369</v>
      </c>
      <c r="N506" s="612"/>
      <c r="O506" s="309"/>
      <c r="P506" s="231"/>
      <c r="Q506" s="231">
        <f>SUM(Q507:Q517)</f>
        <v>1010210970</v>
      </c>
      <c r="R506" s="233">
        <f>Q506/Q$243*100</f>
        <v>8.4693504354204698</v>
      </c>
      <c r="S506" s="233">
        <v>100</v>
      </c>
      <c r="T506" s="231">
        <f t="shared" si="114"/>
        <v>0</v>
      </c>
      <c r="U506" s="231">
        <f t="shared" si="119"/>
        <v>0</v>
      </c>
      <c r="V506" s="296">
        <f t="shared" si="92"/>
        <v>100</v>
      </c>
      <c r="W506" s="231"/>
      <c r="X506" s="231"/>
      <c r="Y506" s="231"/>
      <c r="Z506" s="231"/>
      <c r="AA506" s="231"/>
      <c r="AB506" s="231"/>
      <c r="AC506" s="231"/>
      <c r="AD506" s="231"/>
      <c r="AE506" s="231"/>
      <c r="AF506" s="231"/>
      <c r="AG506" s="231" t="e">
        <f>[2]april!N91</f>
        <v>#REF!</v>
      </c>
      <c r="AH506" s="231" t="e">
        <f>'[3]DES SKPD'!$N91</f>
        <v>#REF!</v>
      </c>
      <c r="AI506" s="231">
        <f>SUM(AI507:AI517)</f>
        <v>0</v>
      </c>
      <c r="AJ506" s="233">
        <f t="shared" si="131"/>
        <v>0</v>
      </c>
      <c r="AK506" s="234">
        <f>Q506-AI506</f>
        <v>1010210970</v>
      </c>
      <c r="AL506" s="233">
        <f t="shared" si="132"/>
        <v>100</v>
      </c>
      <c r="AM506" s="227"/>
    </row>
    <row r="507" spans="1:39" s="297" customFormat="1" ht="29.25" customHeight="1" x14ac:dyDescent="0.25">
      <c r="A507" s="227"/>
      <c r="B507" s="346"/>
      <c r="C507" s="346"/>
      <c r="D507" s="346"/>
      <c r="E507" s="346"/>
      <c r="F507" s="346"/>
      <c r="G507" s="346"/>
      <c r="H507" s="346"/>
      <c r="I507" s="345"/>
      <c r="J507" s="346" t="s">
        <v>421</v>
      </c>
      <c r="K507" s="230"/>
      <c r="L507" s="294"/>
      <c r="M507" s="591" t="s">
        <v>324</v>
      </c>
      <c r="N507" s="592"/>
      <c r="O507" s="309"/>
      <c r="P507" s="231"/>
      <c r="Q507" s="180">
        <v>10814970</v>
      </c>
      <c r="R507" s="181">
        <f>Q507/Q$506*100</f>
        <v>1.0705654879198154</v>
      </c>
      <c r="S507" s="181">
        <v>100</v>
      </c>
      <c r="T507" s="180">
        <f t="shared" si="114"/>
        <v>0</v>
      </c>
      <c r="U507" s="180">
        <f t="shared" si="119"/>
        <v>0</v>
      </c>
      <c r="V507" s="182">
        <f t="shared" si="92"/>
        <v>100</v>
      </c>
      <c r="W507" s="180"/>
      <c r="X507" s="180"/>
      <c r="Y507" s="180"/>
      <c r="Z507" s="180"/>
      <c r="AA507" s="180"/>
      <c r="AB507" s="180"/>
      <c r="AC507" s="180"/>
      <c r="AD507" s="180"/>
      <c r="AE507" s="180"/>
      <c r="AF507" s="180"/>
      <c r="AG507" s="180"/>
      <c r="AH507" s="180"/>
      <c r="AI507" s="180">
        <v>0</v>
      </c>
      <c r="AJ507" s="181">
        <f t="shared" si="131"/>
        <v>0</v>
      </c>
      <c r="AK507" s="180">
        <f>SUM(Q507-AI507)</f>
        <v>10814970</v>
      </c>
      <c r="AL507" s="233"/>
      <c r="AM507" s="227"/>
    </row>
    <row r="508" spans="1:39" ht="29.25" customHeight="1" x14ac:dyDescent="0.25">
      <c r="A508" s="243"/>
      <c r="B508" s="341"/>
      <c r="C508" s="341"/>
      <c r="D508" s="341"/>
      <c r="E508" s="341"/>
      <c r="F508" s="341"/>
      <c r="G508" s="341"/>
      <c r="H508" s="341"/>
      <c r="I508" s="342"/>
      <c r="J508" s="341" t="s">
        <v>315</v>
      </c>
      <c r="K508" s="245"/>
      <c r="L508" s="257"/>
      <c r="M508" s="591" t="s">
        <v>271</v>
      </c>
      <c r="N508" s="592"/>
      <c r="O508" s="179"/>
      <c r="P508" s="180"/>
      <c r="Q508" s="180">
        <v>12500000</v>
      </c>
      <c r="R508" s="181">
        <f>Q508/Q$506*100</f>
        <v>1.2373653000422278</v>
      </c>
      <c r="S508" s="181">
        <v>100</v>
      </c>
      <c r="T508" s="180">
        <f t="shared" si="114"/>
        <v>0</v>
      </c>
      <c r="U508" s="180">
        <f t="shared" si="119"/>
        <v>0</v>
      </c>
      <c r="V508" s="182">
        <f t="shared" si="92"/>
        <v>100</v>
      </c>
      <c r="W508" s="180"/>
      <c r="X508" s="180"/>
      <c r="Y508" s="180"/>
      <c r="Z508" s="180"/>
      <c r="AA508" s="180"/>
      <c r="AB508" s="180"/>
      <c r="AC508" s="180"/>
      <c r="AD508" s="180"/>
      <c r="AE508" s="180"/>
      <c r="AF508" s="180"/>
      <c r="AG508" s="180"/>
      <c r="AH508" s="180"/>
      <c r="AI508" s="180">
        <v>0</v>
      </c>
      <c r="AJ508" s="181">
        <f t="shared" si="131"/>
        <v>0</v>
      </c>
      <c r="AK508" s="180">
        <f t="shared" ref="AK508:AK517" si="139">SUM(Q508-AI508)</f>
        <v>12500000</v>
      </c>
      <c r="AL508" s="181">
        <f t="shared" ref="AL508:AL545" si="140">AK508/Q508*100</f>
        <v>100</v>
      </c>
      <c r="AM508" s="243"/>
    </row>
    <row r="509" spans="1:39" ht="29.25" customHeight="1" x14ac:dyDescent="0.25">
      <c r="A509" s="243"/>
      <c r="B509" s="341"/>
      <c r="C509" s="341"/>
      <c r="D509" s="341"/>
      <c r="E509" s="341"/>
      <c r="F509" s="341"/>
      <c r="G509" s="341"/>
      <c r="H509" s="341"/>
      <c r="I509" s="342"/>
      <c r="J509" s="341" t="s">
        <v>328</v>
      </c>
      <c r="K509" s="245"/>
      <c r="L509" s="257"/>
      <c r="M509" s="591" t="s">
        <v>329</v>
      </c>
      <c r="N509" s="592"/>
      <c r="O509" s="179"/>
      <c r="P509" s="180"/>
      <c r="Q509" s="180">
        <v>5000000</v>
      </c>
      <c r="R509" s="181">
        <f>Q509/Q$506*100</f>
        <v>0.49494612001689114</v>
      </c>
      <c r="S509" s="181">
        <v>100</v>
      </c>
      <c r="T509" s="180">
        <f t="shared" si="114"/>
        <v>0</v>
      </c>
      <c r="U509" s="180">
        <f t="shared" si="119"/>
        <v>0</v>
      </c>
      <c r="V509" s="182">
        <f t="shared" si="92"/>
        <v>100</v>
      </c>
      <c r="W509" s="180"/>
      <c r="X509" s="180"/>
      <c r="Y509" s="180"/>
      <c r="Z509" s="180"/>
      <c r="AA509" s="180"/>
      <c r="AB509" s="180"/>
      <c r="AC509" s="180"/>
      <c r="AD509" s="180"/>
      <c r="AE509" s="180"/>
      <c r="AF509" s="180"/>
      <c r="AG509" s="180"/>
      <c r="AH509" s="180"/>
      <c r="AI509" s="180">
        <v>0</v>
      </c>
      <c r="AJ509" s="181">
        <f t="shared" si="131"/>
        <v>0</v>
      </c>
      <c r="AK509" s="180">
        <f t="shared" si="139"/>
        <v>5000000</v>
      </c>
      <c r="AL509" s="181">
        <f t="shared" si="140"/>
        <v>100</v>
      </c>
      <c r="AM509" s="243"/>
    </row>
    <row r="510" spans="1:39" ht="29.25" customHeight="1" x14ac:dyDescent="0.25">
      <c r="A510" s="243"/>
      <c r="B510" s="341"/>
      <c r="C510" s="341"/>
      <c r="D510" s="341"/>
      <c r="E510" s="341"/>
      <c r="F510" s="341"/>
      <c r="G510" s="341"/>
      <c r="H510" s="341"/>
      <c r="I510" s="342"/>
      <c r="J510" s="341" t="s">
        <v>370</v>
      </c>
      <c r="K510" s="245"/>
      <c r="L510" s="257"/>
      <c r="M510" s="591" t="s">
        <v>371</v>
      </c>
      <c r="N510" s="592"/>
      <c r="O510" s="179"/>
      <c r="P510" s="180"/>
      <c r="Q510" s="180">
        <v>47450000</v>
      </c>
      <c r="R510" s="181">
        <f t="shared" ref="R510:R517" si="141">Q510/Q$506*100</f>
        <v>4.6970386789602969</v>
      </c>
      <c r="S510" s="181">
        <v>100</v>
      </c>
      <c r="T510" s="180">
        <f t="shared" si="114"/>
        <v>0</v>
      </c>
      <c r="U510" s="180">
        <f t="shared" si="119"/>
        <v>0</v>
      </c>
      <c r="V510" s="182">
        <f t="shared" si="92"/>
        <v>100</v>
      </c>
      <c r="W510" s="180"/>
      <c r="X510" s="180"/>
      <c r="Y510" s="180"/>
      <c r="Z510" s="180"/>
      <c r="AA510" s="180"/>
      <c r="AB510" s="180"/>
      <c r="AC510" s="180"/>
      <c r="AD510" s="180"/>
      <c r="AE510" s="180"/>
      <c r="AF510" s="180"/>
      <c r="AG510" s="180"/>
      <c r="AH510" s="180"/>
      <c r="AI510" s="180">
        <v>0</v>
      </c>
      <c r="AJ510" s="181">
        <f t="shared" si="131"/>
        <v>0</v>
      </c>
      <c r="AK510" s="180">
        <f t="shared" si="139"/>
        <v>47450000</v>
      </c>
      <c r="AL510" s="181">
        <f t="shared" si="140"/>
        <v>100</v>
      </c>
      <c r="AM510" s="243"/>
    </row>
    <row r="511" spans="1:39" ht="29.25" customHeight="1" x14ac:dyDescent="0.25">
      <c r="A511" s="243"/>
      <c r="B511" s="341"/>
      <c r="C511" s="341"/>
      <c r="D511" s="341"/>
      <c r="E511" s="341"/>
      <c r="F511" s="341"/>
      <c r="G511" s="341"/>
      <c r="H511" s="341"/>
      <c r="I511" s="342"/>
      <c r="J511" s="341" t="s">
        <v>280</v>
      </c>
      <c r="K511" s="245"/>
      <c r="L511" s="257"/>
      <c r="M511" s="591" t="s">
        <v>422</v>
      </c>
      <c r="N511" s="592"/>
      <c r="O511" s="179"/>
      <c r="P511" s="180"/>
      <c r="Q511" s="180">
        <v>2000000</v>
      </c>
      <c r="R511" s="181">
        <f t="shared" si="141"/>
        <v>0.19797844800675643</v>
      </c>
      <c r="S511" s="181">
        <v>100</v>
      </c>
      <c r="T511" s="180">
        <f t="shared" si="114"/>
        <v>0</v>
      </c>
      <c r="U511" s="180">
        <f t="shared" si="119"/>
        <v>0</v>
      </c>
      <c r="V511" s="182">
        <f t="shared" si="92"/>
        <v>100</v>
      </c>
      <c r="W511" s="180"/>
      <c r="X511" s="180"/>
      <c r="Y511" s="180"/>
      <c r="Z511" s="180"/>
      <c r="AA511" s="180"/>
      <c r="AB511" s="180"/>
      <c r="AC511" s="180"/>
      <c r="AD511" s="180"/>
      <c r="AE511" s="180"/>
      <c r="AF511" s="180"/>
      <c r="AG511" s="180"/>
      <c r="AH511" s="180"/>
      <c r="AI511" s="180">
        <v>0</v>
      </c>
      <c r="AJ511" s="181">
        <f t="shared" si="131"/>
        <v>0</v>
      </c>
      <c r="AK511" s="180">
        <f t="shared" si="139"/>
        <v>2000000</v>
      </c>
      <c r="AL511" s="181">
        <f t="shared" si="140"/>
        <v>100</v>
      </c>
      <c r="AM511" s="243"/>
    </row>
    <row r="512" spans="1:39" ht="29.25" customHeight="1" x14ac:dyDescent="0.25">
      <c r="A512" s="243"/>
      <c r="B512" s="341"/>
      <c r="C512" s="341"/>
      <c r="D512" s="341"/>
      <c r="E512" s="341"/>
      <c r="F512" s="341"/>
      <c r="G512" s="341"/>
      <c r="H512" s="341"/>
      <c r="I512" s="342"/>
      <c r="J512" s="341" t="s">
        <v>339</v>
      </c>
      <c r="K512" s="245"/>
      <c r="L512" s="257"/>
      <c r="M512" s="591" t="s">
        <v>340</v>
      </c>
      <c r="N512" s="592"/>
      <c r="O512" s="179"/>
      <c r="P512" s="180"/>
      <c r="Q512" s="180">
        <v>71500000</v>
      </c>
      <c r="R512" s="181">
        <f t="shared" si="141"/>
        <v>7.0777295162415435</v>
      </c>
      <c r="S512" s="181">
        <v>100</v>
      </c>
      <c r="T512" s="180">
        <f t="shared" si="114"/>
        <v>0</v>
      </c>
      <c r="U512" s="180">
        <f t="shared" si="119"/>
        <v>0</v>
      </c>
      <c r="V512" s="182">
        <f t="shared" si="92"/>
        <v>100</v>
      </c>
      <c r="W512" s="180"/>
      <c r="X512" s="180"/>
      <c r="Y512" s="180"/>
      <c r="Z512" s="180"/>
      <c r="AA512" s="180"/>
      <c r="AB512" s="180"/>
      <c r="AC512" s="180"/>
      <c r="AD512" s="180"/>
      <c r="AE512" s="180"/>
      <c r="AF512" s="180"/>
      <c r="AG512" s="180"/>
      <c r="AH512" s="180"/>
      <c r="AI512" s="180">
        <v>0</v>
      </c>
      <c r="AJ512" s="181">
        <f t="shared" si="131"/>
        <v>0</v>
      </c>
      <c r="AK512" s="180">
        <f t="shared" si="139"/>
        <v>71500000</v>
      </c>
      <c r="AL512" s="181">
        <f t="shared" si="140"/>
        <v>100</v>
      </c>
      <c r="AM512" s="243"/>
    </row>
    <row r="513" spans="1:39" ht="29.25" customHeight="1" x14ac:dyDescent="0.25">
      <c r="A513" s="243"/>
      <c r="B513" s="341"/>
      <c r="C513" s="341"/>
      <c r="D513" s="341"/>
      <c r="E513" s="341"/>
      <c r="F513" s="341"/>
      <c r="G513" s="341"/>
      <c r="H513" s="341"/>
      <c r="I513" s="342"/>
      <c r="J513" s="341" t="s">
        <v>284</v>
      </c>
      <c r="K513" s="245"/>
      <c r="L513" s="257"/>
      <c r="M513" s="591" t="s">
        <v>285</v>
      </c>
      <c r="N513" s="592"/>
      <c r="O513" s="179"/>
      <c r="P513" s="180"/>
      <c r="Q513" s="180">
        <v>8900000</v>
      </c>
      <c r="R513" s="181">
        <f t="shared" si="141"/>
        <v>0.88100409363006615</v>
      </c>
      <c r="S513" s="181">
        <v>100</v>
      </c>
      <c r="T513" s="180">
        <f t="shared" si="114"/>
        <v>0</v>
      </c>
      <c r="U513" s="180">
        <f t="shared" si="119"/>
        <v>0</v>
      </c>
      <c r="V513" s="182">
        <f t="shared" si="92"/>
        <v>100</v>
      </c>
      <c r="W513" s="180"/>
      <c r="X513" s="180"/>
      <c r="Y513" s="180"/>
      <c r="Z513" s="180"/>
      <c r="AA513" s="180"/>
      <c r="AB513" s="180"/>
      <c r="AC513" s="180"/>
      <c r="AD513" s="180"/>
      <c r="AE513" s="180"/>
      <c r="AF513" s="180"/>
      <c r="AG513" s="180"/>
      <c r="AH513" s="180"/>
      <c r="AI513" s="180">
        <v>0</v>
      </c>
      <c r="AJ513" s="181">
        <f t="shared" si="131"/>
        <v>0</v>
      </c>
      <c r="AK513" s="180">
        <f t="shared" si="139"/>
        <v>8900000</v>
      </c>
      <c r="AL513" s="181">
        <f t="shared" si="140"/>
        <v>100</v>
      </c>
      <c r="AM513" s="243"/>
    </row>
    <row r="514" spans="1:39" ht="29.25" customHeight="1" x14ac:dyDescent="0.25">
      <c r="A514" s="243"/>
      <c r="B514" s="341"/>
      <c r="C514" s="341"/>
      <c r="D514" s="341"/>
      <c r="E514" s="341"/>
      <c r="F514" s="341"/>
      <c r="G514" s="341"/>
      <c r="H514" s="341"/>
      <c r="I514" s="342"/>
      <c r="J514" s="341"/>
      <c r="K514" s="245"/>
      <c r="L514" s="257"/>
      <c r="M514" s="591" t="s">
        <v>503</v>
      </c>
      <c r="N514" s="592"/>
      <c r="O514" s="179"/>
      <c r="P514" s="180"/>
      <c r="Q514" s="180">
        <v>48070000</v>
      </c>
      <c r="R514" s="181">
        <f t="shared" si="141"/>
        <v>4.7584119978423915</v>
      </c>
      <c r="S514" s="181">
        <v>100</v>
      </c>
      <c r="T514" s="180">
        <f t="shared" si="114"/>
        <v>0</v>
      </c>
      <c r="U514" s="180">
        <f t="shared" si="119"/>
        <v>0</v>
      </c>
      <c r="V514" s="182">
        <f t="shared" si="92"/>
        <v>100</v>
      </c>
      <c r="W514" s="180"/>
      <c r="X514" s="180"/>
      <c r="Y514" s="180"/>
      <c r="Z514" s="180"/>
      <c r="AA514" s="180"/>
      <c r="AB514" s="180"/>
      <c r="AC514" s="180"/>
      <c r="AD514" s="180"/>
      <c r="AE514" s="180"/>
      <c r="AF514" s="180"/>
      <c r="AG514" s="180"/>
      <c r="AH514" s="180"/>
      <c r="AI514" s="180">
        <v>0</v>
      </c>
      <c r="AJ514" s="181">
        <f t="shared" si="131"/>
        <v>0</v>
      </c>
      <c r="AK514" s="180">
        <f t="shared" si="139"/>
        <v>48070000</v>
      </c>
      <c r="AL514" s="181">
        <f t="shared" si="140"/>
        <v>100</v>
      </c>
      <c r="AM514" s="243"/>
    </row>
    <row r="515" spans="1:39" ht="29.25" customHeight="1" x14ac:dyDescent="0.25">
      <c r="A515" s="243"/>
      <c r="B515" s="341"/>
      <c r="C515" s="341"/>
      <c r="D515" s="341"/>
      <c r="E515" s="341"/>
      <c r="F515" s="341"/>
      <c r="G515" s="341"/>
      <c r="H515" s="341"/>
      <c r="I515" s="342"/>
      <c r="J515" s="341" t="s">
        <v>309</v>
      </c>
      <c r="K515" s="245"/>
      <c r="L515" s="257"/>
      <c r="M515" s="591" t="s">
        <v>310</v>
      </c>
      <c r="N515" s="592"/>
      <c r="O515" s="179"/>
      <c r="P515" s="180"/>
      <c r="Q515" s="180">
        <v>485712000</v>
      </c>
      <c r="R515" s="181">
        <f t="shared" si="141"/>
        <v>48.080253969128847</v>
      </c>
      <c r="S515" s="181">
        <v>100</v>
      </c>
      <c r="T515" s="180">
        <f t="shared" si="114"/>
        <v>0</v>
      </c>
      <c r="U515" s="180">
        <f t="shared" si="119"/>
        <v>0</v>
      </c>
      <c r="V515" s="182">
        <f t="shared" si="92"/>
        <v>100</v>
      </c>
      <c r="W515" s="180"/>
      <c r="X515" s="180"/>
      <c r="Y515" s="180"/>
      <c r="Z515" s="180"/>
      <c r="AA515" s="180"/>
      <c r="AB515" s="180"/>
      <c r="AC515" s="180"/>
      <c r="AD515" s="180"/>
      <c r="AE515" s="180"/>
      <c r="AF515" s="180"/>
      <c r="AG515" s="180"/>
      <c r="AH515" s="180"/>
      <c r="AI515" s="180">
        <v>0</v>
      </c>
      <c r="AJ515" s="181">
        <f t="shared" si="131"/>
        <v>0</v>
      </c>
      <c r="AK515" s="180">
        <f t="shared" si="139"/>
        <v>485712000</v>
      </c>
      <c r="AL515" s="181">
        <f t="shared" si="140"/>
        <v>100</v>
      </c>
      <c r="AM515" s="243"/>
    </row>
    <row r="516" spans="1:39" ht="29.25" customHeight="1" x14ac:dyDescent="0.25">
      <c r="A516" s="243"/>
      <c r="B516" s="341"/>
      <c r="C516" s="341"/>
      <c r="D516" s="341"/>
      <c r="E516" s="341"/>
      <c r="F516" s="341"/>
      <c r="G516" s="341"/>
      <c r="H516" s="341"/>
      <c r="I516" s="342"/>
      <c r="J516" s="341" t="s">
        <v>372</v>
      </c>
      <c r="K516" s="245"/>
      <c r="L516" s="257"/>
      <c r="M516" s="591" t="s">
        <v>373</v>
      </c>
      <c r="N516" s="592"/>
      <c r="O516" s="179"/>
      <c r="P516" s="180"/>
      <c r="Q516" s="180">
        <v>143000000</v>
      </c>
      <c r="R516" s="181">
        <f t="shared" si="141"/>
        <v>14.155459032483087</v>
      </c>
      <c r="S516" s="181">
        <v>100</v>
      </c>
      <c r="T516" s="180">
        <f t="shared" si="114"/>
        <v>0</v>
      </c>
      <c r="U516" s="180">
        <f t="shared" si="119"/>
        <v>0</v>
      </c>
      <c r="V516" s="182">
        <f t="shared" si="92"/>
        <v>100</v>
      </c>
      <c r="W516" s="180"/>
      <c r="X516" s="180"/>
      <c r="Y516" s="180"/>
      <c r="Z516" s="180"/>
      <c r="AA516" s="180"/>
      <c r="AB516" s="180"/>
      <c r="AC516" s="180"/>
      <c r="AD516" s="180"/>
      <c r="AE516" s="180"/>
      <c r="AF516" s="180"/>
      <c r="AG516" s="180"/>
      <c r="AH516" s="180"/>
      <c r="AI516" s="180">
        <v>0</v>
      </c>
      <c r="AJ516" s="181">
        <f t="shared" si="131"/>
        <v>0</v>
      </c>
      <c r="AK516" s="180">
        <f t="shared" si="139"/>
        <v>143000000</v>
      </c>
      <c r="AL516" s="181">
        <f t="shared" si="140"/>
        <v>100</v>
      </c>
      <c r="AM516" s="243"/>
    </row>
    <row r="517" spans="1:39" ht="29.25" customHeight="1" x14ac:dyDescent="0.25">
      <c r="A517" s="243"/>
      <c r="B517" s="341"/>
      <c r="C517" s="341"/>
      <c r="D517" s="341"/>
      <c r="E517" s="341"/>
      <c r="F517" s="341"/>
      <c r="G517" s="341"/>
      <c r="H517" s="341"/>
      <c r="I517" s="342"/>
      <c r="J517" s="341" t="s">
        <v>551</v>
      </c>
      <c r="K517" s="245"/>
      <c r="L517" s="257"/>
      <c r="M517" s="591" t="s">
        <v>550</v>
      </c>
      <c r="N517" s="592"/>
      <c r="O517" s="179"/>
      <c r="P517" s="180"/>
      <c r="Q517" s="180">
        <v>175264000</v>
      </c>
      <c r="R517" s="181">
        <f t="shared" si="141"/>
        <v>17.349247355728082</v>
      </c>
      <c r="S517" s="181">
        <v>100</v>
      </c>
      <c r="T517" s="180">
        <f t="shared" si="114"/>
        <v>0</v>
      </c>
      <c r="U517" s="180">
        <f t="shared" si="119"/>
        <v>0</v>
      </c>
      <c r="V517" s="182">
        <f t="shared" si="92"/>
        <v>100</v>
      </c>
      <c r="W517" s="180"/>
      <c r="X517" s="180"/>
      <c r="Y517" s="180"/>
      <c r="Z517" s="180"/>
      <c r="AA517" s="180"/>
      <c r="AB517" s="180"/>
      <c r="AC517" s="180"/>
      <c r="AD517" s="180"/>
      <c r="AE517" s="180"/>
      <c r="AF517" s="180"/>
      <c r="AG517" s="180"/>
      <c r="AH517" s="180"/>
      <c r="AI517" s="180">
        <v>0</v>
      </c>
      <c r="AJ517" s="181">
        <f t="shared" si="131"/>
        <v>0</v>
      </c>
      <c r="AK517" s="180">
        <f t="shared" si="139"/>
        <v>175264000</v>
      </c>
      <c r="AL517" s="181">
        <f t="shared" si="140"/>
        <v>100</v>
      </c>
      <c r="AM517" s="243"/>
    </row>
    <row r="518" spans="1:39" s="297" customFormat="1" ht="28.5" customHeight="1" x14ac:dyDescent="0.25">
      <c r="A518" s="227">
        <f>A506+1</f>
        <v>65</v>
      </c>
      <c r="B518" s="615" t="s">
        <v>158</v>
      </c>
      <c r="C518" s="615"/>
      <c r="D518" s="615"/>
      <c r="E518" s="615"/>
      <c r="F518" s="615"/>
      <c r="G518" s="615"/>
      <c r="H518" s="615"/>
      <c r="I518" s="614"/>
      <c r="J518" s="304" t="s">
        <v>518</v>
      </c>
      <c r="K518" s="230"/>
      <c r="L518" s="294"/>
      <c r="M518" s="610" t="s">
        <v>163</v>
      </c>
      <c r="N518" s="610"/>
      <c r="O518" s="309">
        <v>355300000</v>
      </c>
      <c r="P518" s="231">
        <v>0</v>
      </c>
      <c r="Q518" s="231">
        <f>SUM(Q519:Q524)</f>
        <v>130200000</v>
      </c>
      <c r="R518" s="233">
        <f>Q518/Q$243*100</f>
        <v>1.0915635044942593</v>
      </c>
      <c r="S518" s="233">
        <v>100</v>
      </c>
      <c r="T518" s="231">
        <f t="shared" si="114"/>
        <v>0</v>
      </c>
      <c r="U518" s="231">
        <f t="shared" si="119"/>
        <v>0</v>
      </c>
      <c r="V518" s="296">
        <f t="shared" si="92"/>
        <v>100</v>
      </c>
      <c r="W518" s="231"/>
      <c r="X518" s="231"/>
      <c r="Y518" s="231"/>
      <c r="Z518" s="231"/>
      <c r="AA518" s="231"/>
      <c r="AB518" s="231"/>
      <c r="AC518" s="231"/>
      <c r="AD518" s="231"/>
      <c r="AE518" s="231"/>
      <c r="AF518" s="231"/>
      <c r="AG518" s="231" t="e">
        <f>[2]april!N84</f>
        <v>#REF!</v>
      </c>
      <c r="AH518" s="231">
        <f>'[3]DES SKPD'!$N84</f>
        <v>52275000</v>
      </c>
      <c r="AI518" s="231">
        <f>SUM(AI520:AI524)</f>
        <v>0</v>
      </c>
      <c r="AJ518" s="233">
        <f t="shared" si="131"/>
        <v>0</v>
      </c>
      <c r="AK518" s="234">
        <f t="shared" ref="AK518:AK525" si="142">Q518-AI518</f>
        <v>130200000</v>
      </c>
      <c r="AL518" s="233">
        <f t="shared" si="140"/>
        <v>100</v>
      </c>
      <c r="AM518" s="227"/>
    </row>
    <row r="519" spans="1:39" s="297" customFormat="1" ht="28.5" customHeight="1" x14ac:dyDescent="0.25">
      <c r="A519" s="227"/>
      <c r="B519" s="346"/>
      <c r="C519" s="346"/>
      <c r="D519" s="346"/>
      <c r="E519" s="346"/>
      <c r="F519" s="346"/>
      <c r="G519" s="346"/>
      <c r="H519" s="346"/>
      <c r="I519" s="345"/>
      <c r="J519" s="341" t="s">
        <v>323</v>
      </c>
      <c r="K519" s="230"/>
      <c r="L519" s="294"/>
      <c r="M519" s="591" t="s">
        <v>324</v>
      </c>
      <c r="N519" s="592"/>
      <c r="O519" s="309"/>
      <c r="P519" s="231"/>
      <c r="Q519" s="180">
        <v>6000000</v>
      </c>
      <c r="R519" s="181">
        <f t="shared" ref="R519:R524" si="143">Q519/Q$518*100</f>
        <v>4.6082949308755765</v>
      </c>
      <c r="S519" s="181">
        <v>100</v>
      </c>
      <c r="T519" s="180">
        <f t="shared" si="114"/>
        <v>0</v>
      </c>
      <c r="U519" s="180">
        <f t="shared" si="119"/>
        <v>0</v>
      </c>
      <c r="V519" s="182">
        <f t="shared" si="92"/>
        <v>100</v>
      </c>
      <c r="W519" s="180"/>
      <c r="X519" s="180"/>
      <c r="Y519" s="180"/>
      <c r="Z519" s="180"/>
      <c r="AA519" s="180"/>
      <c r="AB519" s="180"/>
      <c r="AC519" s="180"/>
      <c r="AD519" s="180"/>
      <c r="AE519" s="180"/>
      <c r="AF519" s="180"/>
      <c r="AG519" s="180"/>
      <c r="AH519" s="180"/>
      <c r="AI519" s="180">
        <v>0</v>
      </c>
      <c r="AJ519" s="181">
        <f t="shared" si="131"/>
        <v>0</v>
      </c>
      <c r="AK519" s="246">
        <f t="shared" si="142"/>
        <v>6000000</v>
      </c>
      <c r="AL519" s="181">
        <f t="shared" si="140"/>
        <v>100</v>
      </c>
      <c r="AM519" s="227"/>
    </row>
    <row r="520" spans="1:39" s="313" customFormat="1" ht="24.75" customHeight="1" x14ac:dyDescent="0.25">
      <c r="A520" s="243"/>
      <c r="B520" s="341"/>
      <c r="C520" s="341"/>
      <c r="D520" s="341"/>
      <c r="E520" s="341"/>
      <c r="F520" s="341"/>
      <c r="G520" s="341"/>
      <c r="H520" s="341"/>
      <c r="I520" s="342"/>
      <c r="J520" s="341" t="s">
        <v>315</v>
      </c>
      <c r="K520" s="245"/>
      <c r="L520" s="257"/>
      <c r="M520" s="591" t="s">
        <v>271</v>
      </c>
      <c r="N520" s="592"/>
      <c r="O520" s="179"/>
      <c r="P520" s="180"/>
      <c r="Q520" s="180">
        <v>4000000</v>
      </c>
      <c r="R520" s="181">
        <f t="shared" si="143"/>
        <v>3.0721966205837172</v>
      </c>
      <c r="S520" s="181">
        <v>100</v>
      </c>
      <c r="T520" s="180">
        <f t="shared" si="114"/>
        <v>0</v>
      </c>
      <c r="U520" s="180">
        <f t="shared" si="119"/>
        <v>0</v>
      </c>
      <c r="V520" s="182">
        <f t="shared" si="92"/>
        <v>100</v>
      </c>
      <c r="W520" s="180"/>
      <c r="X520" s="180"/>
      <c r="Y520" s="180"/>
      <c r="Z520" s="180"/>
      <c r="AA520" s="180"/>
      <c r="AB520" s="180"/>
      <c r="AC520" s="180"/>
      <c r="AD520" s="180"/>
      <c r="AE520" s="180"/>
      <c r="AF520" s="180"/>
      <c r="AG520" s="180"/>
      <c r="AH520" s="180"/>
      <c r="AI520" s="180">
        <v>0</v>
      </c>
      <c r="AJ520" s="181">
        <f t="shared" si="131"/>
        <v>0</v>
      </c>
      <c r="AK520" s="246">
        <f t="shared" si="142"/>
        <v>4000000</v>
      </c>
      <c r="AL520" s="181">
        <f t="shared" si="140"/>
        <v>100</v>
      </c>
      <c r="AM520" s="243"/>
    </row>
    <row r="521" spans="1:39" s="313" customFormat="1" ht="24.75" customHeight="1" x14ac:dyDescent="0.25">
      <c r="A521" s="243"/>
      <c r="B521" s="341"/>
      <c r="C521" s="341"/>
      <c r="D521" s="341"/>
      <c r="E521" s="341"/>
      <c r="F521" s="341"/>
      <c r="G521" s="341"/>
      <c r="H521" s="341"/>
      <c r="I521" s="342"/>
      <c r="J521" s="341" t="s">
        <v>280</v>
      </c>
      <c r="K521" s="245"/>
      <c r="L521" s="257"/>
      <c r="M521" s="591" t="s">
        <v>423</v>
      </c>
      <c r="N521" s="592"/>
      <c r="O521" s="179"/>
      <c r="P521" s="180"/>
      <c r="Q521" s="180">
        <v>1000000</v>
      </c>
      <c r="R521" s="181">
        <f t="shared" si="143"/>
        <v>0.76804915514592931</v>
      </c>
      <c r="S521" s="181">
        <v>100</v>
      </c>
      <c r="T521" s="180">
        <f t="shared" si="114"/>
        <v>0</v>
      </c>
      <c r="U521" s="180">
        <f t="shared" si="119"/>
        <v>0</v>
      </c>
      <c r="V521" s="182">
        <f t="shared" si="92"/>
        <v>100</v>
      </c>
      <c r="W521" s="180"/>
      <c r="X521" s="180"/>
      <c r="Y521" s="180"/>
      <c r="Z521" s="180"/>
      <c r="AA521" s="180"/>
      <c r="AB521" s="180"/>
      <c r="AC521" s="180"/>
      <c r="AD521" s="180"/>
      <c r="AE521" s="180"/>
      <c r="AF521" s="180"/>
      <c r="AG521" s="180"/>
      <c r="AH521" s="180"/>
      <c r="AI521" s="180">
        <v>0</v>
      </c>
      <c r="AJ521" s="181">
        <f t="shared" si="131"/>
        <v>0</v>
      </c>
      <c r="AK521" s="246">
        <f t="shared" si="142"/>
        <v>1000000</v>
      </c>
      <c r="AL521" s="181">
        <f t="shared" si="140"/>
        <v>100</v>
      </c>
      <c r="AM521" s="243"/>
    </row>
    <row r="522" spans="1:39" s="313" customFormat="1" ht="24.75" customHeight="1" x14ac:dyDescent="0.25">
      <c r="A522" s="243"/>
      <c r="B522" s="341"/>
      <c r="C522" s="341"/>
      <c r="D522" s="341"/>
      <c r="E522" s="341"/>
      <c r="F522" s="341"/>
      <c r="G522" s="341"/>
      <c r="H522" s="341"/>
      <c r="I522" s="342"/>
      <c r="J522" s="341" t="s">
        <v>284</v>
      </c>
      <c r="K522" s="245"/>
      <c r="L522" s="257"/>
      <c r="M522" s="591" t="s">
        <v>285</v>
      </c>
      <c r="N522" s="592"/>
      <c r="O522" s="179"/>
      <c r="P522" s="180"/>
      <c r="Q522" s="180">
        <v>5000000</v>
      </c>
      <c r="R522" s="181">
        <f t="shared" si="143"/>
        <v>3.8402457757296471</v>
      </c>
      <c r="S522" s="181">
        <v>100</v>
      </c>
      <c r="T522" s="180">
        <f t="shared" si="114"/>
        <v>0</v>
      </c>
      <c r="U522" s="180">
        <f t="shared" si="119"/>
        <v>0</v>
      </c>
      <c r="V522" s="182">
        <f t="shared" si="92"/>
        <v>100</v>
      </c>
      <c r="W522" s="180"/>
      <c r="X522" s="180"/>
      <c r="Y522" s="180"/>
      <c r="Z522" s="180"/>
      <c r="AA522" s="180"/>
      <c r="AB522" s="180"/>
      <c r="AC522" s="180"/>
      <c r="AD522" s="180"/>
      <c r="AE522" s="180"/>
      <c r="AF522" s="180"/>
      <c r="AG522" s="180"/>
      <c r="AH522" s="180"/>
      <c r="AI522" s="180">
        <v>0</v>
      </c>
      <c r="AJ522" s="181">
        <f t="shared" si="131"/>
        <v>0</v>
      </c>
      <c r="AK522" s="246">
        <f t="shared" si="142"/>
        <v>5000000</v>
      </c>
      <c r="AL522" s="181">
        <f t="shared" si="140"/>
        <v>100</v>
      </c>
      <c r="AM522" s="243"/>
    </row>
    <row r="523" spans="1:39" s="313" customFormat="1" ht="24.75" customHeight="1" x14ac:dyDescent="0.25">
      <c r="A523" s="243"/>
      <c r="B523" s="341"/>
      <c r="C523" s="341"/>
      <c r="D523" s="341"/>
      <c r="E523" s="341"/>
      <c r="F523" s="341"/>
      <c r="G523" s="341"/>
      <c r="H523" s="341"/>
      <c r="I523" s="342"/>
      <c r="J523" s="341"/>
      <c r="K523" s="245"/>
      <c r="L523" s="257"/>
      <c r="M523" s="591" t="s">
        <v>503</v>
      </c>
      <c r="N523" s="592"/>
      <c r="O523" s="179"/>
      <c r="P523" s="180"/>
      <c r="Q523" s="180">
        <v>10000000</v>
      </c>
      <c r="R523" s="181">
        <f t="shared" si="143"/>
        <v>7.6804915514592942</v>
      </c>
      <c r="S523" s="181">
        <v>100</v>
      </c>
      <c r="T523" s="180">
        <f t="shared" si="114"/>
        <v>0</v>
      </c>
      <c r="U523" s="180">
        <f t="shared" si="119"/>
        <v>0</v>
      </c>
      <c r="V523" s="182">
        <f t="shared" si="92"/>
        <v>100</v>
      </c>
      <c r="W523" s="180"/>
      <c r="X523" s="180"/>
      <c r="Y523" s="180"/>
      <c r="Z523" s="180"/>
      <c r="AA523" s="180"/>
      <c r="AB523" s="180"/>
      <c r="AC523" s="180"/>
      <c r="AD523" s="180"/>
      <c r="AE523" s="180"/>
      <c r="AF523" s="180"/>
      <c r="AG523" s="180"/>
      <c r="AH523" s="180"/>
      <c r="AI523" s="180">
        <v>0</v>
      </c>
      <c r="AJ523" s="181">
        <f t="shared" si="131"/>
        <v>0</v>
      </c>
      <c r="AK523" s="246">
        <f t="shared" si="142"/>
        <v>10000000</v>
      </c>
      <c r="AL523" s="181">
        <f t="shared" si="140"/>
        <v>100</v>
      </c>
      <c r="AM523" s="243"/>
    </row>
    <row r="524" spans="1:39" ht="24.75" customHeight="1" x14ac:dyDescent="0.25">
      <c r="A524" s="243"/>
      <c r="B524" s="341"/>
      <c r="C524" s="341"/>
      <c r="D524" s="341"/>
      <c r="E524" s="341"/>
      <c r="F524" s="341"/>
      <c r="G524" s="341"/>
      <c r="H524" s="341"/>
      <c r="I524" s="342"/>
      <c r="J524" s="341" t="s">
        <v>309</v>
      </c>
      <c r="K524" s="245"/>
      <c r="L524" s="257"/>
      <c r="M524" s="591" t="s">
        <v>310</v>
      </c>
      <c r="N524" s="592"/>
      <c r="O524" s="179"/>
      <c r="P524" s="180"/>
      <c r="Q524" s="180">
        <v>104200000</v>
      </c>
      <c r="R524" s="181">
        <f t="shared" si="143"/>
        <v>80.030721966205846</v>
      </c>
      <c r="S524" s="181">
        <v>100</v>
      </c>
      <c r="T524" s="180">
        <f t="shared" si="114"/>
        <v>0</v>
      </c>
      <c r="U524" s="180">
        <f t="shared" si="119"/>
        <v>0</v>
      </c>
      <c r="V524" s="182">
        <f t="shared" si="92"/>
        <v>100</v>
      </c>
      <c r="W524" s="180"/>
      <c r="X524" s="180"/>
      <c r="Y524" s="180"/>
      <c r="Z524" s="180"/>
      <c r="AA524" s="180"/>
      <c r="AB524" s="180"/>
      <c r="AC524" s="180"/>
      <c r="AD524" s="180"/>
      <c r="AE524" s="180"/>
      <c r="AF524" s="180"/>
      <c r="AG524" s="180"/>
      <c r="AH524" s="180"/>
      <c r="AI524" s="180">
        <v>0</v>
      </c>
      <c r="AJ524" s="181">
        <f t="shared" si="131"/>
        <v>0</v>
      </c>
      <c r="AK524" s="246">
        <f t="shared" si="142"/>
        <v>104200000</v>
      </c>
      <c r="AL524" s="181">
        <f t="shared" si="140"/>
        <v>100</v>
      </c>
      <c r="AM524" s="243"/>
    </row>
    <row r="525" spans="1:39" s="297" customFormat="1" ht="29.25" customHeight="1" x14ac:dyDescent="0.25">
      <c r="A525" s="227">
        <f>A518+1</f>
        <v>66</v>
      </c>
      <c r="B525" s="615" t="s">
        <v>158</v>
      </c>
      <c r="C525" s="615"/>
      <c r="D525" s="615"/>
      <c r="E525" s="615"/>
      <c r="F525" s="615"/>
      <c r="G525" s="615"/>
      <c r="H525" s="615"/>
      <c r="I525" s="614"/>
      <c r="J525" s="304" t="s">
        <v>519</v>
      </c>
      <c r="K525" s="230"/>
      <c r="L525" s="294"/>
      <c r="M525" s="610" t="s">
        <v>164</v>
      </c>
      <c r="N525" s="610"/>
      <c r="O525" s="309">
        <v>355300000</v>
      </c>
      <c r="P525" s="231">
        <v>0</v>
      </c>
      <c r="Q525" s="231">
        <f>SUM(Q526:Q536)</f>
        <v>154081000</v>
      </c>
      <c r="R525" s="233">
        <f>Q525/Q$243*100</f>
        <v>1.2917757015052225</v>
      </c>
      <c r="S525" s="233">
        <v>100</v>
      </c>
      <c r="T525" s="231">
        <f t="shared" si="114"/>
        <v>0</v>
      </c>
      <c r="U525" s="231">
        <f t="shared" si="119"/>
        <v>0</v>
      </c>
      <c r="V525" s="296">
        <f t="shared" si="92"/>
        <v>100</v>
      </c>
      <c r="W525" s="231"/>
      <c r="X525" s="231"/>
      <c r="Y525" s="231"/>
      <c r="Z525" s="231"/>
      <c r="AA525" s="231"/>
      <c r="AB525" s="231"/>
      <c r="AC525" s="231"/>
      <c r="AD525" s="231"/>
      <c r="AE525" s="231"/>
      <c r="AF525" s="231"/>
      <c r="AG525" s="231" t="e">
        <f>[2]april!N85</f>
        <v>#REF!</v>
      </c>
      <c r="AH525" s="231">
        <f>'[3]DES SKPD'!$N85</f>
        <v>78380000</v>
      </c>
      <c r="AI525" s="231">
        <f>SUM(AI526:AI536)</f>
        <v>0</v>
      </c>
      <c r="AJ525" s="233">
        <f t="shared" si="131"/>
        <v>0</v>
      </c>
      <c r="AK525" s="234">
        <f t="shared" si="142"/>
        <v>154081000</v>
      </c>
      <c r="AL525" s="233">
        <f t="shared" si="140"/>
        <v>100</v>
      </c>
      <c r="AM525" s="227"/>
    </row>
    <row r="526" spans="1:39" ht="29.25" customHeight="1" x14ac:dyDescent="0.25">
      <c r="A526" s="243"/>
      <c r="B526" s="341"/>
      <c r="C526" s="341"/>
      <c r="D526" s="341"/>
      <c r="E526" s="341"/>
      <c r="F526" s="341"/>
      <c r="G526" s="341"/>
      <c r="H526" s="341"/>
      <c r="I526" s="342"/>
      <c r="J526" s="341" t="s">
        <v>259</v>
      </c>
      <c r="K526" s="245"/>
      <c r="L526" s="257"/>
      <c r="M526" s="591" t="s">
        <v>619</v>
      </c>
      <c r="N526" s="592"/>
      <c r="O526" s="179"/>
      <c r="P526" s="180"/>
      <c r="Q526" s="180">
        <v>1300000</v>
      </c>
      <c r="R526" s="181">
        <f>Q526/Q$525*100</f>
        <v>0.84371207351977218</v>
      </c>
      <c r="S526" s="181">
        <v>100</v>
      </c>
      <c r="T526" s="180">
        <f t="shared" si="114"/>
        <v>0</v>
      </c>
      <c r="U526" s="180">
        <f t="shared" si="119"/>
        <v>0</v>
      </c>
      <c r="V526" s="182">
        <f t="shared" si="92"/>
        <v>100</v>
      </c>
      <c r="W526" s="180"/>
      <c r="X526" s="180"/>
      <c r="Y526" s="180"/>
      <c r="Z526" s="180"/>
      <c r="AA526" s="180"/>
      <c r="AB526" s="180"/>
      <c r="AC526" s="180"/>
      <c r="AD526" s="180"/>
      <c r="AE526" s="180"/>
      <c r="AF526" s="180"/>
      <c r="AG526" s="180"/>
      <c r="AH526" s="180"/>
      <c r="AI526" s="180">
        <v>0</v>
      </c>
      <c r="AJ526" s="181">
        <f t="shared" si="131"/>
        <v>0</v>
      </c>
      <c r="AK526" s="180">
        <f>SUM(Q526-AI526)</f>
        <v>1300000</v>
      </c>
      <c r="AL526" s="181">
        <f t="shared" si="140"/>
        <v>100</v>
      </c>
      <c r="AM526" s="243"/>
    </row>
    <row r="527" spans="1:39" ht="29.25" customHeight="1" x14ac:dyDescent="0.25">
      <c r="A527" s="243"/>
      <c r="B527" s="341"/>
      <c r="C527" s="341"/>
      <c r="D527" s="341"/>
      <c r="E527" s="341"/>
      <c r="F527" s="341"/>
      <c r="G527" s="341"/>
      <c r="H527" s="341"/>
      <c r="I527" s="342"/>
      <c r="J527" s="341" t="s">
        <v>618</v>
      </c>
      <c r="K527" s="245"/>
      <c r="L527" s="257"/>
      <c r="M527" s="591" t="s">
        <v>351</v>
      </c>
      <c r="N527" s="592"/>
      <c r="O527" s="179"/>
      <c r="P527" s="180"/>
      <c r="Q527" s="180">
        <v>986000</v>
      </c>
      <c r="R527" s="181">
        <f t="shared" ref="R527:R536" si="144">Q527/Q$525*100</f>
        <v>0.63992315730038096</v>
      </c>
      <c r="S527" s="181">
        <v>100</v>
      </c>
      <c r="T527" s="180">
        <f t="shared" si="114"/>
        <v>0</v>
      </c>
      <c r="U527" s="180">
        <f t="shared" si="119"/>
        <v>0</v>
      </c>
      <c r="V527" s="182">
        <f t="shared" si="92"/>
        <v>100</v>
      </c>
      <c r="W527" s="180"/>
      <c r="X527" s="180"/>
      <c r="Y527" s="180"/>
      <c r="Z527" s="180"/>
      <c r="AA527" s="180"/>
      <c r="AB527" s="180"/>
      <c r="AC527" s="180"/>
      <c r="AD527" s="180"/>
      <c r="AE527" s="180"/>
      <c r="AF527" s="180"/>
      <c r="AG527" s="180"/>
      <c r="AH527" s="180"/>
      <c r="AI527" s="180">
        <v>0</v>
      </c>
      <c r="AJ527" s="181">
        <f t="shared" si="131"/>
        <v>0</v>
      </c>
      <c r="AK527" s="180">
        <f t="shared" ref="AK527:AK536" si="145">SUM(Q527-AI527)</f>
        <v>986000</v>
      </c>
      <c r="AL527" s="181">
        <f t="shared" si="140"/>
        <v>100</v>
      </c>
      <c r="AM527" s="243"/>
    </row>
    <row r="528" spans="1:39" ht="29.25" customHeight="1" x14ac:dyDescent="0.25">
      <c r="A528" s="243"/>
      <c r="B528" s="341"/>
      <c r="C528" s="341"/>
      <c r="D528" s="341"/>
      <c r="E528" s="341"/>
      <c r="F528" s="341"/>
      <c r="G528" s="341"/>
      <c r="H528" s="341"/>
      <c r="I528" s="342"/>
      <c r="J528" s="341" t="s">
        <v>332</v>
      </c>
      <c r="K528" s="245"/>
      <c r="L528" s="257"/>
      <c r="M528" s="591" t="s">
        <v>354</v>
      </c>
      <c r="N528" s="592"/>
      <c r="O528" s="179"/>
      <c r="P528" s="180"/>
      <c r="Q528" s="180">
        <v>75000000</v>
      </c>
      <c r="R528" s="181">
        <f t="shared" si="144"/>
        <v>48.675696549217619</v>
      </c>
      <c r="S528" s="181">
        <v>100</v>
      </c>
      <c r="T528" s="180">
        <f t="shared" si="114"/>
        <v>0</v>
      </c>
      <c r="U528" s="180">
        <f t="shared" si="119"/>
        <v>0</v>
      </c>
      <c r="V528" s="182">
        <f t="shared" si="92"/>
        <v>100</v>
      </c>
      <c r="W528" s="180"/>
      <c r="X528" s="180"/>
      <c r="Y528" s="180"/>
      <c r="Z528" s="180"/>
      <c r="AA528" s="180"/>
      <c r="AB528" s="180"/>
      <c r="AC528" s="180"/>
      <c r="AD528" s="180"/>
      <c r="AE528" s="180"/>
      <c r="AF528" s="180"/>
      <c r="AG528" s="180"/>
      <c r="AH528" s="180"/>
      <c r="AI528" s="180">
        <v>0</v>
      </c>
      <c r="AJ528" s="181">
        <f t="shared" si="131"/>
        <v>0</v>
      </c>
      <c r="AK528" s="180">
        <f t="shared" si="145"/>
        <v>75000000</v>
      </c>
      <c r="AL528" s="181">
        <f t="shared" si="140"/>
        <v>100</v>
      </c>
      <c r="AM528" s="243"/>
    </row>
    <row r="529" spans="1:39" ht="29.25" customHeight="1" x14ac:dyDescent="0.25">
      <c r="A529" s="243"/>
      <c r="B529" s="341"/>
      <c r="C529" s="341"/>
      <c r="D529" s="341"/>
      <c r="E529" s="341"/>
      <c r="F529" s="341"/>
      <c r="G529" s="341"/>
      <c r="H529" s="341"/>
      <c r="I529" s="342"/>
      <c r="J529" s="341" t="s">
        <v>374</v>
      </c>
      <c r="K529" s="245"/>
      <c r="L529" s="257"/>
      <c r="M529" s="591" t="s">
        <v>428</v>
      </c>
      <c r="N529" s="592"/>
      <c r="O529" s="179"/>
      <c r="P529" s="180"/>
      <c r="Q529" s="180">
        <v>500000</v>
      </c>
      <c r="R529" s="181">
        <f t="shared" si="144"/>
        <v>0.32450464366145082</v>
      </c>
      <c r="S529" s="181">
        <v>100</v>
      </c>
      <c r="T529" s="180">
        <f t="shared" si="114"/>
        <v>0</v>
      </c>
      <c r="U529" s="180">
        <f t="shared" si="119"/>
        <v>0</v>
      </c>
      <c r="V529" s="182">
        <f t="shared" si="92"/>
        <v>100</v>
      </c>
      <c r="W529" s="180"/>
      <c r="X529" s="180"/>
      <c r="Y529" s="180"/>
      <c r="Z529" s="180"/>
      <c r="AA529" s="180"/>
      <c r="AB529" s="180"/>
      <c r="AC529" s="180"/>
      <c r="AD529" s="180"/>
      <c r="AE529" s="180"/>
      <c r="AF529" s="180"/>
      <c r="AG529" s="180"/>
      <c r="AH529" s="180"/>
      <c r="AI529" s="180">
        <v>0</v>
      </c>
      <c r="AJ529" s="181">
        <f t="shared" si="131"/>
        <v>0</v>
      </c>
      <c r="AK529" s="180">
        <f t="shared" si="145"/>
        <v>500000</v>
      </c>
      <c r="AL529" s="181">
        <f t="shared" si="140"/>
        <v>100</v>
      </c>
      <c r="AM529" s="243"/>
    </row>
    <row r="530" spans="1:39" ht="29.25" customHeight="1" x14ac:dyDescent="0.25">
      <c r="A530" s="243"/>
      <c r="B530" s="341"/>
      <c r="C530" s="341"/>
      <c r="D530" s="341"/>
      <c r="E530" s="341"/>
      <c r="F530" s="341"/>
      <c r="G530" s="341"/>
      <c r="H530" s="341"/>
      <c r="I530" s="342"/>
      <c r="J530" s="341" t="s">
        <v>316</v>
      </c>
      <c r="K530" s="245"/>
      <c r="L530" s="257"/>
      <c r="M530" s="591" t="s">
        <v>317</v>
      </c>
      <c r="N530" s="592"/>
      <c r="O530" s="179"/>
      <c r="P530" s="180"/>
      <c r="Q530" s="180">
        <v>17300000</v>
      </c>
      <c r="R530" s="181">
        <f t="shared" si="144"/>
        <v>11.227860670686198</v>
      </c>
      <c r="S530" s="181">
        <v>100</v>
      </c>
      <c r="T530" s="180">
        <f t="shared" si="114"/>
        <v>0</v>
      </c>
      <c r="U530" s="180">
        <f t="shared" si="119"/>
        <v>0</v>
      </c>
      <c r="V530" s="182">
        <f t="shared" si="92"/>
        <v>100</v>
      </c>
      <c r="W530" s="180"/>
      <c r="X530" s="180"/>
      <c r="Y530" s="180"/>
      <c r="Z530" s="180"/>
      <c r="AA530" s="180"/>
      <c r="AB530" s="180"/>
      <c r="AC530" s="180"/>
      <c r="AD530" s="180"/>
      <c r="AE530" s="180"/>
      <c r="AF530" s="180"/>
      <c r="AG530" s="180"/>
      <c r="AH530" s="180"/>
      <c r="AI530" s="180">
        <v>0</v>
      </c>
      <c r="AJ530" s="181">
        <f t="shared" si="131"/>
        <v>0</v>
      </c>
      <c r="AK530" s="180">
        <f t="shared" si="145"/>
        <v>17300000</v>
      </c>
      <c r="AL530" s="181">
        <f t="shared" si="140"/>
        <v>100</v>
      </c>
      <c r="AM530" s="243"/>
    </row>
    <row r="531" spans="1:39" ht="29.25" customHeight="1" x14ac:dyDescent="0.25">
      <c r="A531" s="243"/>
      <c r="B531" s="341"/>
      <c r="C531" s="341"/>
      <c r="D531" s="341"/>
      <c r="E531" s="341"/>
      <c r="F531" s="341"/>
      <c r="G531" s="341"/>
      <c r="H531" s="341"/>
      <c r="I531" s="342"/>
      <c r="J531" s="341" t="s">
        <v>318</v>
      </c>
      <c r="K531" s="245"/>
      <c r="L531" s="257"/>
      <c r="M531" s="591" t="s">
        <v>319</v>
      </c>
      <c r="N531" s="592"/>
      <c r="O531" s="179"/>
      <c r="P531" s="180"/>
      <c r="Q531" s="180">
        <v>26250000</v>
      </c>
      <c r="R531" s="181">
        <f t="shared" si="144"/>
        <v>17.036493792226167</v>
      </c>
      <c r="S531" s="181">
        <v>100</v>
      </c>
      <c r="T531" s="180">
        <f t="shared" si="114"/>
        <v>0</v>
      </c>
      <c r="U531" s="180">
        <f t="shared" si="119"/>
        <v>0</v>
      </c>
      <c r="V531" s="182">
        <f t="shared" si="92"/>
        <v>100</v>
      </c>
      <c r="W531" s="180"/>
      <c r="X531" s="180"/>
      <c r="Y531" s="180"/>
      <c r="Z531" s="180"/>
      <c r="AA531" s="180"/>
      <c r="AB531" s="180"/>
      <c r="AC531" s="180"/>
      <c r="AD531" s="180"/>
      <c r="AE531" s="180"/>
      <c r="AF531" s="180"/>
      <c r="AG531" s="180"/>
      <c r="AH531" s="180"/>
      <c r="AI531" s="180">
        <v>0</v>
      </c>
      <c r="AJ531" s="181">
        <f t="shared" si="131"/>
        <v>0</v>
      </c>
      <c r="AK531" s="180">
        <f t="shared" si="145"/>
        <v>26250000</v>
      </c>
      <c r="AL531" s="181">
        <f t="shared" si="140"/>
        <v>100</v>
      </c>
      <c r="AM531" s="243"/>
    </row>
    <row r="532" spans="1:39" ht="29.25" customHeight="1" x14ac:dyDescent="0.25">
      <c r="A532" s="243"/>
      <c r="B532" s="341"/>
      <c r="C532" s="341"/>
      <c r="D532" s="341"/>
      <c r="E532" s="341"/>
      <c r="F532" s="341"/>
      <c r="G532" s="341"/>
      <c r="H532" s="341"/>
      <c r="I532" s="342"/>
      <c r="J532" s="341" t="s">
        <v>284</v>
      </c>
      <c r="K532" s="245"/>
      <c r="L532" s="257"/>
      <c r="M532" s="591" t="s">
        <v>285</v>
      </c>
      <c r="N532" s="592"/>
      <c r="O532" s="179"/>
      <c r="P532" s="180"/>
      <c r="Q532" s="180">
        <v>3000000</v>
      </c>
      <c r="R532" s="181">
        <f t="shared" si="144"/>
        <v>1.9470278619687049</v>
      </c>
      <c r="S532" s="181">
        <v>100</v>
      </c>
      <c r="T532" s="180">
        <f t="shared" si="114"/>
        <v>0</v>
      </c>
      <c r="U532" s="180">
        <f t="shared" si="119"/>
        <v>0</v>
      </c>
      <c r="V532" s="182">
        <f t="shared" si="92"/>
        <v>100</v>
      </c>
      <c r="W532" s="180"/>
      <c r="X532" s="180"/>
      <c r="Y532" s="180"/>
      <c r="Z532" s="180"/>
      <c r="AA532" s="180"/>
      <c r="AB532" s="180"/>
      <c r="AC532" s="180"/>
      <c r="AD532" s="180"/>
      <c r="AE532" s="180"/>
      <c r="AF532" s="180"/>
      <c r="AG532" s="180"/>
      <c r="AH532" s="180"/>
      <c r="AI532" s="180">
        <v>0</v>
      </c>
      <c r="AJ532" s="181">
        <f t="shared" si="131"/>
        <v>0</v>
      </c>
      <c r="AK532" s="180">
        <f t="shared" si="145"/>
        <v>3000000</v>
      </c>
      <c r="AL532" s="181">
        <f t="shared" si="140"/>
        <v>100</v>
      </c>
      <c r="AM532" s="243"/>
    </row>
    <row r="533" spans="1:39" ht="29.25" customHeight="1" x14ac:dyDescent="0.25">
      <c r="A533" s="243"/>
      <c r="B533" s="341"/>
      <c r="C533" s="341"/>
      <c r="D533" s="341"/>
      <c r="E533" s="341"/>
      <c r="F533" s="341"/>
      <c r="G533" s="341"/>
      <c r="H533" s="341"/>
      <c r="I533" s="342"/>
      <c r="J533" s="341" t="s">
        <v>282</v>
      </c>
      <c r="K533" s="245"/>
      <c r="L533" s="257"/>
      <c r="M533" s="591" t="s">
        <v>283</v>
      </c>
      <c r="N533" s="592"/>
      <c r="O533" s="179"/>
      <c r="P533" s="180"/>
      <c r="Q533" s="180">
        <v>10245000</v>
      </c>
      <c r="R533" s="181">
        <f t="shared" si="144"/>
        <v>6.6491001486231269</v>
      </c>
      <c r="S533" s="181">
        <v>100</v>
      </c>
      <c r="T533" s="180">
        <f t="shared" si="114"/>
        <v>0</v>
      </c>
      <c r="U533" s="180">
        <f t="shared" si="119"/>
        <v>0</v>
      </c>
      <c r="V533" s="182">
        <f t="shared" ref="V533:V674" si="146">S533-T533</f>
        <v>100</v>
      </c>
      <c r="W533" s="180"/>
      <c r="X533" s="180"/>
      <c r="Y533" s="180"/>
      <c r="Z533" s="180"/>
      <c r="AA533" s="180"/>
      <c r="AB533" s="180"/>
      <c r="AC533" s="180"/>
      <c r="AD533" s="180"/>
      <c r="AE533" s="180"/>
      <c r="AF533" s="180"/>
      <c r="AG533" s="180"/>
      <c r="AH533" s="180"/>
      <c r="AI533" s="180">
        <v>0</v>
      </c>
      <c r="AJ533" s="181">
        <f t="shared" ref="AJ533:AJ600" si="147">AI533/Q533*100</f>
        <v>0</v>
      </c>
      <c r="AK533" s="180">
        <f t="shared" si="145"/>
        <v>10245000</v>
      </c>
      <c r="AL533" s="181">
        <f t="shared" si="140"/>
        <v>100</v>
      </c>
      <c r="AM533" s="243"/>
    </row>
    <row r="534" spans="1:39" ht="29.25" customHeight="1" x14ac:dyDescent="0.25">
      <c r="A534" s="243"/>
      <c r="B534" s="341"/>
      <c r="C534" s="341"/>
      <c r="D534" s="341"/>
      <c r="E534" s="341"/>
      <c r="F534" s="341"/>
      <c r="G534" s="341"/>
      <c r="H534" s="341"/>
      <c r="I534" s="342"/>
      <c r="J534" s="341" t="s">
        <v>320</v>
      </c>
      <c r="K534" s="245"/>
      <c r="L534" s="257"/>
      <c r="M534" s="591" t="s">
        <v>321</v>
      </c>
      <c r="N534" s="592"/>
      <c r="O534" s="179"/>
      <c r="P534" s="180"/>
      <c r="Q534" s="180">
        <v>5800000</v>
      </c>
      <c r="R534" s="181">
        <f t="shared" si="144"/>
        <v>3.7642538664728291</v>
      </c>
      <c r="S534" s="181">
        <v>100</v>
      </c>
      <c r="T534" s="180">
        <f t="shared" si="114"/>
        <v>0</v>
      </c>
      <c r="U534" s="180">
        <f t="shared" si="119"/>
        <v>0</v>
      </c>
      <c r="V534" s="182">
        <f t="shared" si="146"/>
        <v>100</v>
      </c>
      <c r="W534" s="180"/>
      <c r="X534" s="180"/>
      <c r="Y534" s="180"/>
      <c r="Z534" s="180"/>
      <c r="AA534" s="180"/>
      <c r="AB534" s="180"/>
      <c r="AC534" s="180"/>
      <c r="AD534" s="180"/>
      <c r="AE534" s="180"/>
      <c r="AF534" s="180"/>
      <c r="AG534" s="180"/>
      <c r="AH534" s="180"/>
      <c r="AI534" s="180">
        <v>0</v>
      </c>
      <c r="AJ534" s="181">
        <f t="shared" si="147"/>
        <v>0</v>
      </c>
      <c r="AK534" s="180">
        <f t="shared" si="145"/>
        <v>5800000</v>
      </c>
      <c r="AL534" s="181">
        <f t="shared" si="140"/>
        <v>100</v>
      </c>
      <c r="AM534" s="243"/>
    </row>
    <row r="535" spans="1:39" ht="29.25" customHeight="1" x14ac:dyDescent="0.25">
      <c r="A535" s="243"/>
      <c r="B535" s="341"/>
      <c r="C535" s="341"/>
      <c r="D535" s="341"/>
      <c r="E535" s="341"/>
      <c r="F535" s="341"/>
      <c r="G535" s="341"/>
      <c r="H535" s="341"/>
      <c r="I535" s="342"/>
      <c r="J535" s="341" t="s">
        <v>309</v>
      </c>
      <c r="K535" s="245"/>
      <c r="L535" s="257"/>
      <c r="M535" s="591" t="s">
        <v>607</v>
      </c>
      <c r="N535" s="592"/>
      <c r="O535" s="179"/>
      <c r="P535" s="180"/>
      <c r="Q535" s="180">
        <v>2450000</v>
      </c>
      <c r="R535" s="181">
        <f t="shared" si="144"/>
        <v>1.5900727539411088</v>
      </c>
      <c r="S535" s="181">
        <v>100</v>
      </c>
      <c r="T535" s="180">
        <f t="shared" si="114"/>
        <v>0</v>
      </c>
      <c r="U535" s="180">
        <f t="shared" si="119"/>
        <v>0</v>
      </c>
      <c r="V535" s="182">
        <f t="shared" si="146"/>
        <v>100</v>
      </c>
      <c r="W535" s="180"/>
      <c r="X535" s="180"/>
      <c r="Y535" s="180"/>
      <c r="Z535" s="180"/>
      <c r="AA535" s="180"/>
      <c r="AB535" s="180"/>
      <c r="AC535" s="180"/>
      <c r="AD535" s="180"/>
      <c r="AE535" s="180"/>
      <c r="AF535" s="180"/>
      <c r="AG535" s="180"/>
      <c r="AH535" s="180"/>
      <c r="AI535" s="180">
        <v>0</v>
      </c>
      <c r="AJ535" s="181">
        <f t="shared" si="147"/>
        <v>0</v>
      </c>
      <c r="AK535" s="180">
        <f t="shared" si="145"/>
        <v>2450000</v>
      </c>
      <c r="AL535" s="181">
        <f t="shared" si="140"/>
        <v>100</v>
      </c>
      <c r="AM535" s="243"/>
    </row>
    <row r="536" spans="1:39" ht="29.25" customHeight="1" x14ac:dyDescent="0.25">
      <c r="A536" s="243"/>
      <c r="B536" s="341"/>
      <c r="C536" s="341"/>
      <c r="D536" s="341"/>
      <c r="E536" s="341"/>
      <c r="F536" s="341"/>
      <c r="G536" s="341"/>
      <c r="H536" s="341"/>
      <c r="I536" s="342"/>
      <c r="J536" s="341" t="s">
        <v>372</v>
      </c>
      <c r="K536" s="245"/>
      <c r="L536" s="257"/>
      <c r="M536" s="591" t="s">
        <v>373</v>
      </c>
      <c r="N536" s="592"/>
      <c r="O536" s="179"/>
      <c r="P536" s="180"/>
      <c r="Q536" s="180">
        <v>11250000</v>
      </c>
      <c r="R536" s="181">
        <f t="shared" si="144"/>
        <v>7.3013544823826422</v>
      </c>
      <c r="S536" s="181"/>
      <c r="T536" s="180">
        <f t="shared" si="114"/>
        <v>0</v>
      </c>
      <c r="U536" s="180">
        <f t="shared" si="119"/>
        <v>0</v>
      </c>
      <c r="V536" s="182">
        <f t="shared" si="146"/>
        <v>0</v>
      </c>
      <c r="W536" s="180"/>
      <c r="X536" s="180"/>
      <c r="Y536" s="180"/>
      <c r="Z536" s="180"/>
      <c r="AA536" s="180"/>
      <c r="AB536" s="180"/>
      <c r="AC536" s="180"/>
      <c r="AD536" s="180"/>
      <c r="AE536" s="180"/>
      <c r="AF536" s="180"/>
      <c r="AG536" s="180"/>
      <c r="AH536" s="180"/>
      <c r="AI536" s="180">
        <v>0</v>
      </c>
      <c r="AJ536" s="181">
        <f t="shared" si="147"/>
        <v>0</v>
      </c>
      <c r="AK536" s="180">
        <f t="shared" si="145"/>
        <v>11250000</v>
      </c>
      <c r="AL536" s="181">
        <f t="shared" si="140"/>
        <v>100</v>
      </c>
      <c r="AM536" s="243"/>
    </row>
    <row r="537" spans="1:39" s="297" customFormat="1" ht="31.5" customHeight="1" x14ac:dyDescent="0.25">
      <c r="A537" s="227">
        <f>A525+1</f>
        <v>67</v>
      </c>
      <c r="B537" s="615" t="s">
        <v>158</v>
      </c>
      <c r="C537" s="615"/>
      <c r="D537" s="615"/>
      <c r="E537" s="615"/>
      <c r="F537" s="615"/>
      <c r="G537" s="615"/>
      <c r="H537" s="615"/>
      <c r="I537" s="614"/>
      <c r="J537" s="304" t="s">
        <v>520</v>
      </c>
      <c r="K537" s="230"/>
      <c r="L537" s="294"/>
      <c r="M537" s="610" t="s">
        <v>165</v>
      </c>
      <c r="N537" s="610"/>
      <c r="O537" s="309">
        <v>355300000</v>
      </c>
      <c r="P537" s="231">
        <v>0</v>
      </c>
      <c r="Q537" s="231">
        <f>SUM(Q538:Q547)</f>
        <v>237999131</v>
      </c>
      <c r="R537" s="233">
        <f>Q537/Q$243*100</f>
        <v>1.9953238517737966</v>
      </c>
      <c r="S537" s="233">
        <v>100</v>
      </c>
      <c r="T537" s="231">
        <f t="shared" si="114"/>
        <v>0</v>
      </c>
      <c r="U537" s="231">
        <f t="shared" si="119"/>
        <v>0</v>
      </c>
      <c r="V537" s="296">
        <f t="shared" si="146"/>
        <v>100</v>
      </c>
      <c r="W537" s="231"/>
      <c r="X537" s="231"/>
      <c r="Y537" s="231"/>
      <c r="Z537" s="231"/>
      <c r="AA537" s="231"/>
      <c r="AB537" s="231"/>
      <c r="AC537" s="231"/>
      <c r="AD537" s="231"/>
      <c r="AE537" s="231"/>
      <c r="AF537" s="231"/>
      <c r="AG537" s="231" t="e">
        <f>[2]april!N86</f>
        <v>#REF!</v>
      </c>
      <c r="AH537" s="231">
        <f>'[3]DES SKPD'!$N86</f>
        <v>126710000</v>
      </c>
      <c r="AI537" s="231">
        <f>SUM(AI538:AI547)</f>
        <v>0</v>
      </c>
      <c r="AJ537" s="233">
        <f t="shared" si="147"/>
        <v>0</v>
      </c>
      <c r="AK537" s="234">
        <f>Q537-AI537</f>
        <v>237999131</v>
      </c>
      <c r="AL537" s="233">
        <f t="shared" si="140"/>
        <v>100</v>
      </c>
      <c r="AM537" s="227"/>
    </row>
    <row r="538" spans="1:39" ht="42.75" customHeight="1" x14ac:dyDescent="0.25">
      <c r="A538" s="243"/>
      <c r="B538" s="341"/>
      <c r="C538" s="341"/>
      <c r="D538" s="341"/>
      <c r="E538" s="341"/>
      <c r="F538" s="341"/>
      <c r="G538" s="341"/>
      <c r="H538" s="341"/>
      <c r="I538" s="342"/>
      <c r="J538" s="341" t="s">
        <v>251</v>
      </c>
      <c r="K538" s="245"/>
      <c r="L538" s="257"/>
      <c r="M538" s="591" t="s">
        <v>324</v>
      </c>
      <c r="N538" s="592"/>
      <c r="O538" s="179"/>
      <c r="P538" s="180"/>
      <c r="Q538" s="180">
        <v>3199131</v>
      </c>
      <c r="R538" s="181">
        <f>Q538/Q$537*100</f>
        <v>1.3441775970182008</v>
      </c>
      <c r="S538" s="181">
        <v>100</v>
      </c>
      <c r="T538" s="180">
        <f t="shared" si="114"/>
        <v>0</v>
      </c>
      <c r="U538" s="180">
        <f t="shared" si="119"/>
        <v>0</v>
      </c>
      <c r="V538" s="182">
        <f t="shared" si="146"/>
        <v>100</v>
      </c>
      <c r="W538" s="180"/>
      <c r="X538" s="180"/>
      <c r="Y538" s="180"/>
      <c r="Z538" s="180"/>
      <c r="AA538" s="180"/>
      <c r="AB538" s="180"/>
      <c r="AC538" s="180"/>
      <c r="AD538" s="180"/>
      <c r="AE538" s="180"/>
      <c r="AF538" s="180"/>
      <c r="AG538" s="180"/>
      <c r="AH538" s="180"/>
      <c r="AI538" s="180">
        <v>0</v>
      </c>
      <c r="AJ538" s="181">
        <f t="shared" si="147"/>
        <v>0</v>
      </c>
      <c r="AK538" s="246">
        <f>SUM(Q538-AI538)</f>
        <v>3199131</v>
      </c>
      <c r="AL538" s="181">
        <f t="shared" si="140"/>
        <v>100</v>
      </c>
      <c r="AM538" s="243"/>
    </row>
    <row r="539" spans="1:39" ht="42.75" customHeight="1" x14ac:dyDescent="0.25">
      <c r="A539" s="243"/>
      <c r="B539" s="341"/>
      <c r="C539" s="341"/>
      <c r="D539" s="341"/>
      <c r="E539" s="341"/>
      <c r="F539" s="341"/>
      <c r="G539" s="341"/>
      <c r="H539" s="341"/>
      <c r="I539" s="342"/>
      <c r="J539" s="341"/>
      <c r="K539" s="245"/>
      <c r="L539" s="257"/>
      <c r="M539" s="591" t="s">
        <v>346</v>
      </c>
      <c r="N539" s="592"/>
      <c r="O539" s="179"/>
      <c r="P539" s="180"/>
      <c r="Q539" s="180">
        <v>16500000</v>
      </c>
      <c r="R539" s="181">
        <f>Q539/Q$537*100</f>
        <v>6.9327984226967621</v>
      </c>
      <c r="S539" s="181">
        <v>100</v>
      </c>
      <c r="T539" s="180">
        <f t="shared" si="114"/>
        <v>0</v>
      </c>
      <c r="U539" s="180">
        <f t="shared" si="119"/>
        <v>0</v>
      </c>
      <c r="V539" s="182">
        <f t="shared" si="146"/>
        <v>100</v>
      </c>
      <c r="W539" s="180"/>
      <c r="X539" s="180"/>
      <c r="Y539" s="180"/>
      <c r="Z539" s="180"/>
      <c r="AA539" s="180"/>
      <c r="AB539" s="180"/>
      <c r="AC539" s="180"/>
      <c r="AD539" s="180"/>
      <c r="AE539" s="180"/>
      <c r="AF539" s="180"/>
      <c r="AG539" s="180"/>
      <c r="AH539" s="180"/>
      <c r="AI539" s="180">
        <v>0</v>
      </c>
      <c r="AJ539" s="181">
        <f t="shared" si="147"/>
        <v>0</v>
      </c>
      <c r="AK539" s="246">
        <f>SUM(Q539-AI539)</f>
        <v>16500000</v>
      </c>
      <c r="AL539" s="181">
        <f t="shared" si="140"/>
        <v>100</v>
      </c>
      <c r="AM539" s="243"/>
    </row>
    <row r="540" spans="1:39" ht="24.75" customHeight="1" x14ac:dyDescent="0.25">
      <c r="A540" s="243"/>
      <c r="B540" s="341"/>
      <c r="C540" s="341"/>
      <c r="D540" s="341"/>
      <c r="E540" s="341"/>
      <c r="F540" s="341"/>
      <c r="G540" s="341"/>
      <c r="H540" s="341"/>
      <c r="I540" s="342"/>
      <c r="J540" s="341" t="s">
        <v>315</v>
      </c>
      <c r="K540" s="245"/>
      <c r="L540" s="257"/>
      <c r="M540" s="591" t="s">
        <v>271</v>
      </c>
      <c r="N540" s="592"/>
      <c r="O540" s="179"/>
      <c r="P540" s="180"/>
      <c r="Q540" s="180">
        <v>4000000</v>
      </c>
      <c r="R540" s="181">
        <f t="shared" ref="R540:R547" si="148">Q540/Q$537*100</f>
        <v>1.6806784055022455</v>
      </c>
      <c r="S540" s="181">
        <v>100</v>
      </c>
      <c r="T540" s="180">
        <f t="shared" si="114"/>
        <v>0</v>
      </c>
      <c r="U540" s="180">
        <f t="shared" si="119"/>
        <v>0</v>
      </c>
      <c r="V540" s="182">
        <f t="shared" si="146"/>
        <v>100</v>
      </c>
      <c r="W540" s="180"/>
      <c r="X540" s="180"/>
      <c r="Y540" s="180"/>
      <c r="Z540" s="180"/>
      <c r="AA540" s="180"/>
      <c r="AB540" s="180"/>
      <c r="AC540" s="180"/>
      <c r="AD540" s="180"/>
      <c r="AE540" s="180"/>
      <c r="AF540" s="180"/>
      <c r="AG540" s="180"/>
      <c r="AH540" s="180"/>
      <c r="AI540" s="180">
        <v>0</v>
      </c>
      <c r="AJ540" s="181">
        <f t="shared" si="147"/>
        <v>0</v>
      </c>
      <c r="AK540" s="246">
        <f t="shared" ref="AK540:AK547" si="149">SUM(Q540-AI540)</f>
        <v>4000000</v>
      </c>
      <c r="AL540" s="181">
        <f t="shared" si="140"/>
        <v>100</v>
      </c>
      <c r="AM540" s="243"/>
    </row>
    <row r="541" spans="1:39" ht="24.75" customHeight="1" x14ac:dyDescent="0.25">
      <c r="A541" s="243"/>
      <c r="B541" s="341"/>
      <c r="C541" s="341"/>
      <c r="D541" s="341"/>
      <c r="E541" s="341"/>
      <c r="F541" s="341"/>
      <c r="G541" s="341"/>
      <c r="H541" s="341"/>
      <c r="I541" s="342"/>
      <c r="J541" s="341" t="s">
        <v>316</v>
      </c>
      <c r="K541" s="245"/>
      <c r="L541" s="257"/>
      <c r="M541" s="591" t="s">
        <v>317</v>
      </c>
      <c r="N541" s="592"/>
      <c r="O541" s="179"/>
      <c r="P541" s="180"/>
      <c r="Q541" s="180">
        <v>3600000</v>
      </c>
      <c r="R541" s="181">
        <f t="shared" si="148"/>
        <v>1.5126105649520207</v>
      </c>
      <c r="S541" s="181">
        <v>100</v>
      </c>
      <c r="T541" s="180">
        <f t="shared" si="114"/>
        <v>0</v>
      </c>
      <c r="U541" s="180">
        <f t="shared" si="119"/>
        <v>0</v>
      </c>
      <c r="V541" s="182">
        <f t="shared" si="146"/>
        <v>100</v>
      </c>
      <c r="W541" s="180"/>
      <c r="X541" s="180"/>
      <c r="Y541" s="180"/>
      <c r="Z541" s="180"/>
      <c r="AA541" s="180"/>
      <c r="AB541" s="180"/>
      <c r="AC541" s="180"/>
      <c r="AD541" s="180"/>
      <c r="AE541" s="180"/>
      <c r="AF541" s="180"/>
      <c r="AG541" s="180"/>
      <c r="AH541" s="180"/>
      <c r="AI541" s="180">
        <v>0</v>
      </c>
      <c r="AJ541" s="181">
        <f t="shared" si="147"/>
        <v>0</v>
      </c>
      <c r="AK541" s="246">
        <f t="shared" si="149"/>
        <v>3600000</v>
      </c>
      <c r="AL541" s="181">
        <f t="shared" si="140"/>
        <v>100</v>
      </c>
      <c r="AM541" s="243"/>
    </row>
    <row r="542" spans="1:39" ht="24.75" customHeight="1" x14ac:dyDescent="0.25">
      <c r="A542" s="243"/>
      <c r="B542" s="341"/>
      <c r="C542" s="341"/>
      <c r="D542" s="341"/>
      <c r="E542" s="341"/>
      <c r="F542" s="341"/>
      <c r="G542" s="341"/>
      <c r="H542" s="341"/>
      <c r="I542" s="342"/>
      <c r="J542" s="341" t="s">
        <v>370</v>
      </c>
      <c r="K542" s="245"/>
      <c r="L542" s="257"/>
      <c r="M542" s="591" t="s">
        <v>371</v>
      </c>
      <c r="N542" s="592"/>
      <c r="O542" s="179"/>
      <c r="P542" s="180"/>
      <c r="Q542" s="180">
        <v>27000000</v>
      </c>
      <c r="R542" s="181">
        <f t="shared" si="148"/>
        <v>11.344579237140156</v>
      </c>
      <c r="S542" s="181">
        <v>100</v>
      </c>
      <c r="T542" s="180">
        <f t="shared" si="114"/>
        <v>0</v>
      </c>
      <c r="U542" s="180">
        <f t="shared" si="119"/>
        <v>0</v>
      </c>
      <c r="V542" s="182">
        <f t="shared" si="146"/>
        <v>100</v>
      </c>
      <c r="W542" s="180"/>
      <c r="X542" s="180"/>
      <c r="Y542" s="180"/>
      <c r="Z542" s="180"/>
      <c r="AA542" s="180"/>
      <c r="AB542" s="180"/>
      <c r="AC542" s="180"/>
      <c r="AD542" s="180"/>
      <c r="AE542" s="180"/>
      <c r="AF542" s="180"/>
      <c r="AG542" s="180"/>
      <c r="AH542" s="180"/>
      <c r="AI542" s="180">
        <v>0</v>
      </c>
      <c r="AJ542" s="181">
        <f t="shared" si="147"/>
        <v>0</v>
      </c>
      <c r="AK542" s="246">
        <f t="shared" si="149"/>
        <v>27000000</v>
      </c>
      <c r="AL542" s="181">
        <f t="shared" si="140"/>
        <v>100</v>
      </c>
      <c r="AM542" s="243"/>
    </row>
    <row r="543" spans="1:39" ht="30" customHeight="1" x14ac:dyDescent="0.25">
      <c r="A543" s="243"/>
      <c r="B543" s="341"/>
      <c r="C543" s="341"/>
      <c r="D543" s="341"/>
      <c r="E543" s="341"/>
      <c r="F543" s="341"/>
      <c r="G543" s="341"/>
      <c r="H543" s="341"/>
      <c r="I543" s="342"/>
      <c r="J543" s="341" t="s">
        <v>339</v>
      </c>
      <c r="K543" s="245"/>
      <c r="L543" s="257"/>
      <c r="M543" s="591" t="s">
        <v>340</v>
      </c>
      <c r="N543" s="592"/>
      <c r="O543" s="179"/>
      <c r="P543" s="180"/>
      <c r="Q543" s="180">
        <v>41000000</v>
      </c>
      <c r="R543" s="181">
        <f t="shared" si="148"/>
        <v>17.226953656398013</v>
      </c>
      <c r="S543" s="181">
        <v>100</v>
      </c>
      <c r="T543" s="180">
        <f t="shared" si="114"/>
        <v>0</v>
      </c>
      <c r="U543" s="180">
        <f t="shared" si="119"/>
        <v>0</v>
      </c>
      <c r="V543" s="182">
        <f t="shared" si="146"/>
        <v>100</v>
      </c>
      <c r="W543" s="180"/>
      <c r="X543" s="180"/>
      <c r="Y543" s="180"/>
      <c r="Z543" s="180"/>
      <c r="AA543" s="180"/>
      <c r="AB543" s="180"/>
      <c r="AC543" s="180"/>
      <c r="AD543" s="180"/>
      <c r="AE543" s="180"/>
      <c r="AF543" s="180"/>
      <c r="AG543" s="180"/>
      <c r="AH543" s="180"/>
      <c r="AI543" s="180">
        <v>0</v>
      </c>
      <c r="AJ543" s="181">
        <f t="shared" si="147"/>
        <v>0</v>
      </c>
      <c r="AK543" s="246">
        <f t="shared" si="149"/>
        <v>41000000</v>
      </c>
      <c r="AL543" s="181">
        <f t="shared" si="140"/>
        <v>100</v>
      </c>
      <c r="AM543" s="243"/>
    </row>
    <row r="544" spans="1:39" ht="24.75" customHeight="1" x14ac:dyDescent="0.25">
      <c r="A544" s="243"/>
      <c r="B544" s="341"/>
      <c r="C544" s="341"/>
      <c r="D544" s="341"/>
      <c r="E544" s="341"/>
      <c r="F544" s="341"/>
      <c r="G544" s="341"/>
      <c r="H544" s="341"/>
      <c r="I544" s="342"/>
      <c r="J544" s="341" t="s">
        <v>284</v>
      </c>
      <c r="K544" s="245"/>
      <c r="L544" s="257"/>
      <c r="M544" s="591" t="s">
        <v>285</v>
      </c>
      <c r="N544" s="592"/>
      <c r="O544" s="179"/>
      <c r="P544" s="180"/>
      <c r="Q544" s="180">
        <v>4400000</v>
      </c>
      <c r="R544" s="181">
        <f t="shared" si="148"/>
        <v>1.8487462460524697</v>
      </c>
      <c r="S544" s="181">
        <v>100</v>
      </c>
      <c r="T544" s="180">
        <f t="shared" si="114"/>
        <v>0</v>
      </c>
      <c r="U544" s="180">
        <f t="shared" si="119"/>
        <v>0</v>
      </c>
      <c r="V544" s="182">
        <f t="shared" si="146"/>
        <v>100</v>
      </c>
      <c r="W544" s="180"/>
      <c r="X544" s="180"/>
      <c r="Y544" s="180"/>
      <c r="Z544" s="180"/>
      <c r="AA544" s="180"/>
      <c r="AB544" s="180"/>
      <c r="AC544" s="180"/>
      <c r="AD544" s="180"/>
      <c r="AE544" s="180"/>
      <c r="AF544" s="180"/>
      <c r="AG544" s="180"/>
      <c r="AH544" s="180"/>
      <c r="AI544" s="180">
        <v>0</v>
      </c>
      <c r="AJ544" s="181">
        <f t="shared" si="147"/>
        <v>0</v>
      </c>
      <c r="AK544" s="246">
        <f t="shared" si="149"/>
        <v>4400000</v>
      </c>
      <c r="AL544" s="181">
        <f t="shared" si="140"/>
        <v>100</v>
      </c>
      <c r="AM544" s="243"/>
    </row>
    <row r="545" spans="1:39" ht="24.75" customHeight="1" x14ac:dyDescent="0.25">
      <c r="A545" s="243"/>
      <c r="B545" s="341"/>
      <c r="C545" s="341"/>
      <c r="D545" s="341"/>
      <c r="E545" s="341"/>
      <c r="F545" s="341"/>
      <c r="G545" s="341"/>
      <c r="H545" s="341"/>
      <c r="I545" s="342"/>
      <c r="J545" s="341" t="s">
        <v>320</v>
      </c>
      <c r="K545" s="245"/>
      <c r="L545" s="257"/>
      <c r="M545" s="591" t="s">
        <v>321</v>
      </c>
      <c r="N545" s="592"/>
      <c r="O545" s="179"/>
      <c r="P545" s="180"/>
      <c r="Q545" s="180">
        <v>33600000</v>
      </c>
      <c r="R545" s="181">
        <f t="shared" si="148"/>
        <v>14.117698606218859</v>
      </c>
      <c r="S545" s="181">
        <v>100</v>
      </c>
      <c r="T545" s="180">
        <f t="shared" si="114"/>
        <v>0</v>
      </c>
      <c r="U545" s="180">
        <f t="shared" si="119"/>
        <v>0</v>
      </c>
      <c r="V545" s="182">
        <f t="shared" si="146"/>
        <v>100</v>
      </c>
      <c r="W545" s="180"/>
      <c r="X545" s="180"/>
      <c r="Y545" s="180"/>
      <c r="Z545" s="180"/>
      <c r="AA545" s="180"/>
      <c r="AB545" s="180"/>
      <c r="AC545" s="180"/>
      <c r="AD545" s="180"/>
      <c r="AE545" s="180"/>
      <c r="AF545" s="180"/>
      <c r="AG545" s="180"/>
      <c r="AH545" s="180"/>
      <c r="AI545" s="180">
        <v>0</v>
      </c>
      <c r="AJ545" s="181">
        <f t="shared" si="147"/>
        <v>0</v>
      </c>
      <c r="AK545" s="246">
        <f t="shared" si="149"/>
        <v>33600000</v>
      </c>
      <c r="AL545" s="181">
        <f t="shared" si="140"/>
        <v>100</v>
      </c>
      <c r="AM545" s="243"/>
    </row>
    <row r="546" spans="1:39" ht="24.75" customHeight="1" x14ac:dyDescent="0.25">
      <c r="A546" s="243"/>
      <c r="B546" s="341"/>
      <c r="C546" s="341"/>
      <c r="D546" s="341"/>
      <c r="E546" s="341"/>
      <c r="F546" s="341"/>
      <c r="G546" s="341"/>
      <c r="H546" s="341"/>
      <c r="I546" s="342"/>
      <c r="J546" s="341" t="s">
        <v>407</v>
      </c>
      <c r="K546" s="245"/>
      <c r="L546" s="257"/>
      <c r="M546" s="591" t="s">
        <v>414</v>
      </c>
      <c r="N546" s="592"/>
      <c r="O546" s="179"/>
      <c r="P546" s="180"/>
      <c r="Q546" s="180">
        <v>2700000</v>
      </c>
      <c r="R546" s="181">
        <f t="shared" si="148"/>
        <v>1.1344579237140155</v>
      </c>
      <c r="S546" s="181"/>
      <c r="T546" s="180">
        <f t="shared" si="114"/>
        <v>0</v>
      </c>
      <c r="U546" s="180">
        <f t="shared" si="119"/>
        <v>0</v>
      </c>
      <c r="V546" s="182"/>
      <c r="W546" s="180"/>
      <c r="X546" s="180"/>
      <c r="Y546" s="180"/>
      <c r="Z546" s="180"/>
      <c r="AA546" s="180"/>
      <c r="AB546" s="180"/>
      <c r="AC546" s="180"/>
      <c r="AD546" s="180"/>
      <c r="AE546" s="180"/>
      <c r="AF546" s="180"/>
      <c r="AG546" s="180"/>
      <c r="AH546" s="180"/>
      <c r="AI546" s="180">
        <v>0</v>
      </c>
      <c r="AJ546" s="181">
        <f t="shared" si="147"/>
        <v>0</v>
      </c>
      <c r="AK546" s="246">
        <f t="shared" si="149"/>
        <v>2700000</v>
      </c>
      <c r="AL546" s="181"/>
      <c r="AM546" s="243"/>
    </row>
    <row r="547" spans="1:39" ht="24.75" customHeight="1" x14ac:dyDescent="0.25">
      <c r="A547" s="243"/>
      <c r="B547" s="341"/>
      <c r="C547" s="341"/>
      <c r="D547" s="341"/>
      <c r="E547" s="341"/>
      <c r="F547" s="341"/>
      <c r="G547" s="341"/>
      <c r="H547" s="341"/>
      <c r="I547" s="342"/>
      <c r="J547" s="341" t="s">
        <v>372</v>
      </c>
      <c r="K547" s="245"/>
      <c r="L547" s="257"/>
      <c r="M547" s="591" t="s">
        <v>373</v>
      </c>
      <c r="N547" s="592"/>
      <c r="O547" s="179"/>
      <c r="P547" s="180"/>
      <c r="Q547" s="180">
        <v>102000000</v>
      </c>
      <c r="R547" s="181">
        <f t="shared" si="148"/>
        <v>42.85729934030725</v>
      </c>
      <c r="S547" s="181">
        <v>100</v>
      </c>
      <c r="T547" s="180">
        <f t="shared" si="114"/>
        <v>0</v>
      </c>
      <c r="U547" s="180">
        <f t="shared" si="119"/>
        <v>0</v>
      </c>
      <c r="V547" s="182">
        <f t="shared" si="146"/>
        <v>100</v>
      </c>
      <c r="W547" s="180"/>
      <c r="X547" s="180"/>
      <c r="Y547" s="180"/>
      <c r="Z547" s="180"/>
      <c r="AA547" s="180"/>
      <c r="AB547" s="180"/>
      <c r="AC547" s="180"/>
      <c r="AD547" s="180"/>
      <c r="AE547" s="180"/>
      <c r="AF547" s="180"/>
      <c r="AG547" s="180"/>
      <c r="AH547" s="180"/>
      <c r="AI547" s="180">
        <v>0</v>
      </c>
      <c r="AJ547" s="181">
        <f t="shared" si="147"/>
        <v>0</v>
      </c>
      <c r="AK547" s="246">
        <f t="shared" si="149"/>
        <v>102000000</v>
      </c>
      <c r="AL547" s="181">
        <f t="shared" ref="AL547:AL611" si="150">AK547/Q547*100</f>
        <v>100</v>
      </c>
      <c r="AM547" s="243"/>
    </row>
    <row r="548" spans="1:39" s="297" customFormat="1" ht="29.25" customHeight="1" x14ac:dyDescent="0.25">
      <c r="A548" s="227">
        <f>SUM(A537+1)</f>
        <v>68</v>
      </c>
      <c r="B548" s="346"/>
      <c r="C548" s="346"/>
      <c r="D548" s="346"/>
      <c r="E548" s="346"/>
      <c r="F548" s="346"/>
      <c r="G548" s="346"/>
      <c r="H548" s="346"/>
      <c r="I548" s="345"/>
      <c r="J548" s="304" t="s">
        <v>521</v>
      </c>
      <c r="K548" s="230"/>
      <c r="L548" s="294"/>
      <c r="M548" s="609" t="s">
        <v>201</v>
      </c>
      <c r="N548" s="614"/>
      <c r="O548" s="309"/>
      <c r="P548" s="231"/>
      <c r="Q548" s="231">
        <f>SUM(Q549:Q556)</f>
        <v>179012754</v>
      </c>
      <c r="R548" s="233">
        <f>Q548/Q$243*100</f>
        <v>1.5007971513472254</v>
      </c>
      <c r="S548" s="233">
        <v>100</v>
      </c>
      <c r="T548" s="231">
        <f t="shared" si="114"/>
        <v>0</v>
      </c>
      <c r="U548" s="231">
        <f t="shared" si="119"/>
        <v>0</v>
      </c>
      <c r="V548" s="296">
        <f t="shared" si="146"/>
        <v>100</v>
      </c>
      <c r="W548" s="231"/>
      <c r="X548" s="231"/>
      <c r="Y548" s="231"/>
      <c r="Z548" s="231"/>
      <c r="AA548" s="231"/>
      <c r="AB548" s="231"/>
      <c r="AC548" s="231"/>
      <c r="AD548" s="231"/>
      <c r="AE548" s="231"/>
      <c r="AF548" s="231"/>
      <c r="AG548" s="231"/>
      <c r="AH548" s="231"/>
      <c r="AI548" s="231">
        <f>SUM(AI549:AI556)</f>
        <v>0</v>
      </c>
      <c r="AJ548" s="233">
        <f t="shared" si="147"/>
        <v>0</v>
      </c>
      <c r="AK548" s="234">
        <f>Q548-AI548</f>
        <v>179012754</v>
      </c>
      <c r="AL548" s="233">
        <f t="shared" si="150"/>
        <v>100</v>
      </c>
      <c r="AM548" s="227"/>
    </row>
    <row r="549" spans="1:39" ht="27" customHeight="1" x14ac:dyDescent="0.25">
      <c r="A549" s="243"/>
      <c r="B549" s="341"/>
      <c r="C549" s="341"/>
      <c r="D549" s="341"/>
      <c r="E549" s="341"/>
      <c r="F549" s="341"/>
      <c r="G549" s="341"/>
      <c r="H549" s="341"/>
      <c r="I549" s="342"/>
      <c r="J549" s="341" t="s">
        <v>257</v>
      </c>
      <c r="K549" s="245"/>
      <c r="L549" s="257"/>
      <c r="M549" s="591" t="s">
        <v>324</v>
      </c>
      <c r="N549" s="592"/>
      <c r="O549" s="179"/>
      <c r="P549" s="180"/>
      <c r="Q549" s="180">
        <v>3000000</v>
      </c>
      <c r="R549" s="181">
        <f>Q549/Q$548*100</f>
        <v>1.6758582463906455</v>
      </c>
      <c r="S549" s="181">
        <v>100</v>
      </c>
      <c r="T549" s="180">
        <f t="shared" si="114"/>
        <v>0</v>
      </c>
      <c r="U549" s="180">
        <f t="shared" si="119"/>
        <v>0</v>
      </c>
      <c r="V549" s="182">
        <f t="shared" si="146"/>
        <v>100</v>
      </c>
      <c r="W549" s="180"/>
      <c r="X549" s="180"/>
      <c r="Y549" s="180"/>
      <c r="Z549" s="180"/>
      <c r="AA549" s="180"/>
      <c r="AB549" s="180"/>
      <c r="AC549" s="180"/>
      <c r="AD549" s="180"/>
      <c r="AE549" s="180"/>
      <c r="AF549" s="180"/>
      <c r="AG549" s="180"/>
      <c r="AH549" s="180"/>
      <c r="AI549" s="180">
        <v>0</v>
      </c>
      <c r="AJ549" s="181">
        <f t="shared" si="147"/>
        <v>0</v>
      </c>
      <c r="AK549" s="246">
        <f>SUM(Q549-AI549)</f>
        <v>3000000</v>
      </c>
      <c r="AL549" s="181">
        <f t="shared" si="150"/>
        <v>100</v>
      </c>
      <c r="AM549" s="243"/>
    </row>
    <row r="550" spans="1:39" ht="24.75" customHeight="1" x14ac:dyDescent="0.25">
      <c r="A550" s="243"/>
      <c r="B550" s="341"/>
      <c r="C550" s="341"/>
      <c r="D550" s="341"/>
      <c r="E550" s="341"/>
      <c r="F550" s="341"/>
      <c r="G550" s="341"/>
      <c r="H550" s="341"/>
      <c r="I550" s="342"/>
      <c r="J550" s="341" t="s">
        <v>315</v>
      </c>
      <c r="K550" s="245"/>
      <c r="L550" s="257"/>
      <c r="M550" s="591" t="s">
        <v>271</v>
      </c>
      <c r="N550" s="592"/>
      <c r="O550" s="179"/>
      <c r="P550" s="180"/>
      <c r="Q550" s="180">
        <v>8120000</v>
      </c>
      <c r="R550" s="181">
        <f t="shared" ref="R550:R556" si="151">Q550/Q$548*100</f>
        <v>4.5359896535640134</v>
      </c>
      <c r="S550" s="181">
        <v>100</v>
      </c>
      <c r="T550" s="180">
        <f t="shared" si="114"/>
        <v>0</v>
      </c>
      <c r="U550" s="180">
        <f t="shared" si="119"/>
        <v>0</v>
      </c>
      <c r="V550" s="182">
        <f t="shared" si="146"/>
        <v>100</v>
      </c>
      <c r="W550" s="180"/>
      <c r="X550" s="180"/>
      <c r="Y550" s="180"/>
      <c r="Z550" s="180"/>
      <c r="AA550" s="180"/>
      <c r="AB550" s="180"/>
      <c r="AC550" s="180"/>
      <c r="AD550" s="180"/>
      <c r="AE550" s="180"/>
      <c r="AF550" s="180"/>
      <c r="AG550" s="180"/>
      <c r="AH550" s="180"/>
      <c r="AI550" s="180">
        <v>0</v>
      </c>
      <c r="AJ550" s="181">
        <f t="shared" si="147"/>
        <v>0</v>
      </c>
      <c r="AK550" s="246">
        <f t="shared" ref="AK550:AK556" si="152">SUM(Q550-AI550)</f>
        <v>8120000</v>
      </c>
      <c r="AL550" s="181">
        <f t="shared" si="150"/>
        <v>100</v>
      </c>
      <c r="AM550" s="243"/>
    </row>
    <row r="551" spans="1:39" ht="24.75" customHeight="1" x14ac:dyDescent="0.25">
      <c r="A551" s="243"/>
      <c r="B551" s="341"/>
      <c r="C551" s="341"/>
      <c r="D551" s="341"/>
      <c r="E551" s="341"/>
      <c r="F551" s="341"/>
      <c r="G551" s="341"/>
      <c r="H551" s="341"/>
      <c r="I551" s="342"/>
      <c r="J551" s="341" t="s">
        <v>316</v>
      </c>
      <c r="K551" s="245"/>
      <c r="L551" s="257"/>
      <c r="M551" s="591" t="s">
        <v>317</v>
      </c>
      <c r="N551" s="592"/>
      <c r="O551" s="179"/>
      <c r="P551" s="180"/>
      <c r="Q551" s="180">
        <v>5700000</v>
      </c>
      <c r="R551" s="181">
        <f t="shared" si="151"/>
        <v>3.1841306681422266</v>
      </c>
      <c r="S551" s="181">
        <v>100</v>
      </c>
      <c r="T551" s="180">
        <f t="shared" si="114"/>
        <v>0</v>
      </c>
      <c r="U551" s="180">
        <f t="shared" si="119"/>
        <v>0</v>
      </c>
      <c r="V551" s="182">
        <f t="shared" si="146"/>
        <v>100</v>
      </c>
      <c r="W551" s="180"/>
      <c r="X551" s="180"/>
      <c r="Y551" s="180"/>
      <c r="Z551" s="180"/>
      <c r="AA551" s="180"/>
      <c r="AB551" s="180"/>
      <c r="AC551" s="180"/>
      <c r="AD551" s="180"/>
      <c r="AE551" s="180"/>
      <c r="AF551" s="180"/>
      <c r="AG551" s="180"/>
      <c r="AH551" s="180"/>
      <c r="AI551" s="180">
        <v>0</v>
      </c>
      <c r="AJ551" s="181">
        <f t="shared" si="147"/>
        <v>0</v>
      </c>
      <c r="AK551" s="246">
        <f t="shared" si="152"/>
        <v>5700000</v>
      </c>
      <c r="AL551" s="181">
        <f t="shared" si="150"/>
        <v>100</v>
      </c>
      <c r="AM551" s="243"/>
    </row>
    <row r="552" spans="1:39" ht="24.75" customHeight="1" x14ac:dyDescent="0.25">
      <c r="A552" s="243"/>
      <c r="B552" s="341"/>
      <c r="C552" s="341"/>
      <c r="D552" s="341"/>
      <c r="E552" s="341"/>
      <c r="F552" s="341"/>
      <c r="G552" s="341"/>
      <c r="H552" s="341"/>
      <c r="I552" s="342"/>
      <c r="J552" s="341" t="s">
        <v>339</v>
      </c>
      <c r="K552" s="245"/>
      <c r="L552" s="257"/>
      <c r="M552" s="591" t="s">
        <v>329</v>
      </c>
      <c r="N552" s="592"/>
      <c r="O552" s="179"/>
      <c r="P552" s="180"/>
      <c r="Q552" s="180">
        <v>35000000</v>
      </c>
      <c r="R552" s="181">
        <f t="shared" si="151"/>
        <v>19.551679541224196</v>
      </c>
      <c r="S552" s="181">
        <v>100</v>
      </c>
      <c r="T552" s="180">
        <f t="shared" si="114"/>
        <v>0</v>
      </c>
      <c r="U552" s="180">
        <f t="shared" si="119"/>
        <v>0</v>
      </c>
      <c r="V552" s="182">
        <f t="shared" si="146"/>
        <v>100</v>
      </c>
      <c r="W552" s="180"/>
      <c r="X552" s="180"/>
      <c r="Y552" s="180"/>
      <c r="Z552" s="180"/>
      <c r="AA552" s="180"/>
      <c r="AB552" s="180"/>
      <c r="AC552" s="180"/>
      <c r="AD552" s="180"/>
      <c r="AE552" s="180"/>
      <c r="AF552" s="180"/>
      <c r="AG552" s="180"/>
      <c r="AH552" s="180"/>
      <c r="AI552" s="180">
        <v>0</v>
      </c>
      <c r="AJ552" s="181">
        <f t="shared" si="147"/>
        <v>0</v>
      </c>
      <c r="AK552" s="246">
        <f t="shared" si="152"/>
        <v>35000000</v>
      </c>
      <c r="AL552" s="181">
        <f t="shared" si="150"/>
        <v>100</v>
      </c>
      <c r="AM552" s="243"/>
    </row>
    <row r="553" spans="1:39" ht="24.75" customHeight="1" x14ac:dyDescent="0.25">
      <c r="A553" s="243"/>
      <c r="B553" s="341"/>
      <c r="C553" s="341"/>
      <c r="D553" s="341"/>
      <c r="E553" s="341"/>
      <c r="F553" s="341"/>
      <c r="G553" s="341"/>
      <c r="H553" s="341"/>
      <c r="I553" s="342"/>
      <c r="J553" s="341" t="s">
        <v>284</v>
      </c>
      <c r="K553" s="245"/>
      <c r="L553" s="257"/>
      <c r="M553" s="591" t="s">
        <v>620</v>
      </c>
      <c r="N553" s="592"/>
      <c r="O553" s="179"/>
      <c r="P553" s="180"/>
      <c r="Q553" s="180">
        <v>36000000</v>
      </c>
      <c r="R553" s="181">
        <f t="shared" si="151"/>
        <v>20.110298956687743</v>
      </c>
      <c r="S553" s="181"/>
      <c r="T553" s="180">
        <f t="shared" si="114"/>
        <v>0</v>
      </c>
      <c r="U553" s="180">
        <f t="shared" si="119"/>
        <v>0</v>
      </c>
      <c r="V553" s="182"/>
      <c r="W553" s="180"/>
      <c r="X553" s="180"/>
      <c r="Y553" s="180"/>
      <c r="Z553" s="180"/>
      <c r="AA553" s="180"/>
      <c r="AB553" s="180"/>
      <c r="AC553" s="180"/>
      <c r="AD553" s="180"/>
      <c r="AE553" s="180"/>
      <c r="AF553" s="180"/>
      <c r="AG553" s="180"/>
      <c r="AH553" s="180"/>
      <c r="AI553" s="180">
        <v>0</v>
      </c>
      <c r="AJ553" s="181">
        <f t="shared" si="147"/>
        <v>0</v>
      </c>
      <c r="AK553" s="246">
        <f t="shared" si="152"/>
        <v>36000000</v>
      </c>
      <c r="AL553" s="181">
        <f t="shared" si="150"/>
        <v>100</v>
      </c>
      <c r="AM553" s="243"/>
    </row>
    <row r="554" spans="1:39" ht="24.75" customHeight="1" x14ac:dyDescent="0.25">
      <c r="A554" s="243"/>
      <c r="B554" s="341"/>
      <c r="C554" s="341"/>
      <c r="D554" s="341"/>
      <c r="E554" s="341"/>
      <c r="F554" s="341"/>
      <c r="G554" s="341"/>
      <c r="H554" s="341"/>
      <c r="I554" s="342"/>
      <c r="J554" s="341" t="s">
        <v>320</v>
      </c>
      <c r="K554" s="245"/>
      <c r="L554" s="257"/>
      <c r="M554" s="591" t="s">
        <v>621</v>
      </c>
      <c r="N554" s="592"/>
      <c r="O554" s="179"/>
      <c r="P554" s="180"/>
      <c r="Q554" s="180">
        <v>10592754</v>
      </c>
      <c r="R554" s="181">
        <f t="shared" si="151"/>
        <v>5.9173180476291654</v>
      </c>
      <c r="S554" s="181">
        <v>100</v>
      </c>
      <c r="T554" s="180">
        <f t="shared" si="114"/>
        <v>0</v>
      </c>
      <c r="U554" s="180">
        <f t="shared" si="119"/>
        <v>0</v>
      </c>
      <c r="V554" s="182">
        <f t="shared" si="146"/>
        <v>100</v>
      </c>
      <c r="W554" s="180"/>
      <c r="X554" s="180"/>
      <c r="Y554" s="180"/>
      <c r="Z554" s="180"/>
      <c r="AA554" s="180"/>
      <c r="AB554" s="180"/>
      <c r="AC554" s="180"/>
      <c r="AD554" s="180"/>
      <c r="AE554" s="180"/>
      <c r="AF554" s="180"/>
      <c r="AG554" s="180"/>
      <c r="AH554" s="180"/>
      <c r="AI554" s="180">
        <v>0</v>
      </c>
      <c r="AJ554" s="181">
        <f t="shared" si="147"/>
        <v>0</v>
      </c>
      <c r="AK554" s="246">
        <f t="shared" si="152"/>
        <v>10592754</v>
      </c>
      <c r="AL554" s="181">
        <f t="shared" si="150"/>
        <v>100</v>
      </c>
      <c r="AM554" s="243"/>
    </row>
    <row r="555" spans="1:39" ht="24.75" customHeight="1" x14ac:dyDescent="0.25">
      <c r="A555" s="243"/>
      <c r="B555" s="341"/>
      <c r="C555" s="341"/>
      <c r="D555" s="341"/>
      <c r="E555" s="341"/>
      <c r="F555" s="341"/>
      <c r="G555" s="341"/>
      <c r="H555" s="341"/>
      <c r="I555" s="342"/>
      <c r="J555" s="341" t="s">
        <v>407</v>
      </c>
      <c r="K555" s="245"/>
      <c r="L555" s="257"/>
      <c r="M555" s="591" t="s">
        <v>321</v>
      </c>
      <c r="N555" s="592"/>
      <c r="O555" s="179"/>
      <c r="P555" s="180"/>
      <c r="Q555" s="180">
        <v>70400000</v>
      </c>
      <c r="R555" s="181">
        <f t="shared" si="151"/>
        <v>39.326806848633808</v>
      </c>
      <c r="S555" s="181">
        <v>100</v>
      </c>
      <c r="T555" s="180">
        <f t="shared" si="114"/>
        <v>0</v>
      </c>
      <c r="U555" s="180">
        <f t="shared" si="119"/>
        <v>0</v>
      </c>
      <c r="V555" s="182">
        <f t="shared" si="146"/>
        <v>100</v>
      </c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>
        <v>0</v>
      </c>
      <c r="AJ555" s="181">
        <f t="shared" si="147"/>
        <v>0</v>
      </c>
      <c r="AK555" s="246">
        <f t="shared" si="152"/>
        <v>70400000</v>
      </c>
      <c r="AL555" s="181">
        <f t="shared" si="150"/>
        <v>100</v>
      </c>
      <c r="AM555" s="243"/>
    </row>
    <row r="556" spans="1:39" ht="24.75" customHeight="1" x14ac:dyDescent="0.25">
      <c r="A556" s="243"/>
      <c r="B556" s="341"/>
      <c r="C556" s="341"/>
      <c r="D556" s="341"/>
      <c r="E556" s="341"/>
      <c r="F556" s="341"/>
      <c r="G556" s="341"/>
      <c r="H556" s="341"/>
      <c r="I556" s="342"/>
      <c r="J556" s="341" t="s">
        <v>343</v>
      </c>
      <c r="K556" s="245"/>
      <c r="L556" s="257"/>
      <c r="M556" s="591" t="s">
        <v>414</v>
      </c>
      <c r="N556" s="592"/>
      <c r="O556" s="179"/>
      <c r="P556" s="180"/>
      <c r="Q556" s="180">
        <v>10200000</v>
      </c>
      <c r="R556" s="181">
        <f t="shared" si="151"/>
        <v>5.6979180377281944</v>
      </c>
      <c r="S556" s="181">
        <v>100</v>
      </c>
      <c r="T556" s="180">
        <f t="shared" si="114"/>
        <v>0</v>
      </c>
      <c r="U556" s="180">
        <f t="shared" si="119"/>
        <v>0</v>
      </c>
      <c r="V556" s="182">
        <f t="shared" si="146"/>
        <v>100</v>
      </c>
      <c r="W556" s="180"/>
      <c r="X556" s="180"/>
      <c r="Y556" s="180"/>
      <c r="Z556" s="180"/>
      <c r="AA556" s="180"/>
      <c r="AB556" s="180"/>
      <c r="AC556" s="180"/>
      <c r="AD556" s="180"/>
      <c r="AE556" s="180"/>
      <c r="AF556" s="180"/>
      <c r="AG556" s="180"/>
      <c r="AH556" s="180"/>
      <c r="AI556" s="180">
        <v>0</v>
      </c>
      <c r="AJ556" s="181">
        <f t="shared" si="147"/>
        <v>0</v>
      </c>
      <c r="AK556" s="246">
        <f t="shared" si="152"/>
        <v>10200000</v>
      </c>
      <c r="AL556" s="181">
        <f t="shared" si="150"/>
        <v>100</v>
      </c>
      <c r="AM556" s="243"/>
    </row>
    <row r="557" spans="1:39" s="297" customFormat="1" ht="24.75" customHeight="1" x14ac:dyDescent="0.25">
      <c r="A557" s="227">
        <f>SUM(A548+1)</f>
        <v>69</v>
      </c>
      <c r="B557" s="346"/>
      <c r="C557" s="346"/>
      <c r="D557" s="346"/>
      <c r="E557" s="346"/>
      <c r="F557" s="346"/>
      <c r="G557" s="346"/>
      <c r="H557" s="346"/>
      <c r="I557" s="345"/>
      <c r="J557" s="304" t="s">
        <v>522</v>
      </c>
      <c r="K557" s="230"/>
      <c r="L557" s="294"/>
      <c r="M557" s="610" t="s">
        <v>202</v>
      </c>
      <c r="N557" s="612"/>
      <c r="O557" s="309"/>
      <c r="P557" s="231"/>
      <c r="Q557" s="231">
        <f>SUM(Q558:Q566)</f>
        <v>311010000</v>
      </c>
      <c r="R557" s="233">
        <f>Q557/Q$243*100</f>
        <v>2.6074283067032229</v>
      </c>
      <c r="S557" s="233">
        <v>100</v>
      </c>
      <c r="T557" s="231">
        <f t="shared" si="114"/>
        <v>0</v>
      </c>
      <c r="U557" s="231">
        <f t="shared" si="119"/>
        <v>0</v>
      </c>
      <c r="V557" s="296">
        <f t="shared" si="146"/>
        <v>100</v>
      </c>
      <c r="W557" s="231"/>
      <c r="X557" s="231"/>
      <c r="Y557" s="231"/>
      <c r="Z557" s="231"/>
      <c r="AA557" s="231"/>
      <c r="AB557" s="231"/>
      <c r="AC557" s="231"/>
      <c r="AD557" s="231"/>
      <c r="AE557" s="231"/>
      <c r="AF557" s="231"/>
      <c r="AG557" s="231"/>
      <c r="AH557" s="231"/>
      <c r="AI557" s="231">
        <f>SUM(AI558:AI566)</f>
        <v>0</v>
      </c>
      <c r="AJ557" s="233">
        <f t="shared" si="147"/>
        <v>0</v>
      </c>
      <c r="AK557" s="234">
        <f>Q557-AI557</f>
        <v>311010000</v>
      </c>
      <c r="AL557" s="233">
        <f t="shared" si="150"/>
        <v>100</v>
      </c>
      <c r="AM557" s="227"/>
    </row>
    <row r="558" spans="1:39" ht="24.75" customHeight="1" x14ac:dyDescent="0.25">
      <c r="A558" s="243"/>
      <c r="B558" s="341"/>
      <c r="C558" s="341"/>
      <c r="D558" s="341"/>
      <c r="E558" s="341"/>
      <c r="F558" s="341"/>
      <c r="G558" s="341"/>
      <c r="H558" s="341"/>
      <c r="I558" s="342"/>
      <c r="J558" s="341" t="s">
        <v>259</v>
      </c>
      <c r="K558" s="245"/>
      <c r="L558" s="257"/>
      <c r="M558" s="591" t="s">
        <v>260</v>
      </c>
      <c r="N558" s="592"/>
      <c r="O558" s="179"/>
      <c r="P558" s="180"/>
      <c r="Q558" s="180">
        <v>2220000</v>
      </c>
      <c r="R558" s="181">
        <f t="shared" ref="R558:R565" si="153">Q558/Q$557*100</f>
        <v>0.71380341468120001</v>
      </c>
      <c r="S558" s="181">
        <v>100</v>
      </c>
      <c r="T558" s="180">
        <f t="shared" si="114"/>
        <v>0</v>
      </c>
      <c r="U558" s="180">
        <f t="shared" si="119"/>
        <v>0</v>
      </c>
      <c r="V558" s="182">
        <f t="shared" si="146"/>
        <v>100</v>
      </c>
      <c r="W558" s="180"/>
      <c r="X558" s="180"/>
      <c r="Y558" s="180"/>
      <c r="Z558" s="180"/>
      <c r="AA558" s="180"/>
      <c r="AB558" s="180"/>
      <c r="AC558" s="180"/>
      <c r="AD558" s="180"/>
      <c r="AE558" s="180"/>
      <c r="AF558" s="180"/>
      <c r="AG558" s="180"/>
      <c r="AH558" s="180"/>
      <c r="AI558" s="180">
        <v>0</v>
      </c>
      <c r="AJ558" s="181">
        <f t="shared" si="147"/>
        <v>0</v>
      </c>
      <c r="AK558" s="246">
        <f t="shared" ref="AK558:AK565" si="154">SUM(Q558-AI558)</f>
        <v>2220000</v>
      </c>
      <c r="AL558" s="181">
        <f t="shared" si="150"/>
        <v>100</v>
      </c>
      <c r="AM558" s="243"/>
    </row>
    <row r="559" spans="1:39" ht="24.75" customHeight="1" x14ac:dyDescent="0.25">
      <c r="A559" s="243"/>
      <c r="B559" s="341"/>
      <c r="C559" s="341"/>
      <c r="D559" s="341"/>
      <c r="E559" s="341"/>
      <c r="F559" s="341"/>
      <c r="G559" s="341"/>
      <c r="H559" s="341"/>
      <c r="I559" s="342"/>
      <c r="J559" s="341" t="s">
        <v>347</v>
      </c>
      <c r="K559" s="245"/>
      <c r="L559" s="257"/>
      <c r="M559" s="591" t="s">
        <v>622</v>
      </c>
      <c r="N559" s="592"/>
      <c r="O559" s="179"/>
      <c r="P559" s="180"/>
      <c r="Q559" s="180">
        <v>44250000</v>
      </c>
      <c r="R559" s="181">
        <f t="shared" si="153"/>
        <v>14.227838333172565</v>
      </c>
      <c r="S559" s="181">
        <v>100</v>
      </c>
      <c r="T559" s="180">
        <f t="shared" si="114"/>
        <v>0</v>
      </c>
      <c r="U559" s="180"/>
      <c r="V559" s="182">
        <f t="shared" si="146"/>
        <v>100</v>
      </c>
      <c r="W559" s="180"/>
      <c r="X559" s="180"/>
      <c r="Y559" s="180"/>
      <c r="Z559" s="180"/>
      <c r="AA559" s="180"/>
      <c r="AB559" s="180"/>
      <c r="AC559" s="180"/>
      <c r="AD559" s="180"/>
      <c r="AE559" s="180"/>
      <c r="AF559" s="180"/>
      <c r="AG559" s="180"/>
      <c r="AH559" s="180"/>
      <c r="AI559" s="180">
        <v>0</v>
      </c>
      <c r="AJ559" s="181">
        <f t="shared" si="147"/>
        <v>0</v>
      </c>
      <c r="AK559" s="246">
        <f t="shared" si="154"/>
        <v>44250000</v>
      </c>
      <c r="AL559" s="181">
        <f t="shared" si="150"/>
        <v>100</v>
      </c>
      <c r="AM559" s="243"/>
    </row>
    <row r="560" spans="1:39" ht="24.75" customHeight="1" x14ac:dyDescent="0.25">
      <c r="A560" s="243"/>
      <c r="B560" s="341"/>
      <c r="C560" s="341"/>
      <c r="D560" s="341"/>
      <c r="E560" s="341"/>
      <c r="F560" s="341"/>
      <c r="G560" s="341"/>
      <c r="H560" s="341"/>
      <c r="I560" s="342"/>
      <c r="J560" s="341" t="s">
        <v>269</v>
      </c>
      <c r="K560" s="245"/>
      <c r="L560" s="257"/>
      <c r="M560" s="591" t="s">
        <v>270</v>
      </c>
      <c r="N560" s="592"/>
      <c r="O560" s="179"/>
      <c r="P560" s="180"/>
      <c r="Q560" s="180">
        <v>15000000</v>
      </c>
      <c r="R560" s="181">
        <f t="shared" si="153"/>
        <v>4.8229960451432428</v>
      </c>
      <c r="S560" s="181">
        <v>100</v>
      </c>
      <c r="T560" s="180">
        <f t="shared" si="114"/>
        <v>0</v>
      </c>
      <c r="U560" s="180">
        <f t="shared" si="119"/>
        <v>0</v>
      </c>
      <c r="V560" s="182">
        <f t="shared" si="146"/>
        <v>100</v>
      </c>
      <c r="W560" s="180"/>
      <c r="X560" s="180"/>
      <c r="Y560" s="180"/>
      <c r="Z560" s="180"/>
      <c r="AA560" s="180"/>
      <c r="AB560" s="180"/>
      <c r="AC560" s="180"/>
      <c r="AD560" s="180"/>
      <c r="AE560" s="180"/>
      <c r="AF560" s="180"/>
      <c r="AG560" s="180"/>
      <c r="AH560" s="180"/>
      <c r="AI560" s="180">
        <v>0</v>
      </c>
      <c r="AJ560" s="181">
        <f t="shared" si="147"/>
        <v>0</v>
      </c>
      <c r="AK560" s="246">
        <f t="shared" si="154"/>
        <v>15000000</v>
      </c>
      <c r="AL560" s="181">
        <f t="shared" si="150"/>
        <v>100</v>
      </c>
      <c r="AM560" s="243"/>
    </row>
    <row r="561" spans="1:39" ht="24.75" customHeight="1" x14ac:dyDescent="0.25">
      <c r="A561" s="243"/>
      <c r="B561" s="341"/>
      <c r="C561" s="341"/>
      <c r="D561" s="341"/>
      <c r="E561" s="341"/>
      <c r="F561" s="341"/>
      <c r="G561" s="341"/>
      <c r="H561" s="341"/>
      <c r="I561" s="342"/>
      <c r="J561" s="341" t="s">
        <v>315</v>
      </c>
      <c r="K561" s="245"/>
      <c r="L561" s="257"/>
      <c r="M561" s="591" t="s">
        <v>271</v>
      </c>
      <c r="N561" s="592"/>
      <c r="O561" s="179"/>
      <c r="P561" s="180"/>
      <c r="Q561" s="180">
        <v>10710000</v>
      </c>
      <c r="R561" s="181">
        <f t="shared" si="153"/>
        <v>3.443619176232275</v>
      </c>
      <c r="S561" s="181">
        <v>100</v>
      </c>
      <c r="T561" s="180">
        <f t="shared" si="114"/>
        <v>0</v>
      </c>
      <c r="U561" s="180">
        <f t="shared" si="119"/>
        <v>0</v>
      </c>
      <c r="V561" s="182">
        <f t="shared" si="146"/>
        <v>100</v>
      </c>
      <c r="W561" s="180"/>
      <c r="X561" s="180"/>
      <c r="Y561" s="180"/>
      <c r="Z561" s="180"/>
      <c r="AA561" s="180"/>
      <c r="AB561" s="180"/>
      <c r="AC561" s="180"/>
      <c r="AD561" s="180"/>
      <c r="AE561" s="180"/>
      <c r="AF561" s="180"/>
      <c r="AG561" s="180"/>
      <c r="AH561" s="180"/>
      <c r="AI561" s="180">
        <v>0</v>
      </c>
      <c r="AJ561" s="181">
        <f t="shared" si="147"/>
        <v>0</v>
      </c>
      <c r="AK561" s="246">
        <f t="shared" si="154"/>
        <v>10710000</v>
      </c>
      <c r="AL561" s="181">
        <f t="shared" si="150"/>
        <v>100</v>
      </c>
      <c r="AM561" s="243"/>
    </row>
    <row r="562" spans="1:39" ht="24.75" customHeight="1" x14ac:dyDescent="0.25">
      <c r="A562" s="243"/>
      <c r="B562" s="341"/>
      <c r="C562" s="341"/>
      <c r="D562" s="341"/>
      <c r="E562" s="341"/>
      <c r="F562" s="341"/>
      <c r="G562" s="341"/>
      <c r="H562" s="341"/>
      <c r="I562" s="342"/>
      <c r="J562" s="341" t="s">
        <v>318</v>
      </c>
      <c r="K562" s="245"/>
      <c r="L562" s="257"/>
      <c r="M562" s="591" t="s">
        <v>319</v>
      </c>
      <c r="N562" s="592"/>
      <c r="O562" s="179"/>
      <c r="P562" s="180"/>
      <c r="Q562" s="180">
        <v>179970000</v>
      </c>
      <c r="R562" s="181">
        <f t="shared" si="153"/>
        <v>57.866306549628632</v>
      </c>
      <c r="S562" s="181">
        <v>100</v>
      </c>
      <c r="T562" s="180">
        <f t="shared" si="114"/>
        <v>0</v>
      </c>
      <c r="U562" s="180">
        <f t="shared" si="119"/>
        <v>0</v>
      </c>
      <c r="V562" s="182">
        <f t="shared" si="146"/>
        <v>100</v>
      </c>
      <c r="W562" s="180"/>
      <c r="X562" s="180"/>
      <c r="Y562" s="180"/>
      <c r="Z562" s="180"/>
      <c r="AA562" s="180"/>
      <c r="AB562" s="180"/>
      <c r="AC562" s="180"/>
      <c r="AD562" s="180"/>
      <c r="AE562" s="180"/>
      <c r="AF562" s="180"/>
      <c r="AG562" s="180"/>
      <c r="AH562" s="180"/>
      <c r="AI562" s="180">
        <v>0</v>
      </c>
      <c r="AJ562" s="181">
        <f t="shared" si="147"/>
        <v>0</v>
      </c>
      <c r="AK562" s="246">
        <f t="shared" si="154"/>
        <v>179970000</v>
      </c>
      <c r="AL562" s="181">
        <f t="shared" si="150"/>
        <v>100</v>
      </c>
      <c r="AM562" s="243"/>
    </row>
    <row r="563" spans="1:39" ht="24.75" customHeight="1" x14ac:dyDescent="0.25">
      <c r="A563" s="243"/>
      <c r="B563" s="341"/>
      <c r="C563" s="341"/>
      <c r="D563" s="341"/>
      <c r="E563" s="341"/>
      <c r="F563" s="341"/>
      <c r="G563" s="341"/>
      <c r="H563" s="341"/>
      <c r="I563" s="342"/>
      <c r="J563" s="341" t="s">
        <v>284</v>
      </c>
      <c r="K563" s="245"/>
      <c r="L563" s="257"/>
      <c r="M563" s="591" t="s">
        <v>285</v>
      </c>
      <c r="N563" s="592"/>
      <c r="O563" s="179"/>
      <c r="P563" s="180"/>
      <c r="Q563" s="180">
        <v>1320000</v>
      </c>
      <c r="R563" s="181">
        <f t="shared" si="153"/>
        <v>0.4244236519726054</v>
      </c>
      <c r="S563" s="181">
        <v>100</v>
      </c>
      <c r="T563" s="180">
        <f t="shared" si="114"/>
        <v>0</v>
      </c>
      <c r="U563" s="180">
        <f t="shared" si="119"/>
        <v>0</v>
      </c>
      <c r="V563" s="182">
        <f t="shared" si="146"/>
        <v>100</v>
      </c>
      <c r="W563" s="180"/>
      <c r="X563" s="180"/>
      <c r="Y563" s="180"/>
      <c r="Z563" s="180"/>
      <c r="AA563" s="180"/>
      <c r="AB563" s="180"/>
      <c r="AC563" s="180"/>
      <c r="AD563" s="180"/>
      <c r="AE563" s="180"/>
      <c r="AF563" s="180"/>
      <c r="AG563" s="180"/>
      <c r="AH563" s="180"/>
      <c r="AI563" s="180">
        <v>0</v>
      </c>
      <c r="AJ563" s="181">
        <f t="shared" si="147"/>
        <v>0</v>
      </c>
      <c r="AK563" s="246">
        <f t="shared" si="154"/>
        <v>1320000</v>
      </c>
      <c r="AL563" s="181">
        <f t="shared" si="150"/>
        <v>100</v>
      </c>
      <c r="AM563" s="243"/>
    </row>
    <row r="564" spans="1:39" ht="24.75" customHeight="1" x14ac:dyDescent="0.25">
      <c r="A564" s="243"/>
      <c r="B564" s="341"/>
      <c r="C564" s="341"/>
      <c r="D564" s="341"/>
      <c r="E564" s="341"/>
      <c r="F564" s="341"/>
      <c r="G564" s="341"/>
      <c r="H564" s="341"/>
      <c r="I564" s="342"/>
      <c r="J564" s="341" t="s">
        <v>282</v>
      </c>
      <c r="K564" s="245"/>
      <c r="L564" s="257"/>
      <c r="M564" s="591" t="s">
        <v>283</v>
      </c>
      <c r="N564" s="592"/>
      <c r="O564" s="179"/>
      <c r="P564" s="180"/>
      <c r="Q564" s="180">
        <v>39540000</v>
      </c>
      <c r="R564" s="181">
        <f t="shared" si="153"/>
        <v>12.713417574997587</v>
      </c>
      <c r="S564" s="181">
        <v>100</v>
      </c>
      <c r="T564" s="180">
        <f t="shared" si="114"/>
        <v>0</v>
      </c>
      <c r="U564" s="180">
        <f t="shared" si="119"/>
        <v>0</v>
      </c>
      <c r="V564" s="182">
        <f t="shared" si="146"/>
        <v>100</v>
      </c>
      <c r="W564" s="180"/>
      <c r="X564" s="180"/>
      <c r="Y564" s="180"/>
      <c r="Z564" s="180"/>
      <c r="AA564" s="180"/>
      <c r="AB564" s="180"/>
      <c r="AC564" s="180"/>
      <c r="AD564" s="180"/>
      <c r="AE564" s="180"/>
      <c r="AF564" s="180"/>
      <c r="AG564" s="180"/>
      <c r="AH564" s="180"/>
      <c r="AI564" s="180">
        <v>0</v>
      </c>
      <c r="AJ564" s="181">
        <f t="shared" si="147"/>
        <v>0</v>
      </c>
      <c r="AK564" s="246">
        <f t="shared" si="154"/>
        <v>39540000</v>
      </c>
      <c r="AL564" s="181">
        <f t="shared" si="150"/>
        <v>100</v>
      </c>
      <c r="AM564" s="243"/>
    </row>
    <row r="565" spans="1:39" ht="24.75" customHeight="1" x14ac:dyDescent="0.25">
      <c r="A565" s="243"/>
      <c r="B565" s="341"/>
      <c r="C565" s="341"/>
      <c r="D565" s="341"/>
      <c r="E565" s="341"/>
      <c r="F565" s="341"/>
      <c r="G565" s="341"/>
      <c r="H565" s="341"/>
      <c r="I565" s="342"/>
      <c r="J565" s="341" t="s">
        <v>320</v>
      </c>
      <c r="K565" s="245"/>
      <c r="L565" s="257"/>
      <c r="M565" s="591" t="s">
        <v>321</v>
      </c>
      <c r="N565" s="592"/>
      <c r="O565" s="179"/>
      <c r="P565" s="180"/>
      <c r="Q565" s="180">
        <v>16200000</v>
      </c>
      <c r="R565" s="181">
        <f t="shared" si="153"/>
        <v>5.2088357287547025</v>
      </c>
      <c r="S565" s="181">
        <v>100</v>
      </c>
      <c r="T565" s="180">
        <f t="shared" si="114"/>
        <v>0</v>
      </c>
      <c r="U565" s="180">
        <f t="shared" si="119"/>
        <v>0</v>
      </c>
      <c r="V565" s="182">
        <f t="shared" si="146"/>
        <v>100</v>
      </c>
      <c r="W565" s="180"/>
      <c r="X565" s="180"/>
      <c r="Y565" s="180"/>
      <c r="Z565" s="180"/>
      <c r="AA565" s="180"/>
      <c r="AB565" s="180"/>
      <c r="AC565" s="180"/>
      <c r="AD565" s="180"/>
      <c r="AE565" s="180"/>
      <c r="AF565" s="180"/>
      <c r="AG565" s="180"/>
      <c r="AH565" s="180"/>
      <c r="AI565" s="180">
        <v>0</v>
      </c>
      <c r="AJ565" s="181">
        <f t="shared" si="147"/>
        <v>0</v>
      </c>
      <c r="AK565" s="246">
        <f t="shared" si="154"/>
        <v>16200000</v>
      </c>
      <c r="AL565" s="181">
        <f t="shared" si="150"/>
        <v>100</v>
      </c>
      <c r="AM565" s="243"/>
    </row>
    <row r="566" spans="1:39" ht="24.75" customHeight="1" x14ac:dyDescent="0.25">
      <c r="A566" s="243"/>
      <c r="B566" s="341"/>
      <c r="C566" s="341"/>
      <c r="D566" s="341"/>
      <c r="E566" s="341"/>
      <c r="F566" s="341"/>
      <c r="G566" s="341"/>
      <c r="H566" s="341"/>
      <c r="I566" s="342"/>
      <c r="J566" s="341" t="s">
        <v>407</v>
      </c>
      <c r="K566" s="245"/>
      <c r="L566" s="257"/>
      <c r="M566" s="591" t="s">
        <v>414</v>
      </c>
      <c r="N566" s="592"/>
      <c r="O566" s="179"/>
      <c r="P566" s="180"/>
      <c r="Q566" s="180">
        <v>1800000</v>
      </c>
      <c r="R566" s="181">
        <f>Q566/Q$557*100</f>
        <v>0.57875952541718911</v>
      </c>
      <c r="S566" s="181">
        <v>100</v>
      </c>
      <c r="T566" s="180">
        <f t="shared" si="114"/>
        <v>0</v>
      </c>
      <c r="U566" s="180">
        <f t="shared" si="119"/>
        <v>0</v>
      </c>
      <c r="V566" s="182">
        <f t="shared" si="146"/>
        <v>100</v>
      </c>
      <c r="W566" s="180"/>
      <c r="X566" s="180"/>
      <c r="Y566" s="180"/>
      <c r="Z566" s="180"/>
      <c r="AA566" s="180"/>
      <c r="AB566" s="180"/>
      <c r="AC566" s="180"/>
      <c r="AD566" s="180"/>
      <c r="AE566" s="180"/>
      <c r="AF566" s="180"/>
      <c r="AG566" s="180"/>
      <c r="AH566" s="180"/>
      <c r="AI566" s="180">
        <v>0</v>
      </c>
      <c r="AJ566" s="181">
        <f t="shared" si="147"/>
        <v>0</v>
      </c>
      <c r="AK566" s="246">
        <f t="shared" ref="AK566:AK630" si="155">Q566-AI566</f>
        <v>1800000</v>
      </c>
      <c r="AL566" s="181">
        <f t="shared" si="150"/>
        <v>100</v>
      </c>
      <c r="AM566" s="243"/>
    </row>
    <row r="567" spans="1:39" s="311" customFormat="1" ht="24.75" customHeight="1" x14ac:dyDescent="0.25">
      <c r="A567" s="227">
        <f>SUM(A557+1)</f>
        <v>70</v>
      </c>
      <c r="B567" s="346"/>
      <c r="C567" s="346"/>
      <c r="D567" s="346"/>
      <c r="E567" s="346"/>
      <c r="F567" s="346"/>
      <c r="G567" s="346"/>
      <c r="H567" s="346"/>
      <c r="I567" s="345"/>
      <c r="J567" s="304" t="s">
        <v>523</v>
      </c>
      <c r="K567" s="230"/>
      <c r="L567" s="294"/>
      <c r="M567" s="609" t="s">
        <v>203</v>
      </c>
      <c r="N567" s="614"/>
      <c r="O567" s="310"/>
      <c r="P567" s="231"/>
      <c r="Q567" s="231">
        <f>SUM(Q568:Q579)</f>
        <v>363103120</v>
      </c>
      <c r="R567" s="233">
        <f>Q567/Q$243*100</f>
        <v>3.0441637032258035</v>
      </c>
      <c r="S567" s="233">
        <v>100</v>
      </c>
      <c r="T567" s="231">
        <f t="shared" si="114"/>
        <v>0</v>
      </c>
      <c r="U567" s="231">
        <f t="shared" si="119"/>
        <v>0</v>
      </c>
      <c r="V567" s="296">
        <f t="shared" si="146"/>
        <v>100</v>
      </c>
      <c r="W567" s="231"/>
      <c r="X567" s="231"/>
      <c r="Y567" s="231"/>
      <c r="Z567" s="231"/>
      <c r="AA567" s="231"/>
      <c r="AB567" s="231"/>
      <c r="AC567" s="231"/>
      <c r="AD567" s="231"/>
      <c r="AE567" s="231"/>
      <c r="AF567" s="231"/>
      <c r="AG567" s="231"/>
      <c r="AH567" s="231"/>
      <c r="AI567" s="231">
        <f>SUM(AI568:AI579)</f>
        <v>0</v>
      </c>
      <c r="AJ567" s="233">
        <f t="shared" si="147"/>
        <v>0</v>
      </c>
      <c r="AK567" s="234">
        <f t="shared" si="155"/>
        <v>363103120</v>
      </c>
      <c r="AL567" s="233">
        <f t="shared" si="150"/>
        <v>100</v>
      </c>
      <c r="AM567" s="227"/>
    </row>
    <row r="568" spans="1:39" ht="24.75" customHeight="1" x14ac:dyDescent="0.25">
      <c r="A568" s="243"/>
      <c r="B568" s="341"/>
      <c r="C568" s="341"/>
      <c r="D568" s="341"/>
      <c r="E568" s="341"/>
      <c r="F568" s="341"/>
      <c r="G568" s="341"/>
      <c r="H568" s="341"/>
      <c r="I568" s="342"/>
      <c r="J568" s="341" t="s">
        <v>259</v>
      </c>
      <c r="K568" s="245"/>
      <c r="L568" s="257"/>
      <c r="M568" s="591" t="s">
        <v>260</v>
      </c>
      <c r="N568" s="592"/>
      <c r="O568" s="179"/>
      <c r="P568" s="180"/>
      <c r="Q568" s="180">
        <v>2310000</v>
      </c>
      <c r="R568" s="181">
        <f t="shared" ref="R568:R579" si="156">Q568/Q$567*100</f>
        <v>0.63618291134485438</v>
      </c>
      <c r="S568" s="181">
        <v>100</v>
      </c>
      <c r="T568" s="180">
        <f t="shared" si="114"/>
        <v>0</v>
      </c>
      <c r="U568" s="180">
        <f t="shared" si="119"/>
        <v>0</v>
      </c>
      <c r="V568" s="182">
        <f t="shared" si="146"/>
        <v>100</v>
      </c>
      <c r="W568" s="180"/>
      <c r="X568" s="180"/>
      <c r="Y568" s="180"/>
      <c r="Z568" s="180"/>
      <c r="AA568" s="180"/>
      <c r="AB568" s="180"/>
      <c r="AC568" s="180"/>
      <c r="AD568" s="180"/>
      <c r="AE568" s="180"/>
      <c r="AF568" s="180"/>
      <c r="AG568" s="180"/>
      <c r="AH568" s="180"/>
      <c r="AI568" s="180">
        <v>0</v>
      </c>
      <c r="AJ568" s="181">
        <f t="shared" si="147"/>
        <v>0</v>
      </c>
      <c r="AK568" s="246">
        <f t="shared" si="155"/>
        <v>2310000</v>
      </c>
      <c r="AL568" s="181">
        <f t="shared" si="150"/>
        <v>100</v>
      </c>
      <c r="AM568" s="243"/>
    </row>
    <row r="569" spans="1:39" ht="24.75" customHeight="1" x14ac:dyDescent="0.25">
      <c r="A569" s="243"/>
      <c r="B569" s="341"/>
      <c r="C569" s="341"/>
      <c r="D569" s="341"/>
      <c r="E569" s="341"/>
      <c r="F569" s="341"/>
      <c r="G569" s="341"/>
      <c r="H569" s="341"/>
      <c r="I569" s="342"/>
      <c r="J569" s="341" t="s">
        <v>326</v>
      </c>
      <c r="K569" s="245"/>
      <c r="L569" s="257"/>
      <c r="M569" s="591" t="s">
        <v>327</v>
      </c>
      <c r="N569" s="592"/>
      <c r="O569" s="179"/>
      <c r="P569" s="180"/>
      <c r="Q569" s="180">
        <v>140400000</v>
      </c>
      <c r="R569" s="181">
        <f t="shared" si="156"/>
        <v>38.666701624596342</v>
      </c>
      <c r="S569" s="181">
        <v>100</v>
      </c>
      <c r="T569" s="180">
        <f t="shared" si="114"/>
        <v>0</v>
      </c>
      <c r="U569" s="180">
        <f t="shared" si="119"/>
        <v>0</v>
      </c>
      <c r="V569" s="182">
        <f t="shared" si="146"/>
        <v>100</v>
      </c>
      <c r="W569" s="180"/>
      <c r="X569" s="180"/>
      <c r="Y569" s="180"/>
      <c r="Z569" s="180"/>
      <c r="AA569" s="180"/>
      <c r="AB569" s="180"/>
      <c r="AC569" s="180"/>
      <c r="AD569" s="180"/>
      <c r="AE569" s="180"/>
      <c r="AF569" s="180"/>
      <c r="AG569" s="180"/>
      <c r="AH569" s="180"/>
      <c r="AI569" s="180">
        <v>0</v>
      </c>
      <c r="AJ569" s="181">
        <f t="shared" si="147"/>
        <v>0</v>
      </c>
      <c r="AK569" s="246">
        <f t="shared" si="155"/>
        <v>140400000</v>
      </c>
      <c r="AL569" s="181">
        <f t="shared" si="150"/>
        <v>100</v>
      </c>
      <c r="AM569" s="243"/>
    </row>
    <row r="570" spans="1:39" ht="24.75" customHeight="1" x14ac:dyDescent="0.25">
      <c r="A570" s="243"/>
      <c r="B570" s="341"/>
      <c r="C570" s="341"/>
      <c r="D570" s="341"/>
      <c r="E570" s="341"/>
      <c r="F570" s="341"/>
      <c r="G570" s="341"/>
      <c r="H570" s="341"/>
      <c r="I570" s="342"/>
      <c r="J570" s="341" t="s">
        <v>269</v>
      </c>
      <c r="K570" s="245"/>
      <c r="L570" s="257"/>
      <c r="M570" s="591" t="s">
        <v>270</v>
      </c>
      <c r="N570" s="592"/>
      <c r="O570" s="179"/>
      <c r="P570" s="180"/>
      <c r="Q570" s="180">
        <v>22000000</v>
      </c>
      <c r="R570" s="181">
        <f t="shared" si="156"/>
        <v>6.0588848699509938</v>
      </c>
      <c r="S570" s="181">
        <v>100</v>
      </c>
      <c r="T570" s="180">
        <f t="shared" si="114"/>
        <v>0</v>
      </c>
      <c r="U570" s="180">
        <f t="shared" si="119"/>
        <v>0</v>
      </c>
      <c r="V570" s="182">
        <f t="shared" si="146"/>
        <v>100</v>
      </c>
      <c r="W570" s="180"/>
      <c r="X570" s="180"/>
      <c r="Y570" s="180"/>
      <c r="Z570" s="180"/>
      <c r="AA570" s="180"/>
      <c r="AB570" s="180"/>
      <c r="AC570" s="180"/>
      <c r="AD570" s="180"/>
      <c r="AE570" s="180"/>
      <c r="AF570" s="180"/>
      <c r="AG570" s="180"/>
      <c r="AH570" s="180"/>
      <c r="AI570" s="180">
        <v>0</v>
      </c>
      <c r="AJ570" s="181">
        <f t="shared" si="147"/>
        <v>0</v>
      </c>
      <c r="AK570" s="246">
        <f t="shared" si="155"/>
        <v>22000000</v>
      </c>
      <c r="AL570" s="181">
        <f t="shared" si="150"/>
        <v>100</v>
      </c>
      <c r="AM570" s="243"/>
    </row>
    <row r="571" spans="1:39" ht="24.75" customHeight="1" x14ac:dyDescent="0.25">
      <c r="A571" s="243"/>
      <c r="B571" s="341"/>
      <c r="C571" s="341"/>
      <c r="D571" s="341"/>
      <c r="E571" s="341"/>
      <c r="F571" s="341"/>
      <c r="G571" s="341"/>
      <c r="H571" s="341"/>
      <c r="I571" s="342"/>
      <c r="J571" s="341" t="s">
        <v>315</v>
      </c>
      <c r="K571" s="245"/>
      <c r="L571" s="257"/>
      <c r="M571" s="591" t="s">
        <v>271</v>
      </c>
      <c r="N571" s="592"/>
      <c r="O571" s="179"/>
      <c r="P571" s="180"/>
      <c r="Q571" s="180">
        <v>4500000</v>
      </c>
      <c r="R571" s="181">
        <f t="shared" si="156"/>
        <v>1.2393173597627032</v>
      </c>
      <c r="S571" s="181">
        <v>100</v>
      </c>
      <c r="T571" s="180">
        <f t="shared" si="114"/>
        <v>0</v>
      </c>
      <c r="U571" s="180">
        <f t="shared" si="119"/>
        <v>0</v>
      </c>
      <c r="V571" s="182">
        <f t="shared" si="146"/>
        <v>100</v>
      </c>
      <c r="W571" s="180"/>
      <c r="X571" s="180"/>
      <c r="Y571" s="180"/>
      <c r="Z571" s="180"/>
      <c r="AA571" s="180"/>
      <c r="AB571" s="180"/>
      <c r="AC571" s="180"/>
      <c r="AD571" s="180"/>
      <c r="AE571" s="180"/>
      <c r="AF571" s="180"/>
      <c r="AG571" s="180"/>
      <c r="AH571" s="180"/>
      <c r="AI571" s="180">
        <v>0</v>
      </c>
      <c r="AJ571" s="181">
        <f t="shared" si="147"/>
        <v>0</v>
      </c>
      <c r="AK571" s="246">
        <f t="shared" si="155"/>
        <v>4500000</v>
      </c>
      <c r="AL571" s="181">
        <f t="shared" si="150"/>
        <v>100</v>
      </c>
      <c r="AM571" s="243"/>
    </row>
    <row r="572" spans="1:39" ht="24.75" customHeight="1" x14ac:dyDescent="0.25">
      <c r="A572" s="243"/>
      <c r="B572" s="341"/>
      <c r="C572" s="341"/>
      <c r="D572" s="341"/>
      <c r="E572" s="341"/>
      <c r="F572" s="341"/>
      <c r="G572" s="341"/>
      <c r="H572" s="341"/>
      <c r="I572" s="342"/>
      <c r="J572" s="341" t="s">
        <v>316</v>
      </c>
      <c r="K572" s="245"/>
      <c r="L572" s="257"/>
      <c r="M572" s="591" t="s">
        <v>317</v>
      </c>
      <c r="N572" s="592"/>
      <c r="O572" s="179"/>
      <c r="P572" s="180"/>
      <c r="Q572" s="180">
        <v>600000</v>
      </c>
      <c r="R572" s="181">
        <f t="shared" si="156"/>
        <v>0.16524231463502709</v>
      </c>
      <c r="S572" s="181">
        <v>100</v>
      </c>
      <c r="T572" s="180">
        <f t="shared" si="114"/>
        <v>0</v>
      </c>
      <c r="U572" s="180">
        <f t="shared" si="119"/>
        <v>0</v>
      </c>
      <c r="V572" s="182">
        <f t="shared" si="146"/>
        <v>100</v>
      </c>
      <c r="W572" s="180"/>
      <c r="X572" s="180"/>
      <c r="Y572" s="180"/>
      <c r="Z572" s="180"/>
      <c r="AA572" s="180"/>
      <c r="AB572" s="180"/>
      <c r="AC572" s="180"/>
      <c r="AD572" s="180"/>
      <c r="AE572" s="180"/>
      <c r="AF572" s="180"/>
      <c r="AG572" s="180"/>
      <c r="AH572" s="180"/>
      <c r="AI572" s="180">
        <v>0</v>
      </c>
      <c r="AJ572" s="181">
        <f t="shared" si="147"/>
        <v>0</v>
      </c>
      <c r="AK572" s="246">
        <f t="shared" si="155"/>
        <v>600000</v>
      </c>
      <c r="AL572" s="181">
        <f t="shared" si="150"/>
        <v>100</v>
      </c>
      <c r="AM572" s="243"/>
    </row>
    <row r="573" spans="1:39" ht="24.75" customHeight="1" x14ac:dyDescent="0.25">
      <c r="A573" s="243"/>
      <c r="B573" s="341"/>
      <c r="C573" s="341"/>
      <c r="D573" s="341"/>
      <c r="E573" s="341"/>
      <c r="F573" s="341"/>
      <c r="G573" s="341"/>
      <c r="H573" s="341"/>
      <c r="I573" s="342"/>
      <c r="J573" s="341" t="s">
        <v>328</v>
      </c>
      <c r="K573" s="245"/>
      <c r="L573" s="257"/>
      <c r="M573" s="591" t="s">
        <v>329</v>
      </c>
      <c r="N573" s="592"/>
      <c r="O573" s="179"/>
      <c r="P573" s="180"/>
      <c r="Q573" s="180">
        <v>8250000</v>
      </c>
      <c r="R573" s="181">
        <f t="shared" si="156"/>
        <v>2.2720818262316222</v>
      </c>
      <c r="S573" s="181">
        <v>100</v>
      </c>
      <c r="T573" s="180">
        <f t="shared" si="114"/>
        <v>0</v>
      </c>
      <c r="U573" s="180">
        <f t="shared" si="119"/>
        <v>0</v>
      </c>
      <c r="V573" s="182">
        <f t="shared" si="146"/>
        <v>100</v>
      </c>
      <c r="W573" s="180"/>
      <c r="X573" s="180"/>
      <c r="Y573" s="180"/>
      <c r="Z573" s="180"/>
      <c r="AA573" s="180"/>
      <c r="AB573" s="180"/>
      <c r="AC573" s="180"/>
      <c r="AD573" s="180"/>
      <c r="AE573" s="180"/>
      <c r="AF573" s="180"/>
      <c r="AG573" s="180"/>
      <c r="AH573" s="180"/>
      <c r="AI573" s="180">
        <v>0</v>
      </c>
      <c r="AJ573" s="181">
        <f t="shared" si="147"/>
        <v>0</v>
      </c>
      <c r="AK573" s="246">
        <f t="shared" si="155"/>
        <v>8250000</v>
      </c>
      <c r="AL573" s="181">
        <f t="shared" si="150"/>
        <v>100</v>
      </c>
      <c r="AM573" s="243"/>
    </row>
    <row r="574" spans="1:39" ht="24.75" customHeight="1" x14ac:dyDescent="0.25">
      <c r="A574" s="243"/>
      <c r="B574" s="341"/>
      <c r="C574" s="341"/>
      <c r="D574" s="341"/>
      <c r="E574" s="341"/>
      <c r="F574" s="341"/>
      <c r="G574" s="341"/>
      <c r="H574" s="341"/>
      <c r="I574" s="342"/>
      <c r="J574" s="341" t="s">
        <v>318</v>
      </c>
      <c r="K574" s="245"/>
      <c r="L574" s="257"/>
      <c r="M574" s="591" t="s">
        <v>319</v>
      </c>
      <c r="N574" s="592"/>
      <c r="O574" s="179"/>
      <c r="P574" s="180"/>
      <c r="Q574" s="180">
        <v>100000000</v>
      </c>
      <c r="R574" s="181">
        <f t="shared" si="156"/>
        <v>27.540385772504518</v>
      </c>
      <c r="S574" s="181">
        <v>100</v>
      </c>
      <c r="T574" s="180">
        <f t="shared" si="114"/>
        <v>0</v>
      </c>
      <c r="U574" s="180">
        <f t="shared" si="119"/>
        <v>0</v>
      </c>
      <c r="V574" s="182">
        <v>100</v>
      </c>
      <c r="W574" s="180"/>
      <c r="X574" s="180"/>
      <c r="Y574" s="180"/>
      <c r="Z574" s="180"/>
      <c r="AA574" s="180"/>
      <c r="AB574" s="180"/>
      <c r="AC574" s="180"/>
      <c r="AD574" s="180"/>
      <c r="AE574" s="180"/>
      <c r="AF574" s="180"/>
      <c r="AG574" s="180"/>
      <c r="AH574" s="180"/>
      <c r="AI574" s="180">
        <v>0</v>
      </c>
      <c r="AJ574" s="181">
        <f t="shared" si="147"/>
        <v>0</v>
      </c>
      <c r="AK574" s="246">
        <f t="shared" si="155"/>
        <v>100000000</v>
      </c>
      <c r="AL574" s="181">
        <f t="shared" si="150"/>
        <v>100</v>
      </c>
      <c r="AM574" s="243"/>
    </row>
    <row r="575" spans="1:39" ht="24.75" customHeight="1" x14ac:dyDescent="0.25">
      <c r="A575" s="243"/>
      <c r="B575" s="341"/>
      <c r="C575" s="341"/>
      <c r="D575" s="341"/>
      <c r="E575" s="341"/>
      <c r="F575" s="341"/>
      <c r="G575" s="341"/>
      <c r="H575" s="341"/>
      <c r="I575" s="342"/>
      <c r="J575" s="341" t="s">
        <v>280</v>
      </c>
      <c r="K575" s="245"/>
      <c r="L575" s="257"/>
      <c r="M575" s="591" t="s">
        <v>281</v>
      </c>
      <c r="N575" s="592"/>
      <c r="O575" s="179"/>
      <c r="P575" s="180"/>
      <c r="Q575" s="180">
        <v>9500000</v>
      </c>
      <c r="R575" s="181">
        <f t="shared" si="156"/>
        <v>2.6163366483879291</v>
      </c>
      <c r="S575" s="181">
        <v>100</v>
      </c>
      <c r="T575" s="180">
        <f t="shared" si="114"/>
        <v>0</v>
      </c>
      <c r="U575" s="180">
        <f t="shared" si="119"/>
        <v>0</v>
      </c>
      <c r="V575" s="182">
        <f t="shared" si="146"/>
        <v>100</v>
      </c>
      <c r="W575" s="180"/>
      <c r="X575" s="180"/>
      <c r="Y575" s="180"/>
      <c r="Z575" s="180"/>
      <c r="AA575" s="180"/>
      <c r="AB575" s="180"/>
      <c r="AC575" s="180"/>
      <c r="AD575" s="180"/>
      <c r="AE575" s="180"/>
      <c r="AF575" s="180"/>
      <c r="AG575" s="180"/>
      <c r="AH575" s="180"/>
      <c r="AI575" s="180">
        <v>0</v>
      </c>
      <c r="AJ575" s="181">
        <f t="shared" si="147"/>
        <v>0</v>
      </c>
      <c r="AK575" s="246">
        <f t="shared" si="155"/>
        <v>9500000</v>
      </c>
      <c r="AL575" s="181">
        <f t="shared" si="150"/>
        <v>100</v>
      </c>
      <c r="AM575" s="243"/>
    </row>
    <row r="576" spans="1:39" ht="24.75" customHeight="1" x14ac:dyDescent="0.25">
      <c r="A576" s="243"/>
      <c r="B576" s="341"/>
      <c r="C576" s="341"/>
      <c r="D576" s="341"/>
      <c r="E576" s="341"/>
      <c r="F576" s="341"/>
      <c r="G576" s="341"/>
      <c r="H576" s="341"/>
      <c r="I576" s="342"/>
      <c r="J576" s="341" t="s">
        <v>284</v>
      </c>
      <c r="K576" s="245"/>
      <c r="L576" s="257"/>
      <c r="M576" s="591" t="s">
        <v>285</v>
      </c>
      <c r="N576" s="592"/>
      <c r="O576" s="179"/>
      <c r="P576" s="180"/>
      <c r="Q576" s="180">
        <v>3000000</v>
      </c>
      <c r="R576" s="181">
        <f t="shared" si="156"/>
        <v>0.82621157317513538</v>
      </c>
      <c r="S576" s="181">
        <v>100</v>
      </c>
      <c r="T576" s="180">
        <f t="shared" si="114"/>
        <v>0</v>
      </c>
      <c r="U576" s="180">
        <f t="shared" si="119"/>
        <v>0</v>
      </c>
      <c r="V576" s="182">
        <f t="shared" si="146"/>
        <v>100</v>
      </c>
      <c r="W576" s="180"/>
      <c r="X576" s="180"/>
      <c r="Y576" s="180"/>
      <c r="Z576" s="180"/>
      <c r="AA576" s="180"/>
      <c r="AB576" s="180"/>
      <c r="AC576" s="180"/>
      <c r="AD576" s="180"/>
      <c r="AE576" s="180"/>
      <c r="AF576" s="180"/>
      <c r="AG576" s="180"/>
      <c r="AH576" s="180"/>
      <c r="AI576" s="180">
        <v>0</v>
      </c>
      <c r="AJ576" s="181">
        <f t="shared" si="147"/>
        <v>0</v>
      </c>
      <c r="AK576" s="246">
        <f t="shared" si="155"/>
        <v>3000000</v>
      </c>
      <c r="AL576" s="181">
        <f t="shared" si="150"/>
        <v>100</v>
      </c>
      <c r="AM576" s="243"/>
    </row>
    <row r="577" spans="1:39" ht="24.75" customHeight="1" x14ac:dyDescent="0.25">
      <c r="A577" s="243"/>
      <c r="B577" s="341"/>
      <c r="C577" s="341"/>
      <c r="D577" s="341"/>
      <c r="E577" s="341"/>
      <c r="F577" s="341"/>
      <c r="G577" s="341"/>
      <c r="H577" s="341"/>
      <c r="I577" s="342"/>
      <c r="J577" s="341" t="s">
        <v>282</v>
      </c>
      <c r="K577" s="245"/>
      <c r="L577" s="257"/>
      <c r="M577" s="591" t="s">
        <v>283</v>
      </c>
      <c r="N577" s="592"/>
      <c r="O577" s="179"/>
      <c r="P577" s="180"/>
      <c r="Q577" s="180">
        <v>32443120</v>
      </c>
      <c r="R577" s="181">
        <f t="shared" si="156"/>
        <v>8.934960404636568</v>
      </c>
      <c r="S577" s="181">
        <v>100</v>
      </c>
      <c r="T577" s="180">
        <f t="shared" si="114"/>
        <v>0</v>
      </c>
      <c r="U577" s="180">
        <f t="shared" si="119"/>
        <v>0</v>
      </c>
      <c r="V577" s="182">
        <f t="shared" si="146"/>
        <v>100</v>
      </c>
      <c r="W577" s="180"/>
      <c r="X577" s="180"/>
      <c r="Y577" s="180"/>
      <c r="Z577" s="180"/>
      <c r="AA577" s="180"/>
      <c r="AB577" s="180"/>
      <c r="AC577" s="180"/>
      <c r="AD577" s="180"/>
      <c r="AE577" s="180"/>
      <c r="AF577" s="180"/>
      <c r="AG577" s="180"/>
      <c r="AH577" s="180"/>
      <c r="AI577" s="180">
        <v>0</v>
      </c>
      <c r="AJ577" s="181">
        <f t="shared" si="147"/>
        <v>0</v>
      </c>
      <c r="AK577" s="246">
        <f t="shared" si="155"/>
        <v>32443120</v>
      </c>
      <c r="AL577" s="181">
        <f t="shared" si="150"/>
        <v>100</v>
      </c>
      <c r="AM577" s="243"/>
    </row>
    <row r="578" spans="1:39" ht="24.75" customHeight="1" x14ac:dyDescent="0.25">
      <c r="A578" s="243"/>
      <c r="B578" s="341"/>
      <c r="C578" s="341"/>
      <c r="D578" s="341"/>
      <c r="E578" s="341"/>
      <c r="F578" s="341"/>
      <c r="G578" s="341"/>
      <c r="H578" s="341"/>
      <c r="I578" s="342"/>
      <c r="J578" s="341" t="s">
        <v>320</v>
      </c>
      <c r="K578" s="245"/>
      <c r="L578" s="257"/>
      <c r="M578" s="591" t="s">
        <v>321</v>
      </c>
      <c r="N578" s="592"/>
      <c r="O578" s="179"/>
      <c r="P578" s="180"/>
      <c r="Q578" s="180">
        <v>20000000</v>
      </c>
      <c r="R578" s="181">
        <f t="shared" si="156"/>
        <v>5.5080771545009029</v>
      </c>
      <c r="S578" s="181">
        <v>100</v>
      </c>
      <c r="T578" s="180">
        <f t="shared" si="114"/>
        <v>0</v>
      </c>
      <c r="U578" s="180">
        <f t="shared" si="119"/>
        <v>0</v>
      </c>
      <c r="V578" s="182">
        <f t="shared" si="146"/>
        <v>100</v>
      </c>
      <c r="W578" s="180"/>
      <c r="X578" s="180"/>
      <c r="Y578" s="180"/>
      <c r="Z578" s="180"/>
      <c r="AA578" s="180"/>
      <c r="AB578" s="180"/>
      <c r="AC578" s="180"/>
      <c r="AD578" s="180"/>
      <c r="AE578" s="180"/>
      <c r="AF578" s="180"/>
      <c r="AG578" s="180"/>
      <c r="AH578" s="180"/>
      <c r="AI578" s="180">
        <v>0</v>
      </c>
      <c r="AJ578" s="181">
        <f t="shared" si="147"/>
        <v>0</v>
      </c>
      <c r="AK578" s="246">
        <f t="shared" si="155"/>
        <v>20000000</v>
      </c>
      <c r="AL578" s="181">
        <f t="shared" si="150"/>
        <v>100</v>
      </c>
      <c r="AM578" s="243"/>
    </row>
    <row r="579" spans="1:39" ht="24.75" customHeight="1" x14ac:dyDescent="0.25">
      <c r="A579" s="243"/>
      <c r="B579" s="341"/>
      <c r="C579" s="341"/>
      <c r="D579" s="341"/>
      <c r="E579" s="341"/>
      <c r="F579" s="341"/>
      <c r="G579" s="341"/>
      <c r="H579" s="341"/>
      <c r="I579" s="342"/>
      <c r="J579" s="341" t="s">
        <v>407</v>
      </c>
      <c r="K579" s="245"/>
      <c r="L579" s="257"/>
      <c r="M579" s="591" t="s">
        <v>414</v>
      </c>
      <c r="N579" s="592"/>
      <c r="O579" s="179"/>
      <c r="P579" s="180"/>
      <c r="Q579" s="180">
        <v>20100000</v>
      </c>
      <c r="R579" s="181">
        <f t="shared" si="156"/>
        <v>5.5356175402734076</v>
      </c>
      <c r="S579" s="181">
        <v>100</v>
      </c>
      <c r="T579" s="180">
        <f t="shared" si="114"/>
        <v>0</v>
      </c>
      <c r="U579" s="180">
        <f t="shared" si="119"/>
        <v>0</v>
      </c>
      <c r="V579" s="182">
        <v>100</v>
      </c>
      <c r="W579" s="180"/>
      <c r="X579" s="180"/>
      <c r="Y579" s="180"/>
      <c r="Z579" s="180"/>
      <c r="AA579" s="180"/>
      <c r="AB579" s="180"/>
      <c r="AC579" s="180"/>
      <c r="AD579" s="180"/>
      <c r="AE579" s="180"/>
      <c r="AF579" s="180"/>
      <c r="AG579" s="180"/>
      <c r="AH579" s="180"/>
      <c r="AI579" s="180">
        <v>0</v>
      </c>
      <c r="AJ579" s="181">
        <f t="shared" si="147"/>
        <v>0</v>
      </c>
      <c r="AK579" s="246">
        <f t="shared" si="155"/>
        <v>20100000</v>
      </c>
      <c r="AL579" s="181">
        <f t="shared" si="150"/>
        <v>100</v>
      </c>
      <c r="AM579" s="243"/>
    </row>
    <row r="580" spans="1:39" s="311" customFormat="1" ht="24.75" customHeight="1" x14ac:dyDescent="0.25">
      <c r="A580" s="227">
        <f>SUM(A567+1)</f>
        <v>71</v>
      </c>
      <c r="B580" s="346"/>
      <c r="C580" s="346"/>
      <c r="D580" s="346"/>
      <c r="E580" s="346"/>
      <c r="F580" s="346"/>
      <c r="G580" s="346"/>
      <c r="H580" s="346"/>
      <c r="I580" s="345"/>
      <c r="J580" s="304" t="s">
        <v>524</v>
      </c>
      <c r="K580" s="230"/>
      <c r="L580" s="294"/>
      <c r="M580" s="609" t="s">
        <v>204</v>
      </c>
      <c r="N580" s="614"/>
      <c r="O580" s="310"/>
      <c r="P580" s="231"/>
      <c r="Q580" s="231">
        <f>SUM(Q581:Q588)</f>
        <v>161972105</v>
      </c>
      <c r="R580" s="233">
        <f>Q580/Q$243*100</f>
        <v>1.3579327078656847</v>
      </c>
      <c r="S580" s="233">
        <v>100</v>
      </c>
      <c r="T580" s="231">
        <f t="shared" si="114"/>
        <v>0</v>
      </c>
      <c r="U580" s="231">
        <f t="shared" si="119"/>
        <v>0</v>
      </c>
      <c r="V580" s="296">
        <f t="shared" si="146"/>
        <v>100</v>
      </c>
      <c r="W580" s="231"/>
      <c r="X580" s="231"/>
      <c r="Y580" s="231"/>
      <c r="Z580" s="231"/>
      <c r="AA580" s="231"/>
      <c r="AB580" s="231"/>
      <c r="AC580" s="231"/>
      <c r="AD580" s="231"/>
      <c r="AE580" s="231"/>
      <c r="AF580" s="231"/>
      <c r="AG580" s="231"/>
      <c r="AH580" s="231"/>
      <c r="AI580" s="231">
        <f>SUM(AI581:AI587)</f>
        <v>0</v>
      </c>
      <c r="AJ580" s="233">
        <f t="shared" si="147"/>
        <v>0</v>
      </c>
      <c r="AK580" s="234">
        <f t="shared" si="155"/>
        <v>161972105</v>
      </c>
      <c r="AL580" s="233">
        <f t="shared" si="150"/>
        <v>100</v>
      </c>
      <c r="AM580" s="227"/>
    </row>
    <row r="581" spans="1:39" ht="24.75" customHeight="1" x14ac:dyDescent="0.25">
      <c r="A581" s="243"/>
      <c r="B581" s="341"/>
      <c r="C581" s="341"/>
      <c r="D581" s="341"/>
      <c r="E581" s="341"/>
      <c r="F581" s="341"/>
      <c r="G581" s="341"/>
      <c r="H581" s="341"/>
      <c r="I581" s="342"/>
      <c r="J581" s="341" t="s">
        <v>257</v>
      </c>
      <c r="K581" s="245"/>
      <c r="L581" s="257"/>
      <c r="M581" s="591" t="s">
        <v>260</v>
      </c>
      <c r="N581" s="592"/>
      <c r="O581" s="179"/>
      <c r="P581" s="180"/>
      <c r="Q581" s="180">
        <v>1540000</v>
      </c>
      <c r="R581" s="181">
        <f>Q581/Q$580*100</f>
        <v>0.95078100022222956</v>
      </c>
      <c r="S581" s="181">
        <v>100</v>
      </c>
      <c r="T581" s="180">
        <f t="shared" si="114"/>
        <v>0</v>
      </c>
      <c r="U581" s="180">
        <f t="shared" si="119"/>
        <v>0</v>
      </c>
      <c r="V581" s="182">
        <f t="shared" si="146"/>
        <v>100</v>
      </c>
      <c r="W581" s="180"/>
      <c r="X581" s="180"/>
      <c r="Y581" s="180"/>
      <c r="Z581" s="180"/>
      <c r="AA581" s="180"/>
      <c r="AB581" s="180"/>
      <c r="AC581" s="180"/>
      <c r="AD581" s="180"/>
      <c r="AE581" s="180"/>
      <c r="AF581" s="180"/>
      <c r="AG581" s="180"/>
      <c r="AH581" s="180"/>
      <c r="AI581" s="180">
        <v>0</v>
      </c>
      <c r="AJ581" s="181">
        <f t="shared" si="147"/>
        <v>0</v>
      </c>
      <c r="AK581" s="246">
        <f t="shared" si="155"/>
        <v>1540000</v>
      </c>
      <c r="AL581" s="181">
        <f t="shared" si="150"/>
        <v>100</v>
      </c>
      <c r="AM581" s="243"/>
    </row>
    <row r="582" spans="1:39" ht="24.75" customHeight="1" x14ac:dyDescent="0.25">
      <c r="A582" s="243"/>
      <c r="B582" s="341"/>
      <c r="C582" s="341"/>
      <c r="D582" s="341"/>
      <c r="E582" s="341"/>
      <c r="F582" s="341"/>
      <c r="G582" s="341"/>
      <c r="H582" s="341"/>
      <c r="I582" s="342"/>
      <c r="J582" s="341" t="s">
        <v>315</v>
      </c>
      <c r="K582" s="245"/>
      <c r="L582" s="257"/>
      <c r="M582" s="591" t="s">
        <v>271</v>
      </c>
      <c r="N582" s="592"/>
      <c r="O582" s="179"/>
      <c r="P582" s="180"/>
      <c r="Q582" s="180">
        <v>2000000</v>
      </c>
      <c r="R582" s="181">
        <f t="shared" ref="R582:R588" si="157">Q582/Q$580*100</f>
        <v>1.2347805197691293</v>
      </c>
      <c r="S582" s="181">
        <v>100</v>
      </c>
      <c r="T582" s="180">
        <f t="shared" si="114"/>
        <v>0</v>
      </c>
      <c r="U582" s="180">
        <f t="shared" si="119"/>
        <v>0</v>
      </c>
      <c r="V582" s="182">
        <f t="shared" si="146"/>
        <v>100</v>
      </c>
      <c r="W582" s="180"/>
      <c r="X582" s="180"/>
      <c r="Y582" s="180"/>
      <c r="Z582" s="180"/>
      <c r="AA582" s="180"/>
      <c r="AB582" s="180"/>
      <c r="AC582" s="180"/>
      <c r="AD582" s="180"/>
      <c r="AE582" s="180"/>
      <c r="AF582" s="180"/>
      <c r="AG582" s="180"/>
      <c r="AH582" s="180"/>
      <c r="AI582" s="180">
        <v>0</v>
      </c>
      <c r="AJ582" s="181">
        <f t="shared" si="147"/>
        <v>0</v>
      </c>
      <c r="AK582" s="246">
        <f t="shared" si="155"/>
        <v>2000000</v>
      </c>
      <c r="AL582" s="181">
        <f t="shared" si="150"/>
        <v>100</v>
      </c>
      <c r="AM582" s="243"/>
    </row>
    <row r="583" spans="1:39" ht="30" customHeight="1" x14ac:dyDescent="0.25">
      <c r="A583" s="243"/>
      <c r="B583" s="341"/>
      <c r="C583" s="341"/>
      <c r="D583" s="341"/>
      <c r="E583" s="341"/>
      <c r="F583" s="341"/>
      <c r="G583" s="341"/>
      <c r="H583" s="341"/>
      <c r="I583" s="342"/>
      <c r="J583" s="341" t="s">
        <v>318</v>
      </c>
      <c r="K583" s="245"/>
      <c r="L583" s="257"/>
      <c r="M583" s="591" t="s">
        <v>319</v>
      </c>
      <c r="N583" s="592"/>
      <c r="O583" s="179"/>
      <c r="P583" s="180"/>
      <c r="Q583" s="180">
        <v>58500000</v>
      </c>
      <c r="R583" s="181">
        <f t="shared" si="157"/>
        <v>36.117330203247036</v>
      </c>
      <c r="S583" s="181">
        <v>100</v>
      </c>
      <c r="T583" s="180">
        <f t="shared" si="114"/>
        <v>0</v>
      </c>
      <c r="U583" s="180">
        <f t="shared" si="119"/>
        <v>0</v>
      </c>
      <c r="V583" s="182">
        <f t="shared" si="146"/>
        <v>100</v>
      </c>
      <c r="W583" s="180"/>
      <c r="X583" s="180"/>
      <c r="Y583" s="180"/>
      <c r="Z583" s="180"/>
      <c r="AA583" s="180"/>
      <c r="AB583" s="180"/>
      <c r="AC583" s="180"/>
      <c r="AD583" s="180"/>
      <c r="AE583" s="180"/>
      <c r="AF583" s="180"/>
      <c r="AG583" s="180"/>
      <c r="AH583" s="180"/>
      <c r="AI583" s="180">
        <v>0</v>
      </c>
      <c r="AJ583" s="181">
        <f t="shared" si="147"/>
        <v>0</v>
      </c>
      <c r="AK583" s="246">
        <f t="shared" si="155"/>
        <v>58500000</v>
      </c>
      <c r="AL583" s="181">
        <f t="shared" si="150"/>
        <v>100</v>
      </c>
      <c r="AM583" s="243"/>
    </row>
    <row r="584" spans="1:39" ht="24.75" customHeight="1" x14ac:dyDescent="0.25">
      <c r="A584" s="243"/>
      <c r="B584" s="341"/>
      <c r="C584" s="341"/>
      <c r="D584" s="341"/>
      <c r="E584" s="341"/>
      <c r="F584" s="341"/>
      <c r="G584" s="341"/>
      <c r="H584" s="341"/>
      <c r="I584" s="342"/>
      <c r="J584" s="341" t="s">
        <v>280</v>
      </c>
      <c r="K584" s="245"/>
      <c r="L584" s="257"/>
      <c r="M584" s="591" t="s">
        <v>281</v>
      </c>
      <c r="N584" s="592"/>
      <c r="O584" s="179"/>
      <c r="P584" s="180"/>
      <c r="Q584" s="180">
        <v>2925000</v>
      </c>
      <c r="R584" s="181">
        <f t="shared" si="157"/>
        <v>1.8058665101623517</v>
      </c>
      <c r="S584" s="181">
        <v>100</v>
      </c>
      <c r="T584" s="180">
        <f t="shared" si="114"/>
        <v>0</v>
      </c>
      <c r="U584" s="180">
        <f t="shared" si="119"/>
        <v>0</v>
      </c>
      <c r="V584" s="182">
        <f t="shared" si="146"/>
        <v>100</v>
      </c>
      <c r="W584" s="180"/>
      <c r="X584" s="180"/>
      <c r="Y584" s="180"/>
      <c r="Z584" s="180"/>
      <c r="AA584" s="180"/>
      <c r="AB584" s="180"/>
      <c r="AC584" s="180"/>
      <c r="AD584" s="180"/>
      <c r="AE584" s="180"/>
      <c r="AF584" s="180"/>
      <c r="AG584" s="180"/>
      <c r="AH584" s="180"/>
      <c r="AI584" s="180">
        <v>0</v>
      </c>
      <c r="AJ584" s="181">
        <f t="shared" si="147"/>
        <v>0</v>
      </c>
      <c r="AK584" s="246">
        <f t="shared" si="155"/>
        <v>2925000</v>
      </c>
      <c r="AL584" s="181">
        <f t="shared" si="150"/>
        <v>100</v>
      </c>
      <c r="AM584" s="243"/>
    </row>
    <row r="585" spans="1:39" ht="24.75" customHeight="1" x14ac:dyDescent="0.25">
      <c r="A585" s="243"/>
      <c r="B585" s="341"/>
      <c r="C585" s="341"/>
      <c r="D585" s="341"/>
      <c r="E585" s="341"/>
      <c r="F585" s="341"/>
      <c r="G585" s="341"/>
      <c r="H585" s="341"/>
      <c r="I585" s="342"/>
      <c r="J585" s="341" t="s">
        <v>284</v>
      </c>
      <c r="K585" s="245"/>
      <c r="L585" s="257"/>
      <c r="M585" s="591" t="s">
        <v>285</v>
      </c>
      <c r="N585" s="592"/>
      <c r="O585" s="179"/>
      <c r="P585" s="180"/>
      <c r="Q585" s="180">
        <v>2000000</v>
      </c>
      <c r="R585" s="181">
        <f t="shared" si="157"/>
        <v>1.2347805197691293</v>
      </c>
      <c r="S585" s="181">
        <v>100</v>
      </c>
      <c r="T585" s="180">
        <f t="shared" si="114"/>
        <v>0</v>
      </c>
      <c r="U585" s="180">
        <f t="shared" si="119"/>
        <v>0</v>
      </c>
      <c r="V585" s="182">
        <f t="shared" si="146"/>
        <v>100</v>
      </c>
      <c r="W585" s="180"/>
      <c r="X585" s="180"/>
      <c r="Y585" s="180"/>
      <c r="Z585" s="180"/>
      <c r="AA585" s="180"/>
      <c r="AB585" s="180"/>
      <c r="AC585" s="180"/>
      <c r="AD585" s="180"/>
      <c r="AE585" s="180"/>
      <c r="AF585" s="180"/>
      <c r="AG585" s="180"/>
      <c r="AH585" s="180"/>
      <c r="AI585" s="180">
        <v>0</v>
      </c>
      <c r="AJ585" s="181">
        <f t="shared" si="147"/>
        <v>0</v>
      </c>
      <c r="AK585" s="246">
        <f t="shared" si="155"/>
        <v>2000000</v>
      </c>
      <c r="AL585" s="181">
        <f t="shared" si="150"/>
        <v>100</v>
      </c>
      <c r="AM585" s="243"/>
    </row>
    <row r="586" spans="1:39" ht="24.75" customHeight="1" x14ac:dyDescent="0.25">
      <c r="A586" s="243"/>
      <c r="B586" s="341"/>
      <c r="C586" s="341"/>
      <c r="D586" s="341"/>
      <c r="E586" s="341"/>
      <c r="F586" s="341"/>
      <c r="G586" s="341"/>
      <c r="H586" s="341"/>
      <c r="I586" s="342"/>
      <c r="J586" s="341" t="s">
        <v>282</v>
      </c>
      <c r="K586" s="245"/>
      <c r="L586" s="257"/>
      <c r="M586" s="591" t="s">
        <v>283</v>
      </c>
      <c r="N586" s="592"/>
      <c r="O586" s="179"/>
      <c r="P586" s="180"/>
      <c r="Q586" s="180">
        <v>73857105</v>
      </c>
      <c r="R586" s="181">
        <f t="shared" si="157"/>
        <v>45.598657250271586</v>
      </c>
      <c r="S586" s="181">
        <v>100</v>
      </c>
      <c r="T586" s="180">
        <f t="shared" si="114"/>
        <v>0</v>
      </c>
      <c r="U586" s="180">
        <f t="shared" si="119"/>
        <v>0</v>
      </c>
      <c r="V586" s="182">
        <f t="shared" si="146"/>
        <v>100</v>
      </c>
      <c r="W586" s="180"/>
      <c r="X586" s="180"/>
      <c r="Y586" s="180"/>
      <c r="Z586" s="180"/>
      <c r="AA586" s="180"/>
      <c r="AB586" s="180"/>
      <c r="AC586" s="180"/>
      <c r="AD586" s="180"/>
      <c r="AE586" s="180"/>
      <c r="AF586" s="180"/>
      <c r="AG586" s="180"/>
      <c r="AH586" s="180"/>
      <c r="AI586" s="180">
        <v>0</v>
      </c>
      <c r="AJ586" s="181">
        <f t="shared" si="147"/>
        <v>0</v>
      </c>
      <c r="AK586" s="246">
        <f t="shared" si="155"/>
        <v>73857105</v>
      </c>
      <c r="AL586" s="181">
        <f t="shared" si="150"/>
        <v>100</v>
      </c>
      <c r="AM586" s="243"/>
    </row>
    <row r="587" spans="1:39" ht="24.75" customHeight="1" x14ac:dyDescent="0.25">
      <c r="A587" s="243"/>
      <c r="B587" s="341"/>
      <c r="C587" s="341"/>
      <c r="D587" s="341"/>
      <c r="E587" s="341"/>
      <c r="F587" s="341"/>
      <c r="G587" s="341"/>
      <c r="H587" s="341"/>
      <c r="I587" s="342"/>
      <c r="J587" s="358" t="s">
        <v>320</v>
      </c>
      <c r="K587" s="245"/>
      <c r="L587" s="257"/>
      <c r="M587" s="591" t="s">
        <v>321</v>
      </c>
      <c r="N587" s="592"/>
      <c r="O587" s="179"/>
      <c r="P587" s="180"/>
      <c r="Q587" s="180">
        <v>15750000</v>
      </c>
      <c r="R587" s="181">
        <f t="shared" si="157"/>
        <v>9.7238965931818946</v>
      </c>
      <c r="S587" s="181">
        <v>100</v>
      </c>
      <c r="T587" s="180">
        <f t="shared" si="114"/>
        <v>0</v>
      </c>
      <c r="U587" s="180">
        <f t="shared" si="119"/>
        <v>0</v>
      </c>
      <c r="V587" s="182">
        <v>100</v>
      </c>
      <c r="W587" s="180"/>
      <c r="X587" s="180"/>
      <c r="Y587" s="180"/>
      <c r="Z587" s="180"/>
      <c r="AA587" s="180"/>
      <c r="AB587" s="180"/>
      <c r="AC587" s="180"/>
      <c r="AD587" s="180"/>
      <c r="AE587" s="180"/>
      <c r="AF587" s="180"/>
      <c r="AG587" s="180"/>
      <c r="AH587" s="180"/>
      <c r="AI587" s="180">
        <v>0</v>
      </c>
      <c r="AJ587" s="181">
        <f t="shared" si="147"/>
        <v>0</v>
      </c>
      <c r="AK587" s="246">
        <f t="shared" si="155"/>
        <v>15750000</v>
      </c>
      <c r="AL587" s="181">
        <f t="shared" si="150"/>
        <v>100</v>
      </c>
      <c r="AM587" s="243"/>
    </row>
    <row r="588" spans="1:39" ht="24.75" customHeight="1" x14ac:dyDescent="0.25">
      <c r="A588" s="243"/>
      <c r="B588" s="358"/>
      <c r="C588" s="358"/>
      <c r="D588" s="358"/>
      <c r="E588" s="358"/>
      <c r="F588" s="358"/>
      <c r="G588" s="358"/>
      <c r="H588" s="358"/>
      <c r="I588" s="359"/>
      <c r="J588" s="358" t="s">
        <v>407</v>
      </c>
      <c r="K588" s="245"/>
      <c r="L588" s="257"/>
      <c r="M588" s="591" t="s">
        <v>414</v>
      </c>
      <c r="N588" s="592"/>
      <c r="O588" s="179"/>
      <c r="P588" s="180"/>
      <c r="Q588" s="180">
        <v>5400000</v>
      </c>
      <c r="R588" s="181">
        <f t="shared" si="157"/>
        <v>3.3339074033766494</v>
      </c>
      <c r="S588" s="181">
        <v>100</v>
      </c>
      <c r="T588" s="180">
        <f t="shared" ref="T588" si="158">AJ588</f>
        <v>0</v>
      </c>
      <c r="U588" s="180">
        <f t="shared" ref="U588" si="159">R588*T588/100</f>
        <v>0</v>
      </c>
      <c r="V588" s="182">
        <v>100</v>
      </c>
      <c r="W588" s="180"/>
      <c r="X588" s="180"/>
      <c r="Y588" s="180"/>
      <c r="Z588" s="180"/>
      <c r="AA588" s="180"/>
      <c r="AB588" s="180"/>
      <c r="AC588" s="180"/>
      <c r="AD588" s="180"/>
      <c r="AE588" s="180"/>
      <c r="AF588" s="180"/>
      <c r="AG588" s="180"/>
      <c r="AH588" s="180"/>
      <c r="AI588" s="180">
        <v>0</v>
      </c>
      <c r="AJ588" s="181">
        <f t="shared" ref="AJ588" si="160">AI588/Q588*100</f>
        <v>0</v>
      </c>
      <c r="AK588" s="246">
        <f t="shared" ref="AK588" si="161">Q588-AI588</f>
        <v>5400000</v>
      </c>
      <c r="AL588" s="181">
        <f t="shared" ref="AL588" si="162">AK588/Q588*100</f>
        <v>100</v>
      </c>
      <c r="AM588" s="243"/>
    </row>
    <row r="589" spans="1:39" s="297" customFormat="1" ht="24.75" customHeight="1" x14ac:dyDescent="0.25">
      <c r="A589" s="227">
        <f>SUM(A580+1)</f>
        <v>72</v>
      </c>
      <c r="B589" s="346"/>
      <c r="C589" s="346"/>
      <c r="D589" s="346"/>
      <c r="E589" s="346"/>
      <c r="F589" s="346"/>
      <c r="G589" s="346"/>
      <c r="H589" s="346"/>
      <c r="I589" s="345"/>
      <c r="J589" s="304" t="s">
        <v>525</v>
      </c>
      <c r="K589" s="230"/>
      <c r="L589" s="294"/>
      <c r="M589" s="610" t="s">
        <v>205</v>
      </c>
      <c r="N589" s="612"/>
      <c r="O589" s="309"/>
      <c r="P589" s="231"/>
      <c r="Q589" s="231">
        <f>SUM(Q590:Q602)</f>
        <v>420363277</v>
      </c>
      <c r="R589" s="233">
        <f>Q589/Q$243*100</f>
        <v>3.5242182166114522</v>
      </c>
      <c r="S589" s="233">
        <v>100</v>
      </c>
      <c r="T589" s="231">
        <f t="shared" si="114"/>
        <v>0</v>
      </c>
      <c r="U589" s="231">
        <f t="shared" si="119"/>
        <v>0</v>
      </c>
      <c r="V589" s="296">
        <f t="shared" si="146"/>
        <v>100</v>
      </c>
      <c r="W589" s="231"/>
      <c r="X589" s="231"/>
      <c r="Y589" s="231"/>
      <c r="Z589" s="231"/>
      <c r="AA589" s="231"/>
      <c r="AB589" s="231"/>
      <c r="AC589" s="231"/>
      <c r="AD589" s="231"/>
      <c r="AE589" s="231"/>
      <c r="AF589" s="231"/>
      <c r="AG589" s="231"/>
      <c r="AH589" s="231"/>
      <c r="AI589" s="231">
        <f>SUM(AI590:AI602)</f>
        <v>0</v>
      </c>
      <c r="AJ589" s="233">
        <f t="shared" si="147"/>
        <v>0</v>
      </c>
      <c r="AK589" s="234">
        <f t="shared" si="155"/>
        <v>420363277</v>
      </c>
      <c r="AL589" s="233">
        <f t="shared" si="150"/>
        <v>100</v>
      </c>
      <c r="AM589" s="227"/>
    </row>
    <row r="590" spans="1:39" ht="24.75" customHeight="1" x14ac:dyDescent="0.25">
      <c r="A590" s="243"/>
      <c r="B590" s="341"/>
      <c r="C590" s="341"/>
      <c r="D590" s="341"/>
      <c r="E590" s="341"/>
      <c r="F590" s="341"/>
      <c r="G590" s="341"/>
      <c r="H590" s="341"/>
      <c r="I590" s="342"/>
      <c r="J590" s="341" t="s">
        <v>259</v>
      </c>
      <c r="K590" s="245"/>
      <c r="L590" s="257"/>
      <c r="M590" s="591" t="s">
        <v>260</v>
      </c>
      <c r="N590" s="592"/>
      <c r="O590" s="179"/>
      <c r="P590" s="180"/>
      <c r="Q590" s="180">
        <v>2400000</v>
      </c>
      <c r="R590" s="181">
        <f t="shared" ref="R590:R602" si="163">Q590/Q$589*100</f>
        <v>0.57093474414036416</v>
      </c>
      <c r="S590" s="181">
        <v>100</v>
      </c>
      <c r="T590" s="180">
        <f t="shared" si="114"/>
        <v>0</v>
      </c>
      <c r="U590" s="180">
        <f t="shared" si="119"/>
        <v>0</v>
      </c>
      <c r="V590" s="182">
        <f t="shared" si="146"/>
        <v>100</v>
      </c>
      <c r="W590" s="180"/>
      <c r="X590" s="180"/>
      <c r="Y590" s="180"/>
      <c r="Z590" s="180"/>
      <c r="AA590" s="180"/>
      <c r="AB590" s="180"/>
      <c r="AC590" s="180"/>
      <c r="AD590" s="180"/>
      <c r="AE590" s="180"/>
      <c r="AF590" s="180"/>
      <c r="AG590" s="180"/>
      <c r="AH590" s="180"/>
      <c r="AI590" s="180">
        <v>0</v>
      </c>
      <c r="AJ590" s="181">
        <f t="shared" si="147"/>
        <v>0</v>
      </c>
      <c r="AK590" s="246">
        <f t="shared" si="155"/>
        <v>2400000</v>
      </c>
      <c r="AL590" s="181">
        <f t="shared" si="150"/>
        <v>100</v>
      </c>
      <c r="AM590" s="243"/>
    </row>
    <row r="591" spans="1:39" ht="24.75" customHeight="1" x14ac:dyDescent="0.25">
      <c r="A591" s="243"/>
      <c r="B591" s="341"/>
      <c r="C591" s="341"/>
      <c r="D591" s="341"/>
      <c r="E591" s="341"/>
      <c r="F591" s="341"/>
      <c r="G591" s="341"/>
      <c r="H591" s="341"/>
      <c r="I591" s="342"/>
      <c r="J591" s="341" t="s">
        <v>273</v>
      </c>
      <c r="K591" s="245"/>
      <c r="L591" s="257"/>
      <c r="M591" s="591" t="s">
        <v>322</v>
      </c>
      <c r="N591" s="592"/>
      <c r="O591" s="179"/>
      <c r="P591" s="180"/>
      <c r="Q591" s="180">
        <v>22500000</v>
      </c>
      <c r="R591" s="181">
        <f t="shared" si="163"/>
        <v>5.3525132263159136</v>
      </c>
      <c r="S591" s="181">
        <v>100</v>
      </c>
      <c r="T591" s="180">
        <f t="shared" si="114"/>
        <v>0</v>
      </c>
      <c r="U591" s="180">
        <f t="shared" si="119"/>
        <v>0</v>
      </c>
      <c r="V591" s="182">
        <f t="shared" si="146"/>
        <v>100</v>
      </c>
      <c r="W591" s="180"/>
      <c r="X591" s="180"/>
      <c r="Y591" s="180"/>
      <c r="Z591" s="180"/>
      <c r="AA591" s="180"/>
      <c r="AB591" s="180"/>
      <c r="AC591" s="180"/>
      <c r="AD591" s="180"/>
      <c r="AE591" s="180"/>
      <c r="AF591" s="180"/>
      <c r="AG591" s="180"/>
      <c r="AH591" s="180"/>
      <c r="AI591" s="180">
        <v>0</v>
      </c>
      <c r="AJ591" s="181">
        <f t="shared" si="147"/>
        <v>0</v>
      </c>
      <c r="AK591" s="246">
        <f t="shared" si="155"/>
        <v>22500000</v>
      </c>
      <c r="AL591" s="181">
        <f t="shared" si="150"/>
        <v>100</v>
      </c>
      <c r="AM591" s="243"/>
    </row>
    <row r="592" spans="1:39" ht="24.75" customHeight="1" x14ac:dyDescent="0.25">
      <c r="A592" s="243"/>
      <c r="B592" s="341"/>
      <c r="C592" s="341"/>
      <c r="D592" s="341"/>
      <c r="E592" s="341"/>
      <c r="F592" s="341"/>
      <c r="G592" s="341"/>
      <c r="H592" s="341"/>
      <c r="I592" s="342"/>
      <c r="J592" s="341" t="s">
        <v>326</v>
      </c>
      <c r="K592" s="245"/>
      <c r="L592" s="257"/>
      <c r="M592" s="591" t="s">
        <v>327</v>
      </c>
      <c r="N592" s="592"/>
      <c r="O592" s="179"/>
      <c r="P592" s="180"/>
      <c r="Q592" s="180">
        <v>50250000</v>
      </c>
      <c r="R592" s="181">
        <f t="shared" si="163"/>
        <v>11.953946205438873</v>
      </c>
      <c r="S592" s="181">
        <v>100</v>
      </c>
      <c r="T592" s="180">
        <f t="shared" si="114"/>
        <v>0</v>
      </c>
      <c r="U592" s="180">
        <f t="shared" si="119"/>
        <v>0</v>
      </c>
      <c r="V592" s="182">
        <f t="shared" si="146"/>
        <v>100</v>
      </c>
      <c r="W592" s="180"/>
      <c r="X592" s="180"/>
      <c r="Y592" s="180"/>
      <c r="Z592" s="180"/>
      <c r="AA592" s="180"/>
      <c r="AB592" s="180"/>
      <c r="AC592" s="180"/>
      <c r="AD592" s="180"/>
      <c r="AE592" s="180"/>
      <c r="AF592" s="180"/>
      <c r="AG592" s="180"/>
      <c r="AH592" s="180"/>
      <c r="AI592" s="180">
        <v>0</v>
      </c>
      <c r="AJ592" s="181">
        <f t="shared" si="147"/>
        <v>0</v>
      </c>
      <c r="AK592" s="246">
        <f t="shared" si="155"/>
        <v>50250000</v>
      </c>
      <c r="AL592" s="181">
        <f t="shared" si="150"/>
        <v>100</v>
      </c>
      <c r="AM592" s="243"/>
    </row>
    <row r="593" spans="1:39" ht="24.75" customHeight="1" x14ac:dyDescent="0.25">
      <c r="A593" s="243"/>
      <c r="B593" s="341"/>
      <c r="C593" s="341"/>
      <c r="D593" s="341"/>
      <c r="E593" s="341"/>
      <c r="F593" s="341"/>
      <c r="G593" s="341"/>
      <c r="H593" s="341"/>
      <c r="I593" s="342"/>
      <c r="J593" s="341" t="s">
        <v>323</v>
      </c>
      <c r="K593" s="245"/>
      <c r="L593" s="257"/>
      <c r="M593" s="591" t="s">
        <v>324</v>
      </c>
      <c r="N593" s="592"/>
      <c r="O593" s="179"/>
      <c r="P593" s="180"/>
      <c r="Q593" s="180">
        <v>18165000</v>
      </c>
      <c r="R593" s="181">
        <f t="shared" si="163"/>
        <v>4.3212623447123812</v>
      </c>
      <c r="S593" s="181">
        <v>100</v>
      </c>
      <c r="T593" s="180">
        <f t="shared" si="114"/>
        <v>0</v>
      </c>
      <c r="U593" s="180">
        <f t="shared" si="119"/>
        <v>0</v>
      </c>
      <c r="V593" s="182">
        <f t="shared" si="146"/>
        <v>100</v>
      </c>
      <c r="W593" s="180"/>
      <c r="X593" s="180"/>
      <c r="Y593" s="180"/>
      <c r="Z593" s="180"/>
      <c r="AA593" s="180"/>
      <c r="AB593" s="180"/>
      <c r="AC593" s="180"/>
      <c r="AD593" s="180"/>
      <c r="AE593" s="180"/>
      <c r="AF593" s="180"/>
      <c r="AG593" s="180"/>
      <c r="AH593" s="180"/>
      <c r="AI593" s="180">
        <v>0</v>
      </c>
      <c r="AJ593" s="181">
        <f t="shared" si="147"/>
        <v>0</v>
      </c>
      <c r="AK593" s="246">
        <f t="shared" si="155"/>
        <v>18165000</v>
      </c>
      <c r="AL593" s="181">
        <f t="shared" si="150"/>
        <v>100</v>
      </c>
      <c r="AM593" s="243"/>
    </row>
    <row r="594" spans="1:39" ht="24.75" customHeight="1" x14ac:dyDescent="0.25">
      <c r="A594" s="243"/>
      <c r="B594" s="341"/>
      <c r="C594" s="341"/>
      <c r="D594" s="341"/>
      <c r="E594" s="341"/>
      <c r="F594" s="341"/>
      <c r="G594" s="341"/>
      <c r="H594" s="341"/>
      <c r="I594" s="342"/>
      <c r="J594" s="341" t="s">
        <v>269</v>
      </c>
      <c r="K594" s="245"/>
      <c r="L594" s="257"/>
      <c r="M594" s="591" t="s">
        <v>270</v>
      </c>
      <c r="N594" s="592"/>
      <c r="O594" s="179"/>
      <c r="P594" s="180"/>
      <c r="Q594" s="180">
        <v>7500000</v>
      </c>
      <c r="R594" s="181">
        <f t="shared" si="163"/>
        <v>1.7841710754386377</v>
      </c>
      <c r="S594" s="181">
        <v>100</v>
      </c>
      <c r="T594" s="180">
        <f t="shared" si="114"/>
        <v>0</v>
      </c>
      <c r="U594" s="180">
        <f t="shared" si="119"/>
        <v>0</v>
      </c>
      <c r="V594" s="182">
        <f t="shared" si="146"/>
        <v>100</v>
      </c>
      <c r="W594" s="180"/>
      <c r="X594" s="180"/>
      <c r="Y594" s="180"/>
      <c r="Z594" s="180"/>
      <c r="AA594" s="180"/>
      <c r="AB594" s="180"/>
      <c r="AC594" s="180"/>
      <c r="AD594" s="180"/>
      <c r="AE594" s="180"/>
      <c r="AF594" s="180"/>
      <c r="AG594" s="180"/>
      <c r="AH594" s="180"/>
      <c r="AI594" s="180">
        <v>0</v>
      </c>
      <c r="AJ594" s="181">
        <f t="shared" si="147"/>
        <v>0</v>
      </c>
      <c r="AK594" s="246">
        <f t="shared" si="155"/>
        <v>7500000</v>
      </c>
      <c r="AL594" s="181">
        <f t="shared" si="150"/>
        <v>100</v>
      </c>
      <c r="AM594" s="243"/>
    </row>
    <row r="595" spans="1:39" ht="24.75" customHeight="1" x14ac:dyDescent="0.25">
      <c r="A595" s="243"/>
      <c r="B595" s="341"/>
      <c r="C595" s="341"/>
      <c r="D595" s="341"/>
      <c r="E595" s="341"/>
      <c r="F595" s="341"/>
      <c r="G595" s="341"/>
      <c r="H595" s="341"/>
      <c r="I595" s="342"/>
      <c r="J595" s="341" t="s">
        <v>315</v>
      </c>
      <c r="K595" s="245"/>
      <c r="L595" s="257"/>
      <c r="M595" s="591" t="s">
        <v>271</v>
      </c>
      <c r="N595" s="592"/>
      <c r="O595" s="179"/>
      <c r="P595" s="180"/>
      <c r="Q595" s="180">
        <v>9928277</v>
      </c>
      <c r="R595" s="181">
        <f t="shared" si="163"/>
        <v>2.361832620312359</v>
      </c>
      <c r="S595" s="181">
        <v>100</v>
      </c>
      <c r="T595" s="180">
        <f t="shared" si="114"/>
        <v>0</v>
      </c>
      <c r="U595" s="180">
        <f t="shared" si="119"/>
        <v>0</v>
      </c>
      <c r="V595" s="182">
        <f t="shared" si="146"/>
        <v>100</v>
      </c>
      <c r="W595" s="180"/>
      <c r="X595" s="180"/>
      <c r="Y595" s="180"/>
      <c r="Z595" s="180"/>
      <c r="AA595" s="180"/>
      <c r="AB595" s="180"/>
      <c r="AC595" s="180"/>
      <c r="AD595" s="180"/>
      <c r="AE595" s="180"/>
      <c r="AF595" s="180"/>
      <c r="AG595" s="180"/>
      <c r="AH595" s="180"/>
      <c r="AI595" s="180">
        <v>0</v>
      </c>
      <c r="AJ595" s="181">
        <f t="shared" si="147"/>
        <v>0</v>
      </c>
      <c r="AK595" s="246">
        <f t="shared" si="155"/>
        <v>9928277</v>
      </c>
      <c r="AL595" s="181">
        <f t="shared" si="150"/>
        <v>100</v>
      </c>
      <c r="AM595" s="243"/>
    </row>
    <row r="596" spans="1:39" ht="24.75" customHeight="1" x14ac:dyDescent="0.25">
      <c r="A596" s="243"/>
      <c r="B596" s="341"/>
      <c r="C596" s="341"/>
      <c r="D596" s="341"/>
      <c r="E596" s="341"/>
      <c r="F596" s="341"/>
      <c r="G596" s="341"/>
      <c r="H596" s="341"/>
      <c r="I596" s="342"/>
      <c r="J596" s="341" t="s">
        <v>328</v>
      </c>
      <c r="K596" s="245"/>
      <c r="L596" s="257"/>
      <c r="M596" s="591" t="s">
        <v>329</v>
      </c>
      <c r="N596" s="592"/>
      <c r="O596" s="179"/>
      <c r="P596" s="180"/>
      <c r="Q596" s="180">
        <v>149600000</v>
      </c>
      <c r="R596" s="181">
        <f t="shared" si="163"/>
        <v>35.588265718082695</v>
      </c>
      <c r="S596" s="181">
        <v>100</v>
      </c>
      <c r="T596" s="180">
        <f t="shared" si="114"/>
        <v>0</v>
      </c>
      <c r="U596" s="180">
        <f t="shared" si="119"/>
        <v>0</v>
      </c>
      <c r="V596" s="182">
        <f t="shared" si="146"/>
        <v>100</v>
      </c>
      <c r="W596" s="180"/>
      <c r="X596" s="180"/>
      <c r="Y596" s="180"/>
      <c r="Z596" s="180"/>
      <c r="AA596" s="180"/>
      <c r="AB596" s="180"/>
      <c r="AC596" s="180"/>
      <c r="AD596" s="180"/>
      <c r="AE596" s="180"/>
      <c r="AF596" s="180"/>
      <c r="AG596" s="180"/>
      <c r="AH596" s="180"/>
      <c r="AI596" s="180">
        <v>0</v>
      </c>
      <c r="AJ596" s="181">
        <f t="shared" si="147"/>
        <v>0</v>
      </c>
      <c r="AK596" s="246">
        <f t="shared" si="155"/>
        <v>149600000</v>
      </c>
      <c r="AL596" s="181">
        <f t="shared" si="150"/>
        <v>100</v>
      </c>
      <c r="AM596" s="243"/>
    </row>
    <row r="597" spans="1:39" ht="24.75" customHeight="1" x14ac:dyDescent="0.25">
      <c r="A597" s="243"/>
      <c r="B597" s="341"/>
      <c r="C597" s="341"/>
      <c r="D597" s="341"/>
      <c r="E597" s="341"/>
      <c r="F597" s="341"/>
      <c r="G597" s="341"/>
      <c r="H597" s="341"/>
      <c r="I597" s="342"/>
      <c r="J597" s="341" t="s">
        <v>280</v>
      </c>
      <c r="K597" s="245"/>
      <c r="L597" s="257"/>
      <c r="M597" s="591" t="s">
        <v>281</v>
      </c>
      <c r="N597" s="592"/>
      <c r="O597" s="179"/>
      <c r="P597" s="180"/>
      <c r="Q597" s="180">
        <v>22500000</v>
      </c>
      <c r="R597" s="181">
        <f t="shared" si="163"/>
        <v>5.3525132263159136</v>
      </c>
      <c r="S597" s="181">
        <v>100</v>
      </c>
      <c r="T597" s="180">
        <f t="shared" si="114"/>
        <v>0</v>
      </c>
      <c r="U597" s="180">
        <f t="shared" si="119"/>
        <v>0</v>
      </c>
      <c r="V597" s="182">
        <f t="shared" si="146"/>
        <v>100</v>
      </c>
      <c r="W597" s="180"/>
      <c r="X597" s="180"/>
      <c r="Y597" s="180"/>
      <c r="Z597" s="180"/>
      <c r="AA597" s="180"/>
      <c r="AB597" s="180"/>
      <c r="AC597" s="180"/>
      <c r="AD597" s="180"/>
      <c r="AE597" s="180"/>
      <c r="AF597" s="180"/>
      <c r="AG597" s="180"/>
      <c r="AH597" s="180"/>
      <c r="AI597" s="180">
        <v>0</v>
      </c>
      <c r="AJ597" s="181">
        <f t="shared" si="147"/>
        <v>0</v>
      </c>
      <c r="AK597" s="246">
        <f t="shared" si="155"/>
        <v>22500000</v>
      </c>
      <c r="AL597" s="181">
        <f t="shared" si="150"/>
        <v>100</v>
      </c>
      <c r="AM597" s="243"/>
    </row>
    <row r="598" spans="1:39" ht="24.75" customHeight="1" x14ac:dyDescent="0.25">
      <c r="A598" s="243"/>
      <c r="B598" s="341"/>
      <c r="C598" s="341"/>
      <c r="D598" s="341"/>
      <c r="E598" s="341"/>
      <c r="F598" s="341"/>
      <c r="G598" s="341"/>
      <c r="H598" s="341"/>
      <c r="I598" s="342"/>
      <c r="J598" s="341" t="s">
        <v>284</v>
      </c>
      <c r="K598" s="245"/>
      <c r="L598" s="257"/>
      <c r="M598" s="591" t="s">
        <v>285</v>
      </c>
      <c r="N598" s="592"/>
      <c r="O598" s="179"/>
      <c r="P598" s="180"/>
      <c r="Q598" s="180">
        <v>22520000</v>
      </c>
      <c r="R598" s="181">
        <f t="shared" si="163"/>
        <v>5.357271015850416</v>
      </c>
      <c r="S598" s="181">
        <v>100</v>
      </c>
      <c r="T598" s="180">
        <f t="shared" si="114"/>
        <v>0</v>
      </c>
      <c r="U598" s="180">
        <f t="shared" si="119"/>
        <v>0</v>
      </c>
      <c r="V598" s="182">
        <f t="shared" si="146"/>
        <v>100</v>
      </c>
      <c r="W598" s="180"/>
      <c r="X598" s="180"/>
      <c r="Y598" s="180"/>
      <c r="Z598" s="180"/>
      <c r="AA598" s="180"/>
      <c r="AB598" s="180"/>
      <c r="AC598" s="180"/>
      <c r="AD598" s="180"/>
      <c r="AE598" s="180"/>
      <c r="AF598" s="180"/>
      <c r="AG598" s="180"/>
      <c r="AH598" s="180"/>
      <c r="AI598" s="180">
        <v>0</v>
      </c>
      <c r="AJ598" s="181">
        <f t="shared" si="147"/>
        <v>0</v>
      </c>
      <c r="AK598" s="246">
        <f t="shared" si="155"/>
        <v>22520000</v>
      </c>
      <c r="AL598" s="181">
        <f t="shared" si="150"/>
        <v>100</v>
      </c>
      <c r="AM598" s="243"/>
    </row>
    <row r="599" spans="1:39" ht="24.75" customHeight="1" x14ac:dyDescent="0.25">
      <c r="A599" s="243"/>
      <c r="B599" s="341"/>
      <c r="C599" s="341"/>
      <c r="D599" s="341"/>
      <c r="E599" s="341"/>
      <c r="F599" s="341"/>
      <c r="G599" s="341"/>
      <c r="H599" s="341"/>
      <c r="I599" s="342"/>
      <c r="J599" s="341" t="s">
        <v>282</v>
      </c>
      <c r="K599" s="245"/>
      <c r="L599" s="257"/>
      <c r="M599" s="591" t="s">
        <v>283</v>
      </c>
      <c r="N599" s="592"/>
      <c r="O599" s="179"/>
      <c r="P599" s="180"/>
      <c r="Q599" s="180">
        <v>19800000</v>
      </c>
      <c r="R599" s="181">
        <f t="shared" si="163"/>
        <v>4.710211639158004</v>
      </c>
      <c r="S599" s="181">
        <v>100</v>
      </c>
      <c r="T599" s="180">
        <f t="shared" si="114"/>
        <v>0</v>
      </c>
      <c r="U599" s="180">
        <f t="shared" si="119"/>
        <v>0</v>
      </c>
      <c r="V599" s="182">
        <f t="shared" si="146"/>
        <v>100</v>
      </c>
      <c r="W599" s="180"/>
      <c r="X599" s="180"/>
      <c r="Y599" s="180"/>
      <c r="Z599" s="180"/>
      <c r="AA599" s="180"/>
      <c r="AB599" s="180"/>
      <c r="AC599" s="180"/>
      <c r="AD599" s="180"/>
      <c r="AE599" s="180"/>
      <c r="AF599" s="180"/>
      <c r="AG599" s="180"/>
      <c r="AH599" s="180"/>
      <c r="AI599" s="180">
        <v>0</v>
      </c>
      <c r="AJ599" s="181">
        <f t="shared" si="147"/>
        <v>0</v>
      </c>
      <c r="AK599" s="246">
        <f t="shared" si="155"/>
        <v>19800000</v>
      </c>
      <c r="AL599" s="181">
        <f t="shared" si="150"/>
        <v>100</v>
      </c>
      <c r="AM599" s="243"/>
    </row>
    <row r="600" spans="1:39" ht="24.75" customHeight="1" x14ac:dyDescent="0.25">
      <c r="A600" s="243"/>
      <c r="B600" s="341"/>
      <c r="C600" s="341"/>
      <c r="D600" s="341"/>
      <c r="E600" s="341"/>
      <c r="F600" s="341"/>
      <c r="G600" s="341"/>
      <c r="H600" s="341"/>
      <c r="I600" s="342"/>
      <c r="J600" s="341" t="s">
        <v>320</v>
      </c>
      <c r="K600" s="245"/>
      <c r="L600" s="257"/>
      <c r="M600" s="591" t="s">
        <v>321</v>
      </c>
      <c r="N600" s="592"/>
      <c r="O600" s="179"/>
      <c r="P600" s="180"/>
      <c r="Q600" s="180">
        <v>10800000</v>
      </c>
      <c r="R600" s="181">
        <f t="shared" si="163"/>
        <v>2.5692063486316385</v>
      </c>
      <c r="S600" s="181">
        <v>100</v>
      </c>
      <c r="T600" s="180">
        <f t="shared" si="114"/>
        <v>0</v>
      </c>
      <c r="U600" s="180">
        <f t="shared" si="119"/>
        <v>0</v>
      </c>
      <c r="V600" s="182">
        <f t="shared" si="146"/>
        <v>100</v>
      </c>
      <c r="W600" s="180"/>
      <c r="X600" s="180"/>
      <c r="Y600" s="180"/>
      <c r="Z600" s="180"/>
      <c r="AA600" s="180"/>
      <c r="AB600" s="180"/>
      <c r="AC600" s="180"/>
      <c r="AD600" s="180"/>
      <c r="AE600" s="180"/>
      <c r="AF600" s="180"/>
      <c r="AG600" s="180"/>
      <c r="AH600" s="180"/>
      <c r="AI600" s="180">
        <v>0</v>
      </c>
      <c r="AJ600" s="181">
        <f t="shared" si="147"/>
        <v>0</v>
      </c>
      <c r="AK600" s="246">
        <f t="shared" si="155"/>
        <v>10800000</v>
      </c>
      <c r="AL600" s="181">
        <f t="shared" si="150"/>
        <v>100</v>
      </c>
      <c r="AM600" s="243"/>
    </row>
    <row r="601" spans="1:39" ht="24.75" customHeight="1" x14ac:dyDescent="0.25">
      <c r="A601" s="243"/>
      <c r="B601" s="341"/>
      <c r="C601" s="341"/>
      <c r="D601" s="341"/>
      <c r="E601" s="341"/>
      <c r="F601" s="341"/>
      <c r="G601" s="341"/>
      <c r="H601" s="341"/>
      <c r="I601" s="342"/>
      <c r="J601" s="341" t="s">
        <v>309</v>
      </c>
      <c r="K601" s="245"/>
      <c r="L601" s="257"/>
      <c r="M601" s="591" t="s">
        <v>310</v>
      </c>
      <c r="N601" s="592"/>
      <c r="O601" s="179"/>
      <c r="P601" s="180"/>
      <c r="Q601" s="180">
        <v>75000000</v>
      </c>
      <c r="R601" s="181">
        <f t="shared" si="163"/>
        <v>17.841710754386376</v>
      </c>
      <c r="S601" s="181">
        <v>100</v>
      </c>
      <c r="T601" s="180">
        <f t="shared" si="114"/>
        <v>0</v>
      </c>
      <c r="U601" s="180">
        <f t="shared" si="119"/>
        <v>0</v>
      </c>
      <c r="V601" s="182">
        <f t="shared" si="146"/>
        <v>100</v>
      </c>
      <c r="W601" s="180"/>
      <c r="X601" s="180"/>
      <c r="Y601" s="180"/>
      <c r="Z601" s="180"/>
      <c r="AA601" s="180"/>
      <c r="AB601" s="180"/>
      <c r="AC601" s="180"/>
      <c r="AD601" s="180"/>
      <c r="AE601" s="180"/>
      <c r="AF601" s="180"/>
      <c r="AG601" s="180"/>
      <c r="AH601" s="180"/>
      <c r="AI601" s="180">
        <v>0</v>
      </c>
      <c r="AJ601" s="181">
        <f t="shared" ref="AJ601:AJ679" si="164">AI601/Q601*100</f>
        <v>0</v>
      </c>
      <c r="AK601" s="246">
        <f t="shared" si="155"/>
        <v>75000000</v>
      </c>
      <c r="AL601" s="181">
        <f t="shared" si="150"/>
        <v>100</v>
      </c>
      <c r="AM601" s="243"/>
    </row>
    <row r="602" spans="1:39" ht="24.75" customHeight="1" x14ac:dyDescent="0.25">
      <c r="A602" s="243"/>
      <c r="B602" s="341"/>
      <c r="C602" s="341"/>
      <c r="D602" s="341"/>
      <c r="E602" s="341"/>
      <c r="F602" s="341"/>
      <c r="G602" s="341"/>
      <c r="H602" s="341"/>
      <c r="I602" s="342"/>
      <c r="J602" s="341" t="s">
        <v>407</v>
      </c>
      <c r="K602" s="245"/>
      <c r="L602" s="257"/>
      <c r="M602" s="591" t="s">
        <v>607</v>
      </c>
      <c r="N602" s="592"/>
      <c r="O602" s="179"/>
      <c r="P602" s="180"/>
      <c r="Q602" s="180">
        <v>9400000</v>
      </c>
      <c r="R602" s="181">
        <f t="shared" si="163"/>
        <v>2.2361610812164261</v>
      </c>
      <c r="S602" s="181">
        <v>100</v>
      </c>
      <c r="T602" s="180">
        <f t="shared" si="114"/>
        <v>0</v>
      </c>
      <c r="U602" s="180">
        <f t="shared" si="119"/>
        <v>0</v>
      </c>
      <c r="V602" s="182">
        <f t="shared" si="146"/>
        <v>100</v>
      </c>
      <c r="W602" s="180"/>
      <c r="X602" s="180"/>
      <c r="Y602" s="180"/>
      <c r="Z602" s="180"/>
      <c r="AA602" s="180"/>
      <c r="AB602" s="180"/>
      <c r="AC602" s="180"/>
      <c r="AD602" s="180"/>
      <c r="AE602" s="180"/>
      <c r="AF602" s="180"/>
      <c r="AG602" s="180"/>
      <c r="AH602" s="180"/>
      <c r="AI602" s="180">
        <v>0</v>
      </c>
      <c r="AJ602" s="181">
        <f t="shared" si="164"/>
        <v>0</v>
      </c>
      <c r="AK602" s="246">
        <f t="shared" si="155"/>
        <v>9400000</v>
      </c>
      <c r="AL602" s="181">
        <f t="shared" si="150"/>
        <v>100</v>
      </c>
      <c r="AM602" s="243"/>
    </row>
    <row r="603" spans="1:39" s="297" customFormat="1" ht="31.5" customHeight="1" x14ac:dyDescent="0.25">
      <c r="A603" s="227">
        <f>SUM(A589+1)</f>
        <v>73</v>
      </c>
      <c r="B603" s="346"/>
      <c r="C603" s="346"/>
      <c r="D603" s="346"/>
      <c r="E603" s="346"/>
      <c r="F603" s="346"/>
      <c r="G603" s="346"/>
      <c r="H603" s="346"/>
      <c r="I603" s="345"/>
      <c r="J603" s="304" t="s">
        <v>526</v>
      </c>
      <c r="K603" s="230"/>
      <c r="L603" s="294"/>
      <c r="M603" s="610" t="s">
        <v>206</v>
      </c>
      <c r="N603" s="612"/>
      <c r="O603" s="309"/>
      <c r="P603" s="231"/>
      <c r="Q603" s="231">
        <f>SUM(Q604:Q612)</f>
        <v>252438140</v>
      </c>
      <c r="R603" s="233">
        <f>Q603/Q$243*100</f>
        <v>2.1163768108019392</v>
      </c>
      <c r="S603" s="233">
        <v>100</v>
      </c>
      <c r="T603" s="231">
        <f t="shared" si="114"/>
        <v>0</v>
      </c>
      <c r="U603" s="231">
        <f t="shared" si="119"/>
        <v>0</v>
      </c>
      <c r="V603" s="296">
        <f t="shared" si="146"/>
        <v>100</v>
      </c>
      <c r="W603" s="231"/>
      <c r="X603" s="231"/>
      <c r="Y603" s="231"/>
      <c r="Z603" s="231"/>
      <c r="AA603" s="231"/>
      <c r="AB603" s="231"/>
      <c r="AC603" s="231"/>
      <c r="AD603" s="231"/>
      <c r="AE603" s="231"/>
      <c r="AF603" s="231"/>
      <c r="AG603" s="231"/>
      <c r="AH603" s="231"/>
      <c r="AI603" s="231">
        <f>SUM(AI604:AI612)</f>
        <v>0</v>
      </c>
      <c r="AJ603" s="233">
        <f t="shared" si="164"/>
        <v>0</v>
      </c>
      <c r="AK603" s="234">
        <f t="shared" si="155"/>
        <v>252438140</v>
      </c>
      <c r="AL603" s="233">
        <f t="shared" si="150"/>
        <v>100</v>
      </c>
      <c r="AM603" s="227"/>
    </row>
    <row r="604" spans="1:39" ht="31.5" customHeight="1" x14ac:dyDescent="0.25">
      <c r="A604" s="243"/>
      <c r="B604" s="341"/>
      <c r="C604" s="341"/>
      <c r="D604" s="341"/>
      <c r="E604" s="341"/>
      <c r="F604" s="341"/>
      <c r="G604" s="341"/>
      <c r="H604" s="341"/>
      <c r="I604" s="342"/>
      <c r="J604" s="341" t="s">
        <v>257</v>
      </c>
      <c r="K604" s="245"/>
      <c r="L604" s="257"/>
      <c r="M604" s="591" t="s">
        <v>260</v>
      </c>
      <c r="N604" s="592"/>
      <c r="O604" s="179"/>
      <c r="P604" s="180"/>
      <c r="Q604" s="180">
        <v>2300000</v>
      </c>
      <c r="R604" s="181">
        <f>Q604/Q$603*100</f>
        <v>0.91111430309223485</v>
      </c>
      <c r="S604" s="181">
        <v>100</v>
      </c>
      <c r="T604" s="180">
        <f t="shared" si="114"/>
        <v>0</v>
      </c>
      <c r="U604" s="180">
        <f t="shared" si="119"/>
        <v>0</v>
      </c>
      <c r="V604" s="182">
        <f t="shared" si="146"/>
        <v>100</v>
      </c>
      <c r="W604" s="180"/>
      <c r="X604" s="180"/>
      <c r="Y604" s="180"/>
      <c r="Z604" s="180"/>
      <c r="AA604" s="180"/>
      <c r="AB604" s="180"/>
      <c r="AC604" s="180"/>
      <c r="AD604" s="180"/>
      <c r="AE604" s="180"/>
      <c r="AF604" s="180"/>
      <c r="AG604" s="180"/>
      <c r="AH604" s="180"/>
      <c r="AI604" s="180">
        <v>0</v>
      </c>
      <c r="AJ604" s="181">
        <f t="shared" si="164"/>
        <v>0</v>
      </c>
      <c r="AK604" s="246">
        <f t="shared" si="155"/>
        <v>2300000</v>
      </c>
      <c r="AL604" s="181">
        <f t="shared" si="150"/>
        <v>100</v>
      </c>
      <c r="AM604" s="243"/>
    </row>
    <row r="605" spans="1:39" ht="31.5" customHeight="1" x14ac:dyDescent="0.25">
      <c r="A605" s="243"/>
      <c r="B605" s="341"/>
      <c r="C605" s="341"/>
      <c r="D605" s="341"/>
      <c r="E605" s="341"/>
      <c r="F605" s="341"/>
      <c r="G605" s="341"/>
      <c r="H605" s="341"/>
      <c r="I605" s="342"/>
      <c r="J605" s="341" t="s">
        <v>273</v>
      </c>
      <c r="K605" s="245"/>
      <c r="L605" s="257"/>
      <c r="M605" s="591" t="s">
        <v>322</v>
      </c>
      <c r="N605" s="592"/>
      <c r="O605" s="179"/>
      <c r="P605" s="180"/>
      <c r="Q605" s="180">
        <v>20400000</v>
      </c>
      <c r="R605" s="181">
        <f t="shared" ref="R605:R611" si="165">Q605/Q$603*100</f>
        <v>8.0811877317746035</v>
      </c>
      <c r="S605" s="181">
        <v>100</v>
      </c>
      <c r="T605" s="180">
        <f t="shared" si="114"/>
        <v>0</v>
      </c>
      <c r="U605" s="180">
        <f t="shared" si="119"/>
        <v>0</v>
      </c>
      <c r="V605" s="182">
        <f t="shared" si="146"/>
        <v>100</v>
      </c>
      <c r="W605" s="180"/>
      <c r="X605" s="180"/>
      <c r="Y605" s="180"/>
      <c r="Z605" s="180"/>
      <c r="AA605" s="180"/>
      <c r="AB605" s="180"/>
      <c r="AC605" s="180"/>
      <c r="AD605" s="180"/>
      <c r="AE605" s="180"/>
      <c r="AF605" s="180"/>
      <c r="AG605" s="180"/>
      <c r="AH605" s="180"/>
      <c r="AI605" s="180">
        <v>0</v>
      </c>
      <c r="AJ605" s="181">
        <f t="shared" si="164"/>
        <v>0</v>
      </c>
      <c r="AK605" s="246">
        <f t="shared" si="155"/>
        <v>20400000</v>
      </c>
      <c r="AL605" s="181">
        <f t="shared" si="150"/>
        <v>100</v>
      </c>
      <c r="AM605" s="243"/>
    </row>
    <row r="606" spans="1:39" ht="31.5" customHeight="1" x14ac:dyDescent="0.25">
      <c r="A606" s="243"/>
      <c r="B606" s="341"/>
      <c r="C606" s="341"/>
      <c r="D606" s="341"/>
      <c r="E606" s="341"/>
      <c r="F606" s="341"/>
      <c r="G606" s="341"/>
      <c r="H606" s="341"/>
      <c r="I606" s="342"/>
      <c r="J606" s="341" t="s">
        <v>323</v>
      </c>
      <c r="K606" s="245"/>
      <c r="L606" s="257"/>
      <c r="M606" s="591" t="s">
        <v>324</v>
      </c>
      <c r="N606" s="592"/>
      <c r="O606" s="179"/>
      <c r="P606" s="180"/>
      <c r="Q606" s="180">
        <v>33513000</v>
      </c>
      <c r="R606" s="181">
        <f t="shared" si="165"/>
        <v>13.275727669360899</v>
      </c>
      <c r="S606" s="181">
        <v>100</v>
      </c>
      <c r="T606" s="180">
        <f t="shared" si="114"/>
        <v>0</v>
      </c>
      <c r="U606" s="180">
        <f t="shared" si="119"/>
        <v>0</v>
      </c>
      <c r="V606" s="182">
        <f t="shared" si="146"/>
        <v>100</v>
      </c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  <c r="AG606" s="180"/>
      <c r="AH606" s="180"/>
      <c r="AI606" s="180">
        <v>0</v>
      </c>
      <c r="AJ606" s="181">
        <f t="shared" si="164"/>
        <v>0</v>
      </c>
      <c r="AK606" s="246">
        <f t="shared" si="155"/>
        <v>33513000</v>
      </c>
      <c r="AL606" s="181">
        <f t="shared" si="150"/>
        <v>100</v>
      </c>
      <c r="AM606" s="243"/>
    </row>
    <row r="607" spans="1:39" ht="31.5" customHeight="1" x14ac:dyDescent="0.25">
      <c r="A607" s="243"/>
      <c r="B607" s="341"/>
      <c r="C607" s="341"/>
      <c r="D607" s="341"/>
      <c r="E607" s="341"/>
      <c r="F607" s="341"/>
      <c r="G607" s="341"/>
      <c r="H607" s="341"/>
      <c r="I607" s="342"/>
      <c r="J607" s="341" t="s">
        <v>269</v>
      </c>
      <c r="K607" s="245"/>
      <c r="L607" s="257"/>
      <c r="M607" s="591" t="s">
        <v>270</v>
      </c>
      <c r="N607" s="592"/>
      <c r="O607" s="179"/>
      <c r="P607" s="180"/>
      <c r="Q607" s="180">
        <v>24000000</v>
      </c>
      <c r="R607" s="181">
        <f t="shared" si="165"/>
        <v>9.5072796844407108</v>
      </c>
      <c r="S607" s="181">
        <v>100</v>
      </c>
      <c r="T607" s="180">
        <f t="shared" si="114"/>
        <v>0</v>
      </c>
      <c r="U607" s="180">
        <f t="shared" si="119"/>
        <v>0</v>
      </c>
      <c r="V607" s="182">
        <f t="shared" si="146"/>
        <v>100</v>
      </c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  <c r="AG607" s="180"/>
      <c r="AH607" s="180"/>
      <c r="AI607" s="180">
        <v>0</v>
      </c>
      <c r="AJ607" s="181">
        <f t="shared" si="164"/>
        <v>0</v>
      </c>
      <c r="AK607" s="246">
        <f t="shared" si="155"/>
        <v>24000000</v>
      </c>
      <c r="AL607" s="181">
        <f t="shared" si="150"/>
        <v>100</v>
      </c>
      <c r="AM607" s="243"/>
    </row>
    <row r="608" spans="1:39" ht="31.5" customHeight="1" x14ac:dyDescent="0.25">
      <c r="A608" s="243"/>
      <c r="B608" s="341"/>
      <c r="C608" s="341"/>
      <c r="D608" s="341"/>
      <c r="E608" s="341"/>
      <c r="F608" s="341"/>
      <c r="G608" s="341"/>
      <c r="H608" s="341"/>
      <c r="I608" s="342"/>
      <c r="J608" s="341" t="s">
        <v>315</v>
      </c>
      <c r="K608" s="245"/>
      <c r="L608" s="257"/>
      <c r="M608" s="591" t="s">
        <v>271</v>
      </c>
      <c r="N608" s="592"/>
      <c r="O608" s="179"/>
      <c r="P608" s="180"/>
      <c r="Q608" s="180">
        <v>1965000</v>
      </c>
      <c r="R608" s="181">
        <f t="shared" si="165"/>
        <v>0.77840852416358319</v>
      </c>
      <c r="S608" s="181">
        <v>100</v>
      </c>
      <c r="T608" s="180">
        <f t="shared" si="114"/>
        <v>0</v>
      </c>
      <c r="U608" s="180">
        <f t="shared" si="119"/>
        <v>0</v>
      </c>
      <c r="V608" s="182">
        <f t="shared" si="146"/>
        <v>100</v>
      </c>
      <c r="W608" s="180"/>
      <c r="X608" s="180"/>
      <c r="Y608" s="180"/>
      <c r="Z608" s="180"/>
      <c r="AA608" s="180"/>
      <c r="AB608" s="180"/>
      <c r="AC608" s="180"/>
      <c r="AD608" s="180"/>
      <c r="AE608" s="180"/>
      <c r="AF608" s="180"/>
      <c r="AG608" s="180"/>
      <c r="AH608" s="180"/>
      <c r="AI608" s="180">
        <v>0</v>
      </c>
      <c r="AJ608" s="181">
        <f t="shared" si="164"/>
        <v>0</v>
      </c>
      <c r="AK608" s="246">
        <f t="shared" si="155"/>
        <v>1965000</v>
      </c>
      <c r="AL608" s="181">
        <f t="shared" si="150"/>
        <v>100</v>
      </c>
      <c r="AM608" s="243"/>
    </row>
    <row r="609" spans="1:39" ht="31.5" customHeight="1" x14ac:dyDescent="0.25">
      <c r="A609" s="243"/>
      <c r="B609" s="341"/>
      <c r="C609" s="341"/>
      <c r="D609" s="341"/>
      <c r="E609" s="341"/>
      <c r="F609" s="341"/>
      <c r="G609" s="341"/>
      <c r="H609" s="341"/>
      <c r="I609" s="342"/>
      <c r="J609" s="341" t="s">
        <v>328</v>
      </c>
      <c r="K609" s="245"/>
      <c r="L609" s="257"/>
      <c r="M609" s="591" t="s">
        <v>329</v>
      </c>
      <c r="N609" s="592"/>
      <c r="O609" s="179"/>
      <c r="P609" s="180"/>
      <c r="Q609" s="180">
        <v>107000000</v>
      </c>
      <c r="R609" s="181">
        <f t="shared" si="165"/>
        <v>42.386621926464834</v>
      </c>
      <c r="S609" s="181">
        <v>100</v>
      </c>
      <c r="T609" s="180">
        <f t="shared" si="114"/>
        <v>0</v>
      </c>
      <c r="U609" s="180">
        <f t="shared" si="119"/>
        <v>0</v>
      </c>
      <c r="V609" s="182">
        <f t="shared" si="146"/>
        <v>100</v>
      </c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  <c r="AG609" s="180"/>
      <c r="AH609" s="180"/>
      <c r="AI609" s="180">
        <v>0</v>
      </c>
      <c r="AJ609" s="181">
        <f t="shared" si="164"/>
        <v>0</v>
      </c>
      <c r="AK609" s="246">
        <f t="shared" si="155"/>
        <v>107000000</v>
      </c>
      <c r="AL609" s="181">
        <f t="shared" si="150"/>
        <v>100</v>
      </c>
      <c r="AM609" s="243"/>
    </row>
    <row r="610" spans="1:39" ht="31.5" customHeight="1" x14ac:dyDescent="0.25">
      <c r="A610" s="243"/>
      <c r="B610" s="341"/>
      <c r="C610" s="341"/>
      <c r="D610" s="341"/>
      <c r="E610" s="341"/>
      <c r="F610" s="341"/>
      <c r="G610" s="341"/>
      <c r="H610" s="341"/>
      <c r="I610" s="342"/>
      <c r="J610" s="341" t="s">
        <v>339</v>
      </c>
      <c r="K610" s="245"/>
      <c r="L610" s="257"/>
      <c r="M610" s="591" t="s">
        <v>340</v>
      </c>
      <c r="N610" s="592"/>
      <c r="O610" s="179"/>
      <c r="P610" s="180"/>
      <c r="Q610" s="180">
        <v>37200000</v>
      </c>
      <c r="R610" s="181">
        <f t="shared" si="165"/>
        <v>14.736283510883103</v>
      </c>
      <c r="S610" s="181">
        <v>100</v>
      </c>
      <c r="T610" s="180">
        <f t="shared" si="114"/>
        <v>0</v>
      </c>
      <c r="U610" s="180">
        <f t="shared" si="119"/>
        <v>0</v>
      </c>
      <c r="V610" s="182">
        <f t="shared" si="146"/>
        <v>100</v>
      </c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  <c r="AG610" s="180"/>
      <c r="AH610" s="180"/>
      <c r="AI610" s="180">
        <v>0</v>
      </c>
      <c r="AJ610" s="181">
        <f t="shared" si="164"/>
        <v>0</v>
      </c>
      <c r="AK610" s="246">
        <f t="shared" si="155"/>
        <v>37200000</v>
      </c>
      <c r="AL610" s="181">
        <f t="shared" si="150"/>
        <v>100</v>
      </c>
      <c r="AM610" s="243"/>
    </row>
    <row r="611" spans="1:39" ht="31.5" customHeight="1" x14ac:dyDescent="0.25">
      <c r="A611" s="243"/>
      <c r="B611" s="341"/>
      <c r="C611" s="341"/>
      <c r="D611" s="341"/>
      <c r="E611" s="341"/>
      <c r="F611" s="341"/>
      <c r="G611" s="341"/>
      <c r="H611" s="341"/>
      <c r="I611" s="342"/>
      <c r="J611" s="341" t="s">
        <v>284</v>
      </c>
      <c r="K611" s="245"/>
      <c r="L611" s="257"/>
      <c r="M611" s="591" t="s">
        <v>285</v>
      </c>
      <c r="N611" s="592"/>
      <c r="O611" s="179"/>
      <c r="P611" s="180"/>
      <c r="Q611" s="180">
        <v>7560000</v>
      </c>
      <c r="R611" s="181">
        <f t="shared" si="165"/>
        <v>2.994793100598824</v>
      </c>
      <c r="S611" s="181">
        <v>100</v>
      </c>
      <c r="T611" s="180">
        <f t="shared" si="114"/>
        <v>0</v>
      </c>
      <c r="U611" s="180">
        <f t="shared" si="119"/>
        <v>0</v>
      </c>
      <c r="V611" s="182">
        <f t="shared" si="146"/>
        <v>100</v>
      </c>
      <c r="W611" s="180"/>
      <c r="X611" s="180"/>
      <c r="Y611" s="180"/>
      <c r="Z611" s="180"/>
      <c r="AA611" s="180"/>
      <c r="AB611" s="180"/>
      <c r="AC611" s="180"/>
      <c r="AD611" s="180"/>
      <c r="AE611" s="180"/>
      <c r="AF611" s="180"/>
      <c r="AG611" s="180"/>
      <c r="AH611" s="180"/>
      <c r="AI611" s="180">
        <v>0</v>
      </c>
      <c r="AJ611" s="181">
        <f t="shared" si="164"/>
        <v>0</v>
      </c>
      <c r="AK611" s="246">
        <f t="shared" si="155"/>
        <v>7560000</v>
      </c>
      <c r="AL611" s="181">
        <f t="shared" si="150"/>
        <v>100</v>
      </c>
      <c r="AM611" s="243"/>
    </row>
    <row r="612" spans="1:39" ht="31.5" customHeight="1" x14ac:dyDescent="0.25">
      <c r="A612" s="243"/>
      <c r="B612" s="341"/>
      <c r="C612" s="341"/>
      <c r="D612" s="341"/>
      <c r="E612" s="341"/>
      <c r="F612" s="341"/>
      <c r="G612" s="341"/>
      <c r="H612" s="341"/>
      <c r="I612" s="342"/>
      <c r="J612" s="341" t="s">
        <v>282</v>
      </c>
      <c r="K612" s="245"/>
      <c r="L612" s="257"/>
      <c r="M612" s="591" t="s">
        <v>283</v>
      </c>
      <c r="N612" s="592"/>
      <c r="O612" s="179"/>
      <c r="P612" s="180"/>
      <c r="Q612" s="180">
        <v>18500140</v>
      </c>
      <c r="R612" s="181">
        <f>Q612/Q$603*100</f>
        <v>7.3285835492212072</v>
      </c>
      <c r="S612" s="181">
        <v>100</v>
      </c>
      <c r="T612" s="180">
        <f t="shared" si="114"/>
        <v>0</v>
      </c>
      <c r="U612" s="180">
        <f t="shared" si="119"/>
        <v>0</v>
      </c>
      <c r="V612" s="182">
        <f t="shared" si="146"/>
        <v>100</v>
      </c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  <c r="AG612" s="180"/>
      <c r="AH612" s="180"/>
      <c r="AI612" s="180">
        <v>0</v>
      </c>
      <c r="AJ612" s="181">
        <f t="shared" si="164"/>
        <v>0</v>
      </c>
      <c r="AK612" s="246">
        <f t="shared" si="155"/>
        <v>18500140</v>
      </c>
      <c r="AL612" s="181">
        <f t="shared" ref="AL612:AL682" si="166">AK612/Q612*100</f>
        <v>100</v>
      </c>
      <c r="AM612" s="243"/>
    </row>
    <row r="613" spans="1:39" s="297" customFormat="1" ht="28.5" customHeight="1" x14ac:dyDescent="0.25">
      <c r="A613" s="227">
        <f>SUM(A603+1)</f>
        <v>74</v>
      </c>
      <c r="B613" s="346"/>
      <c r="C613" s="346"/>
      <c r="D613" s="346"/>
      <c r="E613" s="346"/>
      <c r="F613" s="346"/>
      <c r="G613" s="346"/>
      <c r="H613" s="346"/>
      <c r="I613" s="345"/>
      <c r="J613" s="304" t="s">
        <v>527</v>
      </c>
      <c r="K613" s="230"/>
      <c r="L613" s="294"/>
      <c r="M613" s="609" t="s">
        <v>207</v>
      </c>
      <c r="N613" s="614"/>
      <c r="O613" s="309"/>
      <c r="P613" s="231"/>
      <c r="Q613" s="231">
        <f>SUM(Q614:Q621)</f>
        <v>195716927</v>
      </c>
      <c r="R613" s="233">
        <f>Q613/Q$603*100</f>
        <v>77.530648498677735</v>
      </c>
      <c r="S613" s="233">
        <v>100</v>
      </c>
      <c r="T613" s="231">
        <f t="shared" si="114"/>
        <v>0</v>
      </c>
      <c r="U613" s="231">
        <f t="shared" si="119"/>
        <v>0</v>
      </c>
      <c r="V613" s="296">
        <f t="shared" si="146"/>
        <v>100</v>
      </c>
      <c r="W613" s="231"/>
      <c r="X613" s="231"/>
      <c r="Y613" s="231"/>
      <c r="Z613" s="231"/>
      <c r="AA613" s="231"/>
      <c r="AB613" s="231"/>
      <c r="AC613" s="231"/>
      <c r="AD613" s="231"/>
      <c r="AE613" s="231"/>
      <c r="AF613" s="231"/>
      <c r="AG613" s="231"/>
      <c r="AH613" s="231"/>
      <c r="AI613" s="231">
        <f>SUM(AI614:AI621)</f>
        <v>0</v>
      </c>
      <c r="AJ613" s="233">
        <f t="shared" si="164"/>
        <v>0</v>
      </c>
      <c r="AK613" s="234">
        <f t="shared" si="155"/>
        <v>195716927</v>
      </c>
      <c r="AL613" s="233">
        <f t="shared" si="166"/>
        <v>100</v>
      </c>
      <c r="AM613" s="227"/>
    </row>
    <row r="614" spans="1:39" ht="28.5" customHeight="1" x14ac:dyDescent="0.25">
      <c r="A614" s="243"/>
      <c r="B614" s="341"/>
      <c r="C614" s="341"/>
      <c r="D614" s="341"/>
      <c r="E614" s="341"/>
      <c r="F614" s="341"/>
      <c r="G614" s="341"/>
      <c r="H614" s="341"/>
      <c r="I614" s="342"/>
      <c r="J614" s="341" t="s">
        <v>273</v>
      </c>
      <c r="K614" s="245"/>
      <c r="L614" s="257"/>
      <c r="M614" s="591" t="s">
        <v>322</v>
      </c>
      <c r="N614" s="592"/>
      <c r="O614" s="179"/>
      <c r="P614" s="180"/>
      <c r="Q614" s="180">
        <v>25200000</v>
      </c>
      <c r="R614" s="181">
        <f t="shared" ref="R614:R621" si="167">Q614/Q$613*100</f>
        <v>12.875738642677545</v>
      </c>
      <c r="S614" s="181">
        <v>100</v>
      </c>
      <c r="T614" s="180">
        <f t="shared" si="114"/>
        <v>0</v>
      </c>
      <c r="U614" s="180">
        <f t="shared" si="119"/>
        <v>0</v>
      </c>
      <c r="V614" s="182">
        <f t="shared" si="146"/>
        <v>100</v>
      </c>
      <c r="W614" s="180"/>
      <c r="X614" s="180"/>
      <c r="Y614" s="180"/>
      <c r="Z614" s="180"/>
      <c r="AA614" s="180"/>
      <c r="AB614" s="180"/>
      <c r="AC614" s="180"/>
      <c r="AD614" s="180"/>
      <c r="AE614" s="180"/>
      <c r="AF614" s="180"/>
      <c r="AG614" s="180"/>
      <c r="AH614" s="180"/>
      <c r="AI614" s="180">
        <v>0</v>
      </c>
      <c r="AJ614" s="181">
        <f t="shared" si="164"/>
        <v>0</v>
      </c>
      <c r="AK614" s="246">
        <f t="shared" si="155"/>
        <v>25200000</v>
      </c>
      <c r="AL614" s="181">
        <f t="shared" si="166"/>
        <v>100</v>
      </c>
      <c r="AM614" s="243"/>
    </row>
    <row r="615" spans="1:39" ht="28.5" customHeight="1" x14ac:dyDescent="0.25">
      <c r="A615" s="243"/>
      <c r="B615" s="341"/>
      <c r="C615" s="341"/>
      <c r="D615" s="341"/>
      <c r="E615" s="341"/>
      <c r="F615" s="341"/>
      <c r="G615" s="341"/>
      <c r="H615" s="341"/>
      <c r="I615" s="342"/>
      <c r="J615" s="341" t="s">
        <v>323</v>
      </c>
      <c r="K615" s="245"/>
      <c r="L615" s="257"/>
      <c r="M615" s="591" t="s">
        <v>324</v>
      </c>
      <c r="N615" s="592"/>
      <c r="O615" s="179"/>
      <c r="P615" s="180"/>
      <c r="Q615" s="180">
        <v>33468000</v>
      </c>
      <c r="R615" s="181">
        <f t="shared" si="167"/>
        <v>17.100207178298891</v>
      </c>
      <c r="S615" s="181">
        <v>100</v>
      </c>
      <c r="T615" s="180">
        <f t="shared" si="114"/>
        <v>0</v>
      </c>
      <c r="U615" s="180">
        <f t="shared" si="119"/>
        <v>0</v>
      </c>
      <c r="V615" s="182">
        <f t="shared" si="146"/>
        <v>100</v>
      </c>
      <c r="W615" s="180"/>
      <c r="X615" s="180"/>
      <c r="Y615" s="180"/>
      <c r="Z615" s="180"/>
      <c r="AA615" s="180"/>
      <c r="AB615" s="180"/>
      <c r="AC615" s="180"/>
      <c r="AD615" s="180"/>
      <c r="AE615" s="180"/>
      <c r="AF615" s="180"/>
      <c r="AG615" s="180"/>
      <c r="AH615" s="180"/>
      <c r="AI615" s="180">
        <v>0</v>
      </c>
      <c r="AJ615" s="181">
        <f t="shared" si="164"/>
        <v>0</v>
      </c>
      <c r="AK615" s="246">
        <f t="shared" si="155"/>
        <v>33468000</v>
      </c>
      <c r="AL615" s="181">
        <f t="shared" si="166"/>
        <v>100</v>
      </c>
      <c r="AM615" s="243"/>
    </row>
    <row r="616" spans="1:39" ht="28.5" customHeight="1" x14ac:dyDescent="0.25">
      <c r="A616" s="243"/>
      <c r="B616" s="341"/>
      <c r="C616" s="341"/>
      <c r="D616" s="341"/>
      <c r="E616" s="341"/>
      <c r="F616" s="341"/>
      <c r="G616" s="341"/>
      <c r="H616" s="341"/>
      <c r="I616" s="342"/>
      <c r="J616" s="341" t="s">
        <v>269</v>
      </c>
      <c r="K616" s="245"/>
      <c r="L616" s="257"/>
      <c r="M616" s="591" t="s">
        <v>270</v>
      </c>
      <c r="N616" s="592"/>
      <c r="O616" s="179"/>
      <c r="P616" s="180"/>
      <c r="Q616" s="180">
        <v>5400000</v>
      </c>
      <c r="R616" s="181">
        <f t="shared" si="167"/>
        <v>2.7590868520023308</v>
      </c>
      <c r="S616" s="181">
        <v>100</v>
      </c>
      <c r="T616" s="180">
        <f t="shared" si="114"/>
        <v>0</v>
      </c>
      <c r="U616" s="180">
        <f t="shared" si="119"/>
        <v>0</v>
      </c>
      <c r="V616" s="182">
        <f t="shared" si="146"/>
        <v>100</v>
      </c>
      <c r="W616" s="180"/>
      <c r="X616" s="180"/>
      <c r="Y616" s="180"/>
      <c r="Z616" s="180"/>
      <c r="AA616" s="180"/>
      <c r="AB616" s="180"/>
      <c r="AC616" s="180"/>
      <c r="AD616" s="180"/>
      <c r="AE616" s="180"/>
      <c r="AF616" s="180"/>
      <c r="AG616" s="180"/>
      <c r="AH616" s="180"/>
      <c r="AI616" s="180">
        <v>0</v>
      </c>
      <c r="AJ616" s="181">
        <f t="shared" si="164"/>
        <v>0</v>
      </c>
      <c r="AK616" s="246">
        <f t="shared" si="155"/>
        <v>5400000</v>
      </c>
      <c r="AL616" s="181">
        <f t="shared" si="166"/>
        <v>100</v>
      </c>
      <c r="AM616" s="243"/>
    </row>
    <row r="617" spans="1:39" ht="28.5" customHeight="1" x14ac:dyDescent="0.25">
      <c r="A617" s="243"/>
      <c r="B617" s="341"/>
      <c r="C617" s="341"/>
      <c r="D617" s="341"/>
      <c r="E617" s="341"/>
      <c r="F617" s="341"/>
      <c r="G617" s="341"/>
      <c r="H617" s="341"/>
      <c r="I617" s="342"/>
      <c r="J617" s="341" t="s">
        <v>315</v>
      </c>
      <c r="K617" s="245"/>
      <c r="L617" s="257"/>
      <c r="M617" s="591" t="s">
        <v>271</v>
      </c>
      <c r="N617" s="592"/>
      <c r="O617" s="179"/>
      <c r="P617" s="180"/>
      <c r="Q617" s="180">
        <v>9600000</v>
      </c>
      <c r="R617" s="181">
        <f t="shared" si="167"/>
        <v>4.9050432924485881</v>
      </c>
      <c r="S617" s="181">
        <v>100</v>
      </c>
      <c r="T617" s="180">
        <f t="shared" si="114"/>
        <v>0</v>
      </c>
      <c r="U617" s="180">
        <f t="shared" si="119"/>
        <v>0</v>
      </c>
      <c r="V617" s="182">
        <f t="shared" si="146"/>
        <v>100</v>
      </c>
      <c r="W617" s="180"/>
      <c r="X617" s="180"/>
      <c r="Y617" s="180"/>
      <c r="Z617" s="180"/>
      <c r="AA617" s="180"/>
      <c r="AB617" s="180"/>
      <c r="AC617" s="180"/>
      <c r="AD617" s="180"/>
      <c r="AE617" s="180"/>
      <c r="AF617" s="180"/>
      <c r="AG617" s="180"/>
      <c r="AH617" s="180"/>
      <c r="AI617" s="180">
        <v>0</v>
      </c>
      <c r="AJ617" s="181">
        <f t="shared" si="164"/>
        <v>0</v>
      </c>
      <c r="AK617" s="246">
        <f t="shared" si="155"/>
        <v>9600000</v>
      </c>
      <c r="AL617" s="181">
        <f t="shared" si="166"/>
        <v>100</v>
      </c>
      <c r="AM617" s="243"/>
    </row>
    <row r="618" spans="1:39" ht="28.5" customHeight="1" x14ac:dyDescent="0.25">
      <c r="A618" s="243"/>
      <c r="B618" s="341"/>
      <c r="C618" s="341"/>
      <c r="D618" s="341"/>
      <c r="E618" s="341"/>
      <c r="F618" s="341"/>
      <c r="G618" s="341"/>
      <c r="H618" s="341"/>
      <c r="I618" s="342"/>
      <c r="J618" s="341" t="s">
        <v>280</v>
      </c>
      <c r="K618" s="245"/>
      <c r="L618" s="257"/>
      <c r="M618" s="591" t="s">
        <v>281</v>
      </c>
      <c r="N618" s="592"/>
      <c r="O618" s="179"/>
      <c r="P618" s="180"/>
      <c r="Q618" s="180">
        <v>48000000</v>
      </c>
      <c r="R618" s="181">
        <f t="shared" si="167"/>
        <v>24.525216462242941</v>
      </c>
      <c r="S618" s="181">
        <v>100</v>
      </c>
      <c r="T618" s="180">
        <f t="shared" si="114"/>
        <v>0</v>
      </c>
      <c r="U618" s="180">
        <f t="shared" si="119"/>
        <v>0</v>
      </c>
      <c r="V618" s="182">
        <f t="shared" si="146"/>
        <v>100</v>
      </c>
      <c r="W618" s="180"/>
      <c r="X618" s="180"/>
      <c r="Y618" s="180"/>
      <c r="Z618" s="180"/>
      <c r="AA618" s="180"/>
      <c r="AB618" s="180"/>
      <c r="AC618" s="180"/>
      <c r="AD618" s="180"/>
      <c r="AE618" s="180"/>
      <c r="AF618" s="180"/>
      <c r="AG618" s="180"/>
      <c r="AH618" s="180"/>
      <c r="AI618" s="180">
        <v>0</v>
      </c>
      <c r="AJ618" s="181">
        <f t="shared" si="164"/>
        <v>0</v>
      </c>
      <c r="AK618" s="246">
        <f t="shared" si="155"/>
        <v>48000000</v>
      </c>
      <c r="AL618" s="181">
        <f t="shared" si="166"/>
        <v>100</v>
      </c>
      <c r="AM618" s="243"/>
    </row>
    <row r="619" spans="1:39" ht="28.5" customHeight="1" x14ac:dyDescent="0.25">
      <c r="A619" s="243"/>
      <c r="B619" s="341"/>
      <c r="C619" s="341"/>
      <c r="D619" s="341"/>
      <c r="E619" s="341"/>
      <c r="F619" s="341"/>
      <c r="G619" s="341"/>
      <c r="H619" s="341"/>
      <c r="I619" s="342"/>
      <c r="J619" s="341" t="s">
        <v>284</v>
      </c>
      <c r="K619" s="245"/>
      <c r="L619" s="257"/>
      <c r="M619" s="591" t="s">
        <v>285</v>
      </c>
      <c r="N619" s="592"/>
      <c r="O619" s="179"/>
      <c r="P619" s="180"/>
      <c r="Q619" s="180">
        <v>4658927</v>
      </c>
      <c r="R619" s="181">
        <f t="shared" si="167"/>
        <v>2.3804415240997527</v>
      </c>
      <c r="S619" s="181">
        <v>100</v>
      </c>
      <c r="T619" s="180">
        <f t="shared" si="114"/>
        <v>0</v>
      </c>
      <c r="U619" s="180">
        <f t="shared" si="119"/>
        <v>0</v>
      </c>
      <c r="V619" s="182">
        <f t="shared" si="146"/>
        <v>100</v>
      </c>
      <c r="W619" s="180"/>
      <c r="X619" s="180"/>
      <c r="Y619" s="180"/>
      <c r="Z619" s="180"/>
      <c r="AA619" s="180"/>
      <c r="AB619" s="180"/>
      <c r="AC619" s="180"/>
      <c r="AD619" s="180"/>
      <c r="AE619" s="180"/>
      <c r="AF619" s="180"/>
      <c r="AG619" s="180"/>
      <c r="AH619" s="180"/>
      <c r="AI619" s="180">
        <v>0</v>
      </c>
      <c r="AJ619" s="181">
        <f t="shared" si="164"/>
        <v>0</v>
      </c>
      <c r="AK619" s="246">
        <f t="shared" si="155"/>
        <v>4658927</v>
      </c>
      <c r="AL619" s="181">
        <f t="shared" si="166"/>
        <v>100</v>
      </c>
      <c r="AM619" s="243"/>
    </row>
    <row r="620" spans="1:39" ht="28.5" customHeight="1" x14ac:dyDescent="0.25">
      <c r="A620" s="243"/>
      <c r="B620" s="341"/>
      <c r="C620" s="341"/>
      <c r="D620" s="341"/>
      <c r="E620" s="341"/>
      <c r="F620" s="341"/>
      <c r="G620" s="341"/>
      <c r="H620" s="341"/>
      <c r="I620" s="342"/>
      <c r="J620" s="341" t="s">
        <v>282</v>
      </c>
      <c r="K620" s="245"/>
      <c r="L620" s="257"/>
      <c r="M620" s="591" t="s">
        <v>283</v>
      </c>
      <c r="N620" s="592"/>
      <c r="O620" s="179"/>
      <c r="P620" s="180"/>
      <c r="Q620" s="180">
        <v>59790000</v>
      </c>
      <c r="R620" s="181">
        <f t="shared" si="167"/>
        <v>30.549222755781365</v>
      </c>
      <c r="S620" s="181">
        <v>100</v>
      </c>
      <c r="T620" s="180">
        <f t="shared" si="114"/>
        <v>0</v>
      </c>
      <c r="U620" s="180">
        <f t="shared" si="119"/>
        <v>0</v>
      </c>
      <c r="V620" s="182">
        <f t="shared" si="146"/>
        <v>100</v>
      </c>
      <c r="W620" s="180"/>
      <c r="X620" s="180"/>
      <c r="Y620" s="180"/>
      <c r="Z620" s="180"/>
      <c r="AA620" s="180"/>
      <c r="AB620" s="180"/>
      <c r="AC620" s="180"/>
      <c r="AD620" s="180"/>
      <c r="AE620" s="180"/>
      <c r="AF620" s="180"/>
      <c r="AG620" s="180"/>
      <c r="AH620" s="180"/>
      <c r="AI620" s="180">
        <v>0</v>
      </c>
      <c r="AJ620" s="181">
        <f t="shared" si="164"/>
        <v>0</v>
      </c>
      <c r="AK620" s="246">
        <f t="shared" si="155"/>
        <v>59790000</v>
      </c>
      <c r="AL620" s="181">
        <f t="shared" si="166"/>
        <v>100</v>
      </c>
      <c r="AM620" s="243"/>
    </row>
    <row r="621" spans="1:39" ht="28.5" customHeight="1" x14ac:dyDescent="0.25">
      <c r="A621" s="243"/>
      <c r="B621" s="341"/>
      <c r="C621" s="341"/>
      <c r="D621" s="341"/>
      <c r="E621" s="341"/>
      <c r="F621" s="341"/>
      <c r="G621" s="341"/>
      <c r="H621" s="341"/>
      <c r="I621" s="342"/>
      <c r="J621" s="341" t="s">
        <v>551</v>
      </c>
      <c r="K621" s="245"/>
      <c r="L621" s="257"/>
      <c r="M621" s="591" t="s">
        <v>550</v>
      </c>
      <c r="N621" s="592"/>
      <c r="O621" s="179"/>
      <c r="P621" s="180"/>
      <c r="Q621" s="180">
        <v>9600000</v>
      </c>
      <c r="R621" s="181">
        <f t="shared" si="167"/>
        <v>4.9050432924485881</v>
      </c>
      <c r="S621" s="181">
        <v>100</v>
      </c>
      <c r="T621" s="180">
        <f t="shared" ref="T621:T674" si="168">AJ621</f>
        <v>0</v>
      </c>
      <c r="U621" s="180">
        <f t="shared" si="119"/>
        <v>0</v>
      </c>
      <c r="V621" s="182">
        <f t="shared" si="146"/>
        <v>100</v>
      </c>
      <c r="W621" s="180"/>
      <c r="X621" s="180"/>
      <c r="Y621" s="180"/>
      <c r="Z621" s="180"/>
      <c r="AA621" s="180"/>
      <c r="AB621" s="180"/>
      <c r="AC621" s="180"/>
      <c r="AD621" s="180"/>
      <c r="AE621" s="180"/>
      <c r="AF621" s="180"/>
      <c r="AG621" s="180"/>
      <c r="AH621" s="180"/>
      <c r="AI621" s="180">
        <v>0</v>
      </c>
      <c r="AJ621" s="181">
        <f t="shared" si="164"/>
        <v>0</v>
      </c>
      <c r="AK621" s="246">
        <f t="shared" si="155"/>
        <v>9600000</v>
      </c>
      <c r="AL621" s="181">
        <f t="shared" si="166"/>
        <v>100</v>
      </c>
      <c r="AM621" s="243"/>
    </row>
    <row r="622" spans="1:39" s="297" customFormat="1" ht="24.75" customHeight="1" x14ac:dyDescent="0.25">
      <c r="A622" s="227">
        <f>SUM(A613+1)</f>
        <v>75</v>
      </c>
      <c r="B622" s="346"/>
      <c r="C622" s="346"/>
      <c r="D622" s="346"/>
      <c r="E622" s="346"/>
      <c r="F622" s="346"/>
      <c r="G622" s="346"/>
      <c r="H622" s="346"/>
      <c r="I622" s="345"/>
      <c r="J622" s="304" t="s">
        <v>528</v>
      </c>
      <c r="K622" s="230"/>
      <c r="L622" s="294"/>
      <c r="M622" s="613" t="s">
        <v>208</v>
      </c>
      <c r="N622" s="612"/>
      <c r="O622" s="309"/>
      <c r="P622" s="231"/>
      <c r="Q622" s="231">
        <f>SUM(Q623:Q631)</f>
        <v>148625471</v>
      </c>
      <c r="R622" s="233">
        <f>Q622/Q$243*100</f>
        <v>1.2460379414890164</v>
      </c>
      <c r="S622" s="233">
        <v>100</v>
      </c>
      <c r="T622" s="231">
        <f t="shared" si="168"/>
        <v>0</v>
      </c>
      <c r="U622" s="231">
        <f t="shared" si="119"/>
        <v>0</v>
      </c>
      <c r="V622" s="296">
        <f t="shared" si="146"/>
        <v>100</v>
      </c>
      <c r="W622" s="231"/>
      <c r="X622" s="231"/>
      <c r="Y622" s="231"/>
      <c r="Z622" s="231"/>
      <c r="AA622" s="231"/>
      <c r="AB622" s="231"/>
      <c r="AC622" s="231"/>
      <c r="AD622" s="231"/>
      <c r="AE622" s="231"/>
      <c r="AF622" s="231"/>
      <c r="AG622" s="231"/>
      <c r="AH622" s="231"/>
      <c r="AI622" s="231">
        <f>SUM(AI623:AI631)</f>
        <v>0</v>
      </c>
      <c r="AJ622" s="233">
        <f t="shared" si="164"/>
        <v>0</v>
      </c>
      <c r="AK622" s="234">
        <f t="shared" si="155"/>
        <v>148625471</v>
      </c>
      <c r="AL622" s="233">
        <f t="shared" si="166"/>
        <v>100</v>
      </c>
      <c r="AM622" s="227"/>
    </row>
    <row r="623" spans="1:39" ht="24.75" customHeight="1" x14ac:dyDescent="0.25">
      <c r="A623" s="243"/>
      <c r="B623" s="341"/>
      <c r="C623" s="341"/>
      <c r="D623" s="341"/>
      <c r="E623" s="341"/>
      <c r="F623" s="341"/>
      <c r="G623" s="341"/>
      <c r="H623" s="341"/>
      <c r="I623" s="342"/>
      <c r="J623" s="341" t="s">
        <v>257</v>
      </c>
      <c r="K623" s="245"/>
      <c r="L623" s="257"/>
      <c r="M623" s="604" t="s">
        <v>260</v>
      </c>
      <c r="N623" s="592"/>
      <c r="O623" s="179"/>
      <c r="P623" s="180"/>
      <c r="Q623" s="180">
        <v>800000</v>
      </c>
      <c r="R623" s="181">
        <f>Q623/Q$622*100</f>
        <v>0.53826574584917553</v>
      </c>
      <c r="S623" s="181">
        <v>100</v>
      </c>
      <c r="T623" s="180">
        <f t="shared" si="168"/>
        <v>0</v>
      </c>
      <c r="U623" s="180">
        <f t="shared" si="119"/>
        <v>0</v>
      </c>
      <c r="V623" s="182">
        <f t="shared" si="146"/>
        <v>100</v>
      </c>
      <c r="W623" s="180"/>
      <c r="X623" s="180"/>
      <c r="Y623" s="180"/>
      <c r="Z623" s="180"/>
      <c r="AA623" s="180"/>
      <c r="AB623" s="180"/>
      <c r="AC623" s="180"/>
      <c r="AD623" s="180"/>
      <c r="AE623" s="180"/>
      <c r="AF623" s="180"/>
      <c r="AG623" s="180"/>
      <c r="AH623" s="180"/>
      <c r="AI623" s="180">
        <v>0</v>
      </c>
      <c r="AJ623" s="181">
        <f t="shared" si="164"/>
        <v>0</v>
      </c>
      <c r="AK623" s="246">
        <f t="shared" si="155"/>
        <v>800000</v>
      </c>
      <c r="AL623" s="181">
        <f t="shared" si="166"/>
        <v>100</v>
      </c>
      <c r="AM623" s="243"/>
    </row>
    <row r="624" spans="1:39" ht="24.75" customHeight="1" x14ac:dyDescent="0.25">
      <c r="A624" s="243"/>
      <c r="B624" s="341"/>
      <c r="C624" s="341"/>
      <c r="D624" s="341"/>
      <c r="E624" s="341"/>
      <c r="F624" s="341"/>
      <c r="G624" s="341"/>
      <c r="H624" s="341"/>
      <c r="I624" s="342"/>
      <c r="J624" s="341" t="s">
        <v>315</v>
      </c>
      <c r="K624" s="245"/>
      <c r="L624" s="257"/>
      <c r="M624" s="604" t="s">
        <v>271</v>
      </c>
      <c r="N624" s="592"/>
      <c r="O624" s="179"/>
      <c r="P624" s="180"/>
      <c r="Q624" s="180">
        <v>10500000</v>
      </c>
      <c r="R624" s="181">
        <f>Q624/Q$622*100</f>
        <v>7.0647379142704274</v>
      </c>
      <c r="S624" s="181">
        <v>100</v>
      </c>
      <c r="T624" s="180">
        <f t="shared" si="168"/>
        <v>0</v>
      </c>
      <c r="U624" s="180">
        <f t="shared" si="119"/>
        <v>0</v>
      </c>
      <c r="V624" s="182">
        <f t="shared" si="146"/>
        <v>100</v>
      </c>
      <c r="W624" s="180"/>
      <c r="X624" s="180"/>
      <c r="Y624" s="180"/>
      <c r="Z624" s="180"/>
      <c r="AA624" s="180"/>
      <c r="AB624" s="180"/>
      <c r="AC624" s="180"/>
      <c r="AD624" s="180"/>
      <c r="AE624" s="180"/>
      <c r="AF624" s="180"/>
      <c r="AG624" s="180"/>
      <c r="AH624" s="180"/>
      <c r="AI624" s="180">
        <v>0</v>
      </c>
      <c r="AJ624" s="181">
        <f t="shared" si="164"/>
        <v>0</v>
      </c>
      <c r="AK624" s="246">
        <f t="shared" si="155"/>
        <v>10500000</v>
      </c>
      <c r="AL624" s="181">
        <f t="shared" si="166"/>
        <v>100</v>
      </c>
      <c r="AM624" s="243"/>
    </row>
    <row r="625" spans="1:39" ht="24.75" customHeight="1" x14ac:dyDescent="0.25">
      <c r="A625" s="243"/>
      <c r="B625" s="341"/>
      <c r="C625" s="341"/>
      <c r="D625" s="341"/>
      <c r="E625" s="341"/>
      <c r="F625" s="341"/>
      <c r="G625" s="341"/>
      <c r="H625" s="341"/>
      <c r="I625" s="342"/>
      <c r="J625" s="341" t="s">
        <v>316</v>
      </c>
      <c r="K625" s="245"/>
      <c r="L625" s="257"/>
      <c r="M625" s="604" t="s">
        <v>317</v>
      </c>
      <c r="N625" s="592"/>
      <c r="O625" s="179"/>
      <c r="P625" s="180"/>
      <c r="Q625" s="180">
        <v>500000</v>
      </c>
      <c r="R625" s="181">
        <f t="shared" ref="R625:R631" si="169">Q625/Q$622*100</f>
        <v>0.33641609115573468</v>
      </c>
      <c r="S625" s="181">
        <v>100</v>
      </c>
      <c r="T625" s="180">
        <f t="shared" si="168"/>
        <v>0</v>
      </c>
      <c r="U625" s="180">
        <f t="shared" si="119"/>
        <v>0</v>
      </c>
      <c r="V625" s="182">
        <f t="shared" si="146"/>
        <v>100</v>
      </c>
      <c r="W625" s="180"/>
      <c r="X625" s="180"/>
      <c r="Y625" s="180"/>
      <c r="Z625" s="180"/>
      <c r="AA625" s="180"/>
      <c r="AB625" s="180"/>
      <c r="AC625" s="180"/>
      <c r="AD625" s="180"/>
      <c r="AE625" s="180"/>
      <c r="AF625" s="180"/>
      <c r="AG625" s="180"/>
      <c r="AH625" s="180"/>
      <c r="AI625" s="180">
        <v>0</v>
      </c>
      <c r="AJ625" s="181">
        <f t="shared" si="164"/>
        <v>0</v>
      </c>
      <c r="AK625" s="246">
        <f t="shared" si="155"/>
        <v>500000</v>
      </c>
      <c r="AL625" s="181">
        <f t="shared" si="166"/>
        <v>100</v>
      </c>
      <c r="AM625" s="243"/>
    </row>
    <row r="626" spans="1:39" ht="24.75" customHeight="1" x14ac:dyDescent="0.25">
      <c r="A626" s="243"/>
      <c r="B626" s="341"/>
      <c r="C626" s="341"/>
      <c r="D626" s="341"/>
      <c r="E626" s="341"/>
      <c r="F626" s="341"/>
      <c r="G626" s="341"/>
      <c r="H626" s="341"/>
      <c r="I626" s="342"/>
      <c r="J626" s="341" t="s">
        <v>328</v>
      </c>
      <c r="K626" s="245"/>
      <c r="L626" s="257"/>
      <c r="M626" s="604" t="s">
        <v>319</v>
      </c>
      <c r="N626" s="592"/>
      <c r="O626" s="179"/>
      <c r="P626" s="180"/>
      <c r="Q626" s="180">
        <v>65000000</v>
      </c>
      <c r="R626" s="181">
        <f t="shared" si="169"/>
        <v>43.734091850245512</v>
      </c>
      <c r="S626" s="181">
        <v>100</v>
      </c>
      <c r="T626" s="180">
        <f t="shared" si="168"/>
        <v>0</v>
      </c>
      <c r="U626" s="180">
        <f t="shared" si="119"/>
        <v>0</v>
      </c>
      <c r="V626" s="182">
        <f t="shared" si="146"/>
        <v>100</v>
      </c>
      <c r="W626" s="180"/>
      <c r="X626" s="180"/>
      <c r="Y626" s="180"/>
      <c r="Z626" s="180"/>
      <c r="AA626" s="180"/>
      <c r="AB626" s="180"/>
      <c r="AC626" s="180"/>
      <c r="AD626" s="180"/>
      <c r="AE626" s="180"/>
      <c r="AF626" s="180"/>
      <c r="AG626" s="180"/>
      <c r="AH626" s="180"/>
      <c r="AI626" s="180">
        <v>0</v>
      </c>
      <c r="AJ626" s="181">
        <f t="shared" si="164"/>
        <v>0</v>
      </c>
      <c r="AK626" s="246">
        <f t="shared" si="155"/>
        <v>65000000</v>
      </c>
      <c r="AL626" s="181">
        <f t="shared" si="166"/>
        <v>100</v>
      </c>
      <c r="AM626" s="243"/>
    </row>
    <row r="627" spans="1:39" ht="24.75" customHeight="1" x14ac:dyDescent="0.25">
      <c r="A627" s="243"/>
      <c r="B627" s="341"/>
      <c r="C627" s="341"/>
      <c r="D627" s="341"/>
      <c r="E627" s="341"/>
      <c r="F627" s="341"/>
      <c r="G627" s="341"/>
      <c r="H627" s="341"/>
      <c r="I627" s="342"/>
      <c r="J627" s="341" t="s">
        <v>284</v>
      </c>
      <c r="K627" s="245"/>
      <c r="L627" s="257"/>
      <c r="M627" s="604" t="s">
        <v>285</v>
      </c>
      <c r="N627" s="592"/>
      <c r="O627" s="179"/>
      <c r="P627" s="180"/>
      <c r="Q627" s="180">
        <v>10000000</v>
      </c>
      <c r="R627" s="181">
        <f t="shared" si="169"/>
        <v>6.728321823114694</v>
      </c>
      <c r="S627" s="181">
        <v>100</v>
      </c>
      <c r="T627" s="180">
        <f t="shared" si="168"/>
        <v>0</v>
      </c>
      <c r="U627" s="180">
        <f t="shared" si="119"/>
        <v>0</v>
      </c>
      <c r="V627" s="182">
        <f t="shared" si="146"/>
        <v>100</v>
      </c>
      <c r="W627" s="180"/>
      <c r="X627" s="180"/>
      <c r="Y627" s="180"/>
      <c r="Z627" s="180"/>
      <c r="AA627" s="180"/>
      <c r="AB627" s="180"/>
      <c r="AC627" s="180"/>
      <c r="AD627" s="180"/>
      <c r="AE627" s="180"/>
      <c r="AF627" s="180"/>
      <c r="AG627" s="180"/>
      <c r="AH627" s="180"/>
      <c r="AI627" s="180">
        <v>0</v>
      </c>
      <c r="AJ627" s="181">
        <f t="shared" si="164"/>
        <v>0</v>
      </c>
      <c r="AK627" s="246">
        <f t="shared" si="155"/>
        <v>10000000</v>
      </c>
      <c r="AL627" s="181">
        <f t="shared" si="166"/>
        <v>100</v>
      </c>
      <c r="AM627" s="243"/>
    </row>
    <row r="628" spans="1:39" ht="24.75" customHeight="1" x14ac:dyDescent="0.25">
      <c r="A628" s="243"/>
      <c r="B628" s="341"/>
      <c r="C628" s="341"/>
      <c r="D628" s="341"/>
      <c r="E628" s="341"/>
      <c r="F628" s="341"/>
      <c r="G628" s="341"/>
      <c r="H628" s="341"/>
      <c r="I628" s="342"/>
      <c r="J628" s="341" t="s">
        <v>282</v>
      </c>
      <c r="K628" s="245"/>
      <c r="L628" s="257"/>
      <c r="M628" s="604" t="s">
        <v>283</v>
      </c>
      <c r="N628" s="592"/>
      <c r="O628" s="179"/>
      <c r="P628" s="180"/>
      <c r="Q628" s="180">
        <v>34125471</v>
      </c>
      <c r="R628" s="181">
        <f t="shared" si="169"/>
        <v>22.960715125336762</v>
      </c>
      <c r="S628" s="181">
        <v>100</v>
      </c>
      <c r="T628" s="180">
        <f t="shared" si="168"/>
        <v>0</v>
      </c>
      <c r="U628" s="180">
        <f t="shared" si="119"/>
        <v>0</v>
      </c>
      <c r="V628" s="182">
        <f t="shared" si="146"/>
        <v>100</v>
      </c>
      <c r="W628" s="180"/>
      <c r="X628" s="180"/>
      <c r="Y628" s="180"/>
      <c r="Z628" s="180"/>
      <c r="AA628" s="180"/>
      <c r="AB628" s="180"/>
      <c r="AC628" s="180"/>
      <c r="AD628" s="180"/>
      <c r="AE628" s="180"/>
      <c r="AF628" s="180"/>
      <c r="AG628" s="180"/>
      <c r="AH628" s="180"/>
      <c r="AI628" s="180">
        <v>0</v>
      </c>
      <c r="AJ628" s="181">
        <f t="shared" si="164"/>
        <v>0</v>
      </c>
      <c r="AK628" s="246">
        <f t="shared" si="155"/>
        <v>34125471</v>
      </c>
      <c r="AL628" s="181">
        <f t="shared" si="166"/>
        <v>100</v>
      </c>
      <c r="AM628" s="243"/>
    </row>
    <row r="629" spans="1:39" ht="24.75" customHeight="1" x14ac:dyDescent="0.25">
      <c r="A629" s="243"/>
      <c r="B629" s="341"/>
      <c r="C629" s="341"/>
      <c r="D629" s="341"/>
      <c r="E629" s="341"/>
      <c r="F629" s="341"/>
      <c r="G629" s="341"/>
      <c r="H629" s="341"/>
      <c r="I629" s="342"/>
      <c r="J629" s="341" t="s">
        <v>320</v>
      </c>
      <c r="K629" s="245"/>
      <c r="L629" s="257"/>
      <c r="M629" s="604" t="s">
        <v>321</v>
      </c>
      <c r="N629" s="592"/>
      <c r="O629" s="179"/>
      <c r="P629" s="180"/>
      <c r="Q629" s="180">
        <v>9800000</v>
      </c>
      <c r="R629" s="181">
        <f t="shared" si="169"/>
        <v>6.5937553866524006</v>
      </c>
      <c r="S629" s="181">
        <v>100</v>
      </c>
      <c r="T629" s="180">
        <f t="shared" si="168"/>
        <v>0</v>
      </c>
      <c r="U629" s="180">
        <f t="shared" si="119"/>
        <v>0</v>
      </c>
      <c r="V629" s="182">
        <f t="shared" si="146"/>
        <v>100</v>
      </c>
      <c r="W629" s="180"/>
      <c r="X629" s="180"/>
      <c r="Y629" s="180"/>
      <c r="Z629" s="180"/>
      <c r="AA629" s="180"/>
      <c r="AB629" s="180"/>
      <c r="AC629" s="180"/>
      <c r="AD629" s="180"/>
      <c r="AE629" s="180"/>
      <c r="AF629" s="180"/>
      <c r="AG629" s="180"/>
      <c r="AH629" s="180"/>
      <c r="AI629" s="180">
        <v>0</v>
      </c>
      <c r="AJ629" s="181">
        <f t="shared" si="164"/>
        <v>0</v>
      </c>
      <c r="AK629" s="246">
        <f t="shared" si="155"/>
        <v>9800000</v>
      </c>
      <c r="AL629" s="181">
        <f t="shared" si="166"/>
        <v>100</v>
      </c>
      <c r="AM629" s="243"/>
    </row>
    <row r="630" spans="1:39" ht="24.75" customHeight="1" x14ac:dyDescent="0.25">
      <c r="A630" s="243"/>
      <c r="B630" s="341"/>
      <c r="C630" s="341"/>
      <c r="D630" s="341"/>
      <c r="E630" s="341"/>
      <c r="F630" s="341"/>
      <c r="G630" s="341"/>
      <c r="H630" s="341"/>
      <c r="I630" s="342"/>
      <c r="J630" s="341" t="s">
        <v>407</v>
      </c>
      <c r="K630" s="245"/>
      <c r="L630" s="257"/>
      <c r="M630" s="604" t="s">
        <v>623</v>
      </c>
      <c r="N630" s="592"/>
      <c r="O630" s="179"/>
      <c r="P630" s="180"/>
      <c r="Q630" s="180">
        <v>2900000</v>
      </c>
      <c r="R630" s="181">
        <f t="shared" si="169"/>
        <v>1.9512133287032611</v>
      </c>
      <c r="S630" s="181">
        <v>100</v>
      </c>
      <c r="T630" s="180">
        <f t="shared" si="168"/>
        <v>0</v>
      </c>
      <c r="U630" s="180">
        <f t="shared" si="119"/>
        <v>0</v>
      </c>
      <c r="V630" s="182">
        <f t="shared" si="146"/>
        <v>100</v>
      </c>
      <c r="W630" s="180"/>
      <c r="X630" s="180"/>
      <c r="Y630" s="180"/>
      <c r="Z630" s="180"/>
      <c r="AA630" s="180"/>
      <c r="AB630" s="180"/>
      <c r="AC630" s="180"/>
      <c r="AD630" s="180"/>
      <c r="AE630" s="180"/>
      <c r="AF630" s="180"/>
      <c r="AG630" s="180"/>
      <c r="AH630" s="180"/>
      <c r="AI630" s="180">
        <v>0</v>
      </c>
      <c r="AJ630" s="181">
        <f t="shared" si="164"/>
        <v>0</v>
      </c>
      <c r="AK630" s="246">
        <f t="shared" si="155"/>
        <v>2900000</v>
      </c>
      <c r="AL630" s="181">
        <f t="shared" si="166"/>
        <v>100</v>
      </c>
      <c r="AM630" s="243"/>
    </row>
    <row r="631" spans="1:39" ht="24.75" customHeight="1" x14ac:dyDescent="0.25">
      <c r="A631" s="243"/>
      <c r="B631" s="341"/>
      <c r="C631" s="341"/>
      <c r="D631" s="341"/>
      <c r="E631" s="341"/>
      <c r="F631" s="341"/>
      <c r="G631" s="341"/>
      <c r="H631" s="341"/>
      <c r="I631" s="342"/>
      <c r="J631" s="341" t="s">
        <v>372</v>
      </c>
      <c r="K631" s="245"/>
      <c r="L631" s="257"/>
      <c r="M631" s="604" t="s">
        <v>373</v>
      </c>
      <c r="N631" s="592"/>
      <c r="O631" s="179"/>
      <c r="P631" s="180"/>
      <c r="Q631" s="180">
        <v>15000000</v>
      </c>
      <c r="R631" s="181">
        <f t="shared" si="169"/>
        <v>10.092482734672039</v>
      </c>
      <c r="S631" s="181">
        <v>100</v>
      </c>
      <c r="T631" s="180">
        <f t="shared" si="168"/>
        <v>0</v>
      </c>
      <c r="U631" s="180">
        <f t="shared" si="119"/>
        <v>0</v>
      </c>
      <c r="V631" s="182">
        <v>100</v>
      </c>
      <c r="W631" s="180"/>
      <c r="X631" s="180"/>
      <c r="Y631" s="180"/>
      <c r="Z631" s="180"/>
      <c r="AA631" s="180"/>
      <c r="AB631" s="180"/>
      <c r="AC631" s="180"/>
      <c r="AD631" s="180"/>
      <c r="AE631" s="180"/>
      <c r="AF631" s="180"/>
      <c r="AG631" s="180"/>
      <c r="AH631" s="180"/>
      <c r="AI631" s="180">
        <v>0</v>
      </c>
      <c r="AJ631" s="181">
        <f t="shared" si="164"/>
        <v>0</v>
      </c>
      <c r="AK631" s="246">
        <f t="shared" ref="AK631:AK682" si="170">Q631-AI631</f>
        <v>15000000</v>
      </c>
      <c r="AL631" s="181">
        <f t="shared" si="166"/>
        <v>100</v>
      </c>
      <c r="AM631" s="243"/>
    </row>
    <row r="632" spans="1:39" s="297" customFormat="1" ht="31.5" customHeight="1" x14ac:dyDescent="0.25">
      <c r="A632" s="227">
        <f>SUM(A622+1)</f>
        <v>76</v>
      </c>
      <c r="B632" s="346"/>
      <c r="C632" s="346"/>
      <c r="D632" s="346"/>
      <c r="E632" s="346"/>
      <c r="F632" s="346"/>
      <c r="G632" s="346"/>
      <c r="H632" s="346"/>
      <c r="I632" s="345"/>
      <c r="J632" s="304" t="s">
        <v>529</v>
      </c>
      <c r="K632" s="230"/>
      <c r="L632" s="294"/>
      <c r="M632" s="610" t="s">
        <v>209</v>
      </c>
      <c r="N632" s="612"/>
      <c r="O632" s="309"/>
      <c r="P632" s="231"/>
      <c r="Q632" s="231">
        <f>SUM(Q633:Q638)</f>
        <v>60110918</v>
      </c>
      <c r="R632" s="233">
        <f>Q632/Q$243*100</f>
        <v>0.50395456459636756</v>
      </c>
      <c r="S632" s="233">
        <v>100</v>
      </c>
      <c r="T632" s="231">
        <f t="shared" si="168"/>
        <v>0</v>
      </c>
      <c r="U632" s="231">
        <f t="shared" si="119"/>
        <v>0</v>
      </c>
      <c r="V632" s="296">
        <f t="shared" si="146"/>
        <v>100</v>
      </c>
      <c r="W632" s="231"/>
      <c r="X632" s="231"/>
      <c r="Y632" s="231"/>
      <c r="Z632" s="231"/>
      <c r="AA632" s="231"/>
      <c r="AB632" s="231"/>
      <c r="AC632" s="231"/>
      <c r="AD632" s="231"/>
      <c r="AE632" s="231"/>
      <c r="AF632" s="231"/>
      <c r="AG632" s="231"/>
      <c r="AH632" s="231"/>
      <c r="AI632" s="231">
        <f>SUM(AI633:AI638)</f>
        <v>0</v>
      </c>
      <c r="AJ632" s="233">
        <f t="shared" si="164"/>
        <v>0</v>
      </c>
      <c r="AK632" s="234">
        <f t="shared" si="170"/>
        <v>60110918</v>
      </c>
      <c r="AL632" s="233">
        <f t="shared" si="166"/>
        <v>100</v>
      </c>
      <c r="AM632" s="227"/>
    </row>
    <row r="633" spans="1:39" ht="24.75" customHeight="1" x14ac:dyDescent="0.25">
      <c r="A633" s="243"/>
      <c r="B633" s="341"/>
      <c r="C633" s="341"/>
      <c r="D633" s="341"/>
      <c r="E633" s="341"/>
      <c r="F633" s="341"/>
      <c r="G633" s="341"/>
      <c r="H633" s="341"/>
      <c r="I633" s="342"/>
      <c r="J633" s="341" t="s">
        <v>347</v>
      </c>
      <c r="K633" s="245"/>
      <c r="L633" s="257"/>
      <c r="M633" s="591" t="s">
        <v>348</v>
      </c>
      <c r="N633" s="592"/>
      <c r="O633" s="179"/>
      <c r="P633" s="180"/>
      <c r="Q633" s="180">
        <v>13900000</v>
      </c>
      <c r="R633" s="181">
        <f t="shared" ref="R633:R638" si="171">Q633/Q$632*100</f>
        <v>23.123919019170529</v>
      </c>
      <c r="S633" s="181">
        <v>100</v>
      </c>
      <c r="T633" s="180">
        <f t="shared" si="168"/>
        <v>0</v>
      </c>
      <c r="U633" s="180">
        <f t="shared" si="119"/>
        <v>0</v>
      </c>
      <c r="V633" s="182">
        <f t="shared" si="146"/>
        <v>100</v>
      </c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  <c r="AG633" s="180"/>
      <c r="AH633" s="180"/>
      <c r="AI633" s="180">
        <v>0</v>
      </c>
      <c r="AJ633" s="181">
        <f t="shared" si="164"/>
        <v>0</v>
      </c>
      <c r="AK633" s="246">
        <f t="shared" si="170"/>
        <v>13900000</v>
      </c>
      <c r="AL633" s="181">
        <f t="shared" si="166"/>
        <v>100</v>
      </c>
      <c r="AM633" s="243"/>
    </row>
    <row r="634" spans="1:39" ht="24.75" customHeight="1" x14ac:dyDescent="0.25">
      <c r="A634" s="243"/>
      <c r="B634" s="341"/>
      <c r="C634" s="341"/>
      <c r="D634" s="341"/>
      <c r="E634" s="341"/>
      <c r="F634" s="341"/>
      <c r="G634" s="341"/>
      <c r="H634" s="341"/>
      <c r="I634" s="342"/>
      <c r="J634" s="341" t="s">
        <v>251</v>
      </c>
      <c r="K634" s="245"/>
      <c r="L634" s="257"/>
      <c r="M634" s="591" t="s">
        <v>324</v>
      </c>
      <c r="N634" s="592"/>
      <c r="O634" s="179"/>
      <c r="P634" s="180"/>
      <c r="Q634" s="180">
        <v>5710918</v>
      </c>
      <c r="R634" s="181">
        <f t="shared" si="171"/>
        <v>9.5006334789297355</v>
      </c>
      <c r="S634" s="181">
        <v>100</v>
      </c>
      <c r="T634" s="180">
        <f t="shared" si="168"/>
        <v>0</v>
      </c>
      <c r="U634" s="180">
        <f t="shared" si="119"/>
        <v>0</v>
      </c>
      <c r="V634" s="182">
        <f t="shared" si="146"/>
        <v>100</v>
      </c>
      <c r="W634" s="180"/>
      <c r="X634" s="180"/>
      <c r="Y634" s="180"/>
      <c r="Z634" s="180"/>
      <c r="AA634" s="180"/>
      <c r="AB634" s="180"/>
      <c r="AC634" s="180"/>
      <c r="AD634" s="180"/>
      <c r="AE634" s="180"/>
      <c r="AF634" s="180"/>
      <c r="AG634" s="180"/>
      <c r="AH634" s="180"/>
      <c r="AI634" s="180">
        <v>0</v>
      </c>
      <c r="AJ634" s="181">
        <f t="shared" si="164"/>
        <v>0</v>
      </c>
      <c r="AK634" s="246">
        <f t="shared" si="170"/>
        <v>5710918</v>
      </c>
      <c r="AL634" s="181">
        <f t="shared" si="166"/>
        <v>100</v>
      </c>
      <c r="AM634" s="243"/>
    </row>
    <row r="635" spans="1:39" ht="33" customHeight="1" x14ac:dyDescent="0.25">
      <c r="A635" s="243"/>
      <c r="B635" s="341"/>
      <c r="C635" s="341"/>
      <c r="D635" s="341"/>
      <c r="E635" s="341"/>
      <c r="F635" s="341"/>
      <c r="G635" s="341"/>
      <c r="H635" s="341"/>
      <c r="I635" s="342"/>
      <c r="J635" s="341" t="s">
        <v>318</v>
      </c>
      <c r="K635" s="245"/>
      <c r="L635" s="257"/>
      <c r="M635" s="591" t="s">
        <v>352</v>
      </c>
      <c r="N635" s="592"/>
      <c r="O635" s="179"/>
      <c r="P635" s="180"/>
      <c r="Q635" s="180">
        <v>12000000</v>
      </c>
      <c r="R635" s="181">
        <f t="shared" si="171"/>
        <v>19.963095556118439</v>
      </c>
      <c r="S635" s="181">
        <v>100</v>
      </c>
      <c r="T635" s="180">
        <f t="shared" si="168"/>
        <v>0</v>
      </c>
      <c r="U635" s="180">
        <f t="shared" si="119"/>
        <v>0</v>
      </c>
      <c r="V635" s="182">
        <f t="shared" si="146"/>
        <v>100</v>
      </c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  <c r="AG635" s="180"/>
      <c r="AH635" s="180"/>
      <c r="AI635" s="180">
        <v>0</v>
      </c>
      <c r="AJ635" s="181">
        <f t="shared" si="164"/>
        <v>0</v>
      </c>
      <c r="AK635" s="246">
        <f t="shared" si="170"/>
        <v>12000000</v>
      </c>
      <c r="AL635" s="181">
        <f t="shared" si="166"/>
        <v>100</v>
      </c>
      <c r="AM635" s="243"/>
    </row>
    <row r="636" spans="1:39" ht="24.75" customHeight="1" x14ac:dyDescent="0.25">
      <c r="A636" s="243"/>
      <c r="B636" s="341"/>
      <c r="C636" s="341"/>
      <c r="D636" s="341"/>
      <c r="E636" s="341"/>
      <c r="F636" s="341"/>
      <c r="G636" s="341"/>
      <c r="H636" s="341"/>
      <c r="I636" s="342"/>
      <c r="J636" s="341" t="s">
        <v>315</v>
      </c>
      <c r="K636" s="245"/>
      <c r="L636" s="257"/>
      <c r="M636" s="591" t="s">
        <v>428</v>
      </c>
      <c r="N636" s="592"/>
      <c r="O636" s="179"/>
      <c r="P636" s="180"/>
      <c r="Q636" s="180">
        <v>6000000</v>
      </c>
      <c r="R636" s="181">
        <f t="shared" si="171"/>
        <v>9.9815477780592197</v>
      </c>
      <c r="S636" s="181">
        <v>100</v>
      </c>
      <c r="T636" s="180">
        <f t="shared" si="168"/>
        <v>0</v>
      </c>
      <c r="U636" s="180">
        <f t="shared" si="119"/>
        <v>0</v>
      </c>
      <c r="V636" s="182">
        <f t="shared" si="146"/>
        <v>100</v>
      </c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  <c r="AG636" s="180"/>
      <c r="AH636" s="180"/>
      <c r="AI636" s="180">
        <v>0</v>
      </c>
      <c r="AJ636" s="181">
        <f t="shared" si="164"/>
        <v>0</v>
      </c>
      <c r="AK636" s="246">
        <f t="shared" si="170"/>
        <v>6000000</v>
      </c>
      <c r="AL636" s="181">
        <f t="shared" si="166"/>
        <v>100</v>
      </c>
      <c r="AM636" s="243"/>
    </row>
    <row r="637" spans="1:39" ht="24.75" customHeight="1" x14ac:dyDescent="0.25">
      <c r="A637" s="243"/>
      <c r="B637" s="341"/>
      <c r="C637" s="341"/>
      <c r="D637" s="341"/>
      <c r="E637" s="341"/>
      <c r="F637" s="341"/>
      <c r="G637" s="341"/>
      <c r="H637" s="341"/>
      <c r="I637" s="342"/>
      <c r="J637" s="341" t="s">
        <v>318</v>
      </c>
      <c r="K637" s="245"/>
      <c r="L637" s="257"/>
      <c r="M637" s="591" t="s">
        <v>319</v>
      </c>
      <c r="N637" s="592"/>
      <c r="O637" s="179"/>
      <c r="P637" s="180"/>
      <c r="Q637" s="180">
        <v>10500000</v>
      </c>
      <c r="R637" s="181">
        <f t="shared" si="171"/>
        <v>17.467708611603637</v>
      </c>
      <c r="S637" s="181">
        <v>100</v>
      </c>
      <c r="T637" s="180">
        <f t="shared" si="168"/>
        <v>0</v>
      </c>
      <c r="U637" s="180">
        <f t="shared" si="119"/>
        <v>0</v>
      </c>
      <c r="V637" s="182">
        <f t="shared" si="146"/>
        <v>100</v>
      </c>
      <c r="W637" s="180"/>
      <c r="X637" s="180"/>
      <c r="Y637" s="180"/>
      <c r="Z637" s="180"/>
      <c r="AA637" s="180"/>
      <c r="AB637" s="180"/>
      <c r="AC637" s="180"/>
      <c r="AD637" s="180"/>
      <c r="AE637" s="180"/>
      <c r="AF637" s="180"/>
      <c r="AG637" s="180"/>
      <c r="AH637" s="180"/>
      <c r="AI637" s="180">
        <v>0</v>
      </c>
      <c r="AJ637" s="181">
        <f t="shared" si="164"/>
        <v>0</v>
      </c>
      <c r="AK637" s="246">
        <f t="shared" si="170"/>
        <v>10500000</v>
      </c>
      <c r="AL637" s="181">
        <f t="shared" si="166"/>
        <v>100</v>
      </c>
      <c r="AM637" s="243"/>
    </row>
    <row r="638" spans="1:39" ht="24.75" customHeight="1" x14ac:dyDescent="0.25">
      <c r="A638" s="243"/>
      <c r="B638" s="341"/>
      <c r="C638" s="341"/>
      <c r="D638" s="341"/>
      <c r="E638" s="341"/>
      <c r="F638" s="341"/>
      <c r="G638" s="341"/>
      <c r="H638" s="341"/>
      <c r="I638" s="342"/>
      <c r="J638" s="341" t="s">
        <v>624</v>
      </c>
      <c r="K638" s="245"/>
      <c r="L638" s="257"/>
      <c r="M638" s="591" t="s">
        <v>281</v>
      </c>
      <c r="N638" s="592"/>
      <c r="O638" s="179"/>
      <c r="P638" s="180"/>
      <c r="Q638" s="180">
        <v>12000000</v>
      </c>
      <c r="R638" s="181">
        <f t="shared" si="171"/>
        <v>19.963095556118439</v>
      </c>
      <c r="S638" s="181">
        <v>100</v>
      </c>
      <c r="T638" s="180">
        <f t="shared" si="168"/>
        <v>0</v>
      </c>
      <c r="U638" s="180">
        <f t="shared" si="119"/>
        <v>0</v>
      </c>
      <c r="V638" s="182">
        <f t="shared" si="146"/>
        <v>100</v>
      </c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  <c r="AG638" s="180"/>
      <c r="AH638" s="180"/>
      <c r="AI638" s="180">
        <v>0</v>
      </c>
      <c r="AJ638" s="181">
        <f t="shared" si="164"/>
        <v>0</v>
      </c>
      <c r="AK638" s="246">
        <f t="shared" si="170"/>
        <v>12000000</v>
      </c>
      <c r="AL638" s="181">
        <f t="shared" si="166"/>
        <v>100</v>
      </c>
      <c r="AM638" s="243"/>
    </row>
    <row r="639" spans="1:39" ht="24.75" customHeight="1" x14ac:dyDescent="0.25">
      <c r="A639" s="227">
        <v>77</v>
      </c>
      <c r="B639" s="358"/>
      <c r="C639" s="358"/>
      <c r="D639" s="358"/>
      <c r="E639" s="358"/>
      <c r="F639" s="358"/>
      <c r="G639" s="358"/>
      <c r="H639" s="358"/>
      <c r="I639" s="359"/>
      <c r="J639" s="304" t="s">
        <v>631</v>
      </c>
      <c r="K639" s="230"/>
      <c r="L639" s="294"/>
      <c r="M639" s="610" t="s">
        <v>632</v>
      </c>
      <c r="N639" s="612"/>
      <c r="O639" s="309"/>
      <c r="P639" s="231"/>
      <c r="Q639" s="231">
        <f>SUM(Q640:Q653)</f>
        <v>334885000</v>
      </c>
      <c r="R639" s="233">
        <f>Q639/Q$243*100</f>
        <v>2.8075902012485408</v>
      </c>
      <c r="S639" s="233">
        <v>100</v>
      </c>
      <c r="T639" s="231">
        <f t="shared" ref="T639:T645" si="172">AJ639</f>
        <v>0</v>
      </c>
      <c r="U639" s="231">
        <f t="shared" ref="U639:U645" si="173">R639*T639/100</f>
        <v>0</v>
      </c>
      <c r="V639" s="296">
        <f t="shared" ref="V639:V645" si="174">S639-T639</f>
        <v>100</v>
      </c>
      <c r="W639" s="231"/>
      <c r="X639" s="231"/>
      <c r="Y639" s="231"/>
      <c r="Z639" s="231"/>
      <c r="AA639" s="231"/>
      <c r="AB639" s="231"/>
      <c r="AC639" s="231"/>
      <c r="AD639" s="231"/>
      <c r="AE639" s="231"/>
      <c r="AF639" s="231"/>
      <c r="AG639" s="231"/>
      <c r="AH639" s="231"/>
      <c r="AI639" s="231">
        <f>SUM(AI640:AI645)</f>
        <v>0</v>
      </c>
      <c r="AJ639" s="233">
        <f t="shared" ref="AJ639:AJ645" si="175">AI639/Q639*100</f>
        <v>0</v>
      </c>
      <c r="AK639" s="234">
        <f t="shared" ref="AK639:AK645" si="176">Q639-AI639</f>
        <v>334885000</v>
      </c>
      <c r="AL639" s="233">
        <f t="shared" ref="AL639:AL645" si="177">AK639/Q639*100</f>
        <v>100</v>
      </c>
      <c r="AM639" s="243"/>
    </row>
    <row r="640" spans="1:39" ht="24.75" customHeight="1" x14ac:dyDescent="0.25">
      <c r="A640" s="243"/>
      <c r="B640" s="358"/>
      <c r="C640" s="358"/>
      <c r="D640" s="358"/>
      <c r="E640" s="358"/>
      <c r="F640" s="358"/>
      <c r="G640" s="358"/>
      <c r="H640" s="358"/>
      <c r="I640" s="359"/>
      <c r="J640" s="358" t="s">
        <v>257</v>
      </c>
      <c r="K640" s="245"/>
      <c r="L640" s="257"/>
      <c r="M640" s="591" t="s">
        <v>258</v>
      </c>
      <c r="N640" s="592"/>
      <c r="O640" s="179"/>
      <c r="P640" s="180"/>
      <c r="Q640" s="180">
        <v>560000</v>
      </c>
      <c r="R640" s="181">
        <f t="shared" ref="R640:R653" si="178">Q640/Q$639*100</f>
        <v>0.16722158352867403</v>
      </c>
      <c r="S640" s="181">
        <v>100</v>
      </c>
      <c r="T640" s="180">
        <f t="shared" si="172"/>
        <v>0</v>
      </c>
      <c r="U640" s="180">
        <f t="shared" si="173"/>
        <v>0</v>
      </c>
      <c r="V640" s="182">
        <f t="shared" si="174"/>
        <v>100</v>
      </c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  <c r="AG640" s="180"/>
      <c r="AH640" s="180"/>
      <c r="AI640" s="180">
        <v>0</v>
      </c>
      <c r="AJ640" s="181">
        <f t="shared" si="175"/>
        <v>0</v>
      </c>
      <c r="AK640" s="246">
        <f t="shared" si="176"/>
        <v>560000</v>
      </c>
      <c r="AL640" s="181">
        <f t="shared" si="177"/>
        <v>100</v>
      </c>
      <c r="AM640" s="243"/>
    </row>
    <row r="641" spans="1:39" ht="24.75" customHeight="1" x14ac:dyDescent="0.25">
      <c r="A641" s="243"/>
      <c r="B641" s="358"/>
      <c r="C641" s="358"/>
      <c r="D641" s="358"/>
      <c r="E641" s="358"/>
      <c r="F641" s="358"/>
      <c r="G641" s="358"/>
      <c r="H641" s="358"/>
      <c r="I641" s="359"/>
      <c r="J641" s="358" t="s">
        <v>633</v>
      </c>
      <c r="K641" s="245"/>
      <c r="L641" s="257"/>
      <c r="M641" s="591" t="s">
        <v>260</v>
      </c>
      <c r="N641" s="592"/>
      <c r="O641" s="179"/>
      <c r="P641" s="180"/>
      <c r="Q641" s="180">
        <v>600000</v>
      </c>
      <c r="R641" s="181">
        <f t="shared" si="178"/>
        <v>0.17916598235215075</v>
      </c>
      <c r="S641" s="181">
        <v>100</v>
      </c>
      <c r="T641" s="180">
        <f t="shared" si="172"/>
        <v>0</v>
      </c>
      <c r="U641" s="180">
        <f t="shared" si="173"/>
        <v>0</v>
      </c>
      <c r="V641" s="182">
        <f t="shared" si="174"/>
        <v>100</v>
      </c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  <c r="AG641" s="180"/>
      <c r="AH641" s="180"/>
      <c r="AI641" s="180">
        <v>0</v>
      </c>
      <c r="AJ641" s="181">
        <f t="shared" si="175"/>
        <v>0</v>
      </c>
      <c r="AK641" s="246">
        <f t="shared" si="176"/>
        <v>600000</v>
      </c>
      <c r="AL641" s="181">
        <f t="shared" si="177"/>
        <v>100</v>
      </c>
      <c r="AM641" s="243"/>
    </row>
    <row r="642" spans="1:39" ht="24.75" customHeight="1" x14ac:dyDescent="0.25">
      <c r="A642" s="243"/>
      <c r="B642" s="358"/>
      <c r="C642" s="358"/>
      <c r="D642" s="358"/>
      <c r="E642" s="358"/>
      <c r="F642" s="358"/>
      <c r="G642" s="358"/>
      <c r="H642" s="358"/>
      <c r="I642" s="359"/>
      <c r="J642" s="358" t="s">
        <v>375</v>
      </c>
      <c r="K642" s="245"/>
      <c r="L642" s="257"/>
      <c r="M642" s="591" t="s">
        <v>376</v>
      </c>
      <c r="N642" s="612"/>
      <c r="O642" s="179"/>
      <c r="P642" s="180"/>
      <c r="Q642" s="180">
        <v>60000000</v>
      </c>
      <c r="R642" s="181">
        <f t="shared" si="178"/>
        <v>17.916598235215073</v>
      </c>
      <c r="S642" s="181">
        <v>100</v>
      </c>
      <c r="T642" s="180">
        <f t="shared" si="172"/>
        <v>0</v>
      </c>
      <c r="U642" s="180">
        <f t="shared" si="173"/>
        <v>0</v>
      </c>
      <c r="V642" s="182">
        <f t="shared" si="174"/>
        <v>100</v>
      </c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  <c r="AG642" s="180"/>
      <c r="AH642" s="180"/>
      <c r="AI642" s="180">
        <v>0</v>
      </c>
      <c r="AJ642" s="181">
        <f t="shared" si="175"/>
        <v>0</v>
      </c>
      <c r="AK642" s="246">
        <f t="shared" si="176"/>
        <v>60000000</v>
      </c>
      <c r="AL642" s="181">
        <f t="shared" si="177"/>
        <v>100</v>
      </c>
      <c r="AM642" s="243"/>
    </row>
    <row r="643" spans="1:39" ht="24.75" customHeight="1" x14ac:dyDescent="0.25">
      <c r="A643" s="243"/>
      <c r="B643" s="358"/>
      <c r="C643" s="358"/>
      <c r="D643" s="358"/>
      <c r="E643" s="358"/>
      <c r="F643" s="358"/>
      <c r="G643" s="358"/>
      <c r="H643" s="358"/>
      <c r="I643" s="359"/>
      <c r="J643" s="358" t="s">
        <v>267</v>
      </c>
      <c r="K643" s="245"/>
      <c r="L643" s="257"/>
      <c r="M643" s="591" t="s">
        <v>268</v>
      </c>
      <c r="N643" s="592"/>
      <c r="O643" s="179"/>
      <c r="P643" s="180"/>
      <c r="Q643" s="180">
        <v>12500000</v>
      </c>
      <c r="R643" s="181">
        <f t="shared" si="178"/>
        <v>3.7326246323364738</v>
      </c>
      <c r="S643" s="181">
        <v>100</v>
      </c>
      <c r="T643" s="180">
        <f t="shared" si="172"/>
        <v>0</v>
      </c>
      <c r="U643" s="180">
        <f t="shared" si="173"/>
        <v>0</v>
      </c>
      <c r="V643" s="182">
        <f t="shared" si="174"/>
        <v>100</v>
      </c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  <c r="AG643" s="180"/>
      <c r="AH643" s="180"/>
      <c r="AI643" s="180">
        <v>0</v>
      </c>
      <c r="AJ643" s="181">
        <f t="shared" si="175"/>
        <v>0</v>
      </c>
      <c r="AK643" s="246">
        <f t="shared" si="176"/>
        <v>12500000</v>
      </c>
      <c r="AL643" s="181">
        <f t="shared" si="177"/>
        <v>100</v>
      </c>
      <c r="AM643" s="243"/>
    </row>
    <row r="644" spans="1:39" ht="24.75" customHeight="1" x14ac:dyDescent="0.25">
      <c r="A644" s="243"/>
      <c r="B644" s="358"/>
      <c r="C644" s="358"/>
      <c r="D644" s="358"/>
      <c r="E644" s="358"/>
      <c r="F644" s="358"/>
      <c r="G644" s="358"/>
      <c r="H644" s="358"/>
      <c r="I644" s="359"/>
      <c r="J644" s="358" t="s">
        <v>332</v>
      </c>
      <c r="K644" s="245"/>
      <c r="L644" s="257"/>
      <c r="M644" s="591" t="s">
        <v>351</v>
      </c>
      <c r="N644" s="592"/>
      <c r="O644" s="179"/>
      <c r="P644" s="180"/>
      <c r="Q644" s="180">
        <v>1000000</v>
      </c>
      <c r="R644" s="181">
        <f t="shared" si="178"/>
        <v>0.29860997058691791</v>
      </c>
      <c r="S644" s="181">
        <v>100</v>
      </c>
      <c r="T644" s="180">
        <f t="shared" si="172"/>
        <v>0</v>
      </c>
      <c r="U644" s="180">
        <f t="shared" si="173"/>
        <v>0</v>
      </c>
      <c r="V644" s="182">
        <f t="shared" si="174"/>
        <v>100</v>
      </c>
      <c r="W644" s="180"/>
      <c r="X644" s="180"/>
      <c r="Y644" s="180"/>
      <c r="Z644" s="180"/>
      <c r="AA644" s="180"/>
      <c r="AB644" s="180"/>
      <c r="AC644" s="180"/>
      <c r="AD644" s="180"/>
      <c r="AE644" s="180"/>
      <c r="AF644" s="180"/>
      <c r="AG644" s="180"/>
      <c r="AH644" s="180"/>
      <c r="AI644" s="180">
        <v>0</v>
      </c>
      <c r="AJ644" s="181">
        <f t="shared" si="175"/>
        <v>0</v>
      </c>
      <c r="AK644" s="246">
        <f t="shared" si="176"/>
        <v>1000000</v>
      </c>
      <c r="AL644" s="181">
        <f t="shared" si="177"/>
        <v>100</v>
      </c>
      <c r="AM644" s="243"/>
    </row>
    <row r="645" spans="1:39" ht="24.75" customHeight="1" x14ac:dyDescent="0.25">
      <c r="A645" s="243"/>
      <c r="B645" s="358"/>
      <c r="C645" s="358"/>
      <c r="D645" s="358"/>
      <c r="E645" s="358"/>
      <c r="F645" s="358"/>
      <c r="G645" s="358"/>
      <c r="H645" s="358"/>
      <c r="I645" s="359"/>
      <c r="J645" s="358" t="s">
        <v>315</v>
      </c>
      <c r="K645" s="245"/>
      <c r="L645" s="257"/>
      <c r="M645" s="591" t="s">
        <v>271</v>
      </c>
      <c r="N645" s="592"/>
      <c r="O645" s="179"/>
      <c r="P645" s="180"/>
      <c r="Q645" s="180">
        <v>975000</v>
      </c>
      <c r="R645" s="181">
        <f t="shared" si="178"/>
        <v>0.29114472132224495</v>
      </c>
      <c r="S645" s="181">
        <v>100</v>
      </c>
      <c r="T645" s="180">
        <f t="shared" si="172"/>
        <v>0</v>
      </c>
      <c r="U645" s="180">
        <f t="shared" si="173"/>
        <v>0</v>
      </c>
      <c r="V645" s="182">
        <f t="shared" si="174"/>
        <v>100</v>
      </c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  <c r="AG645" s="180"/>
      <c r="AH645" s="180"/>
      <c r="AI645" s="180">
        <v>0</v>
      </c>
      <c r="AJ645" s="181">
        <f t="shared" si="175"/>
        <v>0</v>
      </c>
      <c r="AK645" s="246">
        <f t="shared" si="176"/>
        <v>975000</v>
      </c>
      <c r="AL645" s="181">
        <f t="shared" si="177"/>
        <v>100</v>
      </c>
      <c r="AM645" s="243"/>
    </row>
    <row r="646" spans="1:39" ht="24.75" customHeight="1" x14ac:dyDescent="0.25">
      <c r="A646" s="243"/>
      <c r="B646" s="358"/>
      <c r="C646" s="358"/>
      <c r="D646" s="358"/>
      <c r="E646" s="358"/>
      <c r="F646" s="358"/>
      <c r="G646" s="358"/>
      <c r="H646" s="358"/>
      <c r="I646" s="359"/>
      <c r="J646" s="358" t="s">
        <v>501</v>
      </c>
      <c r="K646" s="245"/>
      <c r="L646" s="257"/>
      <c r="M646" s="591" t="s">
        <v>317</v>
      </c>
      <c r="N646" s="592"/>
      <c r="O646" s="179"/>
      <c r="P646" s="180"/>
      <c r="Q646" s="180">
        <v>400000</v>
      </c>
      <c r="R646" s="181">
        <f t="shared" si="178"/>
        <v>0.11944398823476715</v>
      </c>
      <c r="S646" s="181">
        <v>100</v>
      </c>
      <c r="T646" s="180">
        <f t="shared" ref="T646:T651" si="179">AJ646</f>
        <v>0</v>
      </c>
      <c r="U646" s="180">
        <f t="shared" ref="U646:U651" si="180">R646*T646/100</f>
        <v>0</v>
      </c>
      <c r="V646" s="182">
        <f t="shared" ref="V646:V651" si="181">S646-T646</f>
        <v>100</v>
      </c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  <c r="AG646" s="180"/>
      <c r="AH646" s="180"/>
      <c r="AI646" s="180">
        <v>0</v>
      </c>
      <c r="AJ646" s="181">
        <f t="shared" ref="AJ646:AJ651" si="182">AI646/Q646*100</f>
        <v>0</v>
      </c>
      <c r="AK646" s="246">
        <f t="shared" ref="AK646:AK651" si="183">Q646-AI646</f>
        <v>400000</v>
      </c>
      <c r="AL646" s="181">
        <f t="shared" ref="AL646:AL651" si="184">AK646/Q646*100</f>
        <v>100</v>
      </c>
      <c r="AM646" s="243"/>
    </row>
    <row r="647" spans="1:39" ht="24.75" customHeight="1" x14ac:dyDescent="0.25">
      <c r="A647" s="243"/>
      <c r="B647" s="358"/>
      <c r="C647" s="358"/>
      <c r="D647" s="358"/>
      <c r="E647" s="358"/>
      <c r="F647" s="358"/>
      <c r="G647" s="358"/>
      <c r="H647" s="358"/>
      <c r="I647" s="359"/>
      <c r="J647" s="358" t="s">
        <v>318</v>
      </c>
      <c r="K647" s="245"/>
      <c r="L647" s="257"/>
      <c r="M647" s="591" t="s">
        <v>319</v>
      </c>
      <c r="N647" s="592"/>
      <c r="O647" s="179"/>
      <c r="P647" s="180"/>
      <c r="Q647" s="180">
        <v>21000000</v>
      </c>
      <c r="R647" s="181">
        <f t="shared" si="178"/>
        <v>6.2708093823252762</v>
      </c>
      <c r="S647" s="181">
        <v>100</v>
      </c>
      <c r="T647" s="180">
        <f t="shared" si="179"/>
        <v>0</v>
      </c>
      <c r="U647" s="180">
        <f t="shared" si="180"/>
        <v>0</v>
      </c>
      <c r="V647" s="182">
        <f t="shared" si="181"/>
        <v>100</v>
      </c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  <c r="AG647" s="180"/>
      <c r="AH647" s="180"/>
      <c r="AI647" s="180">
        <v>0</v>
      </c>
      <c r="AJ647" s="181">
        <f t="shared" si="182"/>
        <v>0</v>
      </c>
      <c r="AK647" s="246">
        <f t="shared" si="183"/>
        <v>21000000</v>
      </c>
      <c r="AL647" s="181">
        <f t="shared" si="184"/>
        <v>100</v>
      </c>
      <c r="AM647" s="243"/>
    </row>
    <row r="648" spans="1:39" ht="24.75" customHeight="1" x14ac:dyDescent="0.25">
      <c r="A648" s="243"/>
      <c r="B648" s="358"/>
      <c r="C648" s="358"/>
      <c r="D648" s="358"/>
      <c r="E648" s="358"/>
      <c r="F648" s="358"/>
      <c r="G648" s="358"/>
      <c r="H648" s="358"/>
      <c r="I648" s="359"/>
      <c r="J648" s="358" t="s">
        <v>280</v>
      </c>
      <c r="K648" s="245"/>
      <c r="L648" s="257"/>
      <c r="M648" s="591" t="s">
        <v>281</v>
      </c>
      <c r="N648" s="612"/>
      <c r="O648" s="179"/>
      <c r="P648" s="180"/>
      <c r="Q648" s="180">
        <v>1250000</v>
      </c>
      <c r="R648" s="181">
        <f t="shared" si="178"/>
        <v>0.37326246323364737</v>
      </c>
      <c r="S648" s="181">
        <v>100</v>
      </c>
      <c r="T648" s="180">
        <f t="shared" si="179"/>
        <v>0</v>
      </c>
      <c r="U648" s="180">
        <f t="shared" si="180"/>
        <v>0</v>
      </c>
      <c r="V648" s="182">
        <f t="shared" si="181"/>
        <v>100</v>
      </c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  <c r="AG648" s="180"/>
      <c r="AH648" s="180"/>
      <c r="AI648" s="180">
        <v>0</v>
      </c>
      <c r="AJ648" s="181">
        <f t="shared" si="182"/>
        <v>0</v>
      </c>
      <c r="AK648" s="246">
        <f t="shared" si="183"/>
        <v>1250000</v>
      </c>
      <c r="AL648" s="181">
        <f t="shared" si="184"/>
        <v>100</v>
      </c>
      <c r="AM648" s="243"/>
    </row>
    <row r="649" spans="1:39" ht="24.75" customHeight="1" x14ac:dyDescent="0.25">
      <c r="A649" s="243"/>
      <c r="B649" s="358"/>
      <c r="C649" s="358"/>
      <c r="D649" s="358"/>
      <c r="E649" s="358"/>
      <c r="F649" s="358"/>
      <c r="G649" s="358"/>
      <c r="H649" s="358"/>
      <c r="I649" s="359"/>
      <c r="J649" s="358" t="s">
        <v>284</v>
      </c>
      <c r="K649" s="245"/>
      <c r="L649" s="257"/>
      <c r="M649" s="591" t="s">
        <v>285</v>
      </c>
      <c r="N649" s="592"/>
      <c r="O649" s="179"/>
      <c r="P649" s="180"/>
      <c r="Q649" s="180">
        <v>2000000</v>
      </c>
      <c r="R649" s="181">
        <f t="shared" si="178"/>
        <v>0.59721994117383581</v>
      </c>
      <c r="S649" s="181">
        <v>100</v>
      </c>
      <c r="T649" s="180">
        <f t="shared" si="179"/>
        <v>0</v>
      </c>
      <c r="U649" s="180">
        <f t="shared" si="180"/>
        <v>0</v>
      </c>
      <c r="V649" s="182">
        <f t="shared" si="181"/>
        <v>100</v>
      </c>
      <c r="W649" s="180"/>
      <c r="X649" s="180"/>
      <c r="Y649" s="180"/>
      <c r="Z649" s="180"/>
      <c r="AA649" s="180"/>
      <c r="AB649" s="180"/>
      <c r="AC649" s="180"/>
      <c r="AD649" s="180"/>
      <c r="AE649" s="180"/>
      <c r="AF649" s="180"/>
      <c r="AG649" s="180"/>
      <c r="AH649" s="180"/>
      <c r="AI649" s="180">
        <v>0</v>
      </c>
      <c r="AJ649" s="181">
        <f t="shared" si="182"/>
        <v>0</v>
      </c>
      <c r="AK649" s="246">
        <f t="shared" si="183"/>
        <v>2000000</v>
      </c>
      <c r="AL649" s="181">
        <f t="shared" si="184"/>
        <v>100</v>
      </c>
      <c r="AM649" s="243"/>
    </row>
    <row r="650" spans="1:39" ht="24.75" customHeight="1" x14ac:dyDescent="0.25">
      <c r="A650" s="243"/>
      <c r="B650" s="358"/>
      <c r="C650" s="358"/>
      <c r="D650" s="358"/>
      <c r="E650" s="358"/>
      <c r="F650" s="358"/>
      <c r="G650" s="358"/>
      <c r="H650" s="358"/>
      <c r="I650" s="359"/>
      <c r="J650" s="358" t="s">
        <v>282</v>
      </c>
      <c r="K650" s="245"/>
      <c r="L650" s="257"/>
      <c r="M650" s="591" t="s">
        <v>283</v>
      </c>
      <c r="N650" s="592"/>
      <c r="O650" s="179"/>
      <c r="P650" s="180"/>
      <c r="Q650" s="180">
        <v>210000000</v>
      </c>
      <c r="R650" s="181">
        <f t="shared" si="178"/>
        <v>62.708093823252753</v>
      </c>
      <c r="S650" s="181">
        <v>100</v>
      </c>
      <c r="T650" s="180">
        <f t="shared" si="179"/>
        <v>0</v>
      </c>
      <c r="U650" s="180">
        <f t="shared" si="180"/>
        <v>0</v>
      </c>
      <c r="V650" s="182">
        <f t="shared" si="181"/>
        <v>100</v>
      </c>
      <c r="W650" s="180"/>
      <c r="X650" s="180"/>
      <c r="Y650" s="180"/>
      <c r="Z650" s="180"/>
      <c r="AA650" s="180"/>
      <c r="AB650" s="180"/>
      <c r="AC650" s="180"/>
      <c r="AD650" s="180"/>
      <c r="AE650" s="180"/>
      <c r="AF650" s="180"/>
      <c r="AG650" s="180"/>
      <c r="AH650" s="180"/>
      <c r="AI650" s="180">
        <v>0</v>
      </c>
      <c r="AJ650" s="181">
        <f t="shared" si="182"/>
        <v>0</v>
      </c>
      <c r="AK650" s="246">
        <f t="shared" si="183"/>
        <v>210000000</v>
      </c>
      <c r="AL650" s="181">
        <f t="shared" si="184"/>
        <v>100</v>
      </c>
      <c r="AM650" s="243"/>
    </row>
    <row r="651" spans="1:39" ht="24.75" customHeight="1" x14ac:dyDescent="0.25">
      <c r="A651" s="243"/>
      <c r="B651" s="358"/>
      <c r="C651" s="358"/>
      <c r="D651" s="358"/>
      <c r="E651" s="358"/>
      <c r="F651" s="358"/>
      <c r="G651" s="358"/>
      <c r="H651" s="358"/>
      <c r="I651" s="359"/>
      <c r="J651" s="358" t="s">
        <v>320</v>
      </c>
      <c r="K651" s="245"/>
      <c r="L651" s="257"/>
      <c r="M651" s="591" t="s">
        <v>321</v>
      </c>
      <c r="N651" s="592"/>
      <c r="O651" s="179"/>
      <c r="P651" s="180"/>
      <c r="Q651" s="180">
        <v>5600000</v>
      </c>
      <c r="R651" s="181">
        <f t="shared" si="178"/>
        <v>1.6722158352867402</v>
      </c>
      <c r="S651" s="181">
        <v>100</v>
      </c>
      <c r="T651" s="180">
        <f t="shared" si="179"/>
        <v>0</v>
      </c>
      <c r="U651" s="180">
        <f t="shared" si="180"/>
        <v>0</v>
      </c>
      <c r="V651" s="182">
        <f t="shared" si="181"/>
        <v>100</v>
      </c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>
        <v>0</v>
      </c>
      <c r="AJ651" s="181">
        <f t="shared" si="182"/>
        <v>0</v>
      </c>
      <c r="AK651" s="246">
        <f t="shared" si="183"/>
        <v>5600000</v>
      </c>
      <c r="AL651" s="181">
        <f t="shared" si="184"/>
        <v>100</v>
      </c>
      <c r="AM651" s="243"/>
    </row>
    <row r="652" spans="1:39" ht="24.75" customHeight="1" x14ac:dyDescent="0.25">
      <c r="A652" s="243"/>
      <c r="B652" s="358"/>
      <c r="C652" s="358"/>
      <c r="D652" s="358"/>
      <c r="E652" s="358"/>
      <c r="F652" s="358"/>
      <c r="G652" s="358"/>
      <c r="H652" s="358"/>
      <c r="I652" s="359"/>
      <c r="J652" s="358" t="s">
        <v>407</v>
      </c>
      <c r="K652" s="245"/>
      <c r="L652" s="257"/>
      <c r="M652" s="591" t="s">
        <v>634</v>
      </c>
      <c r="N652" s="592"/>
      <c r="O652" s="179"/>
      <c r="P652" s="180"/>
      <c r="Q652" s="180">
        <v>4000000</v>
      </c>
      <c r="R652" s="181">
        <f t="shared" si="178"/>
        <v>1.1944398823476716</v>
      </c>
      <c r="S652" s="181">
        <v>100</v>
      </c>
      <c r="T652" s="180">
        <f t="shared" ref="T652:T653" si="185">AJ652</f>
        <v>0</v>
      </c>
      <c r="U652" s="180">
        <f t="shared" ref="U652:U653" si="186">R652*T652/100</f>
        <v>0</v>
      </c>
      <c r="V652" s="182">
        <f t="shared" ref="V652:V653" si="187">S652-T652</f>
        <v>100</v>
      </c>
      <c r="W652" s="180"/>
      <c r="X652" s="180"/>
      <c r="Y652" s="180"/>
      <c r="Z652" s="180"/>
      <c r="AA652" s="180"/>
      <c r="AB652" s="180"/>
      <c r="AC652" s="180"/>
      <c r="AD652" s="180"/>
      <c r="AE652" s="180"/>
      <c r="AF652" s="180"/>
      <c r="AG652" s="180"/>
      <c r="AH652" s="180"/>
      <c r="AI652" s="180">
        <v>0</v>
      </c>
      <c r="AJ652" s="181">
        <f t="shared" ref="AJ652:AJ653" si="188">AI652/Q652*100</f>
        <v>0</v>
      </c>
      <c r="AK652" s="246">
        <f t="shared" ref="AK652:AK653" si="189">Q652-AI652</f>
        <v>4000000</v>
      </c>
      <c r="AL652" s="181">
        <f t="shared" ref="AL652:AL653" si="190">AK652/Q652*100</f>
        <v>100</v>
      </c>
      <c r="AM652" s="243"/>
    </row>
    <row r="653" spans="1:39" ht="24.75" customHeight="1" x14ac:dyDescent="0.25">
      <c r="A653" s="243"/>
      <c r="B653" s="358"/>
      <c r="C653" s="358"/>
      <c r="D653" s="358"/>
      <c r="E653" s="358"/>
      <c r="F653" s="358"/>
      <c r="G653" s="358"/>
      <c r="H653" s="358"/>
      <c r="I653" s="359"/>
      <c r="J653" s="358" t="s">
        <v>372</v>
      </c>
      <c r="K653" s="245"/>
      <c r="L653" s="257"/>
      <c r="M653" s="591" t="s">
        <v>373</v>
      </c>
      <c r="N653" s="592"/>
      <c r="O653" s="179"/>
      <c r="P653" s="180"/>
      <c r="Q653" s="180">
        <v>15000000</v>
      </c>
      <c r="R653" s="181">
        <f t="shared" si="178"/>
        <v>4.4791495588037682</v>
      </c>
      <c r="S653" s="181">
        <v>100</v>
      </c>
      <c r="T653" s="180">
        <f t="shared" si="185"/>
        <v>0</v>
      </c>
      <c r="U653" s="180">
        <f t="shared" si="186"/>
        <v>0</v>
      </c>
      <c r="V653" s="182">
        <f t="shared" si="187"/>
        <v>100</v>
      </c>
      <c r="W653" s="180"/>
      <c r="X653" s="180"/>
      <c r="Y653" s="180"/>
      <c r="Z653" s="180"/>
      <c r="AA653" s="180"/>
      <c r="AB653" s="180"/>
      <c r="AC653" s="180"/>
      <c r="AD653" s="180"/>
      <c r="AE653" s="180"/>
      <c r="AF653" s="180"/>
      <c r="AG653" s="180"/>
      <c r="AH653" s="180"/>
      <c r="AI653" s="180">
        <v>0</v>
      </c>
      <c r="AJ653" s="181">
        <f t="shared" si="188"/>
        <v>0</v>
      </c>
      <c r="AK653" s="246">
        <f t="shared" si="189"/>
        <v>15000000</v>
      </c>
      <c r="AL653" s="181">
        <f t="shared" si="190"/>
        <v>100</v>
      </c>
      <c r="AM653" s="243"/>
    </row>
    <row r="654" spans="1:39" s="297" customFormat="1" ht="28.5" customHeight="1" x14ac:dyDescent="0.25">
      <c r="A654" s="227">
        <v>78</v>
      </c>
      <c r="B654" s="346"/>
      <c r="C654" s="346"/>
      <c r="D654" s="346"/>
      <c r="E654" s="346"/>
      <c r="F654" s="346"/>
      <c r="G654" s="346"/>
      <c r="H654" s="346"/>
      <c r="I654" s="345"/>
      <c r="J654" s="304" t="s">
        <v>530</v>
      </c>
      <c r="K654" s="230"/>
      <c r="L654" s="294"/>
      <c r="M654" s="610" t="s">
        <v>210</v>
      </c>
      <c r="N654" s="610"/>
      <c r="O654" s="309"/>
      <c r="P654" s="231"/>
      <c r="Q654" s="231">
        <f>SUM(Q655:Q667)</f>
        <v>221952061</v>
      </c>
      <c r="R654" s="233">
        <f>Q654/Q$33*100</f>
        <v>0.69826432176742415</v>
      </c>
      <c r="S654" s="233">
        <v>100</v>
      </c>
      <c r="T654" s="231">
        <f t="shared" si="168"/>
        <v>0</v>
      </c>
      <c r="U654" s="231">
        <f t="shared" si="119"/>
        <v>0</v>
      </c>
      <c r="V654" s="296">
        <f t="shared" si="146"/>
        <v>100</v>
      </c>
      <c r="W654" s="231"/>
      <c r="X654" s="231"/>
      <c r="Y654" s="231"/>
      <c r="Z654" s="231"/>
      <c r="AA654" s="231"/>
      <c r="AB654" s="231"/>
      <c r="AC654" s="231"/>
      <c r="AD654" s="231"/>
      <c r="AE654" s="231"/>
      <c r="AF654" s="231"/>
      <c r="AG654" s="231"/>
      <c r="AH654" s="231"/>
      <c r="AI654" s="231">
        <f>SUM(AI655:AI667)</f>
        <v>0</v>
      </c>
      <c r="AJ654" s="233">
        <f t="shared" si="164"/>
        <v>0</v>
      </c>
      <c r="AK654" s="234">
        <f t="shared" si="170"/>
        <v>221952061</v>
      </c>
      <c r="AL654" s="233">
        <f t="shared" si="166"/>
        <v>100</v>
      </c>
      <c r="AM654" s="227"/>
    </row>
    <row r="655" spans="1:39" ht="28.5" customHeight="1" x14ac:dyDescent="0.25">
      <c r="A655" s="243"/>
      <c r="B655" s="341"/>
      <c r="C655" s="341"/>
      <c r="D655" s="341"/>
      <c r="E655" s="341"/>
      <c r="F655" s="341"/>
      <c r="G655" s="341"/>
      <c r="H655" s="341"/>
      <c r="I655" s="342"/>
      <c r="J655" s="341" t="s">
        <v>259</v>
      </c>
      <c r="K655" s="245"/>
      <c r="L655" s="257"/>
      <c r="M655" s="591" t="s">
        <v>260</v>
      </c>
      <c r="N655" s="592"/>
      <c r="O655" s="179"/>
      <c r="P655" s="180"/>
      <c r="Q655" s="180">
        <v>650000</v>
      </c>
      <c r="R655" s="181">
        <f t="shared" ref="R655:R667" si="191">Q655/Q$654*100</f>
        <v>0.29285603254659576</v>
      </c>
      <c r="S655" s="181">
        <v>100</v>
      </c>
      <c r="T655" s="180">
        <f t="shared" si="168"/>
        <v>0</v>
      </c>
      <c r="U655" s="180">
        <f t="shared" si="119"/>
        <v>0</v>
      </c>
      <c r="V655" s="182">
        <f t="shared" si="146"/>
        <v>100</v>
      </c>
      <c r="W655" s="180"/>
      <c r="X655" s="180"/>
      <c r="Y655" s="180"/>
      <c r="Z655" s="180"/>
      <c r="AA655" s="180"/>
      <c r="AB655" s="180"/>
      <c r="AC655" s="180"/>
      <c r="AD655" s="180"/>
      <c r="AE655" s="180"/>
      <c r="AF655" s="180"/>
      <c r="AG655" s="180"/>
      <c r="AH655" s="180"/>
      <c r="AI655" s="180">
        <v>0</v>
      </c>
      <c r="AJ655" s="181">
        <f t="shared" si="164"/>
        <v>0</v>
      </c>
      <c r="AK655" s="246">
        <f t="shared" si="170"/>
        <v>650000</v>
      </c>
      <c r="AL655" s="181">
        <f t="shared" si="166"/>
        <v>100</v>
      </c>
      <c r="AM655" s="243"/>
    </row>
    <row r="656" spans="1:39" ht="28.5" customHeight="1" x14ac:dyDescent="0.25">
      <c r="A656" s="243"/>
      <c r="B656" s="341"/>
      <c r="C656" s="341"/>
      <c r="D656" s="341"/>
      <c r="E656" s="341"/>
      <c r="F656" s="341"/>
      <c r="G656" s="341"/>
      <c r="H656" s="341"/>
      <c r="I656" s="342"/>
      <c r="J656" s="341" t="s">
        <v>375</v>
      </c>
      <c r="K656" s="245"/>
      <c r="L656" s="257"/>
      <c r="M656" s="611" t="s">
        <v>376</v>
      </c>
      <c r="N656" s="598"/>
      <c r="O656" s="179"/>
      <c r="P656" s="180"/>
      <c r="Q656" s="180">
        <v>124500000</v>
      </c>
      <c r="R656" s="181">
        <f t="shared" si="191"/>
        <v>56.093193926232566</v>
      </c>
      <c r="S656" s="181">
        <v>100</v>
      </c>
      <c r="T656" s="180">
        <f t="shared" si="168"/>
        <v>0</v>
      </c>
      <c r="U656" s="180">
        <f t="shared" si="119"/>
        <v>0</v>
      </c>
      <c r="V656" s="182">
        <f t="shared" si="146"/>
        <v>100</v>
      </c>
      <c r="W656" s="180"/>
      <c r="X656" s="180"/>
      <c r="Y656" s="180"/>
      <c r="Z656" s="180"/>
      <c r="AA656" s="180"/>
      <c r="AB656" s="180"/>
      <c r="AC656" s="180"/>
      <c r="AD656" s="180"/>
      <c r="AE656" s="180"/>
      <c r="AF656" s="180"/>
      <c r="AG656" s="180"/>
      <c r="AH656" s="180"/>
      <c r="AI656" s="180">
        <v>0</v>
      </c>
      <c r="AJ656" s="181">
        <f t="shared" si="164"/>
        <v>0</v>
      </c>
      <c r="AK656" s="246">
        <f t="shared" si="170"/>
        <v>124500000</v>
      </c>
      <c r="AL656" s="181">
        <f t="shared" si="166"/>
        <v>100</v>
      </c>
      <c r="AM656" s="243"/>
    </row>
    <row r="657" spans="1:39" ht="28.5" customHeight="1" x14ac:dyDescent="0.25">
      <c r="A657" s="243"/>
      <c r="B657" s="341"/>
      <c r="C657" s="341"/>
      <c r="D657" s="341"/>
      <c r="E657" s="341"/>
      <c r="F657" s="341"/>
      <c r="G657" s="341"/>
      <c r="H657" s="341"/>
      <c r="I657" s="342"/>
      <c r="J657" s="341" t="s">
        <v>267</v>
      </c>
      <c r="K657" s="245"/>
      <c r="L657" s="257"/>
      <c r="M657" s="591" t="s">
        <v>268</v>
      </c>
      <c r="N657" s="592"/>
      <c r="O657" s="179"/>
      <c r="P657" s="180"/>
      <c r="Q657" s="180">
        <v>12500000</v>
      </c>
      <c r="R657" s="181">
        <f t="shared" si="191"/>
        <v>5.6318467797422258</v>
      </c>
      <c r="S657" s="181">
        <v>100</v>
      </c>
      <c r="T657" s="180">
        <f t="shared" si="168"/>
        <v>0</v>
      </c>
      <c r="U657" s="180">
        <f t="shared" si="119"/>
        <v>0</v>
      </c>
      <c r="V657" s="182">
        <f t="shared" si="146"/>
        <v>100</v>
      </c>
      <c r="W657" s="180"/>
      <c r="X657" s="180"/>
      <c r="Y657" s="180"/>
      <c r="Z657" s="180"/>
      <c r="AA657" s="180"/>
      <c r="AB657" s="180"/>
      <c r="AC657" s="180"/>
      <c r="AD657" s="180"/>
      <c r="AE657" s="180"/>
      <c r="AF657" s="180"/>
      <c r="AG657" s="180"/>
      <c r="AH657" s="180"/>
      <c r="AI657" s="180">
        <v>0</v>
      </c>
      <c r="AJ657" s="181">
        <f t="shared" si="164"/>
        <v>0</v>
      </c>
      <c r="AK657" s="246">
        <f t="shared" si="170"/>
        <v>12500000</v>
      </c>
      <c r="AL657" s="181">
        <f t="shared" si="166"/>
        <v>100</v>
      </c>
      <c r="AM657" s="243"/>
    </row>
    <row r="658" spans="1:39" ht="28.5" customHeight="1" x14ac:dyDescent="0.25">
      <c r="A658" s="243"/>
      <c r="B658" s="341"/>
      <c r="C658" s="341"/>
      <c r="D658" s="341"/>
      <c r="E658" s="341"/>
      <c r="F658" s="341"/>
      <c r="G658" s="341"/>
      <c r="H658" s="341"/>
      <c r="I658" s="342"/>
      <c r="J658" s="341" t="s">
        <v>332</v>
      </c>
      <c r="K658" s="245"/>
      <c r="L658" s="257"/>
      <c r="M658" s="591" t="s">
        <v>351</v>
      </c>
      <c r="N658" s="592"/>
      <c r="O658" s="179"/>
      <c r="P658" s="180"/>
      <c r="Q658" s="180">
        <v>500000</v>
      </c>
      <c r="R658" s="181">
        <f t="shared" si="191"/>
        <v>0.22527387118968903</v>
      </c>
      <c r="S658" s="181">
        <v>100</v>
      </c>
      <c r="T658" s="180">
        <f t="shared" si="168"/>
        <v>0</v>
      </c>
      <c r="U658" s="180">
        <f t="shared" si="119"/>
        <v>0</v>
      </c>
      <c r="V658" s="182">
        <f t="shared" si="146"/>
        <v>100</v>
      </c>
      <c r="W658" s="180"/>
      <c r="X658" s="180"/>
      <c r="Y658" s="180"/>
      <c r="Z658" s="180"/>
      <c r="AA658" s="180"/>
      <c r="AB658" s="180"/>
      <c r="AC658" s="180"/>
      <c r="AD658" s="180"/>
      <c r="AE658" s="180"/>
      <c r="AF658" s="180"/>
      <c r="AG658" s="180"/>
      <c r="AH658" s="180"/>
      <c r="AI658" s="180">
        <v>0</v>
      </c>
      <c r="AJ658" s="181">
        <f t="shared" si="164"/>
        <v>0</v>
      </c>
      <c r="AK658" s="246">
        <f t="shared" si="170"/>
        <v>500000</v>
      </c>
      <c r="AL658" s="181">
        <f t="shared" si="166"/>
        <v>100</v>
      </c>
      <c r="AM658" s="243"/>
    </row>
    <row r="659" spans="1:39" ht="28.5" customHeight="1" x14ac:dyDescent="0.25">
      <c r="A659" s="243"/>
      <c r="B659" s="341"/>
      <c r="C659" s="341"/>
      <c r="D659" s="341"/>
      <c r="E659" s="341"/>
      <c r="F659" s="341"/>
      <c r="G659" s="341"/>
      <c r="H659" s="341"/>
      <c r="I659" s="342"/>
      <c r="J659" s="341" t="s">
        <v>315</v>
      </c>
      <c r="K659" s="245"/>
      <c r="L659" s="257"/>
      <c r="M659" s="591" t="s">
        <v>271</v>
      </c>
      <c r="N659" s="592"/>
      <c r="O659" s="179"/>
      <c r="P659" s="180"/>
      <c r="Q659" s="180">
        <v>977061</v>
      </c>
      <c r="R659" s="181">
        <f t="shared" si="191"/>
        <v>0.44021262771693753</v>
      </c>
      <c r="S659" s="181">
        <v>100</v>
      </c>
      <c r="T659" s="180">
        <f t="shared" si="168"/>
        <v>0</v>
      </c>
      <c r="U659" s="180">
        <f t="shared" si="119"/>
        <v>0</v>
      </c>
      <c r="V659" s="182">
        <f t="shared" si="146"/>
        <v>100</v>
      </c>
      <c r="W659" s="180"/>
      <c r="X659" s="180"/>
      <c r="Y659" s="180"/>
      <c r="Z659" s="180"/>
      <c r="AA659" s="180"/>
      <c r="AB659" s="180"/>
      <c r="AC659" s="180"/>
      <c r="AD659" s="180"/>
      <c r="AE659" s="180"/>
      <c r="AF659" s="180"/>
      <c r="AG659" s="180"/>
      <c r="AH659" s="180"/>
      <c r="AI659" s="180">
        <v>0</v>
      </c>
      <c r="AJ659" s="181">
        <f t="shared" si="164"/>
        <v>0</v>
      </c>
      <c r="AK659" s="246">
        <f t="shared" si="170"/>
        <v>977061</v>
      </c>
      <c r="AL659" s="181">
        <f t="shared" si="166"/>
        <v>100</v>
      </c>
      <c r="AM659" s="243"/>
    </row>
    <row r="660" spans="1:39" ht="28.5" customHeight="1" x14ac:dyDescent="0.25">
      <c r="A660" s="243"/>
      <c r="B660" s="341"/>
      <c r="C660" s="341"/>
      <c r="D660" s="341"/>
      <c r="E660" s="341"/>
      <c r="F660" s="341"/>
      <c r="G660" s="341"/>
      <c r="H660" s="341"/>
      <c r="I660" s="342"/>
      <c r="J660" s="341" t="s">
        <v>316</v>
      </c>
      <c r="K660" s="245"/>
      <c r="L660" s="257"/>
      <c r="M660" s="591" t="s">
        <v>317</v>
      </c>
      <c r="N660" s="592"/>
      <c r="O660" s="179"/>
      <c r="P660" s="180"/>
      <c r="Q660" s="180">
        <v>400000</v>
      </c>
      <c r="R660" s="181">
        <f t="shared" si="191"/>
        <v>0.18021909695175123</v>
      </c>
      <c r="S660" s="181">
        <v>100</v>
      </c>
      <c r="T660" s="180">
        <f t="shared" si="168"/>
        <v>0</v>
      </c>
      <c r="U660" s="180">
        <f t="shared" si="119"/>
        <v>0</v>
      </c>
      <c r="V660" s="182">
        <f t="shared" si="146"/>
        <v>100</v>
      </c>
      <c r="W660" s="180"/>
      <c r="X660" s="180"/>
      <c r="Y660" s="180"/>
      <c r="Z660" s="180"/>
      <c r="AA660" s="180"/>
      <c r="AB660" s="180"/>
      <c r="AC660" s="180"/>
      <c r="AD660" s="180"/>
      <c r="AE660" s="180"/>
      <c r="AF660" s="180"/>
      <c r="AG660" s="180"/>
      <c r="AH660" s="180"/>
      <c r="AI660" s="180">
        <v>0</v>
      </c>
      <c r="AJ660" s="181">
        <f t="shared" si="164"/>
        <v>0</v>
      </c>
      <c r="AK660" s="246">
        <f t="shared" si="170"/>
        <v>400000</v>
      </c>
      <c r="AL660" s="181">
        <f t="shared" si="166"/>
        <v>100</v>
      </c>
      <c r="AM660" s="243"/>
    </row>
    <row r="661" spans="1:39" ht="28.5" customHeight="1" x14ac:dyDescent="0.25">
      <c r="A661" s="243"/>
      <c r="B661" s="341"/>
      <c r="C661" s="341"/>
      <c r="D661" s="341"/>
      <c r="E661" s="341"/>
      <c r="F661" s="341"/>
      <c r="G661" s="341"/>
      <c r="H661" s="341"/>
      <c r="I661" s="342"/>
      <c r="J661" s="341" t="s">
        <v>318</v>
      </c>
      <c r="K661" s="245"/>
      <c r="L661" s="257"/>
      <c r="M661" s="591" t="s">
        <v>319</v>
      </c>
      <c r="N661" s="592"/>
      <c r="O661" s="179"/>
      <c r="P661" s="180"/>
      <c r="Q661" s="180">
        <v>35000000</v>
      </c>
      <c r="R661" s="181">
        <f t="shared" si="191"/>
        <v>15.769170983278229</v>
      </c>
      <c r="S661" s="181">
        <v>100</v>
      </c>
      <c r="T661" s="180">
        <f t="shared" si="168"/>
        <v>0</v>
      </c>
      <c r="U661" s="180">
        <f t="shared" si="119"/>
        <v>0</v>
      </c>
      <c r="V661" s="182">
        <f t="shared" si="146"/>
        <v>100</v>
      </c>
      <c r="W661" s="180"/>
      <c r="X661" s="180"/>
      <c r="Y661" s="180"/>
      <c r="Z661" s="180"/>
      <c r="AA661" s="180"/>
      <c r="AB661" s="180"/>
      <c r="AC661" s="180"/>
      <c r="AD661" s="180"/>
      <c r="AE661" s="180"/>
      <c r="AF661" s="180"/>
      <c r="AG661" s="180"/>
      <c r="AH661" s="180"/>
      <c r="AI661" s="180">
        <v>0</v>
      </c>
      <c r="AJ661" s="181">
        <f t="shared" si="164"/>
        <v>0</v>
      </c>
      <c r="AK661" s="246">
        <f t="shared" si="170"/>
        <v>35000000</v>
      </c>
      <c r="AL661" s="181">
        <f t="shared" si="166"/>
        <v>100</v>
      </c>
      <c r="AM661" s="243"/>
    </row>
    <row r="662" spans="1:39" ht="28.5" customHeight="1" x14ac:dyDescent="0.25">
      <c r="A662" s="243"/>
      <c r="B662" s="341"/>
      <c r="C662" s="341"/>
      <c r="D662" s="341"/>
      <c r="E662" s="341"/>
      <c r="F662" s="341"/>
      <c r="G662" s="341"/>
      <c r="H662" s="341"/>
      <c r="I662" s="342"/>
      <c r="J662" s="341" t="s">
        <v>280</v>
      </c>
      <c r="K662" s="245"/>
      <c r="L662" s="257"/>
      <c r="M662" s="591" t="s">
        <v>281</v>
      </c>
      <c r="N662" s="592"/>
      <c r="O662" s="179"/>
      <c r="P662" s="180"/>
      <c r="Q662" s="180">
        <v>1250000</v>
      </c>
      <c r="R662" s="181">
        <f t="shared" si="191"/>
        <v>0.56318467797422256</v>
      </c>
      <c r="S662" s="181">
        <v>100</v>
      </c>
      <c r="T662" s="180">
        <f t="shared" si="168"/>
        <v>0</v>
      </c>
      <c r="U662" s="180">
        <f t="shared" si="119"/>
        <v>0</v>
      </c>
      <c r="V662" s="182">
        <f t="shared" si="146"/>
        <v>100</v>
      </c>
      <c r="W662" s="180"/>
      <c r="X662" s="180"/>
      <c r="Y662" s="180"/>
      <c r="Z662" s="180"/>
      <c r="AA662" s="180"/>
      <c r="AB662" s="180"/>
      <c r="AC662" s="180"/>
      <c r="AD662" s="180"/>
      <c r="AE662" s="180"/>
      <c r="AF662" s="180"/>
      <c r="AG662" s="180"/>
      <c r="AH662" s="180"/>
      <c r="AI662" s="180">
        <v>0</v>
      </c>
      <c r="AJ662" s="181">
        <f t="shared" si="164"/>
        <v>0</v>
      </c>
      <c r="AK662" s="246">
        <f t="shared" si="170"/>
        <v>1250000</v>
      </c>
      <c r="AL662" s="181">
        <f t="shared" si="166"/>
        <v>100</v>
      </c>
      <c r="AM662" s="243"/>
    </row>
    <row r="663" spans="1:39" ht="28.5" customHeight="1" x14ac:dyDescent="0.25">
      <c r="A663" s="243"/>
      <c r="B663" s="341"/>
      <c r="C663" s="341"/>
      <c r="D663" s="341"/>
      <c r="E663" s="341"/>
      <c r="F663" s="341"/>
      <c r="G663" s="341"/>
      <c r="H663" s="341"/>
      <c r="I663" s="342"/>
      <c r="J663" s="341" t="s">
        <v>284</v>
      </c>
      <c r="K663" s="245"/>
      <c r="L663" s="257"/>
      <c r="M663" s="591" t="s">
        <v>285</v>
      </c>
      <c r="N663" s="592"/>
      <c r="O663" s="179"/>
      <c r="P663" s="180"/>
      <c r="Q663" s="180">
        <v>2925000</v>
      </c>
      <c r="R663" s="181">
        <f t="shared" si="191"/>
        <v>1.3178521464596809</v>
      </c>
      <c r="S663" s="181">
        <v>100</v>
      </c>
      <c r="T663" s="180">
        <f t="shared" si="168"/>
        <v>0</v>
      </c>
      <c r="U663" s="180">
        <f t="shared" si="119"/>
        <v>0</v>
      </c>
      <c r="V663" s="182">
        <f t="shared" si="146"/>
        <v>100</v>
      </c>
      <c r="W663" s="180"/>
      <c r="X663" s="180"/>
      <c r="Y663" s="180"/>
      <c r="Z663" s="180"/>
      <c r="AA663" s="180"/>
      <c r="AB663" s="180"/>
      <c r="AC663" s="180"/>
      <c r="AD663" s="180"/>
      <c r="AE663" s="180"/>
      <c r="AF663" s="180"/>
      <c r="AG663" s="180"/>
      <c r="AH663" s="180"/>
      <c r="AI663" s="180">
        <v>0</v>
      </c>
      <c r="AJ663" s="181">
        <f t="shared" si="164"/>
        <v>0</v>
      </c>
      <c r="AK663" s="246">
        <f t="shared" si="170"/>
        <v>2925000</v>
      </c>
      <c r="AL663" s="181">
        <f t="shared" si="166"/>
        <v>100</v>
      </c>
      <c r="AM663" s="243"/>
    </row>
    <row r="664" spans="1:39" ht="28.5" customHeight="1" x14ac:dyDescent="0.25">
      <c r="A664" s="243"/>
      <c r="B664" s="341"/>
      <c r="C664" s="341"/>
      <c r="D664" s="341"/>
      <c r="E664" s="341"/>
      <c r="F664" s="341"/>
      <c r="G664" s="341"/>
      <c r="H664" s="341"/>
      <c r="I664" s="342"/>
      <c r="J664" s="341" t="s">
        <v>282</v>
      </c>
      <c r="K664" s="245"/>
      <c r="L664" s="257"/>
      <c r="M664" s="591" t="s">
        <v>283</v>
      </c>
      <c r="N664" s="592"/>
      <c r="O664" s="179"/>
      <c r="P664" s="180"/>
      <c r="Q664" s="180">
        <v>21300000</v>
      </c>
      <c r="R664" s="181">
        <f t="shared" si="191"/>
        <v>9.5966669126807531</v>
      </c>
      <c r="S664" s="181">
        <v>100</v>
      </c>
      <c r="T664" s="180">
        <f t="shared" si="168"/>
        <v>0</v>
      </c>
      <c r="U664" s="180">
        <f t="shared" si="119"/>
        <v>0</v>
      </c>
      <c r="V664" s="182">
        <f t="shared" si="146"/>
        <v>100</v>
      </c>
      <c r="W664" s="180"/>
      <c r="X664" s="180"/>
      <c r="Y664" s="180"/>
      <c r="Z664" s="180"/>
      <c r="AA664" s="180"/>
      <c r="AB664" s="180"/>
      <c r="AC664" s="180"/>
      <c r="AD664" s="180"/>
      <c r="AE664" s="180"/>
      <c r="AF664" s="180"/>
      <c r="AG664" s="180"/>
      <c r="AH664" s="180"/>
      <c r="AI664" s="180">
        <v>0</v>
      </c>
      <c r="AJ664" s="181">
        <f t="shared" si="164"/>
        <v>0</v>
      </c>
      <c r="AK664" s="246">
        <f t="shared" si="170"/>
        <v>21300000</v>
      </c>
      <c r="AL664" s="181">
        <f t="shared" si="166"/>
        <v>100</v>
      </c>
      <c r="AM664" s="243"/>
    </row>
    <row r="665" spans="1:39" ht="28.5" customHeight="1" x14ac:dyDescent="0.25">
      <c r="A665" s="243"/>
      <c r="B665" s="341"/>
      <c r="C665" s="341"/>
      <c r="D665" s="341"/>
      <c r="E665" s="341"/>
      <c r="F665" s="341"/>
      <c r="G665" s="341"/>
      <c r="H665" s="341"/>
      <c r="I665" s="342"/>
      <c r="J665" s="341" t="s">
        <v>320</v>
      </c>
      <c r="K665" s="245"/>
      <c r="L665" s="257"/>
      <c r="M665" s="591" t="s">
        <v>321</v>
      </c>
      <c r="N665" s="592"/>
      <c r="O665" s="179"/>
      <c r="P665" s="180"/>
      <c r="Q665" s="180">
        <v>4300000</v>
      </c>
      <c r="R665" s="181">
        <f t="shared" si="191"/>
        <v>1.9373552922313255</v>
      </c>
      <c r="S665" s="181">
        <v>100</v>
      </c>
      <c r="T665" s="180">
        <f t="shared" si="168"/>
        <v>0</v>
      </c>
      <c r="U665" s="180">
        <f t="shared" si="119"/>
        <v>0</v>
      </c>
      <c r="V665" s="182">
        <f t="shared" si="146"/>
        <v>100</v>
      </c>
      <c r="W665" s="180"/>
      <c r="X665" s="180"/>
      <c r="Y665" s="180"/>
      <c r="Z665" s="180"/>
      <c r="AA665" s="180"/>
      <c r="AB665" s="180"/>
      <c r="AC665" s="180"/>
      <c r="AD665" s="180"/>
      <c r="AE665" s="180"/>
      <c r="AF665" s="180"/>
      <c r="AG665" s="180"/>
      <c r="AH665" s="180"/>
      <c r="AI665" s="180">
        <v>0</v>
      </c>
      <c r="AJ665" s="181">
        <f t="shared" si="164"/>
        <v>0</v>
      </c>
      <c r="AK665" s="246">
        <f t="shared" si="170"/>
        <v>4300000</v>
      </c>
      <c r="AL665" s="181">
        <f t="shared" si="166"/>
        <v>100</v>
      </c>
      <c r="AM665" s="243"/>
    </row>
    <row r="666" spans="1:39" ht="28.5" customHeight="1" x14ac:dyDescent="0.25">
      <c r="A666" s="243"/>
      <c r="B666" s="341"/>
      <c r="C666" s="341"/>
      <c r="D666" s="341"/>
      <c r="E666" s="341"/>
      <c r="F666" s="341"/>
      <c r="G666" s="341"/>
      <c r="H666" s="341"/>
      <c r="I666" s="342"/>
      <c r="J666" s="341" t="s">
        <v>407</v>
      </c>
      <c r="K666" s="245"/>
      <c r="L666" s="257"/>
      <c r="M666" s="591" t="s">
        <v>607</v>
      </c>
      <c r="N666" s="592"/>
      <c r="O666" s="179"/>
      <c r="P666" s="180"/>
      <c r="Q666" s="180">
        <v>2650000</v>
      </c>
      <c r="R666" s="181">
        <f t="shared" si="191"/>
        <v>1.1939515173053519</v>
      </c>
      <c r="S666" s="181">
        <v>100</v>
      </c>
      <c r="T666" s="180">
        <f t="shared" si="168"/>
        <v>0</v>
      </c>
      <c r="U666" s="180">
        <f t="shared" si="119"/>
        <v>0</v>
      </c>
      <c r="V666" s="182">
        <f t="shared" si="146"/>
        <v>100</v>
      </c>
      <c r="W666" s="180"/>
      <c r="X666" s="180"/>
      <c r="Y666" s="180"/>
      <c r="Z666" s="180"/>
      <c r="AA666" s="180"/>
      <c r="AB666" s="180"/>
      <c r="AC666" s="180"/>
      <c r="AD666" s="180"/>
      <c r="AE666" s="180"/>
      <c r="AF666" s="180"/>
      <c r="AG666" s="180"/>
      <c r="AH666" s="180"/>
      <c r="AI666" s="180">
        <v>0</v>
      </c>
      <c r="AJ666" s="181">
        <f t="shared" si="164"/>
        <v>0</v>
      </c>
      <c r="AK666" s="246">
        <f t="shared" si="170"/>
        <v>2650000</v>
      </c>
      <c r="AL666" s="181">
        <f t="shared" si="166"/>
        <v>100</v>
      </c>
      <c r="AM666" s="243"/>
    </row>
    <row r="667" spans="1:39" ht="28.5" customHeight="1" x14ac:dyDescent="0.25">
      <c r="A667" s="243"/>
      <c r="B667" s="341"/>
      <c r="C667" s="341"/>
      <c r="D667" s="341"/>
      <c r="E667" s="341"/>
      <c r="F667" s="341"/>
      <c r="G667" s="341"/>
      <c r="H667" s="341"/>
      <c r="I667" s="342"/>
      <c r="J667" s="341" t="s">
        <v>372</v>
      </c>
      <c r="K667" s="245"/>
      <c r="L667" s="257"/>
      <c r="M667" s="591" t="s">
        <v>373</v>
      </c>
      <c r="N667" s="592"/>
      <c r="O667" s="179"/>
      <c r="P667" s="180"/>
      <c r="Q667" s="180">
        <v>15000000</v>
      </c>
      <c r="R667" s="181">
        <f t="shared" si="191"/>
        <v>6.7582161356906703</v>
      </c>
      <c r="S667" s="181">
        <v>100</v>
      </c>
      <c r="T667" s="180">
        <f t="shared" si="168"/>
        <v>0</v>
      </c>
      <c r="U667" s="180">
        <f t="shared" si="119"/>
        <v>0</v>
      </c>
      <c r="V667" s="182">
        <v>100</v>
      </c>
      <c r="W667" s="180"/>
      <c r="X667" s="180"/>
      <c r="Y667" s="180"/>
      <c r="Z667" s="180"/>
      <c r="AA667" s="180"/>
      <c r="AB667" s="180"/>
      <c r="AC667" s="180"/>
      <c r="AD667" s="180"/>
      <c r="AE667" s="180"/>
      <c r="AF667" s="180"/>
      <c r="AG667" s="180"/>
      <c r="AH667" s="180"/>
      <c r="AI667" s="180">
        <v>0</v>
      </c>
      <c r="AJ667" s="181">
        <f t="shared" si="164"/>
        <v>0</v>
      </c>
      <c r="AK667" s="246">
        <f t="shared" si="170"/>
        <v>15000000</v>
      </c>
      <c r="AL667" s="181">
        <f t="shared" si="166"/>
        <v>100</v>
      </c>
      <c r="AM667" s="243"/>
    </row>
    <row r="668" spans="1:39" s="297" customFormat="1" ht="28.5" customHeight="1" x14ac:dyDescent="0.25">
      <c r="A668" s="227">
        <f>SUM(A654+1)</f>
        <v>79</v>
      </c>
      <c r="B668" s="346"/>
      <c r="C668" s="346"/>
      <c r="D668" s="346"/>
      <c r="E668" s="346"/>
      <c r="F668" s="346"/>
      <c r="G668" s="346"/>
      <c r="H668" s="346"/>
      <c r="I668" s="345"/>
      <c r="J668" s="346" t="s">
        <v>377</v>
      </c>
      <c r="K668" s="230"/>
      <c r="L668" s="294"/>
      <c r="M668" s="610" t="s">
        <v>378</v>
      </c>
      <c r="N668" s="610"/>
      <c r="O668" s="309">
        <v>355300000</v>
      </c>
      <c r="P668" s="231">
        <v>0</v>
      </c>
      <c r="Q668" s="231">
        <f>SUM(Q669:Q673)</f>
        <v>88840644</v>
      </c>
      <c r="R668" s="233">
        <f>Q668/Q$33*100</f>
        <v>0.27949392201427309</v>
      </c>
      <c r="S668" s="233">
        <v>100</v>
      </c>
      <c r="T668" s="231">
        <f t="shared" si="168"/>
        <v>14.295258823202586</v>
      </c>
      <c r="U668" s="231">
        <f>R668*T668/100</f>
        <v>3.9954379547060326E-2</v>
      </c>
      <c r="V668" s="296">
        <f t="shared" si="146"/>
        <v>85.704741176797413</v>
      </c>
      <c r="W668" s="231"/>
      <c r="X668" s="231"/>
      <c r="Y668" s="231"/>
      <c r="Z668" s="231"/>
      <c r="AA668" s="231"/>
      <c r="AB668" s="231"/>
      <c r="AC668" s="231"/>
      <c r="AD668" s="231"/>
      <c r="AE668" s="231"/>
      <c r="AF668" s="231"/>
      <c r="AG668" s="231" t="e">
        <f>[2]april!N78</f>
        <v>#REF!</v>
      </c>
      <c r="AH668" s="231">
        <f>'[3]DES SKPD'!$N78</f>
        <v>0</v>
      </c>
      <c r="AI668" s="231">
        <f>SUM(AI669:AI673)</f>
        <v>12700000</v>
      </c>
      <c r="AJ668" s="233">
        <f t="shared" si="164"/>
        <v>14.295258823202586</v>
      </c>
      <c r="AK668" s="234">
        <f t="shared" si="170"/>
        <v>76140644</v>
      </c>
      <c r="AL668" s="233">
        <f t="shared" si="166"/>
        <v>85.704741176797413</v>
      </c>
      <c r="AM668" s="227"/>
    </row>
    <row r="669" spans="1:39" ht="28.5" customHeight="1" x14ac:dyDescent="0.25">
      <c r="A669" s="243"/>
      <c r="B669" s="341"/>
      <c r="C669" s="341"/>
      <c r="D669" s="341"/>
      <c r="E669" s="341"/>
      <c r="F669" s="341"/>
      <c r="G669" s="341"/>
      <c r="H669" s="341"/>
      <c r="I669" s="342"/>
      <c r="J669" s="341" t="s">
        <v>323</v>
      </c>
      <c r="K669" s="245"/>
      <c r="L669" s="257"/>
      <c r="M669" s="591" t="s">
        <v>324</v>
      </c>
      <c r="N669" s="592"/>
      <c r="O669" s="179"/>
      <c r="P669" s="180"/>
      <c r="Q669" s="180">
        <v>25000000</v>
      </c>
      <c r="R669" s="181">
        <f>Q669/Q$668*100</f>
        <v>28.140273274020842</v>
      </c>
      <c r="S669" s="181">
        <v>100</v>
      </c>
      <c r="T669" s="180">
        <f t="shared" si="168"/>
        <v>20</v>
      </c>
      <c r="U669" s="180">
        <f t="shared" ref="U669:U674" si="192">R669*T669/100</f>
        <v>5.6280546548041688</v>
      </c>
      <c r="V669" s="182">
        <f t="shared" si="146"/>
        <v>80</v>
      </c>
      <c r="W669" s="180"/>
      <c r="X669" s="180"/>
      <c r="Y669" s="180"/>
      <c r="Z669" s="180"/>
      <c r="AA669" s="180"/>
      <c r="AB669" s="180"/>
      <c r="AC669" s="180"/>
      <c r="AD669" s="180"/>
      <c r="AE669" s="180"/>
      <c r="AF669" s="180"/>
      <c r="AG669" s="180"/>
      <c r="AH669" s="180"/>
      <c r="AI669" s="180">
        <v>5000000</v>
      </c>
      <c r="AJ669" s="181">
        <f t="shared" si="164"/>
        <v>20</v>
      </c>
      <c r="AK669" s="246">
        <f t="shared" si="170"/>
        <v>20000000</v>
      </c>
      <c r="AL669" s="181">
        <f t="shared" si="166"/>
        <v>80</v>
      </c>
      <c r="AM669" s="243"/>
    </row>
    <row r="670" spans="1:39" ht="28.5" customHeight="1" x14ac:dyDescent="0.25">
      <c r="A670" s="243"/>
      <c r="B670" s="341"/>
      <c r="C670" s="341"/>
      <c r="D670" s="341"/>
      <c r="E670" s="341"/>
      <c r="F670" s="341"/>
      <c r="G670" s="341"/>
      <c r="H670" s="341"/>
      <c r="I670" s="342"/>
      <c r="J670" s="341" t="s">
        <v>315</v>
      </c>
      <c r="K670" s="245"/>
      <c r="L670" s="257"/>
      <c r="M670" s="591" t="s">
        <v>271</v>
      </c>
      <c r="N670" s="592"/>
      <c r="O670" s="179"/>
      <c r="P670" s="180"/>
      <c r="Q670" s="180">
        <v>2000000</v>
      </c>
      <c r="R670" s="181">
        <f t="shared" ref="R670:R673" si="193">Q670/Q$668*100</f>
        <v>2.2512218619216671</v>
      </c>
      <c r="S670" s="181">
        <v>100</v>
      </c>
      <c r="T670" s="180">
        <f t="shared" si="168"/>
        <v>37.5</v>
      </c>
      <c r="U670" s="180">
        <f t="shared" si="192"/>
        <v>0.84420819822062509</v>
      </c>
      <c r="V670" s="182">
        <f t="shared" si="146"/>
        <v>62.5</v>
      </c>
      <c r="W670" s="180"/>
      <c r="X670" s="180"/>
      <c r="Y670" s="180"/>
      <c r="Z670" s="180"/>
      <c r="AA670" s="180"/>
      <c r="AB670" s="180"/>
      <c r="AC670" s="180"/>
      <c r="AD670" s="180"/>
      <c r="AE670" s="180"/>
      <c r="AF670" s="180"/>
      <c r="AG670" s="180"/>
      <c r="AH670" s="180"/>
      <c r="AI670" s="180">
        <v>750000</v>
      </c>
      <c r="AJ670" s="181">
        <f t="shared" si="164"/>
        <v>37.5</v>
      </c>
      <c r="AK670" s="246">
        <f t="shared" si="170"/>
        <v>1250000</v>
      </c>
      <c r="AL670" s="181">
        <f t="shared" si="166"/>
        <v>62.5</v>
      </c>
      <c r="AM670" s="243"/>
    </row>
    <row r="671" spans="1:39" ht="28.5" customHeight="1" x14ac:dyDescent="0.25">
      <c r="A671" s="243"/>
      <c r="B671" s="341"/>
      <c r="C671" s="341"/>
      <c r="D671" s="341"/>
      <c r="E671" s="341"/>
      <c r="F671" s="341"/>
      <c r="G671" s="341"/>
      <c r="H671" s="341"/>
      <c r="I671" s="342"/>
      <c r="J671" s="341" t="s">
        <v>280</v>
      </c>
      <c r="K671" s="245"/>
      <c r="L671" s="257"/>
      <c r="M671" s="591" t="s">
        <v>425</v>
      </c>
      <c r="N671" s="592"/>
      <c r="O671" s="179"/>
      <c r="P671" s="180"/>
      <c r="Q671" s="180">
        <v>7500000</v>
      </c>
      <c r="R671" s="181">
        <f t="shared" si="193"/>
        <v>8.4420819822062523</v>
      </c>
      <c r="S671" s="181">
        <v>100</v>
      </c>
      <c r="T671" s="180">
        <f t="shared" si="168"/>
        <v>16.666666666666664</v>
      </c>
      <c r="U671" s="180">
        <f t="shared" si="192"/>
        <v>1.4070136637010418</v>
      </c>
      <c r="V671" s="182">
        <f t="shared" si="146"/>
        <v>83.333333333333343</v>
      </c>
      <c r="W671" s="180"/>
      <c r="X671" s="180"/>
      <c r="Y671" s="180"/>
      <c r="Z671" s="180"/>
      <c r="AA671" s="180"/>
      <c r="AB671" s="180"/>
      <c r="AC671" s="180"/>
      <c r="AD671" s="180"/>
      <c r="AE671" s="180"/>
      <c r="AF671" s="180"/>
      <c r="AG671" s="180"/>
      <c r="AH671" s="180"/>
      <c r="AI671" s="180">
        <v>1250000</v>
      </c>
      <c r="AJ671" s="181">
        <f t="shared" si="164"/>
        <v>16.666666666666664</v>
      </c>
      <c r="AK671" s="246">
        <f t="shared" si="170"/>
        <v>6250000</v>
      </c>
      <c r="AL671" s="181">
        <f t="shared" si="166"/>
        <v>83.333333333333343</v>
      </c>
      <c r="AM671" s="243"/>
    </row>
    <row r="672" spans="1:39" ht="28.5" customHeight="1" x14ac:dyDescent="0.25">
      <c r="A672" s="243"/>
      <c r="B672" s="341"/>
      <c r="C672" s="341"/>
      <c r="D672" s="341"/>
      <c r="E672" s="341"/>
      <c r="F672" s="341"/>
      <c r="G672" s="341"/>
      <c r="H672" s="341"/>
      <c r="I672" s="342"/>
      <c r="J672" s="341" t="s">
        <v>284</v>
      </c>
      <c r="K672" s="245"/>
      <c r="L672" s="257"/>
      <c r="M672" s="591" t="s">
        <v>285</v>
      </c>
      <c r="N672" s="592"/>
      <c r="O672" s="179"/>
      <c r="P672" s="180"/>
      <c r="Q672" s="180">
        <v>24500000</v>
      </c>
      <c r="R672" s="181">
        <f t="shared" si="193"/>
        <v>27.577467808540423</v>
      </c>
      <c r="S672" s="181">
        <v>100</v>
      </c>
      <c r="T672" s="180">
        <f t="shared" si="168"/>
        <v>0</v>
      </c>
      <c r="U672" s="180">
        <f t="shared" si="192"/>
        <v>0</v>
      </c>
      <c r="V672" s="182">
        <f t="shared" si="146"/>
        <v>100</v>
      </c>
      <c r="W672" s="180"/>
      <c r="X672" s="180"/>
      <c r="Y672" s="180"/>
      <c r="Z672" s="180"/>
      <c r="AA672" s="180"/>
      <c r="AB672" s="180"/>
      <c r="AC672" s="180"/>
      <c r="AD672" s="180"/>
      <c r="AE672" s="180"/>
      <c r="AF672" s="180"/>
      <c r="AG672" s="180"/>
      <c r="AH672" s="180"/>
      <c r="AI672" s="180">
        <v>0</v>
      </c>
      <c r="AJ672" s="181">
        <f t="shared" si="164"/>
        <v>0</v>
      </c>
      <c r="AK672" s="246">
        <f t="shared" si="170"/>
        <v>24500000</v>
      </c>
      <c r="AL672" s="181">
        <f t="shared" si="166"/>
        <v>100</v>
      </c>
      <c r="AM672" s="243"/>
    </row>
    <row r="673" spans="1:83" ht="28.5" customHeight="1" x14ac:dyDescent="0.25">
      <c r="A673" s="243"/>
      <c r="B673" s="341"/>
      <c r="C673" s="341"/>
      <c r="D673" s="341"/>
      <c r="E673" s="341"/>
      <c r="F673" s="341"/>
      <c r="G673" s="341"/>
      <c r="H673" s="341"/>
      <c r="I673" s="342"/>
      <c r="J673" s="341" t="s">
        <v>282</v>
      </c>
      <c r="K673" s="245"/>
      <c r="L673" s="257"/>
      <c r="M673" s="591" t="s">
        <v>283</v>
      </c>
      <c r="N673" s="592"/>
      <c r="O673" s="179"/>
      <c r="P673" s="180"/>
      <c r="Q673" s="180">
        <v>29840644</v>
      </c>
      <c r="R673" s="181">
        <f t="shared" si="193"/>
        <v>33.588955073310814</v>
      </c>
      <c r="S673" s="181">
        <v>100</v>
      </c>
      <c r="T673" s="180">
        <f t="shared" si="168"/>
        <v>19.101464432201929</v>
      </c>
      <c r="U673" s="180">
        <f t="shared" si="192"/>
        <v>6.4159823064767512</v>
      </c>
      <c r="V673" s="182">
        <f t="shared" si="146"/>
        <v>80.898535567798064</v>
      </c>
      <c r="W673" s="180"/>
      <c r="X673" s="180"/>
      <c r="Y673" s="180"/>
      <c r="Z673" s="180"/>
      <c r="AA673" s="180"/>
      <c r="AB673" s="180"/>
      <c r="AC673" s="180"/>
      <c r="AD673" s="180"/>
      <c r="AE673" s="180"/>
      <c r="AF673" s="180"/>
      <c r="AG673" s="180"/>
      <c r="AH673" s="180"/>
      <c r="AI673" s="180">
        <v>5700000</v>
      </c>
      <c r="AJ673" s="181">
        <f t="shared" si="164"/>
        <v>19.101464432201929</v>
      </c>
      <c r="AK673" s="246">
        <f t="shared" si="170"/>
        <v>24140644</v>
      </c>
      <c r="AL673" s="181">
        <f t="shared" si="166"/>
        <v>80.898535567798064</v>
      </c>
      <c r="AM673" s="243"/>
    </row>
    <row r="674" spans="1:83" ht="28.5" customHeight="1" x14ac:dyDescent="0.25">
      <c r="A674" s="289" t="s">
        <v>38</v>
      </c>
      <c r="B674" s="607" t="s">
        <v>145</v>
      </c>
      <c r="C674" s="607"/>
      <c r="D674" s="607"/>
      <c r="E674" s="607"/>
      <c r="F674" s="607"/>
      <c r="G674" s="607"/>
      <c r="H674" s="607"/>
      <c r="I674" s="608"/>
      <c r="J674" s="347" t="s">
        <v>531</v>
      </c>
      <c r="K674" s="291"/>
      <c r="L674" s="607" t="s">
        <v>532</v>
      </c>
      <c r="M674" s="607"/>
      <c r="N674" s="608"/>
      <c r="O674" s="263" t="e">
        <f>SUM(O675:O1149)</f>
        <v>#REF!</v>
      </c>
      <c r="P674" s="263" t="e">
        <f>SUM(P675:P1149)</f>
        <v>#REF!</v>
      </c>
      <c r="Q674" s="263">
        <f>SUM(Q675)</f>
        <v>649500000</v>
      </c>
      <c r="R674" s="222">
        <f>Q674/Q$53*100</f>
        <v>3.2186986170973042</v>
      </c>
      <c r="S674" s="222">
        <v>100</v>
      </c>
      <c r="T674" s="263">
        <f t="shared" si="168"/>
        <v>0</v>
      </c>
      <c r="U674" s="308">
        <f t="shared" si="192"/>
        <v>0</v>
      </c>
      <c r="V674" s="292">
        <f t="shared" si="146"/>
        <v>100</v>
      </c>
      <c r="W674" s="263">
        <f t="shared" ref="W674:AH674" si="194">SUM(W675:W1149)</f>
        <v>0</v>
      </c>
      <c r="X674" s="263">
        <f t="shared" si="194"/>
        <v>0</v>
      </c>
      <c r="Y674" s="263">
        <f t="shared" si="194"/>
        <v>0</v>
      </c>
      <c r="Z674" s="263">
        <f t="shared" si="194"/>
        <v>0</v>
      </c>
      <c r="AA674" s="263">
        <f t="shared" si="194"/>
        <v>0</v>
      </c>
      <c r="AB674" s="263">
        <f t="shared" si="194"/>
        <v>0</v>
      </c>
      <c r="AC674" s="263">
        <f t="shared" si="194"/>
        <v>0</v>
      </c>
      <c r="AD674" s="263">
        <f t="shared" si="194"/>
        <v>0</v>
      </c>
      <c r="AE674" s="263">
        <f t="shared" si="194"/>
        <v>0</v>
      </c>
      <c r="AF674" s="263">
        <f t="shared" si="194"/>
        <v>0</v>
      </c>
      <c r="AG674" s="263" t="e">
        <f t="shared" si="194"/>
        <v>#REF!</v>
      </c>
      <c r="AH674" s="263">
        <f t="shared" si="194"/>
        <v>0</v>
      </c>
      <c r="AI674" s="263">
        <f>SUM(AI675)</f>
        <v>0</v>
      </c>
      <c r="AJ674" s="222">
        <f t="shared" si="164"/>
        <v>0</v>
      </c>
      <c r="AK674" s="265">
        <f>SUM(Q674-AI674)</f>
        <v>649500000</v>
      </c>
      <c r="AL674" s="222">
        <f t="shared" si="166"/>
        <v>100</v>
      </c>
      <c r="AM674" s="289"/>
    </row>
    <row r="675" spans="1:83" s="297" customFormat="1" ht="28.5" customHeight="1" x14ac:dyDescent="0.25">
      <c r="A675" s="227">
        <f>SUM(A668+1)</f>
        <v>80</v>
      </c>
      <c r="B675" s="346"/>
      <c r="C675" s="346"/>
      <c r="D675" s="346"/>
      <c r="E675" s="346"/>
      <c r="F675" s="346"/>
      <c r="G675" s="346"/>
      <c r="H675" s="346"/>
      <c r="I675" s="345"/>
      <c r="J675" s="346" t="s">
        <v>381</v>
      </c>
      <c r="K675" s="230"/>
      <c r="L675" s="294"/>
      <c r="M675" s="609" t="s">
        <v>533</v>
      </c>
      <c r="N675" s="609"/>
      <c r="O675" s="309">
        <v>355300000</v>
      </c>
      <c r="P675" s="231">
        <v>0</v>
      </c>
      <c r="Q675" s="231">
        <f>SUM(Q676:Q682)</f>
        <v>649500000</v>
      </c>
      <c r="R675" s="233">
        <f>Q675/Q$33*100</f>
        <v>2.0433361823476917</v>
      </c>
      <c r="S675" s="233">
        <v>100</v>
      </c>
      <c r="T675" s="231">
        <f>AJ675</f>
        <v>0</v>
      </c>
      <c r="U675" s="231">
        <f>R675*T675/100</f>
        <v>0</v>
      </c>
      <c r="V675" s="296">
        <f>S675-T675</f>
        <v>100</v>
      </c>
      <c r="W675" s="231"/>
      <c r="X675" s="231"/>
      <c r="Y675" s="231"/>
      <c r="Z675" s="231"/>
      <c r="AA675" s="231"/>
      <c r="AB675" s="231"/>
      <c r="AC675" s="231"/>
      <c r="AD675" s="231"/>
      <c r="AE675" s="231"/>
      <c r="AF675" s="231"/>
      <c r="AG675" s="231" t="e">
        <f>[2]april!N87</f>
        <v>#REF!</v>
      </c>
      <c r="AH675" s="231">
        <f>'[3]DES SKPD'!$N87</f>
        <v>0</v>
      </c>
      <c r="AI675" s="231">
        <f>SUM(AI676:AI682)</f>
        <v>0</v>
      </c>
      <c r="AJ675" s="181">
        <f t="shared" si="164"/>
        <v>0</v>
      </c>
      <c r="AK675" s="234">
        <f t="shared" si="170"/>
        <v>649500000</v>
      </c>
      <c r="AL675" s="233">
        <f t="shared" si="166"/>
        <v>100</v>
      </c>
      <c r="AM675" s="227"/>
    </row>
    <row r="676" spans="1:83" ht="28.5" customHeight="1" x14ac:dyDescent="0.25">
      <c r="A676" s="243"/>
      <c r="B676" s="341"/>
      <c r="C676" s="341"/>
      <c r="D676" s="341"/>
      <c r="E676" s="341"/>
      <c r="F676" s="341"/>
      <c r="G676" s="341"/>
      <c r="H676" s="341"/>
      <c r="I676" s="342"/>
      <c r="J676" s="341" t="s">
        <v>536</v>
      </c>
      <c r="K676" s="245"/>
      <c r="L676" s="257"/>
      <c r="M676" s="604" t="s">
        <v>271</v>
      </c>
      <c r="N676" s="592"/>
      <c r="O676" s="179"/>
      <c r="P676" s="180"/>
      <c r="Q676" s="180">
        <v>14900000</v>
      </c>
      <c r="R676" s="181">
        <f t="shared" ref="R676:R682" si="195">Q676/Q$675*100</f>
        <v>2.2940723633564279</v>
      </c>
      <c r="S676" s="181">
        <v>100</v>
      </c>
      <c r="T676" s="180">
        <f t="shared" ref="T676:T682" si="196">AJ676</f>
        <v>0</v>
      </c>
      <c r="U676" s="180">
        <f t="shared" ref="U676:U682" si="197">R676*T676/100</f>
        <v>0</v>
      </c>
      <c r="V676" s="182">
        <f t="shared" ref="V676:V682" si="198">S676-T676</f>
        <v>100</v>
      </c>
      <c r="W676" s="180"/>
      <c r="X676" s="180"/>
      <c r="Y676" s="180"/>
      <c r="Z676" s="180"/>
      <c r="AA676" s="180"/>
      <c r="AB676" s="180"/>
      <c r="AC676" s="180"/>
      <c r="AD676" s="180"/>
      <c r="AE676" s="180"/>
      <c r="AF676" s="180"/>
      <c r="AG676" s="180"/>
      <c r="AH676" s="180"/>
      <c r="AI676" s="180">
        <v>0</v>
      </c>
      <c r="AJ676" s="181">
        <f t="shared" si="164"/>
        <v>0</v>
      </c>
      <c r="AK676" s="246">
        <f t="shared" si="170"/>
        <v>14900000</v>
      </c>
      <c r="AL676" s="181">
        <f t="shared" si="166"/>
        <v>100</v>
      </c>
      <c r="AM676" s="243"/>
    </row>
    <row r="677" spans="1:83" ht="28.5" customHeight="1" x14ac:dyDescent="0.25">
      <c r="A677" s="243"/>
      <c r="B677" s="341"/>
      <c r="C677" s="341"/>
      <c r="D677" s="341"/>
      <c r="E677" s="341"/>
      <c r="F677" s="341"/>
      <c r="G677" s="341"/>
      <c r="H677" s="341"/>
      <c r="I677" s="342"/>
      <c r="J677" s="341" t="s">
        <v>502</v>
      </c>
      <c r="K677" s="245"/>
      <c r="L677" s="257"/>
      <c r="M677" s="604" t="s">
        <v>319</v>
      </c>
      <c r="N677" s="592"/>
      <c r="O677" s="179"/>
      <c r="P677" s="180"/>
      <c r="Q677" s="180">
        <v>200200000</v>
      </c>
      <c r="R677" s="181">
        <f>Q677/Q$675*100</f>
        <v>30.82371054657429</v>
      </c>
      <c r="S677" s="181">
        <v>100</v>
      </c>
      <c r="T677" s="180">
        <f t="shared" si="196"/>
        <v>0</v>
      </c>
      <c r="U677" s="180">
        <f t="shared" si="197"/>
        <v>0</v>
      </c>
      <c r="V677" s="182">
        <f t="shared" si="198"/>
        <v>100</v>
      </c>
      <c r="W677" s="180"/>
      <c r="X677" s="180"/>
      <c r="Y677" s="180"/>
      <c r="Z677" s="180"/>
      <c r="AA677" s="180"/>
      <c r="AB677" s="180"/>
      <c r="AC677" s="180"/>
      <c r="AD677" s="180"/>
      <c r="AE677" s="180"/>
      <c r="AF677" s="180"/>
      <c r="AG677" s="180"/>
      <c r="AH677" s="180"/>
      <c r="AI677" s="180">
        <v>0</v>
      </c>
      <c r="AJ677" s="181">
        <f t="shared" si="164"/>
        <v>0</v>
      </c>
      <c r="AK677" s="246">
        <f t="shared" si="170"/>
        <v>200200000</v>
      </c>
      <c r="AL677" s="181">
        <f t="shared" si="166"/>
        <v>100</v>
      </c>
      <c r="AM677" s="243"/>
    </row>
    <row r="678" spans="1:83" ht="28.5" customHeight="1" x14ac:dyDescent="0.25">
      <c r="A678" s="243"/>
      <c r="B678" s="341"/>
      <c r="C678" s="341"/>
      <c r="D678" s="341"/>
      <c r="E678" s="341"/>
      <c r="F678" s="341"/>
      <c r="G678" s="341"/>
      <c r="H678" s="341"/>
      <c r="I678" s="342"/>
      <c r="J678" s="341" t="s">
        <v>625</v>
      </c>
      <c r="K678" s="245"/>
      <c r="L678" s="257"/>
      <c r="M678" s="604" t="s">
        <v>281</v>
      </c>
      <c r="N678" s="592"/>
      <c r="O678" s="179"/>
      <c r="P678" s="180"/>
      <c r="Q678" s="180">
        <v>25200000</v>
      </c>
      <c r="R678" s="181">
        <f>Q678/Q$675*100</f>
        <v>3.8799076212471131</v>
      </c>
      <c r="S678" s="181">
        <v>100</v>
      </c>
      <c r="T678" s="180">
        <f t="shared" si="196"/>
        <v>0</v>
      </c>
      <c r="U678" s="180">
        <f t="shared" si="197"/>
        <v>0</v>
      </c>
      <c r="V678" s="182">
        <f t="shared" si="198"/>
        <v>100</v>
      </c>
      <c r="W678" s="180"/>
      <c r="X678" s="180"/>
      <c r="Y678" s="180"/>
      <c r="Z678" s="180"/>
      <c r="AA678" s="180"/>
      <c r="AB678" s="180"/>
      <c r="AC678" s="180"/>
      <c r="AD678" s="180"/>
      <c r="AE678" s="180"/>
      <c r="AF678" s="180"/>
      <c r="AG678" s="180"/>
      <c r="AH678" s="180"/>
      <c r="AI678" s="180">
        <v>0</v>
      </c>
      <c r="AJ678" s="181">
        <f t="shared" si="164"/>
        <v>0</v>
      </c>
      <c r="AK678" s="246">
        <f t="shared" si="170"/>
        <v>25200000</v>
      </c>
      <c r="AL678" s="181">
        <f t="shared" si="166"/>
        <v>100</v>
      </c>
      <c r="AM678" s="243"/>
    </row>
    <row r="679" spans="1:83" ht="28.5" customHeight="1" x14ac:dyDescent="0.25">
      <c r="A679" s="243"/>
      <c r="B679" s="341"/>
      <c r="C679" s="341"/>
      <c r="D679" s="341"/>
      <c r="E679" s="341"/>
      <c r="F679" s="341"/>
      <c r="G679" s="341"/>
      <c r="H679" s="341"/>
      <c r="I679" s="342"/>
      <c r="J679" s="341" t="s">
        <v>538</v>
      </c>
      <c r="K679" s="245"/>
      <c r="L679" s="257"/>
      <c r="M679" s="605" t="s">
        <v>626</v>
      </c>
      <c r="N679" s="606"/>
      <c r="O679" s="179"/>
      <c r="P679" s="180"/>
      <c r="Q679" s="180">
        <v>92000000</v>
      </c>
      <c r="R679" s="181">
        <f t="shared" si="195"/>
        <v>14.164742109314856</v>
      </c>
      <c r="S679" s="181">
        <v>100</v>
      </c>
      <c r="T679" s="180">
        <f t="shared" si="196"/>
        <v>0</v>
      </c>
      <c r="U679" s="180">
        <f t="shared" si="197"/>
        <v>0</v>
      </c>
      <c r="V679" s="182">
        <f t="shared" si="198"/>
        <v>100</v>
      </c>
      <c r="W679" s="180"/>
      <c r="X679" s="180"/>
      <c r="Y679" s="180"/>
      <c r="Z679" s="180"/>
      <c r="AA679" s="180"/>
      <c r="AB679" s="180"/>
      <c r="AC679" s="180"/>
      <c r="AD679" s="180"/>
      <c r="AE679" s="180"/>
      <c r="AF679" s="180"/>
      <c r="AG679" s="180"/>
      <c r="AH679" s="180"/>
      <c r="AI679" s="180">
        <v>0</v>
      </c>
      <c r="AJ679" s="181">
        <f t="shared" si="164"/>
        <v>0</v>
      </c>
      <c r="AK679" s="246">
        <f t="shared" si="170"/>
        <v>92000000</v>
      </c>
      <c r="AL679" s="181">
        <f t="shared" si="166"/>
        <v>100</v>
      </c>
      <c r="AM679" s="243"/>
    </row>
    <row r="680" spans="1:83" ht="28.5" customHeight="1" x14ac:dyDescent="0.25">
      <c r="A680" s="243"/>
      <c r="B680" s="341"/>
      <c r="C680" s="341"/>
      <c r="D680" s="341"/>
      <c r="E680" s="341"/>
      <c r="F680" s="341"/>
      <c r="G680" s="341"/>
      <c r="H680" s="341"/>
      <c r="I680" s="342"/>
      <c r="J680" s="341" t="s">
        <v>629</v>
      </c>
      <c r="K680" s="245"/>
      <c r="L680" s="257"/>
      <c r="M680" s="605" t="s">
        <v>321</v>
      </c>
      <c r="N680" s="606"/>
      <c r="O680" s="179"/>
      <c r="P680" s="180"/>
      <c r="Q680" s="180">
        <v>9200000</v>
      </c>
      <c r="R680" s="181">
        <f t="shared" si="195"/>
        <v>1.4164742109314856</v>
      </c>
      <c r="S680" s="181">
        <v>100</v>
      </c>
      <c r="T680" s="180">
        <f t="shared" si="196"/>
        <v>0</v>
      </c>
      <c r="U680" s="180">
        <f t="shared" si="197"/>
        <v>0</v>
      </c>
      <c r="V680" s="182">
        <f t="shared" si="198"/>
        <v>100</v>
      </c>
      <c r="W680" s="180"/>
      <c r="X680" s="180"/>
      <c r="Y680" s="180"/>
      <c r="Z680" s="180"/>
      <c r="AA680" s="180"/>
      <c r="AB680" s="180"/>
      <c r="AC680" s="180"/>
      <c r="AD680" s="180"/>
      <c r="AE680" s="180"/>
      <c r="AF680" s="180"/>
      <c r="AG680" s="180"/>
      <c r="AH680" s="180"/>
      <c r="AI680" s="180">
        <v>0</v>
      </c>
      <c r="AJ680" s="181">
        <f t="shared" ref="AJ680:AJ682" si="199">AI680/Q680*100</f>
        <v>0</v>
      </c>
      <c r="AK680" s="246">
        <f t="shared" si="170"/>
        <v>9200000</v>
      </c>
      <c r="AL680" s="181">
        <f t="shared" si="166"/>
        <v>100</v>
      </c>
      <c r="AM680" s="243"/>
    </row>
    <row r="681" spans="1:83" ht="28.5" customHeight="1" x14ac:dyDescent="0.25">
      <c r="A681" s="243"/>
      <c r="B681" s="341"/>
      <c r="C681" s="341"/>
      <c r="D681" s="341"/>
      <c r="E681" s="341"/>
      <c r="F681" s="341"/>
      <c r="G681" s="341"/>
      <c r="H681" s="341"/>
      <c r="I681" s="342"/>
      <c r="J681" s="341" t="s">
        <v>628</v>
      </c>
      <c r="K681" s="245"/>
      <c r="L681" s="257"/>
      <c r="M681" s="605" t="s">
        <v>310</v>
      </c>
      <c r="N681" s="606"/>
      <c r="O681" s="179"/>
      <c r="P681" s="180"/>
      <c r="Q681" s="180">
        <v>300000000</v>
      </c>
      <c r="R681" s="181">
        <f t="shared" si="195"/>
        <v>46.189376443418013</v>
      </c>
      <c r="S681" s="181">
        <v>100</v>
      </c>
      <c r="T681" s="180">
        <f t="shared" si="196"/>
        <v>0</v>
      </c>
      <c r="U681" s="180">
        <f t="shared" si="197"/>
        <v>0</v>
      </c>
      <c r="V681" s="182">
        <f t="shared" si="198"/>
        <v>100</v>
      </c>
      <c r="W681" s="180"/>
      <c r="X681" s="180"/>
      <c r="Y681" s="180"/>
      <c r="Z681" s="180"/>
      <c r="AA681" s="180"/>
      <c r="AB681" s="180"/>
      <c r="AC681" s="180"/>
      <c r="AD681" s="180"/>
      <c r="AE681" s="180"/>
      <c r="AF681" s="180"/>
      <c r="AG681" s="180"/>
      <c r="AH681" s="180"/>
      <c r="AI681" s="180">
        <v>0</v>
      </c>
      <c r="AJ681" s="181">
        <f t="shared" si="199"/>
        <v>0</v>
      </c>
      <c r="AK681" s="246">
        <f t="shared" si="170"/>
        <v>300000000</v>
      </c>
      <c r="AL681" s="181">
        <f t="shared" si="166"/>
        <v>100</v>
      </c>
      <c r="AM681" s="243"/>
    </row>
    <row r="682" spans="1:83" ht="24.75" customHeight="1" x14ac:dyDescent="0.25">
      <c r="A682" s="243"/>
      <c r="B682" s="597" t="s">
        <v>158</v>
      </c>
      <c r="C682" s="597"/>
      <c r="D682" s="597"/>
      <c r="E682" s="597"/>
      <c r="F682" s="597"/>
      <c r="G682" s="597"/>
      <c r="H682" s="597"/>
      <c r="I682" s="598"/>
      <c r="J682" s="341" t="s">
        <v>627</v>
      </c>
      <c r="K682" s="314"/>
      <c r="L682" s="315"/>
      <c r="M682" s="599" t="s">
        <v>607</v>
      </c>
      <c r="N682" s="600"/>
      <c r="O682" s="316"/>
      <c r="P682" s="316"/>
      <c r="Q682" s="317">
        <v>8000000</v>
      </c>
      <c r="R682" s="181">
        <f t="shared" si="195"/>
        <v>1.2317167051578137</v>
      </c>
      <c r="S682" s="181">
        <v>100</v>
      </c>
      <c r="T682" s="180">
        <f t="shared" si="196"/>
        <v>0</v>
      </c>
      <c r="U682" s="180">
        <f t="shared" si="197"/>
        <v>0</v>
      </c>
      <c r="V682" s="182">
        <f t="shared" si="198"/>
        <v>100</v>
      </c>
      <c r="W682" s="316"/>
      <c r="X682" s="316"/>
      <c r="Y682" s="316"/>
      <c r="Z682" s="316"/>
      <c r="AA682" s="316"/>
      <c r="AB682" s="316"/>
      <c r="AC682" s="316"/>
      <c r="AD682" s="316"/>
      <c r="AE682" s="316"/>
      <c r="AF682" s="316"/>
      <c r="AG682" s="316"/>
      <c r="AH682" s="316"/>
      <c r="AI682" s="180">
        <v>0</v>
      </c>
      <c r="AJ682" s="181">
        <f t="shared" si="199"/>
        <v>0</v>
      </c>
      <c r="AK682" s="246">
        <f t="shared" si="170"/>
        <v>8000000</v>
      </c>
      <c r="AL682" s="181">
        <f t="shared" si="166"/>
        <v>100</v>
      </c>
      <c r="AM682" s="243"/>
      <c r="AQ682" s="318"/>
      <c r="AR682" s="318"/>
      <c r="AS682" s="318"/>
      <c r="AT682" s="318"/>
      <c r="AU682" s="318"/>
      <c r="AV682" s="318"/>
      <c r="AW682" s="318"/>
      <c r="AX682" s="318"/>
      <c r="AY682" s="318"/>
      <c r="AZ682" s="318"/>
      <c r="BA682" s="318"/>
      <c r="BB682" s="318"/>
      <c r="BC682" s="318"/>
      <c r="BD682" s="318"/>
      <c r="BE682" s="318"/>
      <c r="BF682" s="318"/>
      <c r="BG682" s="318"/>
      <c r="BH682" s="318"/>
      <c r="BI682" s="318"/>
      <c r="BJ682" s="318"/>
      <c r="BK682" s="318"/>
      <c r="BL682" s="318"/>
      <c r="BM682" s="318"/>
      <c r="BN682" s="318"/>
      <c r="BO682" s="318"/>
      <c r="BP682" s="318"/>
      <c r="BQ682" s="318"/>
      <c r="BR682" s="318"/>
      <c r="BS682" s="318"/>
      <c r="BT682" s="318"/>
      <c r="BU682" s="318"/>
      <c r="BV682" s="318"/>
      <c r="BW682" s="318"/>
      <c r="BX682" s="318"/>
      <c r="BY682" s="318"/>
      <c r="BZ682" s="318"/>
      <c r="CA682" s="318"/>
      <c r="CB682" s="318"/>
      <c r="CC682" s="318"/>
      <c r="CD682" s="318"/>
      <c r="CE682" s="318"/>
    </row>
    <row r="683" spans="1:83" s="319" customFormat="1" ht="24" customHeight="1" x14ac:dyDescent="0.25">
      <c r="B683" s="601" t="s">
        <v>166</v>
      </c>
      <c r="C683" s="601"/>
      <c r="D683" s="601"/>
      <c r="E683" s="601"/>
      <c r="F683" s="601"/>
      <c r="G683" s="601"/>
      <c r="H683" s="601"/>
      <c r="I683" s="601"/>
      <c r="J683" s="343"/>
      <c r="L683" s="601"/>
      <c r="M683" s="601"/>
      <c r="N683" s="601"/>
      <c r="O683" s="321" t="e">
        <f>SUM(#REF!)</f>
        <v>#REF!</v>
      </c>
      <c r="P683" s="321" t="e">
        <f>SUM(#REF!)</f>
        <v>#REF!</v>
      </c>
      <c r="Q683" s="321"/>
      <c r="R683" s="322"/>
      <c r="S683" s="322"/>
      <c r="T683" s="321"/>
      <c r="U683" s="321"/>
      <c r="V683" s="323"/>
      <c r="W683" s="321"/>
      <c r="X683" s="321"/>
      <c r="Y683" s="321"/>
      <c r="Z683" s="321"/>
      <c r="AA683" s="321"/>
      <c r="AB683" s="321"/>
      <c r="AC683" s="321"/>
      <c r="AD683" s="321"/>
      <c r="AE683" s="321"/>
      <c r="AF683" s="321"/>
      <c r="AG683" s="321"/>
      <c r="AH683" s="321"/>
      <c r="AI683" s="321"/>
      <c r="AJ683" s="322"/>
      <c r="AK683" s="324"/>
      <c r="AL683" s="322"/>
      <c r="AQ683" s="325"/>
      <c r="AR683" s="325"/>
      <c r="AS683" s="325"/>
      <c r="AT683" s="325"/>
      <c r="AU683" s="325"/>
      <c r="AV683" s="325"/>
      <c r="AW683" s="325"/>
      <c r="AX683" s="325"/>
      <c r="AY683" s="325"/>
      <c r="AZ683" s="325"/>
      <c r="BA683" s="325"/>
      <c r="BB683" s="325"/>
      <c r="BC683" s="325"/>
      <c r="BD683" s="325"/>
      <c r="BE683" s="325"/>
      <c r="BF683" s="325"/>
      <c r="BG683" s="325"/>
      <c r="BH683" s="325"/>
      <c r="BI683" s="325"/>
      <c r="BJ683" s="325"/>
      <c r="BK683" s="325"/>
      <c r="BL683" s="325"/>
      <c r="BM683" s="325"/>
      <c r="BN683" s="325"/>
      <c r="BO683" s="325"/>
      <c r="BP683" s="325"/>
      <c r="BQ683" s="325"/>
      <c r="BR683" s="325"/>
      <c r="BS683" s="325"/>
      <c r="BT683" s="325"/>
      <c r="BU683" s="325"/>
      <c r="BV683" s="325"/>
      <c r="BW683" s="325"/>
      <c r="BX683" s="325"/>
      <c r="BY683" s="325"/>
      <c r="BZ683" s="325"/>
      <c r="CA683" s="325"/>
      <c r="CB683" s="325"/>
      <c r="CC683" s="325"/>
      <c r="CD683" s="325"/>
      <c r="CE683" s="325"/>
    </row>
    <row r="684" spans="1:83" s="325" customFormat="1" ht="24" customHeight="1" x14ac:dyDescent="0.25">
      <c r="B684" s="326"/>
      <c r="C684" s="326"/>
      <c r="D684" s="326"/>
      <c r="E684" s="326"/>
      <c r="F684" s="326"/>
      <c r="G684" s="326"/>
      <c r="H684" s="326"/>
      <c r="I684" s="326"/>
      <c r="J684" s="326"/>
      <c r="L684" s="326"/>
      <c r="M684" s="326"/>
      <c r="N684" s="326"/>
      <c r="O684" s="327"/>
      <c r="P684" s="327"/>
      <c r="Q684" s="327"/>
      <c r="R684" s="328"/>
      <c r="S684" s="328"/>
      <c r="T684" s="327"/>
      <c r="U684" s="327"/>
      <c r="V684" s="329"/>
      <c r="W684" s="327"/>
      <c r="X684" s="327"/>
      <c r="Y684" s="327"/>
      <c r="Z684" s="327"/>
      <c r="AA684" s="327"/>
      <c r="AB684" s="327"/>
      <c r="AC684" s="327"/>
      <c r="AD684" s="327"/>
      <c r="AE684" s="327"/>
      <c r="AF684" s="327"/>
      <c r="AG684" s="327"/>
      <c r="AH684" s="327"/>
      <c r="AI684" s="602" t="s">
        <v>542</v>
      </c>
      <c r="AJ684" s="602"/>
      <c r="AK684" s="602"/>
      <c r="AL684" s="602"/>
    </row>
    <row r="685" spans="1:83" s="325" customFormat="1" ht="24" customHeight="1" x14ac:dyDescent="0.25">
      <c r="B685" s="326"/>
      <c r="C685" s="326"/>
      <c r="D685" s="326"/>
      <c r="E685" s="326"/>
      <c r="F685" s="326"/>
      <c r="G685" s="326"/>
      <c r="H685" s="326"/>
      <c r="I685" s="326"/>
      <c r="J685" s="326"/>
      <c r="L685" s="326"/>
      <c r="M685" s="326"/>
      <c r="N685" s="326"/>
      <c r="O685" s="327"/>
      <c r="P685" s="327"/>
      <c r="Q685" s="327"/>
      <c r="R685" s="328"/>
      <c r="S685" s="328"/>
      <c r="T685" s="327"/>
      <c r="U685" s="327"/>
      <c r="V685" s="329"/>
      <c r="W685" s="327"/>
      <c r="X685" s="327"/>
      <c r="Y685" s="327"/>
      <c r="Z685" s="327"/>
      <c r="AA685" s="327"/>
      <c r="AB685" s="327"/>
      <c r="AC685" s="327"/>
      <c r="AD685" s="327"/>
      <c r="AE685" s="327"/>
      <c r="AF685" s="327"/>
      <c r="AG685" s="327"/>
      <c r="AH685" s="327"/>
      <c r="AI685" s="603" t="s">
        <v>543</v>
      </c>
      <c r="AJ685" s="603"/>
      <c r="AK685" s="603"/>
      <c r="AL685" s="603"/>
    </row>
    <row r="686" spans="1:83" s="325" customFormat="1" ht="24" customHeight="1" x14ac:dyDescent="0.25">
      <c r="B686" s="326"/>
      <c r="C686" s="326"/>
      <c r="D686" s="326"/>
      <c r="E686" s="326"/>
      <c r="F686" s="326"/>
      <c r="G686" s="326"/>
      <c r="H686" s="326"/>
      <c r="I686" s="326"/>
      <c r="J686" s="326"/>
      <c r="L686" s="326"/>
      <c r="M686" s="326"/>
      <c r="N686" s="326"/>
      <c r="O686" s="327"/>
      <c r="P686" s="327"/>
      <c r="Q686" s="327"/>
      <c r="R686" s="328"/>
      <c r="S686" s="328"/>
      <c r="T686" s="327"/>
      <c r="U686" s="327"/>
      <c r="V686" s="329"/>
      <c r="W686" s="327"/>
      <c r="X686" s="327"/>
      <c r="Y686" s="327"/>
      <c r="Z686" s="327"/>
      <c r="AA686" s="327"/>
      <c r="AB686" s="327"/>
      <c r="AC686" s="327"/>
      <c r="AD686" s="327"/>
      <c r="AE686" s="327"/>
      <c r="AF686" s="327"/>
      <c r="AG686" s="327"/>
      <c r="AH686" s="327"/>
      <c r="AI686" s="311"/>
      <c r="AJ686" s="297"/>
      <c r="AK686" s="330"/>
      <c r="AL686" s="328"/>
    </row>
    <row r="687" spans="1:83" ht="13.5" customHeight="1" x14ac:dyDescent="0.25">
      <c r="AI687" s="311"/>
      <c r="AJ687" s="297"/>
      <c r="AK687" s="330"/>
    </row>
    <row r="688" spans="1:83" ht="13.5" customHeight="1" x14ac:dyDescent="0.25">
      <c r="A688" s="204"/>
      <c r="B688" s="204"/>
      <c r="C688" s="204"/>
      <c r="D688" s="204"/>
      <c r="E688" s="204"/>
      <c r="F688" s="204"/>
      <c r="G688" s="204"/>
      <c r="H688" s="204"/>
      <c r="I688" s="204"/>
      <c r="J688" s="204"/>
      <c r="K688" s="204"/>
      <c r="L688" s="204"/>
      <c r="M688" s="204"/>
      <c r="N688" s="332"/>
      <c r="O688" s="204"/>
      <c r="P688" s="204"/>
      <c r="Q688" s="204"/>
      <c r="R688" s="204"/>
      <c r="S688" s="204"/>
      <c r="T688" s="204"/>
      <c r="U688" s="204"/>
      <c r="V688" s="333"/>
      <c r="W688" s="204"/>
      <c r="X688" s="204"/>
      <c r="Y688" s="204"/>
      <c r="Z688" s="204"/>
      <c r="AA688" s="204"/>
      <c r="AB688" s="204"/>
      <c r="AC688" s="204"/>
      <c r="AD688" s="204"/>
      <c r="AE688" s="204"/>
      <c r="AF688" s="204"/>
      <c r="AG688" s="204"/>
      <c r="AH688" s="204"/>
      <c r="AI688" s="311"/>
      <c r="AJ688" s="297"/>
      <c r="AK688" s="330"/>
      <c r="AL688" s="204"/>
      <c r="AM688" s="204"/>
    </row>
    <row r="689" spans="1:39" ht="13.5" customHeight="1" x14ac:dyDescent="0.25">
      <c r="A689" s="204"/>
      <c r="B689" s="204"/>
      <c r="C689" s="204"/>
      <c r="D689" s="204"/>
      <c r="E689" s="204"/>
      <c r="F689" s="204"/>
      <c r="G689" s="204"/>
      <c r="H689" s="204"/>
      <c r="I689" s="204"/>
      <c r="J689" s="204"/>
      <c r="K689" s="204"/>
      <c r="L689" s="204"/>
      <c r="M689" s="204"/>
      <c r="N689" s="204"/>
      <c r="O689" s="204"/>
      <c r="P689" s="204"/>
      <c r="Q689" s="204"/>
      <c r="R689" s="204"/>
      <c r="S689" s="204"/>
      <c r="T689" s="204"/>
      <c r="U689" s="204"/>
      <c r="V689" s="333"/>
      <c r="W689" s="204"/>
      <c r="X689" s="204"/>
      <c r="Y689" s="204"/>
      <c r="Z689" s="204"/>
      <c r="AA689" s="204"/>
      <c r="AB689" s="204"/>
      <c r="AC689" s="204"/>
      <c r="AD689" s="204"/>
      <c r="AE689" s="204"/>
      <c r="AF689" s="204"/>
      <c r="AG689" s="204"/>
      <c r="AH689" s="204"/>
      <c r="AI689" s="311"/>
      <c r="AJ689" s="297"/>
      <c r="AK689" s="330"/>
      <c r="AL689" s="204"/>
      <c r="AM689" s="204"/>
    </row>
    <row r="690" spans="1:39" ht="13.5" customHeight="1" x14ac:dyDescent="0.25">
      <c r="A690" s="204"/>
      <c r="B690" s="204"/>
      <c r="C690" s="204"/>
      <c r="D690" s="204"/>
      <c r="E690" s="204"/>
      <c r="F690" s="204"/>
      <c r="G690" s="204"/>
      <c r="H690" s="204"/>
      <c r="I690" s="204"/>
      <c r="J690" s="204"/>
      <c r="K690" s="204"/>
      <c r="L690" s="204"/>
      <c r="M690" s="204"/>
      <c r="N690" s="204"/>
      <c r="AI690" s="595" t="s">
        <v>216</v>
      </c>
      <c r="AJ690" s="595"/>
      <c r="AK690" s="595"/>
      <c r="AL690" s="595"/>
    </row>
    <row r="691" spans="1:39" ht="13.5" customHeight="1" x14ac:dyDescent="0.25">
      <c r="A691" s="334"/>
      <c r="B691" s="204"/>
      <c r="C691" s="204"/>
      <c r="D691" s="204"/>
      <c r="E691" s="204"/>
      <c r="F691" s="204"/>
      <c r="G691" s="204"/>
      <c r="H691" s="204"/>
      <c r="I691" s="204"/>
      <c r="J691" s="204"/>
      <c r="K691" s="204"/>
      <c r="L691" s="204"/>
      <c r="M691" s="204"/>
      <c r="N691" s="204"/>
      <c r="AI691" s="596" t="s">
        <v>217</v>
      </c>
      <c r="AJ691" s="596"/>
      <c r="AK691" s="596"/>
      <c r="AL691" s="596"/>
    </row>
    <row r="692" spans="1:39" ht="13.5" customHeight="1" x14ac:dyDescent="0.25">
      <c r="A692" s="204"/>
      <c r="B692" s="204"/>
      <c r="C692" s="204"/>
      <c r="D692" s="204"/>
      <c r="E692" s="204"/>
      <c r="F692" s="204"/>
      <c r="G692" s="204"/>
      <c r="H692" s="204"/>
      <c r="I692" s="204"/>
      <c r="J692" s="204"/>
      <c r="K692" s="204"/>
      <c r="L692" s="204"/>
      <c r="M692" s="204"/>
      <c r="N692" s="204"/>
    </row>
    <row r="693" spans="1:39" ht="13.5" customHeight="1" x14ac:dyDescent="0.25">
      <c r="A693" s="204"/>
      <c r="B693" s="204"/>
      <c r="C693" s="204"/>
      <c r="D693" s="204"/>
      <c r="E693" s="204"/>
      <c r="F693" s="204"/>
      <c r="G693" s="204"/>
      <c r="H693" s="204"/>
      <c r="I693" s="204"/>
      <c r="J693" s="204"/>
      <c r="K693" s="204"/>
      <c r="L693" s="204"/>
      <c r="M693" s="204"/>
      <c r="N693" s="204"/>
    </row>
    <row r="694" spans="1:39" ht="13.5" customHeight="1" x14ac:dyDescent="0.25">
      <c r="A694" s="337"/>
      <c r="B694" s="204"/>
      <c r="C694" s="204"/>
      <c r="D694" s="204"/>
      <c r="E694" s="204"/>
      <c r="F694" s="204"/>
      <c r="G694" s="204"/>
      <c r="H694" s="204"/>
      <c r="I694" s="204"/>
      <c r="J694" s="204"/>
      <c r="K694" s="204"/>
      <c r="L694" s="204"/>
      <c r="M694" s="204"/>
      <c r="N694" s="204"/>
    </row>
    <row r="695" spans="1:39" ht="13.5" customHeight="1" x14ac:dyDescent="0.25">
      <c r="A695" s="204"/>
      <c r="B695" s="204"/>
      <c r="C695" s="204"/>
      <c r="D695" s="204"/>
      <c r="E695" s="204"/>
      <c r="F695" s="204"/>
      <c r="G695" s="204"/>
      <c r="H695" s="204"/>
      <c r="I695" s="204"/>
      <c r="J695" s="204"/>
      <c r="K695" s="204"/>
      <c r="L695" s="204"/>
      <c r="M695" s="204"/>
      <c r="N695" s="204"/>
    </row>
    <row r="696" spans="1:39" ht="13.5" customHeight="1" x14ac:dyDescent="0.25">
      <c r="A696" s="204"/>
      <c r="B696" s="204"/>
      <c r="C696" s="204"/>
      <c r="D696" s="204"/>
      <c r="E696" s="204"/>
      <c r="F696" s="204"/>
      <c r="G696" s="204"/>
      <c r="H696" s="204"/>
      <c r="I696" s="204"/>
      <c r="J696" s="204"/>
      <c r="K696" s="204"/>
      <c r="L696" s="204"/>
      <c r="M696" s="204"/>
      <c r="N696" s="204"/>
    </row>
    <row r="697" spans="1:39" ht="13.5" customHeight="1" x14ac:dyDescent="0.25">
      <c r="A697" s="204"/>
      <c r="B697" s="204"/>
      <c r="C697" s="204"/>
      <c r="D697" s="204"/>
      <c r="E697" s="204"/>
      <c r="F697" s="204"/>
      <c r="G697" s="204"/>
      <c r="H697" s="204"/>
      <c r="I697" s="204"/>
      <c r="J697" s="204"/>
      <c r="K697" s="204"/>
      <c r="L697" s="204"/>
      <c r="M697" s="204"/>
      <c r="N697" s="204"/>
    </row>
    <row r="698" spans="1:39" ht="13.5" customHeight="1" x14ac:dyDescent="0.25">
      <c r="A698" s="337"/>
      <c r="B698" s="204"/>
      <c r="C698" s="204"/>
      <c r="D698" s="204"/>
      <c r="E698" s="204"/>
      <c r="F698" s="204"/>
      <c r="G698" s="204"/>
      <c r="H698" s="204"/>
      <c r="I698" s="204"/>
      <c r="J698" s="204"/>
      <c r="K698" s="204"/>
      <c r="L698" s="204"/>
      <c r="M698" s="204"/>
      <c r="N698" s="204"/>
    </row>
    <row r="699" spans="1:39" ht="13.5" customHeight="1" x14ac:dyDescent="0.25">
      <c r="A699" s="204"/>
      <c r="B699" s="204"/>
      <c r="C699" s="204"/>
      <c r="D699" s="204"/>
      <c r="E699" s="204"/>
      <c r="F699" s="204"/>
      <c r="G699" s="204"/>
      <c r="H699" s="204"/>
      <c r="I699" s="204"/>
      <c r="J699" s="204"/>
      <c r="K699" s="204"/>
      <c r="L699" s="204"/>
      <c r="M699" s="204"/>
      <c r="N699" s="204"/>
    </row>
    <row r="700" spans="1:39" ht="13.5" customHeight="1" x14ac:dyDescent="0.25">
      <c r="A700" s="204"/>
      <c r="B700" s="204"/>
      <c r="C700" s="204"/>
      <c r="D700" s="204"/>
      <c r="E700" s="204"/>
      <c r="F700" s="204"/>
      <c r="G700" s="204"/>
      <c r="H700" s="204"/>
      <c r="I700" s="204"/>
      <c r="J700" s="204"/>
      <c r="K700" s="204"/>
      <c r="L700" s="204"/>
      <c r="M700" s="204"/>
      <c r="N700" s="204"/>
    </row>
    <row r="701" spans="1:39" ht="13.5" customHeight="1" x14ac:dyDescent="0.25">
      <c r="A701" s="334"/>
      <c r="B701" s="204"/>
      <c r="C701" s="204"/>
      <c r="D701" s="204"/>
      <c r="E701" s="204"/>
      <c r="F701" s="204"/>
      <c r="G701" s="204"/>
      <c r="H701" s="204"/>
      <c r="I701" s="204"/>
      <c r="J701" s="204"/>
      <c r="K701" s="204"/>
      <c r="L701" s="204"/>
      <c r="M701" s="204"/>
      <c r="N701" s="204"/>
    </row>
    <row r="702" spans="1:39" ht="13.5" customHeight="1" x14ac:dyDescent="0.25">
      <c r="A702" s="333"/>
      <c r="B702" s="338"/>
      <c r="C702" s="338"/>
      <c r="D702" s="338"/>
      <c r="E702" s="338"/>
      <c r="F702" s="338"/>
      <c r="G702" s="338"/>
      <c r="H702" s="338"/>
      <c r="I702" s="338"/>
      <c r="J702" s="338"/>
      <c r="K702" s="333"/>
      <c r="L702" s="204"/>
      <c r="M702" s="204"/>
      <c r="N702" s="204"/>
    </row>
    <row r="703" spans="1:39" ht="13.5" customHeight="1" x14ac:dyDescent="0.25">
      <c r="A703" s="333">
        <v>0</v>
      </c>
      <c r="B703" s="338"/>
      <c r="C703" s="338"/>
      <c r="D703" s="338"/>
      <c r="E703" s="338"/>
      <c r="F703" s="338"/>
      <c r="G703" s="338"/>
      <c r="H703" s="338"/>
      <c r="I703" s="338"/>
      <c r="J703" s="338"/>
      <c r="K703" s="333" t="s">
        <v>190</v>
      </c>
      <c r="L703" s="204"/>
      <c r="M703" s="204"/>
      <c r="N703" s="204"/>
    </row>
    <row r="704" spans="1:39" ht="13.5" customHeight="1" x14ac:dyDescent="0.25">
      <c r="A704" s="333">
        <f>A702-A703</f>
        <v>0</v>
      </c>
      <c r="B704" s="338"/>
      <c r="C704" s="338"/>
      <c r="D704" s="338"/>
      <c r="E704" s="338"/>
      <c r="F704" s="338"/>
      <c r="G704" s="338"/>
      <c r="H704" s="338"/>
      <c r="I704" s="338"/>
      <c r="J704" s="338"/>
      <c r="K704" s="333" t="s">
        <v>191</v>
      </c>
      <c r="L704" s="204"/>
      <c r="M704" s="204"/>
      <c r="N704" s="204"/>
    </row>
    <row r="705" spans="1:37" ht="13.5" customHeight="1" x14ac:dyDescent="0.25">
      <c r="A705" s="204"/>
      <c r="B705" s="204"/>
      <c r="C705" s="204"/>
      <c r="D705" s="204"/>
      <c r="E705" s="204"/>
      <c r="F705" s="204"/>
      <c r="G705" s="204"/>
      <c r="H705" s="204"/>
      <c r="I705" s="204"/>
      <c r="J705" s="204"/>
      <c r="K705" s="204"/>
      <c r="L705" s="204"/>
      <c r="M705" s="204"/>
      <c r="N705" s="204"/>
    </row>
    <row r="706" spans="1:37" ht="13.5" customHeight="1" x14ac:dyDescent="0.25">
      <c r="A706" s="204">
        <v>7</v>
      </c>
      <c r="B706" s="204"/>
      <c r="C706" s="204"/>
      <c r="D706" s="204"/>
      <c r="E706" s="204"/>
      <c r="F706" s="204"/>
      <c r="G706" s="204"/>
      <c r="H706" s="204"/>
      <c r="I706" s="204"/>
      <c r="J706" s="204"/>
      <c r="K706" s="204" t="s">
        <v>168</v>
      </c>
      <c r="L706" s="204"/>
      <c r="M706" s="204"/>
      <c r="N706" s="332" t="s">
        <v>169</v>
      </c>
      <c r="O706" s="204"/>
      <c r="P706" s="204"/>
      <c r="Q706" s="204"/>
      <c r="R706" s="204"/>
      <c r="S706" s="204"/>
      <c r="T706" s="204"/>
      <c r="U706" s="204"/>
    </row>
    <row r="707" spans="1:37" ht="13.5" customHeight="1" x14ac:dyDescent="0.25">
      <c r="A707" s="204" t="e">
        <f>#REF!</f>
        <v>#REF!</v>
      </c>
      <c r="B707" s="204"/>
      <c r="C707" s="204"/>
      <c r="D707" s="204"/>
      <c r="E707" s="204"/>
      <c r="F707" s="204"/>
      <c r="G707" s="204"/>
      <c r="H707" s="204"/>
      <c r="I707" s="204"/>
      <c r="J707" s="204"/>
      <c r="K707" s="204" t="s">
        <v>170</v>
      </c>
      <c r="L707" s="204"/>
      <c r="M707" s="204"/>
      <c r="N707" s="204" t="s">
        <v>171</v>
      </c>
      <c r="O707" s="204"/>
      <c r="P707" s="204"/>
      <c r="Q707" s="204"/>
      <c r="R707" s="204"/>
      <c r="S707" s="204"/>
      <c r="T707" s="204"/>
      <c r="U707" s="204"/>
      <c r="V707" s="205"/>
      <c r="AI707" s="205"/>
      <c r="AK707" s="205"/>
    </row>
    <row r="708" spans="1:37" ht="13.5" customHeight="1" x14ac:dyDescent="0.25">
      <c r="A708" s="204"/>
      <c r="B708" s="204"/>
      <c r="C708" s="204"/>
      <c r="D708" s="204"/>
      <c r="E708" s="204"/>
      <c r="F708" s="204"/>
      <c r="G708" s="204"/>
      <c r="H708" s="204"/>
      <c r="I708" s="204"/>
      <c r="J708" s="204"/>
      <c r="K708" s="204"/>
      <c r="L708" s="204"/>
      <c r="M708" s="204"/>
      <c r="N708" s="204" t="s">
        <v>172</v>
      </c>
      <c r="V708" s="205"/>
      <c r="AI708" s="205"/>
      <c r="AK708" s="205"/>
    </row>
    <row r="709" spans="1:37" ht="13.5" customHeight="1" x14ac:dyDescent="0.25">
      <c r="A709" s="334">
        <f>COUNTIF(T139:T701,"&gt;=95")</f>
        <v>2</v>
      </c>
      <c r="B709" s="204"/>
      <c r="C709" s="204"/>
      <c r="D709" s="204"/>
      <c r="E709" s="204"/>
      <c r="F709" s="204"/>
      <c r="G709" s="204"/>
      <c r="H709" s="204"/>
      <c r="I709" s="204"/>
      <c r="J709" s="204"/>
      <c r="K709" s="204" t="s">
        <v>173</v>
      </c>
      <c r="L709" s="204"/>
      <c r="M709" s="204"/>
      <c r="N709" s="204" t="s">
        <v>174</v>
      </c>
      <c r="V709" s="205"/>
      <c r="AI709" s="205"/>
      <c r="AK709" s="205"/>
    </row>
    <row r="710" spans="1:37" ht="13.5" customHeight="1" x14ac:dyDescent="0.25">
      <c r="A710" s="204" t="e">
        <f>A707-A709</f>
        <v>#REF!</v>
      </c>
      <c r="B710" s="204"/>
      <c r="C710" s="204"/>
      <c r="D710" s="204"/>
      <c r="E710" s="204"/>
      <c r="F710" s="204"/>
      <c r="G710" s="204"/>
      <c r="H710" s="204"/>
      <c r="I710" s="204"/>
      <c r="J710" s="204"/>
      <c r="K710" s="204"/>
      <c r="L710" s="204"/>
      <c r="M710" s="204"/>
      <c r="N710" s="204" t="s">
        <v>175</v>
      </c>
      <c r="V710" s="205"/>
      <c r="AI710" s="205"/>
      <c r="AK710" s="205"/>
    </row>
    <row r="711" spans="1:37" ht="13.5" customHeight="1" x14ac:dyDescent="0.25">
      <c r="A711" s="204"/>
      <c r="B711" s="204"/>
      <c r="C711" s="204"/>
      <c r="D711" s="204"/>
      <c r="E711" s="204"/>
      <c r="F711" s="204"/>
      <c r="G711" s="204"/>
      <c r="H711" s="204"/>
      <c r="I711" s="204"/>
      <c r="J711" s="204"/>
      <c r="K711" s="204"/>
      <c r="L711" s="204"/>
      <c r="M711" s="204"/>
      <c r="N711" s="204" t="s">
        <v>176</v>
      </c>
      <c r="V711" s="205"/>
      <c r="AI711" s="205"/>
      <c r="AK711" s="205"/>
    </row>
    <row r="712" spans="1:37" ht="13.5" customHeight="1" x14ac:dyDescent="0.25">
      <c r="A712" s="337">
        <v>2</v>
      </c>
      <c r="B712" s="204"/>
      <c r="C712" s="204"/>
      <c r="D712" s="204"/>
      <c r="E712" s="204"/>
      <c r="F712" s="204"/>
      <c r="G712" s="204"/>
      <c r="H712" s="204"/>
      <c r="I712" s="204"/>
      <c r="J712" s="204"/>
      <c r="K712" s="204" t="s">
        <v>177</v>
      </c>
      <c r="L712" s="204"/>
      <c r="M712" s="204"/>
      <c r="N712" s="204" t="s">
        <v>178</v>
      </c>
      <c r="V712" s="205"/>
      <c r="AI712" s="205"/>
      <c r="AK712" s="205"/>
    </row>
    <row r="713" spans="1:37" ht="13.5" customHeight="1" x14ac:dyDescent="0.25">
      <c r="A713" s="204">
        <f>A706-A712</f>
        <v>5</v>
      </c>
      <c r="B713" s="204"/>
      <c r="C713" s="204"/>
      <c r="D713" s="204"/>
      <c r="E713" s="204"/>
      <c r="F713" s="204"/>
      <c r="G713" s="204"/>
      <c r="H713" s="204"/>
      <c r="I713" s="204"/>
      <c r="J713" s="204"/>
      <c r="K713" s="204"/>
      <c r="L713" s="204"/>
      <c r="M713" s="204"/>
      <c r="N713" s="204" t="s">
        <v>179</v>
      </c>
      <c r="V713" s="205"/>
      <c r="AI713" s="205"/>
      <c r="AK713" s="205"/>
    </row>
    <row r="714" spans="1:37" ht="13.5" customHeight="1" x14ac:dyDescent="0.25">
      <c r="A714" s="204"/>
      <c r="B714" s="204"/>
      <c r="C714" s="204"/>
      <c r="D714" s="204"/>
      <c r="E714" s="204"/>
      <c r="F714" s="204"/>
      <c r="G714" s="204"/>
      <c r="H714" s="204"/>
      <c r="I714" s="204"/>
      <c r="J714" s="204"/>
      <c r="K714" s="204"/>
      <c r="L714" s="204"/>
      <c r="M714" s="204"/>
      <c r="N714" s="204" t="s">
        <v>180</v>
      </c>
      <c r="V714" s="205"/>
      <c r="AI714" s="205"/>
      <c r="AK714" s="205"/>
    </row>
    <row r="715" spans="1:37" ht="13.5" customHeight="1" x14ac:dyDescent="0.25">
      <c r="A715" s="204">
        <v>7</v>
      </c>
      <c r="B715" s="204"/>
      <c r="C715" s="204"/>
      <c r="D715" s="204"/>
      <c r="E715" s="204"/>
      <c r="F715" s="204"/>
      <c r="G715" s="204"/>
      <c r="H715" s="204"/>
      <c r="I715" s="204"/>
      <c r="J715" s="204"/>
      <c r="K715" s="204" t="s">
        <v>181</v>
      </c>
      <c r="L715" s="204"/>
      <c r="M715" s="204"/>
      <c r="N715" s="204" t="s">
        <v>182</v>
      </c>
      <c r="V715" s="205"/>
      <c r="AI715" s="205"/>
      <c r="AK715" s="205"/>
    </row>
    <row r="716" spans="1:37" ht="13.5" customHeight="1" x14ac:dyDescent="0.25">
      <c r="A716" s="337">
        <v>3</v>
      </c>
      <c r="B716" s="204"/>
      <c r="C716" s="204"/>
      <c r="D716" s="204"/>
      <c r="E716" s="204"/>
      <c r="F716" s="204"/>
      <c r="G716" s="204"/>
      <c r="H716" s="204"/>
      <c r="I716" s="204"/>
      <c r="J716" s="204"/>
      <c r="K716" s="204" t="s">
        <v>183</v>
      </c>
      <c r="L716" s="204"/>
      <c r="M716" s="204"/>
      <c r="N716" s="204" t="s">
        <v>184</v>
      </c>
      <c r="V716" s="205"/>
      <c r="AI716" s="205"/>
      <c r="AK716" s="205"/>
    </row>
    <row r="717" spans="1:37" ht="13.5" customHeight="1" x14ac:dyDescent="0.25">
      <c r="A717" s="204">
        <f>A715-A716</f>
        <v>4</v>
      </c>
      <c r="B717" s="204"/>
      <c r="C717" s="204"/>
      <c r="D717" s="204"/>
      <c r="E717" s="204"/>
      <c r="F717" s="204"/>
      <c r="G717" s="204"/>
      <c r="H717" s="204"/>
      <c r="I717" s="204"/>
      <c r="J717" s="204"/>
      <c r="K717" s="204"/>
      <c r="L717" s="204"/>
      <c r="M717" s="204"/>
      <c r="N717" s="204" t="s">
        <v>185</v>
      </c>
      <c r="V717" s="205"/>
      <c r="AI717" s="205"/>
      <c r="AK717" s="205"/>
    </row>
    <row r="718" spans="1:37" ht="13.5" customHeight="1" x14ac:dyDescent="0.25">
      <c r="A718" s="204"/>
      <c r="B718" s="204"/>
      <c r="C718" s="204"/>
      <c r="D718" s="204"/>
      <c r="E718" s="204"/>
      <c r="F718" s="204"/>
      <c r="G718" s="204"/>
      <c r="H718" s="204"/>
      <c r="I718" s="204"/>
      <c r="J718" s="204"/>
      <c r="K718" s="204"/>
      <c r="L718" s="204"/>
      <c r="M718" s="204"/>
      <c r="N718" s="204" t="s">
        <v>186</v>
      </c>
      <c r="V718" s="205"/>
      <c r="AI718" s="205"/>
      <c r="AK718" s="205"/>
    </row>
    <row r="719" spans="1:37" ht="13.5" customHeight="1" x14ac:dyDescent="0.25">
      <c r="A719" s="334">
        <f>COUNTIF(T139:T701,"0")</f>
        <v>521</v>
      </c>
      <c r="B719" s="204"/>
      <c r="C719" s="204"/>
      <c r="D719" s="204"/>
      <c r="E719" s="204"/>
      <c r="F719" s="204"/>
      <c r="G719" s="204"/>
      <c r="H719" s="204"/>
      <c r="I719" s="204"/>
      <c r="J719" s="204"/>
      <c r="K719" s="204" t="s">
        <v>187</v>
      </c>
      <c r="L719" s="204"/>
      <c r="M719" s="204"/>
      <c r="N719" s="204" t="s">
        <v>188</v>
      </c>
      <c r="V719" s="205"/>
      <c r="AI719" s="205"/>
      <c r="AK719" s="205"/>
    </row>
    <row r="720" spans="1:37" ht="13.5" customHeight="1" x14ac:dyDescent="0.25">
      <c r="A720" s="333" t="e">
        <f>A707-(A709+A719)</f>
        <v>#REF!</v>
      </c>
      <c r="B720" s="338"/>
      <c r="C720" s="338"/>
      <c r="D720" s="338"/>
      <c r="E720" s="338"/>
      <c r="F720" s="338"/>
      <c r="G720" s="338"/>
      <c r="H720" s="338"/>
      <c r="I720" s="338"/>
      <c r="J720" s="338"/>
      <c r="K720" s="333" t="s">
        <v>189</v>
      </c>
      <c r="L720" s="204"/>
      <c r="M720" s="204"/>
      <c r="N720" s="204"/>
      <c r="V720" s="205"/>
      <c r="AI720" s="205"/>
      <c r="AK720" s="205"/>
    </row>
  </sheetData>
  <autoFilter ref="A1:A720" xr:uid="{00000000-0009-0000-0000-000003000000}"/>
  <mergeCells count="795">
    <mergeCell ref="M651:N651"/>
    <mergeCell ref="M652:N652"/>
    <mergeCell ref="M653:N653"/>
    <mergeCell ref="B1:AM1"/>
    <mergeCell ref="A2:AM2"/>
    <mergeCell ref="A3:AO3"/>
    <mergeCell ref="A5:A7"/>
    <mergeCell ref="B5:I7"/>
    <mergeCell ref="J5:J7"/>
    <mergeCell ref="K5:N7"/>
    <mergeCell ref="O5:O7"/>
    <mergeCell ref="P5:P7"/>
    <mergeCell ref="Q5:Q7"/>
    <mergeCell ref="AO5:AO7"/>
    <mergeCell ref="B8:I8"/>
    <mergeCell ref="K8:N8"/>
    <mergeCell ref="B15:I15"/>
    <mergeCell ref="L15:N15"/>
    <mergeCell ref="B16:I16"/>
    <mergeCell ref="L16:N16"/>
    <mergeCell ref="B17:I17"/>
    <mergeCell ref="L17:N17"/>
    <mergeCell ref="B10:I10"/>
    <mergeCell ref="L10:N10"/>
    <mergeCell ref="AP5:AP7"/>
    <mergeCell ref="T6:U6"/>
    <mergeCell ref="V6:V7"/>
    <mergeCell ref="W6:W7"/>
    <mergeCell ref="X6:X7"/>
    <mergeCell ref="Y6:Y7"/>
    <mergeCell ref="Z6:Z7"/>
    <mergeCell ref="R5:R7"/>
    <mergeCell ref="S5:S7"/>
    <mergeCell ref="T5:AI5"/>
    <mergeCell ref="AJ5:AJ7"/>
    <mergeCell ref="AK5:AK7"/>
    <mergeCell ref="AL5:AL7"/>
    <mergeCell ref="AA6:AA7"/>
    <mergeCell ref="AB6:AB7"/>
    <mergeCell ref="AC6:AC7"/>
    <mergeCell ref="AD6:AD7"/>
    <mergeCell ref="AE6:AE7"/>
    <mergeCell ref="AF6:AF7"/>
    <mergeCell ref="AG6:AG7"/>
    <mergeCell ref="AH6:AH7"/>
    <mergeCell ref="AI6:AI7"/>
    <mergeCell ref="AM5:AM7"/>
    <mergeCell ref="AN5:AN7"/>
    <mergeCell ref="B12:I12"/>
    <mergeCell ref="L12:N12"/>
    <mergeCell ref="B14:I14"/>
    <mergeCell ref="L14:N14"/>
    <mergeCell ref="B21:I21"/>
    <mergeCell ref="L21:N21"/>
    <mergeCell ref="B22:I22"/>
    <mergeCell ref="L22:N22"/>
    <mergeCell ref="B23:I23"/>
    <mergeCell ref="L23:N23"/>
    <mergeCell ref="B18:I18"/>
    <mergeCell ref="L18:N18"/>
    <mergeCell ref="B19:I19"/>
    <mergeCell ref="L19:N19"/>
    <mergeCell ref="B20:I20"/>
    <mergeCell ref="L20:N20"/>
    <mergeCell ref="B27:I27"/>
    <mergeCell ref="L27:N27"/>
    <mergeCell ref="B28:I28"/>
    <mergeCell ref="L28:N28"/>
    <mergeCell ref="B29:I29"/>
    <mergeCell ref="L29:N29"/>
    <mergeCell ref="B24:I24"/>
    <mergeCell ref="L24:N24"/>
    <mergeCell ref="B25:I25"/>
    <mergeCell ref="L25:N25"/>
    <mergeCell ref="B26:I26"/>
    <mergeCell ref="L26:N26"/>
    <mergeCell ref="B35:I35"/>
    <mergeCell ref="L35:N35"/>
    <mergeCell ref="L36:N36"/>
    <mergeCell ref="L37:N37"/>
    <mergeCell ref="L38:N38"/>
    <mergeCell ref="L39:N39"/>
    <mergeCell ref="B30:I30"/>
    <mergeCell ref="L30:N30"/>
    <mergeCell ref="L31:N31"/>
    <mergeCell ref="B32:I32"/>
    <mergeCell ref="L32:N32"/>
    <mergeCell ref="L33:N33"/>
    <mergeCell ref="L46:N46"/>
    <mergeCell ref="L47:N47"/>
    <mergeCell ref="L48:N48"/>
    <mergeCell ref="L49:N49"/>
    <mergeCell ref="L50:N50"/>
    <mergeCell ref="L51:N51"/>
    <mergeCell ref="L40:N40"/>
    <mergeCell ref="L41:N41"/>
    <mergeCell ref="L42:N42"/>
    <mergeCell ref="L43:N43"/>
    <mergeCell ref="L44:N44"/>
    <mergeCell ref="L45:N45"/>
    <mergeCell ref="M56:N56"/>
    <mergeCell ref="B57:I57"/>
    <mergeCell ref="M57:N57"/>
    <mergeCell ref="M58:N58"/>
    <mergeCell ref="M59:N59"/>
    <mergeCell ref="M60:N60"/>
    <mergeCell ref="B53:I53"/>
    <mergeCell ref="L53:N53"/>
    <mergeCell ref="B54:I54"/>
    <mergeCell ref="L54:N54"/>
    <mergeCell ref="B55:I55"/>
    <mergeCell ref="M55:N55"/>
    <mergeCell ref="M65:N65"/>
    <mergeCell ref="M66:N66"/>
    <mergeCell ref="B67:I67"/>
    <mergeCell ref="M67:N67"/>
    <mergeCell ref="M68:N68"/>
    <mergeCell ref="M69:N69"/>
    <mergeCell ref="B61:I61"/>
    <mergeCell ref="M61:N61"/>
    <mergeCell ref="M62:N62"/>
    <mergeCell ref="B63:I63"/>
    <mergeCell ref="M63:N63"/>
    <mergeCell ref="M64:N64"/>
    <mergeCell ref="M75:N75"/>
    <mergeCell ref="B76:I76"/>
    <mergeCell ref="M76:N76"/>
    <mergeCell ref="M77:N77"/>
    <mergeCell ref="M78:N78"/>
    <mergeCell ref="M79:N79"/>
    <mergeCell ref="B70:I70"/>
    <mergeCell ref="M70:N70"/>
    <mergeCell ref="M71:N71"/>
    <mergeCell ref="M72:N72"/>
    <mergeCell ref="M73:N73"/>
    <mergeCell ref="M74:N74"/>
    <mergeCell ref="M85:N85"/>
    <mergeCell ref="M86:N86"/>
    <mergeCell ref="B87:I87"/>
    <mergeCell ref="M87:N87"/>
    <mergeCell ref="M88:N88"/>
    <mergeCell ref="B89:I89"/>
    <mergeCell ref="M89:N89"/>
    <mergeCell ref="M80:N80"/>
    <mergeCell ref="B81:I81"/>
    <mergeCell ref="M81:N81"/>
    <mergeCell ref="M82:N82"/>
    <mergeCell ref="M83:N83"/>
    <mergeCell ref="B84:I84"/>
    <mergeCell ref="M84:N84"/>
    <mergeCell ref="B105:I105"/>
    <mergeCell ref="M105:N105"/>
    <mergeCell ref="M95:N95"/>
    <mergeCell ref="M96:N96"/>
    <mergeCell ref="M97:N97"/>
    <mergeCell ref="M98:N98"/>
    <mergeCell ref="M99:N99"/>
    <mergeCell ref="M100:N100"/>
    <mergeCell ref="M90:N90"/>
    <mergeCell ref="B91:I91"/>
    <mergeCell ref="M91:N91"/>
    <mergeCell ref="M92:N92"/>
    <mergeCell ref="M93:N93"/>
    <mergeCell ref="M94:N94"/>
    <mergeCell ref="M106:N106"/>
    <mergeCell ref="M107:N107"/>
    <mergeCell ref="M108:N108"/>
    <mergeCell ref="M109:N109"/>
    <mergeCell ref="M110:N110"/>
    <mergeCell ref="M111:N111"/>
    <mergeCell ref="M101:N101"/>
    <mergeCell ref="M102:N102"/>
    <mergeCell ref="M103:N103"/>
    <mergeCell ref="M104:N104"/>
    <mergeCell ref="M118:N118"/>
    <mergeCell ref="B119:I119"/>
    <mergeCell ref="L119:N119"/>
    <mergeCell ref="B120:I120"/>
    <mergeCell ref="M120:N120"/>
    <mergeCell ref="M121:N121"/>
    <mergeCell ref="M112:N112"/>
    <mergeCell ref="M113:N113"/>
    <mergeCell ref="M114:N114"/>
    <mergeCell ref="M115:N115"/>
    <mergeCell ref="M116:N116"/>
    <mergeCell ref="M117:N117"/>
    <mergeCell ref="M127:N127"/>
    <mergeCell ref="M128:N128"/>
    <mergeCell ref="M129:N129"/>
    <mergeCell ref="M130:N130"/>
    <mergeCell ref="M131:N131"/>
    <mergeCell ref="M132:N132"/>
    <mergeCell ref="B122:I122"/>
    <mergeCell ref="M122:N122"/>
    <mergeCell ref="M123:N123"/>
    <mergeCell ref="M124:N124"/>
    <mergeCell ref="M125:N125"/>
    <mergeCell ref="M126:N126"/>
    <mergeCell ref="M137:N137"/>
    <mergeCell ref="M138:N138"/>
    <mergeCell ref="B139:I139"/>
    <mergeCell ref="M139:N139"/>
    <mergeCell ref="M140:N140"/>
    <mergeCell ref="M141:N141"/>
    <mergeCell ref="M133:N133"/>
    <mergeCell ref="B134:I134"/>
    <mergeCell ref="M134:N134"/>
    <mergeCell ref="M135:N135"/>
    <mergeCell ref="B136:I136"/>
    <mergeCell ref="M136:N136"/>
    <mergeCell ref="M147:N147"/>
    <mergeCell ref="M148:N148"/>
    <mergeCell ref="M149:N149"/>
    <mergeCell ref="B150:I150"/>
    <mergeCell ref="M150:N150"/>
    <mergeCell ref="M151:N151"/>
    <mergeCell ref="M142:N142"/>
    <mergeCell ref="B143:I143"/>
    <mergeCell ref="M143:N143"/>
    <mergeCell ref="M144:N144"/>
    <mergeCell ref="M145:N145"/>
    <mergeCell ref="M146:N146"/>
    <mergeCell ref="M157:N157"/>
    <mergeCell ref="M158:N158"/>
    <mergeCell ref="M159:N159"/>
    <mergeCell ref="B160:I160"/>
    <mergeCell ref="M160:N160"/>
    <mergeCell ref="M161:N161"/>
    <mergeCell ref="M152:N152"/>
    <mergeCell ref="M153:N153"/>
    <mergeCell ref="M154:N154"/>
    <mergeCell ref="M155:N155"/>
    <mergeCell ref="B156:I156"/>
    <mergeCell ref="L156:N156"/>
    <mergeCell ref="B166:I166"/>
    <mergeCell ref="M166:N166"/>
    <mergeCell ref="M167:N167"/>
    <mergeCell ref="M168:N168"/>
    <mergeCell ref="M169:N169"/>
    <mergeCell ref="M170:N170"/>
    <mergeCell ref="M162:N162"/>
    <mergeCell ref="B163:I163"/>
    <mergeCell ref="L163:N163"/>
    <mergeCell ref="B164:I164"/>
    <mergeCell ref="M164:N164"/>
    <mergeCell ref="M165:N165"/>
    <mergeCell ref="B176:I176"/>
    <mergeCell ref="M176:N176"/>
    <mergeCell ref="M177:N177"/>
    <mergeCell ref="M178:N178"/>
    <mergeCell ref="M179:N179"/>
    <mergeCell ref="M180:N180"/>
    <mergeCell ref="M171:N171"/>
    <mergeCell ref="M172:N172"/>
    <mergeCell ref="M173:N173"/>
    <mergeCell ref="M174:N174"/>
    <mergeCell ref="B175:I175"/>
    <mergeCell ref="L175:N175"/>
    <mergeCell ref="M187:N187"/>
    <mergeCell ref="B188:I188"/>
    <mergeCell ref="M188:N188"/>
    <mergeCell ref="M189:N189"/>
    <mergeCell ref="M190:N190"/>
    <mergeCell ref="M191:N191"/>
    <mergeCell ref="M181:N181"/>
    <mergeCell ref="M182:N182"/>
    <mergeCell ref="M183:N183"/>
    <mergeCell ref="M184:N184"/>
    <mergeCell ref="M185:N185"/>
    <mergeCell ref="M186:N186"/>
    <mergeCell ref="M198:N198"/>
    <mergeCell ref="M199:N199"/>
    <mergeCell ref="M200:N200"/>
    <mergeCell ref="M201:N201"/>
    <mergeCell ref="M202:N202"/>
    <mergeCell ref="M203:N203"/>
    <mergeCell ref="M192:N192"/>
    <mergeCell ref="M193:N193"/>
    <mergeCell ref="M194:N194"/>
    <mergeCell ref="M195:N195"/>
    <mergeCell ref="M196:N196"/>
    <mergeCell ref="M197:N197"/>
    <mergeCell ref="M209:N209"/>
    <mergeCell ref="M210:N210"/>
    <mergeCell ref="B211:I211"/>
    <mergeCell ref="M211:N211"/>
    <mergeCell ref="M212:N212"/>
    <mergeCell ref="M213:N213"/>
    <mergeCell ref="B204:I204"/>
    <mergeCell ref="M204:N204"/>
    <mergeCell ref="M205:N205"/>
    <mergeCell ref="M206:N206"/>
    <mergeCell ref="M207:N207"/>
    <mergeCell ref="M208:N208"/>
    <mergeCell ref="M220:N220"/>
    <mergeCell ref="M221:N221"/>
    <mergeCell ref="M222:N222"/>
    <mergeCell ref="M223:N223"/>
    <mergeCell ref="M224:N224"/>
    <mergeCell ref="B225:I225"/>
    <mergeCell ref="M225:N225"/>
    <mergeCell ref="M214:N214"/>
    <mergeCell ref="M215:N215"/>
    <mergeCell ref="M216:N216"/>
    <mergeCell ref="M217:N217"/>
    <mergeCell ref="M218:N218"/>
    <mergeCell ref="M219:N219"/>
    <mergeCell ref="M232:N232"/>
    <mergeCell ref="M233:N233"/>
    <mergeCell ref="M234:N234"/>
    <mergeCell ref="M235:N235"/>
    <mergeCell ref="B236:I236"/>
    <mergeCell ref="M236:N236"/>
    <mergeCell ref="M226:N226"/>
    <mergeCell ref="M227:N227"/>
    <mergeCell ref="M228:N228"/>
    <mergeCell ref="M229:N229"/>
    <mergeCell ref="M230:N230"/>
    <mergeCell ref="M231:N231"/>
    <mergeCell ref="B243:I243"/>
    <mergeCell ref="L243:N243"/>
    <mergeCell ref="B244:I244"/>
    <mergeCell ref="M244:N244"/>
    <mergeCell ref="M245:N245"/>
    <mergeCell ref="M246:N246"/>
    <mergeCell ref="M237:N237"/>
    <mergeCell ref="M238:N238"/>
    <mergeCell ref="M239:N239"/>
    <mergeCell ref="M240:N240"/>
    <mergeCell ref="M241:N241"/>
    <mergeCell ref="M242:N242"/>
    <mergeCell ref="M253:N253"/>
    <mergeCell ref="M254:N254"/>
    <mergeCell ref="M255:N255"/>
    <mergeCell ref="M256:N256"/>
    <mergeCell ref="M257:N257"/>
    <mergeCell ref="M258:N258"/>
    <mergeCell ref="M247:N247"/>
    <mergeCell ref="M248:N248"/>
    <mergeCell ref="M249:N249"/>
    <mergeCell ref="M250:N250"/>
    <mergeCell ref="M251:N251"/>
    <mergeCell ref="M252:N252"/>
    <mergeCell ref="M265:N265"/>
    <mergeCell ref="M266:N266"/>
    <mergeCell ref="M267:N267"/>
    <mergeCell ref="M268:N268"/>
    <mergeCell ref="M269:N269"/>
    <mergeCell ref="B270:I270"/>
    <mergeCell ref="M270:N270"/>
    <mergeCell ref="M259:N259"/>
    <mergeCell ref="M260:N260"/>
    <mergeCell ref="M261:N261"/>
    <mergeCell ref="M262:N262"/>
    <mergeCell ref="M263:N263"/>
    <mergeCell ref="M264:N264"/>
    <mergeCell ref="M277:N277"/>
    <mergeCell ref="M278:N278"/>
    <mergeCell ref="M279:N279"/>
    <mergeCell ref="M280:N280"/>
    <mergeCell ref="M281:N281"/>
    <mergeCell ref="B282:I282"/>
    <mergeCell ref="M282:N282"/>
    <mergeCell ref="M271:N271"/>
    <mergeCell ref="M272:N272"/>
    <mergeCell ref="M273:N273"/>
    <mergeCell ref="M274:N274"/>
    <mergeCell ref="M275:N275"/>
    <mergeCell ref="M276:N276"/>
    <mergeCell ref="M289:N289"/>
    <mergeCell ref="M290:N290"/>
    <mergeCell ref="M291:N291"/>
    <mergeCell ref="B292:I292"/>
    <mergeCell ref="M292:N292"/>
    <mergeCell ref="M293:N293"/>
    <mergeCell ref="M283:N283"/>
    <mergeCell ref="M284:N284"/>
    <mergeCell ref="M285:N285"/>
    <mergeCell ref="M286:N286"/>
    <mergeCell ref="M287:N287"/>
    <mergeCell ref="M288:N288"/>
    <mergeCell ref="M300:N300"/>
    <mergeCell ref="M301:N301"/>
    <mergeCell ref="M302:N302"/>
    <mergeCell ref="M303:N303"/>
    <mergeCell ref="B304:I304"/>
    <mergeCell ref="M304:N304"/>
    <mergeCell ref="M294:N294"/>
    <mergeCell ref="M295:N295"/>
    <mergeCell ref="M296:N296"/>
    <mergeCell ref="M297:N297"/>
    <mergeCell ref="M298:N298"/>
    <mergeCell ref="M299:N299"/>
    <mergeCell ref="B320:I320"/>
    <mergeCell ref="M320:N320"/>
    <mergeCell ref="M311:N311"/>
    <mergeCell ref="B312:I312"/>
    <mergeCell ref="M312:N312"/>
    <mergeCell ref="M313:N313"/>
    <mergeCell ref="M314:N314"/>
    <mergeCell ref="M315:N315"/>
    <mergeCell ref="M305:N305"/>
    <mergeCell ref="M306:N306"/>
    <mergeCell ref="M307:N307"/>
    <mergeCell ref="M308:N308"/>
    <mergeCell ref="M309:N309"/>
    <mergeCell ref="M310:N310"/>
    <mergeCell ref="M321:N321"/>
    <mergeCell ref="M322:N322"/>
    <mergeCell ref="M323:N323"/>
    <mergeCell ref="M324:N324"/>
    <mergeCell ref="M325:N325"/>
    <mergeCell ref="M326:N326"/>
    <mergeCell ref="M316:N316"/>
    <mergeCell ref="M317:N317"/>
    <mergeCell ref="M318:N318"/>
    <mergeCell ref="M319:N319"/>
    <mergeCell ref="M333:N333"/>
    <mergeCell ref="B334:I334"/>
    <mergeCell ref="M334:N334"/>
    <mergeCell ref="M335:N335"/>
    <mergeCell ref="M336:N336"/>
    <mergeCell ref="M337:N337"/>
    <mergeCell ref="M327:N327"/>
    <mergeCell ref="M328:N328"/>
    <mergeCell ref="M329:N329"/>
    <mergeCell ref="M330:N330"/>
    <mergeCell ref="M331:N331"/>
    <mergeCell ref="M332:N332"/>
    <mergeCell ref="M344:N344"/>
    <mergeCell ref="B345:I345"/>
    <mergeCell ref="M345:N345"/>
    <mergeCell ref="M346:N346"/>
    <mergeCell ref="M347:N347"/>
    <mergeCell ref="M348:N348"/>
    <mergeCell ref="M338:N338"/>
    <mergeCell ref="M339:N339"/>
    <mergeCell ref="M340:N340"/>
    <mergeCell ref="M341:N341"/>
    <mergeCell ref="M342:N342"/>
    <mergeCell ref="M343:N343"/>
    <mergeCell ref="M355:N355"/>
    <mergeCell ref="M356:N356"/>
    <mergeCell ref="M357:N357"/>
    <mergeCell ref="M358:N358"/>
    <mergeCell ref="B359:I359"/>
    <mergeCell ref="M359:N359"/>
    <mergeCell ref="M349:N349"/>
    <mergeCell ref="M350:N350"/>
    <mergeCell ref="M351:N351"/>
    <mergeCell ref="M352:N352"/>
    <mergeCell ref="M353:N353"/>
    <mergeCell ref="M354:N354"/>
    <mergeCell ref="M366:N366"/>
    <mergeCell ref="M367:N367"/>
    <mergeCell ref="M368:N368"/>
    <mergeCell ref="M369:N369"/>
    <mergeCell ref="M370:N370"/>
    <mergeCell ref="M371:N371"/>
    <mergeCell ref="M360:N360"/>
    <mergeCell ref="M361:N361"/>
    <mergeCell ref="M362:N362"/>
    <mergeCell ref="M363:N363"/>
    <mergeCell ref="M364:N364"/>
    <mergeCell ref="M365:N365"/>
    <mergeCell ref="M377:N377"/>
    <mergeCell ref="M378:N378"/>
    <mergeCell ref="M379:N379"/>
    <mergeCell ref="M380:N380"/>
    <mergeCell ref="M381:N381"/>
    <mergeCell ref="B382:I382"/>
    <mergeCell ref="M382:N382"/>
    <mergeCell ref="B372:I372"/>
    <mergeCell ref="M372:N372"/>
    <mergeCell ref="M373:N373"/>
    <mergeCell ref="M374:N374"/>
    <mergeCell ref="M375:N375"/>
    <mergeCell ref="M376:N376"/>
    <mergeCell ref="M389:N389"/>
    <mergeCell ref="M390:N390"/>
    <mergeCell ref="M391:N391"/>
    <mergeCell ref="M392:N392"/>
    <mergeCell ref="M393:N393"/>
    <mergeCell ref="M394:N394"/>
    <mergeCell ref="M383:N383"/>
    <mergeCell ref="M384:N384"/>
    <mergeCell ref="M385:N385"/>
    <mergeCell ref="M386:N386"/>
    <mergeCell ref="M387:N387"/>
    <mergeCell ref="M388:N388"/>
    <mergeCell ref="B403:I403"/>
    <mergeCell ref="M403:N403"/>
    <mergeCell ref="M404:N404"/>
    <mergeCell ref="B395:I395"/>
    <mergeCell ref="M395:N395"/>
    <mergeCell ref="M396:N396"/>
    <mergeCell ref="M397:N397"/>
    <mergeCell ref="M398:N398"/>
    <mergeCell ref="M399:N399"/>
    <mergeCell ref="M405:N405"/>
    <mergeCell ref="M406:N406"/>
    <mergeCell ref="M407:N407"/>
    <mergeCell ref="M408:N408"/>
    <mergeCell ref="M409:N409"/>
    <mergeCell ref="M410:N410"/>
    <mergeCell ref="M400:N400"/>
    <mergeCell ref="M401:N401"/>
    <mergeCell ref="M402:N402"/>
    <mergeCell ref="M417:N417"/>
    <mergeCell ref="M418:N418"/>
    <mergeCell ref="M419:N419"/>
    <mergeCell ref="B420:I420"/>
    <mergeCell ref="M420:N420"/>
    <mergeCell ref="M421:N421"/>
    <mergeCell ref="M411:N411"/>
    <mergeCell ref="M412:N412"/>
    <mergeCell ref="M413:N413"/>
    <mergeCell ref="M414:N414"/>
    <mergeCell ref="M415:N415"/>
    <mergeCell ref="M416:N416"/>
    <mergeCell ref="M428:N428"/>
    <mergeCell ref="M429:N429"/>
    <mergeCell ref="M430:N430"/>
    <mergeCell ref="B431:I431"/>
    <mergeCell ref="M431:N431"/>
    <mergeCell ref="M432:N432"/>
    <mergeCell ref="M422:N422"/>
    <mergeCell ref="M423:N423"/>
    <mergeCell ref="M424:N424"/>
    <mergeCell ref="M425:N425"/>
    <mergeCell ref="M426:N426"/>
    <mergeCell ref="M427:N427"/>
    <mergeCell ref="B442:I442"/>
    <mergeCell ref="M442:N442"/>
    <mergeCell ref="M443:N443"/>
    <mergeCell ref="M433:N433"/>
    <mergeCell ref="M434:N434"/>
    <mergeCell ref="M435:N435"/>
    <mergeCell ref="M436:N436"/>
    <mergeCell ref="M437:N437"/>
    <mergeCell ref="M438:N438"/>
    <mergeCell ref="M444:N444"/>
    <mergeCell ref="M445:N445"/>
    <mergeCell ref="M446:N446"/>
    <mergeCell ref="M447:N447"/>
    <mergeCell ref="M448:N448"/>
    <mergeCell ref="M449:N449"/>
    <mergeCell ref="M439:N439"/>
    <mergeCell ref="M440:N440"/>
    <mergeCell ref="M441:N441"/>
    <mergeCell ref="M455:N455"/>
    <mergeCell ref="M456:N456"/>
    <mergeCell ref="M457:N457"/>
    <mergeCell ref="M458:N458"/>
    <mergeCell ref="M459:N459"/>
    <mergeCell ref="B461:I461"/>
    <mergeCell ref="M461:N461"/>
    <mergeCell ref="M450:N450"/>
    <mergeCell ref="M451:N451"/>
    <mergeCell ref="B452:I452"/>
    <mergeCell ref="M452:N452"/>
    <mergeCell ref="M453:N453"/>
    <mergeCell ref="M454:N454"/>
    <mergeCell ref="M460:N460"/>
    <mergeCell ref="M468:N468"/>
    <mergeCell ref="M469:N469"/>
    <mergeCell ref="M470:N470"/>
    <mergeCell ref="M471:N471"/>
    <mergeCell ref="M472:N472"/>
    <mergeCell ref="M473:N473"/>
    <mergeCell ref="M462:N462"/>
    <mergeCell ref="M463:N463"/>
    <mergeCell ref="M464:N464"/>
    <mergeCell ref="M465:N465"/>
    <mergeCell ref="M466:N466"/>
    <mergeCell ref="M467:N467"/>
    <mergeCell ref="B490:I490"/>
    <mergeCell ref="M490:N490"/>
    <mergeCell ref="M480:N480"/>
    <mergeCell ref="M481:N481"/>
    <mergeCell ref="M482:N482"/>
    <mergeCell ref="M483:N483"/>
    <mergeCell ref="M484:N484"/>
    <mergeCell ref="M485:N485"/>
    <mergeCell ref="M474:N474"/>
    <mergeCell ref="M475:N475"/>
    <mergeCell ref="M476:N476"/>
    <mergeCell ref="M477:N477"/>
    <mergeCell ref="M478:N478"/>
    <mergeCell ref="M479:N479"/>
    <mergeCell ref="M491:N491"/>
    <mergeCell ref="M492:N492"/>
    <mergeCell ref="M493:N493"/>
    <mergeCell ref="M494:N494"/>
    <mergeCell ref="M495:N495"/>
    <mergeCell ref="M496:N496"/>
    <mergeCell ref="M486:N486"/>
    <mergeCell ref="M487:N487"/>
    <mergeCell ref="M488:N488"/>
    <mergeCell ref="M489:N489"/>
    <mergeCell ref="M502:N502"/>
    <mergeCell ref="M503:N503"/>
    <mergeCell ref="M504:N504"/>
    <mergeCell ref="M505:N505"/>
    <mergeCell ref="M506:N506"/>
    <mergeCell ref="M507:N507"/>
    <mergeCell ref="M497:N497"/>
    <mergeCell ref="M498:N498"/>
    <mergeCell ref="B499:I499"/>
    <mergeCell ref="M499:N499"/>
    <mergeCell ref="M500:N500"/>
    <mergeCell ref="M501:N501"/>
    <mergeCell ref="M514:N514"/>
    <mergeCell ref="M515:N515"/>
    <mergeCell ref="M516:N516"/>
    <mergeCell ref="M517:N517"/>
    <mergeCell ref="B518:I518"/>
    <mergeCell ref="M518:N518"/>
    <mergeCell ref="M508:N508"/>
    <mergeCell ref="M509:N509"/>
    <mergeCell ref="M510:N510"/>
    <mergeCell ref="M511:N511"/>
    <mergeCell ref="M512:N512"/>
    <mergeCell ref="M513:N513"/>
    <mergeCell ref="B525:I525"/>
    <mergeCell ref="M525:N525"/>
    <mergeCell ref="M526:N526"/>
    <mergeCell ref="M527:N527"/>
    <mergeCell ref="M528:N528"/>
    <mergeCell ref="M529:N529"/>
    <mergeCell ref="M519:N519"/>
    <mergeCell ref="M520:N520"/>
    <mergeCell ref="M521:N521"/>
    <mergeCell ref="M522:N522"/>
    <mergeCell ref="M523:N523"/>
    <mergeCell ref="M524:N524"/>
    <mergeCell ref="M536:N536"/>
    <mergeCell ref="B537:I537"/>
    <mergeCell ref="M537:N537"/>
    <mergeCell ref="M538:N538"/>
    <mergeCell ref="M539:N539"/>
    <mergeCell ref="M540:N540"/>
    <mergeCell ref="M530:N530"/>
    <mergeCell ref="M531:N531"/>
    <mergeCell ref="M532:N532"/>
    <mergeCell ref="M533:N533"/>
    <mergeCell ref="M534:N534"/>
    <mergeCell ref="M535:N535"/>
    <mergeCell ref="M547:N547"/>
    <mergeCell ref="M548:N548"/>
    <mergeCell ref="M549:N549"/>
    <mergeCell ref="M550:N550"/>
    <mergeCell ref="M551:N551"/>
    <mergeCell ref="M552:N552"/>
    <mergeCell ref="M541:N541"/>
    <mergeCell ref="M542:N542"/>
    <mergeCell ref="M543:N543"/>
    <mergeCell ref="M544:N544"/>
    <mergeCell ref="M545:N545"/>
    <mergeCell ref="M546:N546"/>
    <mergeCell ref="M559:N559"/>
    <mergeCell ref="M560:N560"/>
    <mergeCell ref="M561:N561"/>
    <mergeCell ref="M562:N562"/>
    <mergeCell ref="M563:N563"/>
    <mergeCell ref="M564:N564"/>
    <mergeCell ref="M553:N553"/>
    <mergeCell ref="M554:N554"/>
    <mergeCell ref="M555:N555"/>
    <mergeCell ref="M556:N556"/>
    <mergeCell ref="M557:N557"/>
    <mergeCell ref="M558:N558"/>
    <mergeCell ref="M571:N571"/>
    <mergeCell ref="M572:N572"/>
    <mergeCell ref="M573:N573"/>
    <mergeCell ref="M574:N574"/>
    <mergeCell ref="M575:N575"/>
    <mergeCell ref="M576:N576"/>
    <mergeCell ref="M565:N565"/>
    <mergeCell ref="M566:N566"/>
    <mergeCell ref="M567:N567"/>
    <mergeCell ref="M568:N568"/>
    <mergeCell ref="M569:N569"/>
    <mergeCell ref="M570:N570"/>
    <mergeCell ref="M583:N583"/>
    <mergeCell ref="M584:N584"/>
    <mergeCell ref="M585:N585"/>
    <mergeCell ref="M586:N586"/>
    <mergeCell ref="M587:N587"/>
    <mergeCell ref="M589:N589"/>
    <mergeCell ref="M577:N577"/>
    <mergeCell ref="M578:N578"/>
    <mergeCell ref="M579:N579"/>
    <mergeCell ref="M580:N580"/>
    <mergeCell ref="M581:N581"/>
    <mergeCell ref="M582:N582"/>
    <mergeCell ref="M588:N588"/>
    <mergeCell ref="M596:N596"/>
    <mergeCell ref="M597:N597"/>
    <mergeCell ref="M598:N598"/>
    <mergeCell ref="M599:N599"/>
    <mergeCell ref="M600:N600"/>
    <mergeCell ref="M601:N601"/>
    <mergeCell ref="M590:N590"/>
    <mergeCell ref="M591:N591"/>
    <mergeCell ref="M592:N592"/>
    <mergeCell ref="M593:N593"/>
    <mergeCell ref="M594:N594"/>
    <mergeCell ref="M595:N595"/>
    <mergeCell ref="M608:N608"/>
    <mergeCell ref="M609:N609"/>
    <mergeCell ref="M610:N610"/>
    <mergeCell ref="M611:N611"/>
    <mergeCell ref="M612:N612"/>
    <mergeCell ref="M613:N613"/>
    <mergeCell ref="M602:N602"/>
    <mergeCell ref="M603:N603"/>
    <mergeCell ref="M604:N604"/>
    <mergeCell ref="M605:N605"/>
    <mergeCell ref="M606:N606"/>
    <mergeCell ref="M607:N607"/>
    <mergeCell ref="M620:N620"/>
    <mergeCell ref="M621:N621"/>
    <mergeCell ref="M622:N622"/>
    <mergeCell ref="M623:N623"/>
    <mergeCell ref="M624:N624"/>
    <mergeCell ref="M625:N625"/>
    <mergeCell ref="M614:N614"/>
    <mergeCell ref="M615:N615"/>
    <mergeCell ref="M616:N616"/>
    <mergeCell ref="M617:N617"/>
    <mergeCell ref="M618:N618"/>
    <mergeCell ref="M619:N619"/>
    <mergeCell ref="M632:N632"/>
    <mergeCell ref="M633:N633"/>
    <mergeCell ref="M634:N634"/>
    <mergeCell ref="M635:N635"/>
    <mergeCell ref="M636:N636"/>
    <mergeCell ref="M637:N637"/>
    <mergeCell ref="M626:N626"/>
    <mergeCell ref="M627:N627"/>
    <mergeCell ref="M628:N628"/>
    <mergeCell ref="M629:N629"/>
    <mergeCell ref="M630:N630"/>
    <mergeCell ref="M631:N631"/>
    <mergeCell ref="M659:N659"/>
    <mergeCell ref="M660:N660"/>
    <mergeCell ref="M661:N661"/>
    <mergeCell ref="M662:N662"/>
    <mergeCell ref="M663:N663"/>
    <mergeCell ref="M664:N664"/>
    <mergeCell ref="M638:N638"/>
    <mergeCell ref="M654:N654"/>
    <mergeCell ref="M655:N655"/>
    <mergeCell ref="M656:N656"/>
    <mergeCell ref="M657:N657"/>
    <mergeCell ref="M658:N658"/>
    <mergeCell ref="M639:N639"/>
    <mergeCell ref="M640:N640"/>
    <mergeCell ref="M641:N641"/>
    <mergeCell ref="M642:N642"/>
    <mergeCell ref="M643:N643"/>
    <mergeCell ref="M644:N644"/>
    <mergeCell ref="M645:N645"/>
    <mergeCell ref="M646:N646"/>
    <mergeCell ref="M647:N647"/>
    <mergeCell ref="M648:N648"/>
    <mergeCell ref="M649:N649"/>
    <mergeCell ref="M650:N650"/>
    <mergeCell ref="M671:N671"/>
    <mergeCell ref="M672:N672"/>
    <mergeCell ref="M673:N673"/>
    <mergeCell ref="B674:I674"/>
    <mergeCell ref="L674:N674"/>
    <mergeCell ref="M675:N675"/>
    <mergeCell ref="M665:N665"/>
    <mergeCell ref="M666:N666"/>
    <mergeCell ref="M667:N667"/>
    <mergeCell ref="M668:N668"/>
    <mergeCell ref="M669:N669"/>
    <mergeCell ref="M670:N670"/>
    <mergeCell ref="AI690:AL690"/>
    <mergeCell ref="AI691:AL691"/>
    <mergeCell ref="B682:I682"/>
    <mergeCell ref="M682:N682"/>
    <mergeCell ref="B683:I683"/>
    <mergeCell ref="L683:N683"/>
    <mergeCell ref="AI684:AL684"/>
    <mergeCell ref="AI685:AL685"/>
    <mergeCell ref="M676:N676"/>
    <mergeCell ref="M677:N677"/>
    <mergeCell ref="M678:N678"/>
    <mergeCell ref="M679:N679"/>
    <mergeCell ref="M680:N680"/>
    <mergeCell ref="M681:N681"/>
  </mergeCells>
  <printOptions horizontalCentered="1"/>
  <pageMargins left="0.23622047244094491" right="0.11811023622047245" top="0.59055118110236227" bottom="0.39370078740157483" header="0.35433070866141736" footer="0.35433070866141736"/>
  <pageSetup paperSize="257" scale="75" fitToWidth="0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outlinePr summaryBelow="0" summaryRight="0"/>
    <pageSetUpPr autoPageBreaks="0"/>
  </sheetPr>
  <dimension ref="A1:CE720"/>
  <sheetViews>
    <sheetView showOutlineSymbols="0" zoomScale="85" zoomScaleNormal="85" workbookViewId="0">
      <pane ySplit="8" topLeftCell="A18" activePane="bottomLeft" state="frozen"/>
      <selection activeCell="Q553" sqref="Q553"/>
      <selection pane="bottomLeft" activeCell="AI26" sqref="AI26"/>
    </sheetView>
  </sheetViews>
  <sheetFormatPr defaultRowHeight="13.5" customHeight="1" x14ac:dyDescent="0.25"/>
  <cols>
    <col min="1" max="1" width="5" style="205" customWidth="1"/>
    <col min="2" max="2" width="1.140625" style="205" hidden="1" customWidth="1"/>
    <col min="3" max="3" width="1.7109375" style="205" hidden="1" customWidth="1"/>
    <col min="4" max="5" width="1.140625" style="205" hidden="1" customWidth="1"/>
    <col min="6" max="6" width="1.7109375" style="205" hidden="1" customWidth="1"/>
    <col min="7" max="7" width="2" style="205" hidden="1" customWidth="1"/>
    <col min="8" max="8" width="8.5703125" style="205" hidden="1" customWidth="1"/>
    <col min="9" max="9" width="1.140625" style="205" hidden="1" customWidth="1"/>
    <col min="10" max="10" width="22.5703125" style="205" customWidth="1"/>
    <col min="11" max="11" width="2.28515625" style="205" customWidth="1"/>
    <col min="12" max="12" width="1.7109375" style="205" customWidth="1"/>
    <col min="13" max="13" width="5.85546875" style="205" customWidth="1"/>
    <col min="14" max="14" width="30.7109375" style="205" customWidth="1"/>
    <col min="15" max="16" width="16.42578125" style="205" hidden="1" customWidth="1"/>
    <col min="17" max="17" width="21.85546875" style="205" customWidth="1"/>
    <col min="18" max="18" width="8.28515625" style="205" customWidth="1"/>
    <col min="19" max="19" width="8" style="205" customWidth="1"/>
    <col min="20" max="20" width="11" style="205" bestFit="1" customWidth="1"/>
    <col min="21" max="21" width="11" style="205" customWidth="1"/>
    <col min="22" max="22" width="11" style="331" customWidth="1"/>
    <col min="23" max="31" width="15.85546875" style="205" hidden="1" customWidth="1"/>
    <col min="32" max="32" width="18.28515625" style="205" hidden="1" customWidth="1"/>
    <col min="33" max="34" width="15.85546875" style="205" hidden="1" customWidth="1"/>
    <col min="35" max="35" width="22.42578125" style="335" customWidth="1"/>
    <col min="36" max="36" width="8" style="205" customWidth="1"/>
    <col min="37" max="37" width="24.28515625" style="336" customWidth="1"/>
    <col min="38" max="38" width="9.5703125" style="205" customWidth="1"/>
    <col min="39" max="39" width="6.85546875" style="205" customWidth="1"/>
    <col min="40" max="42" width="0" style="205" hidden="1" customWidth="1"/>
    <col min="43" max="43" width="9.140625" style="205"/>
    <col min="44" max="44" width="20.140625" style="205" bestFit="1" customWidth="1"/>
    <col min="45" max="45" width="15.85546875" style="205" bestFit="1" customWidth="1"/>
    <col min="46" max="16384" width="9.140625" style="205"/>
  </cols>
  <sheetData>
    <row r="1" spans="1:45" ht="13.5" customHeight="1" x14ac:dyDescent="0.25">
      <c r="A1" s="203"/>
      <c r="B1" s="646" t="s">
        <v>0</v>
      </c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C1" s="646"/>
      <c r="AD1" s="646"/>
      <c r="AE1" s="646"/>
      <c r="AF1" s="646"/>
      <c r="AG1" s="646"/>
      <c r="AH1" s="646"/>
      <c r="AI1" s="646"/>
      <c r="AJ1" s="646"/>
      <c r="AK1" s="646"/>
      <c r="AL1" s="646"/>
      <c r="AM1" s="646"/>
      <c r="AN1" s="204"/>
      <c r="AO1" s="204"/>
      <c r="AP1" s="204"/>
    </row>
    <row r="2" spans="1:45" s="206" customFormat="1" ht="13.5" customHeight="1" x14ac:dyDescent="0.25">
      <c r="A2" s="646" t="s">
        <v>541</v>
      </c>
      <c r="B2" s="646"/>
      <c r="C2" s="646"/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C2" s="646"/>
      <c r="AD2" s="646"/>
      <c r="AE2" s="646"/>
      <c r="AF2" s="646"/>
      <c r="AG2" s="646"/>
      <c r="AH2" s="646"/>
      <c r="AI2" s="646"/>
      <c r="AJ2" s="646"/>
      <c r="AK2" s="646"/>
      <c r="AL2" s="646"/>
      <c r="AM2" s="646"/>
    </row>
    <row r="3" spans="1:45" ht="13.5" customHeight="1" x14ac:dyDescent="0.25">
      <c r="A3" s="646" t="s">
        <v>635</v>
      </c>
      <c r="B3" s="646"/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C3" s="646"/>
      <c r="AD3" s="646"/>
      <c r="AE3" s="646"/>
      <c r="AF3" s="646"/>
      <c r="AG3" s="646"/>
      <c r="AH3" s="646"/>
      <c r="AI3" s="646"/>
      <c r="AJ3" s="646"/>
      <c r="AK3" s="646"/>
      <c r="AL3" s="646"/>
      <c r="AM3" s="646"/>
      <c r="AN3" s="646"/>
      <c r="AO3" s="646"/>
      <c r="AP3" s="204"/>
    </row>
    <row r="4" spans="1:45" ht="13.5" customHeight="1" x14ac:dyDescent="0.25">
      <c r="A4" s="203" t="s">
        <v>426</v>
      </c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3"/>
      <c r="S4" s="203"/>
      <c r="T4" s="204"/>
      <c r="U4" s="204"/>
      <c r="V4" s="208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9"/>
      <c r="AL4" s="204"/>
      <c r="AM4" s="204"/>
      <c r="AN4" s="204"/>
      <c r="AO4" s="204"/>
      <c r="AP4" s="204"/>
    </row>
    <row r="5" spans="1:45" ht="13.5" customHeight="1" x14ac:dyDescent="0.25">
      <c r="A5" s="497" t="s">
        <v>1</v>
      </c>
      <c r="B5" s="497" t="s">
        <v>56</v>
      </c>
      <c r="C5" s="497"/>
      <c r="D5" s="497"/>
      <c r="E5" s="497"/>
      <c r="F5" s="497"/>
      <c r="G5" s="497"/>
      <c r="H5" s="497"/>
      <c r="I5" s="497"/>
      <c r="J5" s="498" t="s">
        <v>192</v>
      </c>
      <c r="K5" s="497" t="s">
        <v>2</v>
      </c>
      <c r="L5" s="497"/>
      <c r="M5" s="497"/>
      <c r="N5" s="497"/>
      <c r="O5" s="497" t="s">
        <v>57</v>
      </c>
      <c r="P5" s="498" t="s">
        <v>58</v>
      </c>
      <c r="Q5" s="497" t="s">
        <v>3</v>
      </c>
      <c r="R5" s="497" t="s">
        <v>4</v>
      </c>
      <c r="S5" s="497" t="s">
        <v>59</v>
      </c>
      <c r="T5" s="505" t="s">
        <v>60</v>
      </c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0"/>
      <c r="AI5" s="506"/>
      <c r="AJ5" s="497" t="s">
        <v>5</v>
      </c>
      <c r="AK5" s="511" t="s">
        <v>61</v>
      </c>
      <c r="AL5" s="497" t="s">
        <v>5</v>
      </c>
      <c r="AM5" s="497" t="s">
        <v>62</v>
      </c>
      <c r="AN5" s="497" t="s">
        <v>63</v>
      </c>
      <c r="AO5" s="497" t="s">
        <v>64</v>
      </c>
      <c r="AP5" s="497" t="s">
        <v>62</v>
      </c>
    </row>
    <row r="6" spans="1:45" ht="13.5" customHeight="1" x14ac:dyDescent="0.25">
      <c r="A6" s="497"/>
      <c r="B6" s="497"/>
      <c r="C6" s="497"/>
      <c r="D6" s="497"/>
      <c r="E6" s="497"/>
      <c r="F6" s="497"/>
      <c r="G6" s="497"/>
      <c r="H6" s="497"/>
      <c r="I6" s="497"/>
      <c r="J6" s="499"/>
      <c r="K6" s="497"/>
      <c r="L6" s="497"/>
      <c r="M6" s="497"/>
      <c r="N6" s="497"/>
      <c r="O6" s="497"/>
      <c r="P6" s="499"/>
      <c r="Q6" s="497"/>
      <c r="R6" s="497"/>
      <c r="S6" s="497"/>
      <c r="T6" s="505" t="s">
        <v>65</v>
      </c>
      <c r="U6" s="506"/>
      <c r="V6" s="507" t="s">
        <v>66</v>
      </c>
      <c r="W6" s="498" t="s">
        <v>67</v>
      </c>
      <c r="X6" s="498" t="s">
        <v>68</v>
      </c>
      <c r="Y6" s="498" t="s">
        <v>69</v>
      </c>
      <c r="Z6" s="498" t="s">
        <v>70</v>
      </c>
      <c r="AA6" s="498" t="s">
        <v>71</v>
      </c>
      <c r="AB6" s="498" t="s">
        <v>72</v>
      </c>
      <c r="AC6" s="498" t="s">
        <v>73</v>
      </c>
      <c r="AD6" s="498" t="s">
        <v>74</v>
      </c>
      <c r="AE6" s="498" t="s">
        <v>75</v>
      </c>
      <c r="AF6" s="498" t="s">
        <v>76</v>
      </c>
      <c r="AG6" s="498" t="s">
        <v>77</v>
      </c>
      <c r="AH6" s="498" t="s">
        <v>78</v>
      </c>
      <c r="AI6" s="498" t="s">
        <v>79</v>
      </c>
      <c r="AJ6" s="497"/>
      <c r="AK6" s="511"/>
      <c r="AL6" s="497"/>
      <c r="AM6" s="497"/>
      <c r="AN6" s="497"/>
      <c r="AO6" s="497"/>
      <c r="AP6" s="497"/>
    </row>
    <row r="7" spans="1:45" ht="34.5" customHeight="1" x14ac:dyDescent="0.25">
      <c r="A7" s="497"/>
      <c r="B7" s="497"/>
      <c r="C7" s="497"/>
      <c r="D7" s="497"/>
      <c r="E7" s="497"/>
      <c r="F7" s="497"/>
      <c r="G7" s="497"/>
      <c r="H7" s="497"/>
      <c r="I7" s="497"/>
      <c r="J7" s="500"/>
      <c r="K7" s="497"/>
      <c r="L7" s="497"/>
      <c r="M7" s="497"/>
      <c r="N7" s="497"/>
      <c r="O7" s="497"/>
      <c r="P7" s="500"/>
      <c r="Q7" s="497"/>
      <c r="R7" s="497"/>
      <c r="S7" s="497"/>
      <c r="T7" s="360" t="s">
        <v>80</v>
      </c>
      <c r="U7" s="360" t="s">
        <v>6</v>
      </c>
      <c r="V7" s="508"/>
      <c r="W7" s="500"/>
      <c r="X7" s="500"/>
      <c r="Y7" s="500"/>
      <c r="Z7" s="500"/>
      <c r="AA7" s="500"/>
      <c r="AB7" s="500"/>
      <c r="AC7" s="500"/>
      <c r="AD7" s="500"/>
      <c r="AE7" s="500"/>
      <c r="AF7" s="500"/>
      <c r="AG7" s="500"/>
      <c r="AH7" s="500"/>
      <c r="AI7" s="500"/>
      <c r="AJ7" s="497"/>
      <c r="AK7" s="511"/>
      <c r="AL7" s="497"/>
      <c r="AM7" s="497"/>
      <c r="AN7" s="497"/>
      <c r="AO7" s="497"/>
      <c r="AP7" s="497"/>
    </row>
    <row r="8" spans="1:45" s="210" customFormat="1" ht="13.5" customHeight="1" x14ac:dyDescent="0.25">
      <c r="A8" s="361">
        <v>1</v>
      </c>
      <c r="B8" s="509">
        <v>2</v>
      </c>
      <c r="C8" s="509"/>
      <c r="D8" s="509"/>
      <c r="E8" s="509"/>
      <c r="F8" s="509"/>
      <c r="G8" s="509"/>
      <c r="H8" s="509"/>
      <c r="I8" s="509"/>
      <c r="J8" s="361"/>
      <c r="K8" s="509">
        <v>2</v>
      </c>
      <c r="L8" s="509"/>
      <c r="M8" s="509"/>
      <c r="N8" s="509"/>
      <c r="O8" s="361">
        <v>3</v>
      </c>
      <c r="P8" s="361">
        <v>3</v>
      </c>
      <c r="Q8" s="361">
        <v>4</v>
      </c>
      <c r="R8" s="361">
        <v>5</v>
      </c>
      <c r="S8" s="361">
        <v>6</v>
      </c>
      <c r="T8" s="361">
        <v>7</v>
      </c>
      <c r="U8" s="361" t="s">
        <v>81</v>
      </c>
      <c r="V8" s="107" t="s">
        <v>82</v>
      </c>
      <c r="W8" s="361"/>
      <c r="X8" s="361"/>
      <c r="Y8" s="361"/>
      <c r="Z8" s="361"/>
      <c r="AA8" s="361"/>
      <c r="AB8" s="361"/>
      <c r="AC8" s="361"/>
      <c r="AD8" s="361"/>
      <c r="AE8" s="361"/>
      <c r="AF8" s="361"/>
      <c r="AG8" s="361"/>
      <c r="AH8" s="361"/>
      <c r="AI8" s="361">
        <v>10</v>
      </c>
      <c r="AJ8" s="361" t="s">
        <v>83</v>
      </c>
      <c r="AK8" s="131" t="s">
        <v>84</v>
      </c>
      <c r="AL8" s="361" t="s">
        <v>85</v>
      </c>
      <c r="AM8" s="361">
        <v>14</v>
      </c>
      <c r="AN8" s="361"/>
      <c r="AO8" s="361"/>
      <c r="AP8" s="361">
        <v>12</v>
      </c>
    </row>
    <row r="9" spans="1:45" ht="13.5" customHeight="1" thickBot="1" x14ac:dyDescent="0.3">
      <c r="A9" s="211" t="s">
        <v>544</v>
      </c>
      <c r="B9" s="212"/>
      <c r="C9" s="212"/>
      <c r="D9" s="212"/>
      <c r="E9" s="212"/>
      <c r="F9" s="212"/>
      <c r="G9" s="212"/>
      <c r="H9" s="212"/>
      <c r="I9" s="213"/>
      <c r="J9" s="212"/>
      <c r="K9" s="214"/>
      <c r="L9" s="212"/>
      <c r="M9" s="212"/>
      <c r="N9" s="213"/>
      <c r="O9" s="211"/>
      <c r="P9" s="211"/>
      <c r="Q9" s="211"/>
      <c r="R9" s="211"/>
      <c r="S9" s="211"/>
      <c r="T9" s="211"/>
      <c r="U9" s="211"/>
      <c r="V9" s="215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 t="s">
        <v>215</v>
      </c>
      <c r="AJ9" s="211"/>
      <c r="AK9" s="216"/>
      <c r="AL9" s="211"/>
      <c r="AM9" s="211"/>
      <c r="AN9" s="217"/>
      <c r="AO9" s="217"/>
      <c r="AP9" s="217"/>
    </row>
    <row r="10" spans="1:45" s="226" customFormat="1" ht="29.25" customHeight="1" thickTop="1" thickBot="1" x14ac:dyDescent="0.3">
      <c r="A10" s="218"/>
      <c r="B10" s="643" t="s">
        <v>86</v>
      </c>
      <c r="C10" s="644"/>
      <c r="D10" s="644"/>
      <c r="E10" s="644"/>
      <c r="F10" s="644"/>
      <c r="G10" s="644"/>
      <c r="H10" s="644"/>
      <c r="I10" s="645"/>
      <c r="J10" s="378" t="s">
        <v>193</v>
      </c>
      <c r="K10" s="220"/>
      <c r="L10" s="644" t="s">
        <v>87</v>
      </c>
      <c r="M10" s="644"/>
      <c r="N10" s="645"/>
      <c r="O10" s="221">
        <f>SUM(O14,O24,O26)</f>
        <v>57230250000</v>
      </c>
      <c r="P10" s="221">
        <f>SUM(P14,P24,P26)</f>
        <v>57230250000</v>
      </c>
      <c r="Q10" s="221">
        <f>SUM(Q14,Q24,Q26)</f>
        <v>124313865783</v>
      </c>
      <c r="R10" s="222">
        <f>Q10/Q10*100</f>
        <v>100</v>
      </c>
      <c r="S10" s="221">
        <f>S14</f>
        <v>100</v>
      </c>
      <c r="T10" s="221">
        <f>SUM(AJ10)</f>
        <v>29.623692251903265</v>
      </c>
      <c r="U10" s="221">
        <f>AJ10</f>
        <v>29.623692251903265</v>
      </c>
      <c r="V10" s="223">
        <f>S10-T10</f>
        <v>70.376307748096735</v>
      </c>
      <c r="W10" s="221">
        <f t="shared" ref="W10:AI10" si="0">SUM(W14,W24,W26)</f>
        <v>0</v>
      </c>
      <c r="X10" s="221" t="e">
        <f t="shared" si="0"/>
        <v>#REF!</v>
      </c>
      <c r="Y10" s="221" t="e">
        <f t="shared" si="0"/>
        <v>#REF!</v>
      </c>
      <c r="Z10" s="221" t="e">
        <f t="shared" si="0"/>
        <v>#REF!</v>
      </c>
      <c r="AA10" s="221" t="e">
        <f t="shared" si="0"/>
        <v>#REF!</v>
      </c>
      <c r="AB10" s="221">
        <f t="shared" si="0"/>
        <v>33313624753</v>
      </c>
      <c r="AC10" s="221" t="e">
        <f t="shared" si="0"/>
        <v>#REF!</v>
      </c>
      <c r="AD10" s="221" t="e">
        <f t="shared" si="0"/>
        <v>#REF!</v>
      </c>
      <c r="AE10" s="221" t="e">
        <f t="shared" si="0"/>
        <v>#REF!</v>
      </c>
      <c r="AF10" s="221" t="e">
        <f t="shared" si="0"/>
        <v>#REF!</v>
      </c>
      <c r="AG10" s="221" t="e">
        <f t="shared" si="0"/>
        <v>#REF!</v>
      </c>
      <c r="AH10" s="221">
        <f t="shared" si="0"/>
        <v>78185513265</v>
      </c>
      <c r="AI10" s="221">
        <f t="shared" si="0"/>
        <v>36826357026</v>
      </c>
      <c r="AJ10" s="224">
        <f>AI10/Q10*100</f>
        <v>29.623692251903265</v>
      </c>
      <c r="AK10" s="225">
        <f>SUM(AK14,AK24,AK26)</f>
        <v>87487508757</v>
      </c>
      <c r="AL10" s="224">
        <f>AK10/Q10*100</f>
        <v>70.376307748096735</v>
      </c>
      <c r="AM10" s="224"/>
    </row>
    <row r="11" spans="1:45" s="235" customFormat="1" ht="13.5" customHeight="1" thickTop="1" thickBot="1" x14ac:dyDescent="0.3">
      <c r="A11" s="227"/>
      <c r="B11" s="367"/>
      <c r="C11" s="367"/>
      <c r="D11" s="367"/>
      <c r="E11" s="367"/>
      <c r="F11" s="367"/>
      <c r="G11" s="367"/>
      <c r="H11" s="367"/>
      <c r="I11" s="366"/>
      <c r="J11" s="367"/>
      <c r="K11" s="230"/>
      <c r="L11" s="367"/>
      <c r="M11" s="367"/>
      <c r="N11" s="366"/>
      <c r="O11" s="231"/>
      <c r="P11" s="231"/>
      <c r="Q11" s="231"/>
      <c r="R11" s="231"/>
      <c r="S11" s="231"/>
      <c r="T11" s="231"/>
      <c r="U11" s="231"/>
      <c r="V11" s="232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3"/>
      <c r="AK11" s="234"/>
      <c r="AL11" s="233"/>
      <c r="AM11" s="233"/>
    </row>
    <row r="12" spans="1:45" s="226" customFormat="1" ht="29.25" customHeight="1" thickTop="1" thickBot="1" x14ac:dyDescent="0.3">
      <c r="A12" s="218"/>
      <c r="B12" s="643" t="s">
        <v>86</v>
      </c>
      <c r="C12" s="644"/>
      <c r="D12" s="644"/>
      <c r="E12" s="644"/>
      <c r="F12" s="644"/>
      <c r="G12" s="644"/>
      <c r="H12" s="644"/>
      <c r="I12" s="645"/>
      <c r="J12" s="378" t="s">
        <v>194</v>
      </c>
      <c r="K12" s="220"/>
      <c r="L12" s="644" t="s">
        <v>195</v>
      </c>
      <c r="M12" s="644"/>
      <c r="N12" s="645"/>
      <c r="O12" s="221" t="e">
        <f>SUM(#REF!,O26,O32)</f>
        <v>#REF!</v>
      </c>
      <c r="P12" s="221" t="e">
        <f>SUM(#REF!,P26,P32)</f>
        <v>#REF!</v>
      </c>
      <c r="Q12" s="221">
        <f>SUM(Q14+Q24+Q26)</f>
        <v>124313865783</v>
      </c>
      <c r="R12" s="222">
        <f>Q12/Q12*100</f>
        <v>100</v>
      </c>
      <c r="S12" s="221">
        <v>100</v>
      </c>
      <c r="T12" s="221">
        <f>SUM(AJ12)</f>
        <v>29.623692251903265</v>
      </c>
      <c r="U12" s="221">
        <f>AJ12</f>
        <v>29.623692251903265</v>
      </c>
      <c r="V12" s="223">
        <f>S12-T12</f>
        <v>70.376307748096735</v>
      </c>
      <c r="W12" s="221">
        <f t="shared" ref="W12:AH12" si="1">SUM(W16,W26,W32)</f>
        <v>0</v>
      </c>
      <c r="X12" s="221" t="e">
        <f t="shared" si="1"/>
        <v>#REF!</v>
      </c>
      <c r="Y12" s="221" t="e">
        <f t="shared" si="1"/>
        <v>#REF!</v>
      </c>
      <c r="Z12" s="221" t="e">
        <f t="shared" si="1"/>
        <v>#REF!</v>
      </c>
      <c r="AA12" s="221" t="e">
        <f t="shared" si="1"/>
        <v>#REF!</v>
      </c>
      <c r="AB12" s="221">
        <f t="shared" si="1"/>
        <v>5549197752</v>
      </c>
      <c r="AC12" s="221" t="e">
        <f t="shared" si="1"/>
        <v>#REF!</v>
      </c>
      <c r="AD12" s="221" t="e">
        <f t="shared" si="1"/>
        <v>#REF!</v>
      </c>
      <c r="AE12" s="221" t="e">
        <f t="shared" si="1"/>
        <v>#REF!</v>
      </c>
      <c r="AF12" s="221" t="e">
        <f t="shared" si="1"/>
        <v>#REF!</v>
      </c>
      <c r="AG12" s="221" t="e">
        <f t="shared" si="1"/>
        <v>#REF!</v>
      </c>
      <c r="AH12" s="221">
        <f t="shared" si="1"/>
        <v>11081028822</v>
      </c>
      <c r="AI12" s="221">
        <f>SUM(AI14+AI24+AI26)</f>
        <v>36826357026</v>
      </c>
      <c r="AJ12" s="224">
        <f>AI12/Q12*100</f>
        <v>29.623692251903265</v>
      </c>
      <c r="AK12" s="225">
        <f>SUM(AK14+AK24+AK26)</f>
        <v>87487508757</v>
      </c>
      <c r="AL12" s="224">
        <f>AK12/Q12*100</f>
        <v>70.376307748096735</v>
      </c>
      <c r="AM12" s="224"/>
    </row>
    <row r="13" spans="1:45" s="235" customFormat="1" ht="13.5" customHeight="1" thickTop="1" x14ac:dyDescent="0.25">
      <c r="A13" s="227"/>
      <c r="B13" s="367"/>
      <c r="C13" s="367"/>
      <c r="D13" s="367"/>
      <c r="E13" s="367"/>
      <c r="F13" s="367"/>
      <c r="G13" s="367"/>
      <c r="H13" s="367"/>
      <c r="I13" s="366"/>
      <c r="J13" s="367"/>
      <c r="K13" s="230"/>
      <c r="L13" s="367"/>
      <c r="M13" s="367"/>
      <c r="N13" s="366"/>
      <c r="O13" s="231"/>
      <c r="P13" s="231"/>
      <c r="Q13" s="231"/>
      <c r="R13" s="231"/>
      <c r="S13" s="231"/>
      <c r="T13" s="231"/>
      <c r="U13" s="231"/>
      <c r="V13" s="232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3"/>
      <c r="AK13" s="234"/>
      <c r="AL13" s="233"/>
      <c r="AM13" s="233"/>
    </row>
    <row r="14" spans="1:45" s="226" customFormat="1" ht="28.5" customHeight="1" x14ac:dyDescent="0.25">
      <c r="A14" s="236" t="s">
        <v>7</v>
      </c>
      <c r="B14" s="642" t="s">
        <v>88</v>
      </c>
      <c r="C14" s="626"/>
      <c r="D14" s="626"/>
      <c r="E14" s="626"/>
      <c r="F14" s="626"/>
      <c r="G14" s="626"/>
      <c r="H14" s="626"/>
      <c r="I14" s="627"/>
      <c r="J14" s="369" t="s">
        <v>213</v>
      </c>
      <c r="K14" s="238"/>
      <c r="L14" s="626" t="s">
        <v>89</v>
      </c>
      <c r="M14" s="626"/>
      <c r="N14" s="627"/>
      <c r="O14" s="239">
        <v>53000250000</v>
      </c>
      <c r="P14" s="239">
        <f>O14</f>
        <v>53000250000</v>
      </c>
      <c r="Q14" s="239">
        <f>SUM(Q15:Q23)</f>
        <v>114000000000</v>
      </c>
      <c r="R14" s="240">
        <f>Q14/Q14*100</f>
        <v>100</v>
      </c>
      <c r="S14" s="240">
        <v>100</v>
      </c>
      <c r="T14" s="239">
        <f>AJ14</f>
        <v>22.543321514035089</v>
      </c>
      <c r="U14" s="239">
        <f>SUM(R14*T14)</f>
        <v>2254.3321514035088</v>
      </c>
      <c r="V14" s="241">
        <f>S14-T14</f>
        <v>77.456678485964915</v>
      </c>
      <c r="W14" s="239"/>
      <c r="X14" s="239" t="e">
        <f>#REF!</f>
        <v>#REF!</v>
      </c>
      <c r="Y14" s="239" t="e">
        <f>#REF!</f>
        <v>#REF!</v>
      </c>
      <c r="Z14" s="239" t="e">
        <f>#REF!</f>
        <v>#REF!</v>
      </c>
      <c r="AA14" s="239" t="e">
        <f>#REF!</f>
        <v>#REF!</v>
      </c>
      <c r="AB14" s="239">
        <v>27766121137</v>
      </c>
      <c r="AC14" s="239" t="e">
        <f>#REF!</f>
        <v>#REF!</v>
      </c>
      <c r="AD14" s="239" t="e">
        <f>#REF!</f>
        <v>#REF!</v>
      </c>
      <c r="AE14" s="239" t="e">
        <f>#REF!</f>
        <v>#REF!</v>
      </c>
      <c r="AF14" s="239" t="e">
        <f>[1]April!$N$12</f>
        <v>#REF!</v>
      </c>
      <c r="AG14" s="239" t="e">
        <f>[2]april!$N$12</f>
        <v>#REF!</v>
      </c>
      <c r="AH14" s="239">
        <f>'[3]DES SKPD'!$N$12</f>
        <v>67029484443</v>
      </c>
      <c r="AI14" s="239">
        <f>SUM(AI15:AI23)</f>
        <v>25699386526</v>
      </c>
      <c r="AJ14" s="240">
        <f t="shared" ref="AJ14:AJ27" si="2">AI14/Q14*100</f>
        <v>22.543321514035089</v>
      </c>
      <c r="AK14" s="242">
        <f>Q14-AI14</f>
        <v>88300613474</v>
      </c>
      <c r="AL14" s="240">
        <f t="shared" ref="AL14:AL27" si="3">AK14/Q14*100</f>
        <v>77.456678485964915</v>
      </c>
      <c r="AM14" s="236"/>
    </row>
    <row r="15" spans="1:45" ht="28.5" customHeight="1" x14ac:dyDescent="0.25">
      <c r="A15" s="243">
        <v>1</v>
      </c>
      <c r="B15" s="639" t="s">
        <v>90</v>
      </c>
      <c r="C15" s="597"/>
      <c r="D15" s="597"/>
      <c r="E15" s="597"/>
      <c r="F15" s="597"/>
      <c r="G15" s="597"/>
      <c r="H15" s="597"/>
      <c r="I15" s="598"/>
      <c r="J15" s="362" t="s">
        <v>355</v>
      </c>
      <c r="K15" s="245"/>
      <c r="L15" s="597" t="s">
        <v>389</v>
      </c>
      <c r="M15" s="597"/>
      <c r="N15" s="598"/>
      <c r="O15" s="180"/>
      <c r="P15" s="180"/>
      <c r="Q15" s="180">
        <v>4000000000</v>
      </c>
      <c r="R15" s="181">
        <f>Q15/Q$10*100</f>
        <v>3.2176619838870804</v>
      </c>
      <c r="S15" s="181">
        <v>100</v>
      </c>
      <c r="T15" s="180">
        <f>AJ15</f>
        <v>25.999483000000001</v>
      </c>
      <c r="U15" s="180">
        <f>R15*T15/100</f>
        <v>0.83657548049818431</v>
      </c>
      <c r="V15" s="182">
        <f t="shared" ref="V15:V26" si="4">S15-T15</f>
        <v>74.000517000000002</v>
      </c>
      <c r="W15" s="180"/>
      <c r="X15" s="180"/>
      <c r="Y15" s="180"/>
      <c r="Z15" s="180"/>
      <c r="AA15" s="180"/>
      <c r="AB15" s="180">
        <v>0</v>
      </c>
      <c r="AC15" s="180"/>
      <c r="AD15" s="180"/>
      <c r="AE15" s="180"/>
      <c r="AF15" s="180"/>
      <c r="AG15" s="180"/>
      <c r="AH15" s="180"/>
      <c r="AI15" s="180">
        <f>(431044330+333208441+275726549)</f>
        <v>1039979320</v>
      </c>
      <c r="AJ15" s="181">
        <f t="shared" si="2"/>
        <v>25.999483000000001</v>
      </c>
      <c r="AK15" s="246">
        <f>SUM(Q15-AI15)</f>
        <v>2960020680</v>
      </c>
      <c r="AL15" s="181">
        <f t="shared" si="3"/>
        <v>74.000517000000002</v>
      </c>
      <c r="AM15" s="243"/>
      <c r="AR15" s="247">
        <v>114000000000</v>
      </c>
      <c r="AS15" s="248">
        <f>Q14-AR15</f>
        <v>0</v>
      </c>
    </row>
    <row r="16" spans="1:45" ht="28.5" customHeight="1" x14ac:dyDescent="0.25">
      <c r="A16" s="243">
        <v>2</v>
      </c>
      <c r="B16" s="639" t="s">
        <v>91</v>
      </c>
      <c r="C16" s="597"/>
      <c r="D16" s="597"/>
      <c r="E16" s="597"/>
      <c r="F16" s="597"/>
      <c r="G16" s="597"/>
      <c r="H16" s="597"/>
      <c r="I16" s="598"/>
      <c r="J16" s="362" t="s">
        <v>356</v>
      </c>
      <c r="K16" s="245"/>
      <c r="L16" s="597" t="s">
        <v>390</v>
      </c>
      <c r="M16" s="597"/>
      <c r="N16" s="598"/>
      <c r="O16" s="180"/>
      <c r="P16" s="180"/>
      <c r="Q16" s="180">
        <v>16748000000</v>
      </c>
      <c r="R16" s="181">
        <f t="shared" ref="R16:R25" si="5">Q16/Q$10*100</f>
        <v>13.472350726535204</v>
      </c>
      <c r="S16" s="181">
        <v>100</v>
      </c>
      <c r="T16" s="180">
        <f>AJ16</f>
        <v>29.918615022689277</v>
      </c>
      <c r="U16" s="180">
        <f>R16*T16/100</f>
        <v>4.0307407483785491</v>
      </c>
      <c r="V16" s="182">
        <f t="shared" si="4"/>
        <v>70.081384977310719</v>
      </c>
      <c r="W16" s="180"/>
      <c r="X16" s="180"/>
      <c r="Y16" s="180"/>
      <c r="Z16" s="180"/>
      <c r="AA16" s="180"/>
      <c r="AB16" s="180">
        <v>0</v>
      </c>
      <c r="AC16" s="180"/>
      <c r="AD16" s="180"/>
      <c r="AE16" s="180"/>
      <c r="AF16" s="180"/>
      <c r="AG16" s="180"/>
      <c r="AH16" s="180"/>
      <c r="AI16" s="180">
        <f>(1914892402+1775904849+1319972393)</f>
        <v>5010769644</v>
      </c>
      <c r="AJ16" s="181">
        <f t="shared" si="2"/>
        <v>29.918615022689277</v>
      </c>
      <c r="AK16" s="246">
        <f t="shared" ref="AK16:AK31" si="6">SUM(Q16-AI16)</f>
        <v>11737230356</v>
      </c>
      <c r="AL16" s="249">
        <f t="shared" si="3"/>
        <v>70.081384977310719</v>
      </c>
      <c r="AM16" s="243"/>
    </row>
    <row r="17" spans="1:39" ht="28.5" customHeight="1" x14ac:dyDescent="0.25">
      <c r="A17" s="243">
        <v>3</v>
      </c>
      <c r="B17" s="639" t="s">
        <v>92</v>
      </c>
      <c r="C17" s="597"/>
      <c r="D17" s="597"/>
      <c r="E17" s="597"/>
      <c r="F17" s="597"/>
      <c r="G17" s="597"/>
      <c r="H17" s="597"/>
      <c r="I17" s="598"/>
      <c r="J17" s="362" t="s">
        <v>357</v>
      </c>
      <c r="K17" s="245"/>
      <c r="L17" s="597" t="s">
        <v>391</v>
      </c>
      <c r="M17" s="597"/>
      <c r="N17" s="598"/>
      <c r="O17" s="180"/>
      <c r="P17" s="180"/>
      <c r="Q17" s="180">
        <v>714500000</v>
      </c>
      <c r="R17" s="181">
        <f t="shared" si="5"/>
        <v>0.57475487187182972</v>
      </c>
      <c r="S17" s="181">
        <v>100</v>
      </c>
      <c r="T17" s="180">
        <f>AJ17</f>
        <v>27.2653811056683</v>
      </c>
      <c r="U17" s="180">
        <f>R17*T17/100</f>
        <v>0.15670910623924991</v>
      </c>
      <c r="V17" s="182">
        <f t="shared" si="4"/>
        <v>72.734618894331703</v>
      </c>
      <c r="W17" s="180"/>
      <c r="X17" s="180"/>
      <c r="Y17" s="180"/>
      <c r="Z17" s="180"/>
      <c r="AA17" s="180"/>
      <c r="AB17" s="180">
        <v>0</v>
      </c>
      <c r="AC17" s="180"/>
      <c r="AD17" s="180"/>
      <c r="AE17" s="180"/>
      <c r="AF17" s="180"/>
      <c r="AG17" s="180"/>
      <c r="AH17" s="180"/>
      <c r="AI17" s="180">
        <f>(78879037+65981530+49950581)</f>
        <v>194811148</v>
      </c>
      <c r="AJ17" s="181">
        <f t="shared" si="2"/>
        <v>27.2653811056683</v>
      </c>
      <c r="AK17" s="246">
        <f t="shared" si="6"/>
        <v>519688852</v>
      </c>
      <c r="AL17" s="181">
        <f t="shared" si="3"/>
        <v>72.734618894331703</v>
      </c>
      <c r="AM17" s="243"/>
    </row>
    <row r="18" spans="1:39" ht="28.5" customHeight="1" x14ac:dyDescent="0.25">
      <c r="A18" s="243">
        <v>4</v>
      </c>
      <c r="B18" s="639" t="s">
        <v>93</v>
      </c>
      <c r="C18" s="597"/>
      <c r="D18" s="597"/>
      <c r="E18" s="597"/>
      <c r="F18" s="597"/>
      <c r="G18" s="597"/>
      <c r="H18" s="597"/>
      <c r="I18" s="598"/>
      <c r="J18" s="362" t="s">
        <v>358</v>
      </c>
      <c r="K18" s="245"/>
      <c r="L18" s="597" t="s">
        <v>392</v>
      </c>
      <c r="M18" s="597"/>
      <c r="N18" s="598"/>
      <c r="O18" s="180"/>
      <c r="P18" s="180"/>
      <c r="Q18" s="180">
        <v>4296000000</v>
      </c>
      <c r="R18" s="181">
        <f t="shared" si="5"/>
        <v>3.4557689706947241</v>
      </c>
      <c r="S18" s="181">
        <v>100</v>
      </c>
      <c r="T18" s="180">
        <f t="shared" ref="T18:T31" si="7">AJ18</f>
        <v>31.074414711359406</v>
      </c>
      <c r="U18" s="180">
        <f t="shared" ref="U18:U23" si="8">R18*T18/100</f>
        <v>1.0738599814201548</v>
      </c>
      <c r="V18" s="182">
        <f t="shared" si="4"/>
        <v>68.92558528864059</v>
      </c>
      <c r="W18" s="180"/>
      <c r="X18" s="180"/>
      <c r="Y18" s="180"/>
      <c r="Z18" s="180"/>
      <c r="AA18" s="180"/>
      <c r="AB18" s="180">
        <v>0</v>
      </c>
      <c r="AC18" s="180"/>
      <c r="AD18" s="180"/>
      <c r="AE18" s="180"/>
      <c r="AF18" s="180"/>
      <c r="AG18" s="180"/>
      <c r="AH18" s="180"/>
      <c r="AI18" s="180">
        <f>(583660366+480801633+270494857)</f>
        <v>1334956856</v>
      </c>
      <c r="AJ18" s="181">
        <f t="shared" si="2"/>
        <v>31.074414711359406</v>
      </c>
      <c r="AK18" s="246">
        <f t="shared" si="6"/>
        <v>2961043144</v>
      </c>
      <c r="AL18" s="249">
        <f t="shared" si="3"/>
        <v>68.925585288640605</v>
      </c>
      <c r="AM18" s="243"/>
    </row>
    <row r="19" spans="1:39" ht="28.5" customHeight="1" x14ac:dyDescent="0.25">
      <c r="A19" s="243">
        <v>5</v>
      </c>
      <c r="B19" s="639" t="s">
        <v>94</v>
      </c>
      <c r="C19" s="597"/>
      <c r="D19" s="597"/>
      <c r="E19" s="597"/>
      <c r="F19" s="597"/>
      <c r="G19" s="597"/>
      <c r="H19" s="597"/>
      <c r="I19" s="598"/>
      <c r="J19" s="362" t="s">
        <v>359</v>
      </c>
      <c r="K19" s="245"/>
      <c r="L19" s="597" t="s">
        <v>393</v>
      </c>
      <c r="M19" s="597"/>
      <c r="N19" s="598"/>
      <c r="O19" s="180"/>
      <c r="P19" s="180"/>
      <c r="Q19" s="180">
        <v>29977500000</v>
      </c>
      <c r="R19" s="181">
        <f t="shared" si="5"/>
        <v>24.114365530493735</v>
      </c>
      <c r="S19" s="181">
        <v>100</v>
      </c>
      <c r="T19" s="180">
        <f t="shared" si="7"/>
        <v>24.880711767158704</v>
      </c>
      <c r="U19" s="180">
        <f t="shared" si="8"/>
        <v>5.999825782121218</v>
      </c>
      <c r="V19" s="182">
        <f t="shared" si="4"/>
        <v>75.119288232841299</v>
      </c>
      <c r="W19" s="180"/>
      <c r="X19" s="180"/>
      <c r="Y19" s="180"/>
      <c r="Z19" s="180"/>
      <c r="AA19" s="180"/>
      <c r="AB19" s="180">
        <v>0</v>
      </c>
      <c r="AC19" s="180"/>
      <c r="AD19" s="180"/>
      <c r="AE19" s="180"/>
      <c r="AF19" s="180"/>
      <c r="AG19" s="180"/>
      <c r="AH19" s="180"/>
      <c r="AI19" s="180">
        <f>(2568866323+2496068783+2393680264)</f>
        <v>7458615370</v>
      </c>
      <c r="AJ19" s="181">
        <f t="shared" si="2"/>
        <v>24.880711767158704</v>
      </c>
      <c r="AK19" s="246">
        <f t="shared" si="6"/>
        <v>22518884630</v>
      </c>
      <c r="AL19" s="249">
        <f t="shared" si="3"/>
        <v>75.119288232841299</v>
      </c>
      <c r="AM19" s="243"/>
    </row>
    <row r="20" spans="1:39" ht="28.5" customHeight="1" x14ac:dyDescent="0.25">
      <c r="A20" s="243">
        <v>6</v>
      </c>
      <c r="B20" s="639" t="s">
        <v>95</v>
      </c>
      <c r="C20" s="597"/>
      <c r="D20" s="597"/>
      <c r="E20" s="597"/>
      <c r="F20" s="597"/>
      <c r="G20" s="597"/>
      <c r="H20" s="597"/>
      <c r="I20" s="598"/>
      <c r="J20" s="362" t="s">
        <v>360</v>
      </c>
      <c r="K20" s="245"/>
      <c r="L20" s="597" t="s">
        <v>394</v>
      </c>
      <c r="M20" s="597"/>
      <c r="N20" s="598"/>
      <c r="O20" s="180"/>
      <c r="P20" s="180"/>
      <c r="Q20" s="180">
        <v>900000000</v>
      </c>
      <c r="R20" s="181">
        <f t="shared" si="5"/>
        <v>0.72397394637459311</v>
      </c>
      <c r="S20" s="181">
        <v>100</v>
      </c>
      <c r="T20" s="180">
        <f t="shared" si="7"/>
        <v>32.150962333333332</v>
      </c>
      <c r="U20" s="180">
        <f t="shared" si="8"/>
        <v>0.23276459080204229</v>
      </c>
      <c r="V20" s="182">
        <f t="shared" si="4"/>
        <v>67.849037666666675</v>
      </c>
      <c r="W20" s="180"/>
      <c r="X20" s="180"/>
      <c r="Y20" s="180"/>
      <c r="Z20" s="180"/>
      <c r="AA20" s="180"/>
      <c r="AB20" s="180">
        <v>0</v>
      </c>
      <c r="AC20" s="180"/>
      <c r="AD20" s="180"/>
      <c r="AE20" s="180"/>
      <c r="AF20" s="180"/>
      <c r="AG20" s="180"/>
      <c r="AH20" s="180"/>
      <c r="AI20" s="180">
        <f>(106607217+102146277+80605167)</f>
        <v>289358661</v>
      </c>
      <c r="AJ20" s="181">
        <f t="shared" si="2"/>
        <v>32.150962333333332</v>
      </c>
      <c r="AK20" s="246">
        <f t="shared" si="6"/>
        <v>610641339</v>
      </c>
      <c r="AL20" s="181">
        <f t="shared" si="3"/>
        <v>67.849037666666661</v>
      </c>
      <c r="AM20" s="243"/>
    </row>
    <row r="21" spans="1:39" ht="28.5" customHeight="1" x14ac:dyDescent="0.25">
      <c r="A21" s="243">
        <v>7</v>
      </c>
      <c r="B21" s="639" t="s">
        <v>96</v>
      </c>
      <c r="C21" s="597"/>
      <c r="D21" s="597"/>
      <c r="E21" s="597"/>
      <c r="F21" s="597"/>
      <c r="G21" s="597"/>
      <c r="H21" s="597"/>
      <c r="I21" s="598"/>
      <c r="J21" s="362" t="s">
        <v>361</v>
      </c>
      <c r="K21" s="245"/>
      <c r="L21" s="597" t="s">
        <v>97</v>
      </c>
      <c r="M21" s="597"/>
      <c r="N21" s="598"/>
      <c r="O21" s="180"/>
      <c r="P21" s="180"/>
      <c r="Q21" s="180">
        <v>300000000</v>
      </c>
      <c r="R21" s="181">
        <f t="shared" si="5"/>
        <v>0.24132464879153101</v>
      </c>
      <c r="S21" s="181">
        <v>100</v>
      </c>
      <c r="T21" s="180">
        <f t="shared" si="7"/>
        <v>29.051557666666668</v>
      </c>
      <c r="U21" s="180">
        <f t="shared" si="8"/>
        <v>7.010856950755244E-2</v>
      </c>
      <c r="V21" s="182">
        <f t="shared" si="4"/>
        <v>70.948442333333332</v>
      </c>
      <c r="W21" s="180"/>
      <c r="X21" s="180"/>
      <c r="Y21" s="180"/>
      <c r="Z21" s="180"/>
      <c r="AA21" s="180"/>
      <c r="AB21" s="180">
        <v>0</v>
      </c>
      <c r="AC21" s="180"/>
      <c r="AD21" s="180"/>
      <c r="AE21" s="180"/>
      <c r="AF21" s="180"/>
      <c r="AG21" s="180"/>
      <c r="AH21" s="180"/>
      <c r="AI21" s="180">
        <f>(28657603+30376120+28120950)</f>
        <v>87154673</v>
      </c>
      <c r="AJ21" s="181">
        <f t="shared" si="2"/>
        <v>29.051557666666668</v>
      </c>
      <c r="AK21" s="246">
        <f t="shared" si="6"/>
        <v>212845327</v>
      </c>
      <c r="AL21" s="181">
        <f t="shared" si="3"/>
        <v>70.948442333333332</v>
      </c>
      <c r="AM21" s="243"/>
    </row>
    <row r="22" spans="1:39" ht="28.5" customHeight="1" x14ac:dyDescent="0.25">
      <c r="A22" s="243">
        <v>8</v>
      </c>
      <c r="B22" s="639" t="s">
        <v>98</v>
      </c>
      <c r="C22" s="597"/>
      <c r="D22" s="597"/>
      <c r="E22" s="597"/>
      <c r="F22" s="597"/>
      <c r="G22" s="597"/>
      <c r="H22" s="597"/>
      <c r="I22" s="598"/>
      <c r="J22" s="362" t="s">
        <v>362</v>
      </c>
      <c r="K22" s="245"/>
      <c r="L22" s="597" t="s">
        <v>363</v>
      </c>
      <c r="M22" s="597"/>
      <c r="N22" s="598"/>
      <c r="O22" s="180"/>
      <c r="P22" s="180"/>
      <c r="Q22" s="180">
        <v>22900000000</v>
      </c>
      <c r="R22" s="181">
        <f t="shared" si="5"/>
        <v>18.421114857753533</v>
      </c>
      <c r="S22" s="181">
        <v>100</v>
      </c>
      <c r="T22" s="180">
        <f t="shared" si="7"/>
        <v>5.9668317947598259</v>
      </c>
      <c r="U22" s="180">
        <f t="shared" si="8"/>
        <v>1.0991569382816642</v>
      </c>
      <c r="V22" s="182">
        <f t="shared" si="4"/>
        <v>94.033168205240173</v>
      </c>
      <c r="W22" s="180"/>
      <c r="X22" s="180"/>
      <c r="Y22" s="180"/>
      <c r="Z22" s="180"/>
      <c r="AA22" s="180"/>
      <c r="AB22" s="180">
        <v>0</v>
      </c>
      <c r="AC22" s="180"/>
      <c r="AD22" s="180"/>
      <c r="AE22" s="180"/>
      <c r="AF22" s="180"/>
      <c r="AG22" s="180"/>
      <c r="AH22" s="180"/>
      <c r="AI22" s="180">
        <f>(420432023+534056614+411915844)</f>
        <v>1366404481</v>
      </c>
      <c r="AJ22" s="181">
        <f t="shared" si="2"/>
        <v>5.9668317947598259</v>
      </c>
      <c r="AK22" s="246">
        <f t="shared" si="6"/>
        <v>21533595519</v>
      </c>
      <c r="AL22" s="249">
        <f t="shared" si="3"/>
        <v>94.033168205240173</v>
      </c>
      <c r="AM22" s="243"/>
    </row>
    <row r="23" spans="1:39" ht="32.25" customHeight="1" x14ac:dyDescent="0.25">
      <c r="A23" s="243">
        <v>9</v>
      </c>
      <c r="B23" s="639" t="s">
        <v>99</v>
      </c>
      <c r="C23" s="597"/>
      <c r="D23" s="597"/>
      <c r="E23" s="597"/>
      <c r="F23" s="597"/>
      <c r="G23" s="597"/>
      <c r="H23" s="597"/>
      <c r="I23" s="598"/>
      <c r="J23" s="362" t="s">
        <v>364</v>
      </c>
      <c r="K23" s="245"/>
      <c r="L23" s="597" t="s">
        <v>100</v>
      </c>
      <c r="M23" s="597"/>
      <c r="N23" s="598"/>
      <c r="O23" s="180"/>
      <c r="P23" s="180"/>
      <c r="Q23" s="180">
        <v>34164000000</v>
      </c>
      <c r="R23" s="181">
        <f>Q23/Q$10*100</f>
        <v>27.482051004379553</v>
      </c>
      <c r="S23" s="181">
        <v>100</v>
      </c>
      <c r="T23" s="180">
        <f t="shared" si="7"/>
        <v>26.10155828650041</v>
      </c>
      <c r="U23" s="180">
        <f t="shared" si="8"/>
        <v>7.1732435612339005</v>
      </c>
      <c r="V23" s="182">
        <f>S23-T23</f>
        <v>73.898441713499594</v>
      </c>
      <c r="W23" s="180"/>
      <c r="X23" s="180"/>
      <c r="Y23" s="180"/>
      <c r="Z23" s="180"/>
      <c r="AA23" s="180"/>
      <c r="AB23" s="180">
        <v>0</v>
      </c>
      <c r="AC23" s="180"/>
      <c r="AD23" s="180"/>
      <c r="AE23" s="180"/>
      <c r="AF23" s="180"/>
      <c r="AG23" s="180"/>
      <c r="AH23" s="180"/>
      <c r="AI23" s="180">
        <f>(3105790473+2487428016+3324117884)</f>
        <v>8917336373</v>
      </c>
      <c r="AJ23" s="181">
        <f t="shared" si="2"/>
        <v>26.10155828650041</v>
      </c>
      <c r="AK23" s="246">
        <f t="shared" si="6"/>
        <v>25246663627</v>
      </c>
      <c r="AL23" s="181">
        <f t="shared" si="3"/>
        <v>73.898441713499579</v>
      </c>
      <c r="AM23" s="243"/>
    </row>
    <row r="24" spans="1:39" s="226" customFormat="1" ht="27.75" customHeight="1" x14ac:dyDescent="0.25">
      <c r="A24" s="236" t="s">
        <v>8</v>
      </c>
      <c r="B24" s="642" t="s">
        <v>101</v>
      </c>
      <c r="C24" s="626"/>
      <c r="D24" s="626"/>
      <c r="E24" s="626"/>
      <c r="F24" s="626"/>
      <c r="G24" s="626"/>
      <c r="H24" s="626"/>
      <c r="I24" s="627"/>
      <c r="J24" s="369" t="s">
        <v>214</v>
      </c>
      <c r="K24" s="238"/>
      <c r="L24" s="626" t="s">
        <v>102</v>
      </c>
      <c r="M24" s="626"/>
      <c r="N24" s="627"/>
      <c r="O24" s="239">
        <v>80000000</v>
      </c>
      <c r="P24" s="239">
        <f>O24</f>
        <v>80000000</v>
      </c>
      <c r="Q24" s="239">
        <f>SUM(Q25)</f>
        <v>161362180</v>
      </c>
      <c r="R24" s="240">
        <f>Q24/Q24*100</f>
        <v>100</v>
      </c>
      <c r="S24" s="240">
        <v>100</v>
      </c>
      <c r="T24" s="239">
        <f t="shared" si="7"/>
        <v>28.259409980703037</v>
      </c>
      <c r="U24" s="239">
        <f>AJ24</f>
        <v>28.259409980703037</v>
      </c>
      <c r="V24" s="241">
        <f t="shared" si="4"/>
        <v>71.74059001929696</v>
      </c>
      <c r="W24" s="239"/>
      <c r="X24" s="239" t="e">
        <f>#REF!</f>
        <v>#REF!</v>
      </c>
      <c r="Y24" s="239" t="e">
        <f>#REF!</f>
        <v>#REF!</v>
      </c>
      <c r="Z24" s="239" t="e">
        <f>#REF!</f>
        <v>#REF!</v>
      </c>
      <c r="AA24" s="239" t="e">
        <f>#REF!</f>
        <v>#REF!</v>
      </c>
      <c r="AB24" s="239">
        <v>15000000</v>
      </c>
      <c r="AC24" s="239" t="e">
        <f>#REF!</f>
        <v>#REF!</v>
      </c>
      <c r="AD24" s="239" t="e">
        <f>#REF!</f>
        <v>#REF!</v>
      </c>
      <c r="AE24" s="239" t="e">
        <f>#REF!</f>
        <v>#REF!</v>
      </c>
      <c r="AF24" s="239" t="e">
        <f>[1]April!$N$13</f>
        <v>#REF!</v>
      </c>
      <c r="AG24" s="239" t="e">
        <f>[2]april!$N$13</f>
        <v>#REF!</v>
      </c>
      <c r="AH24" s="239">
        <f>'[3]DES SKPD'!$N$13</f>
        <v>75000000</v>
      </c>
      <c r="AI24" s="239">
        <f>SUM(AI25)</f>
        <v>45600000</v>
      </c>
      <c r="AJ24" s="240">
        <f t="shared" si="2"/>
        <v>28.259409980703037</v>
      </c>
      <c r="AK24" s="242">
        <f t="shared" si="6"/>
        <v>115762180</v>
      </c>
      <c r="AL24" s="240">
        <f t="shared" si="3"/>
        <v>71.740590019296974</v>
      </c>
      <c r="AM24" s="236"/>
    </row>
    <row r="25" spans="1:39" ht="21" customHeight="1" x14ac:dyDescent="0.25">
      <c r="A25" s="243">
        <v>10</v>
      </c>
      <c r="B25" s="639" t="s">
        <v>103</v>
      </c>
      <c r="C25" s="597"/>
      <c r="D25" s="597"/>
      <c r="E25" s="597"/>
      <c r="F25" s="597"/>
      <c r="G25" s="597"/>
      <c r="H25" s="597"/>
      <c r="I25" s="598"/>
      <c r="J25" s="362" t="s">
        <v>365</v>
      </c>
      <c r="K25" s="245"/>
      <c r="L25" s="597" t="s">
        <v>540</v>
      </c>
      <c r="M25" s="597"/>
      <c r="N25" s="598"/>
      <c r="O25" s="180"/>
      <c r="P25" s="180"/>
      <c r="Q25" s="180">
        <v>161362180</v>
      </c>
      <c r="R25" s="181">
        <f t="shared" si="5"/>
        <v>0.12980223805578603</v>
      </c>
      <c r="S25" s="181">
        <v>100</v>
      </c>
      <c r="T25" s="180">
        <f t="shared" si="7"/>
        <v>28.259409980703037</v>
      </c>
      <c r="U25" s="180">
        <f>R25*T25/100</f>
        <v>3.6681346616312713E-2</v>
      </c>
      <c r="V25" s="182">
        <f>S25-T25</f>
        <v>71.74059001929696</v>
      </c>
      <c r="W25" s="180"/>
      <c r="X25" s="180"/>
      <c r="Y25" s="180"/>
      <c r="Z25" s="180"/>
      <c r="AA25" s="180"/>
      <c r="AB25" s="180">
        <v>0</v>
      </c>
      <c r="AC25" s="231" t="e">
        <f>#REF!</f>
        <v>#REF!</v>
      </c>
      <c r="AD25" s="180"/>
      <c r="AE25" s="180"/>
      <c r="AF25" s="180"/>
      <c r="AG25" s="180"/>
      <c r="AH25" s="180"/>
      <c r="AI25" s="180">
        <f>38400000+7200000</f>
        <v>45600000</v>
      </c>
      <c r="AJ25" s="181">
        <f t="shared" si="2"/>
        <v>28.259409980703037</v>
      </c>
      <c r="AK25" s="246">
        <f t="shared" si="6"/>
        <v>115762180</v>
      </c>
      <c r="AL25" s="181">
        <f t="shared" si="3"/>
        <v>71.740590019296974</v>
      </c>
      <c r="AM25" s="243"/>
    </row>
    <row r="26" spans="1:39" s="226" customFormat="1" ht="27.75" customHeight="1" x14ac:dyDescent="0.25">
      <c r="A26" s="236" t="s">
        <v>29</v>
      </c>
      <c r="B26" s="642" t="s">
        <v>104</v>
      </c>
      <c r="C26" s="626"/>
      <c r="D26" s="626"/>
      <c r="E26" s="626"/>
      <c r="F26" s="626"/>
      <c r="G26" s="626"/>
      <c r="H26" s="626"/>
      <c r="I26" s="627"/>
      <c r="J26" s="369" t="s">
        <v>366</v>
      </c>
      <c r="K26" s="238"/>
      <c r="L26" s="626" t="s">
        <v>105</v>
      </c>
      <c r="M26" s="626"/>
      <c r="N26" s="627"/>
      <c r="O26" s="239">
        <v>4150000000</v>
      </c>
      <c r="P26" s="239">
        <f>O26</f>
        <v>4150000000</v>
      </c>
      <c r="Q26" s="239">
        <f>SUM(Q27:Q29)</f>
        <v>10152503603</v>
      </c>
      <c r="R26" s="240">
        <f>Q26/Q26*100</f>
        <v>100</v>
      </c>
      <c r="S26" s="240">
        <v>100</v>
      </c>
      <c r="T26" s="239">
        <f t="shared" si="7"/>
        <v>109.14914126920895</v>
      </c>
      <c r="U26" s="239">
        <f>AJ26</f>
        <v>109.14914126920895</v>
      </c>
      <c r="V26" s="241">
        <f t="shared" si="4"/>
        <v>-9.149141269208954</v>
      </c>
      <c r="W26" s="239"/>
      <c r="X26" s="239" t="e">
        <f>#REF!</f>
        <v>#REF!</v>
      </c>
      <c r="Y26" s="239" t="e">
        <f>#REF!</f>
        <v>#REF!</v>
      </c>
      <c r="Z26" s="239" t="e">
        <f>#REF!</f>
        <v>#REF!</v>
      </c>
      <c r="AA26" s="239" t="e">
        <f>#REF!</f>
        <v>#REF!</v>
      </c>
      <c r="AB26" s="239">
        <v>5532503616</v>
      </c>
      <c r="AC26" s="239" t="e">
        <f>#REF!</f>
        <v>#REF!</v>
      </c>
      <c r="AD26" s="239" t="e">
        <f>#REF!</f>
        <v>#REF!</v>
      </c>
      <c r="AE26" s="239" t="e">
        <f>#REF!</f>
        <v>#REF!</v>
      </c>
      <c r="AF26" s="239" t="e">
        <f>[1]April!$N$14</f>
        <v>#REF!</v>
      </c>
      <c r="AG26" s="239" t="e">
        <f>[2]april!$N$14</f>
        <v>#REF!</v>
      </c>
      <c r="AH26" s="239">
        <f>'[3]DES SKPD'!$N$14</f>
        <v>11081028822</v>
      </c>
      <c r="AI26" s="239">
        <f>SUM(AI27:AI32)</f>
        <v>11081370500</v>
      </c>
      <c r="AJ26" s="240">
        <f t="shared" si="2"/>
        <v>109.14914126920895</v>
      </c>
      <c r="AK26" s="250">
        <f>SUM(Q26-AI26)</f>
        <v>-928866897</v>
      </c>
      <c r="AL26" s="240">
        <f t="shared" si="3"/>
        <v>-9.1491412692089646</v>
      </c>
      <c r="AM26" s="236"/>
    </row>
    <row r="27" spans="1:39" ht="24.95" customHeight="1" x14ac:dyDescent="0.25">
      <c r="A27" s="243">
        <v>11</v>
      </c>
      <c r="B27" s="639" t="s">
        <v>106</v>
      </c>
      <c r="C27" s="597"/>
      <c r="D27" s="597"/>
      <c r="E27" s="597"/>
      <c r="F27" s="597"/>
      <c r="G27" s="597"/>
      <c r="H27" s="597"/>
      <c r="I27" s="598"/>
      <c r="J27" s="362" t="s">
        <v>367</v>
      </c>
      <c r="K27" s="245"/>
      <c r="L27" s="597" t="s">
        <v>107</v>
      </c>
      <c r="M27" s="597"/>
      <c r="N27" s="598"/>
      <c r="O27" s="180">
        <v>2869514353</v>
      </c>
      <c r="P27" s="180"/>
      <c r="Q27" s="180">
        <v>9463503603</v>
      </c>
      <c r="R27" s="181">
        <f t="shared" ref="R27" si="9">Q27/Q$10*100</f>
        <v>7.6125889444378787</v>
      </c>
      <c r="S27" s="181">
        <v>100</v>
      </c>
      <c r="T27" s="180">
        <f t="shared" si="7"/>
        <v>10.337981238680573</v>
      </c>
      <c r="U27" s="180">
        <f t="shared" ref="U27:U31" si="10">R27*T27/100</f>
        <v>0.78698801685385944</v>
      </c>
      <c r="V27" s="182">
        <f>S27-T27</f>
        <v>89.66201876131943</v>
      </c>
      <c r="W27" s="180">
        <v>0</v>
      </c>
      <c r="X27" s="180">
        <v>0</v>
      </c>
      <c r="Y27" s="180">
        <f>[4]MARET!$N$14</f>
        <v>1079679809</v>
      </c>
      <c r="Z27" s="180">
        <v>3345735931</v>
      </c>
      <c r="AA27" s="180" t="e">
        <f>[5]maret!$Q$166</f>
        <v>#REF!</v>
      </c>
      <c r="AB27" s="180">
        <f>[6]JUNI!$S$166</f>
        <v>2116323666</v>
      </c>
      <c r="AC27" s="180"/>
      <c r="AD27" s="180"/>
      <c r="AE27" s="180"/>
      <c r="AF27" s="180"/>
      <c r="AG27" s="180"/>
      <c r="AH27" s="180"/>
      <c r="AI27" s="180">
        <f>(290269423+304174322+383891482)</f>
        <v>978335227</v>
      </c>
      <c r="AJ27" s="181">
        <f t="shared" si="2"/>
        <v>10.337981238680573</v>
      </c>
      <c r="AK27" s="246">
        <f t="shared" si="6"/>
        <v>8485168376</v>
      </c>
      <c r="AL27" s="181">
        <f t="shared" si="3"/>
        <v>89.66201876131943</v>
      </c>
      <c r="AM27" s="243"/>
    </row>
    <row r="28" spans="1:39" ht="24.95" customHeight="1" x14ac:dyDescent="0.25">
      <c r="A28" s="243">
        <v>12</v>
      </c>
      <c r="B28" s="639" t="s">
        <v>108</v>
      </c>
      <c r="C28" s="597"/>
      <c r="D28" s="597"/>
      <c r="E28" s="597"/>
      <c r="F28" s="597"/>
      <c r="G28" s="597"/>
      <c r="H28" s="597"/>
      <c r="I28" s="598"/>
      <c r="J28" s="362"/>
      <c r="K28" s="245"/>
      <c r="L28" s="597" t="s">
        <v>110</v>
      </c>
      <c r="M28" s="597"/>
      <c r="N28" s="598"/>
      <c r="O28" s="180"/>
      <c r="P28" s="180"/>
      <c r="Q28" s="180"/>
      <c r="R28" s="181">
        <f>AI28/Q$10*100</f>
        <v>7.8660462277549321</v>
      </c>
      <c r="S28" s="181">
        <v>0</v>
      </c>
      <c r="T28" s="180">
        <f>AJ28</f>
        <v>0</v>
      </c>
      <c r="U28" s="180">
        <f>R28*T28/100</f>
        <v>0</v>
      </c>
      <c r="V28" s="182">
        <f>T28-S28</f>
        <v>0</v>
      </c>
      <c r="W28" s="180">
        <v>0</v>
      </c>
      <c r="X28" s="180">
        <v>0</v>
      </c>
      <c r="Y28" s="180" t="e">
        <f>'[7]LRA RINCIAN nBJEK'!$N$334</f>
        <v>#REF!</v>
      </c>
      <c r="Z28" s="180" t="e">
        <f>'[8]DPKD versi ekbang'!$P$334</f>
        <v>#REF!</v>
      </c>
      <c r="AA28" s="180" t="e">
        <f>[5]maret!$Q$224</f>
        <v>#REF!</v>
      </c>
      <c r="AB28" s="180">
        <f>[6]JUNI!$S$224</f>
        <v>1216233073</v>
      </c>
      <c r="AC28" s="180"/>
      <c r="AD28" s="180"/>
      <c r="AE28" s="180"/>
      <c r="AF28" s="180"/>
      <c r="AG28" s="180"/>
      <c r="AH28" s="180"/>
      <c r="AI28" s="180">
        <f xml:space="preserve"> (9193697642 + 221523585+363364923)</f>
        <v>9778586150</v>
      </c>
      <c r="AJ28" s="181">
        <v>0</v>
      </c>
      <c r="AK28" s="251">
        <f>SUM(Q28-AI28)</f>
        <v>-9778586150</v>
      </c>
      <c r="AL28" s="181">
        <v>0</v>
      </c>
      <c r="AM28" s="243"/>
    </row>
    <row r="29" spans="1:39" ht="24.95" customHeight="1" x14ac:dyDescent="0.25">
      <c r="A29" s="243">
        <v>13</v>
      </c>
      <c r="B29" s="639" t="s">
        <v>108</v>
      </c>
      <c r="C29" s="597"/>
      <c r="D29" s="597"/>
      <c r="E29" s="597"/>
      <c r="F29" s="597"/>
      <c r="G29" s="597"/>
      <c r="H29" s="597"/>
      <c r="I29" s="598"/>
      <c r="J29" s="362" t="s">
        <v>382</v>
      </c>
      <c r="K29" s="245"/>
      <c r="L29" s="597" t="s">
        <v>368</v>
      </c>
      <c r="M29" s="597"/>
      <c r="N29" s="598"/>
      <c r="O29" s="180"/>
      <c r="P29" s="180"/>
      <c r="Q29" s="180">
        <v>689000000</v>
      </c>
      <c r="R29" s="181">
        <f>AI29/Q$10*100</f>
        <v>0.20707163949783805</v>
      </c>
      <c r="S29" s="181">
        <v>0</v>
      </c>
      <c r="T29" s="180">
        <f t="shared" si="7"/>
        <v>37.361213352685056</v>
      </c>
      <c r="U29" s="180">
        <f t="shared" si="10"/>
        <v>7.7364477025690132E-2</v>
      </c>
      <c r="V29" s="182">
        <f t="shared" ref="V29:V31" si="11">T29-S29</f>
        <v>37.361213352685056</v>
      </c>
      <c r="W29" s="180">
        <v>0</v>
      </c>
      <c r="X29" s="180">
        <v>0</v>
      </c>
      <c r="Y29" s="180" t="e">
        <f>'[7]LRA RINCIAN nBJEK'!$N$334</f>
        <v>#REF!</v>
      </c>
      <c r="Z29" s="180" t="e">
        <f>'[8]DPKD versi ekbang'!$P$334</f>
        <v>#REF!</v>
      </c>
      <c r="AA29" s="180" t="e">
        <f>[5]maret!$Q$265</f>
        <v>#REF!</v>
      </c>
      <c r="AB29" s="180">
        <f>[6]JUNI!$S$265</f>
        <v>727292590</v>
      </c>
      <c r="AC29" s="180"/>
      <c r="AD29" s="180"/>
      <c r="AE29" s="180"/>
      <c r="AF29" s="180"/>
      <c r="AG29" s="180"/>
      <c r="AH29" s="180"/>
      <c r="AI29" s="180">
        <f>(79828289+0+177590471)</f>
        <v>257418760</v>
      </c>
      <c r="AJ29" s="181">
        <f>AI29/Q29*100</f>
        <v>37.361213352685056</v>
      </c>
      <c r="AK29" s="246">
        <f t="shared" si="6"/>
        <v>431581240</v>
      </c>
      <c r="AL29" s="181">
        <f>AK29/Q29*100</f>
        <v>62.638786647314944</v>
      </c>
      <c r="AM29" s="243"/>
    </row>
    <row r="30" spans="1:39" ht="24.95" customHeight="1" thickBot="1" x14ac:dyDescent="0.3">
      <c r="A30" s="243">
        <v>14</v>
      </c>
      <c r="B30" s="636" t="s">
        <v>108</v>
      </c>
      <c r="C30" s="637"/>
      <c r="D30" s="637"/>
      <c r="E30" s="637"/>
      <c r="F30" s="637"/>
      <c r="G30" s="637"/>
      <c r="H30" s="637"/>
      <c r="I30" s="638"/>
      <c r="J30" s="362"/>
      <c r="K30" s="245"/>
      <c r="L30" s="597" t="s">
        <v>385</v>
      </c>
      <c r="M30" s="597"/>
      <c r="N30" s="598"/>
      <c r="O30" s="180"/>
      <c r="P30" s="180"/>
      <c r="Q30" s="180"/>
      <c r="R30" s="181">
        <f>Q30/Q$10*100</f>
        <v>0</v>
      </c>
      <c r="S30" s="181">
        <v>0</v>
      </c>
      <c r="T30" s="180">
        <f t="shared" si="7"/>
        <v>0</v>
      </c>
      <c r="U30" s="180">
        <f t="shared" si="10"/>
        <v>0</v>
      </c>
      <c r="V30" s="182">
        <f t="shared" si="11"/>
        <v>0</v>
      </c>
      <c r="W30" s="180">
        <v>0</v>
      </c>
      <c r="X30" s="180">
        <v>0</v>
      </c>
      <c r="Y30" s="180" t="e">
        <f>'[7]LRA RINCIAN nBJEK'!$N$334</f>
        <v>#REF!</v>
      </c>
      <c r="Z30" s="180" t="e">
        <f>'[8]DPKD versi ekbang'!$P$334</f>
        <v>#REF!</v>
      </c>
      <c r="AA30" s="180" t="e">
        <f>[5]maret!$Q$269</f>
        <v>#REF!</v>
      </c>
      <c r="AB30" s="180">
        <f>[6]JUNI!$S$269</f>
        <v>319903749</v>
      </c>
      <c r="AC30" s="180"/>
      <c r="AD30" s="180"/>
      <c r="AE30" s="180"/>
      <c r="AF30" s="180"/>
      <c r="AG30" s="180"/>
      <c r="AH30" s="180"/>
      <c r="AI30" s="180">
        <f>(0+20+20)</f>
        <v>40</v>
      </c>
      <c r="AJ30" s="181">
        <v>0</v>
      </c>
      <c r="AK30" s="251">
        <f t="shared" si="6"/>
        <v>-40</v>
      </c>
      <c r="AL30" s="181">
        <v>0</v>
      </c>
      <c r="AM30" s="243"/>
    </row>
    <row r="31" spans="1:39" ht="24.95" customHeight="1" thickTop="1" thickBot="1" x14ac:dyDescent="0.3">
      <c r="A31" s="243">
        <v>15</v>
      </c>
      <c r="B31" s="376"/>
      <c r="C31" s="376"/>
      <c r="D31" s="376"/>
      <c r="E31" s="376"/>
      <c r="F31" s="376"/>
      <c r="G31" s="376"/>
      <c r="H31" s="376"/>
      <c r="I31" s="377"/>
      <c r="J31" s="362"/>
      <c r="K31" s="245"/>
      <c r="L31" s="597" t="s">
        <v>384</v>
      </c>
      <c r="M31" s="597"/>
      <c r="N31" s="598"/>
      <c r="O31" s="180">
        <v>599994905</v>
      </c>
      <c r="P31" s="180"/>
      <c r="Q31" s="180"/>
      <c r="R31" s="181">
        <f>Q31/Q$10*100</f>
        <v>0</v>
      </c>
      <c r="S31" s="181">
        <v>0</v>
      </c>
      <c r="T31" s="180">
        <f t="shared" si="7"/>
        <v>0</v>
      </c>
      <c r="U31" s="180">
        <f t="shared" si="10"/>
        <v>0</v>
      </c>
      <c r="V31" s="182">
        <f t="shared" si="11"/>
        <v>0</v>
      </c>
      <c r="W31" s="180">
        <v>0</v>
      </c>
      <c r="X31" s="180">
        <v>0</v>
      </c>
      <c r="Y31" s="180" t="e">
        <f>'[7]LRA RINCIAN nBJEK'!$N$334</f>
        <v>#REF!</v>
      </c>
      <c r="Z31" s="180" t="e">
        <f>'[8]DPKD versi ekbang'!$P$334</f>
        <v>#REF!</v>
      </c>
      <c r="AA31" s="180" t="e">
        <f>[5]maret!$Q$269</f>
        <v>#REF!</v>
      </c>
      <c r="AB31" s="180">
        <f>[6]JUNI!$S$269</f>
        <v>319903749</v>
      </c>
      <c r="AC31" s="180"/>
      <c r="AD31" s="180"/>
      <c r="AE31" s="180"/>
      <c r="AF31" s="180"/>
      <c r="AG31" s="180"/>
      <c r="AH31" s="180"/>
      <c r="AI31" s="180">
        <f>(750000+0+750000)</f>
        <v>1500000</v>
      </c>
      <c r="AJ31" s="181">
        <v>0</v>
      </c>
      <c r="AK31" s="251">
        <f t="shared" si="6"/>
        <v>-1500000</v>
      </c>
      <c r="AL31" s="181">
        <v>0</v>
      </c>
      <c r="AM31" s="243"/>
    </row>
    <row r="32" spans="1:39" ht="24.95" customHeight="1" thickTop="1" thickBot="1" x14ac:dyDescent="0.3">
      <c r="A32" s="243">
        <v>16</v>
      </c>
      <c r="B32" s="639" t="s">
        <v>108</v>
      </c>
      <c r="C32" s="597"/>
      <c r="D32" s="597"/>
      <c r="E32" s="597"/>
      <c r="F32" s="597"/>
      <c r="G32" s="597"/>
      <c r="H32" s="597"/>
      <c r="I32" s="598"/>
      <c r="J32" s="362"/>
      <c r="K32" s="245"/>
      <c r="L32" s="637" t="s">
        <v>109</v>
      </c>
      <c r="M32" s="637"/>
      <c r="N32" s="638"/>
      <c r="O32" s="180"/>
      <c r="P32" s="180"/>
      <c r="Q32" s="180"/>
      <c r="R32" s="181">
        <f>AI32/Q$10*100</f>
        <v>5.2713607277235293E-2</v>
      </c>
      <c r="S32" s="181">
        <v>0</v>
      </c>
      <c r="T32" s="180">
        <f>AJ32</f>
        <v>0</v>
      </c>
      <c r="U32" s="180">
        <f>R32*T32/100</f>
        <v>0</v>
      </c>
      <c r="V32" s="182">
        <f>T32-S32</f>
        <v>0</v>
      </c>
      <c r="W32" s="180">
        <v>0</v>
      </c>
      <c r="X32" s="180">
        <v>0</v>
      </c>
      <c r="Y32" s="180" t="e">
        <f>'[7]LRA RINCIAN nBJEK'!$N$334</f>
        <v>#REF!</v>
      </c>
      <c r="Z32" s="180" t="e">
        <f>'[8]DPKD versi ekbang'!$P$334</f>
        <v>#REF!</v>
      </c>
      <c r="AA32" s="180" t="e">
        <f>[5]maret!$Q$198</f>
        <v>#REF!</v>
      </c>
      <c r="AB32" s="180">
        <f>[6]JUNI!$S$198</f>
        <v>16694136</v>
      </c>
      <c r="AC32" s="180"/>
      <c r="AD32" s="180"/>
      <c r="AE32" s="180"/>
      <c r="AF32" s="180"/>
      <c r="AG32" s="180"/>
      <c r="AH32" s="180"/>
      <c r="AI32" s="180">
        <f>(20455657+28153435+16921231)</f>
        <v>65530323</v>
      </c>
      <c r="AJ32" s="181">
        <v>0</v>
      </c>
      <c r="AK32" s="251">
        <f>SUM(Q32-AI32)</f>
        <v>-65530323</v>
      </c>
      <c r="AL32" s="181">
        <v>0</v>
      </c>
      <c r="AM32" s="243"/>
    </row>
    <row r="33" spans="1:39" s="256" customFormat="1" ht="27.75" customHeight="1" thickTop="1" thickBot="1" x14ac:dyDescent="0.3">
      <c r="A33" s="218"/>
      <c r="B33" s="254"/>
      <c r="C33" s="254"/>
      <c r="D33" s="254"/>
      <c r="E33" s="254"/>
      <c r="F33" s="254"/>
      <c r="G33" s="254"/>
      <c r="H33" s="254"/>
      <c r="I33" s="255"/>
      <c r="J33" s="254" t="s">
        <v>211</v>
      </c>
      <c r="K33" s="220"/>
      <c r="L33" s="640" t="s">
        <v>9</v>
      </c>
      <c r="M33" s="640"/>
      <c r="N33" s="641"/>
      <c r="O33" s="221" t="e">
        <f>SUM(O35:O53)</f>
        <v>#REF!</v>
      </c>
      <c r="P33" s="221" t="e">
        <f>SUM(P35:P53)</f>
        <v>#REF!</v>
      </c>
      <c r="Q33" s="221">
        <f>SUM(Q35+Q53)</f>
        <v>31786252581</v>
      </c>
      <c r="R33" s="222">
        <f>Q33/Q33*100</f>
        <v>100</v>
      </c>
      <c r="S33" s="221">
        <f>S35</f>
        <v>100</v>
      </c>
      <c r="T33" s="221">
        <f>AJ33</f>
        <v>7.6981000725535003</v>
      </c>
      <c r="U33" s="221">
        <f>SUM(R33*T33/100)</f>
        <v>7.6981000725535003</v>
      </c>
      <c r="V33" s="223">
        <f>S33-T33</f>
        <v>92.301899927446499</v>
      </c>
      <c r="W33" s="221">
        <f t="shared" ref="W33:AH33" si="12">SUM(W35:W53)</f>
        <v>0</v>
      </c>
      <c r="X33" s="221" t="e">
        <f t="shared" si="12"/>
        <v>#REF!</v>
      </c>
      <c r="Y33" s="221" t="e">
        <f t="shared" si="12"/>
        <v>#REF!</v>
      </c>
      <c r="Z33" s="221" t="e">
        <f t="shared" si="12"/>
        <v>#REF!</v>
      </c>
      <c r="AA33" s="221" t="e">
        <f t="shared" si="12"/>
        <v>#REF!</v>
      </c>
      <c r="AB33" s="221">
        <f t="shared" si="12"/>
        <v>13148060099</v>
      </c>
      <c r="AC33" s="221" t="e">
        <f t="shared" si="12"/>
        <v>#REF!</v>
      </c>
      <c r="AD33" s="221" t="e">
        <f t="shared" si="12"/>
        <v>#REF!</v>
      </c>
      <c r="AE33" s="221" t="e">
        <f t="shared" si="12"/>
        <v>#REF!</v>
      </c>
      <c r="AF33" s="221" t="e">
        <f t="shared" si="12"/>
        <v>#REF!</v>
      </c>
      <c r="AG33" s="221" t="e">
        <f t="shared" si="12"/>
        <v>#REF!</v>
      </c>
      <c r="AH33" s="221" t="e">
        <f t="shared" si="12"/>
        <v>#REF!</v>
      </c>
      <c r="AI33" s="221">
        <f>SUM(AI36)</f>
        <v>2446937533</v>
      </c>
      <c r="AJ33" s="224">
        <f>AI33/Q33*100</f>
        <v>7.6981000725535003</v>
      </c>
      <c r="AK33" s="225">
        <f>SUM(AK36+AK53)</f>
        <v>28061978485</v>
      </c>
      <c r="AL33" s="224">
        <f>AK33/Q33*100</f>
        <v>88.283381041821343</v>
      </c>
      <c r="AM33" s="218"/>
    </row>
    <row r="34" spans="1:39" ht="13.5" customHeight="1" thickTop="1" x14ac:dyDescent="0.25">
      <c r="A34" s="243"/>
      <c r="B34" s="257"/>
      <c r="C34" s="257"/>
      <c r="D34" s="257"/>
      <c r="E34" s="257"/>
      <c r="F34" s="257"/>
      <c r="G34" s="257"/>
      <c r="H34" s="257"/>
      <c r="I34" s="258"/>
      <c r="J34" s="257"/>
      <c r="K34" s="245"/>
      <c r="L34" s="257"/>
      <c r="M34" s="257"/>
      <c r="N34" s="258"/>
      <c r="O34" s="243"/>
      <c r="P34" s="243"/>
      <c r="Q34" s="243"/>
      <c r="R34" s="243"/>
      <c r="S34" s="243"/>
      <c r="T34" s="243"/>
      <c r="U34" s="243"/>
      <c r="V34" s="182"/>
      <c r="W34" s="243"/>
      <c r="X34" s="243"/>
      <c r="Y34" s="243"/>
      <c r="Z34" s="243"/>
      <c r="AA34" s="243"/>
      <c r="AB34" s="243"/>
      <c r="AC34" s="243"/>
      <c r="AD34" s="243"/>
      <c r="AE34" s="243"/>
      <c r="AF34" s="243"/>
      <c r="AG34" s="243"/>
      <c r="AH34" s="243"/>
      <c r="AI34" s="243"/>
      <c r="AJ34" s="243"/>
      <c r="AK34" s="259"/>
      <c r="AL34" s="243"/>
      <c r="AM34" s="243"/>
    </row>
    <row r="35" spans="1:39" s="226" customFormat="1" ht="28.5" customHeight="1" x14ac:dyDescent="0.25">
      <c r="A35" s="260"/>
      <c r="B35" s="633" t="s">
        <v>111</v>
      </c>
      <c r="C35" s="633"/>
      <c r="D35" s="633"/>
      <c r="E35" s="633"/>
      <c r="F35" s="633"/>
      <c r="G35" s="633"/>
      <c r="H35" s="633"/>
      <c r="I35" s="633"/>
      <c r="J35" s="375" t="s">
        <v>212</v>
      </c>
      <c r="K35" s="262"/>
      <c r="L35" s="634" t="s">
        <v>10</v>
      </c>
      <c r="M35" s="633"/>
      <c r="N35" s="633"/>
      <c r="O35" s="263">
        <v>6663803304</v>
      </c>
      <c r="P35" s="263">
        <f>O35</f>
        <v>6663803304</v>
      </c>
      <c r="Q35" s="263">
        <f>SUM(Q36)</f>
        <v>11607289675</v>
      </c>
      <c r="R35" s="222">
        <f>Q35/Q33*100</f>
        <v>36.516697416348386</v>
      </c>
      <c r="S35" s="260">
        <v>100</v>
      </c>
      <c r="T35" s="263">
        <f>AJ35</f>
        <v>21.081041324145293</v>
      </c>
      <c r="U35" s="263">
        <f>R35*T35/100</f>
        <v>7.6981000725535003</v>
      </c>
      <c r="V35" s="264">
        <f>S35-T35</f>
        <v>78.918958675854711</v>
      </c>
      <c r="W35" s="263"/>
      <c r="X35" s="263" t="e">
        <f>#REF!</f>
        <v>#REF!</v>
      </c>
      <c r="Y35" s="263" t="e">
        <f>#REF!</f>
        <v>#REF!</v>
      </c>
      <c r="Z35" s="263" t="e">
        <f>#REF!</f>
        <v>#REF!</v>
      </c>
      <c r="AA35" s="263" t="e">
        <f>#REF!</f>
        <v>#REF!</v>
      </c>
      <c r="AB35" s="263">
        <v>2898050817</v>
      </c>
      <c r="AC35" s="263" t="e">
        <f>#REF!</f>
        <v>#REF!</v>
      </c>
      <c r="AD35" s="263" t="e">
        <f>#REF!</f>
        <v>#REF!</v>
      </c>
      <c r="AE35" s="263" t="e">
        <f>#REF!</f>
        <v>#REF!</v>
      </c>
      <c r="AF35" s="263" t="e">
        <f>[1]April!$N$17</f>
        <v>#REF!</v>
      </c>
      <c r="AG35" s="263" t="e">
        <f>[2]april!$N$17</f>
        <v>#REF!</v>
      </c>
      <c r="AH35" s="263">
        <f>'[3]DES SKPD'!$N$17</f>
        <v>8257610364</v>
      </c>
      <c r="AI35" s="263">
        <f>SUM(AI36)</f>
        <v>2446937533</v>
      </c>
      <c r="AJ35" s="260">
        <f>AI35/Q35*100</f>
        <v>21.081041324145293</v>
      </c>
      <c r="AK35" s="265">
        <f>SUM(AK36)</f>
        <v>9160352142</v>
      </c>
      <c r="AL35" s="260">
        <f>AK35/Q35*100</f>
        <v>78.918958675854711</v>
      </c>
      <c r="AM35" s="222"/>
    </row>
    <row r="36" spans="1:39" s="226" customFormat="1" ht="28.5" customHeight="1" x14ac:dyDescent="0.25">
      <c r="A36" s="260"/>
      <c r="B36" s="266"/>
      <c r="C36" s="266"/>
      <c r="D36" s="266"/>
      <c r="E36" s="266"/>
      <c r="F36" s="266"/>
      <c r="G36" s="266"/>
      <c r="H36" s="266"/>
      <c r="I36" s="267"/>
      <c r="J36" s="268" t="s">
        <v>219</v>
      </c>
      <c r="K36" s="262"/>
      <c r="L36" s="635" t="s">
        <v>218</v>
      </c>
      <c r="M36" s="635"/>
      <c r="N36" s="634"/>
      <c r="O36" s="263"/>
      <c r="P36" s="263"/>
      <c r="Q36" s="263">
        <f>SUM(Q37+Q47+Q50)</f>
        <v>11607289675</v>
      </c>
      <c r="R36" s="222">
        <f>Q36/Q33*100</f>
        <v>36.516697416348386</v>
      </c>
      <c r="S36" s="260">
        <v>100</v>
      </c>
      <c r="T36" s="263">
        <f t="shared" ref="T36:T51" si="13">AJ36</f>
        <v>21.081041324145293</v>
      </c>
      <c r="U36" s="263">
        <f>R36*T36/100</f>
        <v>7.6981000725535003</v>
      </c>
      <c r="V36" s="264">
        <f t="shared" ref="V36:V51" si="14">S36-T36</f>
        <v>78.918958675854711</v>
      </c>
      <c r="W36" s="263"/>
      <c r="X36" s="263"/>
      <c r="Y36" s="263"/>
      <c r="Z36" s="263"/>
      <c r="AA36" s="263"/>
      <c r="AB36" s="263"/>
      <c r="AC36" s="263"/>
      <c r="AD36" s="263"/>
      <c r="AE36" s="263"/>
      <c r="AF36" s="263"/>
      <c r="AG36" s="263"/>
      <c r="AH36" s="263"/>
      <c r="AI36" s="263">
        <f>SUM(AI37+AI47+AI50)</f>
        <v>2446937533</v>
      </c>
      <c r="AJ36" s="260">
        <f t="shared" ref="AJ36:AJ51" si="15">AI36/Q36*100</f>
        <v>21.081041324145293</v>
      </c>
      <c r="AK36" s="265">
        <f>SUM(AK37+AK47+AK50)</f>
        <v>9160352142</v>
      </c>
      <c r="AL36" s="260">
        <f t="shared" ref="AL36:AL51" si="16">AK36/Q36*100</f>
        <v>78.918958675854711</v>
      </c>
      <c r="AM36" s="222"/>
    </row>
    <row r="37" spans="1:39" s="226" customFormat="1" ht="28.5" customHeight="1" x14ac:dyDescent="0.25">
      <c r="A37" s="269" t="s">
        <v>7</v>
      </c>
      <c r="B37" s="266"/>
      <c r="C37" s="266"/>
      <c r="D37" s="266"/>
      <c r="E37" s="266"/>
      <c r="F37" s="266"/>
      <c r="G37" s="266"/>
      <c r="H37" s="266"/>
      <c r="I37" s="267"/>
      <c r="J37" s="268" t="s">
        <v>220</v>
      </c>
      <c r="K37" s="262"/>
      <c r="L37" s="635" t="s">
        <v>221</v>
      </c>
      <c r="M37" s="635"/>
      <c r="N37" s="634"/>
      <c r="O37" s="263"/>
      <c r="P37" s="263"/>
      <c r="Q37" s="263">
        <f>SUM(Q38:Q46)</f>
        <v>4242771195</v>
      </c>
      <c r="R37" s="222">
        <f>Q37/Q36*100</f>
        <v>36.552643328426285</v>
      </c>
      <c r="S37" s="260">
        <v>100</v>
      </c>
      <c r="T37" s="263">
        <f t="shared" si="13"/>
        <v>13.974682624854578</v>
      </c>
      <c r="U37" s="263">
        <f>R37*T37/100</f>
        <v>5.108115896142654</v>
      </c>
      <c r="V37" s="264">
        <f t="shared" si="14"/>
        <v>86.02531737514542</v>
      </c>
      <c r="W37" s="263"/>
      <c r="X37" s="263"/>
      <c r="Y37" s="263"/>
      <c r="Z37" s="263"/>
      <c r="AA37" s="263"/>
      <c r="AB37" s="263"/>
      <c r="AC37" s="263"/>
      <c r="AD37" s="263"/>
      <c r="AE37" s="263"/>
      <c r="AF37" s="263"/>
      <c r="AG37" s="263"/>
      <c r="AH37" s="263"/>
      <c r="AI37" s="263">
        <f>SUM(AI38:AI46)</f>
        <v>592913809</v>
      </c>
      <c r="AJ37" s="260">
        <f t="shared" si="15"/>
        <v>13.974682624854578</v>
      </c>
      <c r="AK37" s="265">
        <f t="shared" ref="AK37:AK51" si="17">Q37-AI37</f>
        <v>3649857386</v>
      </c>
      <c r="AL37" s="260">
        <f t="shared" si="16"/>
        <v>86.02531737514542</v>
      </c>
      <c r="AM37" s="222"/>
    </row>
    <row r="38" spans="1:39" s="235" customFormat="1" ht="28.5" customHeight="1" x14ac:dyDescent="0.25">
      <c r="A38" s="259">
        <v>1</v>
      </c>
      <c r="B38" s="370"/>
      <c r="C38" s="370"/>
      <c r="D38" s="370"/>
      <c r="E38" s="370"/>
      <c r="F38" s="370"/>
      <c r="G38" s="370"/>
      <c r="H38" s="370"/>
      <c r="I38" s="371"/>
      <c r="J38" s="370" t="s">
        <v>222</v>
      </c>
      <c r="K38" s="272"/>
      <c r="L38" s="628" t="s">
        <v>223</v>
      </c>
      <c r="M38" s="628"/>
      <c r="N38" s="629"/>
      <c r="O38" s="180"/>
      <c r="P38" s="180"/>
      <c r="Q38" s="180">
        <v>3155998370</v>
      </c>
      <c r="R38" s="181">
        <f>Q38/Q$33*100</f>
        <v>9.9288154901483257</v>
      </c>
      <c r="S38" s="273">
        <v>100</v>
      </c>
      <c r="T38" s="180">
        <f t="shared" si="13"/>
        <v>13.968074387820423</v>
      </c>
      <c r="U38" s="180">
        <f t="shared" ref="U38:U46" si="18">SUM(R38*T38)</f>
        <v>138.68643334933552</v>
      </c>
      <c r="V38" s="274">
        <f t="shared" si="14"/>
        <v>86.031925612179577</v>
      </c>
      <c r="W38" s="180"/>
      <c r="X38" s="180"/>
      <c r="Y38" s="180"/>
      <c r="Z38" s="180"/>
      <c r="AA38" s="180"/>
      <c r="AB38" s="180"/>
      <c r="AC38" s="180"/>
      <c r="AD38" s="180"/>
      <c r="AE38" s="180"/>
      <c r="AF38" s="180"/>
      <c r="AG38" s="180"/>
      <c r="AH38" s="180"/>
      <c r="AI38" s="180">
        <f>(440832200)</f>
        <v>440832200</v>
      </c>
      <c r="AJ38" s="181">
        <f t="shared" si="15"/>
        <v>13.968074387820423</v>
      </c>
      <c r="AK38" s="246">
        <f t="shared" si="17"/>
        <v>2715166170</v>
      </c>
      <c r="AL38" s="181">
        <f t="shared" si="16"/>
        <v>86.031925612179577</v>
      </c>
      <c r="AM38" s="181"/>
    </row>
    <row r="39" spans="1:39" s="235" customFormat="1" ht="28.5" customHeight="1" x14ac:dyDescent="0.25">
      <c r="A39" s="259">
        <v>2</v>
      </c>
      <c r="B39" s="370"/>
      <c r="C39" s="370"/>
      <c r="D39" s="370"/>
      <c r="E39" s="370"/>
      <c r="F39" s="370"/>
      <c r="G39" s="370"/>
      <c r="H39" s="370"/>
      <c r="I39" s="371"/>
      <c r="J39" s="370" t="s">
        <v>224</v>
      </c>
      <c r="K39" s="272"/>
      <c r="L39" s="628" t="s">
        <v>225</v>
      </c>
      <c r="M39" s="628"/>
      <c r="N39" s="629"/>
      <c r="O39" s="180"/>
      <c r="P39" s="180"/>
      <c r="Q39" s="180">
        <v>327556228</v>
      </c>
      <c r="R39" s="181">
        <f t="shared" ref="R39:R51" si="19">Q39/Q$33*100</f>
        <v>1.0304965241350732</v>
      </c>
      <c r="S39" s="273">
        <v>100</v>
      </c>
      <c r="T39" s="180">
        <f>AJ39</f>
        <v>14.197360338390514</v>
      </c>
      <c r="U39" s="180">
        <f t="shared" si="18"/>
        <v>14.63033048060457</v>
      </c>
      <c r="V39" s="275">
        <f t="shared" si="14"/>
        <v>85.80263966160949</v>
      </c>
      <c r="W39" s="180"/>
      <c r="X39" s="180"/>
      <c r="Y39" s="180"/>
      <c r="Z39" s="180"/>
      <c r="AA39" s="180"/>
      <c r="AB39" s="180"/>
      <c r="AC39" s="180"/>
      <c r="AD39" s="180"/>
      <c r="AE39" s="180"/>
      <c r="AF39" s="180"/>
      <c r="AG39" s="180"/>
      <c r="AH39" s="180"/>
      <c r="AI39" s="180">
        <f>(46504338)</f>
        <v>46504338</v>
      </c>
      <c r="AJ39" s="181">
        <f t="shared" si="15"/>
        <v>14.197360338390514</v>
      </c>
      <c r="AK39" s="246">
        <f t="shared" si="17"/>
        <v>281051890</v>
      </c>
      <c r="AL39" s="181">
        <f t="shared" si="16"/>
        <v>85.80263966160949</v>
      </c>
      <c r="AM39" s="181"/>
    </row>
    <row r="40" spans="1:39" s="235" customFormat="1" ht="28.5" customHeight="1" x14ac:dyDescent="0.25">
      <c r="A40" s="259">
        <v>3</v>
      </c>
      <c r="B40" s="370"/>
      <c r="C40" s="370"/>
      <c r="D40" s="370"/>
      <c r="E40" s="370"/>
      <c r="F40" s="370"/>
      <c r="G40" s="370"/>
      <c r="H40" s="370"/>
      <c r="I40" s="371"/>
      <c r="J40" s="370" t="s">
        <v>226</v>
      </c>
      <c r="K40" s="272"/>
      <c r="L40" s="628" t="s">
        <v>227</v>
      </c>
      <c r="M40" s="628"/>
      <c r="N40" s="629"/>
      <c r="O40" s="180"/>
      <c r="P40" s="180"/>
      <c r="Q40" s="180">
        <v>316058750</v>
      </c>
      <c r="R40" s="181">
        <f t="shared" si="19"/>
        <v>0.99432529580074436</v>
      </c>
      <c r="S40" s="273">
        <v>100</v>
      </c>
      <c r="T40" s="180">
        <f t="shared" si="13"/>
        <v>13.937282229965156</v>
      </c>
      <c r="U40" s="180">
        <f t="shared" si="18"/>
        <v>13.858192275968563</v>
      </c>
      <c r="V40" s="275">
        <f t="shared" si="14"/>
        <v>86.062717770034851</v>
      </c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>
        <f>(44050000)</f>
        <v>44050000</v>
      </c>
      <c r="AJ40" s="181">
        <f>AI40/Q40*100</f>
        <v>13.937282229965156</v>
      </c>
      <c r="AK40" s="246">
        <f t="shared" si="17"/>
        <v>272008750</v>
      </c>
      <c r="AL40" s="181">
        <f t="shared" si="16"/>
        <v>86.062717770034851</v>
      </c>
      <c r="AM40" s="181"/>
    </row>
    <row r="41" spans="1:39" s="235" customFormat="1" ht="28.5" customHeight="1" x14ac:dyDescent="0.25">
      <c r="A41" s="259">
        <v>4</v>
      </c>
      <c r="B41" s="370"/>
      <c r="C41" s="370"/>
      <c r="D41" s="370"/>
      <c r="E41" s="370"/>
      <c r="F41" s="370"/>
      <c r="G41" s="370"/>
      <c r="H41" s="370"/>
      <c r="I41" s="371"/>
      <c r="J41" s="370" t="s">
        <v>228</v>
      </c>
      <c r="K41" s="272"/>
      <c r="L41" s="628" t="s">
        <v>229</v>
      </c>
      <c r="M41" s="628"/>
      <c r="N41" s="629"/>
      <c r="O41" s="180"/>
      <c r="P41" s="180"/>
      <c r="Q41" s="180">
        <v>100378250</v>
      </c>
      <c r="R41" s="181">
        <f t="shared" si="19"/>
        <v>0.31579139360391406</v>
      </c>
      <c r="S41" s="273">
        <v>100</v>
      </c>
      <c r="T41" s="180">
        <f t="shared" si="13"/>
        <v>13.583619957510715</v>
      </c>
      <c r="U41" s="180">
        <f t="shared" si="18"/>
        <v>4.2895902765682488</v>
      </c>
      <c r="V41" s="275">
        <f t="shared" si="14"/>
        <v>86.41638004248928</v>
      </c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>
        <f>(13635000)</f>
        <v>13635000</v>
      </c>
      <c r="AJ41" s="181">
        <f t="shared" si="15"/>
        <v>13.583619957510715</v>
      </c>
      <c r="AK41" s="246">
        <f t="shared" si="17"/>
        <v>86743250</v>
      </c>
      <c r="AL41" s="181">
        <f t="shared" si="16"/>
        <v>86.41638004248928</v>
      </c>
      <c r="AM41" s="181"/>
    </row>
    <row r="42" spans="1:39" s="235" customFormat="1" ht="28.5" customHeight="1" x14ac:dyDescent="0.25">
      <c r="A42" s="259">
        <v>5</v>
      </c>
      <c r="B42" s="370"/>
      <c r="C42" s="370"/>
      <c r="D42" s="370"/>
      <c r="E42" s="370"/>
      <c r="F42" s="370"/>
      <c r="G42" s="370"/>
      <c r="H42" s="370"/>
      <c r="I42" s="371"/>
      <c r="J42" s="370" t="s">
        <v>230</v>
      </c>
      <c r="K42" s="272"/>
      <c r="L42" s="628" t="s">
        <v>231</v>
      </c>
      <c r="M42" s="628"/>
      <c r="N42" s="629"/>
      <c r="O42" s="180"/>
      <c r="P42" s="180"/>
      <c r="Q42" s="180">
        <v>220316124</v>
      </c>
      <c r="R42" s="273">
        <f t="shared" si="19"/>
        <v>0.69311764083726035</v>
      </c>
      <c r="S42" s="273">
        <v>100</v>
      </c>
      <c r="T42" s="180">
        <f t="shared" si="13"/>
        <v>13.937282229965156</v>
      </c>
      <c r="U42" s="180">
        <f t="shared" si="18"/>
        <v>9.6601761789165206</v>
      </c>
      <c r="V42" s="275">
        <f t="shared" si="14"/>
        <v>86.062717770034851</v>
      </c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>
        <f>(30706080)</f>
        <v>30706080</v>
      </c>
      <c r="AJ42" s="273">
        <f t="shared" si="15"/>
        <v>13.937282229965156</v>
      </c>
      <c r="AK42" s="246">
        <f t="shared" si="17"/>
        <v>189610044</v>
      </c>
      <c r="AL42" s="273">
        <f t="shared" si="16"/>
        <v>86.062717770034851</v>
      </c>
      <c r="AM42" s="181"/>
    </row>
    <row r="43" spans="1:39" s="235" customFormat="1" ht="28.5" customHeight="1" x14ac:dyDescent="0.25">
      <c r="A43" s="259">
        <v>6</v>
      </c>
      <c r="B43" s="370"/>
      <c r="C43" s="370"/>
      <c r="D43" s="370"/>
      <c r="E43" s="370"/>
      <c r="F43" s="370"/>
      <c r="G43" s="370"/>
      <c r="H43" s="370"/>
      <c r="I43" s="371"/>
      <c r="J43" s="370" t="s">
        <v>232</v>
      </c>
      <c r="K43" s="272"/>
      <c r="L43" s="628" t="s">
        <v>234</v>
      </c>
      <c r="M43" s="628"/>
      <c r="N43" s="629"/>
      <c r="O43" s="180"/>
      <c r="P43" s="180"/>
      <c r="Q43" s="180">
        <v>868720</v>
      </c>
      <c r="R43" s="273">
        <f t="shared" si="19"/>
        <v>2.7330054015844291E-3</v>
      </c>
      <c r="S43" s="273">
        <v>100</v>
      </c>
      <c r="T43" s="180">
        <f t="shared" si="13"/>
        <v>20.600193387973111</v>
      </c>
      <c r="U43" s="180">
        <f t="shared" si="18"/>
        <v>5.630043980301435E-2</v>
      </c>
      <c r="V43" s="275">
        <f t="shared" si="14"/>
        <v>79.399806612026893</v>
      </c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>
        <f>(178958)</f>
        <v>178958</v>
      </c>
      <c r="AJ43" s="273">
        <f t="shared" si="15"/>
        <v>20.600193387973111</v>
      </c>
      <c r="AK43" s="246">
        <f t="shared" si="17"/>
        <v>689762</v>
      </c>
      <c r="AL43" s="273">
        <f t="shared" si="16"/>
        <v>79.399806612026893</v>
      </c>
      <c r="AM43" s="181"/>
    </row>
    <row r="44" spans="1:39" s="235" customFormat="1" ht="28.5" customHeight="1" x14ac:dyDescent="0.25">
      <c r="A44" s="259">
        <v>7</v>
      </c>
      <c r="B44" s="370"/>
      <c r="C44" s="370"/>
      <c r="D44" s="370"/>
      <c r="E44" s="370"/>
      <c r="F44" s="370"/>
      <c r="G44" s="370"/>
      <c r="H44" s="370"/>
      <c r="I44" s="371"/>
      <c r="J44" s="370" t="s">
        <v>233</v>
      </c>
      <c r="K44" s="272"/>
      <c r="L44" s="628" t="s">
        <v>235</v>
      </c>
      <c r="M44" s="628"/>
      <c r="N44" s="629"/>
      <c r="O44" s="180"/>
      <c r="P44" s="180"/>
      <c r="Q44" s="180">
        <v>45647</v>
      </c>
      <c r="R44" s="273">
        <f t="shared" si="19"/>
        <v>1.4360610733737503E-4</v>
      </c>
      <c r="S44" s="273">
        <v>100</v>
      </c>
      <c r="T44" s="180">
        <f t="shared" si="13"/>
        <v>14.533266151116175</v>
      </c>
      <c r="U44" s="180">
        <f t="shared" si="18"/>
        <v>2.0870657788598286E-3</v>
      </c>
      <c r="V44" s="275">
        <f t="shared" si="14"/>
        <v>85.46673384888382</v>
      </c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>
        <f>(6634)</f>
        <v>6634</v>
      </c>
      <c r="AJ44" s="273">
        <f t="shared" si="15"/>
        <v>14.533266151116175</v>
      </c>
      <c r="AK44" s="246">
        <f t="shared" si="17"/>
        <v>39013</v>
      </c>
      <c r="AL44" s="273">
        <f t="shared" si="16"/>
        <v>85.46673384888382</v>
      </c>
      <c r="AM44" s="181"/>
    </row>
    <row r="45" spans="1:39" s="235" customFormat="1" ht="28.5" customHeight="1" x14ac:dyDescent="0.25">
      <c r="A45" s="259">
        <v>8</v>
      </c>
      <c r="B45" s="370"/>
      <c r="C45" s="370"/>
      <c r="D45" s="370"/>
      <c r="E45" s="370"/>
      <c r="F45" s="370"/>
      <c r="G45" s="370"/>
      <c r="H45" s="370"/>
      <c r="I45" s="371"/>
      <c r="J45" s="370" t="s">
        <v>236</v>
      </c>
      <c r="K45" s="272"/>
      <c r="L45" s="628" t="s">
        <v>237</v>
      </c>
      <c r="M45" s="628"/>
      <c r="N45" s="629"/>
      <c r="O45" s="180"/>
      <c r="P45" s="180"/>
      <c r="Q45" s="180">
        <v>104506702</v>
      </c>
      <c r="R45" s="273">
        <f t="shared" si="19"/>
        <v>0.32877956196216762</v>
      </c>
      <c r="S45" s="273">
        <v>100</v>
      </c>
      <c r="T45" s="180">
        <f t="shared" si="13"/>
        <v>13.989632932823772</v>
      </c>
      <c r="U45" s="180">
        <f t="shared" si="18"/>
        <v>4.5995053876653138</v>
      </c>
      <c r="V45" s="275">
        <f t="shared" si="14"/>
        <v>86.010367067176233</v>
      </c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>
        <f>(14620104)</f>
        <v>14620104</v>
      </c>
      <c r="AJ45" s="273">
        <f t="shared" si="15"/>
        <v>13.989632932823772</v>
      </c>
      <c r="AK45" s="246">
        <f t="shared" si="17"/>
        <v>89886598</v>
      </c>
      <c r="AL45" s="273">
        <f t="shared" si="16"/>
        <v>86.010367067176233</v>
      </c>
      <c r="AM45" s="181"/>
    </row>
    <row r="46" spans="1:39" s="235" customFormat="1" ht="28.5" customHeight="1" x14ac:dyDescent="0.25">
      <c r="A46" s="259">
        <v>9</v>
      </c>
      <c r="B46" s="370"/>
      <c r="C46" s="370"/>
      <c r="D46" s="370"/>
      <c r="E46" s="370"/>
      <c r="F46" s="370"/>
      <c r="G46" s="370"/>
      <c r="H46" s="370"/>
      <c r="I46" s="371"/>
      <c r="J46" s="370" t="s">
        <v>238</v>
      </c>
      <c r="K46" s="272"/>
      <c r="L46" s="628" t="s">
        <v>239</v>
      </c>
      <c r="M46" s="628"/>
      <c r="N46" s="629"/>
      <c r="O46" s="180"/>
      <c r="P46" s="180"/>
      <c r="Q46" s="180">
        <v>17042404</v>
      </c>
      <c r="R46" s="273">
        <f t="shared" si="19"/>
        <v>5.3615643922073949E-2</v>
      </c>
      <c r="S46" s="273">
        <v>100</v>
      </c>
      <c r="T46" s="180">
        <f t="shared" si="13"/>
        <v>13.968070467053826</v>
      </c>
      <c r="U46" s="180">
        <f t="shared" si="18"/>
        <v>0.74890709243999509</v>
      </c>
      <c r="V46" s="276">
        <f t="shared" si="14"/>
        <v>86.03192953294618</v>
      </c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>
        <f>(2380495)</f>
        <v>2380495</v>
      </c>
      <c r="AJ46" s="273">
        <f t="shared" si="15"/>
        <v>13.968070467053826</v>
      </c>
      <c r="AK46" s="246">
        <f t="shared" si="17"/>
        <v>14661909</v>
      </c>
      <c r="AL46" s="273">
        <f t="shared" si="16"/>
        <v>86.031929532946165</v>
      </c>
      <c r="AM46" s="181"/>
    </row>
    <row r="47" spans="1:39" s="235" customFormat="1" ht="28.5" customHeight="1" x14ac:dyDescent="0.25">
      <c r="A47" s="277" t="s">
        <v>8</v>
      </c>
      <c r="B47" s="373"/>
      <c r="C47" s="373"/>
      <c r="D47" s="373"/>
      <c r="E47" s="373"/>
      <c r="F47" s="373"/>
      <c r="G47" s="373"/>
      <c r="H47" s="373"/>
      <c r="I47" s="373"/>
      <c r="J47" s="373" t="s">
        <v>240</v>
      </c>
      <c r="K47" s="279"/>
      <c r="L47" s="630" t="s">
        <v>241</v>
      </c>
      <c r="M47" s="631"/>
      <c r="N47" s="631"/>
      <c r="O47" s="280"/>
      <c r="P47" s="280"/>
      <c r="Q47" s="280">
        <f>SUM(Q48:Q49)</f>
        <v>2764518480</v>
      </c>
      <c r="R47" s="222">
        <f>Q47/Q36*100</f>
        <v>23.817088721015313</v>
      </c>
      <c r="S47" s="281">
        <v>100</v>
      </c>
      <c r="T47" s="280">
        <f t="shared" si="13"/>
        <v>0</v>
      </c>
      <c r="U47" s="280">
        <f>R47*T47/100</f>
        <v>0</v>
      </c>
      <c r="V47" s="282">
        <f t="shared" si="14"/>
        <v>100</v>
      </c>
      <c r="W47" s="280"/>
      <c r="X47" s="280"/>
      <c r="Y47" s="280"/>
      <c r="Z47" s="280"/>
      <c r="AA47" s="280"/>
      <c r="AB47" s="280"/>
      <c r="AC47" s="280"/>
      <c r="AD47" s="280"/>
      <c r="AE47" s="280"/>
      <c r="AF47" s="280"/>
      <c r="AG47" s="280"/>
      <c r="AH47" s="280"/>
      <c r="AI47" s="280">
        <f>SUM(AI48:AI49)</f>
        <v>0</v>
      </c>
      <c r="AJ47" s="281">
        <f t="shared" si="15"/>
        <v>0</v>
      </c>
      <c r="AK47" s="283">
        <f t="shared" si="17"/>
        <v>2764518480</v>
      </c>
      <c r="AL47" s="281">
        <f t="shared" si="16"/>
        <v>100</v>
      </c>
      <c r="AM47" s="284"/>
    </row>
    <row r="48" spans="1:39" s="235" customFormat="1" ht="28.5" customHeight="1" x14ac:dyDescent="0.25">
      <c r="A48" s="259">
        <v>1</v>
      </c>
      <c r="B48" s="370"/>
      <c r="C48" s="370"/>
      <c r="D48" s="370"/>
      <c r="E48" s="370"/>
      <c r="F48" s="370"/>
      <c r="G48" s="370"/>
      <c r="H48" s="370"/>
      <c r="I48" s="371"/>
      <c r="J48" s="370" t="s">
        <v>242</v>
      </c>
      <c r="K48" s="272"/>
      <c r="L48" s="628" t="s">
        <v>243</v>
      </c>
      <c r="M48" s="628"/>
      <c r="N48" s="629"/>
      <c r="O48" s="180"/>
      <c r="P48" s="180"/>
      <c r="Q48" s="180">
        <v>2546193480</v>
      </c>
      <c r="R48" s="273">
        <f t="shared" si="19"/>
        <v>8.0103606850527846</v>
      </c>
      <c r="S48" s="273">
        <v>100</v>
      </c>
      <c r="T48" s="180">
        <f t="shared" si="13"/>
        <v>0</v>
      </c>
      <c r="U48" s="285">
        <f>R48*T48/100</f>
        <v>0</v>
      </c>
      <c r="V48" s="275">
        <f t="shared" si="14"/>
        <v>100</v>
      </c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>
        <v>0</v>
      </c>
      <c r="AJ48" s="273">
        <f t="shared" si="15"/>
        <v>0</v>
      </c>
      <c r="AK48" s="246">
        <f t="shared" si="17"/>
        <v>2546193480</v>
      </c>
      <c r="AL48" s="273">
        <f t="shared" si="16"/>
        <v>100</v>
      </c>
      <c r="AM48" s="181"/>
    </row>
    <row r="49" spans="1:39" s="235" customFormat="1" ht="28.5" customHeight="1" x14ac:dyDescent="0.25">
      <c r="A49" s="259">
        <v>2</v>
      </c>
      <c r="B49" s="370"/>
      <c r="C49" s="370"/>
      <c r="D49" s="370"/>
      <c r="E49" s="370"/>
      <c r="F49" s="370"/>
      <c r="G49" s="370"/>
      <c r="H49" s="370"/>
      <c r="I49" s="371"/>
      <c r="J49" s="370" t="s">
        <v>244</v>
      </c>
      <c r="K49" s="272"/>
      <c r="L49" s="628" t="s">
        <v>245</v>
      </c>
      <c r="M49" s="628"/>
      <c r="N49" s="629"/>
      <c r="O49" s="180"/>
      <c r="P49" s="180"/>
      <c r="Q49" s="180">
        <v>218325000</v>
      </c>
      <c r="R49" s="273">
        <f t="shared" si="19"/>
        <v>0.68685353658361781</v>
      </c>
      <c r="S49" s="273">
        <v>100</v>
      </c>
      <c r="T49" s="180">
        <f t="shared" si="13"/>
        <v>0</v>
      </c>
      <c r="U49" s="286">
        <f>R49*T49/100</f>
        <v>0</v>
      </c>
      <c r="V49" s="276">
        <f t="shared" si="14"/>
        <v>100</v>
      </c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>
        <v>0</v>
      </c>
      <c r="AJ49" s="273">
        <f t="shared" si="15"/>
        <v>0</v>
      </c>
      <c r="AK49" s="246">
        <f t="shared" si="17"/>
        <v>218325000</v>
      </c>
      <c r="AL49" s="273">
        <f t="shared" si="16"/>
        <v>100</v>
      </c>
      <c r="AM49" s="181"/>
    </row>
    <row r="50" spans="1:39" s="235" customFormat="1" ht="28.5" customHeight="1" x14ac:dyDescent="0.25">
      <c r="A50" s="277" t="s">
        <v>29</v>
      </c>
      <c r="B50" s="374"/>
      <c r="C50" s="374"/>
      <c r="D50" s="374"/>
      <c r="E50" s="374"/>
      <c r="F50" s="374"/>
      <c r="G50" s="374"/>
      <c r="H50" s="374"/>
      <c r="I50" s="372"/>
      <c r="J50" s="374" t="s">
        <v>246</v>
      </c>
      <c r="K50" s="279"/>
      <c r="L50" s="632" t="s">
        <v>247</v>
      </c>
      <c r="M50" s="632"/>
      <c r="N50" s="630"/>
      <c r="O50" s="280"/>
      <c r="P50" s="280"/>
      <c r="Q50" s="280">
        <f>SUM(Q51)</f>
        <v>4600000000</v>
      </c>
      <c r="R50" s="222">
        <f>Q50/Q36*100</f>
        <v>39.630267950558405</v>
      </c>
      <c r="S50" s="281">
        <v>100</v>
      </c>
      <c r="T50" s="280">
        <f t="shared" si="13"/>
        <v>40.304863565217389</v>
      </c>
      <c r="U50" s="280">
        <f>R50*T50/100</f>
        <v>15.972925428002638</v>
      </c>
      <c r="V50" s="282">
        <f t="shared" si="14"/>
        <v>59.695136434782611</v>
      </c>
      <c r="W50" s="280"/>
      <c r="X50" s="280"/>
      <c r="Y50" s="280"/>
      <c r="Z50" s="280"/>
      <c r="AA50" s="280"/>
      <c r="AB50" s="280"/>
      <c r="AC50" s="280"/>
      <c r="AD50" s="280"/>
      <c r="AE50" s="280"/>
      <c r="AF50" s="280"/>
      <c r="AG50" s="280"/>
      <c r="AH50" s="280"/>
      <c r="AI50" s="263">
        <f>SUM(AI51)</f>
        <v>1854023724</v>
      </c>
      <c r="AJ50" s="281">
        <f t="shared" si="15"/>
        <v>40.304863565217389</v>
      </c>
      <c r="AK50" s="283">
        <f t="shared" si="17"/>
        <v>2745976276</v>
      </c>
      <c r="AL50" s="281">
        <f t="shared" si="16"/>
        <v>59.695136434782611</v>
      </c>
      <c r="AM50" s="284"/>
    </row>
    <row r="51" spans="1:39" s="235" customFormat="1" ht="28.5" customHeight="1" x14ac:dyDescent="0.25">
      <c r="A51" s="259">
        <v>1</v>
      </c>
      <c r="B51" s="370"/>
      <c r="C51" s="370"/>
      <c r="D51" s="370"/>
      <c r="E51" s="370"/>
      <c r="F51" s="370"/>
      <c r="G51" s="370"/>
      <c r="H51" s="370"/>
      <c r="I51" s="371"/>
      <c r="J51" s="370" t="s">
        <v>248</v>
      </c>
      <c r="K51" s="272"/>
      <c r="L51" s="628" t="s">
        <v>427</v>
      </c>
      <c r="M51" s="628"/>
      <c r="N51" s="629"/>
      <c r="O51" s="180"/>
      <c r="P51" s="180"/>
      <c r="Q51" s="180">
        <v>4600000000</v>
      </c>
      <c r="R51" s="273">
        <f t="shared" si="19"/>
        <v>14.471665032793505</v>
      </c>
      <c r="S51" s="273">
        <v>100</v>
      </c>
      <c r="T51" s="180">
        <f t="shared" si="13"/>
        <v>40.304863565217389</v>
      </c>
      <c r="U51" s="285">
        <f>R51*T51/100</f>
        <v>5.832784847082694</v>
      </c>
      <c r="V51" s="274">
        <f t="shared" si="14"/>
        <v>59.695136434782611</v>
      </c>
      <c r="W51" s="180"/>
      <c r="X51" s="18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>
        <v>1854023724</v>
      </c>
      <c r="AJ51" s="273">
        <f t="shared" si="15"/>
        <v>40.304863565217389</v>
      </c>
      <c r="AK51" s="246">
        <f t="shared" si="17"/>
        <v>2745976276</v>
      </c>
      <c r="AL51" s="273">
        <f t="shared" si="16"/>
        <v>59.695136434782611</v>
      </c>
      <c r="AM51" s="181"/>
    </row>
    <row r="52" spans="1:39" ht="13.5" customHeight="1" x14ac:dyDescent="0.25">
      <c r="A52" s="243"/>
      <c r="B52" s="257"/>
      <c r="C52" s="257"/>
      <c r="D52" s="257"/>
      <c r="E52" s="257"/>
      <c r="F52" s="257"/>
      <c r="G52" s="257"/>
      <c r="H52" s="257"/>
      <c r="I52" s="258"/>
      <c r="J52" s="257"/>
      <c r="K52" s="245"/>
      <c r="L52" s="257"/>
      <c r="M52" s="257"/>
      <c r="N52" s="258"/>
      <c r="O52" s="243"/>
      <c r="P52" s="243"/>
      <c r="Q52" s="243"/>
      <c r="R52" s="243"/>
      <c r="S52" s="243"/>
      <c r="T52" s="243"/>
      <c r="U52" s="243"/>
      <c r="V52" s="182"/>
      <c r="W52" s="243"/>
      <c r="X52" s="243"/>
      <c r="Y52" s="243"/>
      <c r="Z52" s="243"/>
      <c r="AA52" s="243"/>
      <c r="AB52" s="243"/>
      <c r="AC52" s="243"/>
      <c r="AD52" s="243"/>
      <c r="AE52" s="243"/>
      <c r="AF52" s="243"/>
      <c r="AG52" s="243"/>
      <c r="AH52" s="243"/>
      <c r="AI52" s="243"/>
      <c r="AJ52" s="243"/>
      <c r="AK52" s="259"/>
      <c r="AL52" s="243"/>
      <c r="AM52" s="243"/>
    </row>
    <row r="53" spans="1:39" s="226" customFormat="1" ht="24.75" customHeight="1" x14ac:dyDescent="0.25">
      <c r="A53" s="289"/>
      <c r="B53" s="607" t="s">
        <v>112</v>
      </c>
      <c r="C53" s="607"/>
      <c r="D53" s="607"/>
      <c r="E53" s="607"/>
      <c r="F53" s="607"/>
      <c r="G53" s="607"/>
      <c r="H53" s="607"/>
      <c r="I53" s="608"/>
      <c r="J53" s="365" t="s">
        <v>441</v>
      </c>
      <c r="K53" s="291"/>
      <c r="L53" s="607" t="s">
        <v>11</v>
      </c>
      <c r="M53" s="607"/>
      <c r="N53" s="608"/>
      <c r="O53" s="263" t="e">
        <f>SUM(O54,O119,O156,O163,O175,O243,O683)</f>
        <v>#REF!</v>
      </c>
      <c r="P53" s="263" t="e">
        <f>SUM(P54,P119,P156,P163,P175,P243,P683)</f>
        <v>#REF!</v>
      </c>
      <c r="Q53" s="263">
        <f>SUM(Q54,Q119,Q156,Q163,Q175,Q243+Q674)</f>
        <v>20178962906</v>
      </c>
      <c r="R53" s="222">
        <f>Q53/Q33*100</f>
        <v>63.483302583651614</v>
      </c>
      <c r="S53" s="222">
        <f>S54</f>
        <v>100</v>
      </c>
      <c r="T53" s="263">
        <f t="shared" ref="T53:T138" si="20">AJ53</f>
        <v>6.330040691140761</v>
      </c>
      <c r="U53" s="263">
        <f t="shared" ref="U53:U89" si="21">R53*T53/100</f>
        <v>4.018518885625161</v>
      </c>
      <c r="V53" s="292">
        <f t="shared" ref="V53:V126" si="22">S53-T53</f>
        <v>93.669959308859234</v>
      </c>
      <c r="W53" s="263">
        <f>SUM(W54:W87)</f>
        <v>0</v>
      </c>
      <c r="X53" s="263" t="e">
        <f t="shared" ref="X53:AH53" si="23">SUM(X54,X119,X156,X163,X175,X243,X683)</f>
        <v>#REF!</v>
      </c>
      <c r="Y53" s="263" t="e">
        <f t="shared" si="23"/>
        <v>#REF!</v>
      </c>
      <c r="Z53" s="263" t="e">
        <f t="shared" si="23"/>
        <v>#REF!</v>
      </c>
      <c r="AA53" s="263" t="e">
        <f t="shared" si="23"/>
        <v>#REF!</v>
      </c>
      <c r="AB53" s="263">
        <f t="shared" si="23"/>
        <v>10250009282</v>
      </c>
      <c r="AC53" s="263" t="e">
        <f t="shared" si="23"/>
        <v>#REF!</v>
      </c>
      <c r="AD53" s="263" t="e">
        <f t="shared" si="23"/>
        <v>#REF!</v>
      </c>
      <c r="AE53" s="263" t="e">
        <f t="shared" si="23"/>
        <v>#REF!</v>
      </c>
      <c r="AF53" s="263" t="e">
        <f t="shared" si="23"/>
        <v>#REF!</v>
      </c>
      <c r="AG53" s="263" t="e">
        <f t="shared" si="23"/>
        <v>#REF!</v>
      </c>
      <c r="AH53" s="263" t="e">
        <f t="shared" si="23"/>
        <v>#REF!</v>
      </c>
      <c r="AI53" s="263">
        <f>SUM(AI54,AI119,AI156,AI163,AI175,AI243)</f>
        <v>1277336563</v>
      </c>
      <c r="AJ53" s="222">
        <f t="shared" ref="AJ53:AJ138" si="24">AI53/Q53*100</f>
        <v>6.330040691140761</v>
      </c>
      <c r="AK53" s="265">
        <f>SUM(Q53-AI53)</f>
        <v>18901626343</v>
      </c>
      <c r="AL53" s="222">
        <f t="shared" ref="AL53:AL138" si="25">AK53/Q53*100</f>
        <v>93.669959308859234</v>
      </c>
      <c r="AM53" s="240"/>
    </row>
    <row r="54" spans="1:39" s="226" customFormat="1" ht="28.5" customHeight="1" x14ac:dyDescent="0.25">
      <c r="A54" s="236" t="s">
        <v>7</v>
      </c>
      <c r="B54" s="626" t="s">
        <v>113</v>
      </c>
      <c r="C54" s="626"/>
      <c r="D54" s="626"/>
      <c r="E54" s="626"/>
      <c r="F54" s="626"/>
      <c r="G54" s="626"/>
      <c r="H54" s="626"/>
      <c r="I54" s="627"/>
      <c r="J54" s="369" t="s">
        <v>439</v>
      </c>
      <c r="K54" s="238"/>
      <c r="L54" s="626" t="s">
        <v>12</v>
      </c>
      <c r="M54" s="626"/>
      <c r="N54" s="627"/>
      <c r="O54" s="239">
        <f>SUM(O55:O89)</f>
        <v>1502806500</v>
      </c>
      <c r="P54" s="239">
        <f>SUM(P55:P89)</f>
        <v>1794406500</v>
      </c>
      <c r="Q54" s="239">
        <f>SUM(Q55+Q57+Q61+Q63+Q67+Q70+Q76+Q78+Q81+Q84+Q87+Q89+Q91+Q105)</f>
        <v>2525913744</v>
      </c>
      <c r="R54" s="240">
        <f>Q54/Q$53*100</f>
        <v>12.517559776320052</v>
      </c>
      <c r="S54" s="240">
        <f>S55</f>
        <v>100</v>
      </c>
      <c r="T54" s="293">
        <f t="shared" si="20"/>
        <v>3.8382176046309202</v>
      </c>
      <c r="U54" s="293">
        <f t="shared" si="21"/>
        <v>0.48045118300491507</v>
      </c>
      <c r="V54" s="241">
        <f t="shared" si="22"/>
        <v>96.161782395369073</v>
      </c>
      <c r="W54" s="239">
        <f t="shared" ref="W54:AH54" si="26">SUM(W55:W89)</f>
        <v>0</v>
      </c>
      <c r="X54" s="239" t="e">
        <f t="shared" si="26"/>
        <v>#REF!</v>
      </c>
      <c r="Y54" s="239" t="e">
        <f t="shared" si="26"/>
        <v>#REF!</v>
      </c>
      <c r="Z54" s="239" t="e">
        <f t="shared" si="26"/>
        <v>#REF!</v>
      </c>
      <c r="AA54" s="239" t="e">
        <f t="shared" si="26"/>
        <v>#REF!</v>
      </c>
      <c r="AB54" s="239">
        <f t="shared" si="26"/>
        <v>1228213226</v>
      </c>
      <c r="AC54" s="239" t="e">
        <f t="shared" si="26"/>
        <v>#REF!</v>
      </c>
      <c r="AD54" s="239" t="e">
        <f t="shared" si="26"/>
        <v>#REF!</v>
      </c>
      <c r="AE54" s="239" t="e">
        <f t="shared" si="26"/>
        <v>#REF!</v>
      </c>
      <c r="AF54" s="239" t="e">
        <f t="shared" si="26"/>
        <v>#REF!</v>
      </c>
      <c r="AG54" s="239" t="e">
        <f t="shared" si="26"/>
        <v>#REF!</v>
      </c>
      <c r="AH54" s="239">
        <f t="shared" si="26"/>
        <v>3676337600</v>
      </c>
      <c r="AI54" s="239">
        <f>SUM(AI55+AI57+AI61+AI63+AI67+AI70+AI76+AI78+AI81+AI84+AI87+AI89)</f>
        <v>96950066</v>
      </c>
      <c r="AJ54" s="240">
        <f t="shared" si="24"/>
        <v>3.8382176046309202</v>
      </c>
      <c r="AK54" s="242">
        <f>SUM(Q54-AI54)</f>
        <v>2428963678</v>
      </c>
      <c r="AL54" s="240">
        <f t="shared" si="25"/>
        <v>96.161782395369073</v>
      </c>
      <c r="AM54" s="236"/>
    </row>
    <row r="55" spans="1:39" s="297" customFormat="1" ht="24.75" customHeight="1" x14ac:dyDescent="0.25">
      <c r="A55" s="227">
        <v>1</v>
      </c>
      <c r="B55" s="615" t="s">
        <v>114</v>
      </c>
      <c r="C55" s="615"/>
      <c r="D55" s="615"/>
      <c r="E55" s="615"/>
      <c r="F55" s="615"/>
      <c r="G55" s="615"/>
      <c r="H55" s="615"/>
      <c r="I55" s="614"/>
      <c r="J55" s="367" t="s">
        <v>442</v>
      </c>
      <c r="K55" s="230"/>
      <c r="L55" s="294"/>
      <c r="M55" s="615" t="s">
        <v>13</v>
      </c>
      <c r="N55" s="614"/>
      <c r="O55" s="295">
        <v>26300000</v>
      </c>
      <c r="P55" s="231">
        <v>28400000</v>
      </c>
      <c r="Q55" s="231">
        <f>SUM(Q56)</f>
        <v>27000000</v>
      </c>
      <c r="R55" s="233">
        <f>Q55/Q$54*100</f>
        <v>1.0689201111532491</v>
      </c>
      <c r="S55" s="233">
        <v>100</v>
      </c>
      <c r="T55" s="231">
        <f t="shared" si="20"/>
        <v>0</v>
      </c>
      <c r="U55" s="231">
        <f t="shared" si="21"/>
        <v>0</v>
      </c>
      <c r="V55" s="296">
        <f t="shared" si="22"/>
        <v>100</v>
      </c>
      <c r="W55" s="231"/>
      <c r="X55" s="231" t="e">
        <f>#REF!</f>
        <v>#REF!</v>
      </c>
      <c r="Y55" s="231" t="e">
        <f>#REF!</f>
        <v>#REF!</v>
      </c>
      <c r="Z55" s="231" t="e">
        <f>#REF!</f>
        <v>#REF!</v>
      </c>
      <c r="AA55" s="231" t="e">
        <f>#REF!</f>
        <v>#REF!</v>
      </c>
      <c r="AB55" s="231">
        <v>5828000</v>
      </c>
      <c r="AC55" s="231" t="e">
        <f>#REF!</f>
        <v>#REF!</v>
      </c>
      <c r="AD55" s="231" t="e">
        <f>#REF!</f>
        <v>#REF!</v>
      </c>
      <c r="AE55" s="231" t="e">
        <f>#REF!</f>
        <v>#REF!</v>
      </c>
      <c r="AF55" s="231" t="e">
        <f>[1]April!N21</f>
        <v>#REF!</v>
      </c>
      <c r="AG55" s="231" t="e">
        <f>[2]april!N21</f>
        <v>#REF!</v>
      </c>
      <c r="AH55" s="231">
        <f>'[3]DES SKPD'!$N21</f>
        <v>14378000</v>
      </c>
      <c r="AI55" s="231">
        <f>SUM(AI56)</f>
        <v>0</v>
      </c>
      <c r="AJ55" s="233">
        <f>AI55/Q55*100</f>
        <v>0</v>
      </c>
      <c r="AK55" s="234">
        <f>Q55-AI55</f>
        <v>27000000</v>
      </c>
      <c r="AL55" s="233">
        <f>AK55/Q55*100</f>
        <v>100</v>
      </c>
      <c r="AM55" s="227"/>
    </row>
    <row r="56" spans="1:39" ht="29.25" customHeight="1" x14ac:dyDescent="0.25">
      <c r="A56" s="243"/>
      <c r="B56" s="362"/>
      <c r="C56" s="362"/>
      <c r="D56" s="362"/>
      <c r="E56" s="362"/>
      <c r="F56" s="362"/>
      <c r="G56" s="362"/>
      <c r="H56" s="362"/>
      <c r="I56" s="363"/>
      <c r="J56" s="362" t="s">
        <v>249</v>
      </c>
      <c r="K56" s="245"/>
      <c r="L56" s="257"/>
      <c r="M56" s="597" t="s">
        <v>250</v>
      </c>
      <c r="N56" s="598"/>
      <c r="O56" s="299"/>
      <c r="P56" s="180"/>
      <c r="Q56" s="180">
        <v>27000000</v>
      </c>
      <c r="R56" s="181">
        <f>Q56/Q$55*100</f>
        <v>100</v>
      </c>
      <c r="S56" s="181">
        <v>100</v>
      </c>
      <c r="T56" s="180">
        <f t="shared" si="20"/>
        <v>0</v>
      </c>
      <c r="U56" s="180">
        <f t="shared" si="21"/>
        <v>0</v>
      </c>
      <c r="V56" s="182">
        <f t="shared" si="22"/>
        <v>100</v>
      </c>
      <c r="W56" s="180"/>
      <c r="X56" s="180" t="e">
        <f>#REF!</f>
        <v>#REF!</v>
      </c>
      <c r="Y56" s="180" t="e">
        <f>#REF!</f>
        <v>#REF!</v>
      </c>
      <c r="Z56" s="180" t="e">
        <f>#REF!</f>
        <v>#REF!</v>
      </c>
      <c r="AA56" s="180" t="e">
        <f>#REF!</f>
        <v>#REF!</v>
      </c>
      <c r="AB56" s="180">
        <v>5828001</v>
      </c>
      <c r="AC56" s="180" t="e">
        <f>#REF!</f>
        <v>#REF!</v>
      </c>
      <c r="AD56" s="180" t="e">
        <f>#REF!</f>
        <v>#REF!</v>
      </c>
      <c r="AE56" s="180" t="e">
        <f>#REF!</f>
        <v>#REF!</v>
      </c>
      <c r="AF56" s="180" t="e">
        <f>[1]April!N22</f>
        <v>#REF!</v>
      </c>
      <c r="AG56" s="180" t="e">
        <f>[2]april!N22</f>
        <v>#REF!</v>
      </c>
      <c r="AH56" s="180">
        <f>'[3]DES SKPD'!$N22</f>
        <v>238296148</v>
      </c>
      <c r="AI56" s="180">
        <v>0</v>
      </c>
      <c r="AJ56" s="181">
        <f>AI56/Q56*100</f>
        <v>0</v>
      </c>
      <c r="AK56" s="246">
        <f>Q56-AI56</f>
        <v>27000000</v>
      </c>
      <c r="AL56" s="181">
        <f>AK56/Q56*100</f>
        <v>100</v>
      </c>
      <c r="AM56" s="243"/>
    </row>
    <row r="57" spans="1:39" s="297" customFormat="1" ht="29.25" customHeight="1" x14ac:dyDescent="0.25">
      <c r="A57" s="227">
        <f>A55+1</f>
        <v>2</v>
      </c>
      <c r="B57" s="615" t="s">
        <v>115</v>
      </c>
      <c r="C57" s="615"/>
      <c r="D57" s="615"/>
      <c r="E57" s="615"/>
      <c r="F57" s="615"/>
      <c r="G57" s="615"/>
      <c r="H57" s="615"/>
      <c r="I57" s="614"/>
      <c r="J57" s="367" t="s">
        <v>443</v>
      </c>
      <c r="K57" s="230"/>
      <c r="L57" s="294"/>
      <c r="M57" s="615" t="s">
        <v>14</v>
      </c>
      <c r="N57" s="614"/>
      <c r="O57" s="295">
        <v>31000000</v>
      </c>
      <c r="P57" s="231">
        <f>[9]Sheet1!$U$35</f>
        <v>320500000</v>
      </c>
      <c r="Q57" s="231">
        <f>SUM(Q58:Q60)</f>
        <v>380000000</v>
      </c>
      <c r="R57" s="233">
        <f>Q57/Q$54*100</f>
        <v>15.044060823638322</v>
      </c>
      <c r="S57" s="233">
        <v>100</v>
      </c>
      <c r="T57" s="231">
        <f t="shared" si="20"/>
        <v>0.10793315789473683</v>
      </c>
      <c r="U57" s="231">
        <f t="shared" si="21"/>
        <v>1.6237529922557795E-2</v>
      </c>
      <c r="V57" s="296">
        <f t="shared" si="22"/>
        <v>99.892066842105265</v>
      </c>
      <c r="W57" s="231"/>
      <c r="X57" s="231" t="e">
        <f>#REF!</f>
        <v>#REF!</v>
      </c>
      <c r="Y57" s="231" t="e">
        <f>#REF!</f>
        <v>#REF!</v>
      </c>
      <c r="Z57" s="231" t="e">
        <f>#REF!</f>
        <v>#REF!</v>
      </c>
      <c r="AA57" s="231" t="e">
        <f>#REF!</f>
        <v>#REF!</v>
      </c>
      <c r="AB57" s="231">
        <v>61516789</v>
      </c>
      <c r="AC57" s="231" t="e">
        <f>#REF!</f>
        <v>#REF!</v>
      </c>
      <c r="AD57" s="231" t="e">
        <f>#REF!</f>
        <v>#REF!</v>
      </c>
      <c r="AE57" s="231" t="e">
        <f>#REF!</f>
        <v>#REF!</v>
      </c>
      <c r="AF57" s="231" t="e">
        <f>[1]April!N22</f>
        <v>#REF!</v>
      </c>
      <c r="AG57" s="231" t="e">
        <f>[2]april!N22</f>
        <v>#REF!</v>
      </c>
      <c r="AH57" s="231">
        <f>'[3]DES SKPD'!$N22</f>
        <v>238296148</v>
      </c>
      <c r="AI57" s="231">
        <f>SUM(AI58:AI60)</f>
        <v>410146</v>
      </c>
      <c r="AJ57" s="233">
        <f t="shared" si="24"/>
        <v>0.10793315789473683</v>
      </c>
      <c r="AK57" s="234">
        <f t="shared" ref="AK57:AK118" si="27">Q57-AI57</f>
        <v>379589854</v>
      </c>
      <c r="AL57" s="233">
        <f t="shared" si="25"/>
        <v>99.892066842105265</v>
      </c>
      <c r="AM57" s="227"/>
    </row>
    <row r="58" spans="1:39" ht="23.25" customHeight="1" x14ac:dyDescent="0.25">
      <c r="A58" s="243"/>
      <c r="B58" s="362"/>
      <c r="C58" s="362"/>
      <c r="D58" s="362"/>
      <c r="E58" s="362"/>
      <c r="F58" s="362"/>
      <c r="G58" s="362"/>
      <c r="H58" s="362"/>
      <c r="I58" s="363"/>
      <c r="J58" s="362" t="s">
        <v>251</v>
      </c>
      <c r="K58" s="245"/>
      <c r="L58" s="257"/>
      <c r="M58" s="597" t="s">
        <v>252</v>
      </c>
      <c r="N58" s="598"/>
      <c r="O58" s="299"/>
      <c r="P58" s="180"/>
      <c r="Q58" s="180">
        <v>2808000</v>
      </c>
      <c r="R58" s="181">
        <f>Q58/Q$57*100</f>
        <v>0.73894736842105269</v>
      </c>
      <c r="S58" s="181">
        <v>101</v>
      </c>
      <c r="T58" s="180">
        <f t="shared" si="20"/>
        <v>10.43272792022792</v>
      </c>
      <c r="U58" s="180">
        <f t="shared" si="21"/>
        <v>7.7092368421052632E-2</v>
      </c>
      <c r="V58" s="182">
        <f t="shared" si="22"/>
        <v>90.567272079772081</v>
      </c>
      <c r="W58" s="180"/>
      <c r="X58" s="180" t="e">
        <f>#REF!</f>
        <v>#REF!</v>
      </c>
      <c r="Y58" s="180" t="e">
        <f>#REF!</f>
        <v>#REF!</v>
      </c>
      <c r="Z58" s="180" t="e">
        <f>#REF!</f>
        <v>#REF!</v>
      </c>
      <c r="AA58" s="180" t="e">
        <f>#REF!</f>
        <v>#REF!</v>
      </c>
      <c r="AB58" s="180">
        <v>61516790</v>
      </c>
      <c r="AC58" s="180" t="e">
        <f>#REF!</f>
        <v>#REF!</v>
      </c>
      <c r="AD58" s="180" t="e">
        <f>#REF!</f>
        <v>#REF!</v>
      </c>
      <c r="AE58" s="180" t="e">
        <f>#REF!</f>
        <v>#REF!</v>
      </c>
      <c r="AF58" s="180" t="e">
        <f>[1]April!N23</f>
        <v>#REF!</v>
      </c>
      <c r="AG58" s="180" t="e">
        <f>[2]april!N23</f>
        <v>#REF!</v>
      </c>
      <c r="AH58" s="180">
        <f>'[3]DES SKPD'!$N23</f>
        <v>24482700</v>
      </c>
      <c r="AI58" s="180">
        <v>292951</v>
      </c>
      <c r="AJ58" s="181">
        <f t="shared" si="24"/>
        <v>10.43272792022792</v>
      </c>
      <c r="AK58" s="246">
        <f t="shared" si="27"/>
        <v>2515049</v>
      </c>
      <c r="AL58" s="181">
        <f t="shared" si="25"/>
        <v>89.567272079772081</v>
      </c>
      <c r="AM58" s="243"/>
    </row>
    <row r="59" spans="1:39" ht="23.25" customHeight="1" x14ac:dyDescent="0.25">
      <c r="A59" s="243"/>
      <c r="B59" s="362"/>
      <c r="C59" s="362"/>
      <c r="D59" s="362"/>
      <c r="E59" s="362"/>
      <c r="F59" s="362"/>
      <c r="G59" s="362"/>
      <c r="H59" s="362"/>
      <c r="I59" s="363"/>
      <c r="J59" s="362" t="s">
        <v>409</v>
      </c>
      <c r="K59" s="245"/>
      <c r="L59" s="257"/>
      <c r="M59" s="597" t="s">
        <v>410</v>
      </c>
      <c r="N59" s="598"/>
      <c r="O59" s="299"/>
      <c r="P59" s="180"/>
      <c r="Q59" s="180">
        <v>24000000</v>
      </c>
      <c r="R59" s="181">
        <f>Q59/Q$57*100</f>
        <v>6.3157894736842106</v>
      </c>
      <c r="S59" s="181">
        <v>102</v>
      </c>
      <c r="T59" s="180">
        <f t="shared" si="20"/>
        <v>0</v>
      </c>
      <c r="U59" s="180">
        <f t="shared" si="21"/>
        <v>0</v>
      </c>
      <c r="V59" s="182">
        <f t="shared" si="22"/>
        <v>102</v>
      </c>
      <c r="W59" s="180"/>
      <c r="X59" s="180"/>
      <c r="Y59" s="180"/>
      <c r="Z59" s="180"/>
      <c r="AA59" s="180"/>
      <c r="AB59" s="180"/>
      <c r="AC59" s="180"/>
      <c r="AD59" s="180"/>
      <c r="AE59" s="180"/>
      <c r="AF59" s="180"/>
      <c r="AG59" s="180"/>
      <c r="AH59" s="180"/>
      <c r="AI59" s="180">
        <v>0</v>
      </c>
      <c r="AJ59" s="181">
        <f>AI59/Q59*100</f>
        <v>0</v>
      </c>
      <c r="AK59" s="246">
        <f>Q59-AI59</f>
        <v>24000000</v>
      </c>
      <c r="AL59" s="181">
        <f>AK59/Q59*100</f>
        <v>100</v>
      </c>
      <c r="AM59" s="243"/>
    </row>
    <row r="60" spans="1:39" ht="48.75" customHeight="1" x14ac:dyDescent="0.25">
      <c r="A60" s="243"/>
      <c r="B60" s="362"/>
      <c r="C60" s="362"/>
      <c r="D60" s="362"/>
      <c r="E60" s="362"/>
      <c r="F60" s="362"/>
      <c r="G60" s="362"/>
      <c r="H60" s="362"/>
      <c r="I60" s="363"/>
      <c r="J60" s="362" t="s">
        <v>253</v>
      </c>
      <c r="K60" s="245"/>
      <c r="L60" s="257"/>
      <c r="M60" s="597" t="s">
        <v>254</v>
      </c>
      <c r="N60" s="598"/>
      <c r="O60" s="299"/>
      <c r="P60" s="180"/>
      <c r="Q60" s="180">
        <v>353192000</v>
      </c>
      <c r="R60" s="181">
        <f>Q60/Q$57*100</f>
        <v>92.945263157894743</v>
      </c>
      <c r="S60" s="181">
        <v>102</v>
      </c>
      <c r="T60" s="180">
        <f t="shared" si="20"/>
        <v>3.3181668893972685E-2</v>
      </c>
      <c r="U60" s="180">
        <f t="shared" si="21"/>
        <v>3.0840789473684214E-2</v>
      </c>
      <c r="V60" s="182">
        <f t="shared" si="22"/>
        <v>101.96681833110603</v>
      </c>
      <c r="W60" s="180"/>
      <c r="X60" s="180" t="e">
        <f>#REF!</f>
        <v>#REF!</v>
      </c>
      <c r="Y60" s="180" t="e">
        <f>#REF!</f>
        <v>#REF!</v>
      </c>
      <c r="Z60" s="180" t="e">
        <f>#REF!</f>
        <v>#REF!</v>
      </c>
      <c r="AA60" s="180" t="e">
        <f>#REF!</f>
        <v>#REF!</v>
      </c>
      <c r="AB60" s="180">
        <v>61516791</v>
      </c>
      <c r="AC60" s="180" t="e">
        <f>#REF!</f>
        <v>#REF!</v>
      </c>
      <c r="AD60" s="180" t="e">
        <f>#REF!</f>
        <v>#REF!</v>
      </c>
      <c r="AE60" s="180" t="e">
        <f>#REF!</f>
        <v>#REF!</v>
      </c>
      <c r="AF60" s="180" t="e">
        <f>[1]April!N24</f>
        <v>#REF!</v>
      </c>
      <c r="AG60" s="180" t="e">
        <f>[2]april!N24</f>
        <v>#REF!</v>
      </c>
      <c r="AH60" s="180">
        <f>'[3]DES SKPD'!$N24</f>
        <v>201339002</v>
      </c>
      <c r="AI60" s="180">
        <v>117195</v>
      </c>
      <c r="AJ60" s="181">
        <f t="shared" si="24"/>
        <v>3.3181668893972685E-2</v>
      </c>
      <c r="AK60" s="246">
        <f t="shared" si="27"/>
        <v>353074805</v>
      </c>
      <c r="AL60" s="181">
        <f t="shared" si="25"/>
        <v>99.966818331106026</v>
      </c>
      <c r="AM60" s="243"/>
    </row>
    <row r="61" spans="1:39" s="297" customFormat="1" ht="45.75" customHeight="1" x14ac:dyDescent="0.25">
      <c r="A61" s="227">
        <f>A57+1</f>
        <v>3</v>
      </c>
      <c r="B61" s="615" t="s">
        <v>116</v>
      </c>
      <c r="C61" s="615"/>
      <c r="D61" s="615"/>
      <c r="E61" s="615"/>
      <c r="F61" s="615"/>
      <c r="G61" s="615"/>
      <c r="H61" s="615"/>
      <c r="I61" s="614"/>
      <c r="J61" s="367" t="s">
        <v>444</v>
      </c>
      <c r="K61" s="230"/>
      <c r="L61" s="294"/>
      <c r="M61" s="615" t="s">
        <v>117</v>
      </c>
      <c r="N61" s="614"/>
      <c r="O61" s="295">
        <v>32800000</v>
      </c>
      <c r="P61" s="231">
        <f>O61</f>
        <v>32800000</v>
      </c>
      <c r="Q61" s="231">
        <f>SUM(Q62)</f>
        <v>66540000</v>
      </c>
      <c r="R61" s="233">
        <f>Q61/Q$54*100</f>
        <v>2.6342942294865632</v>
      </c>
      <c r="S61" s="233">
        <v>100</v>
      </c>
      <c r="T61" s="231">
        <f t="shared" si="20"/>
        <v>29.04283137962128</v>
      </c>
      <c r="U61" s="231">
        <f t="shared" si="21"/>
        <v>0.76507363111287618</v>
      </c>
      <c r="V61" s="296">
        <f t="shared" si="22"/>
        <v>70.957168620378724</v>
      </c>
      <c r="W61" s="231"/>
      <c r="X61" s="231" t="e">
        <f>#REF!</f>
        <v>#REF!</v>
      </c>
      <c r="Y61" s="231" t="e">
        <f>#REF!</f>
        <v>#REF!</v>
      </c>
      <c r="Z61" s="231" t="e">
        <f>#REF!</f>
        <v>#REF!</v>
      </c>
      <c r="AA61" s="231" t="e">
        <f>#REF!</f>
        <v>#REF!</v>
      </c>
      <c r="AB61" s="231">
        <v>9127800</v>
      </c>
      <c r="AC61" s="231" t="e">
        <f>#REF!</f>
        <v>#REF!</v>
      </c>
      <c r="AD61" s="231" t="e">
        <f>#REF!</f>
        <v>#REF!</v>
      </c>
      <c r="AE61" s="231" t="e">
        <f>#REF!</f>
        <v>#REF!</v>
      </c>
      <c r="AF61" s="231" t="e">
        <f>[1]April!N23</f>
        <v>#REF!</v>
      </c>
      <c r="AG61" s="231" t="e">
        <f>[2]april!N23</f>
        <v>#REF!</v>
      </c>
      <c r="AH61" s="231">
        <f>'[3]DES SKPD'!$N23</f>
        <v>24482700</v>
      </c>
      <c r="AI61" s="231">
        <f>SUM(AI62)</f>
        <v>19325100</v>
      </c>
      <c r="AJ61" s="233">
        <f t="shared" si="24"/>
        <v>29.04283137962128</v>
      </c>
      <c r="AK61" s="234">
        <f t="shared" si="27"/>
        <v>47214900</v>
      </c>
      <c r="AL61" s="233">
        <f t="shared" si="25"/>
        <v>70.957168620378724</v>
      </c>
      <c r="AM61" s="227"/>
    </row>
    <row r="62" spans="1:39" s="297" customFormat="1" ht="28.5" customHeight="1" x14ac:dyDescent="0.25">
      <c r="A62" s="227"/>
      <c r="B62" s="367"/>
      <c r="C62" s="367"/>
      <c r="D62" s="367"/>
      <c r="E62" s="367"/>
      <c r="F62" s="367"/>
      <c r="G62" s="367"/>
      <c r="H62" s="367"/>
      <c r="I62" s="366"/>
      <c r="J62" s="362" t="s">
        <v>255</v>
      </c>
      <c r="K62" s="245"/>
      <c r="L62" s="257"/>
      <c r="M62" s="597" t="s">
        <v>256</v>
      </c>
      <c r="N62" s="598"/>
      <c r="O62" s="299"/>
      <c r="P62" s="180"/>
      <c r="Q62" s="180">
        <v>66540000</v>
      </c>
      <c r="R62" s="181">
        <f>Q62/Q$61*100</f>
        <v>100</v>
      </c>
      <c r="S62" s="181">
        <v>100</v>
      </c>
      <c r="T62" s="180">
        <f t="shared" si="20"/>
        <v>29.04283137962128</v>
      </c>
      <c r="U62" s="180">
        <f t="shared" si="21"/>
        <v>29.04283137962128</v>
      </c>
      <c r="V62" s="182">
        <f t="shared" si="22"/>
        <v>70.957168620378724</v>
      </c>
      <c r="W62" s="180"/>
      <c r="X62" s="180" t="e">
        <f>#REF!</f>
        <v>#REF!</v>
      </c>
      <c r="Y62" s="180" t="e">
        <f>#REF!</f>
        <v>#REF!</v>
      </c>
      <c r="Z62" s="180" t="e">
        <f>#REF!</f>
        <v>#REF!</v>
      </c>
      <c r="AA62" s="180" t="e">
        <f>#REF!</f>
        <v>#REF!</v>
      </c>
      <c r="AB62" s="180">
        <v>9127801</v>
      </c>
      <c r="AC62" s="180" t="e">
        <f>#REF!</f>
        <v>#REF!</v>
      </c>
      <c r="AD62" s="180" t="e">
        <f>#REF!</f>
        <v>#REF!</v>
      </c>
      <c r="AE62" s="180" t="e">
        <f>#REF!</f>
        <v>#REF!</v>
      </c>
      <c r="AF62" s="180" t="e">
        <f>[1]April!N24</f>
        <v>#REF!</v>
      </c>
      <c r="AG62" s="180" t="e">
        <f>[2]april!N24</f>
        <v>#REF!</v>
      </c>
      <c r="AH62" s="180">
        <f>'[3]DES SKPD'!$N24</f>
        <v>201339002</v>
      </c>
      <c r="AI62" s="180">
        <v>19325100</v>
      </c>
      <c r="AJ62" s="181">
        <f t="shared" si="24"/>
        <v>29.04283137962128</v>
      </c>
      <c r="AK62" s="246">
        <f t="shared" si="27"/>
        <v>47214900</v>
      </c>
      <c r="AL62" s="181">
        <f t="shared" si="25"/>
        <v>70.957168620378724</v>
      </c>
      <c r="AM62" s="227"/>
    </row>
    <row r="63" spans="1:39" s="297" customFormat="1" ht="24.75" customHeight="1" x14ac:dyDescent="0.25">
      <c r="A63" s="227">
        <f>A61+1</f>
        <v>4</v>
      </c>
      <c r="B63" s="615" t="s">
        <v>118</v>
      </c>
      <c r="C63" s="615"/>
      <c r="D63" s="615"/>
      <c r="E63" s="615"/>
      <c r="F63" s="615"/>
      <c r="G63" s="615"/>
      <c r="H63" s="615"/>
      <c r="I63" s="614"/>
      <c r="J63" s="367" t="s">
        <v>445</v>
      </c>
      <c r="K63" s="230"/>
      <c r="L63" s="294"/>
      <c r="M63" s="615" t="s">
        <v>15</v>
      </c>
      <c r="N63" s="614"/>
      <c r="O63" s="295">
        <v>218550000</v>
      </c>
      <c r="P63" s="231">
        <f>O63</f>
        <v>218550000</v>
      </c>
      <c r="Q63" s="231">
        <f>SUM(Q64:Q66)</f>
        <v>336900000</v>
      </c>
      <c r="R63" s="233">
        <f>Q63/Q$54*100</f>
        <v>13.337747609167765</v>
      </c>
      <c r="S63" s="233">
        <v>100</v>
      </c>
      <c r="T63" s="231">
        <f t="shared" si="20"/>
        <v>0</v>
      </c>
      <c r="U63" s="231">
        <f t="shared" si="21"/>
        <v>0</v>
      </c>
      <c r="V63" s="296">
        <f t="shared" si="22"/>
        <v>100</v>
      </c>
      <c r="W63" s="231"/>
      <c r="X63" s="231" t="e">
        <f>#REF!</f>
        <v>#REF!</v>
      </c>
      <c r="Y63" s="231" t="e">
        <f>#REF!</f>
        <v>#REF!</v>
      </c>
      <c r="Z63" s="231" t="e">
        <f>#REF!</f>
        <v>#REF!</v>
      </c>
      <c r="AA63" s="231" t="e">
        <f>#REF!</f>
        <v>#REF!</v>
      </c>
      <c r="AB63" s="231">
        <v>103406334</v>
      </c>
      <c r="AC63" s="231" t="e">
        <f>#REF!</f>
        <v>#REF!</v>
      </c>
      <c r="AD63" s="231" t="e">
        <f>#REF!</f>
        <v>#REF!</v>
      </c>
      <c r="AE63" s="231" t="e">
        <f>#REF!</f>
        <v>#REF!</v>
      </c>
      <c r="AF63" s="231" t="e">
        <f>[1]April!N24</f>
        <v>#REF!</v>
      </c>
      <c r="AG63" s="231" t="e">
        <f>[2]april!N24</f>
        <v>#REF!</v>
      </c>
      <c r="AH63" s="231">
        <f>'[3]DES SKPD'!$N24</f>
        <v>201339002</v>
      </c>
      <c r="AI63" s="231">
        <f>SUM(AI64:AI66)</f>
        <v>0</v>
      </c>
      <c r="AJ63" s="233">
        <f t="shared" si="24"/>
        <v>0</v>
      </c>
      <c r="AK63" s="234">
        <f t="shared" si="27"/>
        <v>336900000</v>
      </c>
      <c r="AL63" s="233">
        <f t="shared" si="25"/>
        <v>100</v>
      </c>
      <c r="AM63" s="227"/>
    </row>
    <row r="64" spans="1:39" ht="24.75" customHeight="1" x14ac:dyDescent="0.25">
      <c r="A64" s="243"/>
      <c r="B64" s="362"/>
      <c r="C64" s="362"/>
      <c r="D64" s="362"/>
      <c r="E64" s="362"/>
      <c r="F64" s="362"/>
      <c r="G64" s="362"/>
      <c r="H64" s="362"/>
      <c r="I64" s="363"/>
      <c r="J64" s="362" t="s">
        <v>259</v>
      </c>
      <c r="K64" s="245"/>
      <c r="L64" s="257"/>
      <c r="M64" s="597" t="s">
        <v>260</v>
      </c>
      <c r="N64" s="598"/>
      <c r="O64" s="299"/>
      <c r="P64" s="180"/>
      <c r="Q64" s="180">
        <v>1500000</v>
      </c>
      <c r="R64" s="181">
        <f>Q64/Q$63*100</f>
        <v>0.44523597506678536</v>
      </c>
      <c r="S64" s="181">
        <v>100</v>
      </c>
      <c r="T64" s="180">
        <f t="shared" si="20"/>
        <v>0</v>
      </c>
      <c r="U64" s="180">
        <f t="shared" si="21"/>
        <v>0</v>
      </c>
      <c r="V64" s="182">
        <f t="shared" si="22"/>
        <v>100</v>
      </c>
      <c r="W64" s="180"/>
      <c r="X64" s="180" t="e">
        <f>#REF!</f>
        <v>#REF!</v>
      </c>
      <c r="Y64" s="180" t="e">
        <f>#REF!</f>
        <v>#REF!</v>
      </c>
      <c r="Z64" s="180" t="e">
        <f>#REF!</f>
        <v>#REF!</v>
      </c>
      <c r="AA64" s="180" t="e">
        <f>#REF!</f>
        <v>#REF!</v>
      </c>
      <c r="AB64" s="180">
        <v>103406335</v>
      </c>
      <c r="AC64" s="180" t="e">
        <f>#REF!</f>
        <v>#REF!</v>
      </c>
      <c r="AD64" s="180" t="e">
        <f>#REF!</f>
        <v>#REF!</v>
      </c>
      <c r="AE64" s="180" t="e">
        <f>#REF!</f>
        <v>#REF!</v>
      </c>
      <c r="AF64" s="180" t="e">
        <f>[1]April!N26</f>
        <v>#REF!</v>
      </c>
      <c r="AG64" s="180" t="e">
        <f>[2]april!N26</f>
        <v>#REF!</v>
      </c>
      <c r="AH64" s="180">
        <f>'[3]DES SKPD'!$N26</f>
        <v>449102800</v>
      </c>
      <c r="AI64" s="180">
        <v>0</v>
      </c>
      <c r="AJ64" s="181">
        <f t="shared" si="24"/>
        <v>0</v>
      </c>
      <c r="AK64" s="246">
        <f t="shared" si="27"/>
        <v>1500000</v>
      </c>
      <c r="AL64" s="181">
        <f t="shared" si="25"/>
        <v>100</v>
      </c>
      <c r="AM64" s="243"/>
    </row>
    <row r="65" spans="1:39" ht="26.25" customHeight="1" x14ac:dyDescent="0.25">
      <c r="A65" s="243"/>
      <c r="B65" s="362"/>
      <c r="C65" s="362"/>
      <c r="D65" s="362"/>
      <c r="E65" s="362"/>
      <c r="F65" s="362"/>
      <c r="G65" s="362"/>
      <c r="H65" s="362"/>
      <c r="I65" s="363"/>
      <c r="J65" s="362" t="s">
        <v>261</v>
      </c>
      <c r="K65" s="245"/>
      <c r="L65" s="257"/>
      <c r="M65" s="597" t="s">
        <v>262</v>
      </c>
      <c r="N65" s="598"/>
      <c r="O65" s="299"/>
      <c r="P65" s="180"/>
      <c r="Q65" s="180">
        <v>120000000</v>
      </c>
      <c r="R65" s="181">
        <f>Q65/Q$63*100</f>
        <v>35.618878005342829</v>
      </c>
      <c r="S65" s="181">
        <v>100</v>
      </c>
      <c r="T65" s="180">
        <f t="shared" si="20"/>
        <v>0</v>
      </c>
      <c r="U65" s="180">
        <f t="shared" si="21"/>
        <v>0</v>
      </c>
      <c r="V65" s="182">
        <f t="shared" si="22"/>
        <v>100</v>
      </c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>
        <v>0</v>
      </c>
      <c r="AJ65" s="181">
        <f t="shared" si="24"/>
        <v>0</v>
      </c>
      <c r="AK65" s="246">
        <f t="shared" si="27"/>
        <v>120000000</v>
      </c>
      <c r="AL65" s="181">
        <f t="shared" si="25"/>
        <v>100</v>
      </c>
      <c r="AM65" s="243"/>
    </row>
    <row r="66" spans="1:39" ht="24.75" customHeight="1" x14ac:dyDescent="0.25">
      <c r="A66" s="243"/>
      <c r="B66" s="362"/>
      <c r="C66" s="362"/>
      <c r="D66" s="362"/>
      <c r="E66" s="362"/>
      <c r="F66" s="362"/>
      <c r="G66" s="362"/>
      <c r="H66" s="362"/>
      <c r="I66" s="363"/>
      <c r="J66" s="362" t="s">
        <v>263</v>
      </c>
      <c r="K66" s="245"/>
      <c r="L66" s="257"/>
      <c r="M66" s="597" t="s">
        <v>264</v>
      </c>
      <c r="N66" s="598"/>
      <c r="O66" s="299"/>
      <c r="P66" s="180"/>
      <c r="Q66" s="180">
        <v>215400000</v>
      </c>
      <c r="R66" s="181">
        <f>Q66/Q$63*100</f>
        <v>63.935886019590384</v>
      </c>
      <c r="S66" s="181">
        <v>100</v>
      </c>
      <c r="T66" s="180">
        <f t="shared" si="20"/>
        <v>0</v>
      </c>
      <c r="U66" s="180">
        <f t="shared" si="21"/>
        <v>0</v>
      </c>
      <c r="V66" s="182">
        <f t="shared" si="22"/>
        <v>100</v>
      </c>
      <c r="W66" s="180"/>
      <c r="X66" s="180" t="e">
        <f>#REF!</f>
        <v>#REF!</v>
      </c>
      <c r="Y66" s="180" t="e">
        <f>#REF!</f>
        <v>#REF!</v>
      </c>
      <c r="Z66" s="180" t="e">
        <f>#REF!</f>
        <v>#REF!</v>
      </c>
      <c r="AA66" s="180" t="e">
        <f>#REF!</f>
        <v>#REF!</v>
      </c>
      <c r="AB66" s="180">
        <v>103406335</v>
      </c>
      <c r="AC66" s="180" t="e">
        <f>#REF!</f>
        <v>#REF!</v>
      </c>
      <c r="AD66" s="180" t="e">
        <f>#REF!</f>
        <v>#REF!</v>
      </c>
      <c r="AE66" s="180" t="e">
        <f>#REF!</f>
        <v>#REF!</v>
      </c>
      <c r="AF66" s="180" t="e">
        <f>[1]April!N26</f>
        <v>#REF!</v>
      </c>
      <c r="AG66" s="180" t="e">
        <f>[2]april!N26</f>
        <v>#REF!</v>
      </c>
      <c r="AH66" s="180">
        <f>'[3]DES SKPD'!$N26</f>
        <v>449102800</v>
      </c>
      <c r="AI66" s="180">
        <v>0</v>
      </c>
      <c r="AJ66" s="181">
        <f t="shared" si="24"/>
        <v>0</v>
      </c>
      <c r="AK66" s="246">
        <f t="shared" si="27"/>
        <v>215400000</v>
      </c>
      <c r="AL66" s="181">
        <f t="shared" si="25"/>
        <v>100</v>
      </c>
      <c r="AM66" s="243"/>
    </row>
    <row r="67" spans="1:39" s="297" customFormat="1" ht="24.75" customHeight="1" x14ac:dyDescent="0.25">
      <c r="A67" s="227">
        <f>A63+1</f>
        <v>5</v>
      </c>
      <c r="B67" s="615" t="s">
        <v>119</v>
      </c>
      <c r="C67" s="615"/>
      <c r="D67" s="615"/>
      <c r="E67" s="615"/>
      <c r="F67" s="615"/>
      <c r="G67" s="615"/>
      <c r="H67" s="615"/>
      <c r="I67" s="614"/>
      <c r="J67" s="367" t="s">
        <v>446</v>
      </c>
      <c r="K67" s="230"/>
      <c r="L67" s="294"/>
      <c r="M67" s="615" t="s">
        <v>16</v>
      </c>
      <c r="N67" s="614"/>
      <c r="O67" s="295">
        <v>201527500</v>
      </c>
      <c r="P67" s="231">
        <f>O67</f>
        <v>201527500</v>
      </c>
      <c r="Q67" s="231">
        <f>SUM(Q68:Q69)</f>
        <v>411693900</v>
      </c>
      <c r="R67" s="233">
        <f>Q67/Q$54*100</f>
        <v>16.298810716633877</v>
      </c>
      <c r="S67" s="233">
        <v>100</v>
      </c>
      <c r="T67" s="231">
        <f t="shared" si="20"/>
        <v>0</v>
      </c>
      <c r="U67" s="231">
        <f t="shared" si="21"/>
        <v>0</v>
      </c>
      <c r="V67" s="296">
        <f t="shared" si="22"/>
        <v>100</v>
      </c>
      <c r="W67" s="231"/>
      <c r="X67" s="231" t="e">
        <f>#REF!</f>
        <v>#REF!</v>
      </c>
      <c r="Y67" s="231" t="e">
        <f>#REF!</f>
        <v>#REF!</v>
      </c>
      <c r="Z67" s="231" t="e">
        <f>#REF!</f>
        <v>#REF!</v>
      </c>
      <c r="AA67" s="231" t="e">
        <f>#REF!</f>
        <v>#REF!</v>
      </c>
      <c r="AB67" s="231">
        <v>99905000</v>
      </c>
      <c r="AC67" s="231" t="e">
        <f>#REF!</f>
        <v>#REF!</v>
      </c>
      <c r="AD67" s="231" t="e">
        <f>#REF!</f>
        <v>#REF!</v>
      </c>
      <c r="AE67" s="231" t="e">
        <f>#REF!</f>
        <v>#REF!</v>
      </c>
      <c r="AF67" s="231" t="e">
        <f>[1]April!N25</f>
        <v>#REF!</v>
      </c>
      <c r="AG67" s="231" t="e">
        <f>[2]april!N25</f>
        <v>#REF!</v>
      </c>
      <c r="AH67" s="231">
        <f>'[3]DES SKPD'!$N25</f>
        <v>229473500</v>
      </c>
      <c r="AI67" s="231">
        <f>SUM(AI68:AI69)</f>
        <v>0</v>
      </c>
      <c r="AJ67" s="233">
        <f>AI67/Q67*100</f>
        <v>0</v>
      </c>
      <c r="AK67" s="234">
        <f>Q67-AI67</f>
        <v>411693900</v>
      </c>
      <c r="AL67" s="233">
        <f>AK67/Q67*100</f>
        <v>100</v>
      </c>
      <c r="AM67" s="227"/>
    </row>
    <row r="68" spans="1:39" ht="29.25" customHeight="1" x14ac:dyDescent="0.25">
      <c r="A68" s="243"/>
      <c r="B68" s="362"/>
      <c r="C68" s="362"/>
      <c r="D68" s="362"/>
      <c r="E68" s="362"/>
      <c r="F68" s="362"/>
      <c r="G68" s="362"/>
      <c r="H68" s="362"/>
      <c r="I68" s="363"/>
      <c r="J68" s="362" t="s">
        <v>259</v>
      </c>
      <c r="K68" s="245"/>
      <c r="L68" s="257"/>
      <c r="M68" s="597" t="s">
        <v>260</v>
      </c>
      <c r="N68" s="598"/>
      <c r="O68" s="299"/>
      <c r="P68" s="180"/>
      <c r="Q68" s="180">
        <v>2400000</v>
      </c>
      <c r="R68" s="181">
        <f>Q68/Q$67*100</f>
        <v>0.58295738654374041</v>
      </c>
      <c r="S68" s="181">
        <v>100</v>
      </c>
      <c r="T68" s="180">
        <f t="shared" si="20"/>
        <v>0</v>
      </c>
      <c r="U68" s="180">
        <f t="shared" si="21"/>
        <v>0</v>
      </c>
      <c r="V68" s="182">
        <f t="shared" si="22"/>
        <v>100</v>
      </c>
      <c r="W68" s="180"/>
      <c r="X68" s="180"/>
      <c r="Y68" s="180"/>
      <c r="Z68" s="180"/>
      <c r="AA68" s="180"/>
      <c r="AB68" s="180"/>
      <c r="AC68" s="180"/>
      <c r="AD68" s="180"/>
      <c r="AE68" s="180"/>
      <c r="AF68" s="180"/>
      <c r="AG68" s="180"/>
      <c r="AH68" s="180"/>
      <c r="AI68" s="180">
        <v>0</v>
      </c>
      <c r="AJ68" s="181">
        <f t="shared" si="24"/>
        <v>0</v>
      </c>
      <c r="AK68" s="246">
        <f t="shared" si="27"/>
        <v>2400000</v>
      </c>
      <c r="AL68" s="181">
        <f t="shared" si="25"/>
        <v>100</v>
      </c>
      <c r="AM68" s="243"/>
    </row>
    <row r="69" spans="1:39" ht="24.75" customHeight="1" x14ac:dyDescent="0.25">
      <c r="A69" s="243"/>
      <c r="B69" s="362"/>
      <c r="C69" s="362"/>
      <c r="D69" s="362"/>
      <c r="E69" s="362"/>
      <c r="F69" s="362"/>
      <c r="G69" s="362"/>
      <c r="H69" s="362"/>
      <c r="I69" s="363"/>
      <c r="J69" s="362" t="s">
        <v>265</v>
      </c>
      <c r="K69" s="245"/>
      <c r="L69" s="257"/>
      <c r="M69" s="597" t="s">
        <v>266</v>
      </c>
      <c r="N69" s="598"/>
      <c r="O69" s="299"/>
      <c r="P69" s="180"/>
      <c r="Q69" s="180">
        <v>409293900</v>
      </c>
      <c r="R69" s="181">
        <f>Q69/Q$67*100</f>
        <v>99.41704261345626</v>
      </c>
      <c r="S69" s="181">
        <v>100</v>
      </c>
      <c r="T69" s="180">
        <f t="shared" si="20"/>
        <v>0</v>
      </c>
      <c r="U69" s="180">
        <f t="shared" si="21"/>
        <v>0</v>
      </c>
      <c r="V69" s="182">
        <f t="shared" si="22"/>
        <v>100</v>
      </c>
      <c r="W69" s="180"/>
      <c r="X69" s="180"/>
      <c r="Y69" s="180"/>
      <c r="Z69" s="180"/>
      <c r="AA69" s="180"/>
      <c r="AB69" s="180"/>
      <c r="AC69" s="180"/>
      <c r="AD69" s="180"/>
      <c r="AE69" s="180"/>
      <c r="AF69" s="180"/>
      <c r="AG69" s="180"/>
      <c r="AH69" s="180"/>
      <c r="AI69" s="180">
        <v>0</v>
      </c>
      <c r="AJ69" s="181">
        <f t="shared" si="24"/>
        <v>0</v>
      </c>
      <c r="AK69" s="246">
        <f t="shared" si="27"/>
        <v>409293900</v>
      </c>
      <c r="AL69" s="181">
        <f t="shared" si="25"/>
        <v>100</v>
      </c>
      <c r="AM69" s="243"/>
    </row>
    <row r="70" spans="1:39" s="297" customFormat="1" ht="27.75" customHeight="1" x14ac:dyDescent="0.25">
      <c r="A70" s="227">
        <f>A67+1</f>
        <v>6</v>
      </c>
      <c r="B70" s="615" t="s">
        <v>120</v>
      </c>
      <c r="C70" s="615"/>
      <c r="D70" s="615"/>
      <c r="E70" s="615"/>
      <c r="F70" s="615"/>
      <c r="G70" s="615"/>
      <c r="H70" s="615"/>
      <c r="I70" s="614"/>
      <c r="J70" s="367" t="s">
        <v>447</v>
      </c>
      <c r="K70" s="230"/>
      <c r="L70" s="294"/>
      <c r="M70" s="615" t="s">
        <v>17</v>
      </c>
      <c r="N70" s="614"/>
      <c r="O70" s="295">
        <v>261210000</v>
      </c>
      <c r="P70" s="231">
        <f>O70</f>
        <v>261210000</v>
      </c>
      <c r="Q70" s="231">
        <f>SUM(Q71:Q75)</f>
        <v>422840000</v>
      </c>
      <c r="R70" s="233">
        <f>Q70/Q$54*100</f>
        <v>16.740080733334811</v>
      </c>
      <c r="S70" s="233">
        <v>100</v>
      </c>
      <c r="T70" s="231">
        <f t="shared" si="20"/>
        <v>0</v>
      </c>
      <c r="U70" s="231">
        <f t="shared" si="21"/>
        <v>0</v>
      </c>
      <c r="V70" s="296">
        <f t="shared" si="22"/>
        <v>100</v>
      </c>
      <c r="W70" s="231"/>
      <c r="X70" s="231" t="e">
        <f>#REF!</f>
        <v>#REF!</v>
      </c>
      <c r="Y70" s="231" t="e">
        <f>#REF!</f>
        <v>#REF!</v>
      </c>
      <c r="Z70" s="231" t="e">
        <f>#REF!</f>
        <v>#REF!</v>
      </c>
      <c r="AA70" s="231" t="e">
        <f>#REF!</f>
        <v>#REF!</v>
      </c>
      <c r="AB70" s="231">
        <v>171140000</v>
      </c>
      <c r="AC70" s="231" t="e">
        <f>#REF!</f>
        <v>#REF!</v>
      </c>
      <c r="AD70" s="231" t="e">
        <f>#REF!</f>
        <v>#REF!</v>
      </c>
      <c r="AE70" s="231" t="e">
        <f>#REF!</f>
        <v>#REF!</v>
      </c>
      <c r="AF70" s="231" t="e">
        <f>[1]April!N26</f>
        <v>#REF!</v>
      </c>
      <c r="AG70" s="231" t="e">
        <f>[2]april!N26</f>
        <v>#REF!</v>
      </c>
      <c r="AH70" s="231">
        <f>'[3]DES SKPD'!$N26</f>
        <v>449102800</v>
      </c>
      <c r="AI70" s="231">
        <f>SUM(AI71:AI75)</f>
        <v>0</v>
      </c>
      <c r="AJ70" s="233">
        <f t="shared" si="24"/>
        <v>0</v>
      </c>
      <c r="AK70" s="234">
        <f t="shared" si="27"/>
        <v>422840000</v>
      </c>
      <c r="AL70" s="233">
        <f t="shared" si="25"/>
        <v>100</v>
      </c>
      <c r="AM70" s="227"/>
    </row>
    <row r="71" spans="1:39" s="297" customFormat="1" ht="27.75" customHeight="1" x14ac:dyDescent="0.25">
      <c r="A71" s="227"/>
      <c r="B71" s="367"/>
      <c r="C71" s="367"/>
      <c r="D71" s="367"/>
      <c r="E71" s="367"/>
      <c r="F71" s="367"/>
      <c r="G71" s="367"/>
      <c r="H71" s="367"/>
      <c r="I71" s="366"/>
      <c r="J71" s="362" t="s">
        <v>259</v>
      </c>
      <c r="K71" s="245"/>
      <c r="L71" s="257"/>
      <c r="M71" s="597" t="s">
        <v>260</v>
      </c>
      <c r="N71" s="598"/>
      <c r="O71" s="299"/>
      <c r="P71" s="180"/>
      <c r="Q71" s="180">
        <v>2400000</v>
      </c>
      <c r="R71" s="181">
        <f>Q71/Q$70*100</f>
        <v>0.56759057799640522</v>
      </c>
      <c r="S71" s="181">
        <v>100</v>
      </c>
      <c r="T71" s="180">
        <f t="shared" si="20"/>
        <v>0</v>
      </c>
      <c r="U71" s="180">
        <f t="shared" si="21"/>
        <v>0</v>
      </c>
      <c r="V71" s="182">
        <f t="shared" si="22"/>
        <v>100</v>
      </c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>
        <v>0</v>
      </c>
      <c r="AJ71" s="181">
        <f t="shared" si="24"/>
        <v>0</v>
      </c>
      <c r="AK71" s="246">
        <f t="shared" si="27"/>
        <v>2400000</v>
      </c>
      <c r="AL71" s="181">
        <f t="shared" si="25"/>
        <v>100</v>
      </c>
      <c r="AM71" s="227"/>
    </row>
    <row r="72" spans="1:39" s="297" customFormat="1" ht="27.75" customHeight="1" x14ac:dyDescent="0.25">
      <c r="A72" s="227"/>
      <c r="B72" s="367"/>
      <c r="C72" s="367"/>
      <c r="D72" s="367"/>
      <c r="E72" s="367"/>
      <c r="F72" s="367"/>
      <c r="G72" s="367"/>
      <c r="H72" s="367"/>
      <c r="I72" s="366"/>
      <c r="J72" s="362" t="s">
        <v>267</v>
      </c>
      <c r="K72" s="245"/>
      <c r="L72" s="257"/>
      <c r="M72" s="597" t="s">
        <v>268</v>
      </c>
      <c r="N72" s="598"/>
      <c r="O72" s="299"/>
      <c r="P72" s="180"/>
      <c r="Q72" s="180">
        <v>8000000</v>
      </c>
      <c r="R72" s="181">
        <f>Q72/Q$70*100</f>
        <v>1.8919685933213508</v>
      </c>
      <c r="S72" s="181">
        <v>100</v>
      </c>
      <c r="T72" s="180">
        <f t="shared" si="20"/>
        <v>0</v>
      </c>
      <c r="U72" s="180">
        <f t="shared" si="21"/>
        <v>0</v>
      </c>
      <c r="V72" s="182">
        <f t="shared" si="22"/>
        <v>100</v>
      </c>
      <c r="W72" s="180"/>
      <c r="X72" s="180"/>
      <c r="Y72" s="180"/>
      <c r="Z72" s="180"/>
      <c r="AA72" s="180"/>
      <c r="AB72" s="180"/>
      <c r="AC72" s="180"/>
      <c r="AD72" s="180"/>
      <c r="AE72" s="180"/>
      <c r="AF72" s="180"/>
      <c r="AG72" s="180"/>
      <c r="AH72" s="180"/>
      <c r="AI72" s="180">
        <v>0</v>
      </c>
      <c r="AJ72" s="181">
        <f t="shared" si="24"/>
        <v>0</v>
      </c>
      <c r="AK72" s="246">
        <f t="shared" si="27"/>
        <v>8000000</v>
      </c>
      <c r="AL72" s="181">
        <f t="shared" si="25"/>
        <v>100</v>
      </c>
      <c r="AM72" s="227"/>
    </row>
    <row r="73" spans="1:39" s="297" customFormat="1" ht="27.75" customHeight="1" x14ac:dyDescent="0.25">
      <c r="A73" s="227"/>
      <c r="B73" s="367"/>
      <c r="C73" s="367"/>
      <c r="D73" s="367"/>
      <c r="E73" s="367"/>
      <c r="F73" s="367"/>
      <c r="G73" s="367"/>
      <c r="H73" s="367"/>
      <c r="I73" s="366"/>
      <c r="J73" s="362" t="s">
        <v>269</v>
      </c>
      <c r="K73" s="245"/>
      <c r="L73" s="257"/>
      <c r="M73" s="597" t="s">
        <v>270</v>
      </c>
      <c r="N73" s="598"/>
      <c r="O73" s="299"/>
      <c r="P73" s="180"/>
      <c r="Q73" s="180">
        <v>383113000</v>
      </c>
      <c r="R73" s="181">
        <f>Q73/Q$70*100</f>
        <v>90.604720461640326</v>
      </c>
      <c r="S73" s="181">
        <v>100</v>
      </c>
      <c r="T73" s="180">
        <f t="shared" si="20"/>
        <v>0</v>
      </c>
      <c r="U73" s="180">
        <f t="shared" si="21"/>
        <v>0</v>
      </c>
      <c r="V73" s="182">
        <f t="shared" si="22"/>
        <v>100</v>
      </c>
      <c r="W73" s="180"/>
      <c r="X73" s="180"/>
      <c r="Y73" s="180"/>
      <c r="Z73" s="180"/>
      <c r="AA73" s="180"/>
      <c r="AB73" s="180"/>
      <c r="AC73" s="180"/>
      <c r="AD73" s="180"/>
      <c r="AE73" s="180"/>
      <c r="AF73" s="180"/>
      <c r="AG73" s="180"/>
      <c r="AH73" s="180"/>
      <c r="AI73" s="180">
        <v>0</v>
      </c>
      <c r="AJ73" s="181">
        <f t="shared" si="24"/>
        <v>0</v>
      </c>
      <c r="AK73" s="246">
        <f t="shared" si="27"/>
        <v>383113000</v>
      </c>
      <c r="AL73" s="181">
        <f t="shared" si="25"/>
        <v>100</v>
      </c>
      <c r="AM73" s="227"/>
    </row>
    <row r="74" spans="1:39" s="297" customFormat="1" ht="27.75" customHeight="1" x14ac:dyDescent="0.25">
      <c r="A74" s="227"/>
      <c r="B74" s="367"/>
      <c r="C74" s="367"/>
      <c r="D74" s="367"/>
      <c r="E74" s="367"/>
      <c r="F74" s="367"/>
      <c r="G74" s="367"/>
      <c r="H74" s="367"/>
      <c r="I74" s="366"/>
      <c r="J74" s="362" t="s">
        <v>315</v>
      </c>
      <c r="K74" s="245"/>
      <c r="L74" s="257"/>
      <c r="M74" s="597" t="s">
        <v>271</v>
      </c>
      <c r="N74" s="598"/>
      <c r="O74" s="299"/>
      <c r="P74" s="180"/>
      <c r="Q74" s="180">
        <v>19327000</v>
      </c>
      <c r="R74" s="181">
        <f>Q74/Q$70*100</f>
        <v>4.5707596253902185</v>
      </c>
      <c r="S74" s="181">
        <v>100</v>
      </c>
      <c r="T74" s="180">
        <f t="shared" si="20"/>
        <v>0</v>
      </c>
      <c r="U74" s="180">
        <f t="shared" si="21"/>
        <v>0</v>
      </c>
      <c r="V74" s="182">
        <f t="shared" si="22"/>
        <v>100</v>
      </c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>
        <v>0</v>
      </c>
      <c r="AJ74" s="181">
        <f t="shared" si="24"/>
        <v>0</v>
      </c>
      <c r="AK74" s="246">
        <f t="shared" si="27"/>
        <v>19327000</v>
      </c>
      <c r="AL74" s="181">
        <f t="shared" si="25"/>
        <v>100</v>
      </c>
      <c r="AM74" s="227"/>
    </row>
    <row r="75" spans="1:39" s="297" customFormat="1" ht="27.75" customHeight="1" x14ac:dyDescent="0.25">
      <c r="A75" s="227"/>
      <c r="B75" s="367"/>
      <c r="C75" s="367"/>
      <c r="D75" s="367"/>
      <c r="E75" s="367"/>
      <c r="F75" s="367"/>
      <c r="G75" s="367"/>
      <c r="H75" s="367"/>
      <c r="I75" s="366"/>
      <c r="J75" s="362" t="s">
        <v>316</v>
      </c>
      <c r="K75" s="245"/>
      <c r="L75" s="257"/>
      <c r="M75" s="597" t="s">
        <v>317</v>
      </c>
      <c r="N75" s="598"/>
      <c r="O75" s="299"/>
      <c r="P75" s="180"/>
      <c r="Q75" s="180">
        <v>10000000</v>
      </c>
      <c r="R75" s="181">
        <f>Q75/Q$70*100</f>
        <v>2.3649607416516885</v>
      </c>
      <c r="S75" s="181">
        <v>100</v>
      </c>
      <c r="T75" s="180">
        <f t="shared" si="20"/>
        <v>0</v>
      </c>
      <c r="U75" s="180">
        <f t="shared" si="21"/>
        <v>0</v>
      </c>
      <c r="V75" s="182">
        <f t="shared" si="22"/>
        <v>100</v>
      </c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>
        <v>0</v>
      </c>
      <c r="AJ75" s="181">
        <f t="shared" si="24"/>
        <v>0</v>
      </c>
      <c r="AK75" s="246">
        <f t="shared" si="27"/>
        <v>10000000</v>
      </c>
      <c r="AL75" s="181">
        <f t="shared" si="25"/>
        <v>100</v>
      </c>
      <c r="AM75" s="227"/>
    </row>
    <row r="76" spans="1:39" s="297" customFormat="1" ht="28.5" customHeight="1" x14ac:dyDescent="0.25">
      <c r="A76" s="227">
        <f>A70+1</f>
        <v>7</v>
      </c>
      <c r="B76" s="615" t="s">
        <v>121</v>
      </c>
      <c r="C76" s="615"/>
      <c r="D76" s="615"/>
      <c r="E76" s="615"/>
      <c r="F76" s="615"/>
      <c r="G76" s="615"/>
      <c r="H76" s="615"/>
      <c r="I76" s="614"/>
      <c r="J76" s="367" t="s">
        <v>448</v>
      </c>
      <c r="K76" s="230"/>
      <c r="L76" s="294"/>
      <c r="M76" s="615" t="s">
        <v>18</v>
      </c>
      <c r="N76" s="614"/>
      <c r="O76" s="295">
        <v>20900000</v>
      </c>
      <c r="P76" s="231">
        <f>O76</f>
        <v>20900000</v>
      </c>
      <c r="Q76" s="231">
        <f>SUM(Q77:Q77)</f>
        <v>21100000</v>
      </c>
      <c r="R76" s="233">
        <f>Q76/Q$54*100</f>
        <v>0.83534127204939101</v>
      </c>
      <c r="S76" s="233">
        <v>100</v>
      </c>
      <c r="T76" s="231">
        <f t="shared" si="20"/>
        <v>0</v>
      </c>
      <c r="U76" s="231">
        <f t="shared" si="21"/>
        <v>0</v>
      </c>
      <c r="V76" s="296">
        <f t="shared" si="22"/>
        <v>100</v>
      </c>
      <c r="W76" s="231"/>
      <c r="X76" s="231" t="e">
        <f>#REF!</f>
        <v>#REF!</v>
      </c>
      <c r="Y76" s="231" t="e">
        <f>#REF!</f>
        <v>#REF!</v>
      </c>
      <c r="Z76" s="231" t="e">
        <f>#REF!</f>
        <v>#REF!</v>
      </c>
      <c r="AA76" s="231" t="e">
        <f>#REF!</f>
        <v>#REF!</v>
      </c>
      <c r="AB76" s="231">
        <v>12597300</v>
      </c>
      <c r="AC76" s="231" t="e">
        <f>#REF!</f>
        <v>#REF!</v>
      </c>
      <c r="AD76" s="231" t="e">
        <f>#REF!</f>
        <v>#REF!</v>
      </c>
      <c r="AE76" s="231" t="e">
        <f>#REF!</f>
        <v>#REF!</v>
      </c>
      <c r="AF76" s="231" t="e">
        <f>[1]April!N27</f>
        <v>#REF!</v>
      </c>
      <c r="AG76" s="231">
        <v>27808300</v>
      </c>
      <c r="AH76" s="231">
        <f>'[3]DES SKPD'!$N27</f>
        <v>35785800</v>
      </c>
      <c r="AI76" s="231">
        <f>SUM(AI77:AI77)</f>
        <v>0</v>
      </c>
      <c r="AJ76" s="233">
        <f t="shared" si="24"/>
        <v>0</v>
      </c>
      <c r="AK76" s="234">
        <f t="shared" si="27"/>
        <v>21100000</v>
      </c>
      <c r="AL76" s="233">
        <f t="shared" si="25"/>
        <v>100</v>
      </c>
      <c r="AM76" s="227"/>
    </row>
    <row r="77" spans="1:39" ht="36" customHeight="1" x14ac:dyDescent="0.25">
      <c r="A77" s="243"/>
      <c r="B77" s="362"/>
      <c r="C77" s="362"/>
      <c r="D77" s="362"/>
      <c r="E77" s="362"/>
      <c r="F77" s="362"/>
      <c r="G77" s="362"/>
      <c r="H77" s="362"/>
      <c r="I77" s="363"/>
      <c r="J77" s="362" t="s">
        <v>272</v>
      </c>
      <c r="K77" s="245"/>
      <c r="L77" s="257"/>
      <c r="M77" s="597" t="s">
        <v>429</v>
      </c>
      <c r="N77" s="598"/>
      <c r="O77" s="299"/>
      <c r="P77" s="180"/>
      <c r="Q77" s="180">
        <v>21100000</v>
      </c>
      <c r="R77" s="181">
        <f>Q77/Q$76*100</f>
        <v>100</v>
      </c>
      <c r="S77" s="181">
        <v>100</v>
      </c>
      <c r="T77" s="180">
        <f t="shared" si="20"/>
        <v>0</v>
      </c>
      <c r="U77" s="180">
        <f t="shared" si="21"/>
        <v>0</v>
      </c>
      <c r="V77" s="182">
        <f t="shared" si="22"/>
        <v>100</v>
      </c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231"/>
      <c r="AH77" s="180"/>
      <c r="AI77" s="180">
        <v>0</v>
      </c>
      <c r="AJ77" s="181">
        <f t="shared" si="24"/>
        <v>0</v>
      </c>
      <c r="AK77" s="246">
        <f t="shared" si="27"/>
        <v>21100000</v>
      </c>
      <c r="AL77" s="181">
        <f t="shared" si="25"/>
        <v>100</v>
      </c>
      <c r="AM77" s="243"/>
    </row>
    <row r="78" spans="1:39" s="297" customFormat="1" ht="29.25" customHeight="1" x14ac:dyDescent="0.25">
      <c r="A78" s="227">
        <f>A76+1</f>
        <v>8</v>
      </c>
      <c r="B78" s="367"/>
      <c r="C78" s="367"/>
      <c r="D78" s="367"/>
      <c r="E78" s="367"/>
      <c r="F78" s="367"/>
      <c r="G78" s="367"/>
      <c r="H78" s="367"/>
      <c r="I78" s="366"/>
      <c r="J78" s="367" t="s">
        <v>449</v>
      </c>
      <c r="K78" s="230"/>
      <c r="L78" s="294"/>
      <c r="M78" s="615" t="s">
        <v>196</v>
      </c>
      <c r="N78" s="614"/>
      <c r="O78" s="300"/>
      <c r="P78" s="231"/>
      <c r="Q78" s="231">
        <f>SUM(Q79:Q80)</f>
        <v>36200000</v>
      </c>
      <c r="R78" s="233">
        <f>Q78/Q$54*100</f>
        <v>1.4331447416202823</v>
      </c>
      <c r="S78" s="233">
        <v>100</v>
      </c>
      <c r="T78" s="231">
        <f t="shared" si="20"/>
        <v>0</v>
      </c>
      <c r="U78" s="231">
        <f t="shared" si="21"/>
        <v>0</v>
      </c>
      <c r="V78" s="296">
        <f t="shared" si="22"/>
        <v>100</v>
      </c>
      <c r="W78" s="231"/>
      <c r="X78" s="231" t="e">
        <f>#REF!</f>
        <v>#REF!</v>
      </c>
      <c r="Y78" s="231" t="e">
        <f>#REF!</f>
        <v>#REF!</v>
      </c>
      <c r="Z78" s="231" t="e">
        <f>#REF!</f>
        <v>#REF!</v>
      </c>
      <c r="AA78" s="231" t="e">
        <f>#REF!</f>
        <v>#REF!</v>
      </c>
      <c r="AB78" s="231">
        <v>12597300</v>
      </c>
      <c r="AC78" s="231" t="e">
        <f>#REF!</f>
        <v>#REF!</v>
      </c>
      <c r="AD78" s="231" t="e">
        <f>#REF!</f>
        <v>#REF!</v>
      </c>
      <c r="AE78" s="231" t="e">
        <f>#REF!</f>
        <v>#REF!</v>
      </c>
      <c r="AF78" s="231" t="e">
        <f>[1]April!N28</f>
        <v>#REF!</v>
      </c>
      <c r="AG78" s="231">
        <v>27808300</v>
      </c>
      <c r="AH78" s="231">
        <f>'[3]DES SKPD'!$N28</f>
        <v>46904000</v>
      </c>
      <c r="AI78" s="231">
        <f>SUM(AI79:AI80)</f>
        <v>0</v>
      </c>
      <c r="AJ78" s="233">
        <f t="shared" si="24"/>
        <v>0</v>
      </c>
      <c r="AK78" s="234">
        <f t="shared" si="27"/>
        <v>36200000</v>
      </c>
      <c r="AL78" s="233">
        <f t="shared" si="25"/>
        <v>100</v>
      </c>
      <c r="AM78" s="227"/>
    </row>
    <row r="79" spans="1:39" s="297" customFormat="1" ht="24.75" customHeight="1" x14ac:dyDescent="0.25">
      <c r="A79" s="227"/>
      <c r="B79" s="367"/>
      <c r="C79" s="367"/>
      <c r="D79" s="367"/>
      <c r="E79" s="367"/>
      <c r="F79" s="367"/>
      <c r="G79" s="367"/>
      <c r="H79" s="367"/>
      <c r="I79" s="366"/>
      <c r="J79" s="362" t="s">
        <v>411</v>
      </c>
      <c r="K79" s="230"/>
      <c r="L79" s="294"/>
      <c r="M79" s="597" t="s">
        <v>412</v>
      </c>
      <c r="N79" s="598"/>
      <c r="O79" s="300"/>
      <c r="P79" s="231"/>
      <c r="Q79" s="180">
        <v>17000000</v>
      </c>
      <c r="R79" s="181">
        <f>Q79/Q$78*100</f>
        <v>46.961325966850829</v>
      </c>
      <c r="S79" s="181">
        <v>100</v>
      </c>
      <c r="T79" s="180">
        <f t="shared" si="20"/>
        <v>0</v>
      </c>
      <c r="U79" s="180">
        <f t="shared" si="21"/>
        <v>0</v>
      </c>
      <c r="V79" s="182">
        <f t="shared" si="22"/>
        <v>100</v>
      </c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231"/>
      <c r="AH79" s="180"/>
      <c r="AI79" s="180">
        <v>0</v>
      </c>
      <c r="AJ79" s="181">
        <f t="shared" si="24"/>
        <v>0</v>
      </c>
      <c r="AK79" s="246">
        <f t="shared" si="27"/>
        <v>17000000</v>
      </c>
      <c r="AL79" s="181">
        <f t="shared" si="25"/>
        <v>100</v>
      </c>
      <c r="AM79" s="227"/>
    </row>
    <row r="80" spans="1:39" ht="24.75" customHeight="1" x14ac:dyDescent="0.25">
      <c r="A80" s="243"/>
      <c r="B80" s="362"/>
      <c r="C80" s="362"/>
      <c r="D80" s="362"/>
      <c r="E80" s="362"/>
      <c r="F80" s="362"/>
      <c r="G80" s="362"/>
      <c r="H80" s="362"/>
      <c r="I80" s="363"/>
      <c r="J80" s="362" t="s">
        <v>546</v>
      </c>
      <c r="K80" s="245"/>
      <c r="L80" s="257"/>
      <c r="M80" s="597" t="s">
        <v>431</v>
      </c>
      <c r="N80" s="598"/>
      <c r="O80" s="301"/>
      <c r="P80" s="180"/>
      <c r="Q80" s="180">
        <v>19200000</v>
      </c>
      <c r="R80" s="181">
        <f>Q80/Q$78*100</f>
        <v>53.038674033149171</v>
      </c>
      <c r="S80" s="181">
        <v>100</v>
      </c>
      <c r="T80" s="180">
        <f t="shared" si="20"/>
        <v>0</v>
      </c>
      <c r="U80" s="180">
        <f t="shared" si="21"/>
        <v>0</v>
      </c>
      <c r="V80" s="182">
        <f t="shared" si="22"/>
        <v>100</v>
      </c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231"/>
      <c r="AH80" s="180"/>
      <c r="AI80" s="180">
        <v>0</v>
      </c>
      <c r="AJ80" s="181">
        <f t="shared" si="24"/>
        <v>0</v>
      </c>
      <c r="AK80" s="246">
        <f t="shared" si="27"/>
        <v>19200000</v>
      </c>
      <c r="AL80" s="181">
        <f t="shared" si="25"/>
        <v>100</v>
      </c>
      <c r="AM80" s="243"/>
    </row>
    <row r="81" spans="1:39" s="297" customFormat="1" ht="31.5" customHeight="1" x14ac:dyDescent="0.25">
      <c r="A81" s="227">
        <f>A78+1</f>
        <v>9</v>
      </c>
      <c r="B81" s="615" t="s">
        <v>121</v>
      </c>
      <c r="C81" s="615"/>
      <c r="D81" s="615"/>
      <c r="E81" s="615"/>
      <c r="F81" s="615"/>
      <c r="G81" s="615"/>
      <c r="H81" s="615"/>
      <c r="I81" s="614"/>
      <c r="J81" s="367" t="s">
        <v>450</v>
      </c>
      <c r="K81" s="230"/>
      <c r="L81" s="294"/>
      <c r="M81" s="615" t="s">
        <v>19</v>
      </c>
      <c r="N81" s="614"/>
      <c r="O81" s="295">
        <v>50800000</v>
      </c>
      <c r="P81" s="231">
        <f>O81</f>
        <v>50800000</v>
      </c>
      <c r="Q81" s="302">
        <f>SUM(Q82:Q83)</f>
        <v>42270000</v>
      </c>
      <c r="R81" s="233">
        <f>Q81/Q$54*100</f>
        <v>1.6734538184610313</v>
      </c>
      <c r="S81" s="233">
        <v>100</v>
      </c>
      <c r="T81" s="231">
        <f t="shared" si="20"/>
        <v>7.4047788029335235</v>
      </c>
      <c r="U81" s="231">
        <f t="shared" si="21"/>
        <v>0.12391555362628409</v>
      </c>
      <c r="V81" s="296">
        <f t="shared" si="22"/>
        <v>92.595221197066479</v>
      </c>
      <c r="W81" s="231"/>
      <c r="X81" s="231" t="e">
        <f>#REF!</f>
        <v>#REF!</v>
      </c>
      <c r="Y81" s="231" t="e">
        <f>#REF!</f>
        <v>#REF!</v>
      </c>
      <c r="Z81" s="231" t="e">
        <f>#REF!</f>
        <v>#REF!</v>
      </c>
      <c r="AA81" s="231" t="e">
        <f>#REF!</f>
        <v>#REF!</v>
      </c>
      <c r="AB81" s="231">
        <v>23113500</v>
      </c>
      <c r="AC81" s="231" t="e">
        <f>#REF!</f>
        <v>#REF!</v>
      </c>
      <c r="AD81" s="231" t="e">
        <f>#REF!</f>
        <v>#REF!</v>
      </c>
      <c r="AE81" s="231" t="e">
        <f>#REF!</f>
        <v>#REF!</v>
      </c>
      <c r="AF81" s="231" t="e">
        <f>[1]April!N28</f>
        <v>#REF!</v>
      </c>
      <c r="AG81" s="231" t="e">
        <f>[2]april!N28</f>
        <v>#REF!</v>
      </c>
      <c r="AH81" s="231">
        <f>'[3]DES SKPD'!$N28</f>
        <v>46904000</v>
      </c>
      <c r="AI81" s="231">
        <f>SUM(AI82:AI83)</f>
        <v>3130000</v>
      </c>
      <c r="AJ81" s="233">
        <f t="shared" si="24"/>
        <v>7.4047788029335235</v>
      </c>
      <c r="AK81" s="234">
        <f t="shared" si="27"/>
        <v>39140000</v>
      </c>
      <c r="AL81" s="233">
        <f t="shared" si="25"/>
        <v>92.595221197066479</v>
      </c>
      <c r="AM81" s="227"/>
    </row>
    <row r="82" spans="1:39" ht="24.75" customHeight="1" x14ac:dyDescent="0.25">
      <c r="A82" s="243"/>
      <c r="B82" s="362"/>
      <c r="C82" s="362"/>
      <c r="D82" s="362"/>
      <c r="E82" s="362"/>
      <c r="F82" s="362"/>
      <c r="G82" s="362"/>
      <c r="H82" s="362"/>
      <c r="I82" s="363"/>
      <c r="J82" s="362" t="s">
        <v>276</v>
      </c>
      <c r="K82" s="245"/>
      <c r="L82" s="257"/>
      <c r="M82" s="597" t="s">
        <v>277</v>
      </c>
      <c r="N82" s="598"/>
      <c r="O82" s="299"/>
      <c r="P82" s="180"/>
      <c r="Q82" s="180">
        <v>37600000</v>
      </c>
      <c r="R82" s="181">
        <f>Q82/Q$81*100</f>
        <v>88.951975396262128</v>
      </c>
      <c r="S82" s="181">
        <v>100</v>
      </c>
      <c r="T82" s="180">
        <f t="shared" si="20"/>
        <v>8.3244680851063837</v>
      </c>
      <c r="U82" s="180">
        <f t="shared" si="21"/>
        <v>7.4047788029335235</v>
      </c>
      <c r="V82" s="182">
        <f t="shared" si="22"/>
        <v>91.675531914893611</v>
      </c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>
        <v>3130000</v>
      </c>
      <c r="AJ82" s="181">
        <f t="shared" si="24"/>
        <v>8.3244680851063837</v>
      </c>
      <c r="AK82" s="246">
        <f t="shared" si="27"/>
        <v>34470000</v>
      </c>
      <c r="AL82" s="181">
        <f t="shared" si="25"/>
        <v>91.675531914893611</v>
      </c>
      <c r="AM82" s="243"/>
    </row>
    <row r="83" spans="1:39" ht="39.75" customHeight="1" x14ac:dyDescent="0.25">
      <c r="A83" s="243"/>
      <c r="B83" s="362"/>
      <c r="C83" s="362"/>
      <c r="D83" s="362"/>
      <c r="E83" s="362"/>
      <c r="F83" s="362"/>
      <c r="G83" s="362"/>
      <c r="H83" s="362"/>
      <c r="I83" s="363"/>
      <c r="J83" s="362" t="s">
        <v>432</v>
      </c>
      <c r="K83" s="245"/>
      <c r="L83" s="257"/>
      <c r="M83" s="597" t="s">
        <v>433</v>
      </c>
      <c r="N83" s="598"/>
      <c r="O83" s="299"/>
      <c r="P83" s="180"/>
      <c r="Q83" s="180">
        <v>4670000</v>
      </c>
      <c r="R83" s="181">
        <f>Q83/Q$81*100</f>
        <v>11.048024603737876</v>
      </c>
      <c r="S83" s="181">
        <v>100</v>
      </c>
      <c r="T83" s="180">
        <f t="shared" si="20"/>
        <v>0</v>
      </c>
      <c r="U83" s="180">
        <f t="shared" si="21"/>
        <v>0</v>
      </c>
      <c r="V83" s="182">
        <f t="shared" si="22"/>
        <v>100</v>
      </c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>
        <v>0</v>
      </c>
      <c r="AJ83" s="181">
        <f t="shared" si="24"/>
        <v>0</v>
      </c>
      <c r="AK83" s="246">
        <f t="shared" si="27"/>
        <v>4670000</v>
      </c>
      <c r="AL83" s="181">
        <f t="shared" si="25"/>
        <v>100</v>
      </c>
      <c r="AM83" s="243"/>
    </row>
    <row r="84" spans="1:39" s="297" customFormat="1" ht="30.75" customHeight="1" x14ac:dyDescent="0.25">
      <c r="A84" s="227">
        <f>A81+1</f>
        <v>10</v>
      </c>
      <c r="B84" s="615" t="s">
        <v>122</v>
      </c>
      <c r="C84" s="615"/>
      <c r="D84" s="615"/>
      <c r="E84" s="615"/>
      <c r="F84" s="615"/>
      <c r="G84" s="615"/>
      <c r="H84" s="615"/>
      <c r="I84" s="614"/>
      <c r="J84" s="367" t="s">
        <v>451</v>
      </c>
      <c r="K84" s="230"/>
      <c r="L84" s="294"/>
      <c r="M84" s="615" t="s">
        <v>20</v>
      </c>
      <c r="N84" s="614"/>
      <c r="O84" s="295">
        <v>124190000</v>
      </c>
      <c r="P84" s="231">
        <f>O84</f>
        <v>124190000</v>
      </c>
      <c r="Q84" s="231">
        <f>SUM(Q85:Q86)</f>
        <v>118340000</v>
      </c>
      <c r="R84" s="233">
        <f>Q84/Q$54*100</f>
        <v>4.6850372575509454</v>
      </c>
      <c r="S84" s="233">
        <v>100</v>
      </c>
      <c r="T84" s="231">
        <f>AJ84</f>
        <v>19.858036166976508</v>
      </c>
      <c r="U84" s="231">
        <f t="shared" si="21"/>
        <v>0.93035639304079099</v>
      </c>
      <c r="V84" s="296">
        <f t="shared" si="22"/>
        <v>80.141963833023496</v>
      </c>
      <c r="W84" s="231"/>
      <c r="X84" s="231" t="e">
        <f>#REF!</f>
        <v>#REF!</v>
      </c>
      <c r="Y84" s="231" t="e">
        <f>#REF!</f>
        <v>#REF!</v>
      </c>
      <c r="Z84" s="231" t="e">
        <f>#REF!</f>
        <v>#REF!</v>
      </c>
      <c r="AA84" s="231" t="e">
        <f>#REF!</f>
        <v>#REF!</v>
      </c>
      <c r="AB84" s="231">
        <v>53635000</v>
      </c>
      <c r="AC84" s="231" t="e">
        <f>#REF!</f>
        <v>#REF!</v>
      </c>
      <c r="AD84" s="231" t="e">
        <f>#REF!</f>
        <v>#REF!</v>
      </c>
      <c r="AE84" s="231" t="e">
        <f>#REF!</f>
        <v>#REF!</v>
      </c>
      <c r="AF84" s="231" t="e">
        <f>[1]April!N29</f>
        <v>#REF!</v>
      </c>
      <c r="AG84" s="231" t="e">
        <f>[2]april!N29</f>
        <v>#REF!</v>
      </c>
      <c r="AH84" s="231">
        <f>'[3]DES SKPD'!$N29</f>
        <v>138020848</v>
      </c>
      <c r="AI84" s="231">
        <f>SUM(AI85:AI86)</f>
        <v>23500000</v>
      </c>
      <c r="AJ84" s="233">
        <f t="shared" si="24"/>
        <v>19.858036166976508</v>
      </c>
      <c r="AK84" s="234">
        <f t="shared" si="27"/>
        <v>94840000</v>
      </c>
      <c r="AL84" s="233">
        <f t="shared" si="25"/>
        <v>80.141963833023482</v>
      </c>
      <c r="AM84" s="227"/>
    </row>
    <row r="85" spans="1:39" ht="32.25" customHeight="1" x14ac:dyDescent="0.25">
      <c r="A85" s="243"/>
      <c r="B85" s="362"/>
      <c r="C85" s="362"/>
      <c r="D85" s="362"/>
      <c r="E85" s="362"/>
      <c r="F85" s="362"/>
      <c r="G85" s="362"/>
      <c r="H85" s="362"/>
      <c r="I85" s="363"/>
      <c r="J85" s="362" t="s">
        <v>278</v>
      </c>
      <c r="K85" s="245"/>
      <c r="L85" s="257"/>
      <c r="M85" s="597" t="s">
        <v>279</v>
      </c>
      <c r="N85" s="598"/>
      <c r="O85" s="299"/>
      <c r="P85" s="180"/>
      <c r="Q85" s="180">
        <v>54000000</v>
      </c>
      <c r="R85" s="181">
        <f>Q85/Q$84*100</f>
        <v>45.631232043265172</v>
      </c>
      <c r="S85" s="181">
        <v>100</v>
      </c>
      <c r="T85" s="180">
        <f>AJ85</f>
        <v>17.592592592592592</v>
      </c>
      <c r="U85" s="180">
        <f t="shared" si="21"/>
        <v>8.0277167483522049</v>
      </c>
      <c r="V85" s="182">
        <f t="shared" si="22"/>
        <v>82.407407407407405</v>
      </c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>
        <v>9500000</v>
      </c>
      <c r="AJ85" s="181">
        <f t="shared" si="24"/>
        <v>17.592592592592592</v>
      </c>
      <c r="AK85" s="246">
        <f t="shared" si="27"/>
        <v>44500000</v>
      </c>
      <c r="AL85" s="181">
        <f t="shared" si="25"/>
        <v>82.407407407407405</v>
      </c>
      <c r="AM85" s="243"/>
    </row>
    <row r="86" spans="1:39" ht="24.75" customHeight="1" x14ac:dyDescent="0.25">
      <c r="A86" s="243"/>
      <c r="B86" s="362"/>
      <c r="C86" s="362"/>
      <c r="D86" s="362"/>
      <c r="E86" s="362"/>
      <c r="F86" s="362"/>
      <c r="G86" s="362"/>
      <c r="H86" s="362"/>
      <c r="I86" s="363"/>
      <c r="J86" s="362" t="s">
        <v>280</v>
      </c>
      <c r="K86" s="245"/>
      <c r="L86" s="257"/>
      <c r="M86" s="597" t="s">
        <v>281</v>
      </c>
      <c r="N86" s="598"/>
      <c r="O86" s="299"/>
      <c r="P86" s="180"/>
      <c r="Q86" s="180">
        <v>64340000</v>
      </c>
      <c r="R86" s="181">
        <f>Q86/Q$84*100</f>
        <v>54.368767956734828</v>
      </c>
      <c r="S86" s="181">
        <v>100</v>
      </c>
      <c r="T86" s="180">
        <f>AJ86</f>
        <v>21.75940317065589</v>
      </c>
      <c r="U86" s="180">
        <f t="shared" si="21"/>
        <v>11.830319418624301</v>
      </c>
      <c r="V86" s="182">
        <f t="shared" si="22"/>
        <v>78.240596829344113</v>
      </c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>
        <v>14000000</v>
      </c>
      <c r="AJ86" s="181">
        <f t="shared" si="24"/>
        <v>21.75940317065589</v>
      </c>
      <c r="AK86" s="246">
        <f t="shared" si="27"/>
        <v>50340000</v>
      </c>
      <c r="AL86" s="181">
        <f t="shared" si="25"/>
        <v>78.240596829344113</v>
      </c>
      <c r="AM86" s="243"/>
    </row>
    <row r="87" spans="1:39" s="297" customFormat="1" ht="31.5" customHeight="1" x14ac:dyDescent="0.25">
      <c r="A87" s="227">
        <f>A84+1</f>
        <v>11</v>
      </c>
      <c r="B87" s="615" t="s">
        <v>123</v>
      </c>
      <c r="C87" s="615"/>
      <c r="D87" s="615"/>
      <c r="E87" s="615"/>
      <c r="F87" s="615"/>
      <c r="G87" s="615"/>
      <c r="H87" s="615"/>
      <c r="I87" s="614"/>
      <c r="J87" s="367" t="s">
        <v>452</v>
      </c>
      <c r="K87" s="230"/>
      <c r="L87" s="294"/>
      <c r="M87" s="615" t="s">
        <v>21</v>
      </c>
      <c r="N87" s="614"/>
      <c r="O87" s="295">
        <v>517929000</v>
      </c>
      <c r="P87" s="231">
        <f>O87</f>
        <v>517929000</v>
      </c>
      <c r="Q87" s="231">
        <f>SUM(Q88:Q88)</f>
        <v>483349844</v>
      </c>
      <c r="R87" s="233">
        <f>Q87/Q$54*100</f>
        <v>19.135643295347617</v>
      </c>
      <c r="S87" s="233">
        <v>100</v>
      </c>
      <c r="T87" s="231">
        <f t="shared" si="20"/>
        <v>10.46546732722231</v>
      </c>
      <c r="U87" s="231">
        <f>R87*T87/100</f>
        <v>2.0026344969284113</v>
      </c>
      <c r="V87" s="296">
        <f t="shared" si="22"/>
        <v>89.534532672777686</v>
      </c>
      <c r="W87" s="231"/>
      <c r="X87" s="231" t="e">
        <f>#REF!</f>
        <v>#REF!</v>
      </c>
      <c r="Y87" s="231" t="e">
        <f>#REF!</f>
        <v>#REF!</v>
      </c>
      <c r="Z87" s="231" t="e">
        <f>#REF!</f>
        <v>#REF!</v>
      </c>
      <c r="AA87" s="231" t="e">
        <f>#REF!</f>
        <v>#REF!</v>
      </c>
      <c r="AB87" s="231">
        <v>317394150</v>
      </c>
      <c r="AC87" s="231" t="e">
        <f>#REF!</f>
        <v>#REF!</v>
      </c>
      <c r="AD87" s="231" t="e">
        <f>#REF!</f>
        <v>#REF!</v>
      </c>
      <c r="AE87" s="231" t="e">
        <f>#REF!</f>
        <v>#REF!</v>
      </c>
      <c r="AF87" s="231" t="e">
        <f>[1]April!N30</f>
        <v>#REF!</v>
      </c>
      <c r="AG87" s="231" t="e">
        <f>[2]april!N30</f>
        <v>#REF!</v>
      </c>
      <c r="AH87" s="231">
        <f>'[3]DES SKPD'!$N30</f>
        <v>660543350</v>
      </c>
      <c r="AI87" s="231">
        <f>SUM(AI88:AI88)</f>
        <v>50584820</v>
      </c>
      <c r="AJ87" s="233">
        <f t="shared" si="24"/>
        <v>10.46546732722231</v>
      </c>
      <c r="AK87" s="234">
        <f t="shared" si="27"/>
        <v>432765024</v>
      </c>
      <c r="AL87" s="233">
        <f t="shared" si="25"/>
        <v>89.534532672777686</v>
      </c>
      <c r="AM87" s="227"/>
    </row>
    <row r="88" spans="1:39" ht="26.25" customHeight="1" x14ac:dyDescent="0.25">
      <c r="A88" s="243"/>
      <c r="B88" s="362"/>
      <c r="C88" s="362"/>
      <c r="D88" s="362"/>
      <c r="E88" s="362"/>
      <c r="F88" s="362"/>
      <c r="G88" s="362"/>
      <c r="H88" s="362"/>
      <c r="I88" s="363"/>
      <c r="J88" s="362" t="s">
        <v>282</v>
      </c>
      <c r="K88" s="245"/>
      <c r="L88" s="257"/>
      <c r="M88" s="597" t="s">
        <v>283</v>
      </c>
      <c r="N88" s="598"/>
      <c r="O88" s="299"/>
      <c r="P88" s="180"/>
      <c r="Q88" s="180">
        <v>483349844</v>
      </c>
      <c r="R88" s="181">
        <f>Q88/Q$87*100</f>
        <v>100</v>
      </c>
      <c r="S88" s="181">
        <v>100</v>
      </c>
      <c r="T88" s="180">
        <f t="shared" si="20"/>
        <v>10.46546732722231</v>
      </c>
      <c r="U88" s="180">
        <f>R88*T88/100</f>
        <v>10.465467327222308</v>
      </c>
      <c r="V88" s="182">
        <f t="shared" si="22"/>
        <v>89.534532672777686</v>
      </c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>
        <v>50584820</v>
      </c>
      <c r="AJ88" s="181">
        <f t="shared" si="24"/>
        <v>10.46546732722231</v>
      </c>
      <c r="AK88" s="246">
        <f t="shared" si="27"/>
        <v>432765024</v>
      </c>
      <c r="AL88" s="181">
        <f t="shared" si="25"/>
        <v>89.534532672777686</v>
      </c>
      <c r="AM88" s="243"/>
    </row>
    <row r="89" spans="1:39" s="297" customFormat="1" ht="30.75" customHeight="1" x14ac:dyDescent="0.25">
      <c r="A89" s="227">
        <f>A87+1</f>
        <v>12</v>
      </c>
      <c r="B89" s="615" t="s">
        <v>124</v>
      </c>
      <c r="C89" s="615"/>
      <c r="D89" s="615"/>
      <c r="E89" s="615"/>
      <c r="F89" s="615"/>
      <c r="G89" s="615"/>
      <c r="H89" s="615"/>
      <c r="I89" s="614"/>
      <c r="J89" s="367" t="s">
        <v>453</v>
      </c>
      <c r="K89" s="230"/>
      <c r="L89" s="294"/>
      <c r="M89" s="615" t="s">
        <v>22</v>
      </c>
      <c r="N89" s="614"/>
      <c r="O89" s="295">
        <v>17600000</v>
      </c>
      <c r="P89" s="231">
        <f>O89</f>
        <v>17600000</v>
      </c>
      <c r="Q89" s="231">
        <f>SUM(Q90:Q90)</f>
        <v>31400000</v>
      </c>
      <c r="R89" s="233">
        <f>Q89/Q$54*100</f>
        <v>1.2431144996374826</v>
      </c>
      <c r="S89" s="233">
        <v>100</v>
      </c>
      <c r="T89" s="231">
        <f t="shared" si="20"/>
        <v>0</v>
      </c>
      <c r="U89" s="231">
        <f t="shared" si="21"/>
        <v>0</v>
      </c>
      <c r="V89" s="296">
        <f t="shared" si="22"/>
        <v>100</v>
      </c>
      <c r="W89" s="231"/>
      <c r="X89" s="231" t="e">
        <f>#REF!</f>
        <v>#REF!</v>
      </c>
      <c r="Y89" s="231" t="e">
        <f>#REF!</f>
        <v>#REF!</v>
      </c>
      <c r="Z89" s="231" t="e">
        <f>#REF!</f>
        <v>#REF!</v>
      </c>
      <c r="AA89" s="231" t="e">
        <f>#REF!</f>
        <v>#REF!</v>
      </c>
      <c r="AB89" s="231">
        <v>13150000</v>
      </c>
      <c r="AC89" s="231" t="e">
        <f>#REF!</f>
        <v>#REF!</v>
      </c>
      <c r="AD89" s="231" t="e">
        <f>#REF!</f>
        <v>#REF!</v>
      </c>
      <c r="AE89" s="231" t="e">
        <f>#REF!</f>
        <v>#REF!</v>
      </c>
      <c r="AF89" s="231" t="e">
        <f>[1]April!N31</f>
        <v>#REF!</v>
      </c>
      <c r="AG89" s="231" t="e">
        <f>[2]april!N31</f>
        <v>#REF!</v>
      </c>
      <c r="AH89" s="231">
        <f>'[3]DES SKPD'!$N31</f>
        <v>27445000</v>
      </c>
      <c r="AI89" s="231">
        <f>SUM(AI90:AI90)</f>
        <v>0</v>
      </c>
      <c r="AJ89" s="233">
        <f t="shared" si="24"/>
        <v>0</v>
      </c>
      <c r="AK89" s="234">
        <f t="shared" si="27"/>
        <v>31400000</v>
      </c>
      <c r="AL89" s="233">
        <f t="shared" si="25"/>
        <v>100</v>
      </c>
      <c r="AM89" s="227"/>
    </row>
    <row r="90" spans="1:39" ht="26.25" customHeight="1" x14ac:dyDescent="0.25">
      <c r="A90" s="243"/>
      <c r="B90" s="362"/>
      <c r="C90" s="362"/>
      <c r="D90" s="362"/>
      <c r="E90" s="362"/>
      <c r="F90" s="362"/>
      <c r="G90" s="362"/>
      <c r="H90" s="362"/>
      <c r="I90" s="363"/>
      <c r="J90" s="362" t="s">
        <v>284</v>
      </c>
      <c r="K90" s="245"/>
      <c r="L90" s="257"/>
      <c r="M90" s="597" t="s">
        <v>285</v>
      </c>
      <c r="N90" s="598"/>
      <c r="O90" s="299"/>
      <c r="P90" s="180"/>
      <c r="Q90" s="180">
        <v>31400000</v>
      </c>
      <c r="R90" s="181">
        <f>Q90/Q$89*100</f>
        <v>100</v>
      </c>
      <c r="S90" s="181">
        <v>100</v>
      </c>
      <c r="T90" s="180">
        <f t="shared" si="20"/>
        <v>0</v>
      </c>
      <c r="U90" s="180">
        <f>R90*T90/100</f>
        <v>0</v>
      </c>
      <c r="V90" s="182">
        <f t="shared" si="22"/>
        <v>100</v>
      </c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>
        <v>0</v>
      </c>
      <c r="AJ90" s="181">
        <f t="shared" si="24"/>
        <v>0</v>
      </c>
      <c r="AK90" s="246">
        <f t="shared" si="27"/>
        <v>31400000</v>
      </c>
      <c r="AL90" s="181">
        <f t="shared" si="25"/>
        <v>100</v>
      </c>
      <c r="AM90" s="243"/>
    </row>
    <row r="91" spans="1:39" ht="26.25" customHeight="1" x14ac:dyDescent="0.25">
      <c r="A91" s="227">
        <f>A89+1</f>
        <v>13</v>
      </c>
      <c r="B91" s="615" t="s">
        <v>124</v>
      </c>
      <c r="C91" s="615"/>
      <c r="D91" s="615"/>
      <c r="E91" s="615"/>
      <c r="F91" s="615"/>
      <c r="G91" s="615"/>
      <c r="H91" s="615"/>
      <c r="I91" s="614"/>
      <c r="J91" s="367" t="s">
        <v>547</v>
      </c>
      <c r="K91" s="230"/>
      <c r="L91" s="294"/>
      <c r="M91" s="615" t="s">
        <v>548</v>
      </c>
      <c r="N91" s="614"/>
      <c r="O91" s="295">
        <v>17600000</v>
      </c>
      <c r="P91" s="231">
        <f>O91</f>
        <v>17600000</v>
      </c>
      <c r="Q91" s="231">
        <f>SUM(Q92:Q104)</f>
        <v>71640000</v>
      </c>
      <c r="R91" s="233">
        <f>Q91/Q$54*100</f>
        <v>2.8362013615932877</v>
      </c>
      <c r="S91" s="233">
        <v>100</v>
      </c>
      <c r="T91" s="231">
        <f t="shared" si="20"/>
        <v>8.4868788386376313</v>
      </c>
      <c r="U91" s="231">
        <f t="shared" ref="U91" si="28">R91*T91/100</f>
        <v>0.2407049731782131</v>
      </c>
      <c r="V91" s="296">
        <f t="shared" si="22"/>
        <v>91.513121161362363</v>
      </c>
      <c r="W91" s="231"/>
      <c r="X91" s="231" t="e">
        <f>#REF!</f>
        <v>#REF!</v>
      </c>
      <c r="Y91" s="231" t="e">
        <f>#REF!</f>
        <v>#REF!</v>
      </c>
      <c r="Z91" s="231" t="e">
        <f>#REF!</f>
        <v>#REF!</v>
      </c>
      <c r="AA91" s="231" t="e">
        <f>#REF!</f>
        <v>#REF!</v>
      </c>
      <c r="AB91" s="231">
        <v>13150000</v>
      </c>
      <c r="AC91" s="231" t="e">
        <f>#REF!</f>
        <v>#REF!</v>
      </c>
      <c r="AD91" s="231" t="e">
        <f>#REF!</f>
        <v>#REF!</v>
      </c>
      <c r="AE91" s="231" t="e">
        <f>#REF!</f>
        <v>#REF!</v>
      </c>
      <c r="AF91" s="231" t="e">
        <f>[1]April!N33</f>
        <v>#REF!</v>
      </c>
      <c r="AG91" s="231" t="e">
        <f>[2]april!N33</f>
        <v>#REF!</v>
      </c>
      <c r="AH91" s="231" t="e">
        <f>'[3]DES SKPD'!$N33</f>
        <v>#REF!</v>
      </c>
      <c r="AI91" s="231">
        <f>SUM(AI92:AI104)</f>
        <v>6080000</v>
      </c>
      <c r="AJ91" s="233">
        <f t="shared" si="24"/>
        <v>8.4868788386376313</v>
      </c>
      <c r="AK91" s="234">
        <f t="shared" si="27"/>
        <v>65560000</v>
      </c>
      <c r="AL91" s="233">
        <f t="shared" si="25"/>
        <v>91.513121161362363</v>
      </c>
      <c r="AM91" s="227"/>
    </row>
    <row r="92" spans="1:39" ht="26.25" customHeight="1" x14ac:dyDescent="0.25">
      <c r="A92" s="243"/>
      <c r="B92" s="362"/>
      <c r="C92" s="362"/>
      <c r="D92" s="362"/>
      <c r="E92" s="362"/>
      <c r="F92" s="362"/>
      <c r="G92" s="362"/>
      <c r="H92" s="362"/>
      <c r="I92" s="363"/>
      <c r="J92" s="362" t="s">
        <v>265</v>
      </c>
      <c r="K92" s="245"/>
      <c r="L92" s="257"/>
      <c r="M92" s="597" t="s">
        <v>266</v>
      </c>
      <c r="N92" s="598"/>
      <c r="O92" s="299"/>
      <c r="P92" s="180"/>
      <c r="Q92" s="180">
        <v>12590000</v>
      </c>
      <c r="R92" s="181">
        <f>Q92/Q$89*100</f>
        <v>40.095541401273884</v>
      </c>
      <c r="S92" s="181">
        <v>100</v>
      </c>
      <c r="T92" s="180">
        <f t="shared" si="20"/>
        <v>23.828435266084195</v>
      </c>
      <c r="U92" s="180">
        <f>R92*T92/100</f>
        <v>9.5541401273885356</v>
      </c>
      <c r="V92" s="182">
        <f t="shared" si="22"/>
        <v>76.171564733915801</v>
      </c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>
        <v>3000000</v>
      </c>
      <c r="AJ92" s="181">
        <f t="shared" si="24"/>
        <v>23.828435266084195</v>
      </c>
      <c r="AK92" s="246">
        <f t="shared" si="27"/>
        <v>9590000</v>
      </c>
      <c r="AL92" s="181">
        <f t="shared" si="25"/>
        <v>76.171564733915815</v>
      </c>
      <c r="AM92" s="243"/>
    </row>
    <row r="93" spans="1:39" ht="26.25" customHeight="1" x14ac:dyDescent="0.25">
      <c r="A93" s="243"/>
      <c r="B93" s="362"/>
      <c r="C93" s="362"/>
      <c r="D93" s="362"/>
      <c r="E93" s="362"/>
      <c r="F93" s="362"/>
      <c r="G93" s="362"/>
      <c r="H93" s="362"/>
      <c r="I93" s="363"/>
      <c r="J93" s="362" t="s">
        <v>272</v>
      </c>
      <c r="K93" s="245"/>
      <c r="L93" s="257"/>
      <c r="M93" s="597" t="s">
        <v>429</v>
      </c>
      <c r="N93" s="598"/>
      <c r="O93" s="299"/>
      <c r="P93" s="180"/>
      <c r="Q93" s="180">
        <v>3000000</v>
      </c>
      <c r="R93" s="181">
        <f t="shared" ref="R93:R104" si="29">Q93/Q$89*100</f>
        <v>9.5541401273885356</v>
      </c>
      <c r="S93" s="181">
        <v>100</v>
      </c>
      <c r="T93" s="180">
        <f t="shared" si="20"/>
        <v>25</v>
      </c>
      <c r="U93" s="180">
        <f t="shared" ref="U93:U105" si="30">R93*T93/100</f>
        <v>2.3885350318471339</v>
      </c>
      <c r="V93" s="182">
        <f t="shared" si="22"/>
        <v>75</v>
      </c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>
        <v>750000</v>
      </c>
      <c r="AJ93" s="181">
        <f t="shared" si="24"/>
        <v>25</v>
      </c>
      <c r="AK93" s="246">
        <f t="shared" si="27"/>
        <v>2250000</v>
      </c>
      <c r="AL93" s="181">
        <f t="shared" si="25"/>
        <v>75</v>
      </c>
      <c r="AM93" s="243"/>
    </row>
    <row r="94" spans="1:39" ht="26.25" customHeight="1" x14ac:dyDescent="0.25">
      <c r="A94" s="243"/>
      <c r="B94" s="362"/>
      <c r="C94" s="362"/>
      <c r="D94" s="362"/>
      <c r="E94" s="362"/>
      <c r="F94" s="362"/>
      <c r="G94" s="362"/>
      <c r="H94" s="362"/>
      <c r="I94" s="363"/>
      <c r="J94" s="362" t="s">
        <v>249</v>
      </c>
      <c r="K94" s="245"/>
      <c r="L94" s="257"/>
      <c r="M94" s="597" t="s">
        <v>250</v>
      </c>
      <c r="N94" s="598"/>
      <c r="O94" s="299"/>
      <c r="P94" s="180"/>
      <c r="Q94" s="180">
        <v>390000</v>
      </c>
      <c r="R94" s="181">
        <f t="shared" si="29"/>
        <v>1.2420382165605097</v>
      </c>
      <c r="S94" s="181">
        <v>100</v>
      </c>
      <c r="T94" s="180">
        <f t="shared" si="20"/>
        <v>100</v>
      </c>
      <c r="U94" s="180">
        <f t="shared" si="30"/>
        <v>1.2420382165605097</v>
      </c>
      <c r="V94" s="182">
        <f t="shared" si="22"/>
        <v>0</v>
      </c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>
        <v>390000</v>
      </c>
      <c r="AJ94" s="181">
        <f t="shared" si="24"/>
        <v>100</v>
      </c>
      <c r="AK94" s="246">
        <f t="shared" si="27"/>
        <v>0</v>
      </c>
      <c r="AL94" s="181">
        <f t="shared" si="25"/>
        <v>0</v>
      </c>
      <c r="AM94" s="243"/>
    </row>
    <row r="95" spans="1:39" ht="26.25" customHeight="1" x14ac:dyDescent="0.25">
      <c r="A95" s="243"/>
      <c r="B95" s="362"/>
      <c r="C95" s="362"/>
      <c r="D95" s="362"/>
      <c r="E95" s="362"/>
      <c r="F95" s="362"/>
      <c r="G95" s="362"/>
      <c r="H95" s="362"/>
      <c r="I95" s="363"/>
      <c r="J95" s="362" t="s">
        <v>261</v>
      </c>
      <c r="K95" s="245"/>
      <c r="L95" s="257"/>
      <c r="M95" s="597" t="s">
        <v>262</v>
      </c>
      <c r="N95" s="598"/>
      <c r="O95" s="299"/>
      <c r="P95" s="180"/>
      <c r="Q95" s="180">
        <v>3700000</v>
      </c>
      <c r="R95" s="181">
        <f t="shared" si="29"/>
        <v>11.783439490445859</v>
      </c>
      <c r="S95" s="181">
        <v>100</v>
      </c>
      <c r="T95" s="180">
        <f t="shared" si="20"/>
        <v>27.027027027027028</v>
      </c>
      <c r="U95" s="180">
        <f t="shared" si="30"/>
        <v>3.1847133757961785</v>
      </c>
      <c r="V95" s="182">
        <f t="shared" si="22"/>
        <v>72.972972972972968</v>
      </c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>
        <v>1000000</v>
      </c>
      <c r="AJ95" s="181">
        <f t="shared" si="24"/>
        <v>27.027027027027028</v>
      </c>
      <c r="AK95" s="246">
        <f t="shared" si="27"/>
        <v>2700000</v>
      </c>
      <c r="AL95" s="181">
        <f t="shared" si="25"/>
        <v>72.972972972972968</v>
      </c>
      <c r="AM95" s="243"/>
    </row>
    <row r="96" spans="1:39" ht="26.25" customHeight="1" x14ac:dyDescent="0.25">
      <c r="A96" s="243"/>
      <c r="B96" s="362"/>
      <c r="C96" s="362"/>
      <c r="D96" s="362"/>
      <c r="E96" s="362"/>
      <c r="F96" s="362"/>
      <c r="G96" s="362"/>
      <c r="H96" s="362"/>
      <c r="I96" s="363"/>
      <c r="J96" s="362" t="s">
        <v>315</v>
      </c>
      <c r="K96" s="245"/>
      <c r="L96" s="257"/>
      <c r="M96" s="597" t="s">
        <v>271</v>
      </c>
      <c r="N96" s="598"/>
      <c r="O96" s="299"/>
      <c r="P96" s="180"/>
      <c r="Q96" s="180">
        <v>2000000</v>
      </c>
      <c r="R96" s="181">
        <f t="shared" si="29"/>
        <v>6.369426751592357</v>
      </c>
      <c r="S96" s="181">
        <v>100</v>
      </c>
      <c r="T96" s="180">
        <f t="shared" si="20"/>
        <v>20</v>
      </c>
      <c r="U96" s="180">
        <f t="shared" si="30"/>
        <v>1.2738853503184715</v>
      </c>
      <c r="V96" s="182">
        <f t="shared" si="22"/>
        <v>80</v>
      </c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>
        <v>400000</v>
      </c>
      <c r="AJ96" s="181">
        <f t="shared" si="24"/>
        <v>20</v>
      </c>
      <c r="AK96" s="246">
        <f t="shared" si="27"/>
        <v>1600000</v>
      </c>
      <c r="AL96" s="181">
        <f t="shared" si="25"/>
        <v>80</v>
      </c>
      <c r="AM96" s="243"/>
    </row>
    <row r="97" spans="1:39" ht="26.25" customHeight="1" x14ac:dyDescent="0.25">
      <c r="A97" s="243"/>
      <c r="B97" s="362"/>
      <c r="C97" s="362"/>
      <c r="D97" s="362"/>
      <c r="E97" s="362"/>
      <c r="F97" s="362"/>
      <c r="G97" s="362"/>
      <c r="H97" s="362"/>
      <c r="I97" s="363"/>
      <c r="J97" s="362" t="s">
        <v>278</v>
      </c>
      <c r="K97" s="245"/>
      <c r="L97" s="257"/>
      <c r="M97" s="597" t="s">
        <v>279</v>
      </c>
      <c r="N97" s="598"/>
      <c r="O97" s="299"/>
      <c r="P97" s="180"/>
      <c r="Q97" s="180">
        <v>2160000</v>
      </c>
      <c r="R97" s="181">
        <f t="shared" si="29"/>
        <v>6.8789808917197455</v>
      </c>
      <c r="S97" s="181">
        <v>100</v>
      </c>
      <c r="T97" s="180">
        <f t="shared" si="20"/>
        <v>25</v>
      </c>
      <c r="U97" s="180">
        <f t="shared" si="30"/>
        <v>1.7197452229299364</v>
      </c>
      <c r="V97" s="182">
        <f t="shared" si="22"/>
        <v>75</v>
      </c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>
        <v>540000</v>
      </c>
      <c r="AJ97" s="181">
        <f t="shared" si="24"/>
        <v>25</v>
      </c>
      <c r="AK97" s="246">
        <f t="shared" si="27"/>
        <v>1620000</v>
      </c>
      <c r="AL97" s="181">
        <f t="shared" si="25"/>
        <v>75</v>
      </c>
      <c r="AM97" s="243"/>
    </row>
    <row r="98" spans="1:39" ht="26.25" customHeight="1" x14ac:dyDescent="0.25">
      <c r="A98" s="243"/>
      <c r="B98" s="362"/>
      <c r="C98" s="362"/>
      <c r="D98" s="362"/>
      <c r="E98" s="362"/>
      <c r="F98" s="362"/>
      <c r="G98" s="362"/>
      <c r="H98" s="362"/>
      <c r="I98" s="363"/>
      <c r="J98" s="362" t="s">
        <v>284</v>
      </c>
      <c r="K98" s="245"/>
      <c r="L98" s="257"/>
      <c r="M98" s="597" t="s">
        <v>285</v>
      </c>
      <c r="N98" s="598"/>
      <c r="O98" s="299"/>
      <c r="P98" s="180"/>
      <c r="Q98" s="180">
        <v>15000000</v>
      </c>
      <c r="R98" s="181">
        <f t="shared" si="29"/>
        <v>47.770700636942678</v>
      </c>
      <c r="S98" s="181">
        <v>100</v>
      </c>
      <c r="T98" s="180">
        <f t="shared" si="20"/>
        <v>0</v>
      </c>
      <c r="U98" s="180">
        <f t="shared" si="30"/>
        <v>0</v>
      </c>
      <c r="V98" s="182">
        <f t="shared" si="22"/>
        <v>100</v>
      </c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>
        <v>0</v>
      </c>
      <c r="AJ98" s="181">
        <f t="shared" si="24"/>
        <v>0</v>
      </c>
      <c r="AK98" s="246">
        <f t="shared" si="27"/>
        <v>15000000</v>
      </c>
      <c r="AL98" s="181">
        <f t="shared" si="25"/>
        <v>100</v>
      </c>
      <c r="AM98" s="243"/>
    </row>
    <row r="99" spans="1:39" ht="26.25" customHeight="1" x14ac:dyDescent="0.25">
      <c r="A99" s="243"/>
      <c r="B99" s="362"/>
      <c r="C99" s="362"/>
      <c r="D99" s="362"/>
      <c r="E99" s="362"/>
      <c r="F99" s="362"/>
      <c r="G99" s="362"/>
      <c r="H99" s="362"/>
      <c r="I99" s="363"/>
      <c r="J99" s="362" t="s">
        <v>282</v>
      </c>
      <c r="K99" s="245"/>
      <c r="L99" s="257"/>
      <c r="M99" s="597" t="s">
        <v>503</v>
      </c>
      <c r="N99" s="598"/>
      <c r="O99" s="299"/>
      <c r="P99" s="180"/>
      <c r="Q99" s="180">
        <v>10000000</v>
      </c>
      <c r="R99" s="181">
        <f t="shared" si="29"/>
        <v>31.847133757961782</v>
      </c>
      <c r="S99" s="181">
        <v>100</v>
      </c>
      <c r="T99" s="180">
        <f t="shared" si="20"/>
        <v>0</v>
      </c>
      <c r="U99" s="180">
        <f t="shared" si="30"/>
        <v>0</v>
      </c>
      <c r="V99" s="182">
        <f t="shared" si="22"/>
        <v>100</v>
      </c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>
        <v>0</v>
      </c>
      <c r="AJ99" s="181">
        <f t="shared" si="24"/>
        <v>0</v>
      </c>
      <c r="AK99" s="246">
        <f t="shared" si="27"/>
        <v>10000000</v>
      </c>
      <c r="AL99" s="181">
        <f t="shared" si="25"/>
        <v>100</v>
      </c>
      <c r="AM99" s="243"/>
    </row>
    <row r="100" spans="1:39" ht="26.25" customHeight="1" x14ac:dyDescent="0.25">
      <c r="A100" s="243"/>
      <c r="B100" s="362"/>
      <c r="C100" s="362"/>
      <c r="D100" s="362"/>
      <c r="E100" s="362"/>
      <c r="F100" s="362"/>
      <c r="G100" s="362"/>
      <c r="H100" s="362"/>
      <c r="I100" s="363"/>
      <c r="J100" s="362" t="s">
        <v>304</v>
      </c>
      <c r="K100" s="245"/>
      <c r="L100" s="257"/>
      <c r="M100" s="597" t="s">
        <v>549</v>
      </c>
      <c r="N100" s="598"/>
      <c r="O100" s="299"/>
      <c r="P100" s="180"/>
      <c r="Q100" s="180">
        <v>6000000</v>
      </c>
      <c r="R100" s="181">
        <f t="shared" si="29"/>
        <v>19.108280254777071</v>
      </c>
      <c r="S100" s="181">
        <v>100</v>
      </c>
      <c r="T100" s="180">
        <f t="shared" si="20"/>
        <v>0</v>
      </c>
      <c r="U100" s="180">
        <f t="shared" si="30"/>
        <v>0</v>
      </c>
      <c r="V100" s="182">
        <f t="shared" si="22"/>
        <v>100</v>
      </c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>
        <v>0</v>
      </c>
      <c r="AJ100" s="181">
        <f t="shared" si="24"/>
        <v>0</v>
      </c>
      <c r="AK100" s="246">
        <f t="shared" si="27"/>
        <v>6000000</v>
      </c>
      <c r="AL100" s="181">
        <f t="shared" si="25"/>
        <v>100</v>
      </c>
      <c r="AM100" s="243"/>
    </row>
    <row r="101" spans="1:39" ht="26.25" customHeight="1" x14ac:dyDescent="0.25">
      <c r="A101" s="243"/>
      <c r="B101" s="362"/>
      <c r="C101" s="362"/>
      <c r="D101" s="362"/>
      <c r="E101" s="362"/>
      <c r="F101" s="362"/>
      <c r="G101" s="362"/>
      <c r="H101" s="362"/>
      <c r="I101" s="363"/>
      <c r="J101" s="362" t="s">
        <v>551</v>
      </c>
      <c r="K101" s="245"/>
      <c r="L101" s="257"/>
      <c r="M101" s="597" t="s">
        <v>550</v>
      </c>
      <c r="N101" s="598"/>
      <c r="O101" s="299"/>
      <c r="P101" s="180"/>
      <c r="Q101" s="180">
        <v>10800000</v>
      </c>
      <c r="R101" s="181">
        <f t="shared" si="29"/>
        <v>34.394904458598724</v>
      </c>
      <c r="S101" s="181">
        <v>100</v>
      </c>
      <c r="T101" s="180">
        <f t="shared" si="20"/>
        <v>0</v>
      </c>
      <c r="U101" s="180">
        <f t="shared" si="30"/>
        <v>0</v>
      </c>
      <c r="V101" s="182">
        <f t="shared" si="22"/>
        <v>100</v>
      </c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>
        <v>0</v>
      </c>
      <c r="AJ101" s="181">
        <f t="shared" si="24"/>
        <v>0</v>
      </c>
      <c r="AK101" s="246">
        <f t="shared" si="27"/>
        <v>10800000</v>
      </c>
      <c r="AL101" s="181">
        <f t="shared" si="25"/>
        <v>100</v>
      </c>
      <c r="AM101" s="243"/>
    </row>
    <row r="102" spans="1:39" ht="26.25" customHeight="1" x14ac:dyDescent="0.25">
      <c r="A102" s="243"/>
      <c r="B102" s="362"/>
      <c r="C102" s="362"/>
      <c r="D102" s="362"/>
      <c r="E102" s="362"/>
      <c r="F102" s="362"/>
      <c r="G102" s="362"/>
      <c r="H102" s="362"/>
      <c r="I102" s="363"/>
      <c r="J102" s="362" t="s">
        <v>553</v>
      </c>
      <c r="K102" s="245"/>
      <c r="L102" s="257"/>
      <c r="M102" s="597" t="s">
        <v>552</v>
      </c>
      <c r="N102" s="598"/>
      <c r="O102" s="299"/>
      <c r="P102" s="180"/>
      <c r="Q102" s="180">
        <v>1500000</v>
      </c>
      <c r="R102" s="181">
        <f t="shared" si="29"/>
        <v>4.7770700636942678</v>
      </c>
      <c r="S102" s="181">
        <v>100</v>
      </c>
      <c r="T102" s="180">
        <f t="shared" si="20"/>
        <v>0</v>
      </c>
      <c r="U102" s="180">
        <f t="shared" si="30"/>
        <v>0</v>
      </c>
      <c r="V102" s="182">
        <f t="shared" si="22"/>
        <v>100</v>
      </c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>
        <v>0</v>
      </c>
      <c r="AJ102" s="181">
        <f t="shared" si="24"/>
        <v>0</v>
      </c>
      <c r="AK102" s="246">
        <f t="shared" si="27"/>
        <v>1500000</v>
      </c>
      <c r="AL102" s="181">
        <f t="shared" si="25"/>
        <v>100</v>
      </c>
      <c r="AM102" s="243"/>
    </row>
    <row r="103" spans="1:39" ht="26.25" customHeight="1" x14ac:dyDescent="0.25">
      <c r="A103" s="243"/>
      <c r="B103" s="362"/>
      <c r="C103" s="362"/>
      <c r="D103" s="362"/>
      <c r="E103" s="362"/>
      <c r="F103" s="362"/>
      <c r="G103" s="362"/>
      <c r="H103" s="362"/>
      <c r="I103" s="363"/>
      <c r="J103" s="362" t="s">
        <v>554</v>
      </c>
      <c r="K103" s="245"/>
      <c r="L103" s="257"/>
      <c r="M103" s="597" t="s">
        <v>431</v>
      </c>
      <c r="N103" s="598"/>
      <c r="O103" s="299"/>
      <c r="P103" s="180"/>
      <c r="Q103" s="180">
        <v>2000000</v>
      </c>
      <c r="R103" s="181">
        <f t="shared" si="29"/>
        <v>6.369426751592357</v>
      </c>
      <c r="S103" s="181">
        <v>100</v>
      </c>
      <c r="T103" s="180">
        <f t="shared" si="20"/>
        <v>0</v>
      </c>
      <c r="U103" s="180">
        <f t="shared" si="30"/>
        <v>0</v>
      </c>
      <c r="V103" s="182">
        <f t="shared" si="22"/>
        <v>100</v>
      </c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>
        <v>0</v>
      </c>
      <c r="AJ103" s="181">
        <f t="shared" si="24"/>
        <v>0</v>
      </c>
      <c r="AK103" s="246">
        <f t="shared" si="27"/>
        <v>2000000</v>
      </c>
      <c r="AL103" s="181">
        <f t="shared" si="25"/>
        <v>100</v>
      </c>
      <c r="AM103" s="243"/>
    </row>
    <row r="104" spans="1:39" ht="26.25" customHeight="1" x14ac:dyDescent="0.25">
      <c r="A104" s="243"/>
      <c r="B104" s="362"/>
      <c r="C104" s="362"/>
      <c r="D104" s="362"/>
      <c r="E104" s="362"/>
      <c r="F104" s="362"/>
      <c r="G104" s="362"/>
      <c r="H104" s="362"/>
      <c r="I104" s="363"/>
      <c r="J104" s="362" t="s">
        <v>274</v>
      </c>
      <c r="K104" s="245"/>
      <c r="L104" s="257"/>
      <c r="M104" s="597" t="s">
        <v>555</v>
      </c>
      <c r="N104" s="598"/>
      <c r="O104" s="299"/>
      <c r="P104" s="180"/>
      <c r="Q104" s="180">
        <v>2500000</v>
      </c>
      <c r="R104" s="181">
        <f t="shared" si="29"/>
        <v>7.9617834394904454</v>
      </c>
      <c r="S104" s="181">
        <v>100</v>
      </c>
      <c r="T104" s="180">
        <f t="shared" si="20"/>
        <v>0</v>
      </c>
      <c r="U104" s="180">
        <f t="shared" si="30"/>
        <v>0</v>
      </c>
      <c r="V104" s="182">
        <f t="shared" si="22"/>
        <v>100</v>
      </c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>
        <v>0</v>
      </c>
      <c r="AJ104" s="181">
        <f t="shared" si="24"/>
        <v>0</v>
      </c>
      <c r="AK104" s="246">
        <f t="shared" si="27"/>
        <v>2500000</v>
      </c>
      <c r="AL104" s="181">
        <f t="shared" si="25"/>
        <v>100</v>
      </c>
      <c r="AM104" s="243"/>
    </row>
    <row r="105" spans="1:39" ht="26.25" customHeight="1" x14ac:dyDescent="0.25">
      <c r="A105" s="227">
        <f>A91+1</f>
        <v>14</v>
      </c>
      <c r="B105" s="615" t="s">
        <v>124</v>
      </c>
      <c r="C105" s="615"/>
      <c r="D105" s="615"/>
      <c r="E105" s="615"/>
      <c r="F105" s="615"/>
      <c r="G105" s="615"/>
      <c r="H105" s="615"/>
      <c r="I105" s="614"/>
      <c r="J105" s="367" t="s">
        <v>547</v>
      </c>
      <c r="K105" s="230"/>
      <c r="L105" s="294"/>
      <c r="M105" s="615" t="s">
        <v>556</v>
      </c>
      <c r="N105" s="614"/>
      <c r="O105" s="295">
        <v>17600000</v>
      </c>
      <c r="P105" s="231">
        <f>O105</f>
        <v>17600000</v>
      </c>
      <c r="Q105" s="231">
        <f>SUM(Q106:Q118)</f>
        <v>76640000</v>
      </c>
      <c r="R105" s="233">
        <f>Q105/Q$54*100</f>
        <v>3.0341495303253714</v>
      </c>
      <c r="S105" s="233">
        <v>100</v>
      </c>
      <c r="T105" s="231">
        <f t="shared" si="20"/>
        <v>7.1013830897703549</v>
      </c>
      <c r="U105" s="231">
        <f t="shared" si="30"/>
        <v>0.21546658166487259</v>
      </c>
      <c r="V105" s="296">
        <f t="shared" si="22"/>
        <v>92.898616910229649</v>
      </c>
      <c r="W105" s="231"/>
      <c r="X105" s="231" t="e">
        <f>#REF!</f>
        <v>#REF!</v>
      </c>
      <c r="Y105" s="231" t="e">
        <f>#REF!</f>
        <v>#REF!</v>
      </c>
      <c r="Z105" s="231" t="e">
        <f>#REF!</f>
        <v>#REF!</v>
      </c>
      <c r="AA105" s="231" t="e">
        <f>#REF!</f>
        <v>#REF!</v>
      </c>
      <c r="AB105" s="231">
        <v>13150000</v>
      </c>
      <c r="AC105" s="231" t="e">
        <f>#REF!</f>
        <v>#REF!</v>
      </c>
      <c r="AD105" s="231" t="e">
        <f>#REF!</f>
        <v>#REF!</v>
      </c>
      <c r="AE105" s="231" t="e">
        <f>#REF!</f>
        <v>#REF!</v>
      </c>
      <c r="AF105" s="231" t="e">
        <f>[1]April!N47</f>
        <v>#REF!</v>
      </c>
      <c r="AG105" s="231" t="e">
        <f>[2]april!N47</f>
        <v>#REF!</v>
      </c>
      <c r="AH105" s="231" t="e">
        <f>'[3]DES SKPD'!$N47</f>
        <v>#REF!</v>
      </c>
      <c r="AI105" s="231">
        <f>SUM(AI106:AI118)</f>
        <v>5442500</v>
      </c>
      <c r="AJ105" s="233">
        <f t="shared" si="24"/>
        <v>7.1013830897703549</v>
      </c>
      <c r="AK105" s="234">
        <f t="shared" si="27"/>
        <v>71197500</v>
      </c>
      <c r="AL105" s="233">
        <f t="shared" si="25"/>
        <v>92.898616910229649</v>
      </c>
      <c r="AM105" s="243"/>
    </row>
    <row r="106" spans="1:39" ht="26.25" customHeight="1" x14ac:dyDescent="0.25">
      <c r="A106" s="243"/>
      <c r="B106" s="362"/>
      <c r="C106" s="362"/>
      <c r="D106" s="362"/>
      <c r="E106" s="362"/>
      <c r="F106" s="362"/>
      <c r="G106" s="362"/>
      <c r="H106" s="362"/>
      <c r="I106" s="363"/>
      <c r="J106" s="362" t="s">
        <v>265</v>
      </c>
      <c r="K106" s="245"/>
      <c r="L106" s="257"/>
      <c r="M106" s="597" t="s">
        <v>266</v>
      </c>
      <c r="N106" s="598"/>
      <c r="O106" s="299"/>
      <c r="P106" s="180"/>
      <c r="Q106" s="180">
        <v>6530000</v>
      </c>
      <c r="R106" s="181">
        <f t="shared" ref="R106:R118" si="31">Q106/Q$89*100</f>
        <v>20.796178343949045</v>
      </c>
      <c r="S106" s="181">
        <v>100</v>
      </c>
      <c r="T106" s="180">
        <f t="shared" si="20"/>
        <v>24.502297090352222</v>
      </c>
      <c r="U106" s="180">
        <f>R106*T106/100</f>
        <v>5.095541401273886</v>
      </c>
      <c r="V106" s="182">
        <f t="shared" si="22"/>
        <v>75.497702909647785</v>
      </c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>
        <v>1600000</v>
      </c>
      <c r="AJ106" s="181">
        <f t="shared" si="24"/>
        <v>24.502297090352222</v>
      </c>
      <c r="AK106" s="246">
        <f t="shared" si="27"/>
        <v>4930000</v>
      </c>
      <c r="AL106" s="181">
        <f t="shared" si="25"/>
        <v>75.497702909647785</v>
      </c>
      <c r="AM106" s="243"/>
    </row>
    <row r="107" spans="1:39" ht="26.25" customHeight="1" x14ac:dyDescent="0.25">
      <c r="A107" s="243"/>
      <c r="B107" s="362"/>
      <c r="C107" s="362"/>
      <c r="D107" s="362"/>
      <c r="E107" s="362"/>
      <c r="F107" s="362"/>
      <c r="G107" s="362"/>
      <c r="H107" s="362"/>
      <c r="I107" s="363"/>
      <c r="J107" s="362" t="s">
        <v>272</v>
      </c>
      <c r="K107" s="245"/>
      <c r="L107" s="257"/>
      <c r="M107" s="597" t="s">
        <v>429</v>
      </c>
      <c r="N107" s="598"/>
      <c r="O107" s="299"/>
      <c r="P107" s="180"/>
      <c r="Q107" s="180">
        <v>2000000</v>
      </c>
      <c r="R107" s="181">
        <f t="shared" si="31"/>
        <v>6.369426751592357</v>
      </c>
      <c r="S107" s="181">
        <v>100</v>
      </c>
      <c r="T107" s="180">
        <f t="shared" si="20"/>
        <v>25</v>
      </c>
      <c r="U107" s="180">
        <f t="shared" ref="U107:U118" si="32">R107*T107/100</f>
        <v>1.5923566878980893</v>
      </c>
      <c r="V107" s="182">
        <f t="shared" si="22"/>
        <v>75</v>
      </c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>
        <v>500000</v>
      </c>
      <c r="AJ107" s="181">
        <f t="shared" si="24"/>
        <v>25</v>
      </c>
      <c r="AK107" s="246">
        <f t="shared" si="27"/>
        <v>1500000</v>
      </c>
      <c r="AL107" s="181">
        <f t="shared" si="25"/>
        <v>75</v>
      </c>
      <c r="AM107" s="243"/>
    </row>
    <row r="108" spans="1:39" ht="26.25" customHeight="1" x14ac:dyDescent="0.25">
      <c r="A108" s="243"/>
      <c r="B108" s="362"/>
      <c r="C108" s="362"/>
      <c r="D108" s="362"/>
      <c r="E108" s="362"/>
      <c r="F108" s="362"/>
      <c r="G108" s="362"/>
      <c r="H108" s="362"/>
      <c r="I108" s="363"/>
      <c r="J108" s="362" t="s">
        <v>249</v>
      </c>
      <c r="K108" s="245"/>
      <c r="L108" s="257"/>
      <c r="M108" s="597" t="s">
        <v>250</v>
      </c>
      <c r="N108" s="598"/>
      <c r="O108" s="299"/>
      <c r="P108" s="180"/>
      <c r="Q108" s="180">
        <v>240000</v>
      </c>
      <c r="R108" s="181">
        <f t="shared" si="31"/>
        <v>0.76433121019108285</v>
      </c>
      <c r="S108" s="181">
        <v>100</v>
      </c>
      <c r="T108" s="180">
        <f t="shared" si="20"/>
        <v>25</v>
      </c>
      <c r="U108" s="180">
        <f t="shared" si="32"/>
        <v>0.19108280254777071</v>
      </c>
      <c r="V108" s="182">
        <f t="shared" si="22"/>
        <v>75</v>
      </c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>
        <v>60000</v>
      </c>
      <c r="AJ108" s="181">
        <f t="shared" si="24"/>
        <v>25</v>
      </c>
      <c r="AK108" s="246">
        <f t="shared" si="27"/>
        <v>180000</v>
      </c>
      <c r="AL108" s="181">
        <f t="shared" si="25"/>
        <v>75</v>
      </c>
      <c r="AM108" s="243"/>
    </row>
    <row r="109" spans="1:39" ht="26.25" customHeight="1" x14ac:dyDescent="0.25">
      <c r="A109" s="243"/>
      <c r="B109" s="362"/>
      <c r="C109" s="362"/>
      <c r="D109" s="362"/>
      <c r="E109" s="362"/>
      <c r="F109" s="362"/>
      <c r="G109" s="362"/>
      <c r="H109" s="362"/>
      <c r="I109" s="363"/>
      <c r="J109" s="362" t="s">
        <v>261</v>
      </c>
      <c r="K109" s="245"/>
      <c r="L109" s="257"/>
      <c r="M109" s="597" t="s">
        <v>262</v>
      </c>
      <c r="N109" s="598"/>
      <c r="O109" s="299"/>
      <c r="P109" s="180"/>
      <c r="Q109" s="180">
        <v>3300000</v>
      </c>
      <c r="R109" s="181">
        <f t="shared" si="31"/>
        <v>10.509554140127388</v>
      </c>
      <c r="S109" s="181">
        <v>100</v>
      </c>
      <c r="T109" s="180">
        <f t="shared" si="20"/>
        <v>24.242424242424242</v>
      </c>
      <c r="U109" s="180">
        <f t="shared" si="32"/>
        <v>2.5477707006369426</v>
      </c>
      <c r="V109" s="182">
        <f t="shared" si="22"/>
        <v>75.757575757575751</v>
      </c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>
        <v>800000</v>
      </c>
      <c r="AJ109" s="181">
        <f t="shared" si="24"/>
        <v>24.242424242424242</v>
      </c>
      <c r="AK109" s="246">
        <f t="shared" si="27"/>
        <v>2500000</v>
      </c>
      <c r="AL109" s="181">
        <f t="shared" si="25"/>
        <v>75.757575757575751</v>
      </c>
      <c r="AM109" s="243"/>
    </row>
    <row r="110" spans="1:39" ht="26.25" customHeight="1" x14ac:dyDescent="0.25">
      <c r="A110" s="243"/>
      <c r="B110" s="362"/>
      <c r="C110" s="362"/>
      <c r="D110" s="362"/>
      <c r="E110" s="362"/>
      <c r="F110" s="362"/>
      <c r="G110" s="362"/>
      <c r="H110" s="362"/>
      <c r="I110" s="363"/>
      <c r="J110" s="362" t="s">
        <v>409</v>
      </c>
      <c r="K110" s="245"/>
      <c r="L110" s="257"/>
      <c r="M110" s="597" t="s">
        <v>410</v>
      </c>
      <c r="N110" s="598"/>
      <c r="O110" s="299"/>
      <c r="P110" s="180"/>
      <c r="Q110" s="180">
        <v>12000000</v>
      </c>
      <c r="R110" s="181">
        <f t="shared" si="31"/>
        <v>38.216560509554142</v>
      </c>
      <c r="S110" s="181">
        <v>101</v>
      </c>
      <c r="T110" s="180">
        <f t="shared" si="20"/>
        <v>8.1875</v>
      </c>
      <c r="U110" s="180">
        <f t="shared" si="32"/>
        <v>3.1289808917197455</v>
      </c>
      <c r="V110" s="182">
        <f t="shared" si="22"/>
        <v>92.8125</v>
      </c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>
        <v>982500</v>
      </c>
      <c r="AJ110" s="181">
        <f t="shared" si="24"/>
        <v>8.1875</v>
      </c>
      <c r="AK110" s="246">
        <f t="shared" si="27"/>
        <v>11017500</v>
      </c>
      <c r="AL110" s="181">
        <f t="shared" si="25"/>
        <v>91.8125</v>
      </c>
      <c r="AM110" s="243"/>
    </row>
    <row r="111" spans="1:39" ht="26.25" customHeight="1" x14ac:dyDescent="0.25">
      <c r="A111" s="243"/>
      <c r="B111" s="362"/>
      <c r="C111" s="362"/>
      <c r="D111" s="362"/>
      <c r="E111" s="362"/>
      <c r="F111" s="362"/>
      <c r="G111" s="362"/>
      <c r="H111" s="362"/>
      <c r="I111" s="363"/>
      <c r="J111" s="362" t="s">
        <v>315</v>
      </c>
      <c r="K111" s="245"/>
      <c r="L111" s="257"/>
      <c r="M111" s="597" t="s">
        <v>271</v>
      </c>
      <c r="N111" s="598"/>
      <c r="O111" s="299"/>
      <c r="P111" s="180"/>
      <c r="Q111" s="180">
        <v>2000000</v>
      </c>
      <c r="R111" s="181">
        <f t="shared" si="31"/>
        <v>6.369426751592357</v>
      </c>
      <c r="S111" s="181">
        <v>100</v>
      </c>
      <c r="T111" s="180">
        <f t="shared" si="20"/>
        <v>25</v>
      </c>
      <c r="U111" s="180">
        <f t="shared" si="32"/>
        <v>1.5923566878980893</v>
      </c>
      <c r="V111" s="182">
        <f t="shared" si="22"/>
        <v>75</v>
      </c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>
        <v>500000</v>
      </c>
      <c r="AJ111" s="181">
        <f t="shared" si="24"/>
        <v>25</v>
      </c>
      <c r="AK111" s="246">
        <f t="shared" si="27"/>
        <v>1500000</v>
      </c>
      <c r="AL111" s="181">
        <f t="shared" si="25"/>
        <v>75</v>
      </c>
      <c r="AM111" s="243"/>
    </row>
    <row r="112" spans="1:39" ht="26.25" customHeight="1" x14ac:dyDescent="0.25">
      <c r="A112" s="243"/>
      <c r="B112" s="362"/>
      <c r="C112" s="362"/>
      <c r="D112" s="362"/>
      <c r="E112" s="362"/>
      <c r="F112" s="362"/>
      <c r="G112" s="362"/>
      <c r="H112" s="362"/>
      <c r="I112" s="363"/>
      <c r="J112" s="362" t="s">
        <v>278</v>
      </c>
      <c r="K112" s="245"/>
      <c r="L112" s="257"/>
      <c r="M112" s="597" t="s">
        <v>279</v>
      </c>
      <c r="N112" s="598"/>
      <c r="O112" s="299"/>
      <c r="P112" s="180"/>
      <c r="Q112" s="180">
        <v>2160000</v>
      </c>
      <c r="R112" s="181">
        <f t="shared" si="31"/>
        <v>6.8789808917197455</v>
      </c>
      <c r="S112" s="181">
        <v>100</v>
      </c>
      <c r="T112" s="180">
        <f t="shared" si="20"/>
        <v>23.148148148148149</v>
      </c>
      <c r="U112" s="180">
        <f t="shared" si="32"/>
        <v>1.5923566878980893</v>
      </c>
      <c r="V112" s="182">
        <f t="shared" si="22"/>
        <v>76.851851851851848</v>
      </c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>
        <v>500000</v>
      </c>
      <c r="AJ112" s="181">
        <f t="shared" si="24"/>
        <v>23.148148148148149</v>
      </c>
      <c r="AK112" s="246">
        <f t="shared" si="27"/>
        <v>1660000</v>
      </c>
      <c r="AL112" s="181">
        <f t="shared" si="25"/>
        <v>76.851851851851848</v>
      </c>
      <c r="AM112" s="243"/>
    </row>
    <row r="113" spans="1:39" ht="26.25" customHeight="1" x14ac:dyDescent="0.25">
      <c r="A113" s="243"/>
      <c r="B113" s="362"/>
      <c r="C113" s="362"/>
      <c r="D113" s="362"/>
      <c r="E113" s="362"/>
      <c r="F113" s="362"/>
      <c r="G113" s="362"/>
      <c r="H113" s="362"/>
      <c r="I113" s="363"/>
      <c r="J113" s="362" t="s">
        <v>284</v>
      </c>
      <c r="K113" s="245"/>
      <c r="L113" s="257"/>
      <c r="M113" s="597" t="s">
        <v>285</v>
      </c>
      <c r="N113" s="598"/>
      <c r="O113" s="299"/>
      <c r="P113" s="180"/>
      <c r="Q113" s="180">
        <v>18900000</v>
      </c>
      <c r="R113" s="181">
        <f t="shared" si="31"/>
        <v>60.191082802547768</v>
      </c>
      <c r="S113" s="181">
        <v>100</v>
      </c>
      <c r="T113" s="180">
        <f t="shared" si="20"/>
        <v>0</v>
      </c>
      <c r="U113" s="180">
        <f t="shared" si="32"/>
        <v>0</v>
      </c>
      <c r="V113" s="182">
        <f t="shared" si="22"/>
        <v>100</v>
      </c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>
        <v>0</v>
      </c>
      <c r="AJ113" s="181">
        <f t="shared" si="24"/>
        <v>0</v>
      </c>
      <c r="AK113" s="246">
        <f t="shared" si="27"/>
        <v>18900000</v>
      </c>
      <c r="AL113" s="181">
        <f t="shared" si="25"/>
        <v>100</v>
      </c>
      <c r="AM113" s="243"/>
    </row>
    <row r="114" spans="1:39" ht="26.25" customHeight="1" x14ac:dyDescent="0.25">
      <c r="A114" s="243"/>
      <c r="B114" s="362"/>
      <c r="C114" s="362"/>
      <c r="D114" s="362"/>
      <c r="E114" s="362"/>
      <c r="F114" s="362"/>
      <c r="G114" s="362"/>
      <c r="H114" s="362"/>
      <c r="I114" s="363"/>
      <c r="J114" s="362" t="s">
        <v>282</v>
      </c>
      <c r="K114" s="245"/>
      <c r="L114" s="257"/>
      <c r="M114" s="597" t="s">
        <v>503</v>
      </c>
      <c r="N114" s="598"/>
      <c r="O114" s="299"/>
      <c r="P114" s="180"/>
      <c r="Q114" s="180">
        <v>4110000</v>
      </c>
      <c r="R114" s="181">
        <f t="shared" si="31"/>
        <v>13.089171974522293</v>
      </c>
      <c r="S114" s="181">
        <v>100</v>
      </c>
      <c r="T114" s="180">
        <f t="shared" si="20"/>
        <v>0</v>
      </c>
      <c r="U114" s="180">
        <f t="shared" si="32"/>
        <v>0</v>
      </c>
      <c r="V114" s="182">
        <f t="shared" si="22"/>
        <v>100</v>
      </c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>
        <v>0</v>
      </c>
      <c r="AJ114" s="181">
        <f t="shared" si="24"/>
        <v>0</v>
      </c>
      <c r="AK114" s="246">
        <f t="shared" si="27"/>
        <v>4110000</v>
      </c>
      <c r="AL114" s="181">
        <f t="shared" si="25"/>
        <v>100</v>
      </c>
      <c r="AM114" s="243"/>
    </row>
    <row r="115" spans="1:39" ht="26.25" customHeight="1" x14ac:dyDescent="0.25">
      <c r="A115" s="243"/>
      <c r="B115" s="362"/>
      <c r="C115" s="362"/>
      <c r="D115" s="362"/>
      <c r="E115" s="362"/>
      <c r="F115" s="362"/>
      <c r="G115" s="362"/>
      <c r="H115" s="362"/>
      <c r="I115" s="363"/>
      <c r="J115" s="362" t="s">
        <v>304</v>
      </c>
      <c r="K115" s="245"/>
      <c r="L115" s="257"/>
      <c r="M115" s="597" t="s">
        <v>549</v>
      </c>
      <c r="N115" s="598"/>
      <c r="O115" s="299"/>
      <c r="P115" s="180"/>
      <c r="Q115" s="180">
        <v>2000000</v>
      </c>
      <c r="R115" s="181">
        <f t="shared" si="31"/>
        <v>6.369426751592357</v>
      </c>
      <c r="S115" s="181">
        <v>100</v>
      </c>
      <c r="T115" s="180">
        <f t="shared" si="20"/>
        <v>25</v>
      </c>
      <c r="U115" s="180">
        <f t="shared" si="32"/>
        <v>1.5923566878980893</v>
      </c>
      <c r="V115" s="182">
        <f t="shared" si="22"/>
        <v>75</v>
      </c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>
        <v>500000</v>
      </c>
      <c r="AJ115" s="181">
        <f t="shared" si="24"/>
        <v>25</v>
      </c>
      <c r="AK115" s="246">
        <f t="shared" si="27"/>
        <v>1500000</v>
      </c>
      <c r="AL115" s="181">
        <f t="shared" si="25"/>
        <v>75</v>
      </c>
      <c r="AM115" s="243"/>
    </row>
    <row r="116" spans="1:39" ht="26.25" customHeight="1" x14ac:dyDescent="0.25">
      <c r="A116" s="243"/>
      <c r="B116" s="362"/>
      <c r="C116" s="362"/>
      <c r="D116" s="362"/>
      <c r="E116" s="362"/>
      <c r="F116" s="362"/>
      <c r="G116" s="362"/>
      <c r="H116" s="362"/>
      <c r="I116" s="363"/>
      <c r="J116" s="362" t="s">
        <v>551</v>
      </c>
      <c r="K116" s="245"/>
      <c r="L116" s="257"/>
      <c r="M116" s="597" t="s">
        <v>550</v>
      </c>
      <c r="N116" s="598"/>
      <c r="O116" s="299"/>
      <c r="P116" s="180"/>
      <c r="Q116" s="180">
        <v>20400000</v>
      </c>
      <c r="R116" s="181">
        <f t="shared" si="31"/>
        <v>64.968152866242036</v>
      </c>
      <c r="S116" s="181">
        <v>100</v>
      </c>
      <c r="T116" s="180">
        <f t="shared" si="20"/>
        <v>0</v>
      </c>
      <c r="U116" s="180">
        <f t="shared" si="32"/>
        <v>0</v>
      </c>
      <c r="V116" s="182">
        <f t="shared" si="22"/>
        <v>100</v>
      </c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>
        <v>0</v>
      </c>
      <c r="AJ116" s="181">
        <f t="shared" si="24"/>
        <v>0</v>
      </c>
      <c r="AK116" s="246">
        <f t="shared" si="27"/>
        <v>20400000</v>
      </c>
      <c r="AL116" s="181">
        <f t="shared" si="25"/>
        <v>100</v>
      </c>
      <c r="AM116" s="243"/>
    </row>
    <row r="117" spans="1:39" ht="26.25" customHeight="1" x14ac:dyDescent="0.25">
      <c r="A117" s="243"/>
      <c r="B117" s="362"/>
      <c r="C117" s="362"/>
      <c r="D117" s="362"/>
      <c r="E117" s="362"/>
      <c r="F117" s="362"/>
      <c r="G117" s="362"/>
      <c r="H117" s="362"/>
      <c r="I117" s="363"/>
      <c r="J117" s="362" t="s">
        <v>554</v>
      </c>
      <c r="K117" s="245"/>
      <c r="L117" s="257"/>
      <c r="M117" s="597" t="s">
        <v>431</v>
      </c>
      <c r="N117" s="598"/>
      <c r="O117" s="299"/>
      <c r="P117" s="180"/>
      <c r="Q117" s="180">
        <v>2000000</v>
      </c>
      <c r="R117" s="181">
        <f t="shared" si="31"/>
        <v>6.369426751592357</v>
      </c>
      <c r="S117" s="181">
        <v>100</v>
      </c>
      <c r="T117" s="180">
        <f t="shared" si="20"/>
        <v>0</v>
      </c>
      <c r="U117" s="180">
        <f t="shared" si="32"/>
        <v>0</v>
      </c>
      <c r="V117" s="182">
        <f t="shared" si="22"/>
        <v>100</v>
      </c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>
        <v>0</v>
      </c>
      <c r="AJ117" s="181">
        <f t="shared" si="24"/>
        <v>0</v>
      </c>
      <c r="AK117" s="246">
        <f t="shared" si="27"/>
        <v>2000000</v>
      </c>
      <c r="AL117" s="181">
        <f t="shared" si="25"/>
        <v>100</v>
      </c>
      <c r="AM117" s="243"/>
    </row>
    <row r="118" spans="1:39" ht="26.25" customHeight="1" x14ac:dyDescent="0.25">
      <c r="A118" s="243"/>
      <c r="B118" s="362"/>
      <c r="C118" s="362"/>
      <c r="D118" s="362"/>
      <c r="E118" s="362"/>
      <c r="F118" s="362"/>
      <c r="G118" s="362"/>
      <c r="H118" s="362"/>
      <c r="I118" s="363"/>
      <c r="J118" s="362" t="s">
        <v>274</v>
      </c>
      <c r="K118" s="245"/>
      <c r="L118" s="257"/>
      <c r="M118" s="597" t="s">
        <v>555</v>
      </c>
      <c r="N118" s="598"/>
      <c r="O118" s="299"/>
      <c r="P118" s="180"/>
      <c r="Q118" s="180">
        <v>1000000</v>
      </c>
      <c r="R118" s="181">
        <f t="shared" si="31"/>
        <v>3.1847133757961785</v>
      </c>
      <c r="S118" s="181">
        <v>100</v>
      </c>
      <c r="T118" s="180">
        <f t="shared" si="20"/>
        <v>0</v>
      </c>
      <c r="U118" s="180">
        <f t="shared" si="32"/>
        <v>0</v>
      </c>
      <c r="V118" s="182">
        <f t="shared" si="22"/>
        <v>100</v>
      </c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>
        <v>0</v>
      </c>
      <c r="AJ118" s="181">
        <f t="shared" si="24"/>
        <v>0</v>
      </c>
      <c r="AK118" s="246">
        <f t="shared" si="27"/>
        <v>1000000</v>
      </c>
      <c r="AL118" s="181">
        <f t="shared" si="25"/>
        <v>100</v>
      </c>
      <c r="AM118" s="243"/>
    </row>
    <row r="119" spans="1:39" s="226" customFormat="1" ht="27" customHeight="1" x14ac:dyDescent="0.25">
      <c r="A119" s="289" t="s">
        <v>8</v>
      </c>
      <c r="B119" s="625" t="s">
        <v>125</v>
      </c>
      <c r="C119" s="625"/>
      <c r="D119" s="625"/>
      <c r="E119" s="625"/>
      <c r="F119" s="625"/>
      <c r="G119" s="625"/>
      <c r="H119" s="625"/>
      <c r="I119" s="625"/>
      <c r="J119" s="368" t="s">
        <v>440</v>
      </c>
      <c r="K119" s="291"/>
      <c r="L119" s="608" t="s">
        <v>23</v>
      </c>
      <c r="M119" s="625"/>
      <c r="N119" s="625"/>
      <c r="O119" s="263">
        <f>SUM(O122:O153)</f>
        <v>2275595000</v>
      </c>
      <c r="P119" s="263">
        <f>SUM(P122:P153)</f>
        <v>1979635000</v>
      </c>
      <c r="Q119" s="263">
        <f>SUM(Q120+Q122+Q134+Q136+Q139+Q143+Q150+Q152+Q154)</f>
        <v>3511736000</v>
      </c>
      <c r="R119" s="222">
        <f>Q119/Q$53*100</f>
        <v>17.402955822649453</v>
      </c>
      <c r="S119" s="222">
        <v>100</v>
      </c>
      <c r="T119" s="263">
        <f t="shared" si="20"/>
        <v>3.342441601532689</v>
      </c>
      <c r="U119" s="263">
        <f>SUM(R119*T119/100)</f>
        <v>0.58168363531259071</v>
      </c>
      <c r="V119" s="292">
        <f>SUM(S119-T119)</f>
        <v>96.657558398467316</v>
      </c>
      <c r="W119" s="263">
        <f t="shared" ref="W119:AH119" si="33">SUM(W122:W153)</f>
        <v>0</v>
      </c>
      <c r="X119" s="263" t="e">
        <f t="shared" si="33"/>
        <v>#REF!</v>
      </c>
      <c r="Y119" s="263" t="e">
        <f t="shared" si="33"/>
        <v>#REF!</v>
      </c>
      <c r="Z119" s="263" t="e">
        <f t="shared" si="33"/>
        <v>#REF!</v>
      </c>
      <c r="AA119" s="263" t="e">
        <f t="shared" si="33"/>
        <v>#REF!</v>
      </c>
      <c r="AB119" s="263">
        <f t="shared" si="33"/>
        <v>3331855358</v>
      </c>
      <c r="AC119" s="263" t="e">
        <f t="shared" si="33"/>
        <v>#REF!</v>
      </c>
      <c r="AD119" s="263" t="e">
        <f t="shared" si="33"/>
        <v>#REF!</v>
      </c>
      <c r="AE119" s="263" t="e">
        <f t="shared" si="33"/>
        <v>#REF!</v>
      </c>
      <c r="AF119" s="263" t="e">
        <f t="shared" si="33"/>
        <v>#REF!</v>
      </c>
      <c r="AG119" s="263" t="e">
        <f t="shared" si="33"/>
        <v>#REF!</v>
      </c>
      <c r="AH119" s="263" t="e">
        <f t="shared" si="33"/>
        <v>#REF!</v>
      </c>
      <c r="AI119" s="263">
        <f>SUM(AI122+AI134+AI136+AI139+AI143+AI150+AI152)</f>
        <v>117377725</v>
      </c>
      <c r="AJ119" s="222">
        <f t="shared" si="24"/>
        <v>3.342441601532689</v>
      </c>
      <c r="AK119" s="265">
        <f>SUM(Q119-AI119)</f>
        <v>3394358275</v>
      </c>
      <c r="AL119" s="222">
        <f t="shared" si="25"/>
        <v>96.657558398467316</v>
      </c>
      <c r="AM119" s="236"/>
    </row>
    <row r="120" spans="1:39" s="235" customFormat="1" ht="27" customHeight="1" x14ac:dyDescent="0.25">
      <c r="A120" s="227">
        <f>A105+1</f>
        <v>15</v>
      </c>
      <c r="B120" s="615" t="s">
        <v>126</v>
      </c>
      <c r="C120" s="615"/>
      <c r="D120" s="615"/>
      <c r="E120" s="615"/>
      <c r="F120" s="615"/>
      <c r="G120" s="615"/>
      <c r="H120" s="615"/>
      <c r="I120" s="614"/>
      <c r="J120" s="304" t="s">
        <v>557</v>
      </c>
      <c r="K120" s="230"/>
      <c r="L120" s="294"/>
      <c r="M120" s="615" t="s">
        <v>558</v>
      </c>
      <c r="N120" s="614"/>
      <c r="O120" s="295">
        <v>833155000</v>
      </c>
      <c r="P120" s="231">
        <f>O120</f>
        <v>833155000</v>
      </c>
      <c r="Q120" s="231">
        <f>SUM(Q121)</f>
        <v>318296000</v>
      </c>
      <c r="R120" s="233">
        <f>Q120/Q$54*100</f>
        <v>12.60122206294943</v>
      </c>
      <c r="S120" s="233">
        <v>100</v>
      </c>
      <c r="T120" s="231">
        <f t="shared" si="20"/>
        <v>0</v>
      </c>
      <c r="U120" s="231">
        <f t="shared" ref="U120:U135" si="34">R120*T120/100</f>
        <v>0</v>
      </c>
      <c r="V120" s="296">
        <f t="shared" ref="V120:V121" si="35">S120-T120</f>
        <v>100</v>
      </c>
      <c r="W120" s="231"/>
      <c r="X120" s="231" t="e">
        <f>#REF!</f>
        <v>#REF!</v>
      </c>
      <c r="Y120" s="231" t="e">
        <f>#REF!</f>
        <v>#REF!</v>
      </c>
      <c r="Z120" s="231" t="e">
        <f>#REF!</f>
        <v>#REF!</v>
      </c>
      <c r="AA120" s="231" t="e">
        <f>#REF!</f>
        <v>#REF!</v>
      </c>
      <c r="AB120" s="231">
        <v>139212000</v>
      </c>
      <c r="AC120" s="231" t="e">
        <f>#REF!</f>
        <v>#REF!</v>
      </c>
      <c r="AD120" s="231" t="e">
        <f>#REF!</f>
        <v>#REF!</v>
      </c>
      <c r="AE120" s="231" t="e">
        <f>#REF!</f>
        <v>#REF!</v>
      </c>
      <c r="AF120" s="231" t="e">
        <f>[1]April!N30</f>
        <v>#REF!</v>
      </c>
      <c r="AG120" s="231" t="e">
        <f>[2]april!N30</f>
        <v>#REF!</v>
      </c>
      <c r="AH120" s="231">
        <f>'[3]DES SKPD'!$N30</f>
        <v>660543350</v>
      </c>
      <c r="AI120" s="231">
        <f>SUM(AI121)</f>
        <v>0</v>
      </c>
      <c r="AJ120" s="233">
        <f t="shared" si="24"/>
        <v>0</v>
      </c>
      <c r="AK120" s="234">
        <f t="shared" ref="AK120:AK155" si="36">Q120-AI120</f>
        <v>318296000</v>
      </c>
      <c r="AL120" s="233">
        <f t="shared" si="25"/>
        <v>100</v>
      </c>
      <c r="AM120" s="227"/>
    </row>
    <row r="121" spans="1:39" s="235" customFormat="1" ht="27" customHeight="1" x14ac:dyDescent="0.25">
      <c r="A121" s="243"/>
      <c r="B121" s="362"/>
      <c r="C121" s="362"/>
      <c r="D121" s="362"/>
      <c r="E121" s="362"/>
      <c r="F121" s="362"/>
      <c r="G121" s="362"/>
      <c r="H121" s="362"/>
      <c r="I121" s="363"/>
      <c r="J121" s="362" t="s">
        <v>434</v>
      </c>
      <c r="K121" s="245"/>
      <c r="L121" s="257"/>
      <c r="M121" s="597" t="s">
        <v>559</v>
      </c>
      <c r="N121" s="598"/>
      <c r="O121" s="299"/>
      <c r="P121" s="180"/>
      <c r="Q121" s="180">
        <v>318296000</v>
      </c>
      <c r="R121" s="181">
        <f t="shared" ref="R121" si="37">Q121/Q$89*100</f>
        <v>1013.6815286624204</v>
      </c>
      <c r="S121" s="181">
        <v>100</v>
      </c>
      <c r="T121" s="180">
        <f t="shared" si="20"/>
        <v>0</v>
      </c>
      <c r="U121" s="180">
        <f t="shared" si="34"/>
        <v>0</v>
      </c>
      <c r="V121" s="182">
        <f t="shared" si="35"/>
        <v>100</v>
      </c>
      <c r="W121" s="180"/>
      <c r="X121" s="180" t="e">
        <f>#REF!</f>
        <v>#REF!</v>
      </c>
      <c r="Y121" s="180" t="e">
        <f>#REF!</f>
        <v>#REF!</v>
      </c>
      <c r="Z121" s="180" t="e">
        <f>#REF!</f>
        <v>#REF!</v>
      </c>
      <c r="AA121" s="180" t="e">
        <f>#REF!</f>
        <v>#REF!</v>
      </c>
      <c r="AB121" s="180">
        <v>139212001</v>
      </c>
      <c r="AC121" s="180" t="e">
        <f>#REF!</f>
        <v>#REF!</v>
      </c>
      <c r="AD121" s="180" t="e">
        <f>#REF!</f>
        <v>#REF!</v>
      </c>
      <c r="AE121" s="180" t="e">
        <f>#REF!</f>
        <v>#REF!</v>
      </c>
      <c r="AF121" s="180" t="e">
        <f>[1]April!N32</f>
        <v>#REF!</v>
      </c>
      <c r="AG121" s="180" t="e">
        <f>[2]april!N32</f>
        <v>#REF!</v>
      </c>
      <c r="AH121" s="180" t="e">
        <f>'[3]DES SKPD'!$N32</f>
        <v>#REF!</v>
      </c>
      <c r="AI121" s="180">
        <v>0</v>
      </c>
      <c r="AJ121" s="181">
        <f t="shared" si="24"/>
        <v>0</v>
      </c>
      <c r="AK121" s="246">
        <f t="shared" si="36"/>
        <v>318296000</v>
      </c>
      <c r="AL121" s="181">
        <f t="shared" si="25"/>
        <v>100</v>
      </c>
      <c r="AM121" s="227"/>
    </row>
    <row r="122" spans="1:39" s="297" customFormat="1" ht="33" customHeight="1" x14ac:dyDescent="0.25">
      <c r="A122" s="227">
        <f>A120+1</f>
        <v>16</v>
      </c>
      <c r="B122" s="615" t="s">
        <v>126</v>
      </c>
      <c r="C122" s="615"/>
      <c r="D122" s="615"/>
      <c r="E122" s="615"/>
      <c r="F122" s="615"/>
      <c r="G122" s="615"/>
      <c r="H122" s="615"/>
      <c r="I122" s="614"/>
      <c r="J122" s="304" t="s">
        <v>455</v>
      </c>
      <c r="K122" s="230"/>
      <c r="L122" s="294"/>
      <c r="M122" s="615" t="s">
        <v>24</v>
      </c>
      <c r="N122" s="614"/>
      <c r="O122" s="295">
        <v>833155000</v>
      </c>
      <c r="P122" s="231">
        <f>O122</f>
        <v>833155000</v>
      </c>
      <c r="Q122" s="231">
        <f>SUM(Q123:Q133)</f>
        <v>1068800000</v>
      </c>
      <c r="R122" s="233">
        <f>Q122/Q$54*100</f>
        <v>42.313400548170108</v>
      </c>
      <c r="S122" s="233">
        <v>100</v>
      </c>
      <c r="T122" s="231">
        <f t="shared" si="20"/>
        <v>0</v>
      </c>
      <c r="U122" s="231">
        <f t="shared" si="34"/>
        <v>0</v>
      </c>
      <c r="V122" s="296">
        <f t="shared" si="22"/>
        <v>100</v>
      </c>
      <c r="W122" s="231"/>
      <c r="X122" s="231" t="e">
        <f>#REF!</f>
        <v>#REF!</v>
      </c>
      <c r="Y122" s="231" t="e">
        <f>#REF!</f>
        <v>#REF!</v>
      </c>
      <c r="Z122" s="231" t="e">
        <f>#REF!</f>
        <v>#REF!</v>
      </c>
      <c r="AA122" s="231" t="e">
        <f>#REF!</f>
        <v>#REF!</v>
      </c>
      <c r="AB122" s="231">
        <v>139212000</v>
      </c>
      <c r="AC122" s="231" t="e">
        <f>#REF!</f>
        <v>#REF!</v>
      </c>
      <c r="AD122" s="231" t="e">
        <f>#REF!</f>
        <v>#REF!</v>
      </c>
      <c r="AE122" s="231" t="e">
        <f>#REF!</f>
        <v>#REF!</v>
      </c>
      <c r="AF122" s="231" t="e">
        <f>[1]April!N35</f>
        <v>#REF!</v>
      </c>
      <c r="AG122" s="231" t="e">
        <f>[2]april!N35</f>
        <v>#REF!</v>
      </c>
      <c r="AH122" s="231">
        <f>'[3]DES SKPD'!$N35</f>
        <v>979532000</v>
      </c>
      <c r="AI122" s="231">
        <f>SUM(AI123:AI133)</f>
        <v>0</v>
      </c>
      <c r="AJ122" s="233">
        <f t="shared" si="24"/>
        <v>0</v>
      </c>
      <c r="AK122" s="234">
        <f t="shared" si="36"/>
        <v>1068800000</v>
      </c>
      <c r="AL122" s="233">
        <f t="shared" si="25"/>
        <v>100</v>
      </c>
      <c r="AM122" s="227"/>
    </row>
    <row r="123" spans="1:39" ht="24.75" customHeight="1" x14ac:dyDescent="0.25">
      <c r="A123" s="243"/>
      <c r="B123" s="362"/>
      <c r="C123" s="362"/>
      <c r="D123" s="362"/>
      <c r="E123" s="362"/>
      <c r="F123" s="362"/>
      <c r="G123" s="362"/>
      <c r="H123" s="362"/>
      <c r="I123" s="363"/>
      <c r="J123" s="362" t="s">
        <v>561</v>
      </c>
      <c r="K123" s="245"/>
      <c r="L123" s="257"/>
      <c r="M123" s="597" t="s">
        <v>560</v>
      </c>
      <c r="N123" s="598"/>
      <c r="O123" s="299"/>
      <c r="P123" s="180"/>
      <c r="Q123" s="180">
        <v>35000000</v>
      </c>
      <c r="R123" s="181">
        <f t="shared" ref="R123:R133" si="38">Q123/Q$122*100</f>
        <v>3.2747005988023949</v>
      </c>
      <c r="S123" s="181">
        <v>100</v>
      </c>
      <c r="T123" s="180">
        <f t="shared" si="20"/>
        <v>0</v>
      </c>
      <c r="U123" s="180">
        <f t="shared" si="34"/>
        <v>0</v>
      </c>
      <c r="V123" s="182">
        <f t="shared" si="22"/>
        <v>100</v>
      </c>
      <c r="W123" s="180"/>
      <c r="X123" s="180" t="e">
        <f>#REF!</f>
        <v>#REF!</v>
      </c>
      <c r="Y123" s="180" t="e">
        <f>#REF!</f>
        <v>#REF!</v>
      </c>
      <c r="Z123" s="180" t="e">
        <f>#REF!</f>
        <v>#REF!</v>
      </c>
      <c r="AA123" s="180" t="e">
        <f>#REF!</f>
        <v>#REF!</v>
      </c>
      <c r="AB123" s="180">
        <v>139212001</v>
      </c>
      <c r="AC123" s="180" t="e">
        <f>#REF!</f>
        <v>#REF!</v>
      </c>
      <c r="AD123" s="180" t="e">
        <f>#REF!</f>
        <v>#REF!</v>
      </c>
      <c r="AE123" s="180" t="e">
        <f>#REF!</f>
        <v>#REF!</v>
      </c>
      <c r="AF123" s="180" t="e">
        <f>[1]April!N37</f>
        <v>#REF!</v>
      </c>
      <c r="AG123" s="180" t="e">
        <f>[2]april!N37</f>
        <v>#REF!</v>
      </c>
      <c r="AH123" s="180">
        <f>'[3]DES SKPD'!$N37</f>
        <v>0</v>
      </c>
      <c r="AI123" s="180">
        <v>0</v>
      </c>
      <c r="AJ123" s="181">
        <f t="shared" si="24"/>
        <v>0</v>
      </c>
      <c r="AK123" s="246">
        <f t="shared" si="36"/>
        <v>35000000</v>
      </c>
      <c r="AL123" s="181">
        <f t="shared" si="25"/>
        <v>100</v>
      </c>
      <c r="AM123" s="243"/>
    </row>
    <row r="124" spans="1:39" ht="33" customHeight="1" x14ac:dyDescent="0.25">
      <c r="A124" s="243"/>
      <c r="B124" s="362"/>
      <c r="C124" s="362"/>
      <c r="D124" s="362"/>
      <c r="E124" s="362"/>
      <c r="F124" s="362"/>
      <c r="G124" s="362"/>
      <c r="H124" s="362"/>
      <c r="I124" s="363"/>
      <c r="J124" s="362" t="s">
        <v>563</v>
      </c>
      <c r="K124" s="245"/>
      <c r="L124" s="257"/>
      <c r="M124" s="597" t="s">
        <v>562</v>
      </c>
      <c r="N124" s="598"/>
      <c r="O124" s="299"/>
      <c r="P124" s="180"/>
      <c r="Q124" s="180">
        <v>110000000</v>
      </c>
      <c r="R124" s="181">
        <f t="shared" si="38"/>
        <v>10.29191616766467</v>
      </c>
      <c r="S124" s="181">
        <v>100</v>
      </c>
      <c r="T124" s="180">
        <f t="shared" si="20"/>
        <v>0</v>
      </c>
      <c r="U124" s="180">
        <f t="shared" si="34"/>
        <v>0</v>
      </c>
      <c r="V124" s="182">
        <f t="shared" si="22"/>
        <v>100</v>
      </c>
      <c r="W124" s="180"/>
      <c r="X124" s="180" t="e">
        <f>#REF!</f>
        <v>#REF!</v>
      </c>
      <c r="Y124" s="180" t="e">
        <f>#REF!</f>
        <v>#REF!</v>
      </c>
      <c r="Z124" s="180" t="e">
        <f>#REF!</f>
        <v>#REF!</v>
      </c>
      <c r="AA124" s="180" t="e">
        <f>#REF!</f>
        <v>#REF!</v>
      </c>
      <c r="AB124" s="180">
        <v>139212002</v>
      </c>
      <c r="AC124" s="180" t="e">
        <f>#REF!</f>
        <v>#REF!</v>
      </c>
      <c r="AD124" s="180" t="e">
        <f>#REF!</f>
        <v>#REF!</v>
      </c>
      <c r="AE124" s="180" t="e">
        <f>#REF!</f>
        <v>#REF!</v>
      </c>
      <c r="AF124" s="180" t="e">
        <f>[1]April!N37</f>
        <v>#REF!</v>
      </c>
      <c r="AG124" s="180" t="e">
        <f>[2]april!N37</f>
        <v>#REF!</v>
      </c>
      <c r="AH124" s="180">
        <f>'[3]DES SKPD'!$N37</f>
        <v>0</v>
      </c>
      <c r="AI124" s="180">
        <v>0</v>
      </c>
      <c r="AJ124" s="181">
        <f t="shared" si="24"/>
        <v>0</v>
      </c>
      <c r="AK124" s="246">
        <f t="shared" si="36"/>
        <v>110000000</v>
      </c>
      <c r="AL124" s="181">
        <f t="shared" si="25"/>
        <v>100</v>
      </c>
      <c r="AM124" s="243"/>
    </row>
    <row r="125" spans="1:39" ht="27" customHeight="1" x14ac:dyDescent="0.25">
      <c r="A125" s="243"/>
      <c r="B125" s="362"/>
      <c r="C125" s="362"/>
      <c r="D125" s="362"/>
      <c r="E125" s="362"/>
      <c r="F125" s="362"/>
      <c r="G125" s="362"/>
      <c r="H125" s="362"/>
      <c r="I125" s="363"/>
      <c r="J125" s="362" t="s">
        <v>564</v>
      </c>
      <c r="K125" s="245"/>
      <c r="L125" s="257"/>
      <c r="M125" s="597" t="s">
        <v>565</v>
      </c>
      <c r="N125" s="598"/>
      <c r="O125" s="299"/>
      <c r="P125" s="180"/>
      <c r="Q125" s="180">
        <v>25000000</v>
      </c>
      <c r="R125" s="181">
        <f t="shared" si="38"/>
        <v>2.3390718562874251</v>
      </c>
      <c r="S125" s="181">
        <v>100</v>
      </c>
      <c r="T125" s="180">
        <f t="shared" si="20"/>
        <v>0</v>
      </c>
      <c r="U125" s="180">
        <f t="shared" si="34"/>
        <v>0</v>
      </c>
      <c r="V125" s="182">
        <f t="shared" si="22"/>
        <v>100</v>
      </c>
      <c r="W125" s="180"/>
      <c r="X125" s="180" t="e">
        <f>#REF!</f>
        <v>#REF!</v>
      </c>
      <c r="Y125" s="180" t="e">
        <f>#REF!</f>
        <v>#REF!</v>
      </c>
      <c r="Z125" s="180" t="e">
        <f>#REF!</f>
        <v>#REF!</v>
      </c>
      <c r="AA125" s="180" t="e">
        <f>#REF!</f>
        <v>#REF!</v>
      </c>
      <c r="AB125" s="180">
        <v>139212003</v>
      </c>
      <c r="AC125" s="180" t="e">
        <f>#REF!</f>
        <v>#REF!</v>
      </c>
      <c r="AD125" s="180" t="e">
        <f>#REF!</f>
        <v>#REF!</v>
      </c>
      <c r="AE125" s="180" t="e">
        <f>#REF!</f>
        <v>#REF!</v>
      </c>
      <c r="AF125" s="180" t="e">
        <f>[1]April!N38</f>
        <v>#REF!</v>
      </c>
      <c r="AG125" s="180" t="e">
        <f>[2]april!N38</f>
        <v>#REF!</v>
      </c>
      <c r="AH125" s="180">
        <f>'[3]DES SKPD'!$N38</f>
        <v>322038365</v>
      </c>
      <c r="AI125" s="180">
        <v>0</v>
      </c>
      <c r="AJ125" s="181">
        <f t="shared" si="24"/>
        <v>0</v>
      </c>
      <c r="AK125" s="246">
        <f t="shared" si="36"/>
        <v>25000000</v>
      </c>
      <c r="AL125" s="181">
        <f t="shared" si="25"/>
        <v>100</v>
      </c>
      <c r="AM125" s="243"/>
    </row>
    <row r="126" spans="1:39" ht="27.75" customHeight="1" x14ac:dyDescent="0.25">
      <c r="A126" s="243"/>
      <c r="B126" s="362"/>
      <c r="C126" s="362"/>
      <c r="D126" s="362"/>
      <c r="E126" s="362"/>
      <c r="F126" s="362"/>
      <c r="G126" s="362"/>
      <c r="H126" s="362"/>
      <c r="I126" s="363"/>
      <c r="J126" s="362" t="s">
        <v>566</v>
      </c>
      <c r="K126" s="245"/>
      <c r="L126" s="257"/>
      <c r="M126" s="597" t="s">
        <v>567</v>
      </c>
      <c r="N126" s="598"/>
      <c r="O126" s="299"/>
      <c r="P126" s="180"/>
      <c r="Q126" s="180">
        <v>12000000</v>
      </c>
      <c r="R126" s="181">
        <f t="shared" si="38"/>
        <v>1.1227544910179641</v>
      </c>
      <c r="S126" s="181">
        <v>100</v>
      </c>
      <c r="T126" s="180">
        <f t="shared" si="20"/>
        <v>0</v>
      </c>
      <c r="U126" s="180">
        <f t="shared" si="34"/>
        <v>0</v>
      </c>
      <c r="V126" s="182">
        <f t="shared" si="22"/>
        <v>100</v>
      </c>
      <c r="W126" s="180"/>
      <c r="X126" s="180" t="e">
        <f>#REF!</f>
        <v>#REF!</v>
      </c>
      <c r="Y126" s="180" t="e">
        <f>#REF!</f>
        <v>#REF!</v>
      </c>
      <c r="Z126" s="180" t="e">
        <f>#REF!</f>
        <v>#REF!</v>
      </c>
      <c r="AA126" s="180" t="e">
        <f>#REF!</f>
        <v>#REF!</v>
      </c>
      <c r="AB126" s="180">
        <v>139212004</v>
      </c>
      <c r="AC126" s="180" t="e">
        <f>#REF!</f>
        <v>#REF!</v>
      </c>
      <c r="AD126" s="180" t="e">
        <f>#REF!</f>
        <v>#REF!</v>
      </c>
      <c r="AE126" s="180" t="e">
        <f>#REF!</f>
        <v>#REF!</v>
      </c>
      <c r="AF126" s="180" t="e">
        <f>[1]April!N39</f>
        <v>#REF!</v>
      </c>
      <c r="AG126" s="180" t="e">
        <f>[2]april!N39</f>
        <v>#REF!</v>
      </c>
      <c r="AH126" s="180">
        <f>'[3]DES SKPD'!$N39</f>
        <v>676934270</v>
      </c>
      <c r="AI126" s="180">
        <v>0</v>
      </c>
      <c r="AJ126" s="181">
        <f t="shared" si="24"/>
        <v>0</v>
      </c>
      <c r="AK126" s="246">
        <f t="shared" si="36"/>
        <v>12000000</v>
      </c>
      <c r="AL126" s="181">
        <f t="shared" si="25"/>
        <v>100</v>
      </c>
      <c r="AM126" s="243"/>
    </row>
    <row r="127" spans="1:39" ht="27.75" customHeight="1" x14ac:dyDescent="0.25">
      <c r="A127" s="243"/>
      <c r="B127" s="362"/>
      <c r="C127" s="362"/>
      <c r="D127" s="362"/>
      <c r="E127" s="362"/>
      <c r="F127" s="362"/>
      <c r="G127" s="362"/>
      <c r="H127" s="362"/>
      <c r="I127" s="363"/>
      <c r="J127" s="362" t="s">
        <v>435</v>
      </c>
      <c r="K127" s="245"/>
      <c r="L127" s="257"/>
      <c r="M127" s="597" t="s">
        <v>396</v>
      </c>
      <c r="N127" s="598"/>
      <c r="O127" s="299"/>
      <c r="P127" s="180"/>
      <c r="Q127" s="180">
        <v>42500000</v>
      </c>
      <c r="R127" s="181">
        <f t="shared" si="38"/>
        <v>3.9764221556886228</v>
      </c>
      <c r="S127" s="181">
        <v>100</v>
      </c>
      <c r="T127" s="180">
        <f t="shared" si="20"/>
        <v>0</v>
      </c>
      <c r="U127" s="180">
        <f t="shared" si="34"/>
        <v>0</v>
      </c>
      <c r="V127" s="182">
        <f t="shared" ref="V127:V149" si="39">S127-T127</f>
        <v>100</v>
      </c>
      <c r="W127" s="180"/>
      <c r="X127" s="180" t="e">
        <f>#REF!</f>
        <v>#REF!</v>
      </c>
      <c r="Y127" s="180" t="e">
        <f>#REF!</f>
        <v>#REF!</v>
      </c>
      <c r="Z127" s="180" t="e">
        <f>#REF!</f>
        <v>#REF!</v>
      </c>
      <c r="AA127" s="180" t="e">
        <f>#REF!</f>
        <v>#REF!</v>
      </c>
      <c r="AB127" s="180">
        <v>139212004</v>
      </c>
      <c r="AC127" s="180" t="e">
        <f>#REF!</f>
        <v>#REF!</v>
      </c>
      <c r="AD127" s="180" t="e">
        <f>#REF!</f>
        <v>#REF!</v>
      </c>
      <c r="AE127" s="180" t="e">
        <f>#REF!</f>
        <v>#REF!</v>
      </c>
      <c r="AF127" s="180" t="e">
        <f>[1]April!N40</f>
        <v>#REF!</v>
      </c>
      <c r="AG127" s="180" t="e">
        <f>[2]april!N40</f>
        <v>#REF!</v>
      </c>
      <c r="AH127" s="180">
        <f>'[3]DES SKPD'!$N40</f>
        <v>140440000</v>
      </c>
      <c r="AI127" s="180">
        <v>0</v>
      </c>
      <c r="AJ127" s="181">
        <f t="shared" si="24"/>
        <v>0</v>
      </c>
      <c r="AK127" s="246">
        <f t="shared" si="36"/>
        <v>42500000</v>
      </c>
      <c r="AL127" s="181">
        <f t="shared" si="25"/>
        <v>100</v>
      </c>
      <c r="AM127" s="243"/>
    </row>
    <row r="128" spans="1:39" ht="27.75" customHeight="1" x14ac:dyDescent="0.25">
      <c r="A128" s="243"/>
      <c r="B128" s="362"/>
      <c r="C128" s="362"/>
      <c r="D128" s="362"/>
      <c r="E128" s="362"/>
      <c r="F128" s="362"/>
      <c r="G128" s="362"/>
      <c r="H128" s="362"/>
      <c r="I128" s="363"/>
      <c r="J128" s="362" t="s">
        <v>400</v>
      </c>
      <c r="K128" s="245"/>
      <c r="L128" s="257"/>
      <c r="M128" s="597" t="s">
        <v>568</v>
      </c>
      <c r="N128" s="598"/>
      <c r="O128" s="299"/>
      <c r="P128" s="180"/>
      <c r="Q128" s="180">
        <v>493300000</v>
      </c>
      <c r="R128" s="181">
        <f t="shared" si="38"/>
        <v>46.154565868263475</v>
      </c>
      <c r="S128" s="181">
        <v>100</v>
      </c>
      <c r="T128" s="180">
        <f t="shared" si="20"/>
        <v>0</v>
      </c>
      <c r="U128" s="180">
        <f t="shared" si="34"/>
        <v>0</v>
      </c>
      <c r="V128" s="182">
        <f t="shared" si="39"/>
        <v>100</v>
      </c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>
        <v>0</v>
      </c>
      <c r="AJ128" s="181">
        <f t="shared" si="24"/>
        <v>0</v>
      </c>
      <c r="AK128" s="246">
        <f t="shared" si="36"/>
        <v>493300000</v>
      </c>
      <c r="AL128" s="181">
        <f t="shared" si="25"/>
        <v>100</v>
      </c>
      <c r="AM128" s="243"/>
    </row>
    <row r="129" spans="1:39" ht="27.75" customHeight="1" x14ac:dyDescent="0.25">
      <c r="A129" s="243"/>
      <c r="B129" s="362"/>
      <c r="C129" s="362"/>
      <c r="D129" s="362"/>
      <c r="E129" s="362"/>
      <c r="F129" s="362"/>
      <c r="G129" s="362"/>
      <c r="H129" s="362"/>
      <c r="I129" s="363"/>
      <c r="J129" s="362" t="s">
        <v>569</v>
      </c>
      <c r="K129" s="245"/>
      <c r="L129" s="257"/>
      <c r="M129" s="597" t="s">
        <v>570</v>
      </c>
      <c r="N129" s="598"/>
      <c r="O129" s="299"/>
      <c r="P129" s="180"/>
      <c r="Q129" s="180">
        <v>50000000</v>
      </c>
      <c r="R129" s="181">
        <f t="shared" si="38"/>
        <v>4.6781437125748502</v>
      </c>
      <c r="S129" s="181">
        <v>100</v>
      </c>
      <c r="T129" s="180">
        <f t="shared" si="20"/>
        <v>0</v>
      </c>
      <c r="U129" s="180">
        <f t="shared" si="34"/>
        <v>0</v>
      </c>
      <c r="V129" s="182">
        <f t="shared" si="39"/>
        <v>100</v>
      </c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>
        <v>0</v>
      </c>
      <c r="AJ129" s="181">
        <f t="shared" si="24"/>
        <v>0</v>
      </c>
      <c r="AK129" s="246">
        <f t="shared" si="36"/>
        <v>50000000</v>
      </c>
      <c r="AL129" s="181">
        <f t="shared" si="25"/>
        <v>100</v>
      </c>
      <c r="AM129" s="243"/>
    </row>
    <row r="130" spans="1:39" ht="27.75" customHeight="1" x14ac:dyDescent="0.25">
      <c r="A130" s="243"/>
      <c r="B130" s="362"/>
      <c r="C130" s="362"/>
      <c r="D130" s="362"/>
      <c r="E130" s="362"/>
      <c r="F130" s="362"/>
      <c r="G130" s="362"/>
      <c r="H130" s="362"/>
      <c r="I130" s="363"/>
      <c r="J130" s="362" t="s">
        <v>286</v>
      </c>
      <c r="K130" s="245"/>
      <c r="L130" s="257"/>
      <c r="M130" s="597" t="s">
        <v>571</v>
      </c>
      <c r="N130" s="598"/>
      <c r="O130" s="299"/>
      <c r="P130" s="180"/>
      <c r="Q130" s="180">
        <v>50000000</v>
      </c>
      <c r="R130" s="181">
        <f t="shared" si="38"/>
        <v>4.6781437125748502</v>
      </c>
      <c r="S130" s="181">
        <v>100</v>
      </c>
      <c r="T130" s="180">
        <f t="shared" si="20"/>
        <v>0</v>
      </c>
      <c r="U130" s="180">
        <f t="shared" si="34"/>
        <v>0</v>
      </c>
      <c r="V130" s="182">
        <f t="shared" si="39"/>
        <v>100</v>
      </c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>
        <v>0</v>
      </c>
      <c r="AJ130" s="181">
        <f t="shared" si="24"/>
        <v>0</v>
      </c>
      <c r="AK130" s="246">
        <f t="shared" si="36"/>
        <v>50000000</v>
      </c>
      <c r="AL130" s="181">
        <f t="shared" si="25"/>
        <v>100</v>
      </c>
      <c r="AM130" s="243"/>
    </row>
    <row r="131" spans="1:39" ht="27.75" customHeight="1" x14ac:dyDescent="0.25">
      <c r="A131" s="243"/>
      <c r="B131" s="362"/>
      <c r="C131" s="362"/>
      <c r="D131" s="362"/>
      <c r="E131" s="362"/>
      <c r="F131" s="362"/>
      <c r="G131" s="362"/>
      <c r="H131" s="362"/>
      <c r="I131" s="363"/>
      <c r="J131" s="362" t="s">
        <v>402</v>
      </c>
      <c r="K131" s="245"/>
      <c r="L131" s="257"/>
      <c r="M131" s="597" t="s">
        <v>572</v>
      </c>
      <c r="N131" s="598"/>
      <c r="O131" s="299"/>
      <c r="P131" s="180"/>
      <c r="Q131" s="180">
        <v>192000000</v>
      </c>
      <c r="R131" s="181">
        <f t="shared" si="38"/>
        <v>17.964071856287426</v>
      </c>
      <c r="S131" s="181">
        <v>100</v>
      </c>
      <c r="T131" s="180">
        <f t="shared" si="20"/>
        <v>0</v>
      </c>
      <c r="U131" s="180">
        <f t="shared" si="34"/>
        <v>0</v>
      </c>
      <c r="V131" s="182">
        <f t="shared" si="39"/>
        <v>100</v>
      </c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>
        <v>0</v>
      </c>
      <c r="AJ131" s="181">
        <f t="shared" si="24"/>
        <v>0</v>
      </c>
      <c r="AK131" s="246">
        <f t="shared" si="36"/>
        <v>192000000</v>
      </c>
      <c r="AL131" s="181">
        <f t="shared" si="25"/>
        <v>100</v>
      </c>
      <c r="AM131" s="243"/>
    </row>
    <row r="132" spans="1:39" ht="27.75" customHeight="1" x14ac:dyDescent="0.25">
      <c r="A132" s="243"/>
      <c r="B132" s="362"/>
      <c r="C132" s="362"/>
      <c r="D132" s="362"/>
      <c r="E132" s="362"/>
      <c r="F132" s="362"/>
      <c r="G132" s="362"/>
      <c r="H132" s="362"/>
      <c r="I132" s="363"/>
      <c r="J132" s="362" t="s">
        <v>573</v>
      </c>
      <c r="K132" s="245"/>
      <c r="L132" s="257"/>
      <c r="M132" s="597" t="s">
        <v>574</v>
      </c>
      <c r="N132" s="598"/>
      <c r="O132" s="299"/>
      <c r="P132" s="180"/>
      <c r="Q132" s="180">
        <v>15000000</v>
      </c>
      <c r="R132" s="181">
        <f t="shared" si="38"/>
        <v>1.403443113772455</v>
      </c>
      <c r="S132" s="181">
        <v>100</v>
      </c>
      <c r="T132" s="180">
        <f t="shared" si="20"/>
        <v>0</v>
      </c>
      <c r="U132" s="180">
        <f t="shared" si="34"/>
        <v>0</v>
      </c>
      <c r="V132" s="182">
        <f t="shared" si="39"/>
        <v>100</v>
      </c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>
        <v>0</v>
      </c>
      <c r="AJ132" s="181">
        <f t="shared" si="24"/>
        <v>0</v>
      </c>
      <c r="AK132" s="246">
        <f t="shared" si="36"/>
        <v>15000000</v>
      </c>
      <c r="AL132" s="181">
        <f t="shared" si="25"/>
        <v>100</v>
      </c>
      <c r="AM132" s="243"/>
    </row>
    <row r="133" spans="1:39" ht="27.75" customHeight="1" x14ac:dyDescent="0.25">
      <c r="A133" s="243"/>
      <c r="B133" s="362"/>
      <c r="C133" s="362"/>
      <c r="D133" s="362"/>
      <c r="E133" s="362"/>
      <c r="F133" s="362"/>
      <c r="G133" s="362"/>
      <c r="H133" s="362"/>
      <c r="I133" s="363"/>
      <c r="J133" s="362" t="s">
        <v>575</v>
      </c>
      <c r="K133" s="245"/>
      <c r="L133" s="257"/>
      <c r="M133" s="597" t="s">
        <v>576</v>
      </c>
      <c r="N133" s="598"/>
      <c r="O133" s="299"/>
      <c r="P133" s="180"/>
      <c r="Q133" s="180">
        <v>44000000</v>
      </c>
      <c r="R133" s="181">
        <f t="shared" si="38"/>
        <v>4.1167664670658679</v>
      </c>
      <c r="S133" s="181">
        <v>100</v>
      </c>
      <c r="T133" s="180">
        <f t="shared" si="20"/>
        <v>0</v>
      </c>
      <c r="U133" s="180">
        <f t="shared" si="34"/>
        <v>0</v>
      </c>
      <c r="V133" s="182">
        <f t="shared" si="39"/>
        <v>100</v>
      </c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>
        <v>0</v>
      </c>
      <c r="AJ133" s="181">
        <f t="shared" si="24"/>
        <v>0</v>
      </c>
      <c r="AK133" s="246">
        <f t="shared" si="36"/>
        <v>44000000</v>
      </c>
      <c r="AL133" s="181">
        <f t="shared" si="25"/>
        <v>100</v>
      </c>
      <c r="AM133" s="243"/>
    </row>
    <row r="134" spans="1:39" s="297" customFormat="1" ht="24.75" customHeight="1" x14ac:dyDescent="0.25">
      <c r="A134" s="227">
        <f>A122+1</f>
        <v>17</v>
      </c>
      <c r="B134" s="615" t="s">
        <v>127</v>
      </c>
      <c r="C134" s="615"/>
      <c r="D134" s="615"/>
      <c r="E134" s="615"/>
      <c r="F134" s="615"/>
      <c r="G134" s="615"/>
      <c r="H134" s="615"/>
      <c r="I134" s="614"/>
      <c r="J134" s="304" t="s">
        <v>456</v>
      </c>
      <c r="K134" s="230"/>
      <c r="L134" s="294"/>
      <c r="M134" s="615" t="s">
        <v>579</v>
      </c>
      <c r="N134" s="614"/>
      <c r="O134" s="295">
        <v>68210000</v>
      </c>
      <c r="P134" s="231">
        <f>O134</f>
        <v>68210000</v>
      </c>
      <c r="Q134" s="231">
        <f>SUM(Q135:Q135)</f>
        <v>190800000</v>
      </c>
      <c r="R134" s="233">
        <f>Q134/Q$54*100</f>
        <v>7.5537021188162949</v>
      </c>
      <c r="S134" s="233">
        <v>100</v>
      </c>
      <c r="T134" s="231">
        <f t="shared" si="20"/>
        <v>0</v>
      </c>
      <c r="U134" s="231">
        <f t="shared" si="34"/>
        <v>0</v>
      </c>
      <c r="V134" s="296">
        <f t="shared" si="39"/>
        <v>100</v>
      </c>
      <c r="W134" s="231"/>
      <c r="X134" s="231" t="e">
        <f>#REF!</f>
        <v>#REF!</v>
      </c>
      <c r="Y134" s="231" t="e">
        <f>#REF!</f>
        <v>#REF!</v>
      </c>
      <c r="Z134" s="231" t="e">
        <f>#REF!</f>
        <v>#REF!</v>
      </c>
      <c r="AA134" s="231" t="e">
        <f>#REF!</f>
        <v>#REF!</v>
      </c>
      <c r="AB134" s="231">
        <v>139212000</v>
      </c>
      <c r="AC134" s="231" t="e">
        <f>#REF!</f>
        <v>#REF!</v>
      </c>
      <c r="AD134" s="231" t="e">
        <f>#REF!</f>
        <v>#REF!</v>
      </c>
      <c r="AE134" s="231" t="e">
        <f>#REF!</f>
        <v>#REF!</v>
      </c>
      <c r="AF134" s="231" t="e">
        <f>[1]April!N47</f>
        <v>#REF!</v>
      </c>
      <c r="AG134" s="231" t="e">
        <f>[2]april!N47</f>
        <v>#REF!</v>
      </c>
      <c r="AH134" s="231" t="e">
        <f>'[3]DES SKPD'!$N47</f>
        <v>#REF!</v>
      </c>
      <c r="AI134" s="231">
        <f>SUM(AI135)</f>
        <v>0</v>
      </c>
      <c r="AJ134" s="233">
        <f t="shared" si="24"/>
        <v>0</v>
      </c>
      <c r="AK134" s="234">
        <f t="shared" si="36"/>
        <v>190800000</v>
      </c>
      <c r="AL134" s="233">
        <f t="shared" si="25"/>
        <v>100</v>
      </c>
      <c r="AM134" s="227"/>
    </row>
    <row r="135" spans="1:39" ht="29.25" customHeight="1" x14ac:dyDescent="0.25">
      <c r="A135" s="243"/>
      <c r="B135" s="362"/>
      <c r="C135" s="362"/>
      <c r="D135" s="362"/>
      <c r="E135" s="362"/>
      <c r="F135" s="362"/>
      <c r="G135" s="362"/>
      <c r="H135" s="362"/>
      <c r="I135" s="363"/>
      <c r="J135" s="362" t="s">
        <v>577</v>
      </c>
      <c r="K135" s="245"/>
      <c r="L135" s="257"/>
      <c r="M135" s="597" t="s">
        <v>578</v>
      </c>
      <c r="N135" s="598"/>
      <c r="O135" s="299"/>
      <c r="P135" s="180"/>
      <c r="Q135" s="180">
        <v>190800000</v>
      </c>
      <c r="R135" s="181">
        <f t="shared" ref="R135" si="40">Q135/Q$122*100</f>
        <v>17.851796407185631</v>
      </c>
      <c r="S135" s="181">
        <v>100</v>
      </c>
      <c r="T135" s="180">
        <f t="shared" si="20"/>
        <v>0</v>
      </c>
      <c r="U135" s="180">
        <f t="shared" si="34"/>
        <v>0</v>
      </c>
      <c r="V135" s="182">
        <f t="shared" si="39"/>
        <v>100</v>
      </c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>
        <v>0</v>
      </c>
      <c r="AJ135" s="181">
        <f t="shared" si="24"/>
        <v>0</v>
      </c>
      <c r="AK135" s="246">
        <f t="shared" si="36"/>
        <v>190800000</v>
      </c>
      <c r="AL135" s="181">
        <f t="shared" si="25"/>
        <v>100</v>
      </c>
      <c r="AM135" s="243"/>
    </row>
    <row r="136" spans="1:39" s="297" customFormat="1" ht="31.5" customHeight="1" x14ac:dyDescent="0.25">
      <c r="A136" s="227">
        <f>A134+1</f>
        <v>18</v>
      </c>
      <c r="B136" s="615" t="s">
        <v>128</v>
      </c>
      <c r="C136" s="615"/>
      <c r="D136" s="615"/>
      <c r="E136" s="615"/>
      <c r="F136" s="615"/>
      <c r="G136" s="615"/>
      <c r="H136" s="615"/>
      <c r="I136" s="614"/>
      <c r="J136" s="304" t="s">
        <v>457</v>
      </c>
      <c r="K136" s="230"/>
      <c r="L136" s="294"/>
      <c r="M136" s="615" t="s">
        <v>129</v>
      </c>
      <c r="N136" s="614"/>
      <c r="O136" s="295">
        <v>295960000</v>
      </c>
      <c r="P136" s="231">
        <v>0</v>
      </c>
      <c r="Q136" s="231">
        <f>SUM(Q137:Q138)</f>
        <v>326040000</v>
      </c>
      <c r="R136" s="233">
        <f>Q136/Q$54*100</f>
        <v>12.907804186681682</v>
      </c>
      <c r="S136" s="233">
        <v>100</v>
      </c>
      <c r="T136" s="231">
        <f t="shared" si="20"/>
        <v>0</v>
      </c>
      <c r="U136" s="231">
        <f>R136*T136/100</f>
        <v>0</v>
      </c>
      <c r="V136" s="296">
        <f t="shared" si="39"/>
        <v>100</v>
      </c>
      <c r="W136" s="231"/>
      <c r="X136" s="231"/>
      <c r="Y136" s="231"/>
      <c r="Z136" s="231"/>
      <c r="AA136" s="231"/>
      <c r="AB136" s="231"/>
      <c r="AC136" s="231"/>
      <c r="AD136" s="231"/>
      <c r="AE136" s="231"/>
      <c r="AF136" s="231"/>
      <c r="AG136" s="231" t="e">
        <f>[2]april!N37</f>
        <v>#REF!</v>
      </c>
      <c r="AH136" s="231">
        <f>'[3]DES SKPD'!$N37</f>
        <v>0</v>
      </c>
      <c r="AI136" s="231">
        <f>SUM(AI137:AI138)</f>
        <v>0</v>
      </c>
      <c r="AJ136" s="233">
        <f t="shared" si="24"/>
        <v>0</v>
      </c>
      <c r="AK136" s="234">
        <f t="shared" si="36"/>
        <v>326040000</v>
      </c>
      <c r="AL136" s="233">
        <f t="shared" si="25"/>
        <v>100</v>
      </c>
      <c r="AM136" s="227"/>
    </row>
    <row r="137" spans="1:39" ht="24.75" customHeight="1" x14ac:dyDescent="0.25">
      <c r="A137" s="243"/>
      <c r="B137" s="362"/>
      <c r="C137" s="362"/>
      <c r="D137" s="362"/>
      <c r="E137" s="362"/>
      <c r="F137" s="362"/>
      <c r="G137" s="362"/>
      <c r="H137" s="362"/>
      <c r="I137" s="363"/>
      <c r="J137" s="362" t="s">
        <v>259</v>
      </c>
      <c r="K137" s="245"/>
      <c r="L137" s="257"/>
      <c r="M137" s="623" t="s">
        <v>260</v>
      </c>
      <c r="N137" s="624"/>
      <c r="O137" s="299"/>
      <c r="P137" s="180"/>
      <c r="Q137" s="180">
        <v>1040000</v>
      </c>
      <c r="R137" s="181">
        <f>Q137/Q$33*100</f>
        <v>3.271854703066358E-3</v>
      </c>
      <c r="S137" s="181">
        <v>100</v>
      </c>
      <c r="T137" s="180">
        <f t="shared" si="20"/>
        <v>0</v>
      </c>
      <c r="U137" s="180">
        <f>R137*T137/100</f>
        <v>0</v>
      </c>
      <c r="V137" s="182">
        <f t="shared" si="39"/>
        <v>100</v>
      </c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>
        <v>0</v>
      </c>
      <c r="AJ137" s="181">
        <f t="shared" si="24"/>
        <v>0</v>
      </c>
      <c r="AK137" s="246">
        <f t="shared" si="36"/>
        <v>1040000</v>
      </c>
      <c r="AL137" s="181">
        <f t="shared" si="25"/>
        <v>100</v>
      </c>
      <c r="AM137" s="243"/>
    </row>
    <row r="138" spans="1:39" ht="24.75" customHeight="1" x14ac:dyDescent="0.25">
      <c r="A138" s="243"/>
      <c r="B138" s="362"/>
      <c r="C138" s="362"/>
      <c r="D138" s="362"/>
      <c r="E138" s="362"/>
      <c r="F138" s="362"/>
      <c r="G138" s="362"/>
      <c r="H138" s="362"/>
      <c r="I138" s="363"/>
      <c r="J138" s="362" t="s">
        <v>288</v>
      </c>
      <c r="K138" s="245"/>
      <c r="L138" s="257"/>
      <c r="M138" s="597" t="s">
        <v>289</v>
      </c>
      <c r="N138" s="598"/>
      <c r="O138" s="299"/>
      <c r="P138" s="180"/>
      <c r="Q138" s="180">
        <v>325000000</v>
      </c>
      <c r="R138" s="181">
        <f>Q138/Q$136*100</f>
        <v>99.681020733652318</v>
      </c>
      <c r="S138" s="181">
        <v>100</v>
      </c>
      <c r="T138" s="180">
        <f t="shared" si="20"/>
        <v>0</v>
      </c>
      <c r="U138" s="180">
        <f>R138*T138/100</f>
        <v>0</v>
      </c>
      <c r="V138" s="182">
        <f t="shared" si="39"/>
        <v>100</v>
      </c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 t="e">
        <f>[2]april!N39</f>
        <v>#REF!</v>
      </c>
      <c r="AH138" s="180">
        <f>'[3]DES SKPD'!$N39</f>
        <v>676934270</v>
      </c>
      <c r="AI138" s="180">
        <v>0</v>
      </c>
      <c r="AJ138" s="181">
        <f t="shared" si="24"/>
        <v>0</v>
      </c>
      <c r="AK138" s="246">
        <f t="shared" si="36"/>
        <v>325000000</v>
      </c>
      <c r="AL138" s="181">
        <f t="shared" si="25"/>
        <v>100</v>
      </c>
      <c r="AM138" s="243"/>
    </row>
    <row r="139" spans="1:39" s="297" customFormat="1" ht="31.5" customHeight="1" x14ac:dyDescent="0.25">
      <c r="A139" s="227">
        <f>A136+1</f>
        <v>19</v>
      </c>
      <c r="B139" s="615" t="s">
        <v>128</v>
      </c>
      <c r="C139" s="615"/>
      <c r="D139" s="615"/>
      <c r="E139" s="615"/>
      <c r="F139" s="615"/>
      <c r="G139" s="615"/>
      <c r="H139" s="615"/>
      <c r="I139" s="614"/>
      <c r="J139" s="304" t="s">
        <v>458</v>
      </c>
      <c r="K139" s="230"/>
      <c r="L139" s="294"/>
      <c r="M139" s="615" t="s">
        <v>26</v>
      </c>
      <c r="N139" s="614"/>
      <c r="O139" s="295">
        <v>295960000</v>
      </c>
      <c r="P139" s="231">
        <f>O139</f>
        <v>295960000</v>
      </c>
      <c r="Q139" s="231">
        <f>SUM(Q140:Q142)</f>
        <v>151500000</v>
      </c>
      <c r="R139" s="233">
        <f>Q139/Q$54*100</f>
        <v>5.997829512582121</v>
      </c>
      <c r="S139" s="233">
        <v>100</v>
      </c>
      <c r="T139" s="231">
        <f t="shared" ref="T139:T202" si="41">AJ139</f>
        <v>0</v>
      </c>
      <c r="U139" s="231">
        <f>R139*T139/100</f>
        <v>0</v>
      </c>
      <c r="V139" s="296">
        <f t="shared" si="39"/>
        <v>100</v>
      </c>
      <c r="W139" s="231"/>
      <c r="X139" s="231" t="e">
        <f>#REF!</f>
        <v>#REF!</v>
      </c>
      <c r="Y139" s="231" t="e">
        <f>#REF!</f>
        <v>#REF!</v>
      </c>
      <c r="Z139" s="231" t="e">
        <f>#REF!</f>
        <v>#REF!</v>
      </c>
      <c r="AA139" s="231" t="e">
        <f>#REF!</f>
        <v>#REF!</v>
      </c>
      <c r="AB139" s="231">
        <v>91844000</v>
      </c>
      <c r="AC139" s="231" t="e">
        <f>#REF!</f>
        <v>#REF!</v>
      </c>
      <c r="AD139" s="231" t="e">
        <f>#REF!</f>
        <v>#REF!</v>
      </c>
      <c r="AE139" s="231" t="e">
        <f>#REF!</f>
        <v>#REF!</v>
      </c>
      <c r="AF139" s="231" t="e">
        <f>[1]April!N38</f>
        <v>#REF!</v>
      </c>
      <c r="AG139" s="231" t="e">
        <f>[2]april!N38</f>
        <v>#REF!</v>
      </c>
      <c r="AH139" s="231">
        <f>'[3]DES SKPD'!$N38</f>
        <v>322038365</v>
      </c>
      <c r="AI139" s="231">
        <f>SUM(AI140:AI142)</f>
        <v>0</v>
      </c>
      <c r="AJ139" s="233">
        <f t="shared" ref="AJ139:AJ202" si="42">AI139/Q139*100</f>
        <v>0</v>
      </c>
      <c r="AK139" s="234">
        <f t="shared" si="36"/>
        <v>151500000</v>
      </c>
      <c r="AL139" s="233">
        <f t="shared" ref="AL139:AL202" si="43">AK139/Q139*100</f>
        <v>100</v>
      </c>
      <c r="AM139" s="227"/>
    </row>
    <row r="140" spans="1:39" ht="30.75" customHeight="1" x14ac:dyDescent="0.25">
      <c r="A140" s="243"/>
      <c r="B140" s="362"/>
      <c r="C140" s="362"/>
      <c r="D140" s="362"/>
      <c r="E140" s="362"/>
      <c r="F140" s="362"/>
      <c r="G140" s="362"/>
      <c r="H140" s="362"/>
      <c r="I140" s="363"/>
      <c r="J140" s="362" t="s">
        <v>259</v>
      </c>
      <c r="K140" s="245"/>
      <c r="L140" s="257"/>
      <c r="M140" s="597" t="s">
        <v>260</v>
      </c>
      <c r="N140" s="598"/>
      <c r="O140" s="299"/>
      <c r="P140" s="180"/>
      <c r="Q140" s="180">
        <v>800000</v>
      </c>
      <c r="R140" s="181">
        <f>Q140/Q$139*100</f>
        <v>0.528052805280528</v>
      </c>
      <c r="S140" s="181">
        <v>100</v>
      </c>
      <c r="T140" s="180">
        <f t="shared" si="41"/>
        <v>0</v>
      </c>
      <c r="U140" s="180">
        <f t="shared" ref="U140:U155" si="44">R140*T140/100</f>
        <v>0</v>
      </c>
      <c r="V140" s="182">
        <f t="shared" si="39"/>
        <v>100</v>
      </c>
      <c r="W140" s="180"/>
      <c r="X140" s="180" t="e">
        <f>#REF!</f>
        <v>#REF!</v>
      </c>
      <c r="Y140" s="180" t="e">
        <f>#REF!</f>
        <v>#REF!</v>
      </c>
      <c r="Z140" s="180" t="e">
        <f>#REF!</f>
        <v>#REF!</v>
      </c>
      <c r="AA140" s="180" t="e">
        <f>#REF!</f>
        <v>#REF!</v>
      </c>
      <c r="AB140" s="180">
        <v>91844002</v>
      </c>
      <c r="AC140" s="180" t="e">
        <f>#REF!</f>
        <v>#REF!</v>
      </c>
      <c r="AD140" s="180" t="e">
        <f>#REF!</f>
        <v>#REF!</v>
      </c>
      <c r="AE140" s="180" t="e">
        <f>#REF!</f>
        <v>#REF!</v>
      </c>
      <c r="AF140" s="180" t="e">
        <f>[1]April!N40</f>
        <v>#REF!</v>
      </c>
      <c r="AG140" s="180" t="e">
        <f>[2]april!N40</f>
        <v>#REF!</v>
      </c>
      <c r="AH140" s="180">
        <f>'[3]DES SKPD'!$N40</f>
        <v>140440000</v>
      </c>
      <c r="AI140" s="180">
        <v>0</v>
      </c>
      <c r="AJ140" s="181">
        <f t="shared" si="42"/>
        <v>0</v>
      </c>
      <c r="AK140" s="246">
        <f t="shared" si="36"/>
        <v>800000</v>
      </c>
      <c r="AL140" s="181">
        <f t="shared" si="43"/>
        <v>100</v>
      </c>
      <c r="AM140" s="243"/>
    </row>
    <row r="141" spans="1:39" ht="24.75" customHeight="1" x14ac:dyDescent="0.25">
      <c r="A141" s="243"/>
      <c r="B141" s="362"/>
      <c r="C141" s="362"/>
      <c r="D141" s="362"/>
      <c r="E141" s="362"/>
      <c r="F141" s="362"/>
      <c r="G141" s="362"/>
      <c r="H141" s="362"/>
      <c r="I141" s="363"/>
      <c r="J141" s="362" t="s">
        <v>290</v>
      </c>
      <c r="K141" s="245"/>
      <c r="L141" s="257"/>
      <c r="M141" s="597" t="s">
        <v>291</v>
      </c>
      <c r="N141" s="598"/>
      <c r="O141" s="299"/>
      <c r="P141" s="180"/>
      <c r="Q141" s="180">
        <v>95400000</v>
      </c>
      <c r="R141" s="181">
        <f>Q141/Q$139*100</f>
        <v>62.970297029702969</v>
      </c>
      <c r="S141" s="181">
        <v>100</v>
      </c>
      <c r="T141" s="180">
        <f t="shared" si="41"/>
        <v>0</v>
      </c>
      <c r="U141" s="180">
        <f t="shared" si="44"/>
        <v>0</v>
      </c>
      <c r="V141" s="182">
        <f t="shared" si="39"/>
        <v>100</v>
      </c>
      <c r="W141" s="180"/>
      <c r="X141" s="180" t="e">
        <f>#REF!</f>
        <v>#REF!</v>
      </c>
      <c r="Y141" s="180" t="e">
        <f>#REF!</f>
        <v>#REF!</v>
      </c>
      <c r="Z141" s="180" t="e">
        <f>#REF!</f>
        <v>#REF!</v>
      </c>
      <c r="AA141" s="180" t="e">
        <f>#REF!</f>
        <v>#REF!</v>
      </c>
      <c r="AB141" s="180">
        <v>91844003</v>
      </c>
      <c r="AC141" s="180" t="e">
        <f>#REF!</f>
        <v>#REF!</v>
      </c>
      <c r="AD141" s="180" t="e">
        <f>#REF!</f>
        <v>#REF!</v>
      </c>
      <c r="AE141" s="180" t="e">
        <f>#REF!</f>
        <v>#REF!</v>
      </c>
      <c r="AF141" s="180" t="e">
        <f>[1]April!N41</f>
        <v>#REF!</v>
      </c>
      <c r="AG141" s="180" t="e">
        <f>[2]april!N41</f>
        <v>#REF!</v>
      </c>
      <c r="AH141" s="180">
        <f>'[3]DES SKPD'!$N41</f>
        <v>231767600</v>
      </c>
      <c r="AI141" s="180">
        <v>0</v>
      </c>
      <c r="AJ141" s="181">
        <f t="shared" si="42"/>
        <v>0</v>
      </c>
      <c r="AK141" s="246">
        <f t="shared" si="36"/>
        <v>95400000</v>
      </c>
      <c r="AL141" s="181">
        <f t="shared" si="43"/>
        <v>100</v>
      </c>
      <c r="AM141" s="243"/>
    </row>
    <row r="142" spans="1:39" ht="36" customHeight="1" x14ac:dyDescent="0.25">
      <c r="A142" s="243"/>
      <c r="B142" s="362"/>
      <c r="C142" s="362"/>
      <c r="D142" s="362"/>
      <c r="E142" s="362"/>
      <c r="F142" s="362"/>
      <c r="G142" s="362"/>
      <c r="H142" s="362"/>
      <c r="I142" s="363"/>
      <c r="J142" s="362" t="s">
        <v>292</v>
      </c>
      <c r="K142" s="245"/>
      <c r="L142" s="257"/>
      <c r="M142" s="597" t="s">
        <v>293</v>
      </c>
      <c r="N142" s="598"/>
      <c r="O142" s="299"/>
      <c r="P142" s="180"/>
      <c r="Q142" s="180">
        <v>55300000</v>
      </c>
      <c r="R142" s="181">
        <f>Q142/Q$139*100</f>
        <v>36.5016501650165</v>
      </c>
      <c r="S142" s="181">
        <v>100</v>
      </c>
      <c r="T142" s="180">
        <f t="shared" si="41"/>
        <v>0</v>
      </c>
      <c r="U142" s="180">
        <f t="shared" si="44"/>
        <v>0</v>
      </c>
      <c r="V142" s="182">
        <f t="shared" si="39"/>
        <v>100</v>
      </c>
      <c r="W142" s="180"/>
      <c r="X142" s="180" t="e">
        <f>#REF!</f>
        <v>#REF!</v>
      </c>
      <c r="Y142" s="180" t="e">
        <f>#REF!</f>
        <v>#REF!</v>
      </c>
      <c r="Z142" s="180" t="e">
        <f>#REF!</f>
        <v>#REF!</v>
      </c>
      <c r="AA142" s="180" t="e">
        <f>#REF!</f>
        <v>#REF!</v>
      </c>
      <c r="AB142" s="180">
        <v>91844004</v>
      </c>
      <c r="AC142" s="180" t="e">
        <f>#REF!</f>
        <v>#REF!</v>
      </c>
      <c r="AD142" s="180" t="e">
        <f>#REF!</f>
        <v>#REF!</v>
      </c>
      <c r="AE142" s="180" t="e">
        <f>#REF!</f>
        <v>#REF!</v>
      </c>
      <c r="AF142" s="180" t="e">
        <f>[1]April!N42</f>
        <v>#REF!</v>
      </c>
      <c r="AG142" s="180" t="e">
        <f>[2]april!N42</f>
        <v>#REF!</v>
      </c>
      <c r="AH142" s="180" t="e">
        <f>'[3]DES SKPD'!$N42</f>
        <v>#REF!</v>
      </c>
      <c r="AI142" s="180">
        <v>0</v>
      </c>
      <c r="AJ142" s="181">
        <f t="shared" si="42"/>
        <v>0</v>
      </c>
      <c r="AK142" s="246">
        <f t="shared" si="36"/>
        <v>55300000</v>
      </c>
      <c r="AL142" s="181">
        <f t="shared" si="43"/>
        <v>100</v>
      </c>
      <c r="AM142" s="243"/>
    </row>
    <row r="143" spans="1:39" s="297" customFormat="1" ht="32.25" customHeight="1" x14ac:dyDescent="0.25">
      <c r="A143" s="227">
        <f>A139+1</f>
        <v>20</v>
      </c>
      <c r="B143" s="615" t="s">
        <v>130</v>
      </c>
      <c r="C143" s="615"/>
      <c r="D143" s="615"/>
      <c r="E143" s="615"/>
      <c r="F143" s="615"/>
      <c r="G143" s="615"/>
      <c r="H143" s="615"/>
      <c r="I143" s="614"/>
      <c r="J143" s="304" t="s">
        <v>459</v>
      </c>
      <c r="K143" s="230"/>
      <c r="L143" s="294"/>
      <c r="M143" s="615" t="s">
        <v>27</v>
      </c>
      <c r="N143" s="614"/>
      <c r="O143" s="295">
        <v>641710000</v>
      </c>
      <c r="P143" s="231">
        <f>O143</f>
        <v>641710000</v>
      </c>
      <c r="Q143" s="231">
        <f>SUM(Q144:Q149)</f>
        <v>1030500000</v>
      </c>
      <c r="R143" s="233">
        <f>Q143/Q$54*100</f>
        <v>40.797117575682343</v>
      </c>
      <c r="S143" s="233">
        <v>100</v>
      </c>
      <c r="T143" s="231">
        <f>AJ143</f>
        <v>7.28119602134886</v>
      </c>
      <c r="U143" s="231">
        <f>R143*T143/100</f>
        <v>2.9705181017455993</v>
      </c>
      <c r="V143" s="296">
        <f>S143-T143</f>
        <v>92.718803978651138</v>
      </c>
      <c r="W143" s="231"/>
      <c r="X143" s="231" t="e">
        <f>#REF!</f>
        <v>#REF!</v>
      </c>
      <c r="Y143" s="231" t="e">
        <f>#REF!</f>
        <v>#REF!</v>
      </c>
      <c r="Z143" s="231" t="e">
        <f>#REF!</f>
        <v>#REF!</v>
      </c>
      <c r="AA143" s="231" t="e">
        <f>#REF!</f>
        <v>#REF!</v>
      </c>
      <c r="AB143" s="231">
        <v>335806263</v>
      </c>
      <c r="AC143" s="231" t="e">
        <f>#REF!</f>
        <v>#REF!</v>
      </c>
      <c r="AD143" s="231" t="e">
        <f>#REF!</f>
        <v>#REF!</v>
      </c>
      <c r="AE143" s="231" t="e">
        <f>#REF!</f>
        <v>#REF!</v>
      </c>
      <c r="AF143" s="231" t="e">
        <f>[1]April!N39</f>
        <v>#REF!</v>
      </c>
      <c r="AG143" s="231" t="e">
        <f>[2]april!N39</f>
        <v>#REF!</v>
      </c>
      <c r="AH143" s="231">
        <f>'[3]DES SKPD'!$N39</f>
        <v>676934270</v>
      </c>
      <c r="AI143" s="231">
        <f>SUM(AI144:AI149)</f>
        <v>75032725</v>
      </c>
      <c r="AJ143" s="233">
        <f>AI143/Q143*100</f>
        <v>7.28119602134886</v>
      </c>
      <c r="AK143" s="234">
        <f>Q143-AI143</f>
        <v>955467275</v>
      </c>
      <c r="AL143" s="233">
        <f>AK143/Q143*100</f>
        <v>92.718803978651138</v>
      </c>
      <c r="AM143" s="227"/>
    </row>
    <row r="144" spans="1:39" s="297" customFormat="1" ht="32.25" customHeight="1" x14ac:dyDescent="0.25">
      <c r="A144" s="227"/>
      <c r="B144" s="367"/>
      <c r="C144" s="367"/>
      <c r="D144" s="367"/>
      <c r="E144" s="367"/>
      <c r="F144" s="367"/>
      <c r="G144" s="367"/>
      <c r="H144" s="367"/>
      <c r="I144" s="366"/>
      <c r="J144" s="362" t="s">
        <v>259</v>
      </c>
      <c r="K144" s="245"/>
      <c r="L144" s="257"/>
      <c r="M144" s="597" t="s">
        <v>260</v>
      </c>
      <c r="N144" s="598"/>
      <c r="O144" s="299"/>
      <c r="P144" s="180"/>
      <c r="Q144" s="180">
        <v>800000</v>
      </c>
      <c r="R144" s="181">
        <f>Q144/Q$139*100</f>
        <v>0.528052805280528</v>
      </c>
      <c r="S144" s="181">
        <v>100</v>
      </c>
      <c r="T144" s="180">
        <f t="shared" ref="T144" si="45">AJ144</f>
        <v>0</v>
      </c>
      <c r="U144" s="180">
        <f t="shared" ref="U144" si="46">R144*T144/100</f>
        <v>0</v>
      </c>
      <c r="V144" s="182">
        <f t="shared" ref="V144" si="47">S144-T144</f>
        <v>100</v>
      </c>
      <c r="W144" s="180"/>
      <c r="X144" s="180" t="e">
        <f>#REF!</f>
        <v>#REF!</v>
      </c>
      <c r="Y144" s="180" t="e">
        <f>#REF!</f>
        <v>#REF!</v>
      </c>
      <c r="Z144" s="180" t="e">
        <f>#REF!</f>
        <v>#REF!</v>
      </c>
      <c r="AA144" s="180" t="e">
        <f>#REF!</f>
        <v>#REF!</v>
      </c>
      <c r="AB144" s="180">
        <v>91844002</v>
      </c>
      <c r="AC144" s="180" t="e">
        <f>#REF!</f>
        <v>#REF!</v>
      </c>
      <c r="AD144" s="180" t="e">
        <f>#REF!</f>
        <v>#REF!</v>
      </c>
      <c r="AE144" s="180" t="e">
        <f>#REF!</f>
        <v>#REF!</v>
      </c>
      <c r="AF144" s="180" t="e">
        <f>[1]April!N44</f>
        <v>#REF!</v>
      </c>
      <c r="AG144" s="180" t="e">
        <f>[2]april!N44</f>
        <v>#REF!</v>
      </c>
      <c r="AH144" s="180" t="e">
        <f>'[3]DES SKPD'!$N44</f>
        <v>#REF!</v>
      </c>
      <c r="AI144" s="180">
        <v>0</v>
      </c>
      <c r="AJ144" s="181">
        <f t="shared" ref="AJ144" si="48">AI144/Q144*100</f>
        <v>0</v>
      </c>
      <c r="AK144" s="246">
        <f t="shared" ref="AK144" si="49">Q144-AI144</f>
        <v>800000</v>
      </c>
      <c r="AL144" s="181">
        <f t="shared" ref="AL144" si="50">AK144/Q144*100</f>
        <v>100</v>
      </c>
      <c r="AM144" s="227"/>
    </row>
    <row r="145" spans="1:39" ht="28.5" customHeight="1" x14ac:dyDescent="0.25">
      <c r="A145" s="243"/>
      <c r="B145" s="362"/>
      <c r="C145" s="362"/>
      <c r="D145" s="362"/>
      <c r="E145" s="362"/>
      <c r="F145" s="362"/>
      <c r="G145" s="362"/>
      <c r="H145" s="362"/>
      <c r="I145" s="363"/>
      <c r="J145" s="362" t="s">
        <v>294</v>
      </c>
      <c r="K145" s="245"/>
      <c r="L145" s="257"/>
      <c r="M145" s="597" t="s">
        <v>295</v>
      </c>
      <c r="N145" s="598"/>
      <c r="O145" s="299"/>
      <c r="P145" s="180"/>
      <c r="Q145" s="180">
        <v>67090000</v>
      </c>
      <c r="R145" s="181">
        <f t="shared" ref="R145:R149" si="51">Q145/Q$143*100</f>
        <v>6.5104318292091223</v>
      </c>
      <c r="S145" s="181">
        <v>100</v>
      </c>
      <c r="T145" s="180">
        <f t="shared" si="41"/>
        <v>0</v>
      </c>
      <c r="U145" s="180">
        <f t="shared" si="44"/>
        <v>0</v>
      </c>
      <c r="V145" s="182">
        <f t="shared" si="39"/>
        <v>100</v>
      </c>
      <c r="W145" s="180"/>
      <c r="X145" s="180" t="e">
        <f>#REF!</f>
        <v>#REF!</v>
      </c>
      <c r="Y145" s="180" t="e">
        <f>#REF!</f>
        <v>#REF!</v>
      </c>
      <c r="Z145" s="180" t="e">
        <f>#REF!</f>
        <v>#REF!</v>
      </c>
      <c r="AA145" s="180" t="e">
        <f>#REF!</f>
        <v>#REF!</v>
      </c>
      <c r="AB145" s="180">
        <v>335806265</v>
      </c>
      <c r="AC145" s="180" t="e">
        <f>#REF!</f>
        <v>#REF!</v>
      </c>
      <c r="AD145" s="180" t="e">
        <f>#REF!</f>
        <v>#REF!</v>
      </c>
      <c r="AE145" s="180" t="e">
        <f>#REF!</f>
        <v>#REF!</v>
      </c>
      <c r="AF145" s="180" t="e">
        <f>[1]April!N41</f>
        <v>#REF!</v>
      </c>
      <c r="AG145" s="180" t="e">
        <f>[2]april!N41</f>
        <v>#REF!</v>
      </c>
      <c r="AH145" s="180">
        <f>'[3]DES SKPD'!$N41</f>
        <v>231767600</v>
      </c>
      <c r="AI145" s="180">
        <v>0</v>
      </c>
      <c r="AJ145" s="181">
        <f t="shared" si="42"/>
        <v>0</v>
      </c>
      <c r="AK145" s="246">
        <f t="shared" si="36"/>
        <v>67090000</v>
      </c>
      <c r="AL145" s="181">
        <f t="shared" si="43"/>
        <v>100</v>
      </c>
      <c r="AM145" s="243"/>
    </row>
    <row r="146" spans="1:39" ht="28.5" customHeight="1" x14ac:dyDescent="0.25">
      <c r="A146" s="243"/>
      <c r="B146" s="362"/>
      <c r="C146" s="362"/>
      <c r="D146" s="362"/>
      <c r="E146" s="362"/>
      <c r="F146" s="362"/>
      <c r="G146" s="362"/>
      <c r="H146" s="362"/>
      <c r="I146" s="363"/>
      <c r="J146" s="362" t="s">
        <v>296</v>
      </c>
      <c r="K146" s="245"/>
      <c r="L146" s="257"/>
      <c r="M146" s="597" t="s">
        <v>297</v>
      </c>
      <c r="N146" s="598"/>
      <c r="O146" s="299"/>
      <c r="P146" s="180"/>
      <c r="Q146" s="180">
        <v>297450000</v>
      </c>
      <c r="R146" s="181">
        <f t="shared" si="51"/>
        <v>28.864628820960696</v>
      </c>
      <c r="S146" s="181">
        <v>100</v>
      </c>
      <c r="T146" s="180">
        <f t="shared" si="41"/>
        <v>3.0182551689359558</v>
      </c>
      <c r="U146" s="180">
        <f t="shared" si="44"/>
        <v>0.87120815138282381</v>
      </c>
      <c r="V146" s="182">
        <f t="shared" si="39"/>
        <v>96.981744831064049</v>
      </c>
      <c r="W146" s="180"/>
      <c r="X146" s="180" t="e">
        <f>#REF!</f>
        <v>#REF!</v>
      </c>
      <c r="Y146" s="180" t="e">
        <f>#REF!</f>
        <v>#REF!</v>
      </c>
      <c r="Z146" s="180" t="e">
        <f>#REF!</f>
        <v>#REF!</v>
      </c>
      <c r="AA146" s="180" t="e">
        <f>#REF!</f>
        <v>#REF!</v>
      </c>
      <c r="AB146" s="180">
        <v>335806266</v>
      </c>
      <c r="AC146" s="180" t="e">
        <f>#REF!</f>
        <v>#REF!</v>
      </c>
      <c r="AD146" s="180" t="e">
        <f>#REF!</f>
        <v>#REF!</v>
      </c>
      <c r="AE146" s="180" t="e">
        <f>#REF!</f>
        <v>#REF!</v>
      </c>
      <c r="AF146" s="180" t="e">
        <f>[1]April!N42</f>
        <v>#REF!</v>
      </c>
      <c r="AG146" s="180" t="e">
        <f>[2]april!N42</f>
        <v>#REF!</v>
      </c>
      <c r="AH146" s="180" t="e">
        <f>'[3]DES SKPD'!$N42</f>
        <v>#REF!</v>
      </c>
      <c r="AI146" s="180">
        <v>8977800</v>
      </c>
      <c r="AJ146" s="181">
        <f t="shared" si="42"/>
        <v>3.0182551689359558</v>
      </c>
      <c r="AK146" s="246">
        <f t="shared" si="36"/>
        <v>288472200</v>
      </c>
      <c r="AL146" s="181">
        <f t="shared" si="43"/>
        <v>96.981744831064049</v>
      </c>
      <c r="AM146" s="243"/>
    </row>
    <row r="147" spans="1:39" ht="28.5" customHeight="1" x14ac:dyDescent="0.25">
      <c r="A147" s="243"/>
      <c r="B147" s="362"/>
      <c r="C147" s="362"/>
      <c r="D147" s="362"/>
      <c r="E147" s="362"/>
      <c r="F147" s="362"/>
      <c r="G147" s="362"/>
      <c r="H147" s="362"/>
      <c r="I147" s="363"/>
      <c r="J147" s="362" t="s">
        <v>298</v>
      </c>
      <c r="K147" s="245"/>
      <c r="L147" s="257"/>
      <c r="M147" s="597" t="s">
        <v>299</v>
      </c>
      <c r="N147" s="598"/>
      <c r="O147" s="299"/>
      <c r="P147" s="180"/>
      <c r="Q147" s="180">
        <v>241500000</v>
      </c>
      <c r="R147" s="181">
        <f t="shared" si="51"/>
        <v>23.435225618631733</v>
      </c>
      <c r="S147" s="181">
        <v>100</v>
      </c>
      <c r="T147" s="180">
        <f t="shared" si="41"/>
        <v>24.461190476190474</v>
      </c>
      <c r="U147" s="180">
        <f t="shared" si="44"/>
        <v>5.7325351770984954</v>
      </c>
      <c r="V147" s="182">
        <f t="shared" si="39"/>
        <v>75.538809523809533</v>
      </c>
      <c r="W147" s="180"/>
      <c r="X147" s="180" t="e">
        <f>#REF!</f>
        <v>#REF!</v>
      </c>
      <c r="Y147" s="180" t="e">
        <f>#REF!</f>
        <v>#REF!</v>
      </c>
      <c r="Z147" s="180" t="e">
        <f>#REF!</f>
        <v>#REF!</v>
      </c>
      <c r="AA147" s="180" t="e">
        <f>#REF!</f>
        <v>#REF!</v>
      </c>
      <c r="AB147" s="180">
        <v>335806267</v>
      </c>
      <c r="AC147" s="180" t="e">
        <f>#REF!</f>
        <v>#REF!</v>
      </c>
      <c r="AD147" s="180" t="e">
        <f>#REF!</f>
        <v>#REF!</v>
      </c>
      <c r="AE147" s="180" t="e">
        <f>#REF!</f>
        <v>#REF!</v>
      </c>
      <c r="AF147" s="180" t="e">
        <f>[1]April!N43</f>
        <v>#REF!</v>
      </c>
      <c r="AG147" s="180" t="e">
        <f>[2]april!N43</f>
        <v>#REF!</v>
      </c>
      <c r="AH147" s="180">
        <f>'[3]DES SKPD'!$N43</f>
        <v>38085000</v>
      </c>
      <c r="AI147" s="180">
        <v>59073775</v>
      </c>
      <c r="AJ147" s="181">
        <f t="shared" si="42"/>
        <v>24.461190476190474</v>
      </c>
      <c r="AK147" s="246">
        <f t="shared" si="36"/>
        <v>182426225</v>
      </c>
      <c r="AL147" s="181">
        <f t="shared" si="43"/>
        <v>75.538809523809519</v>
      </c>
      <c r="AM147" s="243"/>
    </row>
    <row r="148" spans="1:39" ht="28.5" customHeight="1" x14ac:dyDescent="0.25">
      <c r="A148" s="243"/>
      <c r="B148" s="362"/>
      <c r="C148" s="362"/>
      <c r="D148" s="362"/>
      <c r="E148" s="362"/>
      <c r="F148" s="362"/>
      <c r="G148" s="362"/>
      <c r="H148" s="362"/>
      <c r="I148" s="363"/>
      <c r="J148" s="362" t="s">
        <v>581</v>
      </c>
      <c r="K148" s="245"/>
      <c r="L148" s="257"/>
      <c r="M148" s="597" t="s">
        <v>580</v>
      </c>
      <c r="N148" s="598"/>
      <c r="O148" s="299"/>
      <c r="P148" s="180"/>
      <c r="Q148" s="180">
        <v>411660000</v>
      </c>
      <c r="R148" s="181">
        <f t="shared" si="51"/>
        <v>39.94759825327511</v>
      </c>
      <c r="S148" s="181">
        <v>100</v>
      </c>
      <c r="T148" s="180">
        <f t="shared" si="41"/>
        <v>1.6958533741437107</v>
      </c>
      <c r="U148" s="180">
        <f t="shared" si="44"/>
        <v>0.67745269286753995</v>
      </c>
      <c r="V148" s="182">
        <f t="shared" si="39"/>
        <v>98.304146625856291</v>
      </c>
      <c r="W148" s="180"/>
      <c r="X148" s="180" t="e">
        <f>#REF!</f>
        <v>#REF!</v>
      </c>
      <c r="Y148" s="180" t="e">
        <f>#REF!</f>
        <v>#REF!</v>
      </c>
      <c r="Z148" s="180" t="e">
        <f>#REF!</f>
        <v>#REF!</v>
      </c>
      <c r="AA148" s="180" t="e">
        <f>#REF!</f>
        <v>#REF!</v>
      </c>
      <c r="AB148" s="180">
        <v>335806268</v>
      </c>
      <c r="AC148" s="180" t="e">
        <f>#REF!</f>
        <v>#REF!</v>
      </c>
      <c r="AD148" s="180" t="e">
        <f>#REF!</f>
        <v>#REF!</v>
      </c>
      <c r="AE148" s="180" t="e">
        <f>#REF!</f>
        <v>#REF!</v>
      </c>
      <c r="AF148" s="180" t="e">
        <f>[1]April!N44</f>
        <v>#REF!</v>
      </c>
      <c r="AG148" s="180" t="e">
        <f>[2]april!N44</f>
        <v>#REF!</v>
      </c>
      <c r="AH148" s="180" t="e">
        <f>'[3]DES SKPD'!$N44</f>
        <v>#REF!</v>
      </c>
      <c r="AI148" s="180">
        <v>6981150</v>
      </c>
      <c r="AJ148" s="181">
        <f t="shared" si="42"/>
        <v>1.6958533741437107</v>
      </c>
      <c r="AK148" s="246">
        <f t="shared" si="36"/>
        <v>404678850</v>
      </c>
      <c r="AL148" s="181">
        <f t="shared" si="43"/>
        <v>98.304146625856291</v>
      </c>
      <c r="AM148" s="243"/>
    </row>
    <row r="149" spans="1:39" ht="32.25" customHeight="1" x14ac:dyDescent="0.25">
      <c r="A149" s="243"/>
      <c r="B149" s="362"/>
      <c r="C149" s="362"/>
      <c r="D149" s="362"/>
      <c r="E149" s="362"/>
      <c r="F149" s="362"/>
      <c r="G149" s="362"/>
      <c r="H149" s="362"/>
      <c r="I149" s="363"/>
      <c r="J149" s="362" t="s">
        <v>551</v>
      </c>
      <c r="K149" s="245"/>
      <c r="L149" s="257"/>
      <c r="M149" s="597" t="s">
        <v>550</v>
      </c>
      <c r="N149" s="598"/>
      <c r="O149" s="299"/>
      <c r="P149" s="180"/>
      <c r="Q149" s="180">
        <v>12000000</v>
      </c>
      <c r="R149" s="181">
        <f t="shared" si="51"/>
        <v>1.1644832605531297</v>
      </c>
      <c r="S149" s="181"/>
      <c r="T149" s="180">
        <f t="shared" si="41"/>
        <v>0</v>
      </c>
      <c r="U149" s="180">
        <f t="shared" si="44"/>
        <v>0</v>
      </c>
      <c r="V149" s="182">
        <f t="shared" si="39"/>
        <v>0</v>
      </c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>
        <v>0</v>
      </c>
      <c r="AJ149" s="181">
        <f t="shared" si="42"/>
        <v>0</v>
      </c>
      <c r="AK149" s="246">
        <f t="shared" si="36"/>
        <v>12000000</v>
      </c>
      <c r="AL149" s="181">
        <f t="shared" si="43"/>
        <v>100</v>
      </c>
      <c r="AM149" s="243"/>
    </row>
    <row r="150" spans="1:39" s="297" customFormat="1" ht="33.75" customHeight="1" x14ac:dyDescent="0.25">
      <c r="A150" s="227">
        <f>A143+1</f>
        <v>21</v>
      </c>
      <c r="B150" s="615" t="s">
        <v>131</v>
      </c>
      <c r="C150" s="615"/>
      <c r="D150" s="615"/>
      <c r="E150" s="615"/>
      <c r="F150" s="615"/>
      <c r="G150" s="615"/>
      <c r="H150" s="615"/>
      <c r="I150" s="614"/>
      <c r="J150" s="304" t="s">
        <v>460</v>
      </c>
      <c r="K150" s="230"/>
      <c r="L150" s="294"/>
      <c r="M150" s="615" t="s">
        <v>28</v>
      </c>
      <c r="N150" s="614"/>
      <c r="O150" s="295">
        <v>140600000</v>
      </c>
      <c r="P150" s="231">
        <f>O150</f>
        <v>140600000</v>
      </c>
      <c r="Q150" s="231">
        <f>SUM(Q151:Q151)</f>
        <v>96500000</v>
      </c>
      <c r="R150" s="233">
        <f>Q150/Q$119*100</f>
        <v>2.7479286597853601</v>
      </c>
      <c r="S150" s="233">
        <v>100</v>
      </c>
      <c r="T150" s="231">
        <f t="shared" si="41"/>
        <v>0</v>
      </c>
      <c r="U150" s="231">
        <f t="shared" si="44"/>
        <v>0</v>
      </c>
      <c r="V150" s="296">
        <f>S150-T150</f>
        <v>100</v>
      </c>
      <c r="W150" s="231"/>
      <c r="X150" s="231" t="e">
        <f>#REF!</f>
        <v>#REF!</v>
      </c>
      <c r="Y150" s="231" t="e">
        <f>#REF!</f>
        <v>#REF!</v>
      </c>
      <c r="Z150" s="231" t="e">
        <f>#REF!</f>
        <v>#REF!</v>
      </c>
      <c r="AA150" s="231" t="e">
        <f>#REF!</f>
        <v>#REF!</v>
      </c>
      <c r="AB150" s="231">
        <v>54780000</v>
      </c>
      <c r="AC150" s="231" t="e">
        <f>#REF!</f>
        <v>#REF!</v>
      </c>
      <c r="AD150" s="231" t="e">
        <f>#REF!</f>
        <v>#REF!</v>
      </c>
      <c r="AE150" s="231" t="e">
        <f>#REF!</f>
        <v>#REF!</v>
      </c>
      <c r="AF150" s="231" t="e">
        <f>[1]April!N40</f>
        <v>#REF!</v>
      </c>
      <c r="AG150" s="231">
        <v>140440000</v>
      </c>
      <c r="AH150" s="231">
        <f>'[3]DES SKPD'!$N40</f>
        <v>140440000</v>
      </c>
      <c r="AI150" s="231">
        <f>SUM(AI151:AI151)</f>
        <v>0</v>
      </c>
      <c r="AJ150" s="233">
        <f t="shared" si="42"/>
        <v>0</v>
      </c>
      <c r="AK150" s="234">
        <f t="shared" si="36"/>
        <v>96500000</v>
      </c>
      <c r="AL150" s="233">
        <f t="shared" si="43"/>
        <v>100</v>
      </c>
      <c r="AM150" s="227"/>
    </row>
    <row r="151" spans="1:39" ht="29.25" customHeight="1" x14ac:dyDescent="0.25">
      <c r="A151" s="243"/>
      <c r="B151" s="362"/>
      <c r="C151" s="362"/>
      <c r="D151" s="362"/>
      <c r="E151" s="362"/>
      <c r="F151" s="362"/>
      <c r="G151" s="362"/>
      <c r="H151" s="362"/>
      <c r="I151" s="363"/>
      <c r="J151" s="362" t="s">
        <v>302</v>
      </c>
      <c r="K151" s="245"/>
      <c r="L151" s="257"/>
      <c r="M151" s="597" t="s">
        <v>303</v>
      </c>
      <c r="N151" s="598"/>
      <c r="O151" s="299"/>
      <c r="P151" s="180"/>
      <c r="Q151" s="180">
        <v>96500000</v>
      </c>
      <c r="R151" s="181">
        <f>Q151/Q$150*100</f>
        <v>100</v>
      </c>
      <c r="S151" s="181">
        <v>100</v>
      </c>
      <c r="T151" s="180">
        <f t="shared" si="41"/>
        <v>0</v>
      </c>
      <c r="U151" s="180">
        <f t="shared" si="44"/>
        <v>0</v>
      </c>
      <c r="V151" s="182">
        <f t="shared" ref="V151:V214" si="52">S151-T151</f>
        <v>100</v>
      </c>
      <c r="W151" s="180"/>
      <c r="X151" s="180" t="e">
        <f>#REF!</f>
        <v>#REF!</v>
      </c>
      <c r="Y151" s="180" t="e">
        <f>#REF!</f>
        <v>#REF!</v>
      </c>
      <c r="Z151" s="180" t="e">
        <f>#REF!</f>
        <v>#REF!</v>
      </c>
      <c r="AA151" s="180" t="e">
        <f>#REF!</f>
        <v>#REF!</v>
      </c>
      <c r="AB151" s="180">
        <v>54780002</v>
      </c>
      <c r="AC151" s="180" t="e">
        <f>#REF!</f>
        <v>#REF!</v>
      </c>
      <c r="AD151" s="180" t="e">
        <f>#REF!</f>
        <v>#REF!</v>
      </c>
      <c r="AE151" s="180" t="e">
        <f>#REF!</f>
        <v>#REF!</v>
      </c>
      <c r="AF151" s="180" t="e">
        <f>[1]April!N42</f>
        <v>#REF!</v>
      </c>
      <c r="AG151" s="231">
        <v>140440002</v>
      </c>
      <c r="AH151" s="180" t="e">
        <f>'[3]DES SKPD'!$N42</f>
        <v>#REF!</v>
      </c>
      <c r="AI151" s="180">
        <v>0</v>
      </c>
      <c r="AJ151" s="181">
        <f t="shared" si="42"/>
        <v>0</v>
      </c>
      <c r="AK151" s="246">
        <f t="shared" si="36"/>
        <v>96500000</v>
      </c>
      <c r="AL151" s="181">
        <f t="shared" si="43"/>
        <v>100</v>
      </c>
      <c r="AM151" s="243"/>
    </row>
    <row r="152" spans="1:39" s="297" customFormat="1" ht="33" customHeight="1" x14ac:dyDescent="0.25">
      <c r="A152" s="227">
        <f>SUM(A150+1)</f>
        <v>22</v>
      </c>
      <c r="B152" s="367"/>
      <c r="C152" s="367"/>
      <c r="D152" s="367"/>
      <c r="E152" s="367"/>
      <c r="F152" s="367"/>
      <c r="G152" s="367"/>
      <c r="H152" s="367"/>
      <c r="I152" s="366"/>
      <c r="J152" s="304" t="s">
        <v>461</v>
      </c>
      <c r="K152" s="230"/>
      <c r="L152" s="294"/>
      <c r="M152" s="615" t="s">
        <v>197</v>
      </c>
      <c r="N152" s="614"/>
      <c r="O152" s="295"/>
      <c r="P152" s="231"/>
      <c r="Q152" s="231">
        <f>SUM(Q153:Q153)</f>
        <v>230100000</v>
      </c>
      <c r="R152" s="233">
        <f>Q152/Q$119*100</f>
        <v>6.552314866493381</v>
      </c>
      <c r="S152" s="233">
        <v>100</v>
      </c>
      <c r="T152" s="231">
        <f t="shared" si="41"/>
        <v>18.402868318122557</v>
      </c>
      <c r="U152" s="231">
        <f t="shared" si="44"/>
        <v>1.2058138766695448</v>
      </c>
      <c r="V152" s="296">
        <f t="shared" si="52"/>
        <v>81.597131681877443</v>
      </c>
      <c r="W152" s="231"/>
      <c r="X152" s="231" t="e">
        <f>#REF!</f>
        <v>#REF!</v>
      </c>
      <c r="Y152" s="231" t="e">
        <f>#REF!</f>
        <v>#REF!</v>
      </c>
      <c r="Z152" s="231" t="e">
        <f>#REF!</f>
        <v>#REF!</v>
      </c>
      <c r="AA152" s="231" t="e">
        <f>#REF!</f>
        <v>#REF!</v>
      </c>
      <c r="AB152" s="231">
        <v>54780000</v>
      </c>
      <c r="AC152" s="231" t="e">
        <f>#REF!</f>
        <v>#REF!</v>
      </c>
      <c r="AD152" s="231" t="e">
        <f>#REF!</f>
        <v>#REF!</v>
      </c>
      <c r="AE152" s="231" t="e">
        <f>#REF!</f>
        <v>#REF!</v>
      </c>
      <c r="AF152" s="231" t="e">
        <f>[1]April!N41</f>
        <v>#REF!</v>
      </c>
      <c r="AG152" s="231">
        <v>140440000</v>
      </c>
      <c r="AH152" s="231">
        <f>'[3]DES SKPD'!$N41</f>
        <v>231767600</v>
      </c>
      <c r="AI152" s="231">
        <f>SUM(AI153:AI153)</f>
        <v>42345000</v>
      </c>
      <c r="AJ152" s="233">
        <f t="shared" si="42"/>
        <v>18.402868318122557</v>
      </c>
      <c r="AK152" s="234">
        <f t="shared" si="36"/>
        <v>187755000</v>
      </c>
      <c r="AL152" s="233">
        <f t="shared" si="43"/>
        <v>81.597131681877443</v>
      </c>
      <c r="AM152" s="227"/>
    </row>
    <row r="153" spans="1:39" ht="28.5" customHeight="1" x14ac:dyDescent="0.25">
      <c r="A153" s="243"/>
      <c r="B153" s="362"/>
      <c r="C153" s="362"/>
      <c r="D153" s="362"/>
      <c r="E153" s="362"/>
      <c r="F153" s="362"/>
      <c r="G153" s="362"/>
      <c r="H153" s="362"/>
      <c r="I153" s="363"/>
      <c r="J153" s="362" t="s">
        <v>304</v>
      </c>
      <c r="K153" s="245"/>
      <c r="L153" s="257"/>
      <c r="M153" s="597" t="s">
        <v>305</v>
      </c>
      <c r="N153" s="598"/>
      <c r="O153" s="299"/>
      <c r="P153" s="180"/>
      <c r="Q153" s="180">
        <v>230100000</v>
      </c>
      <c r="R153" s="181">
        <f>Q153/Q$152*100</f>
        <v>100</v>
      </c>
      <c r="S153" s="181">
        <v>100</v>
      </c>
      <c r="T153" s="180">
        <f t="shared" si="41"/>
        <v>18.402868318122557</v>
      </c>
      <c r="U153" s="180">
        <f t="shared" si="44"/>
        <v>18.402868318122557</v>
      </c>
      <c r="V153" s="182">
        <f t="shared" si="52"/>
        <v>81.597131681877443</v>
      </c>
      <c r="W153" s="180"/>
      <c r="X153" s="180" t="e">
        <f>#REF!</f>
        <v>#REF!</v>
      </c>
      <c r="Y153" s="180" t="e">
        <f>#REF!</f>
        <v>#REF!</v>
      </c>
      <c r="Z153" s="180" t="e">
        <f>#REF!</f>
        <v>#REF!</v>
      </c>
      <c r="AA153" s="180" t="e">
        <f>#REF!</f>
        <v>#REF!</v>
      </c>
      <c r="AB153" s="180">
        <v>54780002</v>
      </c>
      <c r="AC153" s="180" t="e">
        <f>#REF!</f>
        <v>#REF!</v>
      </c>
      <c r="AD153" s="180" t="e">
        <f>#REF!</f>
        <v>#REF!</v>
      </c>
      <c r="AE153" s="180" t="e">
        <f>#REF!</f>
        <v>#REF!</v>
      </c>
      <c r="AF153" s="180" t="e">
        <f>[1]April!N43</f>
        <v>#REF!</v>
      </c>
      <c r="AG153" s="231">
        <v>140440002</v>
      </c>
      <c r="AH153" s="180">
        <f>'[3]DES SKPD'!$N43</f>
        <v>38085000</v>
      </c>
      <c r="AI153" s="180">
        <v>42345000</v>
      </c>
      <c r="AJ153" s="181">
        <f t="shared" si="42"/>
        <v>18.402868318122557</v>
      </c>
      <c r="AK153" s="246">
        <f t="shared" si="36"/>
        <v>187755000</v>
      </c>
      <c r="AL153" s="181">
        <f t="shared" si="43"/>
        <v>81.597131681877443</v>
      </c>
      <c r="AM153" s="243"/>
    </row>
    <row r="154" spans="1:39" ht="28.5" customHeight="1" x14ac:dyDescent="0.25">
      <c r="A154" s="227">
        <f>SUM(A152+1)</f>
        <v>23</v>
      </c>
      <c r="B154" s="367"/>
      <c r="C154" s="367"/>
      <c r="D154" s="367"/>
      <c r="E154" s="367"/>
      <c r="F154" s="367"/>
      <c r="G154" s="367"/>
      <c r="H154" s="367"/>
      <c r="I154" s="366"/>
      <c r="J154" s="304" t="s">
        <v>582</v>
      </c>
      <c r="K154" s="230"/>
      <c r="L154" s="294"/>
      <c r="M154" s="615" t="s">
        <v>583</v>
      </c>
      <c r="N154" s="614"/>
      <c r="O154" s="295"/>
      <c r="P154" s="231"/>
      <c r="Q154" s="231">
        <f>SUM(Q155:Q155)</f>
        <v>99200000</v>
      </c>
      <c r="R154" s="233">
        <f>Q154/Q$119*100</f>
        <v>2.8248137103700275</v>
      </c>
      <c r="S154" s="233">
        <v>100</v>
      </c>
      <c r="T154" s="231">
        <f t="shared" si="41"/>
        <v>0</v>
      </c>
      <c r="U154" s="231">
        <f t="shared" si="44"/>
        <v>0</v>
      </c>
      <c r="V154" s="296">
        <f t="shared" si="52"/>
        <v>100</v>
      </c>
      <c r="W154" s="231"/>
      <c r="X154" s="231" t="e">
        <f>#REF!</f>
        <v>#REF!</v>
      </c>
      <c r="Y154" s="231" t="e">
        <f>#REF!</f>
        <v>#REF!</v>
      </c>
      <c r="Z154" s="231" t="e">
        <f>#REF!</f>
        <v>#REF!</v>
      </c>
      <c r="AA154" s="231" t="e">
        <f>#REF!</f>
        <v>#REF!</v>
      </c>
      <c r="AB154" s="231">
        <v>54780000</v>
      </c>
      <c r="AC154" s="231" t="e">
        <f>#REF!</f>
        <v>#REF!</v>
      </c>
      <c r="AD154" s="231" t="e">
        <f>#REF!</f>
        <v>#REF!</v>
      </c>
      <c r="AE154" s="231" t="e">
        <f>#REF!</f>
        <v>#REF!</v>
      </c>
      <c r="AF154" s="231" t="e">
        <f>[1]April!N43</f>
        <v>#REF!</v>
      </c>
      <c r="AG154" s="231">
        <v>140440000</v>
      </c>
      <c r="AH154" s="231">
        <f>'[3]DES SKPD'!$N43</f>
        <v>38085000</v>
      </c>
      <c r="AI154" s="231">
        <f>SUM(AI155)</f>
        <v>0</v>
      </c>
      <c r="AJ154" s="233">
        <f t="shared" si="42"/>
        <v>0</v>
      </c>
      <c r="AK154" s="234">
        <f t="shared" si="36"/>
        <v>99200000</v>
      </c>
      <c r="AL154" s="233">
        <f t="shared" si="43"/>
        <v>100</v>
      </c>
      <c r="AM154" s="243"/>
    </row>
    <row r="155" spans="1:39" ht="28.5" customHeight="1" x14ac:dyDescent="0.25">
      <c r="A155" s="243"/>
      <c r="B155" s="362"/>
      <c r="C155" s="362"/>
      <c r="D155" s="362"/>
      <c r="E155" s="362"/>
      <c r="F155" s="362"/>
      <c r="G155" s="362"/>
      <c r="H155" s="362"/>
      <c r="I155" s="363"/>
      <c r="J155" s="362" t="s">
        <v>292</v>
      </c>
      <c r="K155" s="245"/>
      <c r="L155" s="257"/>
      <c r="M155" s="597" t="s">
        <v>584</v>
      </c>
      <c r="N155" s="598"/>
      <c r="O155" s="299"/>
      <c r="P155" s="180"/>
      <c r="Q155" s="180">
        <v>99200000</v>
      </c>
      <c r="R155" s="181">
        <f>Q155/Q$152*100</f>
        <v>43.111690569317688</v>
      </c>
      <c r="S155" s="181">
        <v>100</v>
      </c>
      <c r="T155" s="180">
        <f t="shared" si="41"/>
        <v>0</v>
      </c>
      <c r="U155" s="180">
        <f t="shared" si="44"/>
        <v>0</v>
      </c>
      <c r="V155" s="182">
        <f t="shared" si="52"/>
        <v>100</v>
      </c>
      <c r="W155" s="180"/>
      <c r="X155" s="180" t="e">
        <f>#REF!</f>
        <v>#REF!</v>
      </c>
      <c r="Y155" s="180" t="e">
        <f>#REF!</f>
        <v>#REF!</v>
      </c>
      <c r="Z155" s="180" t="e">
        <f>#REF!</f>
        <v>#REF!</v>
      </c>
      <c r="AA155" s="180" t="e">
        <f>#REF!</f>
        <v>#REF!</v>
      </c>
      <c r="AB155" s="180">
        <v>54780002</v>
      </c>
      <c r="AC155" s="180" t="e">
        <f>#REF!</f>
        <v>#REF!</v>
      </c>
      <c r="AD155" s="180" t="e">
        <f>#REF!</f>
        <v>#REF!</v>
      </c>
      <c r="AE155" s="180" t="e">
        <f>#REF!</f>
        <v>#REF!</v>
      </c>
      <c r="AF155" s="180" t="e">
        <f>[1]April!N45</f>
        <v>#REF!</v>
      </c>
      <c r="AG155" s="231">
        <v>140440002</v>
      </c>
      <c r="AH155" s="180">
        <f>'[3]DES SKPD'!$N45</f>
        <v>320566100</v>
      </c>
      <c r="AI155" s="180">
        <v>0</v>
      </c>
      <c r="AJ155" s="181">
        <f t="shared" si="42"/>
        <v>0</v>
      </c>
      <c r="AK155" s="246">
        <f t="shared" si="36"/>
        <v>99200000</v>
      </c>
      <c r="AL155" s="181">
        <f t="shared" si="43"/>
        <v>100</v>
      </c>
      <c r="AM155" s="243"/>
    </row>
    <row r="156" spans="1:39" s="226" customFormat="1" ht="29.25" customHeight="1" x14ac:dyDescent="0.25">
      <c r="A156" s="289" t="s">
        <v>29</v>
      </c>
      <c r="B156" s="607" t="s">
        <v>132</v>
      </c>
      <c r="C156" s="607"/>
      <c r="D156" s="607"/>
      <c r="E156" s="607"/>
      <c r="F156" s="607"/>
      <c r="G156" s="607"/>
      <c r="H156" s="607"/>
      <c r="I156" s="608"/>
      <c r="J156" s="368" t="s">
        <v>454</v>
      </c>
      <c r="K156" s="291"/>
      <c r="L156" s="607" t="s">
        <v>383</v>
      </c>
      <c r="M156" s="607"/>
      <c r="N156" s="608"/>
      <c r="O156" s="263">
        <f>SUM(O160)</f>
        <v>39710000</v>
      </c>
      <c r="P156" s="263">
        <f>SUM(P160)</f>
        <v>39710000</v>
      </c>
      <c r="Q156" s="263">
        <f>SUM(Q157+Q160)</f>
        <v>103000000</v>
      </c>
      <c r="R156" s="222">
        <f>Q156/Q$33*100</f>
        <v>0.32403945616907198</v>
      </c>
      <c r="S156" s="222">
        <v>100</v>
      </c>
      <c r="T156" s="263">
        <f t="shared" si="41"/>
        <v>0</v>
      </c>
      <c r="U156" s="263">
        <f>SUM(R156*T156/100)</f>
        <v>0</v>
      </c>
      <c r="V156" s="292">
        <f t="shared" si="52"/>
        <v>100</v>
      </c>
      <c r="W156" s="263">
        <f>SUM(W160)</f>
        <v>0</v>
      </c>
      <c r="X156" s="263" t="e">
        <f>SUM(X160)</f>
        <v>#REF!</v>
      </c>
      <c r="Y156" s="263" t="e">
        <f t="shared" ref="Y156:AH156" si="53">SUM(Y160)</f>
        <v>#REF!</v>
      </c>
      <c r="Z156" s="263" t="e">
        <f t="shared" si="53"/>
        <v>#REF!</v>
      </c>
      <c r="AA156" s="263" t="e">
        <f t="shared" si="53"/>
        <v>#REF!</v>
      </c>
      <c r="AB156" s="263">
        <f t="shared" si="53"/>
        <v>38085000</v>
      </c>
      <c r="AC156" s="263" t="e">
        <f t="shared" si="53"/>
        <v>#REF!</v>
      </c>
      <c r="AD156" s="263" t="e">
        <f t="shared" si="53"/>
        <v>#REF!</v>
      </c>
      <c r="AE156" s="263" t="e">
        <f t="shared" si="53"/>
        <v>#REF!</v>
      </c>
      <c r="AF156" s="263" t="e">
        <f t="shared" si="53"/>
        <v>#REF!</v>
      </c>
      <c r="AG156" s="263" t="e">
        <f t="shared" si="53"/>
        <v>#REF!</v>
      </c>
      <c r="AH156" s="263">
        <f t="shared" si="53"/>
        <v>38085000</v>
      </c>
      <c r="AI156" s="263">
        <f>SUM(AI160+AI157)</f>
        <v>0</v>
      </c>
      <c r="AJ156" s="222">
        <f t="shared" si="42"/>
        <v>0</v>
      </c>
      <c r="AK156" s="265">
        <f>SUM(Q156-AI156)</f>
        <v>103000000</v>
      </c>
      <c r="AL156" s="222">
        <f t="shared" si="43"/>
        <v>100</v>
      </c>
      <c r="AM156" s="289"/>
    </row>
    <row r="157" spans="1:39" s="235" customFormat="1" ht="29.25" customHeight="1" x14ac:dyDescent="0.25">
      <c r="A157" s="227">
        <f>A154+1</f>
        <v>24</v>
      </c>
      <c r="B157" s="367"/>
      <c r="C157" s="367"/>
      <c r="D157" s="367"/>
      <c r="E157" s="367"/>
      <c r="F157" s="367"/>
      <c r="G157" s="367"/>
      <c r="H157" s="367"/>
      <c r="I157" s="366"/>
      <c r="J157" s="304" t="s">
        <v>462</v>
      </c>
      <c r="K157" s="230"/>
      <c r="L157" s="367"/>
      <c r="M157" s="615" t="s">
        <v>386</v>
      </c>
      <c r="N157" s="614"/>
      <c r="O157" s="231"/>
      <c r="P157" s="231"/>
      <c r="Q157" s="231">
        <f>SUM(Q158:Q159)</f>
        <v>71000000</v>
      </c>
      <c r="R157" s="233">
        <f>Q157/Q$33*100</f>
        <v>0.2233670037670302</v>
      </c>
      <c r="S157" s="233">
        <v>100</v>
      </c>
      <c r="T157" s="231">
        <f t="shared" si="41"/>
        <v>0</v>
      </c>
      <c r="U157" s="231">
        <f t="shared" ref="U157:U162" si="54">R157*T157/100</f>
        <v>0</v>
      </c>
      <c r="V157" s="296">
        <f t="shared" si="52"/>
        <v>100</v>
      </c>
      <c r="W157" s="231"/>
      <c r="X157" s="231" t="e">
        <f>#REF!</f>
        <v>#REF!</v>
      </c>
      <c r="Y157" s="231" t="e">
        <f>#REF!</f>
        <v>#REF!</v>
      </c>
      <c r="Z157" s="231" t="e">
        <f>#REF!</f>
        <v>#REF!</v>
      </c>
      <c r="AA157" s="231" t="e">
        <f>#REF!</f>
        <v>#REF!</v>
      </c>
      <c r="AB157" s="231">
        <v>38085000</v>
      </c>
      <c r="AC157" s="231" t="e">
        <f>#REF!</f>
        <v>#REF!</v>
      </c>
      <c r="AD157" s="231" t="e">
        <f>#REF!</f>
        <v>#REF!</v>
      </c>
      <c r="AE157" s="231" t="e">
        <f>#REF!</f>
        <v>#REF!</v>
      </c>
      <c r="AF157" s="231" t="e">
        <f>[1]April!$N$43</f>
        <v>#REF!</v>
      </c>
      <c r="AG157" s="231" t="e">
        <f>[2]april!$N$43</f>
        <v>#REF!</v>
      </c>
      <c r="AH157" s="231">
        <f>'[3]DES SKPD'!$N39</f>
        <v>676934270</v>
      </c>
      <c r="AI157" s="231">
        <f>SUM(AI158:AI159)</f>
        <v>0</v>
      </c>
      <c r="AJ157" s="233">
        <f t="shared" si="42"/>
        <v>0</v>
      </c>
      <c r="AK157" s="234">
        <f t="shared" ref="AK157:AK162" si="55">Q157-AI157</f>
        <v>71000000</v>
      </c>
      <c r="AL157" s="233">
        <f t="shared" si="43"/>
        <v>100</v>
      </c>
      <c r="AM157" s="227"/>
    </row>
    <row r="158" spans="1:39" s="235" customFormat="1" ht="29.25" customHeight="1" x14ac:dyDescent="0.25">
      <c r="A158" s="227"/>
      <c r="B158" s="367"/>
      <c r="C158" s="367"/>
      <c r="D158" s="367"/>
      <c r="E158" s="367"/>
      <c r="F158" s="367"/>
      <c r="G158" s="367"/>
      <c r="H158" s="367"/>
      <c r="I158" s="366"/>
      <c r="J158" s="362" t="s">
        <v>259</v>
      </c>
      <c r="K158" s="245"/>
      <c r="L158" s="257"/>
      <c r="M158" s="597" t="s">
        <v>260</v>
      </c>
      <c r="N158" s="598"/>
      <c r="O158" s="231"/>
      <c r="P158" s="231"/>
      <c r="Q158" s="180">
        <v>800000</v>
      </c>
      <c r="R158" s="181">
        <f>Q158/Q$157*100</f>
        <v>1.1267605633802817</v>
      </c>
      <c r="S158" s="181">
        <v>100</v>
      </c>
      <c r="T158" s="180">
        <f t="shared" si="41"/>
        <v>0</v>
      </c>
      <c r="U158" s="180">
        <f t="shared" si="54"/>
        <v>0</v>
      </c>
      <c r="V158" s="182">
        <f t="shared" si="52"/>
        <v>100</v>
      </c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>
        <v>0</v>
      </c>
      <c r="AJ158" s="181">
        <f t="shared" si="42"/>
        <v>0</v>
      </c>
      <c r="AK158" s="246">
        <f t="shared" si="55"/>
        <v>800000</v>
      </c>
      <c r="AL158" s="181">
        <f t="shared" si="43"/>
        <v>100</v>
      </c>
      <c r="AM158" s="243"/>
    </row>
    <row r="159" spans="1:39" s="235" customFormat="1" ht="29.25" customHeight="1" x14ac:dyDescent="0.25">
      <c r="A159" s="227"/>
      <c r="B159" s="367"/>
      <c r="C159" s="367"/>
      <c r="D159" s="367"/>
      <c r="E159" s="367"/>
      <c r="F159" s="367"/>
      <c r="G159" s="367"/>
      <c r="H159" s="367"/>
      <c r="I159" s="366"/>
      <c r="J159" s="362" t="s">
        <v>387</v>
      </c>
      <c r="K159" s="230"/>
      <c r="L159" s="367"/>
      <c r="M159" s="597" t="s">
        <v>388</v>
      </c>
      <c r="N159" s="598"/>
      <c r="O159" s="231"/>
      <c r="P159" s="231"/>
      <c r="Q159" s="180">
        <v>70200000</v>
      </c>
      <c r="R159" s="181">
        <f>Q159/Q$157*100</f>
        <v>98.873239436619713</v>
      </c>
      <c r="S159" s="181">
        <v>100</v>
      </c>
      <c r="T159" s="180">
        <f t="shared" si="41"/>
        <v>0</v>
      </c>
      <c r="U159" s="180">
        <f t="shared" si="54"/>
        <v>0</v>
      </c>
      <c r="V159" s="182">
        <f t="shared" si="52"/>
        <v>100</v>
      </c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>
        <v>0</v>
      </c>
      <c r="AJ159" s="181">
        <f t="shared" si="42"/>
        <v>0</v>
      </c>
      <c r="AK159" s="246">
        <f t="shared" si="55"/>
        <v>70200000</v>
      </c>
      <c r="AL159" s="181">
        <f t="shared" si="43"/>
        <v>100</v>
      </c>
      <c r="AM159" s="243"/>
    </row>
    <row r="160" spans="1:39" s="297" customFormat="1" ht="28.5" customHeight="1" x14ac:dyDescent="0.25">
      <c r="A160" s="227">
        <f>A157+1</f>
        <v>25</v>
      </c>
      <c r="B160" s="615" t="s">
        <v>133</v>
      </c>
      <c r="C160" s="615"/>
      <c r="D160" s="615"/>
      <c r="E160" s="615"/>
      <c r="F160" s="615"/>
      <c r="G160" s="615"/>
      <c r="H160" s="615"/>
      <c r="I160" s="614"/>
      <c r="J160" s="304" t="s">
        <v>463</v>
      </c>
      <c r="K160" s="230"/>
      <c r="L160" s="294"/>
      <c r="M160" s="615" t="s">
        <v>134</v>
      </c>
      <c r="N160" s="614"/>
      <c r="O160" s="231">
        <v>39710000</v>
      </c>
      <c r="P160" s="231">
        <f>O160</f>
        <v>39710000</v>
      </c>
      <c r="Q160" s="231">
        <f>SUM(Q161:Q162)</f>
        <v>32000000</v>
      </c>
      <c r="R160" s="233">
        <f>Q160/Q$33*100</f>
        <v>0.10067245240204178</v>
      </c>
      <c r="S160" s="233">
        <v>100</v>
      </c>
      <c r="T160" s="231">
        <f t="shared" si="41"/>
        <v>0</v>
      </c>
      <c r="U160" s="231">
        <f t="shared" si="54"/>
        <v>0</v>
      </c>
      <c r="V160" s="296">
        <f t="shared" si="52"/>
        <v>100</v>
      </c>
      <c r="W160" s="231"/>
      <c r="X160" s="231" t="e">
        <f>#REF!</f>
        <v>#REF!</v>
      </c>
      <c r="Y160" s="231" t="e">
        <f>#REF!</f>
        <v>#REF!</v>
      </c>
      <c r="Z160" s="231" t="e">
        <f>#REF!</f>
        <v>#REF!</v>
      </c>
      <c r="AA160" s="231" t="e">
        <f>#REF!</f>
        <v>#REF!</v>
      </c>
      <c r="AB160" s="231">
        <v>38085000</v>
      </c>
      <c r="AC160" s="231" t="e">
        <f>#REF!</f>
        <v>#REF!</v>
      </c>
      <c r="AD160" s="231" t="e">
        <f>#REF!</f>
        <v>#REF!</v>
      </c>
      <c r="AE160" s="231" t="e">
        <f>#REF!</f>
        <v>#REF!</v>
      </c>
      <c r="AF160" s="231" t="e">
        <f>[1]April!$N$43</f>
        <v>#REF!</v>
      </c>
      <c r="AG160" s="231" t="e">
        <f>[2]april!$N$43</f>
        <v>#REF!</v>
      </c>
      <c r="AH160" s="231">
        <f>'[3]DES SKPD'!$N43</f>
        <v>38085000</v>
      </c>
      <c r="AI160" s="231">
        <f>SUM(AI161:AI162)</f>
        <v>0</v>
      </c>
      <c r="AJ160" s="233">
        <f t="shared" si="42"/>
        <v>0</v>
      </c>
      <c r="AK160" s="234">
        <f t="shared" si="55"/>
        <v>32000000</v>
      </c>
      <c r="AL160" s="233">
        <f t="shared" si="43"/>
        <v>100</v>
      </c>
      <c r="AM160" s="227"/>
    </row>
    <row r="161" spans="1:39" ht="24.75" customHeight="1" x14ac:dyDescent="0.25">
      <c r="A161" s="243"/>
      <c r="B161" s="362"/>
      <c r="C161" s="362"/>
      <c r="D161" s="362"/>
      <c r="E161" s="362"/>
      <c r="F161" s="362"/>
      <c r="G161" s="362"/>
      <c r="H161" s="362"/>
      <c r="I161" s="363"/>
      <c r="J161" s="362" t="s">
        <v>259</v>
      </c>
      <c r="K161" s="245"/>
      <c r="L161" s="257"/>
      <c r="M161" s="597" t="s">
        <v>260</v>
      </c>
      <c r="N161" s="598"/>
      <c r="O161" s="180"/>
      <c r="P161" s="180"/>
      <c r="Q161" s="180">
        <v>800000</v>
      </c>
      <c r="R161" s="181">
        <f>Q161/Q$160*100</f>
        <v>2.5</v>
      </c>
      <c r="S161" s="181">
        <v>100</v>
      </c>
      <c r="T161" s="180">
        <f t="shared" si="41"/>
        <v>0</v>
      </c>
      <c r="U161" s="180">
        <f t="shared" si="54"/>
        <v>0</v>
      </c>
      <c r="V161" s="182">
        <f t="shared" si="52"/>
        <v>100</v>
      </c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>
        <v>0</v>
      </c>
      <c r="AJ161" s="181">
        <f t="shared" si="42"/>
        <v>0</v>
      </c>
      <c r="AK161" s="246">
        <f t="shared" si="55"/>
        <v>800000</v>
      </c>
      <c r="AL161" s="181">
        <f t="shared" si="43"/>
        <v>100</v>
      </c>
      <c r="AM161" s="243"/>
    </row>
    <row r="162" spans="1:39" ht="24.75" customHeight="1" x14ac:dyDescent="0.25">
      <c r="A162" s="243"/>
      <c r="B162" s="362"/>
      <c r="C162" s="362"/>
      <c r="D162" s="362"/>
      <c r="E162" s="362"/>
      <c r="F162" s="362"/>
      <c r="G162" s="362"/>
      <c r="H162" s="362"/>
      <c r="I162" s="363"/>
      <c r="J162" s="362" t="s">
        <v>311</v>
      </c>
      <c r="K162" s="245"/>
      <c r="L162" s="257"/>
      <c r="M162" s="597" t="s">
        <v>312</v>
      </c>
      <c r="N162" s="598"/>
      <c r="O162" s="180"/>
      <c r="P162" s="180"/>
      <c r="Q162" s="180">
        <v>31200000</v>
      </c>
      <c r="R162" s="181">
        <f>Q162/Q$160*100</f>
        <v>97.5</v>
      </c>
      <c r="S162" s="181">
        <v>100</v>
      </c>
      <c r="T162" s="180">
        <f t="shared" si="41"/>
        <v>0</v>
      </c>
      <c r="U162" s="180">
        <f t="shared" si="54"/>
        <v>0</v>
      </c>
      <c r="V162" s="182">
        <f t="shared" si="52"/>
        <v>100</v>
      </c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>
        <v>0</v>
      </c>
      <c r="AJ162" s="181">
        <f t="shared" si="42"/>
        <v>0</v>
      </c>
      <c r="AK162" s="246">
        <f t="shared" si="55"/>
        <v>31200000</v>
      </c>
      <c r="AL162" s="181">
        <f t="shared" si="43"/>
        <v>100</v>
      </c>
      <c r="AM162" s="243"/>
    </row>
    <row r="163" spans="1:39" s="226" customFormat="1" ht="28.5" customHeight="1" x14ac:dyDescent="0.25">
      <c r="A163" s="289" t="s">
        <v>30</v>
      </c>
      <c r="B163" s="607" t="s">
        <v>135</v>
      </c>
      <c r="C163" s="607"/>
      <c r="D163" s="607"/>
      <c r="E163" s="607"/>
      <c r="F163" s="607"/>
      <c r="G163" s="607"/>
      <c r="H163" s="607"/>
      <c r="I163" s="608"/>
      <c r="J163" s="368" t="s">
        <v>464</v>
      </c>
      <c r="K163" s="291"/>
      <c r="L163" s="607" t="s">
        <v>31</v>
      </c>
      <c r="M163" s="607"/>
      <c r="N163" s="608"/>
      <c r="O163" s="263">
        <f>SUM(O164:O166)</f>
        <v>789320000</v>
      </c>
      <c r="P163" s="263">
        <f>SUM(P164:P166)</f>
        <v>789320000</v>
      </c>
      <c r="Q163" s="263">
        <f>SUM(Q164+Q166)</f>
        <v>102870000</v>
      </c>
      <c r="R163" s="222">
        <f>Q163/Q$53*100</f>
        <v>0.50978833986266314</v>
      </c>
      <c r="S163" s="305">
        <v>100</v>
      </c>
      <c r="T163" s="306">
        <f t="shared" si="41"/>
        <v>0</v>
      </c>
      <c r="U163" s="263">
        <f>SUM(R163*T163/100)</f>
        <v>0</v>
      </c>
      <c r="V163" s="307">
        <f t="shared" si="52"/>
        <v>100</v>
      </c>
      <c r="W163" s="263">
        <f t="shared" ref="W163:AH163" si="56">SUM(W164:W166)</f>
        <v>0</v>
      </c>
      <c r="X163" s="263" t="e">
        <f t="shared" si="56"/>
        <v>#REF!</v>
      </c>
      <c r="Y163" s="263" t="e">
        <f t="shared" si="56"/>
        <v>#REF!</v>
      </c>
      <c r="Z163" s="263" t="e">
        <f t="shared" si="56"/>
        <v>#REF!</v>
      </c>
      <c r="AA163" s="263" t="e">
        <f t="shared" si="56"/>
        <v>#REF!</v>
      </c>
      <c r="AB163" s="263">
        <f t="shared" si="56"/>
        <v>189087374</v>
      </c>
      <c r="AC163" s="263" t="e">
        <f t="shared" si="56"/>
        <v>#REF!</v>
      </c>
      <c r="AD163" s="263" t="e">
        <f t="shared" si="56"/>
        <v>#REF!</v>
      </c>
      <c r="AE163" s="263" t="e">
        <f t="shared" si="56"/>
        <v>#REF!</v>
      </c>
      <c r="AF163" s="263" t="e">
        <f t="shared" si="56"/>
        <v>#REF!</v>
      </c>
      <c r="AG163" s="263" t="e">
        <f t="shared" si="56"/>
        <v>#REF!</v>
      </c>
      <c r="AH163" s="263">
        <f t="shared" si="56"/>
        <v>663965174</v>
      </c>
      <c r="AI163" s="263">
        <f>SUM(AI164+AI166)</f>
        <v>0</v>
      </c>
      <c r="AJ163" s="222">
        <f t="shared" si="42"/>
        <v>0</v>
      </c>
      <c r="AK163" s="265">
        <f>SUM(Q163-AI163)</f>
        <v>102870000</v>
      </c>
      <c r="AL163" s="222">
        <f t="shared" si="43"/>
        <v>100</v>
      </c>
      <c r="AM163" s="289"/>
    </row>
    <row r="164" spans="1:39" s="297" customFormat="1" ht="29.25" customHeight="1" x14ac:dyDescent="0.25">
      <c r="A164" s="227">
        <f>A160+1</f>
        <v>26</v>
      </c>
      <c r="B164" s="615" t="s">
        <v>136</v>
      </c>
      <c r="C164" s="615"/>
      <c r="D164" s="615"/>
      <c r="E164" s="615"/>
      <c r="F164" s="615"/>
      <c r="G164" s="615"/>
      <c r="H164" s="615"/>
      <c r="I164" s="614"/>
      <c r="J164" s="304" t="s">
        <v>465</v>
      </c>
      <c r="K164" s="230"/>
      <c r="L164" s="294"/>
      <c r="M164" s="615" t="s">
        <v>32</v>
      </c>
      <c r="N164" s="614"/>
      <c r="O164" s="295">
        <v>350000000</v>
      </c>
      <c r="P164" s="231">
        <f>O164</f>
        <v>350000000</v>
      </c>
      <c r="Q164" s="231">
        <f>SUM(Q165:Q165)</f>
        <v>37300000</v>
      </c>
      <c r="R164" s="233">
        <f>Q164/Q$163*100</f>
        <v>36.259356469330221</v>
      </c>
      <c r="S164" s="233">
        <v>100</v>
      </c>
      <c r="T164" s="231">
        <f t="shared" si="41"/>
        <v>0</v>
      </c>
      <c r="U164" s="231">
        <f>R164*T164/100</f>
        <v>0</v>
      </c>
      <c r="V164" s="296">
        <f t="shared" si="52"/>
        <v>100</v>
      </c>
      <c r="W164" s="231"/>
      <c r="X164" s="231" t="e">
        <f>#REF!</f>
        <v>#REF!</v>
      </c>
      <c r="Y164" s="231" t="e">
        <f>#REF!</f>
        <v>#REF!</v>
      </c>
      <c r="Z164" s="231" t="e">
        <f>#REF!</f>
        <v>#REF!</v>
      </c>
      <c r="AA164" s="231" t="e">
        <f>#REF!</f>
        <v>#REF!</v>
      </c>
      <c r="AB164" s="231">
        <v>112882300</v>
      </c>
      <c r="AC164" s="231" t="e">
        <f>#REF!</f>
        <v>#REF!</v>
      </c>
      <c r="AD164" s="231" t="e">
        <f>#REF!</f>
        <v>#REF!</v>
      </c>
      <c r="AE164" s="231" t="e">
        <f>#REF!</f>
        <v>#REF!</v>
      </c>
      <c r="AF164" s="231" t="e">
        <f>[1]April!N45</f>
        <v>#REF!</v>
      </c>
      <c r="AG164" s="231" t="e">
        <f>[2]april!N45</f>
        <v>#REF!</v>
      </c>
      <c r="AH164" s="231">
        <f>'[3]DES SKPD'!$N45</f>
        <v>320566100</v>
      </c>
      <c r="AI164" s="231">
        <f>SUM(AI165:AI165)</f>
        <v>0</v>
      </c>
      <c r="AJ164" s="233">
        <f t="shared" si="42"/>
        <v>0</v>
      </c>
      <c r="AK164" s="234">
        <f t="shared" ref="AK164:AK174" si="57">Q164-AI164</f>
        <v>37300000</v>
      </c>
      <c r="AL164" s="233">
        <f t="shared" si="43"/>
        <v>100</v>
      </c>
      <c r="AM164" s="227"/>
    </row>
    <row r="165" spans="1:39" ht="29.25" customHeight="1" x14ac:dyDescent="0.25">
      <c r="A165" s="243"/>
      <c r="B165" s="362"/>
      <c r="C165" s="362"/>
      <c r="D165" s="362"/>
      <c r="E165" s="362"/>
      <c r="F165" s="362"/>
      <c r="G165" s="362"/>
      <c r="H165" s="362"/>
      <c r="I165" s="363"/>
      <c r="J165" s="362" t="s">
        <v>313</v>
      </c>
      <c r="K165" s="245"/>
      <c r="L165" s="257"/>
      <c r="M165" s="597" t="s">
        <v>314</v>
      </c>
      <c r="N165" s="598"/>
      <c r="O165" s="299"/>
      <c r="P165" s="180"/>
      <c r="Q165" s="180">
        <v>37300000</v>
      </c>
      <c r="R165" s="181">
        <f>Q165/Q$164*100</f>
        <v>100</v>
      </c>
      <c r="S165" s="181">
        <v>100</v>
      </c>
      <c r="T165" s="180">
        <f t="shared" si="41"/>
        <v>0</v>
      </c>
      <c r="U165" s="180">
        <f>R165*T165/100</f>
        <v>0</v>
      </c>
      <c r="V165" s="182">
        <f t="shared" si="52"/>
        <v>100</v>
      </c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>
        <v>0</v>
      </c>
      <c r="AJ165" s="181">
        <f t="shared" si="42"/>
        <v>0</v>
      </c>
      <c r="AK165" s="246">
        <f t="shared" si="57"/>
        <v>37300000</v>
      </c>
      <c r="AL165" s="181">
        <f t="shared" si="43"/>
        <v>100</v>
      </c>
      <c r="AM165" s="243"/>
    </row>
    <row r="166" spans="1:39" s="297" customFormat="1" ht="33.75" customHeight="1" x14ac:dyDescent="0.25">
      <c r="A166" s="227">
        <f>A164+1</f>
        <v>27</v>
      </c>
      <c r="B166" s="615" t="s">
        <v>137</v>
      </c>
      <c r="C166" s="615"/>
      <c r="D166" s="615"/>
      <c r="E166" s="615"/>
      <c r="F166" s="615"/>
      <c r="G166" s="615"/>
      <c r="H166" s="615"/>
      <c r="I166" s="614"/>
      <c r="J166" s="304" t="s">
        <v>466</v>
      </c>
      <c r="K166" s="230"/>
      <c r="L166" s="294"/>
      <c r="M166" s="615" t="s">
        <v>33</v>
      </c>
      <c r="N166" s="614"/>
      <c r="O166" s="295">
        <v>439320000</v>
      </c>
      <c r="P166" s="231">
        <f>O166</f>
        <v>439320000</v>
      </c>
      <c r="Q166" s="231">
        <f>SUM(Q167:Q174)</f>
        <v>65570000</v>
      </c>
      <c r="R166" s="233">
        <f>Q166/Q$163*100</f>
        <v>63.740643530669786</v>
      </c>
      <c r="S166" s="233">
        <v>100</v>
      </c>
      <c r="T166" s="231">
        <f t="shared" si="41"/>
        <v>0</v>
      </c>
      <c r="U166" s="231">
        <f>R166*T166/100</f>
        <v>0</v>
      </c>
      <c r="V166" s="296">
        <f t="shared" si="52"/>
        <v>100</v>
      </c>
      <c r="W166" s="231"/>
      <c r="X166" s="231" t="e">
        <f>#REF!</f>
        <v>#REF!</v>
      </c>
      <c r="Y166" s="231" t="e">
        <f>#REF!</f>
        <v>#REF!</v>
      </c>
      <c r="Z166" s="231" t="e">
        <f>#REF!</f>
        <v>#REF!</v>
      </c>
      <c r="AA166" s="231" t="e">
        <f>#REF!</f>
        <v>#REF!</v>
      </c>
      <c r="AB166" s="231">
        <v>76205074</v>
      </c>
      <c r="AC166" s="231" t="e">
        <f>#REF!</f>
        <v>#REF!</v>
      </c>
      <c r="AD166" s="231" t="e">
        <f>#REF!</f>
        <v>#REF!</v>
      </c>
      <c r="AE166" s="231" t="e">
        <f>#REF!</f>
        <v>#REF!</v>
      </c>
      <c r="AF166" s="231" t="e">
        <f>[1]April!N46</f>
        <v>#REF!</v>
      </c>
      <c r="AG166" s="231" t="e">
        <f>[2]april!N46</f>
        <v>#REF!</v>
      </c>
      <c r="AH166" s="231">
        <f>'[3]DES SKPD'!$N46</f>
        <v>343399074</v>
      </c>
      <c r="AI166" s="231">
        <f>SUM(AI167:AI174)</f>
        <v>0</v>
      </c>
      <c r="AJ166" s="233">
        <f t="shared" si="42"/>
        <v>0</v>
      </c>
      <c r="AK166" s="234">
        <f t="shared" si="57"/>
        <v>65570000</v>
      </c>
      <c r="AL166" s="233">
        <f t="shared" si="43"/>
        <v>100</v>
      </c>
      <c r="AM166" s="227"/>
    </row>
    <row r="167" spans="1:39" ht="28.5" customHeight="1" x14ac:dyDescent="0.25">
      <c r="A167" s="243"/>
      <c r="B167" s="362"/>
      <c r="C167" s="362"/>
      <c r="D167" s="362"/>
      <c r="E167" s="362"/>
      <c r="F167" s="362"/>
      <c r="G167" s="362"/>
      <c r="H167" s="362"/>
      <c r="I167" s="363"/>
      <c r="J167" s="362" t="s">
        <v>259</v>
      </c>
      <c r="K167" s="245"/>
      <c r="L167" s="257"/>
      <c r="M167" s="597" t="s">
        <v>260</v>
      </c>
      <c r="N167" s="598"/>
      <c r="O167" s="299"/>
      <c r="P167" s="180"/>
      <c r="Q167" s="180">
        <v>770000</v>
      </c>
      <c r="R167" s="181">
        <f t="shared" ref="R167:R174" si="58">Q167/Q$166*100</f>
        <v>1.1743175232575873</v>
      </c>
      <c r="S167" s="181">
        <v>100</v>
      </c>
      <c r="T167" s="180">
        <f t="shared" si="41"/>
        <v>0</v>
      </c>
      <c r="U167" s="180">
        <f t="shared" ref="U167:U175" si="59">R167*T167/100</f>
        <v>0</v>
      </c>
      <c r="V167" s="182">
        <f t="shared" si="52"/>
        <v>100</v>
      </c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>
        <v>0</v>
      </c>
      <c r="AJ167" s="181">
        <f t="shared" si="42"/>
        <v>0</v>
      </c>
      <c r="AK167" s="246">
        <f t="shared" si="57"/>
        <v>770000</v>
      </c>
      <c r="AL167" s="181">
        <f t="shared" si="43"/>
        <v>100</v>
      </c>
      <c r="AM167" s="243"/>
    </row>
    <row r="168" spans="1:39" ht="32.25" customHeight="1" x14ac:dyDescent="0.25">
      <c r="A168" s="243"/>
      <c r="B168" s="362"/>
      <c r="C168" s="362"/>
      <c r="D168" s="362"/>
      <c r="E168" s="362"/>
      <c r="F168" s="362"/>
      <c r="G168" s="362"/>
      <c r="H168" s="362"/>
      <c r="I168" s="363"/>
      <c r="J168" s="362" t="s">
        <v>315</v>
      </c>
      <c r="K168" s="245"/>
      <c r="L168" s="257"/>
      <c r="M168" s="597" t="s">
        <v>428</v>
      </c>
      <c r="N168" s="598"/>
      <c r="O168" s="299"/>
      <c r="P168" s="180"/>
      <c r="Q168" s="180">
        <v>1500000</v>
      </c>
      <c r="R168" s="181">
        <f t="shared" si="58"/>
        <v>2.2876315388134816</v>
      </c>
      <c r="S168" s="181">
        <v>100</v>
      </c>
      <c r="T168" s="180">
        <f t="shared" si="41"/>
        <v>0</v>
      </c>
      <c r="U168" s="180">
        <f t="shared" si="59"/>
        <v>0</v>
      </c>
      <c r="V168" s="182">
        <f t="shared" si="52"/>
        <v>100</v>
      </c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>
        <v>0</v>
      </c>
      <c r="AJ168" s="181">
        <f t="shared" si="42"/>
        <v>0</v>
      </c>
      <c r="AK168" s="246">
        <f t="shared" si="57"/>
        <v>1500000</v>
      </c>
      <c r="AL168" s="181">
        <f t="shared" si="43"/>
        <v>100</v>
      </c>
      <c r="AM168" s="243"/>
    </row>
    <row r="169" spans="1:39" ht="32.25" customHeight="1" x14ac:dyDescent="0.25">
      <c r="A169" s="243"/>
      <c r="B169" s="362"/>
      <c r="C169" s="362"/>
      <c r="D169" s="362"/>
      <c r="E169" s="362"/>
      <c r="F169" s="362"/>
      <c r="G169" s="362"/>
      <c r="H169" s="362"/>
      <c r="I169" s="363"/>
      <c r="J169" s="362" t="s">
        <v>316</v>
      </c>
      <c r="K169" s="245"/>
      <c r="L169" s="257"/>
      <c r="M169" s="597" t="s">
        <v>317</v>
      </c>
      <c r="N169" s="598"/>
      <c r="O169" s="299"/>
      <c r="P169" s="180"/>
      <c r="Q169" s="180">
        <v>300000</v>
      </c>
      <c r="R169" s="181">
        <f t="shared" si="58"/>
        <v>0.45752630776269632</v>
      </c>
      <c r="S169" s="181">
        <v>100</v>
      </c>
      <c r="T169" s="180">
        <f t="shared" si="41"/>
        <v>0</v>
      </c>
      <c r="U169" s="180">
        <f t="shared" si="59"/>
        <v>0</v>
      </c>
      <c r="V169" s="182">
        <f t="shared" si="52"/>
        <v>100</v>
      </c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>
        <v>0</v>
      </c>
      <c r="AJ169" s="181">
        <f t="shared" si="42"/>
        <v>0</v>
      </c>
      <c r="AK169" s="246">
        <f t="shared" si="57"/>
        <v>300000</v>
      </c>
      <c r="AL169" s="181">
        <f t="shared" si="43"/>
        <v>100</v>
      </c>
      <c r="AM169" s="243"/>
    </row>
    <row r="170" spans="1:39" ht="30.75" customHeight="1" x14ac:dyDescent="0.25">
      <c r="A170" s="243"/>
      <c r="B170" s="362"/>
      <c r="C170" s="362"/>
      <c r="D170" s="362"/>
      <c r="E170" s="362"/>
      <c r="F170" s="362"/>
      <c r="G170" s="362"/>
      <c r="H170" s="362"/>
      <c r="I170" s="363"/>
      <c r="J170" s="362" t="s">
        <v>318</v>
      </c>
      <c r="K170" s="245"/>
      <c r="L170" s="257"/>
      <c r="M170" s="597" t="s">
        <v>319</v>
      </c>
      <c r="N170" s="598"/>
      <c r="O170" s="299"/>
      <c r="P170" s="180"/>
      <c r="Q170" s="180">
        <v>26250000</v>
      </c>
      <c r="R170" s="181">
        <f t="shared" si="58"/>
        <v>40.033551929235934</v>
      </c>
      <c r="S170" s="181">
        <v>100</v>
      </c>
      <c r="T170" s="180">
        <f t="shared" si="41"/>
        <v>0</v>
      </c>
      <c r="U170" s="180">
        <f t="shared" si="59"/>
        <v>0</v>
      </c>
      <c r="V170" s="182">
        <f t="shared" si="52"/>
        <v>100</v>
      </c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>
        <v>0</v>
      </c>
      <c r="AJ170" s="181">
        <f t="shared" si="42"/>
        <v>0</v>
      </c>
      <c r="AK170" s="246">
        <f t="shared" si="57"/>
        <v>26250000</v>
      </c>
      <c r="AL170" s="181">
        <f t="shared" si="43"/>
        <v>100</v>
      </c>
      <c r="AM170" s="243"/>
    </row>
    <row r="171" spans="1:39" ht="24.75" customHeight="1" x14ac:dyDescent="0.25">
      <c r="A171" s="243"/>
      <c r="B171" s="362"/>
      <c r="C171" s="362"/>
      <c r="D171" s="362"/>
      <c r="E171" s="362"/>
      <c r="F171" s="362"/>
      <c r="G171" s="362"/>
      <c r="H171" s="362"/>
      <c r="I171" s="363"/>
      <c r="J171" s="362" t="s">
        <v>284</v>
      </c>
      <c r="K171" s="245"/>
      <c r="L171" s="257"/>
      <c r="M171" s="597" t="s">
        <v>585</v>
      </c>
      <c r="N171" s="598"/>
      <c r="O171" s="299"/>
      <c r="P171" s="180"/>
      <c r="Q171" s="180">
        <v>12900000</v>
      </c>
      <c r="R171" s="181">
        <f t="shared" si="58"/>
        <v>19.673631233795945</v>
      </c>
      <c r="S171" s="181">
        <v>100</v>
      </c>
      <c r="T171" s="180">
        <f t="shared" si="41"/>
        <v>0</v>
      </c>
      <c r="U171" s="180">
        <f t="shared" si="59"/>
        <v>0</v>
      </c>
      <c r="V171" s="182">
        <f t="shared" si="52"/>
        <v>100</v>
      </c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>
        <v>0</v>
      </c>
      <c r="AJ171" s="181">
        <f t="shared" si="42"/>
        <v>0</v>
      </c>
      <c r="AK171" s="246">
        <f t="shared" si="57"/>
        <v>12900000</v>
      </c>
      <c r="AL171" s="181">
        <f t="shared" si="43"/>
        <v>100</v>
      </c>
      <c r="AM171" s="243"/>
    </row>
    <row r="172" spans="1:39" ht="24.75" customHeight="1" x14ac:dyDescent="0.25">
      <c r="A172" s="243"/>
      <c r="B172" s="362"/>
      <c r="C172" s="362"/>
      <c r="D172" s="362"/>
      <c r="E172" s="362"/>
      <c r="F172" s="362"/>
      <c r="G172" s="362"/>
      <c r="H172" s="362"/>
      <c r="I172" s="363"/>
      <c r="J172" s="362" t="s">
        <v>282</v>
      </c>
      <c r="K172" s="245"/>
      <c r="L172" s="257"/>
      <c r="M172" s="597" t="s">
        <v>586</v>
      </c>
      <c r="N172" s="598"/>
      <c r="O172" s="299"/>
      <c r="P172" s="180"/>
      <c r="Q172" s="180">
        <v>5000000</v>
      </c>
      <c r="R172" s="181">
        <f t="shared" si="58"/>
        <v>7.6254384627116059</v>
      </c>
      <c r="S172" s="181">
        <v>100</v>
      </c>
      <c r="T172" s="180">
        <f t="shared" si="41"/>
        <v>0</v>
      </c>
      <c r="U172" s="180">
        <f t="shared" si="59"/>
        <v>0</v>
      </c>
      <c r="V172" s="182">
        <f>S172-T172</f>
        <v>100</v>
      </c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>
        <v>0</v>
      </c>
      <c r="AJ172" s="181">
        <f t="shared" si="42"/>
        <v>0</v>
      </c>
      <c r="AK172" s="246">
        <f t="shared" si="57"/>
        <v>5000000</v>
      </c>
      <c r="AL172" s="181">
        <f t="shared" si="43"/>
        <v>100</v>
      </c>
      <c r="AM172" s="243"/>
    </row>
    <row r="173" spans="1:39" ht="24.75" customHeight="1" x14ac:dyDescent="0.25">
      <c r="A173" s="243"/>
      <c r="B173" s="362"/>
      <c r="C173" s="362"/>
      <c r="D173" s="362"/>
      <c r="E173" s="362"/>
      <c r="F173" s="362"/>
      <c r="G173" s="362"/>
      <c r="H173" s="362"/>
      <c r="I173" s="363"/>
      <c r="J173" s="362" t="s">
        <v>320</v>
      </c>
      <c r="K173" s="245"/>
      <c r="L173" s="257"/>
      <c r="M173" s="597" t="s">
        <v>321</v>
      </c>
      <c r="N173" s="598"/>
      <c r="O173" s="299"/>
      <c r="P173" s="180"/>
      <c r="Q173" s="180">
        <v>18400000</v>
      </c>
      <c r="R173" s="181">
        <f t="shared" si="58"/>
        <v>28.061613542778709</v>
      </c>
      <c r="S173" s="181">
        <v>100</v>
      </c>
      <c r="T173" s="180">
        <f t="shared" si="41"/>
        <v>0</v>
      </c>
      <c r="U173" s="180">
        <f t="shared" si="59"/>
        <v>0</v>
      </c>
      <c r="V173" s="182">
        <f t="shared" ref="V173:V174" si="60">S173-T173</f>
        <v>100</v>
      </c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>
        <v>0</v>
      </c>
      <c r="AJ173" s="181">
        <f t="shared" si="42"/>
        <v>0</v>
      </c>
      <c r="AK173" s="246">
        <f t="shared" si="57"/>
        <v>18400000</v>
      </c>
      <c r="AL173" s="181">
        <f t="shared" si="43"/>
        <v>100</v>
      </c>
      <c r="AM173" s="243"/>
    </row>
    <row r="174" spans="1:39" ht="24.75" customHeight="1" x14ac:dyDescent="0.25">
      <c r="A174" s="243"/>
      <c r="B174" s="362"/>
      <c r="C174" s="362"/>
      <c r="D174" s="362"/>
      <c r="E174" s="362"/>
      <c r="F174" s="362"/>
      <c r="G174" s="362"/>
      <c r="H174" s="362"/>
      <c r="I174" s="363"/>
      <c r="J174" s="362" t="s">
        <v>407</v>
      </c>
      <c r="K174" s="245"/>
      <c r="L174" s="257"/>
      <c r="M174" s="597" t="s">
        <v>414</v>
      </c>
      <c r="N174" s="598"/>
      <c r="O174" s="299"/>
      <c r="P174" s="180"/>
      <c r="Q174" s="180">
        <v>450000</v>
      </c>
      <c r="R174" s="181">
        <f t="shared" si="58"/>
        <v>0.68628946164404447</v>
      </c>
      <c r="S174" s="181">
        <v>100</v>
      </c>
      <c r="T174" s="180">
        <f t="shared" si="41"/>
        <v>0</v>
      </c>
      <c r="U174" s="180">
        <f t="shared" si="59"/>
        <v>0</v>
      </c>
      <c r="V174" s="182">
        <f t="shared" si="60"/>
        <v>100</v>
      </c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>
        <v>0</v>
      </c>
      <c r="AJ174" s="181">
        <f t="shared" si="42"/>
        <v>0</v>
      </c>
      <c r="AK174" s="246">
        <f t="shared" si="57"/>
        <v>450000</v>
      </c>
      <c r="AL174" s="181">
        <f t="shared" si="43"/>
        <v>100</v>
      </c>
      <c r="AM174" s="243"/>
    </row>
    <row r="175" spans="1:39" s="226" customFormat="1" ht="36.75" customHeight="1" x14ac:dyDescent="0.25">
      <c r="A175" s="289" t="s">
        <v>34</v>
      </c>
      <c r="B175" s="607" t="s">
        <v>138</v>
      </c>
      <c r="C175" s="607"/>
      <c r="D175" s="607"/>
      <c r="E175" s="607"/>
      <c r="F175" s="607"/>
      <c r="G175" s="607"/>
      <c r="H175" s="607"/>
      <c r="I175" s="608"/>
      <c r="J175" s="368" t="s">
        <v>467</v>
      </c>
      <c r="K175" s="291"/>
      <c r="L175" s="607" t="s">
        <v>35</v>
      </c>
      <c r="M175" s="607"/>
      <c r="N175" s="608"/>
      <c r="O175" s="263">
        <f>SUM(O176:O225)</f>
        <v>2212865000</v>
      </c>
      <c r="P175" s="263">
        <f>SUM(P176:P225)</f>
        <v>1923365000</v>
      </c>
      <c r="Q175" s="263">
        <f>SUM(Q176+Q188+Q196+Q204+Q211+Q217+Q225+Q236)</f>
        <v>1358098427</v>
      </c>
      <c r="R175" s="222">
        <f>Q175/Q$53*100</f>
        <v>6.7302687126511538</v>
      </c>
      <c r="S175" s="222">
        <f>S176</f>
        <v>100</v>
      </c>
      <c r="T175" s="263">
        <f t="shared" si="41"/>
        <v>4.8396344987446192</v>
      </c>
      <c r="U175" s="263">
        <f t="shared" si="59"/>
        <v>0.32572040647568057</v>
      </c>
      <c r="V175" s="292">
        <f t="shared" si="52"/>
        <v>95.160365501255384</v>
      </c>
      <c r="W175" s="263">
        <f t="shared" ref="W175:AH175" si="61">SUM(W176:W225)</f>
        <v>0</v>
      </c>
      <c r="X175" s="263" t="e">
        <f t="shared" si="61"/>
        <v>#REF!</v>
      </c>
      <c r="Y175" s="263" t="e">
        <f t="shared" si="61"/>
        <v>#REF!</v>
      </c>
      <c r="Z175" s="263" t="e">
        <f t="shared" si="61"/>
        <v>#REF!</v>
      </c>
      <c r="AA175" s="263" t="e">
        <f t="shared" si="61"/>
        <v>#REF!</v>
      </c>
      <c r="AB175" s="263">
        <f t="shared" si="61"/>
        <v>1160108089</v>
      </c>
      <c r="AC175" s="263" t="e">
        <f t="shared" si="61"/>
        <v>#REF!</v>
      </c>
      <c r="AD175" s="263" t="e">
        <f t="shared" si="61"/>
        <v>#REF!</v>
      </c>
      <c r="AE175" s="263" t="e">
        <f t="shared" si="61"/>
        <v>#REF!</v>
      </c>
      <c r="AF175" s="263" t="e">
        <f t="shared" si="61"/>
        <v>#REF!</v>
      </c>
      <c r="AG175" s="263" t="e">
        <f t="shared" si="61"/>
        <v>#REF!</v>
      </c>
      <c r="AH175" s="263" t="e">
        <f t="shared" si="61"/>
        <v>#REF!</v>
      </c>
      <c r="AI175" s="263">
        <f>SUM(AI176+AI188+AI196+AI204+AI211+AI217+AI225)</f>
        <v>65727000</v>
      </c>
      <c r="AJ175" s="222">
        <f t="shared" si="42"/>
        <v>4.8396344987446192</v>
      </c>
      <c r="AK175" s="265">
        <f>SUM(Q175-AI175)</f>
        <v>1292371427</v>
      </c>
      <c r="AL175" s="222">
        <f t="shared" si="43"/>
        <v>95.160365501255384</v>
      </c>
      <c r="AM175" s="289"/>
    </row>
    <row r="176" spans="1:39" s="297" customFormat="1" ht="28.5" customHeight="1" x14ac:dyDescent="0.25">
      <c r="A176" s="227">
        <f>A166+1</f>
        <v>28</v>
      </c>
      <c r="B176" s="615" t="s">
        <v>139</v>
      </c>
      <c r="C176" s="615"/>
      <c r="D176" s="615"/>
      <c r="E176" s="615"/>
      <c r="F176" s="615"/>
      <c r="G176" s="615"/>
      <c r="H176" s="615"/>
      <c r="I176" s="614"/>
      <c r="J176" s="304" t="s">
        <v>468</v>
      </c>
      <c r="K176" s="230"/>
      <c r="L176" s="294"/>
      <c r="M176" s="615" t="s">
        <v>36</v>
      </c>
      <c r="N176" s="614"/>
      <c r="O176" s="300">
        <v>1093890000</v>
      </c>
      <c r="P176" s="231">
        <f>[9]Sheet1!$U$80</f>
        <v>804390000</v>
      </c>
      <c r="Q176" s="231">
        <f>SUM(Q177:Q187)</f>
        <v>496093427</v>
      </c>
      <c r="R176" s="233">
        <f>Q176/Q$175*100</f>
        <v>36.528532626008264</v>
      </c>
      <c r="S176" s="233">
        <v>100</v>
      </c>
      <c r="T176" s="231">
        <f t="shared" si="41"/>
        <v>0</v>
      </c>
      <c r="U176" s="231">
        <f>R176*T176/100</f>
        <v>0</v>
      </c>
      <c r="V176" s="296">
        <f t="shared" si="52"/>
        <v>100</v>
      </c>
      <c r="W176" s="231"/>
      <c r="X176" s="231" t="e">
        <f>#REF!</f>
        <v>#REF!</v>
      </c>
      <c r="Y176" s="231" t="e">
        <f>#REF!</f>
        <v>#REF!</v>
      </c>
      <c r="Z176" s="231" t="e">
        <f>#REF!</f>
        <v>#REF!</v>
      </c>
      <c r="AA176" s="231" t="e">
        <f>#REF!</f>
        <v>#REF!</v>
      </c>
      <c r="AB176" s="231">
        <v>258208050</v>
      </c>
      <c r="AC176" s="231" t="e">
        <f>#REF!</f>
        <v>#REF!</v>
      </c>
      <c r="AD176" s="231" t="e">
        <f>#REF!</f>
        <v>#REF!</v>
      </c>
      <c r="AE176" s="231" t="e">
        <f>#REF!</f>
        <v>#REF!</v>
      </c>
      <c r="AF176" s="231" t="e">
        <f>[1]April!N48</f>
        <v>#REF!</v>
      </c>
      <c r="AG176" s="231" t="e">
        <f>[2]april!N48</f>
        <v>#REF!</v>
      </c>
      <c r="AH176" s="231">
        <f>'[3]DES SKPD'!$N48</f>
        <v>531334050</v>
      </c>
      <c r="AI176" s="231">
        <f>SUM(AI177:AI187)</f>
        <v>0</v>
      </c>
      <c r="AJ176" s="233">
        <f t="shared" si="42"/>
        <v>0</v>
      </c>
      <c r="AK176" s="234">
        <f>Q176-AI176</f>
        <v>496093427</v>
      </c>
      <c r="AL176" s="233">
        <f t="shared" si="43"/>
        <v>100</v>
      </c>
      <c r="AM176" s="227"/>
    </row>
    <row r="177" spans="1:44" ht="28.5" customHeight="1" x14ac:dyDescent="0.25">
      <c r="A177" s="243"/>
      <c r="B177" s="362"/>
      <c r="C177" s="362"/>
      <c r="D177" s="362"/>
      <c r="E177" s="362"/>
      <c r="F177" s="362"/>
      <c r="G177" s="362"/>
      <c r="H177" s="362"/>
      <c r="I177" s="363"/>
      <c r="J177" s="362" t="s">
        <v>259</v>
      </c>
      <c r="K177" s="245"/>
      <c r="L177" s="257"/>
      <c r="M177" s="597" t="s">
        <v>260</v>
      </c>
      <c r="N177" s="598"/>
      <c r="O177" s="301"/>
      <c r="P177" s="180"/>
      <c r="Q177" s="180">
        <v>1096000</v>
      </c>
      <c r="R177" s="181">
        <f t="shared" ref="R177:R187" si="62">Q177/Q$176*100</f>
        <v>0.22092612809401324</v>
      </c>
      <c r="S177" s="181">
        <v>100</v>
      </c>
      <c r="T177" s="180">
        <f t="shared" si="41"/>
        <v>0</v>
      </c>
      <c r="U177" s="180">
        <f t="shared" ref="U177:U185" si="63">R177*T177/100</f>
        <v>0</v>
      </c>
      <c r="V177" s="182">
        <f t="shared" si="52"/>
        <v>100</v>
      </c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>
        <v>0</v>
      </c>
      <c r="AJ177" s="181">
        <f t="shared" si="42"/>
        <v>0</v>
      </c>
      <c r="AK177" s="246">
        <f t="shared" ref="AK177:AK240" si="64">Q177-AI177</f>
        <v>1096000</v>
      </c>
      <c r="AL177" s="181">
        <f t="shared" si="43"/>
        <v>100</v>
      </c>
      <c r="AM177" s="243"/>
      <c r="AR177" s="205">
        <f>SUM(69300000-48250000)</f>
        <v>21050000</v>
      </c>
    </row>
    <row r="178" spans="1:44" ht="28.5" customHeight="1" x14ac:dyDescent="0.25">
      <c r="A178" s="243"/>
      <c r="B178" s="362"/>
      <c r="C178" s="362"/>
      <c r="D178" s="362"/>
      <c r="E178" s="362"/>
      <c r="F178" s="362"/>
      <c r="G178" s="362"/>
      <c r="H178" s="362"/>
      <c r="I178" s="363"/>
      <c r="J178" s="362" t="s">
        <v>273</v>
      </c>
      <c r="K178" s="245"/>
      <c r="L178" s="257"/>
      <c r="M178" s="597" t="s">
        <v>322</v>
      </c>
      <c r="N178" s="598"/>
      <c r="O178" s="301"/>
      <c r="P178" s="180"/>
      <c r="Q178" s="180">
        <v>6900000</v>
      </c>
      <c r="R178" s="181">
        <f t="shared" si="62"/>
        <v>1.3908670473072002</v>
      </c>
      <c r="S178" s="181">
        <v>100</v>
      </c>
      <c r="T178" s="180">
        <f>AJ178</f>
        <v>0</v>
      </c>
      <c r="U178" s="180">
        <f t="shared" si="63"/>
        <v>0</v>
      </c>
      <c r="V178" s="182">
        <f t="shared" si="52"/>
        <v>100</v>
      </c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>
        <v>0</v>
      </c>
      <c r="AJ178" s="181">
        <f>AI178/Q178*100</f>
        <v>0</v>
      </c>
      <c r="AK178" s="246">
        <f t="shared" si="64"/>
        <v>6900000</v>
      </c>
      <c r="AL178" s="181">
        <f t="shared" si="43"/>
        <v>100</v>
      </c>
      <c r="AM178" s="243"/>
    </row>
    <row r="179" spans="1:44" ht="28.5" customHeight="1" x14ac:dyDescent="0.25">
      <c r="A179" s="243"/>
      <c r="B179" s="362"/>
      <c r="C179" s="362"/>
      <c r="D179" s="362"/>
      <c r="E179" s="362"/>
      <c r="F179" s="362"/>
      <c r="G179" s="362"/>
      <c r="H179" s="362"/>
      <c r="I179" s="363"/>
      <c r="J179" s="362" t="s">
        <v>587</v>
      </c>
      <c r="K179" s="245"/>
      <c r="L179" s="257"/>
      <c r="M179" s="597" t="s">
        <v>588</v>
      </c>
      <c r="N179" s="598"/>
      <c r="O179" s="301"/>
      <c r="P179" s="180"/>
      <c r="Q179" s="180">
        <v>80900000</v>
      </c>
      <c r="R179" s="181">
        <f t="shared" si="62"/>
        <v>16.307412192340941</v>
      </c>
      <c r="S179" s="181">
        <v>100</v>
      </c>
      <c r="T179" s="180">
        <f>AJ179</f>
        <v>0</v>
      </c>
      <c r="U179" s="180">
        <f t="shared" si="63"/>
        <v>0</v>
      </c>
      <c r="V179" s="182">
        <f t="shared" si="52"/>
        <v>100</v>
      </c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>
        <v>0</v>
      </c>
      <c r="AJ179" s="181">
        <f>AI179/Q179*100</f>
        <v>0</v>
      </c>
      <c r="AK179" s="246">
        <f t="shared" si="64"/>
        <v>80900000</v>
      </c>
      <c r="AL179" s="181"/>
      <c r="AM179" s="243"/>
    </row>
    <row r="180" spans="1:44" ht="28.5" customHeight="1" x14ac:dyDescent="0.25">
      <c r="A180" s="243"/>
      <c r="B180" s="362"/>
      <c r="C180" s="362"/>
      <c r="D180" s="362"/>
      <c r="E180" s="362"/>
      <c r="F180" s="362"/>
      <c r="G180" s="362"/>
      <c r="H180" s="362"/>
      <c r="I180" s="363"/>
      <c r="J180" s="362" t="s">
        <v>323</v>
      </c>
      <c r="K180" s="245"/>
      <c r="L180" s="257"/>
      <c r="M180" s="597" t="s">
        <v>324</v>
      </c>
      <c r="N180" s="598"/>
      <c r="O180" s="301"/>
      <c r="P180" s="180"/>
      <c r="Q180" s="180">
        <v>23150000</v>
      </c>
      <c r="R180" s="181">
        <f t="shared" si="62"/>
        <v>4.6664597311828526</v>
      </c>
      <c r="S180" s="181">
        <v>100</v>
      </c>
      <c r="T180" s="180">
        <f t="shared" si="41"/>
        <v>0</v>
      </c>
      <c r="U180" s="180">
        <f t="shared" si="63"/>
        <v>0</v>
      </c>
      <c r="V180" s="182">
        <f t="shared" si="52"/>
        <v>100</v>
      </c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0">
        <v>0</v>
      </c>
      <c r="AJ180" s="181">
        <f t="shared" si="42"/>
        <v>0</v>
      </c>
      <c r="AK180" s="246">
        <f t="shared" si="64"/>
        <v>23150000</v>
      </c>
      <c r="AL180" s="181">
        <f t="shared" si="43"/>
        <v>100</v>
      </c>
      <c r="AM180" s="243"/>
    </row>
    <row r="181" spans="1:44" ht="28.5" customHeight="1" x14ac:dyDescent="0.25">
      <c r="A181" s="243"/>
      <c r="B181" s="362"/>
      <c r="C181" s="362"/>
      <c r="D181" s="362"/>
      <c r="E181" s="362"/>
      <c r="F181" s="362"/>
      <c r="G181" s="362"/>
      <c r="H181" s="362"/>
      <c r="I181" s="363"/>
      <c r="J181" s="362" t="s">
        <v>269</v>
      </c>
      <c r="K181" s="245"/>
      <c r="L181" s="257"/>
      <c r="M181" s="597" t="s">
        <v>589</v>
      </c>
      <c r="N181" s="598"/>
      <c r="O181" s="301"/>
      <c r="P181" s="180"/>
      <c r="Q181" s="180">
        <v>23500000</v>
      </c>
      <c r="R181" s="181">
        <f t="shared" si="62"/>
        <v>4.737010958220174</v>
      </c>
      <c r="S181" s="181">
        <v>100</v>
      </c>
      <c r="T181" s="180">
        <f t="shared" si="41"/>
        <v>0</v>
      </c>
      <c r="U181" s="180">
        <f t="shared" si="63"/>
        <v>0</v>
      </c>
      <c r="V181" s="182">
        <f t="shared" si="52"/>
        <v>100</v>
      </c>
      <c r="W181" s="180"/>
      <c r="X181" s="180"/>
      <c r="Y181" s="180"/>
      <c r="Z181" s="180"/>
      <c r="AA181" s="180"/>
      <c r="AB181" s="180"/>
      <c r="AC181" s="180"/>
      <c r="AD181" s="180"/>
      <c r="AE181" s="180"/>
      <c r="AF181" s="180"/>
      <c r="AG181" s="180"/>
      <c r="AH181" s="180"/>
      <c r="AI181" s="180">
        <v>0</v>
      </c>
      <c r="AJ181" s="181">
        <f t="shared" si="42"/>
        <v>0</v>
      </c>
      <c r="AK181" s="246">
        <f t="shared" si="64"/>
        <v>23500000</v>
      </c>
      <c r="AL181" s="181">
        <f t="shared" si="43"/>
        <v>100</v>
      </c>
      <c r="AM181" s="243"/>
    </row>
    <row r="182" spans="1:44" ht="28.5" customHeight="1" x14ac:dyDescent="0.25">
      <c r="A182" s="243"/>
      <c r="B182" s="362"/>
      <c r="C182" s="362"/>
      <c r="D182" s="362"/>
      <c r="E182" s="362"/>
      <c r="F182" s="362"/>
      <c r="G182" s="362"/>
      <c r="H182" s="362"/>
      <c r="I182" s="363"/>
      <c r="J182" s="362" t="s">
        <v>315</v>
      </c>
      <c r="K182" s="245"/>
      <c r="L182" s="257"/>
      <c r="M182" s="597" t="s">
        <v>271</v>
      </c>
      <c r="N182" s="598"/>
      <c r="O182" s="301"/>
      <c r="P182" s="180"/>
      <c r="Q182" s="180">
        <v>5200000</v>
      </c>
      <c r="R182" s="181">
        <f t="shared" si="62"/>
        <v>1.0481896588402086</v>
      </c>
      <c r="S182" s="181">
        <v>100</v>
      </c>
      <c r="T182" s="180">
        <f t="shared" si="41"/>
        <v>0</v>
      </c>
      <c r="U182" s="180">
        <f t="shared" si="63"/>
        <v>0</v>
      </c>
      <c r="V182" s="182">
        <f t="shared" si="52"/>
        <v>100</v>
      </c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>
        <v>0</v>
      </c>
      <c r="AJ182" s="181">
        <f t="shared" si="42"/>
        <v>0</v>
      </c>
      <c r="AK182" s="246">
        <f t="shared" si="64"/>
        <v>5200000</v>
      </c>
      <c r="AL182" s="181">
        <f t="shared" si="43"/>
        <v>100</v>
      </c>
      <c r="AM182" s="243"/>
    </row>
    <row r="183" spans="1:44" ht="28.5" customHeight="1" x14ac:dyDescent="0.25">
      <c r="A183" s="243"/>
      <c r="B183" s="362"/>
      <c r="C183" s="362"/>
      <c r="D183" s="362"/>
      <c r="E183" s="362"/>
      <c r="F183" s="362"/>
      <c r="G183" s="362"/>
      <c r="H183" s="362"/>
      <c r="I183" s="363"/>
      <c r="J183" s="362" t="s">
        <v>328</v>
      </c>
      <c r="K183" s="245"/>
      <c r="L183" s="257"/>
      <c r="M183" s="597" t="s">
        <v>329</v>
      </c>
      <c r="N183" s="598"/>
      <c r="O183" s="301"/>
      <c r="P183" s="180"/>
      <c r="Q183" s="180">
        <v>36000000</v>
      </c>
      <c r="R183" s="181">
        <f t="shared" si="62"/>
        <v>7.2566976381245221</v>
      </c>
      <c r="S183" s="181">
        <v>100</v>
      </c>
      <c r="T183" s="180">
        <f t="shared" si="41"/>
        <v>0</v>
      </c>
      <c r="U183" s="180">
        <f t="shared" si="63"/>
        <v>0</v>
      </c>
      <c r="V183" s="182">
        <f t="shared" si="52"/>
        <v>100</v>
      </c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>
        <v>0</v>
      </c>
      <c r="AJ183" s="181">
        <f t="shared" si="42"/>
        <v>0</v>
      </c>
      <c r="AK183" s="246">
        <f t="shared" si="64"/>
        <v>36000000</v>
      </c>
      <c r="AL183" s="181">
        <f t="shared" si="43"/>
        <v>100</v>
      </c>
      <c r="AM183" s="243"/>
    </row>
    <row r="184" spans="1:44" ht="28.5" customHeight="1" x14ac:dyDescent="0.25">
      <c r="A184" s="243"/>
      <c r="B184" s="362"/>
      <c r="C184" s="362"/>
      <c r="D184" s="362"/>
      <c r="E184" s="362"/>
      <c r="F184" s="362"/>
      <c r="G184" s="362"/>
      <c r="H184" s="362"/>
      <c r="I184" s="363"/>
      <c r="J184" s="362" t="s">
        <v>280</v>
      </c>
      <c r="K184" s="245"/>
      <c r="L184" s="257"/>
      <c r="M184" s="597" t="s">
        <v>425</v>
      </c>
      <c r="N184" s="598"/>
      <c r="O184" s="301"/>
      <c r="P184" s="180"/>
      <c r="Q184" s="180">
        <v>40500000</v>
      </c>
      <c r="R184" s="181">
        <f t="shared" si="62"/>
        <v>8.1637848428900881</v>
      </c>
      <c r="S184" s="181">
        <v>100</v>
      </c>
      <c r="T184" s="180">
        <f t="shared" si="41"/>
        <v>0</v>
      </c>
      <c r="U184" s="180">
        <f t="shared" si="63"/>
        <v>0</v>
      </c>
      <c r="V184" s="182">
        <f t="shared" si="52"/>
        <v>100</v>
      </c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>
        <v>0</v>
      </c>
      <c r="AJ184" s="181">
        <f t="shared" si="42"/>
        <v>0</v>
      </c>
      <c r="AK184" s="246">
        <f t="shared" si="64"/>
        <v>40500000</v>
      </c>
      <c r="AL184" s="181">
        <f t="shared" si="43"/>
        <v>100</v>
      </c>
      <c r="AM184" s="243"/>
    </row>
    <row r="185" spans="1:44" ht="28.5" customHeight="1" x14ac:dyDescent="0.25">
      <c r="A185" s="243"/>
      <c r="B185" s="362"/>
      <c r="C185" s="362"/>
      <c r="D185" s="362"/>
      <c r="E185" s="362"/>
      <c r="F185" s="362"/>
      <c r="G185" s="362"/>
      <c r="H185" s="362"/>
      <c r="I185" s="363"/>
      <c r="J185" s="362" t="s">
        <v>282</v>
      </c>
      <c r="K185" s="245"/>
      <c r="L185" s="257"/>
      <c r="M185" s="597" t="s">
        <v>590</v>
      </c>
      <c r="N185" s="598"/>
      <c r="O185" s="301"/>
      <c r="P185" s="180"/>
      <c r="Q185" s="180">
        <v>40047427</v>
      </c>
      <c r="R185" s="181">
        <f t="shared" si="62"/>
        <v>8.0725574701073395</v>
      </c>
      <c r="S185" s="181">
        <v>100</v>
      </c>
      <c r="T185" s="180">
        <f t="shared" si="41"/>
        <v>0</v>
      </c>
      <c r="U185" s="180">
        <f t="shared" si="63"/>
        <v>0</v>
      </c>
      <c r="V185" s="182">
        <f t="shared" si="52"/>
        <v>100</v>
      </c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>
        <v>0</v>
      </c>
      <c r="AJ185" s="181">
        <f t="shared" si="42"/>
        <v>0</v>
      </c>
      <c r="AK185" s="246">
        <f t="shared" si="64"/>
        <v>40047427</v>
      </c>
      <c r="AL185" s="181">
        <f t="shared" si="43"/>
        <v>100</v>
      </c>
      <c r="AM185" s="243"/>
    </row>
    <row r="186" spans="1:44" ht="28.5" customHeight="1" x14ac:dyDescent="0.25">
      <c r="A186" s="243"/>
      <c r="B186" s="362"/>
      <c r="C186" s="362"/>
      <c r="D186" s="362"/>
      <c r="E186" s="362"/>
      <c r="F186" s="362"/>
      <c r="G186" s="362"/>
      <c r="H186" s="362"/>
      <c r="I186" s="363"/>
      <c r="J186" s="362" t="s">
        <v>306</v>
      </c>
      <c r="K186" s="245"/>
      <c r="L186" s="257"/>
      <c r="M186" s="597" t="s">
        <v>591</v>
      </c>
      <c r="N186" s="598"/>
      <c r="O186" s="301"/>
      <c r="P186" s="180"/>
      <c r="Q186" s="180">
        <v>40000000</v>
      </c>
      <c r="R186" s="181">
        <f t="shared" si="62"/>
        <v>8.0629973756939126</v>
      </c>
      <c r="S186" s="181">
        <v>100</v>
      </c>
      <c r="T186" s="180">
        <f>AJ187</f>
        <v>0</v>
      </c>
      <c r="U186" s="180">
        <f>R186*T186/100</f>
        <v>0</v>
      </c>
      <c r="V186" s="182">
        <f>S186-T186</f>
        <v>100</v>
      </c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>
        <v>0</v>
      </c>
      <c r="AJ186" s="181">
        <f>AI186/Q186*100</f>
        <v>0</v>
      </c>
      <c r="AK186" s="246">
        <f t="shared" si="64"/>
        <v>40000000</v>
      </c>
      <c r="AL186" s="181">
        <f t="shared" si="43"/>
        <v>100</v>
      </c>
      <c r="AM186" s="243"/>
    </row>
    <row r="187" spans="1:44" ht="28.5" customHeight="1" x14ac:dyDescent="0.25">
      <c r="A187" s="243"/>
      <c r="B187" s="362"/>
      <c r="C187" s="362"/>
      <c r="D187" s="362"/>
      <c r="E187" s="362"/>
      <c r="F187" s="362"/>
      <c r="G187" s="362"/>
      <c r="H187" s="362"/>
      <c r="I187" s="363"/>
      <c r="J187" s="362" t="s">
        <v>551</v>
      </c>
      <c r="K187" s="245"/>
      <c r="L187" s="257"/>
      <c r="M187" s="597" t="s">
        <v>550</v>
      </c>
      <c r="N187" s="598"/>
      <c r="O187" s="301"/>
      <c r="P187" s="180"/>
      <c r="Q187" s="180">
        <v>198800000</v>
      </c>
      <c r="R187" s="181">
        <f t="shared" si="62"/>
        <v>40.07309695719875</v>
      </c>
      <c r="S187" s="181">
        <v>100</v>
      </c>
      <c r="T187" s="180">
        <f>AJ188</f>
        <v>0</v>
      </c>
      <c r="U187" s="180">
        <f>R187*T187/100</f>
        <v>0</v>
      </c>
      <c r="V187" s="182">
        <f>S187-T187</f>
        <v>100</v>
      </c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>
        <v>0</v>
      </c>
      <c r="AJ187" s="181">
        <f>AI186/Q186*100</f>
        <v>0</v>
      </c>
      <c r="AK187" s="246">
        <f t="shared" si="64"/>
        <v>198800000</v>
      </c>
      <c r="AL187" s="181">
        <f t="shared" si="43"/>
        <v>100</v>
      </c>
      <c r="AM187" s="243"/>
    </row>
    <row r="188" spans="1:44" s="297" customFormat="1" ht="28.5" customHeight="1" x14ac:dyDescent="0.25">
      <c r="A188" s="227">
        <f>A176+1</f>
        <v>29</v>
      </c>
      <c r="B188" s="615" t="s">
        <v>140</v>
      </c>
      <c r="C188" s="615"/>
      <c r="D188" s="615"/>
      <c r="E188" s="615"/>
      <c r="F188" s="615"/>
      <c r="G188" s="615"/>
      <c r="H188" s="615"/>
      <c r="I188" s="614"/>
      <c r="J188" s="304" t="s">
        <v>469</v>
      </c>
      <c r="K188" s="230"/>
      <c r="L188" s="294"/>
      <c r="M188" s="615" t="s">
        <v>37</v>
      </c>
      <c r="N188" s="614"/>
      <c r="O188" s="295">
        <v>144225000</v>
      </c>
      <c r="P188" s="231">
        <f>O188</f>
        <v>144225000</v>
      </c>
      <c r="Q188" s="231">
        <f>SUM(Q189:Q195)</f>
        <v>131070000</v>
      </c>
      <c r="R188" s="233">
        <f>Q188/Q$175*100</f>
        <v>9.6509941690698966</v>
      </c>
      <c r="S188" s="233">
        <v>100</v>
      </c>
      <c r="T188" s="231">
        <f t="shared" si="41"/>
        <v>0</v>
      </c>
      <c r="U188" s="231">
        <f>R188*T188/100</f>
        <v>0</v>
      </c>
      <c r="V188" s="296">
        <f t="shared" si="52"/>
        <v>100</v>
      </c>
      <c r="W188" s="231"/>
      <c r="X188" s="231" t="e">
        <f>#REF!</f>
        <v>#REF!</v>
      </c>
      <c r="Y188" s="231" t="e">
        <f>#REF!</f>
        <v>#REF!</v>
      </c>
      <c r="Z188" s="231" t="e">
        <f>#REF!</f>
        <v>#REF!</v>
      </c>
      <c r="AA188" s="231" t="e">
        <f>#REF!</f>
        <v>#REF!</v>
      </c>
      <c r="AB188" s="231">
        <v>0</v>
      </c>
      <c r="AC188" s="231" t="e">
        <f>#REF!</f>
        <v>#REF!</v>
      </c>
      <c r="AD188" s="231" t="e">
        <f>#REF!</f>
        <v>#REF!</v>
      </c>
      <c r="AE188" s="231" t="e">
        <f>#REF!</f>
        <v>#REF!</v>
      </c>
      <c r="AF188" s="231" t="e">
        <f>[1]April!N49</f>
        <v>#REF!</v>
      </c>
      <c r="AG188" s="231" t="e">
        <f>[2]april!N49</f>
        <v>#REF!</v>
      </c>
      <c r="AH188" s="231">
        <f>'[3]DES SKPD'!$N49</f>
        <v>143100490</v>
      </c>
      <c r="AI188" s="231">
        <f>SUM(AI189:AI195)</f>
        <v>0</v>
      </c>
      <c r="AJ188" s="233">
        <f t="shared" si="42"/>
        <v>0</v>
      </c>
      <c r="AK188" s="234">
        <f t="shared" si="64"/>
        <v>131070000</v>
      </c>
      <c r="AL188" s="233">
        <f t="shared" si="43"/>
        <v>100</v>
      </c>
      <c r="AM188" s="227"/>
    </row>
    <row r="189" spans="1:44" ht="28.5" customHeight="1" x14ac:dyDescent="0.25">
      <c r="A189" s="243"/>
      <c r="B189" s="362"/>
      <c r="C189" s="362"/>
      <c r="D189" s="362"/>
      <c r="E189" s="362"/>
      <c r="F189" s="362"/>
      <c r="G189" s="362"/>
      <c r="H189" s="362"/>
      <c r="I189" s="363"/>
      <c r="J189" s="362" t="s">
        <v>326</v>
      </c>
      <c r="K189" s="245"/>
      <c r="L189" s="257"/>
      <c r="M189" s="597" t="s">
        <v>327</v>
      </c>
      <c r="N189" s="598"/>
      <c r="O189" s="299"/>
      <c r="P189" s="180"/>
      <c r="Q189" s="180">
        <v>16750000</v>
      </c>
      <c r="R189" s="181">
        <f t="shared" ref="R189:R195" si="65">Q189/Q$188*100</f>
        <v>12.779430838483252</v>
      </c>
      <c r="S189" s="181">
        <v>100</v>
      </c>
      <c r="T189" s="180">
        <f t="shared" si="41"/>
        <v>0</v>
      </c>
      <c r="U189" s="180">
        <f t="shared" ref="U189:U195" si="66">R189*T189/100</f>
        <v>0</v>
      </c>
      <c r="V189" s="182">
        <f t="shared" si="52"/>
        <v>100</v>
      </c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>
        <v>0</v>
      </c>
      <c r="AJ189" s="181">
        <f t="shared" si="42"/>
        <v>0</v>
      </c>
      <c r="AK189" s="246">
        <f t="shared" si="64"/>
        <v>16750000</v>
      </c>
      <c r="AL189" s="181">
        <f t="shared" si="43"/>
        <v>100</v>
      </c>
      <c r="AM189" s="243"/>
    </row>
    <row r="190" spans="1:44" ht="28.5" customHeight="1" x14ac:dyDescent="0.25">
      <c r="A190" s="243"/>
      <c r="B190" s="362"/>
      <c r="C190" s="362"/>
      <c r="D190" s="362"/>
      <c r="E190" s="362"/>
      <c r="F190" s="362"/>
      <c r="G190" s="362"/>
      <c r="H190" s="362"/>
      <c r="I190" s="363"/>
      <c r="J190" s="362" t="s">
        <v>323</v>
      </c>
      <c r="K190" s="245"/>
      <c r="L190" s="257"/>
      <c r="M190" s="597" t="s">
        <v>324</v>
      </c>
      <c r="N190" s="598"/>
      <c r="O190" s="299"/>
      <c r="P190" s="180"/>
      <c r="Q190" s="180">
        <v>9132000</v>
      </c>
      <c r="R190" s="181">
        <f t="shared" si="65"/>
        <v>6.9672693980315863</v>
      </c>
      <c r="S190" s="181">
        <v>100</v>
      </c>
      <c r="T190" s="180">
        <f t="shared" si="41"/>
        <v>0</v>
      </c>
      <c r="U190" s="180">
        <f t="shared" si="66"/>
        <v>0</v>
      </c>
      <c r="V190" s="182">
        <f t="shared" si="52"/>
        <v>100</v>
      </c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>
        <v>0</v>
      </c>
      <c r="AJ190" s="181">
        <f t="shared" si="42"/>
        <v>0</v>
      </c>
      <c r="AK190" s="246">
        <f t="shared" si="64"/>
        <v>9132000</v>
      </c>
      <c r="AL190" s="181">
        <f t="shared" si="43"/>
        <v>100</v>
      </c>
      <c r="AM190" s="243"/>
    </row>
    <row r="191" spans="1:44" ht="28.5" customHeight="1" x14ac:dyDescent="0.25">
      <c r="A191" s="243"/>
      <c r="B191" s="362"/>
      <c r="C191" s="362"/>
      <c r="D191" s="362"/>
      <c r="E191" s="362"/>
      <c r="F191" s="362"/>
      <c r="G191" s="362"/>
      <c r="H191" s="362"/>
      <c r="I191" s="363"/>
      <c r="J191" s="362" t="s">
        <v>269</v>
      </c>
      <c r="K191" s="245"/>
      <c r="L191" s="257"/>
      <c r="M191" s="597" t="s">
        <v>270</v>
      </c>
      <c r="N191" s="598"/>
      <c r="O191" s="299"/>
      <c r="P191" s="180"/>
      <c r="Q191" s="180">
        <v>13650000</v>
      </c>
      <c r="R191" s="181">
        <f t="shared" si="65"/>
        <v>10.414282444495308</v>
      </c>
      <c r="S191" s="181">
        <v>100</v>
      </c>
      <c r="T191" s="180">
        <f t="shared" si="41"/>
        <v>0</v>
      </c>
      <c r="U191" s="180">
        <f t="shared" si="66"/>
        <v>0</v>
      </c>
      <c r="V191" s="182">
        <f t="shared" si="52"/>
        <v>100</v>
      </c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>
        <v>0</v>
      </c>
      <c r="AJ191" s="181">
        <f t="shared" si="42"/>
        <v>0</v>
      </c>
      <c r="AK191" s="246">
        <f t="shared" si="64"/>
        <v>13650000</v>
      </c>
      <c r="AL191" s="181">
        <f t="shared" si="43"/>
        <v>100</v>
      </c>
      <c r="AM191" s="243"/>
    </row>
    <row r="192" spans="1:44" ht="28.5" customHeight="1" x14ac:dyDescent="0.25">
      <c r="A192" s="243"/>
      <c r="B192" s="362"/>
      <c r="C192" s="362"/>
      <c r="D192" s="362"/>
      <c r="E192" s="362"/>
      <c r="F192" s="362"/>
      <c r="G192" s="362"/>
      <c r="H192" s="362"/>
      <c r="I192" s="363"/>
      <c r="J192" s="362" t="s">
        <v>315</v>
      </c>
      <c r="K192" s="245"/>
      <c r="L192" s="257"/>
      <c r="M192" s="597" t="s">
        <v>271</v>
      </c>
      <c r="N192" s="598"/>
      <c r="O192" s="299"/>
      <c r="P192" s="180"/>
      <c r="Q192" s="180">
        <v>1418000</v>
      </c>
      <c r="R192" s="181">
        <f t="shared" si="65"/>
        <v>1.0818646524757762</v>
      </c>
      <c r="S192" s="181">
        <v>100</v>
      </c>
      <c r="T192" s="180">
        <f t="shared" si="41"/>
        <v>0</v>
      </c>
      <c r="U192" s="180">
        <f t="shared" si="66"/>
        <v>0</v>
      </c>
      <c r="V192" s="182">
        <f t="shared" si="52"/>
        <v>100</v>
      </c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>
        <v>0</v>
      </c>
      <c r="AJ192" s="181">
        <f t="shared" si="42"/>
        <v>0</v>
      </c>
      <c r="AK192" s="246">
        <f t="shared" si="64"/>
        <v>1418000</v>
      </c>
      <c r="AL192" s="181">
        <f t="shared" si="43"/>
        <v>100</v>
      </c>
      <c r="AM192" s="243"/>
    </row>
    <row r="193" spans="1:39" ht="28.5" customHeight="1" x14ac:dyDescent="0.25">
      <c r="A193" s="243"/>
      <c r="B193" s="362"/>
      <c r="C193" s="362"/>
      <c r="D193" s="362"/>
      <c r="E193" s="362"/>
      <c r="F193" s="362"/>
      <c r="G193" s="362"/>
      <c r="H193" s="362"/>
      <c r="I193" s="363"/>
      <c r="J193" s="362" t="s">
        <v>328</v>
      </c>
      <c r="K193" s="245"/>
      <c r="L193" s="257"/>
      <c r="M193" s="597" t="s">
        <v>329</v>
      </c>
      <c r="N193" s="598"/>
      <c r="O193" s="299"/>
      <c r="P193" s="180"/>
      <c r="Q193" s="180">
        <v>82500000</v>
      </c>
      <c r="R193" s="181">
        <f t="shared" si="65"/>
        <v>62.943465323872736</v>
      </c>
      <c r="S193" s="181">
        <v>100</v>
      </c>
      <c r="T193" s="180">
        <f t="shared" si="41"/>
        <v>0</v>
      </c>
      <c r="U193" s="180">
        <f t="shared" si="66"/>
        <v>0</v>
      </c>
      <c r="V193" s="182">
        <f t="shared" si="52"/>
        <v>100</v>
      </c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>
        <v>0</v>
      </c>
      <c r="AJ193" s="181">
        <f t="shared" si="42"/>
        <v>0</v>
      </c>
      <c r="AK193" s="246">
        <f t="shared" si="64"/>
        <v>82500000</v>
      </c>
      <c r="AL193" s="181">
        <f t="shared" si="43"/>
        <v>100</v>
      </c>
      <c r="AM193" s="243"/>
    </row>
    <row r="194" spans="1:39" ht="28.5" customHeight="1" x14ac:dyDescent="0.25">
      <c r="A194" s="243"/>
      <c r="B194" s="362"/>
      <c r="C194" s="362"/>
      <c r="D194" s="362"/>
      <c r="E194" s="362"/>
      <c r="F194" s="362"/>
      <c r="G194" s="362"/>
      <c r="H194" s="362"/>
      <c r="I194" s="363"/>
      <c r="J194" s="362" t="s">
        <v>284</v>
      </c>
      <c r="K194" s="245"/>
      <c r="L194" s="257"/>
      <c r="M194" s="597" t="s">
        <v>285</v>
      </c>
      <c r="N194" s="598"/>
      <c r="O194" s="299"/>
      <c r="P194" s="180"/>
      <c r="Q194" s="180">
        <v>2120000</v>
      </c>
      <c r="R194" s="181">
        <f t="shared" si="65"/>
        <v>1.617456321049821</v>
      </c>
      <c r="S194" s="181">
        <v>100</v>
      </c>
      <c r="T194" s="180">
        <f t="shared" si="41"/>
        <v>0</v>
      </c>
      <c r="U194" s="180">
        <f t="shared" si="66"/>
        <v>0</v>
      </c>
      <c r="V194" s="182">
        <f t="shared" si="52"/>
        <v>100</v>
      </c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>
        <v>0</v>
      </c>
      <c r="AJ194" s="181">
        <f t="shared" si="42"/>
        <v>0</v>
      </c>
      <c r="AK194" s="246">
        <f t="shared" si="64"/>
        <v>2120000</v>
      </c>
      <c r="AL194" s="181">
        <f t="shared" si="43"/>
        <v>100</v>
      </c>
      <c r="AM194" s="243"/>
    </row>
    <row r="195" spans="1:39" ht="28.5" customHeight="1" x14ac:dyDescent="0.25">
      <c r="A195" s="243"/>
      <c r="B195" s="362"/>
      <c r="C195" s="362"/>
      <c r="D195" s="362"/>
      <c r="E195" s="362"/>
      <c r="F195" s="362"/>
      <c r="G195" s="362"/>
      <c r="H195" s="362"/>
      <c r="I195" s="363"/>
      <c r="J195" s="362" t="s">
        <v>282</v>
      </c>
      <c r="K195" s="245"/>
      <c r="L195" s="257"/>
      <c r="M195" s="597" t="s">
        <v>283</v>
      </c>
      <c r="N195" s="598"/>
      <c r="O195" s="299"/>
      <c r="P195" s="180"/>
      <c r="Q195" s="180">
        <v>5500000</v>
      </c>
      <c r="R195" s="181">
        <f t="shared" si="65"/>
        <v>4.1962310215915153</v>
      </c>
      <c r="S195" s="181">
        <v>100</v>
      </c>
      <c r="T195" s="180">
        <f t="shared" si="41"/>
        <v>0</v>
      </c>
      <c r="U195" s="180">
        <f t="shared" si="66"/>
        <v>0</v>
      </c>
      <c r="V195" s="182">
        <f t="shared" si="52"/>
        <v>100</v>
      </c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>
        <v>0</v>
      </c>
      <c r="AJ195" s="181">
        <f t="shared" si="42"/>
        <v>0</v>
      </c>
      <c r="AK195" s="246">
        <f t="shared" si="64"/>
        <v>5500000</v>
      </c>
      <c r="AL195" s="181">
        <f t="shared" si="43"/>
        <v>100</v>
      </c>
      <c r="AM195" s="243"/>
    </row>
    <row r="196" spans="1:39" ht="28.5" customHeight="1" x14ac:dyDescent="0.25">
      <c r="A196" s="227">
        <v>30</v>
      </c>
      <c r="B196" s="362"/>
      <c r="C196" s="362"/>
      <c r="D196" s="362"/>
      <c r="E196" s="362"/>
      <c r="F196" s="362"/>
      <c r="G196" s="362"/>
      <c r="H196" s="362"/>
      <c r="I196" s="363"/>
      <c r="J196" s="304" t="s">
        <v>474</v>
      </c>
      <c r="K196" s="230"/>
      <c r="L196" s="294"/>
      <c r="M196" s="615" t="s">
        <v>470</v>
      </c>
      <c r="N196" s="614"/>
      <c r="O196" s="295">
        <v>144225000</v>
      </c>
      <c r="P196" s="231">
        <f>O196</f>
        <v>144225000</v>
      </c>
      <c r="Q196" s="231">
        <f>SUM(Q197:Q203)</f>
        <v>168774000</v>
      </c>
      <c r="R196" s="233">
        <f>Q196/Q$175*100</f>
        <v>12.427228884493804</v>
      </c>
      <c r="S196" s="233">
        <v>100</v>
      </c>
      <c r="T196" s="231">
        <f t="shared" si="41"/>
        <v>10.962589024375792</v>
      </c>
      <c r="U196" s="231">
        <f>R196*T196/100</f>
        <v>1.3623460297255758</v>
      </c>
      <c r="V196" s="296">
        <f t="shared" si="52"/>
        <v>89.037410975624212</v>
      </c>
      <c r="W196" s="231"/>
      <c r="X196" s="231" t="e">
        <f>#REF!</f>
        <v>#REF!</v>
      </c>
      <c r="Y196" s="231" t="e">
        <f>#REF!</f>
        <v>#REF!</v>
      </c>
      <c r="Z196" s="231" t="e">
        <f>#REF!</f>
        <v>#REF!</v>
      </c>
      <c r="AA196" s="231" t="e">
        <f>#REF!</f>
        <v>#REF!</v>
      </c>
      <c r="AB196" s="231">
        <v>0</v>
      </c>
      <c r="AC196" s="231" t="e">
        <f>#REF!</f>
        <v>#REF!</v>
      </c>
      <c r="AD196" s="231" t="e">
        <f>#REF!</f>
        <v>#REF!</v>
      </c>
      <c r="AE196" s="231" t="e">
        <f>#REF!</f>
        <v>#REF!</v>
      </c>
      <c r="AF196" s="231" t="e">
        <f>[1]April!N58</f>
        <v>#REF!</v>
      </c>
      <c r="AG196" s="231" t="e">
        <f>[2]april!N58</f>
        <v>#REF!</v>
      </c>
      <c r="AH196" s="231">
        <f>'[3]DES SKPD'!$N58</f>
        <v>133587000</v>
      </c>
      <c r="AI196" s="231">
        <f>SUM(AI197:AI203)</f>
        <v>18502000</v>
      </c>
      <c r="AJ196" s="233">
        <f t="shared" si="42"/>
        <v>10.962589024375792</v>
      </c>
      <c r="AK196" s="234">
        <f t="shared" si="64"/>
        <v>150272000</v>
      </c>
      <c r="AL196" s="233">
        <f t="shared" si="43"/>
        <v>89.037410975624212</v>
      </c>
      <c r="AM196" s="243"/>
    </row>
    <row r="197" spans="1:39" ht="28.5" customHeight="1" x14ac:dyDescent="0.25">
      <c r="A197" s="243"/>
      <c r="B197" s="362"/>
      <c r="C197" s="362"/>
      <c r="D197" s="362"/>
      <c r="E197" s="362"/>
      <c r="F197" s="362"/>
      <c r="G197" s="362"/>
      <c r="H197" s="362"/>
      <c r="I197" s="363"/>
      <c r="J197" s="362" t="s">
        <v>273</v>
      </c>
      <c r="K197" s="245"/>
      <c r="L197" s="257"/>
      <c r="M197" s="597" t="s">
        <v>322</v>
      </c>
      <c r="N197" s="598"/>
      <c r="O197" s="299"/>
      <c r="P197" s="180"/>
      <c r="Q197" s="180">
        <v>34600000</v>
      </c>
      <c r="R197" s="181">
        <f t="shared" ref="R197:R203" si="67">Q197/Q$196*100</f>
        <v>20.500788036071906</v>
      </c>
      <c r="S197" s="181">
        <v>100</v>
      </c>
      <c r="T197" s="180">
        <f t="shared" si="41"/>
        <v>0</v>
      </c>
      <c r="U197" s="180">
        <f t="shared" ref="U197:U203" si="68">R197*T197/100</f>
        <v>0</v>
      </c>
      <c r="V197" s="182">
        <f t="shared" si="52"/>
        <v>100</v>
      </c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>
        <v>0</v>
      </c>
      <c r="AJ197" s="181">
        <f t="shared" si="42"/>
        <v>0</v>
      </c>
      <c r="AK197" s="246">
        <f t="shared" si="64"/>
        <v>34600000</v>
      </c>
      <c r="AL197" s="181">
        <f t="shared" si="43"/>
        <v>100</v>
      </c>
      <c r="AM197" s="243"/>
    </row>
    <row r="198" spans="1:39" ht="28.5" customHeight="1" x14ac:dyDescent="0.25">
      <c r="A198" s="243"/>
      <c r="B198" s="362"/>
      <c r="C198" s="362"/>
      <c r="D198" s="362"/>
      <c r="E198" s="362"/>
      <c r="F198" s="362"/>
      <c r="G198" s="362"/>
      <c r="H198" s="362"/>
      <c r="I198" s="363"/>
      <c r="J198" s="362" t="s">
        <v>323</v>
      </c>
      <c r="K198" s="245"/>
      <c r="L198" s="257"/>
      <c r="M198" s="597" t="s">
        <v>324</v>
      </c>
      <c r="N198" s="598"/>
      <c r="O198" s="299"/>
      <c r="P198" s="180"/>
      <c r="Q198" s="180">
        <v>100464000</v>
      </c>
      <c r="R198" s="181">
        <f t="shared" si="67"/>
        <v>59.525756336876533</v>
      </c>
      <c r="S198" s="181">
        <v>100</v>
      </c>
      <c r="T198" s="180">
        <f t="shared" si="41"/>
        <v>18.416547220895048</v>
      </c>
      <c r="U198" s="180">
        <f t="shared" si="68"/>
        <v>10.962589024375793</v>
      </c>
      <c r="V198" s="182">
        <f t="shared" si="52"/>
        <v>81.58345277910496</v>
      </c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>
        <v>18502000</v>
      </c>
      <c r="AJ198" s="181">
        <f t="shared" si="42"/>
        <v>18.416547220895048</v>
      </c>
      <c r="AK198" s="246">
        <f t="shared" si="64"/>
        <v>81962000</v>
      </c>
      <c r="AL198" s="181">
        <f t="shared" si="43"/>
        <v>81.583452779104945</v>
      </c>
      <c r="AM198" s="243"/>
    </row>
    <row r="199" spans="1:39" ht="28.5" customHeight="1" x14ac:dyDescent="0.25">
      <c r="A199" s="243"/>
      <c r="B199" s="362"/>
      <c r="C199" s="362"/>
      <c r="D199" s="362"/>
      <c r="E199" s="362"/>
      <c r="F199" s="362"/>
      <c r="G199" s="362"/>
      <c r="H199" s="362"/>
      <c r="I199" s="363"/>
      <c r="J199" s="362" t="s">
        <v>269</v>
      </c>
      <c r="K199" s="245"/>
      <c r="L199" s="257"/>
      <c r="M199" s="597" t="s">
        <v>270</v>
      </c>
      <c r="N199" s="598"/>
      <c r="O199" s="299"/>
      <c r="P199" s="180"/>
      <c r="Q199" s="180">
        <v>9000000</v>
      </c>
      <c r="R199" s="181">
        <f t="shared" si="67"/>
        <v>5.3325749226776642</v>
      </c>
      <c r="S199" s="181">
        <v>100</v>
      </c>
      <c r="T199" s="180">
        <f t="shared" si="41"/>
        <v>0</v>
      </c>
      <c r="U199" s="180">
        <f t="shared" si="68"/>
        <v>0</v>
      </c>
      <c r="V199" s="182">
        <f t="shared" si="52"/>
        <v>100</v>
      </c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>
        <v>0</v>
      </c>
      <c r="AJ199" s="181">
        <f t="shared" si="42"/>
        <v>0</v>
      </c>
      <c r="AK199" s="246">
        <f t="shared" si="64"/>
        <v>9000000</v>
      </c>
      <c r="AL199" s="181">
        <f t="shared" si="43"/>
        <v>100</v>
      </c>
      <c r="AM199" s="243"/>
    </row>
    <row r="200" spans="1:39" ht="28.5" customHeight="1" x14ac:dyDescent="0.25">
      <c r="A200" s="243"/>
      <c r="B200" s="362"/>
      <c r="C200" s="362"/>
      <c r="D200" s="362"/>
      <c r="E200" s="362"/>
      <c r="F200" s="362"/>
      <c r="G200" s="362"/>
      <c r="H200" s="362"/>
      <c r="I200" s="363"/>
      <c r="J200" s="362" t="s">
        <v>315</v>
      </c>
      <c r="K200" s="245"/>
      <c r="L200" s="257"/>
      <c r="M200" s="597" t="s">
        <v>271</v>
      </c>
      <c r="N200" s="598"/>
      <c r="O200" s="299"/>
      <c r="P200" s="180"/>
      <c r="Q200" s="180">
        <v>360000</v>
      </c>
      <c r="R200" s="181">
        <f t="shared" si="67"/>
        <v>0.21330299690710655</v>
      </c>
      <c r="S200" s="181">
        <v>100</v>
      </c>
      <c r="T200" s="180">
        <f t="shared" si="41"/>
        <v>0</v>
      </c>
      <c r="U200" s="180">
        <f t="shared" si="68"/>
        <v>0</v>
      </c>
      <c r="V200" s="182">
        <f t="shared" si="52"/>
        <v>100</v>
      </c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>
        <v>0</v>
      </c>
      <c r="AJ200" s="181">
        <f t="shared" si="42"/>
        <v>0</v>
      </c>
      <c r="AK200" s="246">
        <f t="shared" si="64"/>
        <v>360000</v>
      </c>
      <c r="AL200" s="181">
        <f t="shared" si="43"/>
        <v>100</v>
      </c>
      <c r="AM200" s="243"/>
    </row>
    <row r="201" spans="1:39" ht="28.5" customHeight="1" x14ac:dyDescent="0.25">
      <c r="A201" s="243"/>
      <c r="B201" s="362"/>
      <c r="C201" s="362"/>
      <c r="D201" s="362"/>
      <c r="E201" s="362"/>
      <c r="F201" s="362"/>
      <c r="G201" s="362"/>
      <c r="H201" s="362"/>
      <c r="I201" s="363"/>
      <c r="J201" s="362" t="s">
        <v>280</v>
      </c>
      <c r="K201" s="245"/>
      <c r="L201" s="257"/>
      <c r="M201" s="597" t="s">
        <v>425</v>
      </c>
      <c r="N201" s="598"/>
      <c r="O201" s="299"/>
      <c r="P201" s="180"/>
      <c r="Q201" s="180">
        <v>3500000</v>
      </c>
      <c r="R201" s="181">
        <f t="shared" si="67"/>
        <v>2.073779136596869</v>
      </c>
      <c r="S201" s="181">
        <v>100</v>
      </c>
      <c r="T201" s="180">
        <f t="shared" si="41"/>
        <v>0</v>
      </c>
      <c r="U201" s="180">
        <f t="shared" si="68"/>
        <v>0</v>
      </c>
      <c r="V201" s="182">
        <f t="shared" si="52"/>
        <v>100</v>
      </c>
      <c r="W201" s="180"/>
      <c r="X201" s="180"/>
      <c r="Y201" s="180"/>
      <c r="Z201" s="180"/>
      <c r="AA201" s="180"/>
      <c r="AB201" s="180"/>
      <c r="AC201" s="180"/>
      <c r="AD201" s="180"/>
      <c r="AE201" s="180"/>
      <c r="AF201" s="180"/>
      <c r="AG201" s="180"/>
      <c r="AH201" s="180"/>
      <c r="AI201" s="180">
        <v>0</v>
      </c>
      <c r="AJ201" s="181">
        <f t="shared" si="42"/>
        <v>0</v>
      </c>
      <c r="AK201" s="246">
        <f t="shared" si="64"/>
        <v>3500000</v>
      </c>
      <c r="AL201" s="181">
        <f t="shared" si="43"/>
        <v>100</v>
      </c>
      <c r="AM201" s="243"/>
    </row>
    <row r="202" spans="1:39" ht="28.5" customHeight="1" x14ac:dyDescent="0.25">
      <c r="A202" s="243"/>
      <c r="B202" s="362"/>
      <c r="C202" s="362"/>
      <c r="D202" s="362"/>
      <c r="E202" s="362"/>
      <c r="F202" s="362"/>
      <c r="G202" s="362"/>
      <c r="H202" s="362"/>
      <c r="I202" s="363"/>
      <c r="J202" s="362" t="s">
        <v>284</v>
      </c>
      <c r="K202" s="245"/>
      <c r="L202" s="257"/>
      <c r="M202" s="597" t="s">
        <v>285</v>
      </c>
      <c r="N202" s="598"/>
      <c r="O202" s="299"/>
      <c r="P202" s="180"/>
      <c r="Q202" s="180">
        <v>5250000</v>
      </c>
      <c r="R202" s="181">
        <f t="shared" si="67"/>
        <v>3.1106687048953039</v>
      </c>
      <c r="S202" s="181">
        <v>100</v>
      </c>
      <c r="T202" s="180">
        <f t="shared" si="41"/>
        <v>0</v>
      </c>
      <c r="U202" s="180">
        <f t="shared" si="68"/>
        <v>0</v>
      </c>
      <c r="V202" s="182">
        <f t="shared" si="52"/>
        <v>100</v>
      </c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>
        <v>0</v>
      </c>
      <c r="AJ202" s="181">
        <f t="shared" si="42"/>
        <v>0</v>
      </c>
      <c r="AK202" s="246">
        <f t="shared" si="64"/>
        <v>5250000</v>
      </c>
      <c r="AL202" s="181">
        <f t="shared" si="43"/>
        <v>100</v>
      </c>
      <c r="AM202" s="243"/>
    </row>
    <row r="203" spans="1:39" ht="28.5" customHeight="1" x14ac:dyDescent="0.25">
      <c r="A203" s="243"/>
      <c r="B203" s="362"/>
      <c r="C203" s="362"/>
      <c r="D203" s="362"/>
      <c r="E203" s="362"/>
      <c r="F203" s="362"/>
      <c r="G203" s="362"/>
      <c r="H203" s="362"/>
      <c r="I203" s="363"/>
      <c r="J203" s="362" t="s">
        <v>282</v>
      </c>
      <c r="K203" s="245"/>
      <c r="L203" s="257"/>
      <c r="M203" s="597" t="s">
        <v>283</v>
      </c>
      <c r="N203" s="598"/>
      <c r="O203" s="299"/>
      <c r="P203" s="180"/>
      <c r="Q203" s="180">
        <v>15600000</v>
      </c>
      <c r="R203" s="181">
        <f t="shared" si="67"/>
        <v>9.2431298659746162</v>
      </c>
      <c r="S203" s="181">
        <v>100</v>
      </c>
      <c r="T203" s="180">
        <f t="shared" ref="T203:T275" si="69">AJ203</f>
        <v>0</v>
      </c>
      <c r="U203" s="180">
        <f t="shared" si="68"/>
        <v>0</v>
      </c>
      <c r="V203" s="182">
        <f t="shared" si="52"/>
        <v>100</v>
      </c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>
        <v>0</v>
      </c>
      <c r="AJ203" s="181">
        <f t="shared" ref="AJ203:AJ275" si="70">AI203/Q203*100</f>
        <v>0</v>
      </c>
      <c r="AK203" s="246">
        <f t="shared" si="64"/>
        <v>15600000</v>
      </c>
      <c r="AL203" s="181">
        <f t="shared" ref="AL203:AL275" si="71">AK203/Q203*100</f>
        <v>100</v>
      </c>
      <c r="AM203" s="243"/>
    </row>
    <row r="204" spans="1:39" s="297" customFormat="1" ht="28.5" customHeight="1" x14ac:dyDescent="0.25">
      <c r="A204" s="227">
        <f>A196+1</f>
        <v>31</v>
      </c>
      <c r="B204" s="615" t="s">
        <v>141</v>
      </c>
      <c r="C204" s="615"/>
      <c r="D204" s="615"/>
      <c r="E204" s="615"/>
      <c r="F204" s="615"/>
      <c r="G204" s="615"/>
      <c r="H204" s="615"/>
      <c r="I204" s="614"/>
      <c r="J204" s="304" t="s">
        <v>475</v>
      </c>
      <c r="K204" s="230"/>
      <c r="L204" s="294"/>
      <c r="M204" s="615" t="s">
        <v>142</v>
      </c>
      <c r="N204" s="614"/>
      <c r="O204" s="295">
        <v>299485000</v>
      </c>
      <c r="P204" s="231">
        <f>O204</f>
        <v>299485000</v>
      </c>
      <c r="Q204" s="231">
        <f>SUM(Q205:Q210)</f>
        <v>142716000</v>
      </c>
      <c r="R204" s="233">
        <f>Q204/Q$175*100</f>
        <v>10.508516699725181</v>
      </c>
      <c r="S204" s="233">
        <v>100</v>
      </c>
      <c r="T204" s="231">
        <f t="shared" si="69"/>
        <v>0</v>
      </c>
      <c r="U204" s="231">
        <f>R204*T204/100</f>
        <v>0</v>
      </c>
      <c r="V204" s="296">
        <f t="shared" si="52"/>
        <v>100</v>
      </c>
      <c r="W204" s="231"/>
      <c r="X204" s="231" t="e">
        <f>#REF!</f>
        <v>#REF!</v>
      </c>
      <c r="Y204" s="231" t="e">
        <f>#REF!</f>
        <v>#REF!</v>
      </c>
      <c r="Z204" s="231" t="e">
        <f>#REF!</f>
        <v>#REF!</v>
      </c>
      <c r="AA204" s="231" t="e">
        <f>#REF!</f>
        <v>#REF!</v>
      </c>
      <c r="AB204" s="231">
        <v>4600000</v>
      </c>
      <c r="AC204" s="231" t="e">
        <f>#REF!</f>
        <v>#REF!</v>
      </c>
      <c r="AD204" s="231" t="e">
        <f>#REF!</f>
        <v>#REF!</v>
      </c>
      <c r="AE204" s="231" t="e">
        <f>#REF!</f>
        <v>#REF!</v>
      </c>
      <c r="AF204" s="231" t="e">
        <f>[1]April!N50</f>
        <v>#REF!</v>
      </c>
      <c r="AG204" s="231" t="e">
        <f>[2]april!N50</f>
        <v>#REF!</v>
      </c>
      <c r="AH204" s="231">
        <f>'[3]DES SKPD'!$N50</f>
        <v>221288650</v>
      </c>
      <c r="AI204" s="231">
        <f>SUM(AI205:AI210)</f>
        <v>0</v>
      </c>
      <c r="AJ204" s="233">
        <f t="shared" si="70"/>
        <v>0</v>
      </c>
      <c r="AK204" s="234">
        <f t="shared" si="64"/>
        <v>142716000</v>
      </c>
      <c r="AL204" s="233">
        <f t="shared" si="71"/>
        <v>100</v>
      </c>
      <c r="AM204" s="227"/>
    </row>
    <row r="205" spans="1:39" ht="28.5" customHeight="1" x14ac:dyDescent="0.25">
      <c r="A205" s="243"/>
      <c r="B205" s="362"/>
      <c r="C205" s="362"/>
      <c r="D205" s="362"/>
      <c r="E205" s="362"/>
      <c r="F205" s="362"/>
      <c r="G205" s="362"/>
      <c r="H205" s="362"/>
      <c r="I205" s="363"/>
      <c r="J205" s="362" t="s">
        <v>323</v>
      </c>
      <c r="K205" s="245"/>
      <c r="L205" s="257"/>
      <c r="M205" s="597" t="s">
        <v>324</v>
      </c>
      <c r="N205" s="598"/>
      <c r="O205" s="299"/>
      <c r="P205" s="180"/>
      <c r="Q205" s="180">
        <v>27408000</v>
      </c>
      <c r="R205" s="181">
        <f t="shared" ref="R205:R210" si="72">Q205/Q$204*100</f>
        <v>19.2045741192298</v>
      </c>
      <c r="S205" s="181">
        <v>100</v>
      </c>
      <c r="T205" s="180">
        <f t="shared" si="69"/>
        <v>0</v>
      </c>
      <c r="U205" s="180">
        <f t="shared" ref="U205:U224" si="73">R205*T205/100</f>
        <v>0</v>
      </c>
      <c r="V205" s="182">
        <f t="shared" si="52"/>
        <v>100</v>
      </c>
      <c r="W205" s="180"/>
      <c r="X205" s="180" t="e">
        <f>#REF!</f>
        <v>#REF!</v>
      </c>
      <c r="Y205" s="180" t="e">
        <f>#REF!</f>
        <v>#REF!</v>
      </c>
      <c r="Z205" s="180" t="e">
        <f>#REF!</f>
        <v>#REF!</v>
      </c>
      <c r="AA205" s="180" t="e">
        <f>#REF!</f>
        <v>#REF!</v>
      </c>
      <c r="AB205" s="180">
        <v>4600002</v>
      </c>
      <c r="AC205" s="180" t="e">
        <f>#REF!</f>
        <v>#REF!</v>
      </c>
      <c r="AD205" s="180" t="e">
        <f>#REF!</f>
        <v>#REF!</v>
      </c>
      <c r="AE205" s="180" t="e">
        <f>#REF!</f>
        <v>#REF!</v>
      </c>
      <c r="AF205" s="180" t="e">
        <f>[1]April!N52</f>
        <v>#REF!</v>
      </c>
      <c r="AG205" s="180" t="e">
        <f>[2]april!N52</f>
        <v>#REF!</v>
      </c>
      <c r="AH205" s="180">
        <f>'[3]DES SKPD'!$N52</f>
        <v>73668000</v>
      </c>
      <c r="AI205" s="180">
        <v>0</v>
      </c>
      <c r="AJ205" s="181">
        <f t="shared" si="70"/>
        <v>0</v>
      </c>
      <c r="AK205" s="246">
        <f t="shared" si="64"/>
        <v>27408000</v>
      </c>
      <c r="AL205" s="181">
        <f t="shared" si="71"/>
        <v>100</v>
      </c>
      <c r="AM205" s="243"/>
    </row>
    <row r="206" spans="1:39" ht="28.5" customHeight="1" x14ac:dyDescent="0.25">
      <c r="A206" s="243"/>
      <c r="B206" s="362"/>
      <c r="C206" s="362"/>
      <c r="D206" s="362"/>
      <c r="E206" s="362"/>
      <c r="F206" s="362"/>
      <c r="G206" s="362"/>
      <c r="H206" s="362"/>
      <c r="I206" s="363"/>
      <c r="J206" s="362" t="s">
        <v>269</v>
      </c>
      <c r="K206" s="245"/>
      <c r="L206" s="257"/>
      <c r="M206" s="597" t="s">
        <v>270</v>
      </c>
      <c r="N206" s="598"/>
      <c r="O206" s="299"/>
      <c r="P206" s="180"/>
      <c r="Q206" s="180">
        <v>17800000</v>
      </c>
      <c r="R206" s="181">
        <f t="shared" si="72"/>
        <v>12.472322654782927</v>
      </c>
      <c r="S206" s="181">
        <v>100</v>
      </c>
      <c r="T206" s="180">
        <f t="shared" si="69"/>
        <v>0</v>
      </c>
      <c r="U206" s="180">
        <f t="shared" si="73"/>
        <v>0</v>
      </c>
      <c r="V206" s="182">
        <f t="shared" si="52"/>
        <v>100</v>
      </c>
      <c r="W206" s="180"/>
      <c r="X206" s="180" t="e">
        <f>#REF!</f>
        <v>#REF!</v>
      </c>
      <c r="Y206" s="180" t="e">
        <f>#REF!</f>
        <v>#REF!</v>
      </c>
      <c r="Z206" s="180" t="e">
        <f>#REF!</f>
        <v>#REF!</v>
      </c>
      <c r="AA206" s="180" t="e">
        <f>#REF!</f>
        <v>#REF!</v>
      </c>
      <c r="AB206" s="180">
        <v>4600003</v>
      </c>
      <c r="AC206" s="180" t="e">
        <f>#REF!</f>
        <v>#REF!</v>
      </c>
      <c r="AD206" s="180" t="e">
        <f>#REF!</f>
        <v>#REF!</v>
      </c>
      <c r="AE206" s="180" t="e">
        <f>#REF!</f>
        <v>#REF!</v>
      </c>
      <c r="AF206" s="180" t="e">
        <f>[1]April!N53</f>
        <v>#REF!</v>
      </c>
      <c r="AG206" s="180" t="e">
        <f>[2]april!N53</f>
        <v>#REF!</v>
      </c>
      <c r="AH206" s="180" t="e">
        <f>'[3]DES SKPD'!$N53</f>
        <v>#REF!</v>
      </c>
      <c r="AI206" s="180">
        <v>0</v>
      </c>
      <c r="AJ206" s="181">
        <f t="shared" si="70"/>
        <v>0</v>
      </c>
      <c r="AK206" s="246">
        <f t="shared" si="64"/>
        <v>17800000</v>
      </c>
      <c r="AL206" s="181">
        <f t="shared" si="71"/>
        <v>100</v>
      </c>
      <c r="AM206" s="243"/>
    </row>
    <row r="207" spans="1:39" ht="28.5" customHeight="1" x14ac:dyDescent="0.25">
      <c r="A207" s="243"/>
      <c r="B207" s="362"/>
      <c r="C207" s="362"/>
      <c r="D207" s="362"/>
      <c r="E207" s="362"/>
      <c r="F207" s="362"/>
      <c r="G207" s="362"/>
      <c r="H207" s="362"/>
      <c r="I207" s="363"/>
      <c r="J207" s="362" t="s">
        <v>315</v>
      </c>
      <c r="K207" s="245"/>
      <c r="L207" s="257"/>
      <c r="M207" s="597" t="s">
        <v>271</v>
      </c>
      <c r="N207" s="598"/>
      <c r="O207" s="299"/>
      <c r="P207" s="180"/>
      <c r="Q207" s="180">
        <v>3648000</v>
      </c>
      <c r="R207" s="181">
        <f t="shared" si="72"/>
        <v>2.5561254519465235</v>
      </c>
      <c r="S207" s="181">
        <v>100</v>
      </c>
      <c r="T207" s="180">
        <f t="shared" si="69"/>
        <v>0</v>
      </c>
      <c r="U207" s="180">
        <f t="shared" si="73"/>
        <v>0</v>
      </c>
      <c r="V207" s="182">
        <f t="shared" si="52"/>
        <v>100</v>
      </c>
      <c r="W207" s="180"/>
      <c r="X207" s="180" t="e">
        <f>#REF!</f>
        <v>#REF!</v>
      </c>
      <c r="Y207" s="180" t="e">
        <f>#REF!</f>
        <v>#REF!</v>
      </c>
      <c r="Z207" s="180" t="e">
        <f>#REF!</f>
        <v>#REF!</v>
      </c>
      <c r="AA207" s="180" t="e">
        <f>#REF!</f>
        <v>#REF!</v>
      </c>
      <c r="AB207" s="180">
        <v>4600004</v>
      </c>
      <c r="AC207" s="180" t="e">
        <f>#REF!</f>
        <v>#REF!</v>
      </c>
      <c r="AD207" s="180" t="e">
        <f>#REF!</f>
        <v>#REF!</v>
      </c>
      <c r="AE207" s="180" t="e">
        <f>#REF!</f>
        <v>#REF!</v>
      </c>
      <c r="AF207" s="180" t="e">
        <f>[1]April!N54</f>
        <v>#REF!</v>
      </c>
      <c r="AG207" s="180" t="e">
        <f>[2]april!N54</f>
        <v>#REF!</v>
      </c>
      <c r="AH207" s="180">
        <f>'[3]DES SKPD'!$N54</f>
        <v>508172500</v>
      </c>
      <c r="AI207" s="180">
        <v>0</v>
      </c>
      <c r="AJ207" s="181">
        <f t="shared" si="70"/>
        <v>0</v>
      </c>
      <c r="AK207" s="246">
        <f t="shared" si="64"/>
        <v>3648000</v>
      </c>
      <c r="AL207" s="181">
        <f t="shared" si="71"/>
        <v>100</v>
      </c>
      <c r="AM207" s="243"/>
    </row>
    <row r="208" spans="1:39" ht="28.5" customHeight="1" x14ac:dyDescent="0.25">
      <c r="A208" s="243"/>
      <c r="B208" s="362"/>
      <c r="C208" s="362"/>
      <c r="D208" s="362"/>
      <c r="E208" s="362"/>
      <c r="F208" s="362"/>
      <c r="G208" s="362"/>
      <c r="H208" s="362"/>
      <c r="I208" s="363"/>
      <c r="J208" s="362" t="s">
        <v>328</v>
      </c>
      <c r="K208" s="245"/>
      <c r="L208" s="257"/>
      <c r="M208" s="597" t="s">
        <v>329</v>
      </c>
      <c r="N208" s="598"/>
      <c r="O208" s="299"/>
      <c r="P208" s="180"/>
      <c r="Q208" s="180">
        <v>36000000</v>
      </c>
      <c r="R208" s="181">
        <f t="shared" si="72"/>
        <v>25.224922223156476</v>
      </c>
      <c r="S208" s="181">
        <v>100</v>
      </c>
      <c r="T208" s="180">
        <f t="shared" si="69"/>
        <v>0</v>
      </c>
      <c r="U208" s="180">
        <f t="shared" si="73"/>
        <v>0</v>
      </c>
      <c r="V208" s="182">
        <f t="shared" si="52"/>
        <v>100</v>
      </c>
      <c r="W208" s="180"/>
      <c r="X208" s="180" t="e">
        <f>#REF!</f>
        <v>#REF!</v>
      </c>
      <c r="Y208" s="180" t="e">
        <f>#REF!</f>
        <v>#REF!</v>
      </c>
      <c r="Z208" s="180" t="e">
        <f>#REF!</f>
        <v>#REF!</v>
      </c>
      <c r="AA208" s="180" t="e">
        <f>#REF!</f>
        <v>#REF!</v>
      </c>
      <c r="AB208" s="180">
        <v>4600004</v>
      </c>
      <c r="AC208" s="180" t="e">
        <f>#REF!</f>
        <v>#REF!</v>
      </c>
      <c r="AD208" s="180" t="e">
        <f>#REF!</f>
        <v>#REF!</v>
      </c>
      <c r="AE208" s="180" t="e">
        <f>#REF!</f>
        <v>#REF!</v>
      </c>
      <c r="AF208" s="180" t="e">
        <f>[1]April!N55</f>
        <v>#REF!</v>
      </c>
      <c r="AG208" s="180" t="e">
        <f>[2]april!N55</f>
        <v>#REF!</v>
      </c>
      <c r="AH208" s="180" t="e">
        <f>'[3]DES SKPD'!$N55</f>
        <v>#REF!</v>
      </c>
      <c r="AI208" s="180">
        <v>0</v>
      </c>
      <c r="AJ208" s="181">
        <f t="shared" si="70"/>
        <v>0</v>
      </c>
      <c r="AK208" s="246">
        <f t="shared" si="64"/>
        <v>36000000</v>
      </c>
      <c r="AL208" s="181">
        <f t="shared" si="71"/>
        <v>100</v>
      </c>
      <c r="AM208" s="243"/>
    </row>
    <row r="209" spans="1:39" ht="28.5" customHeight="1" x14ac:dyDescent="0.25">
      <c r="A209" s="243"/>
      <c r="B209" s="362"/>
      <c r="C209" s="362"/>
      <c r="D209" s="362"/>
      <c r="E209" s="362"/>
      <c r="F209" s="362"/>
      <c r="G209" s="362"/>
      <c r="H209" s="362"/>
      <c r="I209" s="363"/>
      <c r="J209" s="362" t="s">
        <v>280</v>
      </c>
      <c r="K209" s="245"/>
      <c r="L209" s="257"/>
      <c r="M209" s="597" t="s">
        <v>281</v>
      </c>
      <c r="N209" s="598"/>
      <c r="O209" s="299"/>
      <c r="P209" s="180"/>
      <c r="Q209" s="180">
        <v>15750000</v>
      </c>
      <c r="R209" s="181">
        <f t="shared" si="72"/>
        <v>11.035903472630959</v>
      </c>
      <c r="S209" s="181">
        <v>100</v>
      </c>
      <c r="T209" s="180">
        <f t="shared" si="69"/>
        <v>0</v>
      </c>
      <c r="U209" s="180">
        <f t="shared" si="73"/>
        <v>0</v>
      </c>
      <c r="V209" s="182">
        <f t="shared" si="52"/>
        <v>100</v>
      </c>
      <c r="W209" s="180"/>
      <c r="X209" s="180" t="e">
        <f>#REF!</f>
        <v>#REF!</v>
      </c>
      <c r="Y209" s="180" t="e">
        <f>#REF!</f>
        <v>#REF!</v>
      </c>
      <c r="Z209" s="180" t="e">
        <f>#REF!</f>
        <v>#REF!</v>
      </c>
      <c r="AA209" s="180" t="e">
        <f>#REF!</f>
        <v>#REF!</v>
      </c>
      <c r="AB209" s="180">
        <v>4600005</v>
      </c>
      <c r="AC209" s="180" t="e">
        <f>#REF!</f>
        <v>#REF!</v>
      </c>
      <c r="AD209" s="180" t="e">
        <f>#REF!</f>
        <v>#REF!</v>
      </c>
      <c r="AE209" s="180" t="e">
        <f>#REF!</f>
        <v>#REF!</v>
      </c>
      <c r="AF209" s="180" t="e">
        <f>[1]April!N55</f>
        <v>#REF!</v>
      </c>
      <c r="AG209" s="180" t="e">
        <f>[2]april!N55</f>
        <v>#REF!</v>
      </c>
      <c r="AH209" s="180" t="e">
        <f>'[3]DES SKPD'!$N55</f>
        <v>#REF!</v>
      </c>
      <c r="AI209" s="180">
        <v>0</v>
      </c>
      <c r="AJ209" s="181">
        <f t="shared" si="70"/>
        <v>0</v>
      </c>
      <c r="AK209" s="246">
        <f t="shared" si="64"/>
        <v>15750000</v>
      </c>
      <c r="AL209" s="181">
        <f t="shared" si="71"/>
        <v>100</v>
      </c>
      <c r="AM209" s="243"/>
    </row>
    <row r="210" spans="1:39" ht="28.5" customHeight="1" x14ac:dyDescent="0.25">
      <c r="A210" s="243"/>
      <c r="B210" s="362"/>
      <c r="C210" s="362"/>
      <c r="D210" s="362"/>
      <c r="E210" s="362"/>
      <c r="F210" s="362"/>
      <c r="G210" s="362"/>
      <c r="H210" s="362"/>
      <c r="I210" s="363"/>
      <c r="J210" s="362" t="s">
        <v>282</v>
      </c>
      <c r="K210" s="245"/>
      <c r="L210" s="257"/>
      <c r="M210" s="597" t="s">
        <v>283</v>
      </c>
      <c r="N210" s="598"/>
      <c r="O210" s="299"/>
      <c r="P210" s="180"/>
      <c r="Q210" s="180">
        <v>42110000</v>
      </c>
      <c r="R210" s="181">
        <f t="shared" si="72"/>
        <v>29.506152078253312</v>
      </c>
      <c r="S210" s="181">
        <v>100</v>
      </c>
      <c r="T210" s="180">
        <f t="shared" si="69"/>
        <v>0</v>
      </c>
      <c r="U210" s="180">
        <f t="shared" si="73"/>
        <v>0</v>
      </c>
      <c r="V210" s="182">
        <f t="shared" si="52"/>
        <v>100</v>
      </c>
      <c r="W210" s="180"/>
      <c r="X210" s="180" t="e">
        <f>#REF!</f>
        <v>#REF!</v>
      </c>
      <c r="Y210" s="180" t="e">
        <f>#REF!</f>
        <v>#REF!</v>
      </c>
      <c r="Z210" s="180" t="e">
        <f>#REF!</f>
        <v>#REF!</v>
      </c>
      <c r="AA210" s="180" t="e">
        <f>#REF!</f>
        <v>#REF!</v>
      </c>
      <c r="AB210" s="180">
        <v>4600006</v>
      </c>
      <c r="AC210" s="180" t="e">
        <f>#REF!</f>
        <v>#REF!</v>
      </c>
      <c r="AD210" s="180" t="e">
        <f>#REF!</f>
        <v>#REF!</v>
      </c>
      <c r="AE210" s="180" t="e">
        <f>#REF!</f>
        <v>#REF!</v>
      </c>
      <c r="AF210" s="180" t="e">
        <f>[1]April!N56</f>
        <v>#REF!</v>
      </c>
      <c r="AG210" s="180" t="e">
        <f>[2]april!N56</f>
        <v>#REF!</v>
      </c>
      <c r="AH210" s="180">
        <f>'[3]DES SKPD'!$N56</f>
        <v>260098500</v>
      </c>
      <c r="AI210" s="180">
        <v>0</v>
      </c>
      <c r="AJ210" s="181">
        <f t="shared" si="70"/>
        <v>0</v>
      </c>
      <c r="AK210" s="246">
        <f t="shared" si="64"/>
        <v>42110000</v>
      </c>
      <c r="AL210" s="181">
        <f t="shared" si="71"/>
        <v>100</v>
      </c>
      <c r="AM210" s="243"/>
    </row>
    <row r="211" spans="1:39" s="297" customFormat="1" ht="32.25" customHeight="1" x14ac:dyDescent="0.25">
      <c r="A211" s="227">
        <f>A204+1</f>
        <v>32</v>
      </c>
      <c r="B211" s="615" t="s">
        <v>141</v>
      </c>
      <c r="C211" s="615"/>
      <c r="D211" s="615"/>
      <c r="E211" s="615"/>
      <c r="F211" s="615"/>
      <c r="G211" s="615"/>
      <c r="H211" s="615"/>
      <c r="I211" s="614"/>
      <c r="J211" s="304" t="s">
        <v>476</v>
      </c>
      <c r="K211" s="230"/>
      <c r="L211" s="294"/>
      <c r="M211" s="615" t="s">
        <v>143</v>
      </c>
      <c r="N211" s="614"/>
      <c r="O211" s="295">
        <v>359210000</v>
      </c>
      <c r="P211" s="231">
        <f>O211</f>
        <v>359210000</v>
      </c>
      <c r="Q211" s="231">
        <f>SUM(Q212:Q216)</f>
        <v>138060000</v>
      </c>
      <c r="R211" s="233">
        <f>Q211/Q$175*100</f>
        <v>10.16568440514069</v>
      </c>
      <c r="S211" s="233">
        <v>100</v>
      </c>
      <c r="T211" s="231">
        <f t="shared" si="69"/>
        <v>3.8026944806605822</v>
      </c>
      <c r="U211" s="231">
        <f t="shared" si="73"/>
        <v>0.38656991979565852</v>
      </c>
      <c r="V211" s="296">
        <f t="shared" si="52"/>
        <v>96.197305519339423</v>
      </c>
      <c r="W211" s="231"/>
      <c r="X211" s="231" t="e">
        <f>#REF!</f>
        <v>#REF!</v>
      </c>
      <c r="Y211" s="231" t="e">
        <f>#REF!</f>
        <v>#REF!</v>
      </c>
      <c r="Z211" s="231" t="e">
        <f>#REF!</f>
        <v>#REF!</v>
      </c>
      <c r="AA211" s="231" t="e">
        <f>#REF!</f>
        <v>#REF!</v>
      </c>
      <c r="AB211" s="231">
        <v>173940000</v>
      </c>
      <c r="AC211" s="231" t="e">
        <f>#REF!</f>
        <v>#REF!</v>
      </c>
      <c r="AD211" s="231" t="e">
        <f>#REF!</f>
        <v>#REF!</v>
      </c>
      <c r="AE211" s="231" t="e">
        <f>#REF!</f>
        <v>#REF!</v>
      </c>
      <c r="AF211" s="231" t="e">
        <f>[1]April!N51</f>
        <v>#REF!</v>
      </c>
      <c r="AG211" s="231" t="e">
        <f>[2]april!N51</f>
        <v>#REF!</v>
      </c>
      <c r="AH211" s="231">
        <f>'[3]DES SKPD'!$N51</f>
        <v>317812000</v>
      </c>
      <c r="AI211" s="231">
        <f>SUM(AI212:AI216)</f>
        <v>5250000</v>
      </c>
      <c r="AJ211" s="233">
        <f t="shared" si="70"/>
        <v>3.8026944806605822</v>
      </c>
      <c r="AK211" s="234">
        <f t="shared" si="64"/>
        <v>132810000</v>
      </c>
      <c r="AL211" s="233">
        <f t="shared" si="71"/>
        <v>96.197305519339409</v>
      </c>
      <c r="AM211" s="227"/>
    </row>
    <row r="212" spans="1:39" ht="28.5" customHeight="1" x14ac:dyDescent="0.25">
      <c r="A212" s="243"/>
      <c r="B212" s="362"/>
      <c r="C212" s="362"/>
      <c r="D212" s="362"/>
      <c r="E212" s="362"/>
      <c r="F212" s="362"/>
      <c r="G212" s="362"/>
      <c r="H212" s="362"/>
      <c r="I212" s="363"/>
      <c r="J212" s="362" t="s">
        <v>332</v>
      </c>
      <c r="K212" s="245"/>
      <c r="L212" s="257"/>
      <c r="M212" s="597" t="s">
        <v>335</v>
      </c>
      <c r="N212" s="598"/>
      <c r="O212" s="299"/>
      <c r="P212" s="180"/>
      <c r="Q212" s="180">
        <v>1000000</v>
      </c>
      <c r="R212" s="181">
        <f>Q212/Q$211*100</f>
        <v>0.72432275822106329</v>
      </c>
      <c r="S212" s="181">
        <v>100</v>
      </c>
      <c r="T212" s="180">
        <f t="shared" si="69"/>
        <v>25</v>
      </c>
      <c r="U212" s="180">
        <f t="shared" si="73"/>
        <v>0.18108068955526582</v>
      </c>
      <c r="V212" s="182">
        <f t="shared" si="52"/>
        <v>75</v>
      </c>
      <c r="W212" s="180"/>
      <c r="X212" s="180" t="e">
        <f>#REF!</f>
        <v>#REF!</v>
      </c>
      <c r="Y212" s="180" t="e">
        <f>#REF!</f>
        <v>#REF!</v>
      </c>
      <c r="Z212" s="180" t="e">
        <f>#REF!</f>
        <v>#REF!</v>
      </c>
      <c r="AA212" s="180" t="e">
        <f>#REF!</f>
        <v>#REF!</v>
      </c>
      <c r="AB212" s="180">
        <v>173940002</v>
      </c>
      <c r="AC212" s="180" t="e">
        <f>#REF!</f>
        <v>#REF!</v>
      </c>
      <c r="AD212" s="180" t="e">
        <f>#REF!</f>
        <v>#REF!</v>
      </c>
      <c r="AE212" s="180" t="e">
        <f>#REF!</f>
        <v>#REF!</v>
      </c>
      <c r="AF212" s="180" t="e">
        <f>[1]April!N53</f>
        <v>#REF!</v>
      </c>
      <c r="AG212" s="180" t="e">
        <f>[2]april!N53</f>
        <v>#REF!</v>
      </c>
      <c r="AH212" s="180" t="e">
        <f>'[3]DES SKPD'!$N53</f>
        <v>#REF!</v>
      </c>
      <c r="AI212" s="180">
        <v>250000</v>
      </c>
      <c r="AJ212" s="181">
        <f t="shared" si="70"/>
        <v>25</v>
      </c>
      <c r="AK212" s="246">
        <f t="shared" si="64"/>
        <v>750000</v>
      </c>
      <c r="AL212" s="181">
        <f t="shared" si="71"/>
        <v>75</v>
      </c>
      <c r="AM212" s="243"/>
    </row>
    <row r="213" spans="1:39" ht="28.5" customHeight="1" x14ac:dyDescent="0.25">
      <c r="A213" s="243"/>
      <c r="B213" s="362"/>
      <c r="C213" s="362"/>
      <c r="D213" s="362"/>
      <c r="E213" s="362"/>
      <c r="F213" s="362"/>
      <c r="G213" s="362"/>
      <c r="H213" s="362"/>
      <c r="I213" s="363"/>
      <c r="J213" s="362" t="s">
        <v>333</v>
      </c>
      <c r="K213" s="245"/>
      <c r="L213" s="257"/>
      <c r="M213" s="597" t="s">
        <v>334</v>
      </c>
      <c r="N213" s="598"/>
      <c r="O213" s="299"/>
      <c r="P213" s="180"/>
      <c r="Q213" s="180">
        <v>20000000</v>
      </c>
      <c r="R213" s="181">
        <f>Q213/Q$211*100</f>
        <v>14.486455164421267</v>
      </c>
      <c r="S213" s="181">
        <v>100</v>
      </c>
      <c r="T213" s="180">
        <f t="shared" si="69"/>
        <v>25</v>
      </c>
      <c r="U213" s="180">
        <f t="shared" si="73"/>
        <v>3.6216137911053168</v>
      </c>
      <c r="V213" s="182">
        <f t="shared" si="52"/>
        <v>75</v>
      </c>
      <c r="W213" s="180"/>
      <c r="X213" s="180" t="e">
        <f>#REF!</f>
        <v>#REF!</v>
      </c>
      <c r="Y213" s="180" t="e">
        <f>#REF!</f>
        <v>#REF!</v>
      </c>
      <c r="Z213" s="180" t="e">
        <f>#REF!</f>
        <v>#REF!</v>
      </c>
      <c r="AA213" s="180" t="e">
        <f>#REF!</f>
        <v>#REF!</v>
      </c>
      <c r="AB213" s="180">
        <v>173940003</v>
      </c>
      <c r="AC213" s="180" t="e">
        <f>#REF!</f>
        <v>#REF!</v>
      </c>
      <c r="AD213" s="180" t="e">
        <f>#REF!</f>
        <v>#REF!</v>
      </c>
      <c r="AE213" s="180" t="e">
        <f>#REF!</f>
        <v>#REF!</v>
      </c>
      <c r="AF213" s="180" t="e">
        <f>[1]April!N54</f>
        <v>#REF!</v>
      </c>
      <c r="AG213" s="180" t="e">
        <f>[2]april!N54</f>
        <v>#REF!</v>
      </c>
      <c r="AH213" s="180">
        <f>'[3]DES SKPD'!$N54</f>
        <v>508172500</v>
      </c>
      <c r="AI213" s="180">
        <v>5000000</v>
      </c>
      <c r="AJ213" s="181">
        <f t="shared" si="70"/>
        <v>25</v>
      </c>
      <c r="AK213" s="246">
        <f t="shared" si="64"/>
        <v>15000000</v>
      </c>
      <c r="AL213" s="181">
        <f t="shared" si="71"/>
        <v>75</v>
      </c>
      <c r="AM213" s="243"/>
    </row>
    <row r="214" spans="1:39" ht="28.5" customHeight="1" x14ac:dyDescent="0.25">
      <c r="A214" s="243"/>
      <c r="B214" s="362"/>
      <c r="C214" s="362"/>
      <c r="D214" s="362"/>
      <c r="E214" s="362"/>
      <c r="F214" s="362"/>
      <c r="G214" s="362"/>
      <c r="H214" s="362"/>
      <c r="I214" s="363"/>
      <c r="J214" s="362" t="s">
        <v>336</v>
      </c>
      <c r="K214" s="245"/>
      <c r="L214" s="257"/>
      <c r="M214" s="597" t="s">
        <v>337</v>
      </c>
      <c r="N214" s="598"/>
      <c r="O214" s="299"/>
      <c r="P214" s="180"/>
      <c r="Q214" s="180">
        <v>92100000</v>
      </c>
      <c r="R214" s="181">
        <f>Q214/Q$211*100</f>
        <v>66.710126032159934</v>
      </c>
      <c r="S214" s="181">
        <v>100</v>
      </c>
      <c r="T214" s="180">
        <f t="shared" si="69"/>
        <v>0</v>
      </c>
      <c r="U214" s="180">
        <f t="shared" si="73"/>
        <v>0</v>
      </c>
      <c r="V214" s="182">
        <f t="shared" si="52"/>
        <v>100</v>
      </c>
      <c r="W214" s="180"/>
      <c r="X214" s="180" t="e">
        <f>#REF!</f>
        <v>#REF!</v>
      </c>
      <c r="Y214" s="180" t="e">
        <f>#REF!</f>
        <v>#REF!</v>
      </c>
      <c r="Z214" s="180" t="e">
        <f>#REF!</f>
        <v>#REF!</v>
      </c>
      <c r="AA214" s="180" t="e">
        <f>#REF!</f>
        <v>#REF!</v>
      </c>
      <c r="AB214" s="180">
        <v>173940004</v>
      </c>
      <c r="AC214" s="180" t="e">
        <f>#REF!</f>
        <v>#REF!</v>
      </c>
      <c r="AD214" s="180" t="e">
        <f>#REF!</f>
        <v>#REF!</v>
      </c>
      <c r="AE214" s="180" t="e">
        <f>#REF!</f>
        <v>#REF!</v>
      </c>
      <c r="AF214" s="180" t="e">
        <f>[1]April!N55</f>
        <v>#REF!</v>
      </c>
      <c r="AG214" s="180" t="e">
        <f>[2]april!N55</f>
        <v>#REF!</v>
      </c>
      <c r="AH214" s="180" t="e">
        <f>'[3]DES SKPD'!$N55</f>
        <v>#REF!</v>
      </c>
      <c r="AI214" s="180">
        <v>0</v>
      </c>
      <c r="AJ214" s="181">
        <f t="shared" si="70"/>
        <v>0</v>
      </c>
      <c r="AK214" s="246">
        <f t="shared" si="64"/>
        <v>92100000</v>
      </c>
      <c r="AL214" s="181">
        <f t="shared" si="71"/>
        <v>100</v>
      </c>
      <c r="AM214" s="243"/>
    </row>
    <row r="215" spans="1:39" ht="28.5" customHeight="1" x14ac:dyDescent="0.25">
      <c r="A215" s="243"/>
      <c r="B215" s="362"/>
      <c r="C215" s="362"/>
      <c r="D215" s="362"/>
      <c r="E215" s="362"/>
      <c r="F215" s="362"/>
      <c r="G215" s="362"/>
      <c r="H215" s="362"/>
      <c r="I215" s="363"/>
      <c r="J215" s="362" t="s">
        <v>309</v>
      </c>
      <c r="K215" s="245"/>
      <c r="L215" s="257"/>
      <c r="M215" s="597" t="s">
        <v>310</v>
      </c>
      <c r="N215" s="598"/>
      <c r="O215" s="299"/>
      <c r="P215" s="180"/>
      <c r="Q215" s="180">
        <v>21600000</v>
      </c>
      <c r="R215" s="181">
        <f>Q215/Q$211*100</f>
        <v>15.645371577574968</v>
      </c>
      <c r="S215" s="181">
        <v>100</v>
      </c>
      <c r="T215" s="180">
        <f t="shared" si="69"/>
        <v>0</v>
      </c>
      <c r="U215" s="180">
        <f t="shared" si="73"/>
        <v>0</v>
      </c>
      <c r="V215" s="182">
        <f t="shared" ref="V215:V292" si="74">S215-T215</f>
        <v>100</v>
      </c>
      <c r="W215" s="180"/>
      <c r="X215" s="180" t="e">
        <f>#REF!</f>
        <v>#REF!</v>
      </c>
      <c r="Y215" s="180" t="e">
        <f>#REF!</f>
        <v>#REF!</v>
      </c>
      <c r="Z215" s="180" t="e">
        <f>#REF!</f>
        <v>#REF!</v>
      </c>
      <c r="AA215" s="180" t="e">
        <f>#REF!</f>
        <v>#REF!</v>
      </c>
      <c r="AB215" s="180">
        <v>173940006</v>
      </c>
      <c r="AC215" s="180" t="e">
        <f>#REF!</f>
        <v>#REF!</v>
      </c>
      <c r="AD215" s="180" t="e">
        <f>#REF!</f>
        <v>#REF!</v>
      </c>
      <c r="AE215" s="180" t="e">
        <f>#REF!</f>
        <v>#REF!</v>
      </c>
      <c r="AF215" s="180" t="e">
        <f>[1]April!N57</f>
        <v>#REF!</v>
      </c>
      <c r="AG215" s="180" t="e">
        <f>[2]april!N57</f>
        <v>#REF!</v>
      </c>
      <c r="AH215" s="180">
        <f>'[3]DES SKPD'!$N57</f>
        <v>371775000</v>
      </c>
      <c r="AI215" s="180">
        <v>0</v>
      </c>
      <c r="AJ215" s="181">
        <f>AI215/Q215*100</f>
        <v>0</v>
      </c>
      <c r="AK215" s="246">
        <f>Q215-AI215</f>
        <v>21600000</v>
      </c>
      <c r="AL215" s="181">
        <f t="shared" si="71"/>
        <v>100</v>
      </c>
      <c r="AM215" s="243"/>
    </row>
    <row r="216" spans="1:39" ht="28.5" customHeight="1" x14ac:dyDescent="0.25">
      <c r="A216" s="243"/>
      <c r="B216" s="362"/>
      <c r="C216" s="362"/>
      <c r="D216" s="362"/>
      <c r="E216" s="362"/>
      <c r="F216" s="362"/>
      <c r="G216" s="362"/>
      <c r="H216" s="362"/>
      <c r="I216" s="363"/>
      <c r="J216" s="362" t="s">
        <v>551</v>
      </c>
      <c r="K216" s="245"/>
      <c r="L216" s="257"/>
      <c r="M216" s="597" t="s">
        <v>550</v>
      </c>
      <c r="N216" s="598"/>
      <c r="O216" s="299"/>
      <c r="P216" s="180"/>
      <c r="Q216" s="180">
        <v>3360000</v>
      </c>
      <c r="R216" s="181">
        <f>Q216/Q$211*100</f>
        <v>2.4337244676227727</v>
      </c>
      <c r="S216" s="181">
        <v>100</v>
      </c>
      <c r="T216" s="180">
        <f t="shared" si="69"/>
        <v>0</v>
      </c>
      <c r="U216" s="180">
        <f t="shared" si="73"/>
        <v>0</v>
      </c>
      <c r="V216" s="182">
        <f t="shared" si="74"/>
        <v>100</v>
      </c>
      <c r="W216" s="180"/>
      <c r="X216" s="180"/>
      <c r="Y216" s="180"/>
      <c r="Z216" s="180"/>
      <c r="AA216" s="180"/>
      <c r="AB216" s="180"/>
      <c r="AC216" s="180"/>
      <c r="AD216" s="180"/>
      <c r="AE216" s="180"/>
      <c r="AF216" s="180"/>
      <c r="AG216" s="180"/>
      <c r="AH216" s="180"/>
      <c r="AI216" s="180">
        <v>0</v>
      </c>
      <c r="AJ216" s="181">
        <f>AI216/Q216*100</f>
        <v>0</v>
      </c>
      <c r="AK216" s="246">
        <f>Q216-AI216</f>
        <v>3360000</v>
      </c>
      <c r="AL216" s="181">
        <f t="shared" si="71"/>
        <v>100</v>
      </c>
      <c r="AM216" s="243"/>
    </row>
    <row r="217" spans="1:39" ht="28.5" customHeight="1" x14ac:dyDescent="0.25">
      <c r="A217" s="227">
        <v>33</v>
      </c>
      <c r="B217" s="362"/>
      <c r="C217" s="362"/>
      <c r="D217" s="362"/>
      <c r="E217" s="362"/>
      <c r="F217" s="362"/>
      <c r="G217" s="362"/>
      <c r="H217" s="362"/>
      <c r="I217" s="363"/>
      <c r="J217" s="304" t="s">
        <v>477</v>
      </c>
      <c r="K217" s="230"/>
      <c r="L217" s="294"/>
      <c r="M217" s="615" t="s">
        <v>472</v>
      </c>
      <c r="N217" s="614"/>
      <c r="O217" s="295">
        <v>85915000</v>
      </c>
      <c r="P217" s="231">
        <f>O217</f>
        <v>85915000</v>
      </c>
      <c r="Q217" s="231">
        <f>SUM(Q218:Q224)</f>
        <v>102020000</v>
      </c>
      <c r="R217" s="233">
        <f>Q217/Q$175*100</f>
        <v>7.5119739462005866</v>
      </c>
      <c r="S217" s="233">
        <v>100</v>
      </c>
      <c r="T217" s="231">
        <f t="shared" si="69"/>
        <v>0</v>
      </c>
      <c r="U217" s="231">
        <f t="shared" si="73"/>
        <v>0</v>
      </c>
      <c r="V217" s="296">
        <f t="shared" si="74"/>
        <v>100</v>
      </c>
      <c r="W217" s="231"/>
      <c r="X217" s="231" t="e">
        <f>#REF!</f>
        <v>#REF!</v>
      </c>
      <c r="Y217" s="231" t="e">
        <f>#REF!</f>
        <v>#REF!</v>
      </c>
      <c r="Z217" s="231" t="e">
        <f>#REF!</f>
        <v>#REF!</v>
      </c>
      <c r="AA217" s="231" t="e">
        <f>#REF!</f>
        <v>#REF!</v>
      </c>
      <c r="AB217" s="231">
        <v>0</v>
      </c>
      <c r="AC217" s="231" t="e">
        <f>#REF!</f>
        <v>#REF!</v>
      </c>
      <c r="AD217" s="231" t="e">
        <f>#REF!</f>
        <v>#REF!</v>
      </c>
      <c r="AE217" s="231" t="e">
        <f>#REF!</f>
        <v>#REF!</v>
      </c>
      <c r="AF217" s="231" t="e">
        <f>[1]April!N45</f>
        <v>#REF!</v>
      </c>
      <c r="AG217" s="231" t="e">
        <f>[2]april!N45</f>
        <v>#REF!</v>
      </c>
      <c r="AH217" s="231">
        <f>'[3]DES SKPD'!$N45</f>
        <v>320566100</v>
      </c>
      <c r="AI217" s="231">
        <f>SUM(AI218:AI224)</f>
        <v>0</v>
      </c>
      <c r="AJ217" s="233">
        <f t="shared" si="70"/>
        <v>0</v>
      </c>
      <c r="AK217" s="234">
        <f t="shared" si="64"/>
        <v>102020000</v>
      </c>
      <c r="AL217" s="233">
        <f t="shared" si="71"/>
        <v>100</v>
      </c>
      <c r="AM217" s="243"/>
    </row>
    <row r="218" spans="1:39" ht="28.5" customHeight="1" x14ac:dyDescent="0.25">
      <c r="A218" s="243"/>
      <c r="B218" s="362"/>
      <c r="C218" s="362"/>
      <c r="D218" s="362"/>
      <c r="E218" s="362"/>
      <c r="F218" s="362"/>
      <c r="G218" s="362"/>
      <c r="H218" s="362"/>
      <c r="I218" s="363"/>
      <c r="J218" s="362" t="s">
        <v>257</v>
      </c>
      <c r="K218" s="245"/>
      <c r="L218" s="257"/>
      <c r="M218" s="597" t="s">
        <v>592</v>
      </c>
      <c r="N218" s="598"/>
      <c r="O218" s="299"/>
      <c r="P218" s="180"/>
      <c r="Q218" s="180">
        <v>1600000</v>
      </c>
      <c r="R218" s="181">
        <f t="shared" ref="R218:R224" si="75">Q218/Q$217*100</f>
        <v>1.5683199372672023</v>
      </c>
      <c r="S218" s="181">
        <v>100</v>
      </c>
      <c r="T218" s="180">
        <f t="shared" si="69"/>
        <v>0</v>
      </c>
      <c r="U218" s="180">
        <f t="shared" si="73"/>
        <v>0</v>
      </c>
      <c r="V218" s="182">
        <f t="shared" si="74"/>
        <v>100</v>
      </c>
      <c r="W218" s="180"/>
      <c r="X218" s="180"/>
      <c r="Y218" s="180"/>
      <c r="Z218" s="180"/>
      <c r="AA218" s="180"/>
      <c r="AB218" s="180"/>
      <c r="AC218" s="180"/>
      <c r="AD218" s="180"/>
      <c r="AE218" s="180"/>
      <c r="AF218" s="180"/>
      <c r="AG218" s="180"/>
      <c r="AH218" s="180"/>
      <c r="AI218" s="180">
        <v>0</v>
      </c>
      <c r="AJ218" s="181">
        <f t="shared" si="70"/>
        <v>0</v>
      </c>
      <c r="AK218" s="246">
        <f t="shared" si="64"/>
        <v>1600000</v>
      </c>
      <c r="AL218" s="181">
        <f t="shared" si="71"/>
        <v>100</v>
      </c>
      <c r="AM218" s="243"/>
    </row>
    <row r="219" spans="1:39" ht="28.5" customHeight="1" x14ac:dyDescent="0.25">
      <c r="A219" s="243"/>
      <c r="B219" s="362"/>
      <c r="C219" s="362"/>
      <c r="D219" s="362"/>
      <c r="E219" s="362"/>
      <c r="F219" s="362"/>
      <c r="G219" s="362"/>
      <c r="H219" s="362"/>
      <c r="I219" s="363"/>
      <c r="J219" s="362" t="s">
        <v>593</v>
      </c>
      <c r="K219" s="245"/>
      <c r="L219" s="257"/>
      <c r="M219" s="597" t="s">
        <v>270</v>
      </c>
      <c r="N219" s="598"/>
      <c r="O219" s="299"/>
      <c r="P219" s="180"/>
      <c r="Q219" s="180">
        <v>2000000</v>
      </c>
      <c r="R219" s="181">
        <f t="shared" si="75"/>
        <v>1.9603999215840031</v>
      </c>
      <c r="S219" s="181">
        <v>100</v>
      </c>
      <c r="T219" s="180">
        <f t="shared" si="69"/>
        <v>0</v>
      </c>
      <c r="U219" s="180">
        <f t="shared" si="73"/>
        <v>0</v>
      </c>
      <c r="V219" s="182">
        <f t="shared" si="74"/>
        <v>100</v>
      </c>
      <c r="W219" s="180"/>
      <c r="X219" s="180"/>
      <c r="Y219" s="180"/>
      <c r="Z219" s="180"/>
      <c r="AA219" s="180"/>
      <c r="AB219" s="180"/>
      <c r="AC219" s="180"/>
      <c r="AD219" s="180"/>
      <c r="AE219" s="180"/>
      <c r="AF219" s="180"/>
      <c r="AG219" s="180"/>
      <c r="AH219" s="180"/>
      <c r="AI219" s="180">
        <v>0</v>
      </c>
      <c r="AJ219" s="181">
        <f t="shared" si="70"/>
        <v>0</v>
      </c>
      <c r="AK219" s="246">
        <f t="shared" si="64"/>
        <v>2000000</v>
      </c>
      <c r="AL219" s="181">
        <f t="shared" si="71"/>
        <v>100</v>
      </c>
      <c r="AM219" s="243"/>
    </row>
    <row r="220" spans="1:39" ht="28.5" customHeight="1" x14ac:dyDescent="0.25">
      <c r="A220" s="243"/>
      <c r="B220" s="362"/>
      <c r="C220" s="362"/>
      <c r="D220" s="362"/>
      <c r="E220" s="362"/>
      <c r="F220" s="362"/>
      <c r="G220" s="362"/>
      <c r="H220" s="362"/>
      <c r="I220" s="363"/>
      <c r="J220" s="362" t="s">
        <v>593</v>
      </c>
      <c r="K220" s="245"/>
      <c r="L220" s="257"/>
      <c r="M220" s="597" t="s">
        <v>428</v>
      </c>
      <c r="N220" s="598"/>
      <c r="O220" s="299"/>
      <c r="P220" s="180"/>
      <c r="Q220" s="180">
        <v>1500000</v>
      </c>
      <c r="R220" s="181">
        <f t="shared" si="75"/>
        <v>1.4702999411880022</v>
      </c>
      <c r="S220" s="181">
        <v>100</v>
      </c>
      <c r="T220" s="180">
        <f t="shared" si="69"/>
        <v>0</v>
      </c>
      <c r="U220" s="180">
        <f t="shared" si="73"/>
        <v>0</v>
      </c>
      <c r="V220" s="182">
        <f t="shared" si="74"/>
        <v>100</v>
      </c>
      <c r="W220" s="180"/>
      <c r="X220" s="180"/>
      <c r="Y220" s="180"/>
      <c r="Z220" s="180"/>
      <c r="AA220" s="180"/>
      <c r="AB220" s="180"/>
      <c r="AC220" s="180"/>
      <c r="AD220" s="180"/>
      <c r="AE220" s="180"/>
      <c r="AF220" s="180"/>
      <c r="AG220" s="180"/>
      <c r="AH220" s="180"/>
      <c r="AI220" s="180">
        <v>0</v>
      </c>
      <c r="AJ220" s="181">
        <f t="shared" si="70"/>
        <v>0</v>
      </c>
      <c r="AK220" s="246">
        <f t="shared" si="64"/>
        <v>1500000</v>
      </c>
      <c r="AL220" s="181">
        <f t="shared" si="71"/>
        <v>100</v>
      </c>
      <c r="AM220" s="243"/>
    </row>
    <row r="221" spans="1:39" ht="28.5" customHeight="1" x14ac:dyDescent="0.25">
      <c r="A221" s="243"/>
      <c r="B221" s="362"/>
      <c r="C221" s="362"/>
      <c r="D221" s="362"/>
      <c r="E221" s="362"/>
      <c r="F221" s="362"/>
      <c r="G221" s="362"/>
      <c r="H221" s="362"/>
      <c r="I221" s="363"/>
      <c r="J221" s="362" t="s">
        <v>318</v>
      </c>
      <c r="K221" s="245"/>
      <c r="L221" s="257"/>
      <c r="M221" s="597" t="s">
        <v>319</v>
      </c>
      <c r="N221" s="598"/>
      <c r="O221" s="299"/>
      <c r="P221" s="180"/>
      <c r="Q221" s="180">
        <v>22750000</v>
      </c>
      <c r="R221" s="181">
        <f t="shared" si="75"/>
        <v>22.299549108018034</v>
      </c>
      <c r="S221" s="181">
        <v>100</v>
      </c>
      <c r="T221" s="180">
        <f t="shared" si="69"/>
        <v>0</v>
      </c>
      <c r="U221" s="180">
        <f t="shared" si="73"/>
        <v>0</v>
      </c>
      <c r="V221" s="182">
        <f t="shared" si="74"/>
        <v>100</v>
      </c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>
        <v>0</v>
      </c>
      <c r="AJ221" s="181">
        <f t="shared" si="70"/>
        <v>0</v>
      </c>
      <c r="AK221" s="246">
        <f t="shared" si="64"/>
        <v>22750000</v>
      </c>
      <c r="AL221" s="181">
        <f t="shared" si="71"/>
        <v>100</v>
      </c>
      <c r="AM221" s="243"/>
    </row>
    <row r="222" spans="1:39" ht="28.5" customHeight="1" x14ac:dyDescent="0.25">
      <c r="A222" s="243"/>
      <c r="B222" s="362"/>
      <c r="C222" s="362"/>
      <c r="D222" s="362"/>
      <c r="E222" s="362"/>
      <c r="F222" s="362"/>
      <c r="G222" s="362"/>
      <c r="H222" s="362"/>
      <c r="I222" s="363"/>
      <c r="J222" s="362" t="s">
        <v>280</v>
      </c>
      <c r="K222" s="245"/>
      <c r="L222" s="257"/>
      <c r="M222" s="597" t="s">
        <v>425</v>
      </c>
      <c r="N222" s="598"/>
      <c r="O222" s="299"/>
      <c r="P222" s="180"/>
      <c r="Q222" s="180">
        <v>7000000</v>
      </c>
      <c r="R222" s="181">
        <f t="shared" si="75"/>
        <v>6.8613997255440111</v>
      </c>
      <c r="S222" s="181">
        <v>100</v>
      </c>
      <c r="T222" s="180">
        <f t="shared" si="69"/>
        <v>0</v>
      </c>
      <c r="U222" s="180">
        <f t="shared" si="73"/>
        <v>0</v>
      </c>
      <c r="V222" s="182">
        <f t="shared" si="74"/>
        <v>100</v>
      </c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180"/>
      <c r="AI222" s="180">
        <v>0</v>
      </c>
      <c r="AJ222" s="181">
        <f t="shared" si="70"/>
        <v>0</v>
      </c>
      <c r="AK222" s="246">
        <f t="shared" si="64"/>
        <v>7000000</v>
      </c>
      <c r="AL222" s="181">
        <f t="shared" si="71"/>
        <v>100</v>
      </c>
      <c r="AM222" s="243"/>
    </row>
    <row r="223" spans="1:39" ht="28.5" customHeight="1" x14ac:dyDescent="0.25">
      <c r="A223" s="243"/>
      <c r="B223" s="362"/>
      <c r="C223" s="362"/>
      <c r="D223" s="362"/>
      <c r="E223" s="362"/>
      <c r="F223" s="362"/>
      <c r="G223" s="362"/>
      <c r="H223" s="362"/>
      <c r="I223" s="363"/>
      <c r="J223" s="362" t="s">
        <v>282</v>
      </c>
      <c r="K223" s="245"/>
      <c r="L223" s="257"/>
      <c r="M223" s="597" t="s">
        <v>590</v>
      </c>
      <c r="N223" s="598"/>
      <c r="O223" s="299"/>
      <c r="P223" s="180"/>
      <c r="Q223" s="180">
        <v>27170000</v>
      </c>
      <c r="R223" s="181">
        <f t="shared" si="75"/>
        <v>26.63203293471868</v>
      </c>
      <c r="S223" s="181">
        <v>100</v>
      </c>
      <c r="T223" s="180">
        <f t="shared" si="69"/>
        <v>0</v>
      </c>
      <c r="U223" s="180">
        <f t="shared" si="73"/>
        <v>0</v>
      </c>
      <c r="V223" s="182">
        <f>S223-T223</f>
        <v>100</v>
      </c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>
        <v>0</v>
      </c>
      <c r="AJ223" s="181">
        <f t="shared" si="70"/>
        <v>0</v>
      </c>
      <c r="AK223" s="246">
        <f t="shared" si="64"/>
        <v>27170000</v>
      </c>
      <c r="AL223" s="181">
        <f t="shared" si="71"/>
        <v>100</v>
      </c>
      <c r="AM223" s="243"/>
    </row>
    <row r="224" spans="1:39" ht="28.5" customHeight="1" x14ac:dyDescent="0.25">
      <c r="A224" s="243"/>
      <c r="B224" s="362"/>
      <c r="C224" s="362"/>
      <c r="D224" s="362"/>
      <c r="E224" s="362"/>
      <c r="F224" s="362"/>
      <c r="G224" s="362"/>
      <c r="H224" s="362"/>
      <c r="I224" s="363"/>
      <c r="J224" s="362" t="s">
        <v>594</v>
      </c>
      <c r="K224" s="245"/>
      <c r="L224" s="257"/>
      <c r="M224" s="597" t="s">
        <v>591</v>
      </c>
      <c r="N224" s="598"/>
      <c r="O224" s="299"/>
      <c r="P224" s="180"/>
      <c r="Q224" s="180">
        <v>40000000</v>
      </c>
      <c r="R224" s="181">
        <f t="shared" si="75"/>
        <v>39.20799843168006</v>
      </c>
      <c r="S224" s="181">
        <v>100</v>
      </c>
      <c r="T224" s="180">
        <f t="shared" si="69"/>
        <v>0</v>
      </c>
      <c r="U224" s="180">
        <f t="shared" si="73"/>
        <v>0</v>
      </c>
      <c r="V224" s="182">
        <f>S224-T224</f>
        <v>100</v>
      </c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>
        <v>0</v>
      </c>
      <c r="AJ224" s="181">
        <f t="shared" si="70"/>
        <v>0</v>
      </c>
      <c r="AK224" s="246">
        <f t="shared" si="64"/>
        <v>40000000</v>
      </c>
      <c r="AL224" s="181">
        <f t="shared" si="71"/>
        <v>100</v>
      </c>
      <c r="AM224" s="243"/>
    </row>
    <row r="225" spans="1:39" s="297" customFormat="1" ht="24.75" customHeight="1" x14ac:dyDescent="0.25">
      <c r="A225" s="227">
        <f>A217+1</f>
        <v>34</v>
      </c>
      <c r="B225" s="615" t="s">
        <v>144</v>
      </c>
      <c r="C225" s="615"/>
      <c r="D225" s="615"/>
      <c r="E225" s="615"/>
      <c r="F225" s="615"/>
      <c r="G225" s="615"/>
      <c r="H225" s="615"/>
      <c r="I225" s="614"/>
      <c r="J225" s="304" t="s">
        <v>478</v>
      </c>
      <c r="K225" s="230"/>
      <c r="L225" s="294"/>
      <c r="M225" s="615" t="s">
        <v>167</v>
      </c>
      <c r="N225" s="614"/>
      <c r="O225" s="295">
        <v>85915000</v>
      </c>
      <c r="P225" s="231">
        <f>O225</f>
        <v>85915000</v>
      </c>
      <c r="Q225" s="231">
        <f>SUM(Q226:Q235)</f>
        <v>131325000</v>
      </c>
      <c r="R225" s="233">
        <f>Q225/Q$175*100</f>
        <v>9.6697704223171161</v>
      </c>
      <c r="S225" s="233">
        <v>100</v>
      </c>
      <c r="T225" s="231">
        <f t="shared" si="69"/>
        <v>31.962687987816484</v>
      </c>
      <c r="U225" s="231">
        <f>R225*T225/100</f>
        <v>3.090718549223384</v>
      </c>
      <c r="V225" s="296">
        <f t="shared" si="74"/>
        <v>68.03731201218352</v>
      </c>
      <c r="W225" s="231"/>
      <c r="X225" s="231" t="e">
        <f>#REF!</f>
        <v>#REF!</v>
      </c>
      <c r="Y225" s="231" t="e">
        <f>#REF!</f>
        <v>#REF!</v>
      </c>
      <c r="Z225" s="231" t="e">
        <f>#REF!</f>
        <v>#REF!</v>
      </c>
      <c r="AA225" s="231" t="e">
        <f>#REF!</f>
        <v>#REF!</v>
      </c>
      <c r="AB225" s="231">
        <v>0</v>
      </c>
      <c r="AC225" s="231" t="e">
        <f>#REF!</f>
        <v>#REF!</v>
      </c>
      <c r="AD225" s="231" t="e">
        <f>#REF!</f>
        <v>#REF!</v>
      </c>
      <c r="AE225" s="231" t="e">
        <f>#REF!</f>
        <v>#REF!</v>
      </c>
      <c r="AF225" s="231" t="e">
        <f>[1]April!N52</f>
        <v>#REF!</v>
      </c>
      <c r="AG225" s="231" t="e">
        <f>[2]april!N52</f>
        <v>#REF!</v>
      </c>
      <c r="AH225" s="231">
        <f>'[3]DES SKPD'!$N52</f>
        <v>73668000</v>
      </c>
      <c r="AI225" s="231">
        <f>SUM(AI226:AI235)</f>
        <v>41975000</v>
      </c>
      <c r="AJ225" s="233">
        <f t="shared" si="70"/>
        <v>31.962687987816484</v>
      </c>
      <c r="AK225" s="234">
        <f t="shared" si="64"/>
        <v>89350000</v>
      </c>
      <c r="AL225" s="233">
        <f t="shared" si="71"/>
        <v>68.03731201218352</v>
      </c>
      <c r="AM225" s="227"/>
    </row>
    <row r="226" spans="1:39" ht="24.75" customHeight="1" x14ac:dyDescent="0.25">
      <c r="A226" s="243"/>
      <c r="B226" s="362"/>
      <c r="C226" s="362"/>
      <c r="D226" s="362"/>
      <c r="E226" s="362"/>
      <c r="F226" s="362"/>
      <c r="G226" s="362"/>
      <c r="H226" s="362"/>
      <c r="I226" s="363"/>
      <c r="J226" s="362" t="s">
        <v>273</v>
      </c>
      <c r="K226" s="245"/>
      <c r="L226" s="257"/>
      <c r="M226" s="597" t="s">
        <v>322</v>
      </c>
      <c r="N226" s="598"/>
      <c r="O226" s="299"/>
      <c r="P226" s="180"/>
      <c r="Q226" s="180">
        <v>4600000</v>
      </c>
      <c r="R226" s="181">
        <f t="shared" ref="R226:R235" si="76">Q226/Q$225*100</f>
        <v>3.5027603274319441</v>
      </c>
      <c r="S226" s="181">
        <v>100</v>
      </c>
      <c r="T226" s="180">
        <f t="shared" si="69"/>
        <v>0</v>
      </c>
      <c r="U226" s="180">
        <f t="shared" ref="U226:U296" si="77">R226*T226/100</f>
        <v>0</v>
      </c>
      <c r="V226" s="182">
        <f t="shared" si="74"/>
        <v>100</v>
      </c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>
        <v>0</v>
      </c>
      <c r="AJ226" s="181">
        <f t="shared" si="70"/>
        <v>0</v>
      </c>
      <c r="AK226" s="246">
        <f t="shared" si="64"/>
        <v>4600000</v>
      </c>
      <c r="AL226" s="181">
        <f t="shared" si="71"/>
        <v>100</v>
      </c>
      <c r="AM226" s="243"/>
    </row>
    <row r="227" spans="1:39" ht="24.75" customHeight="1" x14ac:dyDescent="0.25">
      <c r="A227" s="243"/>
      <c r="B227" s="362"/>
      <c r="C227" s="362"/>
      <c r="D227" s="362"/>
      <c r="E227" s="362"/>
      <c r="F227" s="362"/>
      <c r="G227" s="362"/>
      <c r="H227" s="362"/>
      <c r="I227" s="363"/>
      <c r="J227" s="362" t="s">
        <v>323</v>
      </c>
      <c r="K227" s="245"/>
      <c r="L227" s="257"/>
      <c r="M227" s="597" t="s">
        <v>324</v>
      </c>
      <c r="N227" s="598"/>
      <c r="O227" s="299"/>
      <c r="P227" s="180"/>
      <c r="Q227" s="180">
        <v>13776000</v>
      </c>
      <c r="R227" s="181">
        <f t="shared" si="76"/>
        <v>10.490005711022272</v>
      </c>
      <c r="S227" s="181">
        <v>100</v>
      </c>
      <c r="T227" s="180">
        <f t="shared" si="69"/>
        <v>0</v>
      </c>
      <c r="U227" s="180">
        <f t="shared" si="77"/>
        <v>0</v>
      </c>
      <c r="V227" s="182">
        <f t="shared" si="74"/>
        <v>100</v>
      </c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>
        <v>0</v>
      </c>
      <c r="AJ227" s="181">
        <f t="shared" si="70"/>
        <v>0</v>
      </c>
      <c r="AK227" s="246">
        <f t="shared" si="64"/>
        <v>13776000</v>
      </c>
      <c r="AL227" s="181">
        <f t="shared" si="71"/>
        <v>100</v>
      </c>
      <c r="AM227" s="243"/>
    </row>
    <row r="228" spans="1:39" ht="24.75" customHeight="1" x14ac:dyDescent="0.25">
      <c r="A228" s="243"/>
      <c r="B228" s="362"/>
      <c r="C228" s="362"/>
      <c r="D228" s="362"/>
      <c r="E228" s="362"/>
      <c r="F228" s="362"/>
      <c r="G228" s="362"/>
      <c r="H228" s="362"/>
      <c r="I228" s="363"/>
      <c r="J228" s="362" t="s">
        <v>269</v>
      </c>
      <c r="K228" s="245"/>
      <c r="L228" s="257"/>
      <c r="M228" s="597" t="s">
        <v>270</v>
      </c>
      <c r="N228" s="598"/>
      <c r="O228" s="299"/>
      <c r="P228" s="180"/>
      <c r="Q228" s="180">
        <v>4000000</v>
      </c>
      <c r="R228" s="181">
        <f t="shared" si="76"/>
        <v>3.0458785455929944</v>
      </c>
      <c r="S228" s="181">
        <v>100</v>
      </c>
      <c r="T228" s="180">
        <f t="shared" si="69"/>
        <v>0</v>
      </c>
      <c r="U228" s="180">
        <f t="shared" si="77"/>
        <v>0</v>
      </c>
      <c r="V228" s="182">
        <f t="shared" si="74"/>
        <v>100</v>
      </c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>
        <v>0</v>
      </c>
      <c r="AJ228" s="181">
        <f t="shared" si="70"/>
        <v>0</v>
      </c>
      <c r="AK228" s="246">
        <f t="shared" si="64"/>
        <v>4000000</v>
      </c>
      <c r="AL228" s="181">
        <f t="shared" si="71"/>
        <v>100</v>
      </c>
      <c r="AM228" s="243"/>
    </row>
    <row r="229" spans="1:39" ht="24.75" customHeight="1" x14ac:dyDescent="0.25">
      <c r="A229" s="243"/>
      <c r="B229" s="362"/>
      <c r="C229" s="362"/>
      <c r="D229" s="362"/>
      <c r="E229" s="362"/>
      <c r="F229" s="362"/>
      <c r="G229" s="362"/>
      <c r="H229" s="362"/>
      <c r="I229" s="363"/>
      <c r="J229" s="362" t="s">
        <v>315</v>
      </c>
      <c r="K229" s="245"/>
      <c r="L229" s="257"/>
      <c r="M229" s="597" t="s">
        <v>271</v>
      </c>
      <c r="N229" s="598"/>
      <c r="O229" s="299"/>
      <c r="P229" s="180"/>
      <c r="Q229" s="180">
        <v>2889000</v>
      </c>
      <c r="R229" s="181">
        <f t="shared" si="76"/>
        <v>2.1998857795545406</v>
      </c>
      <c r="S229" s="181">
        <v>100</v>
      </c>
      <c r="T229" s="180">
        <f t="shared" si="69"/>
        <v>18.172377985462099</v>
      </c>
      <c r="U229" s="180">
        <f t="shared" si="77"/>
        <v>0.39977155910908058</v>
      </c>
      <c r="V229" s="182">
        <f t="shared" si="74"/>
        <v>81.827622014537894</v>
      </c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>
        <v>525000</v>
      </c>
      <c r="AJ229" s="181">
        <f t="shared" si="70"/>
        <v>18.172377985462099</v>
      </c>
      <c r="AK229" s="246">
        <f t="shared" si="64"/>
        <v>2364000</v>
      </c>
      <c r="AL229" s="181">
        <f t="shared" si="71"/>
        <v>81.827622014537909</v>
      </c>
      <c r="AM229" s="243"/>
    </row>
    <row r="230" spans="1:39" ht="24.75" customHeight="1" x14ac:dyDescent="0.25">
      <c r="A230" s="243"/>
      <c r="B230" s="362"/>
      <c r="C230" s="362"/>
      <c r="D230" s="362"/>
      <c r="E230" s="362"/>
      <c r="F230" s="362"/>
      <c r="G230" s="362"/>
      <c r="H230" s="362"/>
      <c r="I230" s="363"/>
      <c r="J230" s="362" t="s">
        <v>328</v>
      </c>
      <c r="K230" s="245"/>
      <c r="L230" s="257"/>
      <c r="M230" s="597" t="s">
        <v>329</v>
      </c>
      <c r="N230" s="598"/>
      <c r="O230" s="299"/>
      <c r="P230" s="180"/>
      <c r="Q230" s="180">
        <v>47750000</v>
      </c>
      <c r="R230" s="181">
        <f t="shared" si="76"/>
        <v>36.360175138016373</v>
      </c>
      <c r="S230" s="181">
        <v>100</v>
      </c>
      <c r="T230" s="180">
        <f t="shared" si="69"/>
        <v>58.638743455497377</v>
      </c>
      <c r="U230" s="180">
        <f t="shared" si="77"/>
        <v>21.321149819150961</v>
      </c>
      <c r="V230" s="182">
        <f t="shared" si="74"/>
        <v>41.361256544502623</v>
      </c>
      <c r="W230" s="180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>
        <v>28000000</v>
      </c>
      <c r="AJ230" s="181">
        <f t="shared" si="70"/>
        <v>58.638743455497377</v>
      </c>
      <c r="AK230" s="246">
        <f t="shared" si="64"/>
        <v>19750000</v>
      </c>
      <c r="AL230" s="181">
        <f t="shared" si="71"/>
        <v>41.361256544502616</v>
      </c>
      <c r="AM230" s="243"/>
    </row>
    <row r="231" spans="1:39" ht="24.75" customHeight="1" x14ac:dyDescent="0.25">
      <c r="A231" s="243"/>
      <c r="B231" s="362"/>
      <c r="C231" s="362"/>
      <c r="D231" s="362"/>
      <c r="E231" s="362"/>
      <c r="F231" s="362"/>
      <c r="G231" s="362"/>
      <c r="H231" s="362"/>
      <c r="I231" s="363"/>
      <c r="J231" s="362" t="s">
        <v>280</v>
      </c>
      <c r="K231" s="245"/>
      <c r="L231" s="257"/>
      <c r="M231" s="597" t="s">
        <v>281</v>
      </c>
      <c r="N231" s="598"/>
      <c r="O231" s="299"/>
      <c r="P231" s="180"/>
      <c r="Q231" s="180">
        <v>15750000</v>
      </c>
      <c r="R231" s="181">
        <f t="shared" si="76"/>
        <v>11.993146773272416</v>
      </c>
      <c r="S231" s="181">
        <v>100</v>
      </c>
      <c r="T231" s="180">
        <f t="shared" si="69"/>
        <v>14.285714285714285</v>
      </c>
      <c r="U231" s="180">
        <f t="shared" si="77"/>
        <v>1.7133066818960594</v>
      </c>
      <c r="V231" s="182">
        <f t="shared" si="74"/>
        <v>85.714285714285722</v>
      </c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>
        <v>2250000</v>
      </c>
      <c r="AJ231" s="181">
        <f t="shared" si="70"/>
        <v>14.285714285714285</v>
      </c>
      <c r="AK231" s="246">
        <f t="shared" si="64"/>
        <v>13500000</v>
      </c>
      <c r="AL231" s="181">
        <f t="shared" si="71"/>
        <v>85.714285714285708</v>
      </c>
      <c r="AM231" s="243"/>
    </row>
    <row r="232" spans="1:39" ht="24.75" customHeight="1" x14ac:dyDescent="0.25">
      <c r="A232" s="243"/>
      <c r="B232" s="362"/>
      <c r="C232" s="362"/>
      <c r="D232" s="362"/>
      <c r="E232" s="362"/>
      <c r="F232" s="362"/>
      <c r="G232" s="362"/>
      <c r="H232" s="362"/>
      <c r="I232" s="363"/>
      <c r="J232" s="362" t="s">
        <v>284</v>
      </c>
      <c r="K232" s="245"/>
      <c r="L232" s="257"/>
      <c r="M232" s="597" t="s">
        <v>585</v>
      </c>
      <c r="N232" s="598"/>
      <c r="O232" s="299"/>
      <c r="P232" s="180"/>
      <c r="Q232" s="180">
        <v>5550000</v>
      </c>
      <c r="R232" s="181">
        <f t="shared" si="76"/>
        <v>4.2261564820102802</v>
      </c>
      <c r="S232" s="181">
        <v>100</v>
      </c>
      <c r="T232" s="180">
        <f t="shared" si="69"/>
        <v>49.549549549549546</v>
      </c>
      <c r="U232" s="180">
        <f t="shared" si="77"/>
        <v>2.0940415000951837</v>
      </c>
      <c r="V232" s="182">
        <f t="shared" si="74"/>
        <v>50.450450450450454</v>
      </c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>
        <v>2750000</v>
      </c>
      <c r="AJ232" s="181">
        <f t="shared" si="70"/>
        <v>49.549549549549546</v>
      </c>
      <c r="AK232" s="246">
        <f t="shared" si="64"/>
        <v>2800000</v>
      </c>
      <c r="AL232" s="181">
        <f t="shared" si="71"/>
        <v>50.450450450450447</v>
      </c>
      <c r="AM232" s="243"/>
    </row>
    <row r="233" spans="1:39" ht="24.75" customHeight="1" x14ac:dyDescent="0.25">
      <c r="A233" s="243"/>
      <c r="B233" s="362"/>
      <c r="C233" s="362"/>
      <c r="D233" s="362"/>
      <c r="E233" s="362"/>
      <c r="F233" s="362"/>
      <c r="G233" s="362"/>
      <c r="H233" s="362"/>
      <c r="I233" s="363"/>
      <c r="J233" s="362" t="s">
        <v>282</v>
      </c>
      <c r="K233" s="245"/>
      <c r="L233" s="257"/>
      <c r="M233" s="597" t="s">
        <v>503</v>
      </c>
      <c r="N233" s="598"/>
      <c r="O233" s="299"/>
      <c r="P233" s="180"/>
      <c r="Q233" s="180">
        <v>21160000</v>
      </c>
      <c r="R233" s="181">
        <f t="shared" si="76"/>
        <v>16.11269750618694</v>
      </c>
      <c r="S233" s="181">
        <v>100</v>
      </c>
      <c r="T233" s="180">
        <f t="shared" si="69"/>
        <v>0</v>
      </c>
      <c r="U233" s="180">
        <f t="shared" si="77"/>
        <v>0</v>
      </c>
      <c r="V233" s="182">
        <f t="shared" si="74"/>
        <v>100</v>
      </c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>
        <v>0</v>
      </c>
      <c r="AJ233" s="181">
        <f t="shared" si="70"/>
        <v>0</v>
      </c>
      <c r="AK233" s="246">
        <f t="shared" si="64"/>
        <v>21160000</v>
      </c>
      <c r="AL233" s="181">
        <f t="shared" si="71"/>
        <v>100</v>
      </c>
      <c r="AM233" s="243"/>
    </row>
    <row r="234" spans="1:39" ht="24.75" customHeight="1" x14ac:dyDescent="0.25">
      <c r="A234" s="243"/>
      <c r="B234" s="362"/>
      <c r="C234" s="362"/>
      <c r="D234" s="362"/>
      <c r="E234" s="362"/>
      <c r="F234" s="362"/>
      <c r="G234" s="362"/>
      <c r="H234" s="362"/>
      <c r="I234" s="363"/>
      <c r="J234" s="362" t="s">
        <v>320</v>
      </c>
      <c r="K234" s="245"/>
      <c r="L234" s="257"/>
      <c r="M234" s="597" t="s">
        <v>321</v>
      </c>
      <c r="N234" s="598"/>
      <c r="O234" s="299"/>
      <c r="P234" s="180"/>
      <c r="Q234" s="180">
        <v>11200000</v>
      </c>
      <c r="R234" s="181">
        <f t="shared" si="76"/>
        <v>8.5284599276603839</v>
      </c>
      <c r="S234" s="181">
        <v>100</v>
      </c>
      <c r="T234" s="180">
        <f t="shared" si="69"/>
        <v>33.928571428571431</v>
      </c>
      <c r="U234" s="180">
        <f t="shared" si="77"/>
        <v>2.8935846183133447</v>
      </c>
      <c r="V234" s="182">
        <f t="shared" si="74"/>
        <v>66.071428571428569</v>
      </c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>
        <v>3800000</v>
      </c>
      <c r="AJ234" s="181">
        <f t="shared" si="70"/>
        <v>33.928571428571431</v>
      </c>
      <c r="AK234" s="246">
        <f t="shared" si="64"/>
        <v>7400000</v>
      </c>
      <c r="AL234" s="181">
        <f t="shared" si="71"/>
        <v>66.071428571428569</v>
      </c>
      <c r="AM234" s="243"/>
    </row>
    <row r="235" spans="1:39" ht="24.75" customHeight="1" x14ac:dyDescent="0.25">
      <c r="A235" s="243"/>
      <c r="B235" s="362"/>
      <c r="C235" s="362"/>
      <c r="D235" s="362"/>
      <c r="E235" s="362"/>
      <c r="F235" s="362"/>
      <c r="G235" s="362"/>
      <c r="H235" s="362"/>
      <c r="I235" s="363"/>
      <c r="J235" s="362" t="s">
        <v>407</v>
      </c>
      <c r="K235" s="245"/>
      <c r="L235" s="257"/>
      <c r="M235" s="597" t="s">
        <v>595</v>
      </c>
      <c r="N235" s="598"/>
      <c r="O235" s="299"/>
      <c r="P235" s="180"/>
      <c r="Q235" s="180">
        <v>4650000</v>
      </c>
      <c r="R235" s="181">
        <f t="shared" si="76"/>
        <v>3.5408338092518559</v>
      </c>
      <c r="S235" s="181">
        <v>100</v>
      </c>
      <c r="T235" s="180">
        <f t="shared" si="69"/>
        <v>100</v>
      </c>
      <c r="U235" s="180">
        <f t="shared" si="77"/>
        <v>3.5408338092518559</v>
      </c>
      <c r="V235" s="182">
        <f t="shared" si="74"/>
        <v>0</v>
      </c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>
        <v>4650000</v>
      </c>
      <c r="AJ235" s="181">
        <f t="shared" si="70"/>
        <v>100</v>
      </c>
      <c r="AK235" s="246">
        <f t="shared" si="64"/>
        <v>0</v>
      </c>
      <c r="AL235" s="181">
        <f t="shared" si="71"/>
        <v>0</v>
      </c>
      <c r="AM235" s="243"/>
    </row>
    <row r="236" spans="1:39" s="297" customFormat="1" ht="24.75" customHeight="1" x14ac:dyDescent="0.25">
      <c r="A236" s="227">
        <f>A225+1</f>
        <v>35</v>
      </c>
      <c r="B236" s="618" t="s">
        <v>144</v>
      </c>
      <c r="C236" s="615"/>
      <c r="D236" s="615"/>
      <c r="E236" s="615"/>
      <c r="F236" s="615"/>
      <c r="G236" s="615"/>
      <c r="H236" s="615"/>
      <c r="I236" s="614"/>
      <c r="J236" s="304" t="s">
        <v>596</v>
      </c>
      <c r="K236" s="230"/>
      <c r="L236" s="294"/>
      <c r="M236" s="615" t="s">
        <v>597</v>
      </c>
      <c r="N236" s="614"/>
      <c r="O236" s="295">
        <v>85915000</v>
      </c>
      <c r="P236" s="231">
        <f>O236</f>
        <v>85915000</v>
      </c>
      <c r="Q236" s="231">
        <f>SUM(Q237:Q242)</f>
        <v>48040000</v>
      </c>
      <c r="R236" s="233">
        <f>Q236/Q$175*100</f>
        <v>3.5372988470444637</v>
      </c>
      <c r="S236" s="233">
        <v>100</v>
      </c>
      <c r="T236" s="231">
        <f>AJ236</f>
        <v>0</v>
      </c>
      <c r="U236" s="231">
        <f>R236*T236/100</f>
        <v>0</v>
      </c>
      <c r="V236" s="296">
        <f t="shared" si="74"/>
        <v>100</v>
      </c>
      <c r="W236" s="231"/>
      <c r="X236" s="231" t="e">
        <f>#REF!</f>
        <v>#REF!</v>
      </c>
      <c r="Y236" s="231" t="e">
        <f>#REF!</f>
        <v>#REF!</v>
      </c>
      <c r="Z236" s="231" t="e">
        <f>#REF!</f>
        <v>#REF!</v>
      </c>
      <c r="AA236" s="231" t="e">
        <f>#REF!</f>
        <v>#REF!</v>
      </c>
      <c r="AB236" s="231">
        <v>0</v>
      </c>
      <c r="AC236" s="231" t="e">
        <f>#REF!</f>
        <v>#REF!</v>
      </c>
      <c r="AD236" s="231" t="e">
        <f>#REF!</f>
        <v>#REF!</v>
      </c>
      <c r="AE236" s="231" t="e">
        <f>#REF!</f>
        <v>#REF!</v>
      </c>
      <c r="AF236" s="231" t="e">
        <f>[1]April!N63</f>
        <v>#REF!</v>
      </c>
      <c r="AG236" s="231" t="e">
        <f>[2]april!N63</f>
        <v>#REF!</v>
      </c>
      <c r="AH236" s="231">
        <f>'[3]DES SKPD'!$N63</f>
        <v>174573000</v>
      </c>
      <c r="AI236" s="231">
        <f>SUM(AI237:AI242)</f>
        <v>0</v>
      </c>
      <c r="AJ236" s="233">
        <f>AI236/Q236*100</f>
        <v>0</v>
      </c>
      <c r="AK236" s="234">
        <f t="shared" si="64"/>
        <v>48040000</v>
      </c>
      <c r="AL236" s="233">
        <f t="shared" si="71"/>
        <v>100</v>
      </c>
      <c r="AM236" s="227"/>
    </row>
    <row r="237" spans="1:39" ht="24.75" customHeight="1" x14ac:dyDescent="0.25">
      <c r="A237" s="243"/>
      <c r="B237" s="362"/>
      <c r="C237" s="362"/>
      <c r="D237" s="362"/>
      <c r="E237" s="362"/>
      <c r="F237" s="362"/>
      <c r="G237" s="362"/>
      <c r="H237" s="362"/>
      <c r="I237" s="363"/>
      <c r="J237" s="362" t="s">
        <v>273</v>
      </c>
      <c r="K237" s="245"/>
      <c r="L237" s="257"/>
      <c r="M237" s="597" t="s">
        <v>322</v>
      </c>
      <c r="N237" s="598"/>
      <c r="O237" s="299"/>
      <c r="P237" s="180"/>
      <c r="Q237" s="180">
        <v>12400000</v>
      </c>
      <c r="R237" s="181">
        <f t="shared" ref="R237:R242" si="78">Q237/Q$225*100</f>
        <v>9.4422234913382841</v>
      </c>
      <c r="S237" s="181">
        <v>100</v>
      </c>
      <c r="T237" s="180">
        <f t="shared" ref="T237:T242" si="79">AJ237</f>
        <v>0</v>
      </c>
      <c r="U237" s="180">
        <f t="shared" ref="U237:U242" si="80">R237*T237/100</f>
        <v>0</v>
      </c>
      <c r="V237" s="182">
        <f t="shared" si="74"/>
        <v>100</v>
      </c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>
        <v>0</v>
      </c>
      <c r="AJ237" s="181">
        <f t="shared" ref="AJ237:AJ242" si="81">AI237/Q237*100</f>
        <v>0</v>
      </c>
      <c r="AK237" s="246">
        <f t="shared" si="64"/>
        <v>12400000</v>
      </c>
      <c r="AL237" s="181">
        <f t="shared" si="71"/>
        <v>100</v>
      </c>
      <c r="AM237" s="243"/>
    </row>
    <row r="238" spans="1:39" ht="24.75" customHeight="1" x14ac:dyDescent="0.25">
      <c r="A238" s="243"/>
      <c r="B238" s="362"/>
      <c r="C238" s="362"/>
      <c r="D238" s="362"/>
      <c r="E238" s="362"/>
      <c r="F238" s="362"/>
      <c r="G238" s="362"/>
      <c r="H238" s="362"/>
      <c r="I238" s="363"/>
      <c r="J238" s="362" t="s">
        <v>315</v>
      </c>
      <c r="K238" s="245"/>
      <c r="L238" s="257"/>
      <c r="M238" s="597" t="s">
        <v>599</v>
      </c>
      <c r="N238" s="598"/>
      <c r="O238" s="299"/>
      <c r="P238" s="180"/>
      <c r="Q238" s="180">
        <v>1000000</v>
      </c>
      <c r="R238" s="181">
        <f t="shared" si="78"/>
        <v>0.76146963639824861</v>
      </c>
      <c r="S238" s="181">
        <v>100</v>
      </c>
      <c r="T238" s="180">
        <f t="shared" si="79"/>
        <v>0</v>
      </c>
      <c r="U238" s="180">
        <f t="shared" si="80"/>
        <v>0</v>
      </c>
      <c r="V238" s="182">
        <f t="shared" si="74"/>
        <v>100</v>
      </c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180"/>
      <c r="AI238" s="180">
        <v>0</v>
      </c>
      <c r="AJ238" s="181">
        <f t="shared" si="81"/>
        <v>0</v>
      </c>
      <c r="AK238" s="246">
        <f t="shared" si="64"/>
        <v>1000000</v>
      </c>
      <c r="AL238" s="181">
        <f t="shared" si="71"/>
        <v>100</v>
      </c>
      <c r="AM238" s="243"/>
    </row>
    <row r="239" spans="1:39" ht="24.75" customHeight="1" x14ac:dyDescent="0.25">
      <c r="A239" s="243"/>
      <c r="B239" s="362"/>
      <c r="C239" s="362"/>
      <c r="D239" s="362"/>
      <c r="E239" s="362"/>
      <c r="F239" s="362"/>
      <c r="G239" s="362"/>
      <c r="H239" s="362"/>
      <c r="I239" s="363"/>
      <c r="J239" s="362" t="s">
        <v>318</v>
      </c>
      <c r="K239" s="245"/>
      <c r="L239" s="257"/>
      <c r="M239" s="597" t="s">
        <v>319</v>
      </c>
      <c r="N239" s="598"/>
      <c r="O239" s="299"/>
      <c r="P239" s="180"/>
      <c r="Q239" s="180">
        <v>14000000</v>
      </c>
      <c r="R239" s="181">
        <f t="shared" si="78"/>
        <v>10.66057490957548</v>
      </c>
      <c r="S239" s="181">
        <v>100</v>
      </c>
      <c r="T239" s="180">
        <f t="shared" si="79"/>
        <v>0</v>
      </c>
      <c r="U239" s="180">
        <f>R239*T239/100</f>
        <v>0</v>
      </c>
      <c r="V239" s="182">
        <f t="shared" si="74"/>
        <v>100</v>
      </c>
      <c r="W239" s="180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80"/>
      <c r="AH239" s="180"/>
      <c r="AI239" s="180">
        <v>0</v>
      </c>
      <c r="AJ239" s="181">
        <f t="shared" si="81"/>
        <v>0</v>
      </c>
      <c r="AK239" s="246">
        <f t="shared" si="64"/>
        <v>14000000</v>
      </c>
      <c r="AL239" s="181">
        <f t="shared" si="71"/>
        <v>100</v>
      </c>
      <c r="AM239" s="243"/>
    </row>
    <row r="240" spans="1:39" ht="24.75" customHeight="1" x14ac:dyDescent="0.25">
      <c r="A240" s="243"/>
      <c r="B240" s="362"/>
      <c r="C240" s="362"/>
      <c r="D240" s="362"/>
      <c r="E240" s="362"/>
      <c r="F240" s="362"/>
      <c r="G240" s="362"/>
      <c r="H240" s="362"/>
      <c r="I240" s="363"/>
      <c r="J240" s="362" t="s">
        <v>537</v>
      </c>
      <c r="K240" s="245"/>
      <c r="L240" s="257"/>
      <c r="M240" s="597" t="s">
        <v>600</v>
      </c>
      <c r="N240" s="598"/>
      <c r="O240" s="299"/>
      <c r="P240" s="180"/>
      <c r="Q240" s="180">
        <v>2640000</v>
      </c>
      <c r="R240" s="181">
        <f t="shared" si="78"/>
        <v>2.0102798400913762</v>
      </c>
      <c r="S240" s="181">
        <v>100</v>
      </c>
      <c r="T240" s="180">
        <f t="shared" si="79"/>
        <v>0</v>
      </c>
      <c r="U240" s="180">
        <f t="shared" si="80"/>
        <v>0</v>
      </c>
      <c r="V240" s="182">
        <f t="shared" si="74"/>
        <v>100</v>
      </c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180"/>
      <c r="AI240" s="180">
        <v>0</v>
      </c>
      <c r="AJ240" s="181">
        <f t="shared" si="81"/>
        <v>0</v>
      </c>
      <c r="AK240" s="246">
        <f t="shared" si="64"/>
        <v>2640000</v>
      </c>
      <c r="AL240" s="181">
        <f t="shared" si="71"/>
        <v>100</v>
      </c>
      <c r="AM240" s="243"/>
    </row>
    <row r="241" spans="1:39" ht="24.75" customHeight="1" x14ac:dyDescent="0.25">
      <c r="A241" s="243"/>
      <c r="B241" s="362"/>
      <c r="C241" s="362"/>
      <c r="D241" s="362"/>
      <c r="E241" s="362"/>
      <c r="F241" s="362"/>
      <c r="G241" s="362"/>
      <c r="H241" s="362"/>
      <c r="I241" s="363"/>
      <c r="J241" s="362" t="s">
        <v>320</v>
      </c>
      <c r="K241" s="245"/>
      <c r="L241" s="257"/>
      <c r="M241" s="597" t="s">
        <v>321</v>
      </c>
      <c r="N241" s="598"/>
      <c r="O241" s="299"/>
      <c r="P241" s="180"/>
      <c r="Q241" s="180">
        <v>6000000</v>
      </c>
      <c r="R241" s="181">
        <f t="shared" si="78"/>
        <v>4.5688178183894914</v>
      </c>
      <c r="S241" s="181">
        <v>100</v>
      </c>
      <c r="T241" s="180">
        <f t="shared" si="79"/>
        <v>0</v>
      </c>
      <c r="U241" s="180">
        <f t="shared" si="80"/>
        <v>0</v>
      </c>
      <c r="V241" s="182">
        <f t="shared" si="74"/>
        <v>100</v>
      </c>
      <c r="W241" s="180"/>
      <c r="X241" s="180"/>
      <c r="Y241" s="180"/>
      <c r="Z241" s="180"/>
      <c r="AA241" s="180"/>
      <c r="AB241" s="180"/>
      <c r="AC241" s="180"/>
      <c r="AD241" s="180"/>
      <c r="AE241" s="180"/>
      <c r="AF241" s="180"/>
      <c r="AG241" s="180"/>
      <c r="AH241" s="180"/>
      <c r="AI241" s="180">
        <v>0</v>
      </c>
      <c r="AJ241" s="181">
        <f t="shared" si="81"/>
        <v>0</v>
      </c>
      <c r="AK241" s="246">
        <f t="shared" ref="AK241:AK242" si="82">Q241-AI241</f>
        <v>6000000</v>
      </c>
      <c r="AL241" s="181">
        <f t="shared" si="71"/>
        <v>100</v>
      </c>
      <c r="AM241" s="243"/>
    </row>
    <row r="242" spans="1:39" ht="24.75" customHeight="1" x14ac:dyDescent="0.25">
      <c r="A242" s="243"/>
      <c r="B242" s="362"/>
      <c r="C242" s="362"/>
      <c r="D242" s="362"/>
      <c r="E242" s="362"/>
      <c r="F242" s="362"/>
      <c r="G242" s="362"/>
      <c r="H242" s="362"/>
      <c r="I242" s="363"/>
      <c r="J242" s="362" t="s">
        <v>598</v>
      </c>
      <c r="K242" s="245"/>
      <c r="L242" s="257"/>
      <c r="M242" s="621" t="s">
        <v>550</v>
      </c>
      <c r="N242" s="622"/>
      <c r="O242" s="299"/>
      <c r="P242" s="180"/>
      <c r="Q242" s="180">
        <v>12000000</v>
      </c>
      <c r="R242" s="181">
        <f t="shared" si="78"/>
        <v>9.1376356367789828</v>
      </c>
      <c r="S242" s="181">
        <v>100</v>
      </c>
      <c r="T242" s="180">
        <f t="shared" si="79"/>
        <v>0</v>
      </c>
      <c r="U242" s="180">
        <f t="shared" si="80"/>
        <v>0</v>
      </c>
      <c r="V242" s="182">
        <f t="shared" si="74"/>
        <v>100</v>
      </c>
      <c r="W242" s="180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180"/>
      <c r="AI242" s="180">
        <v>0</v>
      </c>
      <c r="AJ242" s="181">
        <f t="shared" si="81"/>
        <v>0</v>
      </c>
      <c r="AK242" s="246">
        <f t="shared" si="82"/>
        <v>12000000</v>
      </c>
      <c r="AL242" s="181">
        <f t="shared" si="71"/>
        <v>100</v>
      </c>
      <c r="AM242" s="243"/>
    </row>
    <row r="243" spans="1:39" s="226" customFormat="1" ht="27.75" customHeight="1" x14ac:dyDescent="0.25">
      <c r="A243" s="289" t="s">
        <v>38</v>
      </c>
      <c r="B243" s="607" t="s">
        <v>145</v>
      </c>
      <c r="C243" s="607"/>
      <c r="D243" s="607"/>
      <c r="E243" s="607"/>
      <c r="F243" s="607"/>
      <c r="G243" s="607"/>
      <c r="H243" s="607"/>
      <c r="I243" s="608"/>
      <c r="J243" s="368" t="s">
        <v>473</v>
      </c>
      <c r="K243" s="291"/>
      <c r="L243" s="607" t="s">
        <v>39</v>
      </c>
      <c r="M243" s="607"/>
      <c r="N243" s="608"/>
      <c r="O243" s="263" t="e">
        <f>SUM(O244:O675)</f>
        <v>#REF!</v>
      </c>
      <c r="P243" s="263" t="e">
        <f>SUM(P244:P675)</f>
        <v>#REF!</v>
      </c>
      <c r="Q243" s="263">
        <f>SUM(Q244+Q259+Q270+Q282+Q292+Q304+Q312+Q320+Q327+Q334+Q345+Q351+Q359+Q372+Q382+Q395+Q403+Q417+Q420+Q431+Q442+Q452+Q461+Q471+Q478+Q485+Q490+Q499+Q506+Q518+Q525+Q537+Q548+Q557+Q567+Q580+Q589+Q603+Q613+Q622+Q632+Q639+Q654+Q668)</f>
        <v>11927844735</v>
      </c>
      <c r="R243" s="222">
        <f>Q243/Q$33*100</f>
        <v>37.525168166976002</v>
      </c>
      <c r="S243" s="222">
        <f>S244</f>
        <v>100</v>
      </c>
      <c r="T243" s="263">
        <f>AJ243</f>
        <v>8.3609553457186259</v>
      </c>
      <c r="U243" s="308">
        <f t="shared" si="77"/>
        <v>3.1374625538466843</v>
      </c>
      <c r="V243" s="292">
        <f t="shared" si="74"/>
        <v>91.639044654281378</v>
      </c>
      <c r="W243" s="263">
        <f t="shared" ref="W243:AH243" si="83">SUM(W244:W675)</f>
        <v>0</v>
      </c>
      <c r="X243" s="263" t="e">
        <f t="shared" si="83"/>
        <v>#REF!</v>
      </c>
      <c r="Y243" s="263" t="e">
        <f t="shared" si="83"/>
        <v>#REF!</v>
      </c>
      <c r="Z243" s="263" t="e">
        <f t="shared" si="83"/>
        <v>#REF!</v>
      </c>
      <c r="AA243" s="263" t="e">
        <f t="shared" si="83"/>
        <v>#REF!</v>
      </c>
      <c r="AB243" s="263">
        <f t="shared" si="83"/>
        <v>4302660235</v>
      </c>
      <c r="AC243" s="263" t="e">
        <f t="shared" si="83"/>
        <v>#REF!</v>
      </c>
      <c r="AD243" s="263" t="e">
        <f t="shared" si="83"/>
        <v>#REF!</v>
      </c>
      <c r="AE243" s="263" t="e">
        <f t="shared" si="83"/>
        <v>#REF!</v>
      </c>
      <c r="AF243" s="263" t="e">
        <f t="shared" si="83"/>
        <v>#REF!</v>
      </c>
      <c r="AG243" s="263" t="e">
        <f t="shared" si="83"/>
        <v>#REF!</v>
      </c>
      <c r="AH243" s="263" t="e">
        <f t="shared" si="83"/>
        <v>#REF!</v>
      </c>
      <c r="AI243" s="263">
        <f>SUM(AI244+AI259+AI270+AI282+AI292+AI304+AI312+AI320+AI327+AI334+AI345+AI351+AI359+AI372+AI382+AI395+AI403+AI417+AI420+AI431+AI442+AI452+AI461+AI471+AI478+AI485+AI490+AI499+AI506+AI518+AI525+AI537+AI548+AI557+AI567+AI580+AI589+AI603+AI613+AI622+AI632+AI654+AI668)</f>
        <v>997281772</v>
      </c>
      <c r="AJ243" s="222">
        <f>AI243/Q243*100</f>
        <v>8.3609553457186259</v>
      </c>
      <c r="AK243" s="265">
        <f>SUM(Q243-AI243)</f>
        <v>10930562963</v>
      </c>
      <c r="AL243" s="222">
        <f t="shared" si="71"/>
        <v>91.639044654281378</v>
      </c>
      <c r="AM243" s="289"/>
    </row>
    <row r="244" spans="1:39" s="297" customFormat="1" ht="24.75" customHeight="1" x14ac:dyDescent="0.25">
      <c r="A244" s="227">
        <f>A236+1</f>
        <v>36</v>
      </c>
      <c r="B244" s="615" t="s">
        <v>146</v>
      </c>
      <c r="C244" s="615"/>
      <c r="D244" s="615"/>
      <c r="E244" s="615"/>
      <c r="F244" s="615"/>
      <c r="G244" s="615"/>
      <c r="H244" s="615"/>
      <c r="I244" s="614"/>
      <c r="J244" s="304" t="s">
        <v>479</v>
      </c>
      <c r="K244" s="230"/>
      <c r="L244" s="294"/>
      <c r="M244" s="609" t="s">
        <v>40</v>
      </c>
      <c r="N244" s="609"/>
      <c r="O244" s="309">
        <v>628725000</v>
      </c>
      <c r="P244" s="231">
        <f>O244</f>
        <v>628725000</v>
      </c>
      <c r="Q244" s="231">
        <f>SUM(Q245:Q258)</f>
        <v>462073720</v>
      </c>
      <c r="R244" s="233">
        <f>Q244/Q$243*100</f>
        <v>3.8739079042849394</v>
      </c>
      <c r="S244" s="233">
        <v>100</v>
      </c>
      <c r="T244" s="231">
        <f t="shared" si="69"/>
        <v>0</v>
      </c>
      <c r="U244" s="231">
        <f t="shared" si="77"/>
        <v>0</v>
      </c>
      <c r="V244" s="296">
        <f t="shared" si="74"/>
        <v>100</v>
      </c>
      <c r="W244" s="231"/>
      <c r="X244" s="231" t="e">
        <f>#REF!</f>
        <v>#REF!</v>
      </c>
      <c r="Y244" s="231" t="e">
        <f>#REF!</f>
        <v>#REF!</v>
      </c>
      <c r="Z244" s="231" t="e">
        <f>#REF!</f>
        <v>#REF!</v>
      </c>
      <c r="AA244" s="231" t="e">
        <f>#REF!</f>
        <v>#REF!</v>
      </c>
      <c r="AB244" s="231">
        <v>391775000</v>
      </c>
      <c r="AC244" s="231" t="e">
        <f>#REF!</f>
        <v>#REF!</v>
      </c>
      <c r="AD244" s="231" t="e">
        <f>#REF!</f>
        <v>#REF!</v>
      </c>
      <c r="AE244" s="231" t="e">
        <f>#REF!</f>
        <v>#REF!</v>
      </c>
      <c r="AF244" s="231" t="e">
        <f>[1]April!N54</f>
        <v>#REF!</v>
      </c>
      <c r="AG244" s="231" t="e">
        <f>[2]april!N54</f>
        <v>#REF!</v>
      </c>
      <c r="AH244" s="231">
        <f>'[3]DES SKPD'!$N54</f>
        <v>508172500</v>
      </c>
      <c r="AI244" s="231">
        <f>SUM(AI245:AI258)</f>
        <v>0</v>
      </c>
      <c r="AJ244" s="233">
        <f t="shared" si="70"/>
        <v>0</v>
      </c>
      <c r="AK244" s="234">
        <f t="shared" ref="AK244:AK307" si="84">Q244-AI244</f>
        <v>462073720</v>
      </c>
      <c r="AL244" s="233">
        <f t="shared" si="71"/>
        <v>100</v>
      </c>
      <c r="AM244" s="227"/>
    </row>
    <row r="245" spans="1:39" ht="28.5" customHeight="1" x14ac:dyDescent="0.25">
      <c r="A245" s="243"/>
      <c r="B245" s="362"/>
      <c r="C245" s="362"/>
      <c r="D245" s="362"/>
      <c r="E245" s="362"/>
      <c r="F245" s="362"/>
      <c r="G245" s="362"/>
      <c r="H245" s="362"/>
      <c r="I245" s="363"/>
      <c r="J245" s="362" t="s">
        <v>259</v>
      </c>
      <c r="K245" s="245"/>
      <c r="L245" s="257"/>
      <c r="M245" s="591" t="s">
        <v>260</v>
      </c>
      <c r="N245" s="592"/>
      <c r="O245" s="179"/>
      <c r="P245" s="180"/>
      <c r="Q245" s="180">
        <v>3080000</v>
      </c>
      <c r="R245" s="181">
        <f t="shared" ref="R245:R256" si="85">Q245/Q$244*100</f>
        <v>0.66656030557202006</v>
      </c>
      <c r="S245" s="181">
        <v>100</v>
      </c>
      <c r="T245" s="180">
        <f>AJ245</f>
        <v>0</v>
      </c>
      <c r="U245" s="180">
        <f t="shared" si="77"/>
        <v>0</v>
      </c>
      <c r="V245" s="182">
        <f t="shared" si="74"/>
        <v>100</v>
      </c>
      <c r="W245" s="180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180"/>
      <c r="AI245" s="180">
        <v>0</v>
      </c>
      <c r="AJ245" s="181">
        <f t="shared" si="70"/>
        <v>0</v>
      </c>
      <c r="AK245" s="246">
        <f t="shared" si="84"/>
        <v>3080000</v>
      </c>
      <c r="AL245" s="181">
        <f t="shared" si="71"/>
        <v>100</v>
      </c>
      <c r="AM245" s="243"/>
    </row>
    <row r="246" spans="1:39" ht="24.75" customHeight="1" x14ac:dyDescent="0.25">
      <c r="A246" s="243"/>
      <c r="B246" s="362"/>
      <c r="C246" s="362"/>
      <c r="D246" s="362"/>
      <c r="E246" s="362"/>
      <c r="F246" s="362"/>
      <c r="G246" s="362"/>
      <c r="H246" s="362"/>
      <c r="I246" s="363"/>
      <c r="J246" s="362" t="s">
        <v>326</v>
      </c>
      <c r="K246" s="245"/>
      <c r="L246" s="257"/>
      <c r="M246" s="591" t="s">
        <v>327</v>
      </c>
      <c r="N246" s="592"/>
      <c r="O246" s="179"/>
      <c r="P246" s="180"/>
      <c r="Q246" s="180">
        <v>128800000</v>
      </c>
      <c r="R246" s="181">
        <f t="shared" si="85"/>
        <v>27.874340051193563</v>
      </c>
      <c r="S246" s="181">
        <v>100</v>
      </c>
      <c r="T246" s="180">
        <f t="shared" si="69"/>
        <v>0</v>
      </c>
      <c r="U246" s="180">
        <f t="shared" si="77"/>
        <v>0</v>
      </c>
      <c r="V246" s="182">
        <f t="shared" si="74"/>
        <v>100</v>
      </c>
      <c r="W246" s="180"/>
      <c r="X246" s="180"/>
      <c r="Y246" s="180"/>
      <c r="Z246" s="180"/>
      <c r="AA246" s="180"/>
      <c r="AB246" s="180"/>
      <c r="AC246" s="180"/>
      <c r="AD246" s="180"/>
      <c r="AE246" s="180"/>
      <c r="AF246" s="180"/>
      <c r="AG246" s="180"/>
      <c r="AH246" s="180"/>
      <c r="AI246" s="180">
        <v>0</v>
      </c>
      <c r="AJ246" s="181">
        <f t="shared" si="70"/>
        <v>0</v>
      </c>
      <c r="AK246" s="246">
        <f t="shared" si="84"/>
        <v>128800000</v>
      </c>
      <c r="AL246" s="181">
        <f t="shared" si="71"/>
        <v>100</v>
      </c>
      <c r="AM246" s="243"/>
    </row>
    <row r="247" spans="1:39" ht="24.75" customHeight="1" x14ac:dyDescent="0.25">
      <c r="A247" s="243"/>
      <c r="B247" s="362"/>
      <c r="C247" s="362"/>
      <c r="D247" s="362"/>
      <c r="E247" s="362"/>
      <c r="F247" s="362"/>
      <c r="G247" s="362"/>
      <c r="H247" s="362"/>
      <c r="I247" s="363"/>
      <c r="J247" s="362" t="s">
        <v>323</v>
      </c>
      <c r="K247" s="245"/>
      <c r="L247" s="257"/>
      <c r="M247" s="591" t="s">
        <v>324</v>
      </c>
      <c r="N247" s="592"/>
      <c r="O247" s="179"/>
      <c r="P247" s="180"/>
      <c r="Q247" s="180">
        <v>3000000</v>
      </c>
      <c r="R247" s="181">
        <f t="shared" si="85"/>
        <v>0.64924705088183765</v>
      </c>
      <c r="S247" s="181">
        <v>100</v>
      </c>
      <c r="T247" s="180">
        <f t="shared" si="69"/>
        <v>0</v>
      </c>
      <c r="U247" s="180">
        <f t="shared" si="77"/>
        <v>0</v>
      </c>
      <c r="V247" s="182">
        <f t="shared" si="74"/>
        <v>100</v>
      </c>
      <c r="W247" s="180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>
        <v>0</v>
      </c>
      <c r="AJ247" s="181">
        <f t="shared" si="70"/>
        <v>0</v>
      </c>
      <c r="AK247" s="246">
        <f t="shared" si="84"/>
        <v>3000000</v>
      </c>
      <c r="AL247" s="181">
        <f t="shared" si="71"/>
        <v>100</v>
      </c>
      <c r="AM247" s="243"/>
    </row>
    <row r="248" spans="1:39" ht="24.75" customHeight="1" x14ac:dyDescent="0.25">
      <c r="A248" s="243"/>
      <c r="B248" s="362"/>
      <c r="C248" s="362"/>
      <c r="D248" s="362"/>
      <c r="E248" s="362"/>
      <c r="F248" s="362"/>
      <c r="G248" s="362"/>
      <c r="H248" s="362"/>
      <c r="I248" s="363"/>
      <c r="J248" s="362" t="s">
        <v>269</v>
      </c>
      <c r="K248" s="245"/>
      <c r="L248" s="257"/>
      <c r="M248" s="591" t="s">
        <v>270</v>
      </c>
      <c r="N248" s="592"/>
      <c r="O248" s="179"/>
      <c r="P248" s="180"/>
      <c r="Q248" s="180">
        <v>52000000</v>
      </c>
      <c r="R248" s="181">
        <f t="shared" si="85"/>
        <v>11.253615548618519</v>
      </c>
      <c r="S248" s="181">
        <v>100</v>
      </c>
      <c r="T248" s="180">
        <f t="shared" si="69"/>
        <v>0</v>
      </c>
      <c r="U248" s="180">
        <f t="shared" si="77"/>
        <v>0</v>
      </c>
      <c r="V248" s="182">
        <f t="shared" si="74"/>
        <v>100</v>
      </c>
      <c r="W248" s="180"/>
      <c r="X248" s="180"/>
      <c r="Y248" s="180"/>
      <c r="Z248" s="180"/>
      <c r="AA248" s="180"/>
      <c r="AB248" s="180"/>
      <c r="AC248" s="180"/>
      <c r="AD248" s="180"/>
      <c r="AE248" s="180"/>
      <c r="AF248" s="180"/>
      <c r="AG248" s="180"/>
      <c r="AH248" s="180"/>
      <c r="AI248" s="180">
        <v>0</v>
      </c>
      <c r="AJ248" s="181">
        <f t="shared" si="70"/>
        <v>0</v>
      </c>
      <c r="AK248" s="246">
        <f t="shared" si="84"/>
        <v>52000000</v>
      </c>
      <c r="AL248" s="181">
        <f t="shared" si="71"/>
        <v>100</v>
      </c>
      <c r="AM248" s="243"/>
    </row>
    <row r="249" spans="1:39" ht="24.75" customHeight="1" x14ac:dyDescent="0.25">
      <c r="A249" s="243"/>
      <c r="B249" s="362"/>
      <c r="C249" s="362"/>
      <c r="D249" s="362"/>
      <c r="E249" s="362"/>
      <c r="F249" s="362"/>
      <c r="G249" s="362"/>
      <c r="H249" s="362"/>
      <c r="I249" s="363"/>
      <c r="J249" s="362" t="s">
        <v>315</v>
      </c>
      <c r="K249" s="245"/>
      <c r="L249" s="257"/>
      <c r="M249" s="591" t="s">
        <v>271</v>
      </c>
      <c r="N249" s="592"/>
      <c r="O249" s="179"/>
      <c r="P249" s="180"/>
      <c r="Q249" s="180">
        <v>4000000</v>
      </c>
      <c r="R249" s="181">
        <f t="shared" si="85"/>
        <v>0.8656627345091169</v>
      </c>
      <c r="S249" s="181">
        <v>100</v>
      </c>
      <c r="T249" s="180">
        <f t="shared" si="69"/>
        <v>0</v>
      </c>
      <c r="U249" s="180">
        <f t="shared" si="77"/>
        <v>0</v>
      </c>
      <c r="V249" s="182">
        <f t="shared" si="74"/>
        <v>100</v>
      </c>
      <c r="W249" s="180"/>
      <c r="X249" s="180"/>
      <c r="Y249" s="180"/>
      <c r="Z249" s="180"/>
      <c r="AA249" s="180"/>
      <c r="AB249" s="180"/>
      <c r="AC249" s="180"/>
      <c r="AD249" s="180"/>
      <c r="AE249" s="180"/>
      <c r="AF249" s="180"/>
      <c r="AG249" s="180"/>
      <c r="AH249" s="180"/>
      <c r="AI249" s="180">
        <v>0</v>
      </c>
      <c r="AJ249" s="181">
        <f t="shared" si="70"/>
        <v>0</v>
      </c>
      <c r="AK249" s="246">
        <f t="shared" si="84"/>
        <v>4000000</v>
      </c>
      <c r="AL249" s="181">
        <f t="shared" si="71"/>
        <v>100</v>
      </c>
      <c r="AM249" s="243"/>
    </row>
    <row r="250" spans="1:39" ht="24.75" customHeight="1" x14ac:dyDescent="0.25">
      <c r="A250" s="243"/>
      <c r="B250" s="362"/>
      <c r="C250" s="362"/>
      <c r="D250" s="362"/>
      <c r="E250" s="362"/>
      <c r="F250" s="362"/>
      <c r="G250" s="362"/>
      <c r="H250" s="362"/>
      <c r="I250" s="363"/>
      <c r="J250" s="362" t="s">
        <v>328</v>
      </c>
      <c r="K250" s="245"/>
      <c r="L250" s="257"/>
      <c r="M250" s="591" t="s">
        <v>329</v>
      </c>
      <c r="N250" s="592"/>
      <c r="O250" s="179"/>
      <c r="P250" s="180"/>
      <c r="Q250" s="180">
        <v>20000000</v>
      </c>
      <c r="R250" s="181">
        <f t="shared" si="85"/>
        <v>4.3283136725455842</v>
      </c>
      <c r="S250" s="181">
        <v>100</v>
      </c>
      <c r="T250" s="180">
        <f t="shared" si="69"/>
        <v>0</v>
      </c>
      <c r="U250" s="180">
        <f t="shared" si="77"/>
        <v>0</v>
      </c>
      <c r="V250" s="182">
        <f t="shared" si="74"/>
        <v>100</v>
      </c>
      <c r="W250" s="180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180"/>
      <c r="AI250" s="180">
        <v>0</v>
      </c>
      <c r="AJ250" s="181">
        <f t="shared" si="70"/>
        <v>0</v>
      </c>
      <c r="AK250" s="246">
        <f t="shared" si="84"/>
        <v>20000000</v>
      </c>
      <c r="AL250" s="181">
        <f t="shared" si="71"/>
        <v>100</v>
      </c>
      <c r="AM250" s="243"/>
    </row>
    <row r="251" spans="1:39" ht="31.5" customHeight="1" x14ac:dyDescent="0.25">
      <c r="A251" s="243"/>
      <c r="B251" s="362"/>
      <c r="C251" s="362"/>
      <c r="D251" s="362"/>
      <c r="E251" s="362"/>
      <c r="F251" s="362"/>
      <c r="G251" s="362"/>
      <c r="H251" s="362"/>
      <c r="I251" s="363"/>
      <c r="J251" s="362" t="s">
        <v>318</v>
      </c>
      <c r="K251" s="245"/>
      <c r="L251" s="257"/>
      <c r="M251" s="591" t="s">
        <v>319</v>
      </c>
      <c r="N251" s="592"/>
      <c r="O251" s="179"/>
      <c r="P251" s="180"/>
      <c r="Q251" s="180">
        <v>61500000</v>
      </c>
      <c r="R251" s="181">
        <f t="shared" si="85"/>
        <v>13.30956454307767</v>
      </c>
      <c r="S251" s="181">
        <v>100</v>
      </c>
      <c r="T251" s="180">
        <f t="shared" si="69"/>
        <v>0</v>
      </c>
      <c r="U251" s="180">
        <f t="shared" si="77"/>
        <v>0</v>
      </c>
      <c r="V251" s="182">
        <f t="shared" si="74"/>
        <v>100</v>
      </c>
      <c r="W251" s="180"/>
      <c r="X251" s="180"/>
      <c r="Y251" s="180"/>
      <c r="Z251" s="180"/>
      <c r="AA251" s="180"/>
      <c r="AB251" s="180"/>
      <c r="AC251" s="180"/>
      <c r="AD251" s="180"/>
      <c r="AE251" s="180"/>
      <c r="AF251" s="180"/>
      <c r="AG251" s="180"/>
      <c r="AH251" s="180"/>
      <c r="AI251" s="180">
        <v>0</v>
      </c>
      <c r="AJ251" s="181">
        <f t="shared" si="70"/>
        <v>0</v>
      </c>
      <c r="AK251" s="246">
        <f t="shared" si="84"/>
        <v>61500000</v>
      </c>
      <c r="AL251" s="181">
        <f t="shared" si="71"/>
        <v>100</v>
      </c>
      <c r="AM251" s="243"/>
    </row>
    <row r="252" spans="1:39" ht="24.75" customHeight="1" x14ac:dyDescent="0.25">
      <c r="A252" s="243"/>
      <c r="B252" s="362"/>
      <c r="C252" s="362"/>
      <c r="D252" s="362"/>
      <c r="E252" s="362"/>
      <c r="F252" s="362"/>
      <c r="G252" s="362"/>
      <c r="H252" s="362"/>
      <c r="I252" s="363"/>
      <c r="J252" s="362" t="s">
        <v>280</v>
      </c>
      <c r="K252" s="245"/>
      <c r="L252" s="257"/>
      <c r="M252" s="591" t="s">
        <v>281</v>
      </c>
      <c r="N252" s="592"/>
      <c r="O252" s="179"/>
      <c r="P252" s="180"/>
      <c r="Q252" s="180">
        <v>15000000</v>
      </c>
      <c r="R252" s="181">
        <f t="shared" si="85"/>
        <v>3.2462352544091884</v>
      </c>
      <c r="S252" s="181">
        <v>100</v>
      </c>
      <c r="T252" s="180">
        <f t="shared" si="69"/>
        <v>0</v>
      </c>
      <c r="U252" s="180">
        <f t="shared" si="77"/>
        <v>0</v>
      </c>
      <c r="V252" s="182">
        <f t="shared" si="74"/>
        <v>100</v>
      </c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180"/>
      <c r="AI252" s="180">
        <v>0</v>
      </c>
      <c r="AJ252" s="181">
        <f t="shared" si="70"/>
        <v>0</v>
      </c>
      <c r="AK252" s="246">
        <f t="shared" si="84"/>
        <v>15000000</v>
      </c>
      <c r="AL252" s="181">
        <f t="shared" si="71"/>
        <v>100</v>
      </c>
      <c r="AM252" s="243"/>
    </row>
    <row r="253" spans="1:39" ht="24.75" customHeight="1" x14ac:dyDescent="0.25">
      <c r="A253" s="243"/>
      <c r="B253" s="362"/>
      <c r="C253" s="362"/>
      <c r="D253" s="362"/>
      <c r="E253" s="362"/>
      <c r="F253" s="362"/>
      <c r="G253" s="362"/>
      <c r="H253" s="362"/>
      <c r="I253" s="363"/>
      <c r="J253" s="362" t="s">
        <v>284</v>
      </c>
      <c r="K253" s="245"/>
      <c r="L253" s="257"/>
      <c r="M253" s="591" t="s">
        <v>285</v>
      </c>
      <c r="N253" s="592"/>
      <c r="O253" s="179"/>
      <c r="P253" s="180"/>
      <c r="Q253" s="180">
        <v>6600000</v>
      </c>
      <c r="R253" s="181">
        <f t="shared" si="85"/>
        <v>1.4283435119400427</v>
      </c>
      <c r="S253" s="181">
        <v>100</v>
      </c>
      <c r="T253" s="180">
        <f t="shared" si="69"/>
        <v>0</v>
      </c>
      <c r="U253" s="180">
        <f t="shared" si="77"/>
        <v>0</v>
      </c>
      <c r="V253" s="182">
        <f t="shared" si="74"/>
        <v>100</v>
      </c>
      <c r="W253" s="180"/>
      <c r="X253" s="180"/>
      <c r="Y253" s="180"/>
      <c r="Z253" s="180"/>
      <c r="AA253" s="180"/>
      <c r="AB253" s="180"/>
      <c r="AC253" s="180"/>
      <c r="AD253" s="180"/>
      <c r="AE253" s="180"/>
      <c r="AF253" s="180"/>
      <c r="AG253" s="180"/>
      <c r="AH253" s="180"/>
      <c r="AI253" s="180">
        <v>0</v>
      </c>
      <c r="AJ253" s="181">
        <f t="shared" si="70"/>
        <v>0</v>
      </c>
      <c r="AK253" s="246">
        <f t="shared" si="84"/>
        <v>6600000</v>
      </c>
      <c r="AL253" s="181">
        <f t="shared" si="71"/>
        <v>100</v>
      </c>
      <c r="AM253" s="243"/>
    </row>
    <row r="254" spans="1:39" ht="24.75" customHeight="1" x14ac:dyDescent="0.25">
      <c r="A254" s="243"/>
      <c r="B254" s="362"/>
      <c r="C254" s="362"/>
      <c r="D254" s="362"/>
      <c r="E254" s="362"/>
      <c r="F254" s="362"/>
      <c r="G254" s="362"/>
      <c r="H254" s="362"/>
      <c r="I254" s="363"/>
      <c r="J254" s="362" t="s">
        <v>282</v>
      </c>
      <c r="K254" s="245"/>
      <c r="L254" s="257"/>
      <c r="M254" s="591" t="s">
        <v>283</v>
      </c>
      <c r="N254" s="592"/>
      <c r="O254" s="179"/>
      <c r="P254" s="180"/>
      <c r="Q254" s="180">
        <v>33250000</v>
      </c>
      <c r="R254" s="181">
        <f t="shared" si="85"/>
        <v>7.1958214806070337</v>
      </c>
      <c r="S254" s="181">
        <v>100</v>
      </c>
      <c r="T254" s="180">
        <f t="shared" si="69"/>
        <v>0</v>
      </c>
      <c r="U254" s="180">
        <f t="shared" si="77"/>
        <v>0</v>
      </c>
      <c r="V254" s="182">
        <f t="shared" si="74"/>
        <v>100</v>
      </c>
      <c r="W254" s="180"/>
      <c r="X254" s="180"/>
      <c r="Y254" s="180"/>
      <c r="Z254" s="180"/>
      <c r="AA254" s="180"/>
      <c r="AB254" s="180"/>
      <c r="AC254" s="180"/>
      <c r="AD254" s="180"/>
      <c r="AE254" s="180"/>
      <c r="AF254" s="180"/>
      <c r="AG254" s="180"/>
      <c r="AH254" s="180"/>
      <c r="AI254" s="180">
        <v>0</v>
      </c>
      <c r="AJ254" s="181">
        <f t="shared" si="70"/>
        <v>0</v>
      </c>
      <c r="AK254" s="246">
        <f t="shared" si="84"/>
        <v>33250000</v>
      </c>
      <c r="AL254" s="181">
        <f t="shared" si="71"/>
        <v>100</v>
      </c>
      <c r="AM254" s="243"/>
    </row>
    <row r="255" spans="1:39" ht="24.75" customHeight="1" x14ac:dyDescent="0.25">
      <c r="A255" s="243"/>
      <c r="B255" s="362"/>
      <c r="C255" s="362"/>
      <c r="D255" s="362"/>
      <c r="E255" s="362"/>
      <c r="F255" s="362"/>
      <c r="G255" s="362"/>
      <c r="H255" s="362"/>
      <c r="I255" s="363"/>
      <c r="J255" s="362" t="s">
        <v>306</v>
      </c>
      <c r="K255" s="245"/>
      <c r="L255" s="257"/>
      <c r="M255" s="591" t="s">
        <v>325</v>
      </c>
      <c r="N255" s="592"/>
      <c r="O255" s="179"/>
      <c r="P255" s="180"/>
      <c r="Q255" s="180">
        <v>45000000</v>
      </c>
      <c r="R255" s="181">
        <f t="shared" si="85"/>
        <v>9.7387057632275642</v>
      </c>
      <c r="S255" s="181">
        <v>100</v>
      </c>
      <c r="T255" s="180">
        <f t="shared" si="69"/>
        <v>0</v>
      </c>
      <c r="U255" s="180">
        <f t="shared" si="77"/>
        <v>0</v>
      </c>
      <c r="V255" s="182">
        <f t="shared" si="74"/>
        <v>100</v>
      </c>
      <c r="W255" s="180"/>
      <c r="X255" s="180"/>
      <c r="Y255" s="180"/>
      <c r="Z255" s="180"/>
      <c r="AA255" s="180"/>
      <c r="AB255" s="180"/>
      <c r="AC255" s="180"/>
      <c r="AD255" s="180"/>
      <c r="AE255" s="180"/>
      <c r="AF255" s="180"/>
      <c r="AG255" s="180"/>
      <c r="AH255" s="180"/>
      <c r="AI255" s="180">
        <v>0</v>
      </c>
      <c r="AJ255" s="181">
        <f t="shared" si="70"/>
        <v>0</v>
      </c>
      <c r="AK255" s="246">
        <f t="shared" si="84"/>
        <v>45000000</v>
      </c>
      <c r="AL255" s="181">
        <f t="shared" si="71"/>
        <v>100</v>
      </c>
      <c r="AM255" s="243"/>
    </row>
    <row r="256" spans="1:39" ht="24.75" customHeight="1" x14ac:dyDescent="0.25">
      <c r="A256" s="243"/>
      <c r="B256" s="362"/>
      <c r="C256" s="362"/>
      <c r="D256" s="362"/>
      <c r="E256" s="362"/>
      <c r="F256" s="362"/>
      <c r="G256" s="362"/>
      <c r="H256" s="362"/>
      <c r="I256" s="363"/>
      <c r="J256" s="362" t="s">
        <v>379</v>
      </c>
      <c r="K256" s="245"/>
      <c r="L256" s="257"/>
      <c r="M256" s="591" t="s">
        <v>601</v>
      </c>
      <c r="N256" s="592"/>
      <c r="O256" s="179"/>
      <c r="P256" s="180"/>
      <c r="Q256" s="180">
        <v>31843720</v>
      </c>
      <c r="R256" s="181">
        <f t="shared" si="85"/>
        <v>6.8914804330356638</v>
      </c>
      <c r="S256" s="181">
        <v>100</v>
      </c>
      <c r="T256" s="180">
        <f t="shared" si="69"/>
        <v>0</v>
      </c>
      <c r="U256" s="180">
        <f t="shared" si="77"/>
        <v>0</v>
      </c>
      <c r="V256" s="182">
        <f t="shared" si="74"/>
        <v>100</v>
      </c>
      <c r="W256" s="180"/>
      <c r="X256" s="180"/>
      <c r="Y256" s="180"/>
      <c r="Z256" s="180"/>
      <c r="AA256" s="180"/>
      <c r="AB256" s="180"/>
      <c r="AC256" s="180"/>
      <c r="AD256" s="180"/>
      <c r="AE256" s="180"/>
      <c r="AF256" s="180"/>
      <c r="AG256" s="180"/>
      <c r="AH256" s="180"/>
      <c r="AI256" s="180">
        <v>0</v>
      </c>
      <c r="AJ256" s="181">
        <f t="shared" si="70"/>
        <v>0</v>
      </c>
      <c r="AK256" s="246">
        <f t="shared" si="84"/>
        <v>31843720</v>
      </c>
      <c r="AL256" s="181">
        <f t="shared" si="71"/>
        <v>100</v>
      </c>
      <c r="AM256" s="243"/>
    </row>
    <row r="257" spans="1:39" ht="24.75" customHeight="1" x14ac:dyDescent="0.25">
      <c r="A257" s="243"/>
      <c r="B257" s="362"/>
      <c r="C257" s="362"/>
      <c r="D257" s="362"/>
      <c r="E257" s="362"/>
      <c r="F257" s="362"/>
      <c r="G257" s="362"/>
      <c r="H257" s="362"/>
      <c r="I257" s="363"/>
      <c r="J257" s="362" t="s">
        <v>380</v>
      </c>
      <c r="K257" s="245"/>
      <c r="L257" s="257"/>
      <c r="M257" s="591" t="s">
        <v>321</v>
      </c>
      <c r="N257" s="592"/>
      <c r="O257" s="179"/>
      <c r="P257" s="180"/>
      <c r="Q257" s="180">
        <v>40000000</v>
      </c>
      <c r="R257" s="181">
        <f>Q257/Q$244*100</f>
        <v>8.6566273450911684</v>
      </c>
      <c r="S257" s="181">
        <v>100</v>
      </c>
      <c r="T257" s="180">
        <f t="shared" si="69"/>
        <v>0</v>
      </c>
      <c r="U257" s="180">
        <f t="shared" si="77"/>
        <v>0</v>
      </c>
      <c r="V257" s="182">
        <f t="shared" si="74"/>
        <v>100</v>
      </c>
      <c r="W257" s="180"/>
      <c r="X257" s="180"/>
      <c r="Y257" s="180"/>
      <c r="Z257" s="180"/>
      <c r="AA257" s="180"/>
      <c r="AB257" s="180"/>
      <c r="AC257" s="180"/>
      <c r="AD257" s="180"/>
      <c r="AE257" s="180"/>
      <c r="AF257" s="180"/>
      <c r="AG257" s="180"/>
      <c r="AH257" s="180"/>
      <c r="AI257" s="180">
        <v>0</v>
      </c>
      <c r="AJ257" s="181">
        <f t="shared" si="70"/>
        <v>0</v>
      </c>
      <c r="AK257" s="246">
        <f t="shared" si="84"/>
        <v>40000000</v>
      </c>
      <c r="AL257" s="181">
        <f t="shared" si="71"/>
        <v>100</v>
      </c>
      <c r="AM257" s="243"/>
    </row>
    <row r="258" spans="1:39" ht="24.75" customHeight="1" x14ac:dyDescent="0.25">
      <c r="A258" s="243"/>
      <c r="B258" s="362"/>
      <c r="C258" s="362"/>
      <c r="D258" s="362"/>
      <c r="E258" s="362"/>
      <c r="F258" s="362"/>
      <c r="G258" s="362"/>
      <c r="H258" s="362"/>
      <c r="I258" s="363"/>
      <c r="J258" s="362" t="s">
        <v>413</v>
      </c>
      <c r="K258" s="245"/>
      <c r="L258" s="257"/>
      <c r="M258" s="591" t="s">
        <v>414</v>
      </c>
      <c r="N258" s="592"/>
      <c r="O258" s="179"/>
      <c r="P258" s="180"/>
      <c r="Q258" s="180">
        <v>18000000</v>
      </c>
      <c r="R258" s="181">
        <f>Q258/Q$244*100</f>
        <v>3.8954823052910257</v>
      </c>
      <c r="S258" s="181">
        <v>100</v>
      </c>
      <c r="T258" s="180">
        <f t="shared" si="69"/>
        <v>0</v>
      </c>
      <c r="U258" s="180">
        <f t="shared" si="77"/>
        <v>0</v>
      </c>
      <c r="V258" s="182">
        <f t="shared" si="74"/>
        <v>100</v>
      </c>
      <c r="W258" s="180"/>
      <c r="X258" s="180"/>
      <c r="Y258" s="180"/>
      <c r="Z258" s="180"/>
      <c r="AA258" s="180"/>
      <c r="AB258" s="180"/>
      <c r="AC258" s="180"/>
      <c r="AD258" s="180"/>
      <c r="AE258" s="180"/>
      <c r="AF258" s="180"/>
      <c r="AG258" s="180"/>
      <c r="AH258" s="180"/>
      <c r="AI258" s="180">
        <v>0</v>
      </c>
      <c r="AJ258" s="181">
        <f t="shared" si="70"/>
        <v>0</v>
      </c>
      <c r="AK258" s="246">
        <f t="shared" si="84"/>
        <v>18000000</v>
      </c>
      <c r="AL258" s="181">
        <f t="shared" si="71"/>
        <v>100</v>
      </c>
      <c r="AM258" s="243"/>
    </row>
    <row r="259" spans="1:39" s="297" customFormat="1" ht="30.75" customHeight="1" x14ac:dyDescent="0.25">
      <c r="A259" s="227">
        <f>SUM(A244+1)</f>
        <v>37</v>
      </c>
      <c r="B259" s="367"/>
      <c r="C259" s="367"/>
      <c r="D259" s="367"/>
      <c r="E259" s="367"/>
      <c r="F259" s="367"/>
      <c r="G259" s="367"/>
      <c r="H259" s="367"/>
      <c r="I259" s="366"/>
      <c r="J259" s="304" t="s">
        <v>480</v>
      </c>
      <c r="K259" s="230"/>
      <c r="L259" s="294"/>
      <c r="M259" s="610" t="s">
        <v>338</v>
      </c>
      <c r="N259" s="612"/>
      <c r="O259" s="309"/>
      <c r="P259" s="231"/>
      <c r="Q259" s="231">
        <f>SUM(Q260:Q269)</f>
        <v>64057069</v>
      </c>
      <c r="R259" s="233">
        <f>Q259/Q$243*100</f>
        <v>0.53703808544754672</v>
      </c>
      <c r="S259" s="233">
        <v>100</v>
      </c>
      <c r="T259" s="231">
        <f t="shared" si="69"/>
        <v>0</v>
      </c>
      <c r="U259" s="231">
        <f>R259*T259/100</f>
        <v>0</v>
      </c>
      <c r="V259" s="296">
        <f t="shared" si="74"/>
        <v>100</v>
      </c>
      <c r="W259" s="231"/>
      <c r="X259" s="231" t="e">
        <f>#REF!</f>
        <v>#REF!</v>
      </c>
      <c r="Y259" s="231" t="e">
        <f>#REF!</f>
        <v>#REF!</v>
      </c>
      <c r="Z259" s="231" t="e">
        <f>#REF!</f>
        <v>#REF!</v>
      </c>
      <c r="AA259" s="231" t="e">
        <f>#REF!</f>
        <v>#REF!</v>
      </c>
      <c r="AB259" s="231">
        <v>391775001</v>
      </c>
      <c r="AC259" s="231" t="e">
        <f>#REF!</f>
        <v>#REF!</v>
      </c>
      <c r="AD259" s="231" t="e">
        <f>#REF!</f>
        <v>#REF!</v>
      </c>
      <c r="AE259" s="231" t="e">
        <f>#REF!</f>
        <v>#REF!</v>
      </c>
      <c r="AF259" s="231" t="e">
        <f>[1]April!N55</f>
        <v>#REF!</v>
      </c>
      <c r="AG259" s="231" t="e">
        <f>[2]april!N55</f>
        <v>#REF!</v>
      </c>
      <c r="AH259" s="231" t="e">
        <f>'[3]DES SKPD'!$N55</f>
        <v>#REF!</v>
      </c>
      <c r="AI259" s="231">
        <f>SUM(AI260:AI269)</f>
        <v>0</v>
      </c>
      <c r="AJ259" s="233">
        <f t="shared" si="70"/>
        <v>0</v>
      </c>
      <c r="AK259" s="234">
        <f t="shared" si="84"/>
        <v>64057069</v>
      </c>
      <c r="AL259" s="233">
        <f t="shared" si="71"/>
        <v>100</v>
      </c>
      <c r="AM259" s="227"/>
    </row>
    <row r="260" spans="1:39" ht="24.75" customHeight="1" x14ac:dyDescent="0.25">
      <c r="A260" s="243"/>
      <c r="B260" s="362"/>
      <c r="C260" s="362"/>
      <c r="D260" s="362"/>
      <c r="E260" s="362"/>
      <c r="F260" s="362"/>
      <c r="G260" s="362"/>
      <c r="H260" s="362"/>
      <c r="I260" s="363"/>
      <c r="J260" s="362" t="s">
        <v>326</v>
      </c>
      <c r="K260" s="245"/>
      <c r="L260" s="257"/>
      <c r="M260" s="591" t="s">
        <v>327</v>
      </c>
      <c r="N260" s="592"/>
      <c r="O260" s="179"/>
      <c r="P260" s="180"/>
      <c r="Q260" s="180">
        <v>15750000</v>
      </c>
      <c r="R260" s="181">
        <f>Q260/Q$259*100</f>
        <v>24.587450293737291</v>
      </c>
      <c r="S260" s="181">
        <v>100</v>
      </c>
      <c r="T260" s="180">
        <f t="shared" si="69"/>
        <v>0</v>
      </c>
      <c r="U260" s="180">
        <f t="shared" si="77"/>
        <v>0</v>
      </c>
      <c r="V260" s="182">
        <f t="shared" si="74"/>
        <v>100</v>
      </c>
      <c r="W260" s="180"/>
      <c r="X260" s="180"/>
      <c r="Y260" s="180"/>
      <c r="Z260" s="180"/>
      <c r="AA260" s="180"/>
      <c r="AB260" s="180"/>
      <c r="AC260" s="180"/>
      <c r="AD260" s="180"/>
      <c r="AE260" s="180"/>
      <c r="AF260" s="180"/>
      <c r="AG260" s="180"/>
      <c r="AH260" s="180"/>
      <c r="AI260" s="180">
        <v>0</v>
      </c>
      <c r="AJ260" s="181">
        <f t="shared" si="70"/>
        <v>0</v>
      </c>
      <c r="AK260" s="246">
        <f t="shared" si="84"/>
        <v>15750000</v>
      </c>
      <c r="AL260" s="181">
        <f t="shared" si="71"/>
        <v>100</v>
      </c>
      <c r="AM260" s="243"/>
    </row>
    <row r="261" spans="1:39" ht="24.75" customHeight="1" x14ac:dyDescent="0.25">
      <c r="A261" s="243"/>
      <c r="B261" s="362"/>
      <c r="C261" s="362"/>
      <c r="D261" s="362"/>
      <c r="E261" s="362"/>
      <c r="F261" s="362"/>
      <c r="G261" s="362"/>
      <c r="H261" s="362"/>
      <c r="I261" s="363"/>
      <c r="J261" s="362" t="s">
        <v>323</v>
      </c>
      <c r="K261" s="245"/>
      <c r="L261" s="257"/>
      <c r="M261" s="591" t="s">
        <v>324</v>
      </c>
      <c r="N261" s="592"/>
      <c r="O261" s="179"/>
      <c r="P261" s="180"/>
      <c r="Q261" s="180">
        <v>2468000</v>
      </c>
      <c r="R261" s="181">
        <f t="shared" ref="R261:R269" si="86">Q261/Q$259*100</f>
        <v>3.8528144333297552</v>
      </c>
      <c r="S261" s="181">
        <v>100</v>
      </c>
      <c r="T261" s="180">
        <f t="shared" si="69"/>
        <v>0</v>
      </c>
      <c r="U261" s="180">
        <f t="shared" si="77"/>
        <v>0</v>
      </c>
      <c r="V261" s="182">
        <f t="shared" si="74"/>
        <v>100</v>
      </c>
      <c r="W261" s="180"/>
      <c r="X261" s="180"/>
      <c r="Y261" s="180"/>
      <c r="Z261" s="180"/>
      <c r="AA261" s="180"/>
      <c r="AB261" s="180"/>
      <c r="AC261" s="180"/>
      <c r="AD261" s="180"/>
      <c r="AE261" s="180"/>
      <c r="AF261" s="180"/>
      <c r="AG261" s="180"/>
      <c r="AH261" s="180"/>
      <c r="AI261" s="180">
        <v>0</v>
      </c>
      <c r="AJ261" s="181">
        <f t="shared" si="70"/>
        <v>0</v>
      </c>
      <c r="AK261" s="246">
        <f t="shared" si="84"/>
        <v>2468000</v>
      </c>
      <c r="AL261" s="181">
        <f t="shared" si="71"/>
        <v>100</v>
      </c>
      <c r="AM261" s="243"/>
    </row>
    <row r="262" spans="1:39" ht="24.75" customHeight="1" x14ac:dyDescent="0.25">
      <c r="A262" s="243"/>
      <c r="B262" s="362"/>
      <c r="C262" s="362"/>
      <c r="D262" s="362"/>
      <c r="E262" s="362"/>
      <c r="F262" s="362"/>
      <c r="G262" s="362"/>
      <c r="H262" s="362"/>
      <c r="I262" s="363"/>
      <c r="J262" s="362" t="s">
        <v>269</v>
      </c>
      <c r="K262" s="245"/>
      <c r="L262" s="257"/>
      <c r="M262" s="591" t="s">
        <v>352</v>
      </c>
      <c r="N262" s="592"/>
      <c r="O262" s="179"/>
      <c r="P262" s="180"/>
      <c r="Q262" s="180">
        <v>3000000</v>
      </c>
      <c r="R262" s="181">
        <f t="shared" si="86"/>
        <v>4.6833238654737697</v>
      </c>
      <c r="S262" s="181">
        <v>100</v>
      </c>
      <c r="T262" s="180">
        <f t="shared" si="69"/>
        <v>0</v>
      </c>
      <c r="U262" s="180">
        <f t="shared" si="77"/>
        <v>0</v>
      </c>
      <c r="V262" s="182">
        <f t="shared" si="74"/>
        <v>100</v>
      </c>
      <c r="W262" s="180"/>
      <c r="X262" s="180"/>
      <c r="Y262" s="180"/>
      <c r="Z262" s="180"/>
      <c r="AA262" s="180"/>
      <c r="AB262" s="180"/>
      <c r="AC262" s="180"/>
      <c r="AD262" s="180"/>
      <c r="AE262" s="180"/>
      <c r="AF262" s="180"/>
      <c r="AG262" s="180"/>
      <c r="AH262" s="180"/>
      <c r="AI262" s="180">
        <v>0</v>
      </c>
      <c r="AJ262" s="181">
        <f t="shared" si="70"/>
        <v>0</v>
      </c>
      <c r="AK262" s="246">
        <f t="shared" si="84"/>
        <v>3000000</v>
      </c>
      <c r="AL262" s="181">
        <f t="shared" si="71"/>
        <v>100</v>
      </c>
      <c r="AM262" s="243"/>
    </row>
    <row r="263" spans="1:39" ht="29.25" customHeight="1" x14ac:dyDescent="0.25">
      <c r="A263" s="243"/>
      <c r="B263" s="362"/>
      <c r="C263" s="362"/>
      <c r="D263" s="362"/>
      <c r="E263" s="362"/>
      <c r="F263" s="362"/>
      <c r="G263" s="362"/>
      <c r="H263" s="362"/>
      <c r="I263" s="363"/>
      <c r="J263" s="362" t="s">
        <v>315</v>
      </c>
      <c r="K263" s="245"/>
      <c r="L263" s="257"/>
      <c r="M263" s="591" t="s">
        <v>428</v>
      </c>
      <c r="N263" s="592"/>
      <c r="O263" s="179"/>
      <c r="P263" s="180"/>
      <c r="Q263" s="180">
        <v>2820000</v>
      </c>
      <c r="R263" s="181">
        <f t="shared" si="86"/>
        <v>4.4023244335453438</v>
      </c>
      <c r="S263" s="181">
        <v>100</v>
      </c>
      <c r="T263" s="180">
        <f t="shared" si="69"/>
        <v>0</v>
      </c>
      <c r="U263" s="180">
        <f t="shared" si="77"/>
        <v>0</v>
      </c>
      <c r="V263" s="182">
        <f t="shared" si="74"/>
        <v>100</v>
      </c>
      <c r="W263" s="180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180"/>
      <c r="AI263" s="180">
        <v>0</v>
      </c>
      <c r="AJ263" s="181">
        <f t="shared" si="70"/>
        <v>0</v>
      </c>
      <c r="AK263" s="246">
        <f t="shared" si="84"/>
        <v>2820000</v>
      </c>
      <c r="AL263" s="181">
        <f t="shared" si="71"/>
        <v>100</v>
      </c>
      <c r="AM263" s="243"/>
    </row>
    <row r="264" spans="1:39" ht="29.25" customHeight="1" x14ac:dyDescent="0.25">
      <c r="A264" s="243"/>
      <c r="B264" s="362"/>
      <c r="C264" s="362"/>
      <c r="D264" s="362"/>
      <c r="E264" s="362"/>
      <c r="F264" s="362"/>
      <c r="G264" s="362"/>
      <c r="H264" s="362"/>
      <c r="I264" s="363"/>
      <c r="J264" s="362" t="s">
        <v>318</v>
      </c>
      <c r="K264" s="245"/>
      <c r="L264" s="257"/>
      <c r="M264" s="591" t="s">
        <v>602</v>
      </c>
      <c r="N264" s="592"/>
      <c r="O264" s="179"/>
      <c r="P264" s="180"/>
      <c r="Q264" s="180">
        <v>20000000</v>
      </c>
      <c r="R264" s="181">
        <f t="shared" si="86"/>
        <v>31.222159103158464</v>
      </c>
      <c r="S264" s="181">
        <v>100</v>
      </c>
      <c r="T264" s="180">
        <f t="shared" si="69"/>
        <v>0</v>
      </c>
      <c r="U264" s="180">
        <f t="shared" si="77"/>
        <v>0</v>
      </c>
      <c r="V264" s="182">
        <f t="shared" si="74"/>
        <v>100</v>
      </c>
      <c r="W264" s="180"/>
      <c r="X264" s="180"/>
      <c r="Y264" s="180"/>
      <c r="Z264" s="180"/>
      <c r="AA264" s="180"/>
      <c r="AB264" s="180"/>
      <c r="AC264" s="180"/>
      <c r="AD264" s="180"/>
      <c r="AE264" s="180"/>
      <c r="AF264" s="180"/>
      <c r="AG264" s="180"/>
      <c r="AH264" s="180"/>
      <c r="AI264" s="180">
        <v>0</v>
      </c>
      <c r="AJ264" s="181">
        <f t="shared" si="70"/>
        <v>0</v>
      </c>
      <c r="AK264" s="246">
        <f t="shared" si="84"/>
        <v>20000000</v>
      </c>
      <c r="AL264" s="181">
        <f t="shared" si="71"/>
        <v>100</v>
      </c>
      <c r="AM264" s="243"/>
    </row>
    <row r="265" spans="1:39" ht="29.25" customHeight="1" x14ac:dyDescent="0.25">
      <c r="A265" s="243"/>
      <c r="B265" s="362"/>
      <c r="C265" s="362"/>
      <c r="D265" s="362"/>
      <c r="E265" s="362"/>
      <c r="F265" s="362"/>
      <c r="G265" s="362"/>
      <c r="H265" s="362"/>
      <c r="I265" s="363"/>
      <c r="J265" s="362" t="s">
        <v>339</v>
      </c>
      <c r="K265" s="245"/>
      <c r="L265" s="257"/>
      <c r="M265" s="591" t="s">
        <v>340</v>
      </c>
      <c r="N265" s="592"/>
      <c r="O265" s="179"/>
      <c r="P265" s="180"/>
      <c r="Q265" s="180">
        <v>2000000</v>
      </c>
      <c r="R265" s="181">
        <f t="shared" si="86"/>
        <v>3.1222159103158469</v>
      </c>
      <c r="S265" s="181">
        <v>100</v>
      </c>
      <c r="T265" s="180">
        <f t="shared" si="69"/>
        <v>0</v>
      </c>
      <c r="U265" s="180">
        <f t="shared" si="77"/>
        <v>0</v>
      </c>
      <c r="V265" s="182">
        <f t="shared" si="74"/>
        <v>100</v>
      </c>
      <c r="W265" s="180"/>
      <c r="X265" s="180"/>
      <c r="Y265" s="180"/>
      <c r="Z265" s="180"/>
      <c r="AA265" s="180"/>
      <c r="AB265" s="180"/>
      <c r="AC265" s="180"/>
      <c r="AD265" s="180"/>
      <c r="AE265" s="180"/>
      <c r="AF265" s="180"/>
      <c r="AG265" s="180"/>
      <c r="AH265" s="180"/>
      <c r="AI265" s="180">
        <v>0</v>
      </c>
      <c r="AJ265" s="181">
        <f t="shared" si="70"/>
        <v>0</v>
      </c>
      <c r="AK265" s="246">
        <f t="shared" si="84"/>
        <v>2000000</v>
      </c>
      <c r="AL265" s="181">
        <f t="shared" si="71"/>
        <v>100</v>
      </c>
      <c r="AM265" s="243"/>
    </row>
    <row r="266" spans="1:39" ht="29.25" customHeight="1" x14ac:dyDescent="0.25">
      <c r="A266" s="243"/>
      <c r="B266" s="362"/>
      <c r="C266" s="362"/>
      <c r="D266" s="362"/>
      <c r="E266" s="362"/>
      <c r="F266" s="362"/>
      <c r="G266" s="362"/>
      <c r="H266" s="362"/>
      <c r="I266" s="363"/>
      <c r="J266" s="362" t="s">
        <v>284</v>
      </c>
      <c r="K266" s="245"/>
      <c r="L266" s="257"/>
      <c r="M266" s="591" t="s">
        <v>603</v>
      </c>
      <c r="N266" s="592"/>
      <c r="O266" s="179"/>
      <c r="P266" s="180"/>
      <c r="Q266" s="180">
        <v>1119069</v>
      </c>
      <c r="R266" s="181">
        <f t="shared" si="86"/>
        <v>1.746987518270622</v>
      </c>
      <c r="S266" s="181">
        <v>100</v>
      </c>
      <c r="T266" s="180">
        <f t="shared" si="69"/>
        <v>0</v>
      </c>
      <c r="U266" s="180">
        <f t="shared" si="77"/>
        <v>0</v>
      </c>
      <c r="V266" s="182">
        <f t="shared" si="74"/>
        <v>100</v>
      </c>
      <c r="W266" s="180"/>
      <c r="X266" s="180"/>
      <c r="Y266" s="180"/>
      <c r="Z266" s="180"/>
      <c r="AA266" s="180"/>
      <c r="AB266" s="180"/>
      <c r="AC266" s="180"/>
      <c r="AD266" s="180"/>
      <c r="AE266" s="180"/>
      <c r="AF266" s="180"/>
      <c r="AG266" s="180"/>
      <c r="AH266" s="180"/>
      <c r="AI266" s="180">
        <v>0</v>
      </c>
      <c r="AJ266" s="181">
        <f t="shared" si="70"/>
        <v>0</v>
      </c>
      <c r="AK266" s="246">
        <f t="shared" si="84"/>
        <v>1119069</v>
      </c>
      <c r="AL266" s="181">
        <f t="shared" si="71"/>
        <v>100</v>
      </c>
      <c r="AM266" s="243"/>
    </row>
    <row r="267" spans="1:39" ht="29.25" customHeight="1" x14ac:dyDescent="0.25">
      <c r="A267" s="243"/>
      <c r="B267" s="362"/>
      <c r="C267" s="362"/>
      <c r="D267" s="362"/>
      <c r="E267" s="362"/>
      <c r="F267" s="362"/>
      <c r="G267" s="362"/>
      <c r="H267" s="362"/>
      <c r="I267" s="363"/>
      <c r="J267" s="362" t="s">
        <v>282</v>
      </c>
      <c r="K267" s="245"/>
      <c r="L267" s="257"/>
      <c r="M267" s="591" t="s">
        <v>283</v>
      </c>
      <c r="N267" s="592"/>
      <c r="O267" s="179"/>
      <c r="P267" s="180"/>
      <c r="Q267" s="180">
        <v>6900000</v>
      </c>
      <c r="R267" s="181">
        <f t="shared" si="86"/>
        <v>10.771644890589672</v>
      </c>
      <c r="S267" s="181">
        <v>100</v>
      </c>
      <c r="T267" s="180">
        <f t="shared" si="69"/>
        <v>0</v>
      </c>
      <c r="U267" s="180">
        <f t="shared" si="77"/>
        <v>0</v>
      </c>
      <c r="V267" s="182">
        <f t="shared" si="74"/>
        <v>100</v>
      </c>
      <c r="W267" s="180"/>
      <c r="X267" s="180"/>
      <c r="Y267" s="180"/>
      <c r="Z267" s="180"/>
      <c r="AA267" s="180"/>
      <c r="AB267" s="180"/>
      <c r="AC267" s="180"/>
      <c r="AD267" s="180"/>
      <c r="AE267" s="180"/>
      <c r="AF267" s="180"/>
      <c r="AG267" s="180"/>
      <c r="AH267" s="180"/>
      <c r="AI267" s="180">
        <v>0</v>
      </c>
      <c r="AJ267" s="181">
        <f t="shared" si="70"/>
        <v>0</v>
      </c>
      <c r="AK267" s="246">
        <f t="shared" si="84"/>
        <v>6900000</v>
      </c>
      <c r="AL267" s="181">
        <f t="shared" si="71"/>
        <v>100</v>
      </c>
      <c r="AM267" s="243"/>
    </row>
    <row r="268" spans="1:39" ht="29.25" customHeight="1" x14ac:dyDescent="0.25">
      <c r="A268" s="243"/>
      <c r="B268" s="362"/>
      <c r="C268" s="362"/>
      <c r="D268" s="362"/>
      <c r="E268" s="362"/>
      <c r="F268" s="362"/>
      <c r="G268" s="362"/>
      <c r="H268" s="362"/>
      <c r="I268" s="363"/>
      <c r="J268" s="362" t="s">
        <v>320</v>
      </c>
      <c r="K268" s="245"/>
      <c r="L268" s="257"/>
      <c r="M268" s="591" t="s">
        <v>321</v>
      </c>
      <c r="N268" s="592"/>
      <c r="O268" s="179"/>
      <c r="P268" s="180"/>
      <c r="Q268" s="180">
        <v>7200000</v>
      </c>
      <c r="R268" s="181">
        <f t="shared" si="86"/>
        <v>11.239977277137047</v>
      </c>
      <c r="S268" s="181">
        <v>100</v>
      </c>
      <c r="T268" s="180">
        <f t="shared" si="69"/>
        <v>0</v>
      </c>
      <c r="U268" s="180">
        <f t="shared" si="77"/>
        <v>0</v>
      </c>
      <c r="V268" s="182">
        <f t="shared" si="74"/>
        <v>100</v>
      </c>
      <c r="W268" s="180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180"/>
      <c r="AI268" s="180">
        <v>0</v>
      </c>
      <c r="AJ268" s="181">
        <f t="shared" si="70"/>
        <v>0</v>
      </c>
      <c r="AK268" s="246">
        <f t="shared" si="84"/>
        <v>7200000</v>
      </c>
      <c r="AL268" s="181">
        <f t="shared" si="71"/>
        <v>100</v>
      </c>
      <c r="AM268" s="243"/>
    </row>
    <row r="269" spans="1:39" ht="24.75" customHeight="1" x14ac:dyDescent="0.25">
      <c r="A269" s="243"/>
      <c r="B269" s="362"/>
      <c r="C269" s="362"/>
      <c r="D269" s="362"/>
      <c r="E269" s="362"/>
      <c r="F269" s="362"/>
      <c r="G269" s="362"/>
      <c r="H269" s="362"/>
      <c r="I269" s="363"/>
      <c r="J269" s="362" t="s">
        <v>407</v>
      </c>
      <c r="K269" s="245"/>
      <c r="L269" s="257"/>
      <c r="M269" s="591" t="s">
        <v>414</v>
      </c>
      <c r="N269" s="592"/>
      <c r="O269" s="179"/>
      <c r="P269" s="180"/>
      <c r="Q269" s="180">
        <v>2800000</v>
      </c>
      <c r="R269" s="181">
        <f t="shared" si="86"/>
        <v>4.371102274442185</v>
      </c>
      <c r="S269" s="181">
        <v>100</v>
      </c>
      <c r="T269" s="180">
        <f t="shared" si="69"/>
        <v>0</v>
      </c>
      <c r="U269" s="180">
        <f t="shared" si="77"/>
        <v>0</v>
      </c>
      <c r="V269" s="182">
        <f t="shared" si="74"/>
        <v>100</v>
      </c>
      <c r="W269" s="180"/>
      <c r="X269" s="180"/>
      <c r="Y269" s="180"/>
      <c r="Z269" s="180"/>
      <c r="AA269" s="180"/>
      <c r="AB269" s="180"/>
      <c r="AC269" s="180"/>
      <c r="AD269" s="180"/>
      <c r="AE269" s="180"/>
      <c r="AF269" s="180"/>
      <c r="AG269" s="180"/>
      <c r="AH269" s="180"/>
      <c r="AI269" s="180">
        <v>0</v>
      </c>
      <c r="AJ269" s="181">
        <f t="shared" si="70"/>
        <v>0</v>
      </c>
      <c r="AK269" s="246">
        <f t="shared" si="84"/>
        <v>2800000</v>
      </c>
      <c r="AL269" s="181">
        <f t="shared" si="71"/>
        <v>100</v>
      </c>
      <c r="AM269" s="243"/>
    </row>
    <row r="270" spans="1:39" s="311" customFormat="1" ht="34.5" customHeight="1" x14ac:dyDescent="0.25">
      <c r="A270" s="227">
        <f>(A259+1)</f>
        <v>38</v>
      </c>
      <c r="B270" s="615" t="s">
        <v>150</v>
      </c>
      <c r="C270" s="615"/>
      <c r="D270" s="615"/>
      <c r="E270" s="615"/>
      <c r="F270" s="615"/>
      <c r="G270" s="615"/>
      <c r="H270" s="615"/>
      <c r="I270" s="614"/>
      <c r="J270" s="304" t="s">
        <v>482</v>
      </c>
      <c r="K270" s="230"/>
      <c r="L270" s="294"/>
      <c r="M270" s="609" t="s">
        <v>41</v>
      </c>
      <c r="N270" s="609"/>
      <c r="O270" s="310">
        <v>461840000</v>
      </c>
      <c r="P270" s="231">
        <f>O270</f>
        <v>461840000</v>
      </c>
      <c r="Q270" s="231">
        <f>SUM(Q271:Q281)</f>
        <v>300818900</v>
      </c>
      <c r="R270" s="233">
        <f>Q270/Q$243*100</f>
        <v>2.5219887304309383</v>
      </c>
      <c r="S270" s="233">
        <v>100</v>
      </c>
      <c r="T270" s="231">
        <f t="shared" si="69"/>
        <v>9.3689259551178452</v>
      </c>
      <c r="U270" s="231">
        <f t="shared" si="77"/>
        <v>0.23628325675049119</v>
      </c>
      <c r="V270" s="296">
        <f t="shared" si="74"/>
        <v>90.631074044882155</v>
      </c>
      <c r="W270" s="231"/>
      <c r="X270" s="231" t="e">
        <f>#REF!</f>
        <v>#REF!</v>
      </c>
      <c r="Y270" s="231" t="e">
        <f>#REF!</f>
        <v>#REF!</v>
      </c>
      <c r="Z270" s="231" t="e">
        <f>#REF!</f>
        <v>#REF!</v>
      </c>
      <c r="AA270" s="231" t="e">
        <f>#REF!</f>
        <v>#REF!</v>
      </c>
      <c r="AB270" s="231">
        <v>26033000</v>
      </c>
      <c r="AC270" s="231" t="e">
        <f>#REF!</f>
        <v>#REF!</v>
      </c>
      <c r="AD270" s="231" t="e">
        <f>#REF!</f>
        <v>#REF!</v>
      </c>
      <c r="AE270" s="231" t="e">
        <f>#REF!</f>
        <v>#REF!</v>
      </c>
      <c r="AF270" s="231" t="e">
        <f>[1]April!N57</f>
        <v>#REF!</v>
      </c>
      <c r="AG270" s="231" t="e">
        <f>[2]april!N57</f>
        <v>#REF!</v>
      </c>
      <c r="AH270" s="231">
        <f>'[3]DES SKPD'!$N57</f>
        <v>371775000</v>
      </c>
      <c r="AI270" s="231">
        <f>SUM(AI271:AI281)</f>
        <v>28183500</v>
      </c>
      <c r="AJ270" s="233">
        <f t="shared" si="70"/>
        <v>9.3689259551178452</v>
      </c>
      <c r="AK270" s="234">
        <f t="shared" si="84"/>
        <v>272635400</v>
      </c>
      <c r="AL270" s="233">
        <f t="shared" si="71"/>
        <v>90.631074044882155</v>
      </c>
      <c r="AM270" s="227"/>
    </row>
    <row r="271" spans="1:39" ht="28.5" customHeight="1" x14ac:dyDescent="0.25">
      <c r="A271" s="243"/>
      <c r="B271" s="362"/>
      <c r="C271" s="362"/>
      <c r="D271" s="362"/>
      <c r="E271" s="362"/>
      <c r="F271" s="362"/>
      <c r="G271" s="362"/>
      <c r="H271" s="362"/>
      <c r="I271" s="363"/>
      <c r="J271" s="362" t="s">
        <v>257</v>
      </c>
      <c r="K271" s="245"/>
      <c r="L271" s="257"/>
      <c r="M271" s="591" t="s">
        <v>260</v>
      </c>
      <c r="N271" s="592"/>
      <c r="O271" s="179"/>
      <c r="P271" s="180"/>
      <c r="Q271" s="180">
        <v>1540000</v>
      </c>
      <c r="R271" s="181">
        <f>Q271/Q$270*100</f>
        <v>0.51193591891998813</v>
      </c>
      <c r="S271" s="181">
        <v>100</v>
      </c>
      <c r="T271" s="180">
        <f t="shared" si="69"/>
        <v>0</v>
      </c>
      <c r="U271" s="180">
        <f t="shared" si="77"/>
        <v>0</v>
      </c>
      <c r="V271" s="182">
        <f t="shared" si="74"/>
        <v>100</v>
      </c>
      <c r="W271" s="180"/>
      <c r="X271" s="180"/>
      <c r="Y271" s="180"/>
      <c r="Z271" s="180"/>
      <c r="AA271" s="180"/>
      <c r="AB271" s="180"/>
      <c r="AC271" s="180"/>
      <c r="AD271" s="180"/>
      <c r="AE271" s="180"/>
      <c r="AF271" s="180"/>
      <c r="AG271" s="180"/>
      <c r="AH271" s="180"/>
      <c r="AI271" s="180">
        <v>0</v>
      </c>
      <c r="AJ271" s="181">
        <f t="shared" si="70"/>
        <v>0</v>
      </c>
      <c r="AK271" s="246">
        <f t="shared" si="84"/>
        <v>1540000</v>
      </c>
      <c r="AL271" s="181">
        <f t="shared" si="71"/>
        <v>100</v>
      </c>
      <c r="AM271" s="243"/>
    </row>
    <row r="272" spans="1:39" ht="28.5" customHeight="1" x14ac:dyDescent="0.25">
      <c r="A272" s="243"/>
      <c r="B272" s="362"/>
      <c r="C272" s="362"/>
      <c r="D272" s="362"/>
      <c r="E272" s="362"/>
      <c r="F272" s="362"/>
      <c r="G272" s="362"/>
      <c r="H272" s="362"/>
      <c r="I272" s="363"/>
      <c r="J272" s="362" t="s">
        <v>326</v>
      </c>
      <c r="K272" s="245"/>
      <c r="L272" s="257"/>
      <c r="M272" s="591" t="s">
        <v>327</v>
      </c>
      <c r="N272" s="592"/>
      <c r="O272" s="179"/>
      <c r="P272" s="180"/>
      <c r="Q272" s="180">
        <v>140400000</v>
      </c>
      <c r="R272" s="181">
        <f t="shared" ref="R272:R281" si="87">Q272/Q$270*100</f>
        <v>46.672599361276838</v>
      </c>
      <c r="S272" s="181">
        <v>100</v>
      </c>
      <c r="T272" s="180">
        <f t="shared" si="69"/>
        <v>0</v>
      </c>
      <c r="U272" s="180">
        <f t="shared" si="77"/>
        <v>0</v>
      </c>
      <c r="V272" s="182">
        <f t="shared" si="74"/>
        <v>100</v>
      </c>
      <c r="W272" s="180"/>
      <c r="X272" s="180"/>
      <c r="Y272" s="180"/>
      <c r="Z272" s="180"/>
      <c r="AA272" s="180"/>
      <c r="AB272" s="180"/>
      <c r="AC272" s="180"/>
      <c r="AD272" s="180"/>
      <c r="AE272" s="180"/>
      <c r="AF272" s="180"/>
      <c r="AG272" s="180"/>
      <c r="AH272" s="180"/>
      <c r="AI272" s="180">
        <v>0</v>
      </c>
      <c r="AJ272" s="181">
        <f t="shared" si="70"/>
        <v>0</v>
      </c>
      <c r="AK272" s="246">
        <f t="shared" si="84"/>
        <v>140400000</v>
      </c>
      <c r="AL272" s="181">
        <f t="shared" si="71"/>
        <v>100</v>
      </c>
      <c r="AM272" s="243"/>
    </row>
    <row r="273" spans="1:39" ht="28.5" customHeight="1" x14ac:dyDescent="0.25">
      <c r="A273" s="243"/>
      <c r="B273" s="362"/>
      <c r="C273" s="362"/>
      <c r="D273" s="362"/>
      <c r="E273" s="362"/>
      <c r="F273" s="362"/>
      <c r="G273" s="362"/>
      <c r="H273" s="362"/>
      <c r="I273" s="363"/>
      <c r="J273" s="362" t="s">
        <v>323</v>
      </c>
      <c r="K273" s="245"/>
      <c r="L273" s="257"/>
      <c r="M273" s="591" t="s">
        <v>324</v>
      </c>
      <c r="N273" s="592"/>
      <c r="O273" s="179"/>
      <c r="P273" s="180"/>
      <c r="Q273" s="180">
        <v>10250000</v>
      </c>
      <c r="R273" s="181">
        <f t="shared" si="87"/>
        <v>3.4073656941103101</v>
      </c>
      <c r="S273" s="181">
        <v>100</v>
      </c>
      <c r="T273" s="180">
        <f t="shared" si="69"/>
        <v>0</v>
      </c>
      <c r="U273" s="180">
        <f t="shared" si="77"/>
        <v>0</v>
      </c>
      <c r="V273" s="182">
        <f t="shared" si="74"/>
        <v>100</v>
      </c>
      <c r="W273" s="180"/>
      <c r="X273" s="180"/>
      <c r="Y273" s="180"/>
      <c r="Z273" s="180"/>
      <c r="AA273" s="180"/>
      <c r="AB273" s="180"/>
      <c r="AC273" s="180"/>
      <c r="AD273" s="180"/>
      <c r="AE273" s="180"/>
      <c r="AF273" s="180"/>
      <c r="AG273" s="180"/>
      <c r="AH273" s="180"/>
      <c r="AI273" s="180">
        <v>0</v>
      </c>
      <c r="AJ273" s="181">
        <f t="shared" si="70"/>
        <v>0</v>
      </c>
      <c r="AK273" s="246">
        <f t="shared" si="84"/>
        <v>10250000</v>
      </c>
      <c r="AL273" s="181">
        <f t="shared" si="71"/>
        <v>100</v>
      </c>
      <c r="AM273" s="243"/>
    </row>
    <row r="274" spans="1:39" ht="28.5" customHeight="1" x14ac:dyDescent="0.25">
      <c r="A274" s="243"/>
      <c r="B274" s="362"/>
      <c r="C274" s="362"/>
      <c r="D274" s="362"/>
      <c r="E274" s="362"/>
      <c r="F274" s="362"/>
      <c r="G274" s="362"/>
      <c r="H274" s="362"/>
      <c r="I274" s="363"/>
      <c r="J274" s="362" t="s">
        <v>336</v>
      </c>
      <c r="K274" s="245"/>
      <c r="L274" s="257"/>
      <c r="M274" s="591" t="s">
        <v>337</v>
      </c>
      <c r="N274" s="592"/>
      <c r="O274" s="179"/>
      <c r="P274" s="180"/>
      <c r="Q274" s="180">
        <v>10000000</v>
      </c>
      <c r="R274" s="181">
        <f t="shared" si="87"/>
        <v>3.3242592137661564</v>
      </c>
      <c r="S274" s="181">
        <v>100</v>
      </c>
      <c r="T274" s="180">
        <f t="shared" si="69"/>
        <v>0</v>
      </c>
      <c r="U274" s="180">
        <f t="shared" si="77"/>
        <v>0</v>
      </c>
      <c r="V274" s="182">
        <f t="shared" si="74"/>
        <v>100</v>
      </c>
      <c r="W274" s="180"/>
      <c r="X274" s="180"/>
      <c r="Y274" s="180"/>
      <c r="Z274" s="180"/>
      <c r="AA274" s="180"/>
      <c r="AB274" s="180"/>
      <c r="AC274" s="180"/>
      <c r="AD274" s="180"/>
      <c r="AE274" s="180"/>
      <c r="AF274" s="180"/>
      <c r="AG274" s="180"/>
      <c r="AH274" s="180"/>
      <c r="AI274" s="180">
        <v>0</v>
      </c>
      <c r="AJ274" s="181">
        <f t="shared" si="70"/>
        <v>0</v>
      </c>
      <c r="AK274" s="246">
        <f t="shared" si="84"/>
        <v>10000000</v>
      </c>
      <c r="AL274" s="181">
        <f t="shared" si="71"/>
        <v>100</v>
      </c>
      <c r="AM274" s="243"/>
    </row>
    <row r="275" spans="1:39" ht="28.5" customHeight="1" x14ac:dyDescent="0.25">
      <c r="A275" s="243"/>
      <c r="B275" s="362"/>
      <c r="C275" s="362"/>
      <c r="D275" s="362"/>
      <c r="E275" s="362"/>
      <c r="F275" s="362"/>
      <c r="G275" s="362"/>
      <c r="H275" s="362"/>
      <c r="I275" s="363"/>
      <c r="J275" s="362" t="s">
        <v>269</v>
      </c>
      <c r="K275" s="245"/>
      <c r="L275" s="257"/>
      <c r="M275" s="591" t="s">
        <v>270</v>
      </c>
      <c r="N275" s="592"/>
      <c r="O275" s="179"/>
      <c r="P275" s="180"/>
      <c r="Q275" s="180">
        <v>23000000</v>
      </c>
      <c r="R275" s="181">
        <f t="shared" si="87"/>
        <v>7.6457961916621588</v>
      </c>
      <c r="S275" s="181">
        <v>100</v>
      </c>
      <c r="T275" s="180">
        <f t="shared" si="69"/>
        <v>67.391304347826093</v>
      </c>
      <c r="U275" s="180">
        <f t="shared" si="77"/>
        <v>5.1526017813375429</v>
      </c>
      <c r="V275" s="182">
        <f t="shared" si="74"/>
        <v>32.608695652173907</v>
      </c>
      <c r="W275" s="180"/>
      <c r="X275" s="180"/>
      <c r="Y275" s="180"/>
      <c r="Z275" s="180"/>
      <c r="AA275" s="180"/>
      <c r="AB275" s="180"/>
      <c r="AC275" s="180"/>
      <c r="AD275" s="180"/>
      <c r="AE275" s="180"/>
      <c r="AF275" s="180"/>
      <c r="AG275" s="180"/>
      <c r="AH275" s="180"/>
      <c r="AI275" s="180">
        <v>15500000</v>
      </c>
      <c r="AJ275" s="181">
        <f t="shared" si="70"/>
        <v>67.391304347826093</v>
      </c>
      <c r="AK275" s="246">
        <f t="shared" si="84"/>
        <v>7500000</v>
      </c>
      <c r="AL275" s="181">
        <f t="shared" si="71"/>
        <v>32.608695652173914</v>
      </c>
      <c r="AM275" s="243"/>
    </row>
    <row r="276" spans="1:39" ht="28.5" customHeight="1" x14ac:dyDescent="0.25">
      <c r="A276" s="243"/>
      <c r="B276" s="362"/>
      <c r="C276" s="362"/>
      <c r="D276" s="362"/>
      <c r="E276" s="362"/>
      <c r="F276" s="362"/>
      <c r="G276" s="362"/>
      <c r="H276" s="362"/>
      <c r="I276" s="363"/>
      <c r="J276" s="362" t="s">
        <v>315</v>
      </c>
      <c r="K276" s="245"/>
      <c r="L276" s="257"/>
      <c r="M276" s="591" t="s">
        <v>271</v>
      </c>
      <c r="N276" s="592"/>
      <c r="O276" s="179"/>
      <c r="P276" s="180"/>
      <c r="Q276" s="180">
        <v>17250000</v>
      </c>
      <c r="R276" s="181">
        <f t="shared" si="87"/>
        <v>5.7343471437466196</v>
      </c>
      <c r="S276" s="181">
        <v>100</v>
      </c>
      <c r="T276" s="180">
        <f t="shared" ref="T276:T339" si="88">AJ276</f>
        <v>0</v>
      </c>
      <c r="U276" s="180">
        <f t="shared" si="77"/>
        <v>0</v>
      </c>
      <c r="V276" s="182">
        <f t="shared" si="74"/>
        <v>100</v>
      </c>
      <c r="W276" s="180"/>
      <c r="X276" s="180"/>
      <c r="Y276" s="180"/>
      <c r="Z276" s="180"/>
      <c r="AA276" s="180"/>
      <c r="AB276" s="180"/>
      <c r="AC276" s="180"/>
      <c r="AD276" s="180"/>
      <c r="AE276" s="180"/>
      <c r="AF276" s="180"/>
      <c r="AG276" s="180"/>
      <c r="AH276" s="180"/>
      <c r="AI276" s="180">
        <v>0</v>
      </c>
      <c r="AJ276" s="181">
        <f t="shared" ref="AJ276:AJ339" si="89">AI276/Q276*100</f>
        <v>0</v>
      </c>
      <c r="AK276" s="246">
        <f t="shared" si="84"/>
        <v>17250000</v>
      </c>
      <c r="AL276" s="181">
        <f t="shared" ref="AL276:AL339" si="90">AK276/Q276*100</f>
        <v>100</v>
      </c>
      <c r="AM276" s="243"/>
    </row>
    <row r="277" spans="1:39" ht="28.5" customHeight="1" x14ac:dyDescent="0.25">
      <c r="A277" s="243"/>
      <c r="B277" s="362"/>
      <c r="C277" s="362"/>
      <c r="D277" s="362"/>
      <c r="E277" s="362"/>
      <c r="F277" s="362"/>
      <c r="G277" s="362"/>
      <c r="H277" s="362"/>
      <c r="I277" s="363"/>
      <c r="J277" s="362" t="s">
        <v>318</v>
      </c>
      <c r="K277" s="245"/>
      <c r="L277" s="257"/>
      <c r="M277" s="591" t="s">
        <v>319</v>
      </c>
      <c r="N277" s="592"/>
      <c r="O277" s="179"/>
      <c r="P277" s="180"/>
      <c r="Q277" s="180">
        <v>32500000</v>
      </c>
      <c r="R277" s="181">
        <f t="shared" si="87"/>
        <v>10.803842444740008</v>
      </c>
      <c r="S277" s="181">
        <v>100</v>
      </c>
      <c r="T277" s="180">
        <f t="shared" si="88"/>
        <v>0</v>
      </c>
      <c r="U277" s="180">
        <f t="shared" si="77"/>
        <v>0</v>
      </c>
      <c r="V277" s="182">
        <f t="shared" si="74"/>
        <v>100</v>
      </c>
      <c r="W277" s="180"/>
      <c r="X277" s="180"/>
      <c r="Y277" s="180"/>
      <c r="Z277" s="180"/>
      <c r="AA277" s="180"/>
      <c r="AB277" s="180"/>
      <c r="AC277" s="180"/>
      <c r="AD277" s="180"/>
      <c r="AE277" s="180"/>
      <c r="AF277" s="180"/>
      <c r="AG277" s="180"/>
      <c r="AH277" s="180"/>
      <c r="AI277" s="180">
        <v>0</v>
      </c>
      <c r="AJ277" s="181">
        <f t="shared" si="89"/>
        <v>0</v>
      </c>
      <c r="AK277" s="246">
        <f t="shared" si="84"/>
        <v>32500000</v>
      </c>
      <c r="AL277" s="181">
        <f t="shared" si="90"/>
        <v>100</v>
      </c>
      <c r="AM277" s="243"/>
    </row>
    <row r="278" spans="1:39" ht="28.5" customHeight="1" x14ac:dyDescent="0.25">
      <c r="A278" s="243"/>
      <c r="B278" s="362"/>
      <c r="C278" s="362"/>
      <c r="D278" s="362"/>
      <c r="E278" s="362"/>
      <c r="F278" s="362"/>
      <c r="G278" s="362"/>
      <c r="H278" s="362"/>
      <c r="I278" s="363"/>
      <c r="J278" s="362" t="s">
        <v>280</v>
      </c>
      <c r="K278" s="245"/>
      <c r="L278" s="257"/>
      <c r="M278" s="591" t="s">
        <v>281</v>
      </c>
      <c r="N278" s="592"/>
      <c r="O278" s="179"/>
      <c r="P278" s="180"/>
      <c r="Q278" s="180">
        <v>6500000</v>
      </c>
      <c r="R278" s="181">
        <f t="shared" si="87"/>
        <v>2.1607684889480017</v>
      </c>
      <c r="S278" s="181">
        <v>100</v>
      </c>
      <c r="T278" s="180">
        <f t="shared" si="88"/>
        <v>0</v>
      </c>
      <c r="U278" s="180">
        <f t="shared" si="77"/>
        <v>0</v>
      </c>
      <c r="V278" s="182">
        <f t="shared" si="74"/>
        <v>100</v>
      </c>
      <c r="W278" s="180"/>
      <c r="X278" s="180"/>
      <c r="Y278" s="180"/>
      <c r="Z278" s="180"/>
      <c r="AA278" s="180"/>
      <c r="AB278" s="180"/>
      <c r="AC278" s="180"/>
      <c r="AD278" s="180"/>
      <c r="AE278" s="180"/>
      <c r="AF278" s="180"/>
      <c r="AG278" s="180"/>
      <c r="AH278" s="180"/>
      <c r="AI278" s="180">
        <v>0</v>
      </c>
      <c r="AJ278" s="181">
        <f t="shared" si="89"/>
        <v>0</v>
      </c>
      <c r="AK278" s="246">
        <f t="shared" si="84"/>
        <v>6500000</v>
      </c>
      <c r="AL278" s="181">
        <f t="shared" si="90"/>
        <v>100</v>
      </c>
      <c r="AM278" s="243"/>
    </row>
    <row r="279" spans="1:39" ht="28.5" customHeight="1" x14ac:dyDescent="0.25">
      <c r="A279" s="243"/>
      <c r="B279" s="362"/>
      <c r="C279" s="362"/>
      <c r="D279" s="362"/>
      <c r="E279" s="362"/>
      <c r="F279" s="362"/>
      <c r="G279" s="362"/>
      <c r="H279" s="362"/>
      <c r="I279" s="363"/>
      <c r="J279" s="362" t="s">
        <v>284</v>
      </c>
      <c r="K279" s="245"/>
      <c r="L279" s="257"/>
      <c r="M279" s="591" t="s">
        <v>285</v>
      </c>
      <c r="N279" s="592"/>
      <c r="O279" s="179"/>
      <c r="P279" s="180"/>
      <c r="Q279" s="180">
        <v>2700000</v>
      </c>
      <c r="R279" s="181">
        <f t="shared" si="87"/>
        <v>0.89754998771686223</v>
      </c>
      <c r="S279" s="181">
        <v>100</v>
      </c>
      <c r="T279" s="180">
        <f t="shared" si="88"/>
        <v>16.296296296296298</v>
      </c>
      <c r="U279" s="180">
        <f t="shared" si="77"/>
        <v>0.1462674054057109</v>
      </c>
      <c r="V279" s="182">
        <f t="shared" si="74"/>
        <v>83.703703703703695</v>
      </c>
      <c r="W279" s="180"/>
      <c r="X279" s="180"/>
      <c r="Y279" s="180"/>
      <c r="Z279" s="180"/>
      <c r="AA279" s="180"/>
      <c r="AB279" s="180"/>
      <c r="AC279" s="180"/>
      <c r="AD279" s="180"/>
      <c r="AE279" s="180"/>
      <c r="AF279" s="180"/>
      <c r="AG279" s="180"/>
      <c r="AH279" s="180"/>
      <c r="AI279" s="180">
        <v>440000</v>
      </c>
      <c r="AJ279" s="181">
        <f t="shared" si="89"/>
        <v>16.296296296296298</v>
      </c>
      <c r="AK279" s="246">
        <f t="shared" si="84"/>
        <v>2260000</v>
      </c>
      <c r="AL279" s="181">
        <f t="shared" si="90"/>
        <v>83.703703703703695</v>
      </c>
      <c r="AM279" s="243"/>
    </row>
    <row r="280" spans="1:39" ht="28.5" customHeight="1" x14ac:dyDescent="0.25">
      <c r="A280" s="243"/>
      <c r="B280" s="362"/>
      <c r="C280" s="362"/>
      <c r="D280" s="362"/>
      <c r="E280" s="362"/>
      <c r="F280" s="362"/>
      <c r="G280" s="362"/>
      <c r="H280" s="362"/>
      <c r="I280" s="363"/>
      <c r="J280" s="362" t="s">
        <v>282</v>
      </c>
      <c r="K280" s="245"/>
      <c r="L280" s="257"/>
      <c r="M280" s="591" t="s">
        <v>283</v>
      </c>
      <c r="N280" s="592"/>
      <c r="O280" s="179"/>
      <c r="P280" s="180"/>
      <c r="Q280" s="180">
        <v>55878900</v>
      </c>
      <c r="R280" s="181">
        <f t="shared" si="87"/>
        <v>18.575594818011769</v>
      </c>
      <c r="S280" s="181">
        <v>100</v>
      </c>
      <c r="T280" s="180">
        <f t="shared" si="88"/>
        <v>21.910774907881152</v>
      </c>
      <c r="U280" s="180">
        <f t="shared" si="77"/>
        <v>4.0700567683745943</v>
      </c>
      <c r="V280" s="182">
        <f t="shared" si="74"/>
        <v>78.089225092118852</v>
      </c>
      <c r="W280" s="180"/>
      <c r="X280" s="180"/>
      <c r="Y280" s="180"/>
      <c r="Z280" s="180"/>
      <c r="AA280" s="180"/>
      <c r="AB280" s="180"/>
      <c r="AC280" s="180"/>
      <c r="AD280" s="180"/>
      <c r="AE280" s="180"/>
      <c r="AF280" s="180"/>
      <c r="AG280" s="180"/>
      <c r="AH280" s="180"/>
      <c r="AI280" s="180">
        <v>12243500</v>
      </c>
      <c r="AJ280" s="181">
        <f t="shared" si="89"/>
        <v>21.910774907881152</v>
      </c>
      <c r="AK280" s="246">
        <f t="shared" si="84"/>
        <v>43635400</v>
      </c>
      <c r="AL280" s="181">
        <f t="shared" si="90"/>
        <v>78.089225092118852</v>
      </c>
      <c r="AM280" s="243"/>
    </row>
    <row r="281" spans="1:39" ht="28.5" customHeight="1" x14ac:dyDescent="0.25">
      <c r="A281" s="243"/>
      <c r="B281" s="362"/>
      <c r="C281" s="362"/>
      <c r="D281" s="362"/>
      <c r="E281" s="362"/>
      <c r="F281" s="362"/>
      <c r="G281" s="362"/>
      <c r="H281" s="362"/>
      <c r="I281" s="363"/>
      <c r="J281" s="362" t="s">
        <v>320</v>
      </c>
      <c r="K281" s="245"/>
      <c r="L281" s="257"/>
      <c r="M281" s="591" t="s">
        <v>414</v>
      </c>
      <c r="N281" s="592"/>
      <c r="O281" s="179"/>
      <c r="P281" s="180"/>
      <c r="Q281" s="180">
        <v>800000</v>
      </c>
      <c r="R281" s="181">
        <f t="shared" si="87"/>
        <v>0.26594073710129251</v>
      </c>
      <c r="S281" s="181">
        <v>100</v>
      </c>
      <c r="T281" s="180">
        <f t="shared" si="88"/>
        <v>0</v>
      </c>
      <c r="U281" s="180">
        <f t="shared" si="77"/>
        <v>0</v>
      </c>
      <c r="V281" s="182">
        <f t="shared" si="74"/>
        <v>100</v>
      </c>
      <c r="W281" s="180"/>
      <c r="X281" s="180"/>
      <c r="Y281" s="180"/>
      <c r="Z281" s="180"/>
      <c r="AA281" s="180"/>
      <c r="AB281" s="180"/>
      <c r="AC281" s="180"/>
      <c r="AD281" s="180"/>
      <c r="AE281" s="180"/>
      <c r="AF281" s="180"/>
      <c r="AG281" s="180"/>
      <c r="AH281" s="180"/>
      <c r="AI281" s="180">
        <v>0</v>
      </c>
      <c r="AJ281" s="181">
        <f t="shared" si="89"/>
        <v>0</v>
      </c>
      <c r="AK281" s="246">
        <f t="shared" si="84"/>
        <v>800000</v>
      </c>
      <c r="AL281" s="181">
        <f t="shared" si="90"/>
        <v>100</v>
      </c>
      <c r="AM281" s="243"/>
    </row>
    <row r="282" spans="1:39" s="297" customFormat="1" ht="28.5" customHeight="1" x14ac:dyDescent="0.25">
      <c r="A282" s="227">
        <f>A270+1</f>
        <v>39</v>
      </c>
      <c r="B282" s="615" t="s">
        <v>151</v>
      </c>
      <c r="C282" s="615"/>
      <c r="D282" s="615"/>
      <c r="E282" s="615"/>
      <c r="F282" s="615"/>
      <c r="G282" s="615"/>
      <c r="H282" s="615"/>
      <c r="I282" s="614"/>
      <c r="J282" s="304" t="s">
        <v>483</v>
      </c>
      <c r="K282" s="230"/>
      <c r="L282" s="294"/>
      <c r="M282" s="610" t="s">
        <v>42</v>
      </c>
      <c r="N282" s="610"/>
      <c r="O282" s="309">
        <v>128761142</v>
      </c>
      <c r="P282" s="231">
        <f>O282</f>
        <v>128761142</v>
      </c>
      <c r="Q282" s="231">
        <f>SUM(Q283:Q291)</f>
        <v>412682320</v>
      </c>
      <c r="R282" s="233">
        <f>Q282/Q$243*100</f>
        <v>3.4598230373427139</v>
      </c>
      <c r="S282" s="233">
        <v>100</v>
      </c>
      <c r="T282" s="231">
        <f t="shared" si="88"/>
        <v>6.0579285296254035</v>
      </c>
      <c r="U282" s="231">
        <f t="shared" si="77"/>
        <v>0.20959360685373646</v>
      </c>
      <c r="V282" s="296">
        <f t="shared" si="74"/>
        <v>93.9420714703746</v>
      </c>
      <c r="W282" s="231"/>
      <c r="X282" s="231" t="e">
        <f>#REF!</f>
        <v>#REF!</v>
      </c>
      <c r="Y282" s="231" t="e">
        <f>#REF!</f>
        <v>#REF!</v>
      </c>
      <c r="Z282" s="231" t="e">
        <f>#REF!</f>
        <v>#REF!</v>
      </c>
      <c r="AA282" s="231" t="e">
        <f>#REF!</f>
        <v>#REF!</v>
      </c>
      <c r="AB282" s="231">
        <v>11060000</v>
      </c>
      <c r="AC282" s="231" t="e">
        <f>#REF!</f>
        <v>#REF!</v>
      </c>
      <c r="AD282" s="231" t="e">
        <f>#REF!</f>
        <v>#REF!</v>
      </c>
      <c r="AE282" s="231" t="e">
        <f>#REF!</f>
        <v>#REF!</v>
      </c>
      <c r="AF282" s="231" t="e">
        <f>[1]April!N58</f>
        <v>#REF!</v>
      </c>
      <c r="AG282" s="231">
        <v>137440000</v>
      </c>
      <c r="AH282" s="231">
        <f>'[3]DES SKPD'!$N58</f>
        <v>133587000</v>
      </c>
      <c r="AI282" s="231">
        <f>SUM(AI283:AI291)</f>
        <v>25000000</v>
      </c>
      <c r="AJ282" s="233">
        <f t="shared" si="89"/>
        <v>6.0579285296254035</v>
      </c>
      <c r="AK282" s="234">
        <f t="shared" si="84"/>
        <v>387682320</v>
      </c>
      <c r="AL282" s="233">
        <f t="shared" si="90"/>
        <v>93.9420714703746</v>
      </c>
      <c r="AM282" s="227"/>
    </row>
    <row r="283" spans="1:39" ht="28.5" customHeight="1" x14ac:dyDescent="0.25">
      <c r="A283" s="243"/>
      <c r="B283" s="362"/>
      <c r="C283" s="362"/>
      <c r="D283" s="362"/>
      <c r="E283" s="362"/>
      <c r="F283" s="362"/>
      <c r="G283" s="362"/>
      <c r="H283" s="362"/>
      <c r="I283" s="363"/>
      <c r="J283" s="362" t="s">
        <v>257</v>
      </c>
      <c r="K283" s="245"/>
      <c r="L283" s="257"/>
      <c r="M283" s="591" t="s">
        <v>260</v>
      </c>
      <c r="N283" s="592"/>
      <c r="O283" s="179"/>
      <c r="P283" s="180"/>
      <c r="Q283" s="180">
        <v>1540000</v>
      </c>
      <c r="R283" s="181">
        <f>Q283/Q$292*100</f>
        <v>0.51971035259647624</v>
      </c>
      <c r="S283" s="181">
        <v>100</v>
      </c>
      <c r="T283" s="180">
        <f t="shared" si="88"/>
        <v>0</v>
      </c>
      <c r="U283" s="180">
        <f t="shared" si="77"/>
        <v>0</v>
      </c>
      <c r="V283" s="182">
        <f t="shared" si="74"/>
        <v>100</v>
      </c>
      <c r="W283" s="180"/>
      <c r="X283" s="180"/>
      <c r="Y283" s="180"/>
      <c r="Z283" s="180"/>
      <c r="AA283" s="180"/>
      <c r="AB283" s="180"/>
      <c r="AC283" s="180"/>
      <c r="AD283" s="180"/>
      <c r="AE283" s="180"/>
      <c r="AF283" s="180"/>
      <c r="AG283" s="180"/>
      <c r="AH283" s="180"/>
      <c r="AI283" s="180">
        <v>0</v>
      </c>
      <c r="AJ283" s="181">
        <f t="shared" si="89"/>
        <v>0</v>
      </c>
      <c r="AK283" s="246">
        <f t="shared" si="84"/>
        <v>1540000</v>
      </c>
      <c r="AL283" s="181">
        <f t="shared" si="90"/>
        <v>100</v>
      </c>
      <c r="AM283" s="243"/>
    </row>
    <row r="284" spans="1:39" ht="28.5" customHeight="1" x14ac:dyDescent="0.25">
      <c r="A284" s="243"/>
      <c r="B284" s="362"/>
      <c r="C284" s="362"/>
      <c r="D284" s="362"/>
      <c r="E284" s="362"/>
      <c r="F284" s="362"/>
      <c r="G284" s="362"/>
      <c r="H284" s="362"/>
      <c r="I284" s="363"/>
      <c r="J284" s="362" t="s">
        <v>326</v>
      </c>
      <c r="K284" s="245"/>
      <c r="L284" s="257"/>
      <c r="M284" s="591" t="s">
        <v>327</v>
      </c>
      <c r="N284" s="592"/>
      <c r="O284" s="179"/>
      <c r="P284" s="180"/>
      <c r="Q284" s="180">
        <v>255600000</v>
      </c>
      <c r="R284" s="181">
        <f>Q284/Q$292*100</f>
        <v>86.258419560817757</v>
      </c>
      <c r="S284" s="181">
        <v>100</v>
      </c>
      <c r="T284" s="180">
        <f>AJ284</f>
        <v>0</v>
      </c>
      <c r="U284" s="180">
        <f>R284*T284/100</f>
        <v>0</v>
      </c>
      <c r="V284" s="182">
        <f>S284-T284</f>
        <v>100</v>
      </c>
      <c r="W284" s="180"/>
      <c r="X284" s="180"/>
      <c r="Y284" s="180"/>
      <c r="Z284" s="180"/>
      <c r="AA284" s="180"/>
      <c r="AB284" s="180"/>
      <c r="AC284" s="180"/>
      <c r="AD284" s="180"/>
      <c r="AE284" s="180"/>
      <c r="AF284" s="180"/>
      <c r="AG284" s="180"/>
      <c r="AH284" s="180"/>
      <c r="AI284" s="180">
        <v>0</v>
      </c>
      <c r="AJ284" s="181">
        <f t="shared" si="89"/>
        <v>0</v>
      </c>
      <c r="AK284" s="246">
        <f t="shared" si="84"/>
        <v>255600000</v>
      </c>
      <c r="AL284" s="181">
        <f t="shared" si="90"/>
        <v>100</v>
      </c>
      <c r="AM284" s="243"/>
    </row>
    <row r="285" spans="1:39" ht="28.5" customHeight="1" x14ac:dyDescent="0.25">
      <c r="A285" s="243"/>
      <c r="B285" s="362"/>
      <c r="C285" s="362"/>
      <c r="D285" s="362"/>
      <c r="E285" s="362"/>
      <c r="F285" s="362"/>
      <c r="G285" s="362"/>
      <c r="H285" s="362"/>
      <c r="I285" s="363"/>
      <c r="J285" s="362" t="s">
        <v>604</v>
      </c>
      <c r="K285" s="245"/>
      <c r="L285" s="257"/>
      <c r="M285" s="591" t="s">
        <v>324</v>
      </c>
      <c r="N285" s="592"/>
      <c r="O285" s="179"/>
      <c r="P285" s="180"/>
      <c r="Q285" s="180">
        <v>10000000</v>
      </c>
      <c r="R285" s="181"/>
      <c r="S285" s="181">
        <v>100</v>
      </c>
      <c r="T285" s="180">
        <f>AJ285</f>
        <v>0</v>
      </c>
      <c r="U285" s="180"/>
      <c r="V285" s="182">
        <f>S285-T285</f>
        <v>100</v>
      </c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  <c r="AG285" s="180"/>
      <c r="AH285" s="180"/>
      <c r="AI285" s="180">
        <v>0</v>
      </c>
      <c r="AJ285" s="181">
        <f t="shared" si="89"/>
        <v>0</v>
      </c>
      <c r="AK285" s="246">
        <f t="shared" si="84"/>
        <v>10000000</v>
      </c>
      <c r="AL285" s="181">
        <f t="shared" si="90"/>
        <v>100</v>
      </c>
      <c r="AM285" s="243"/>
    </row>
    <row r="286" spans="1:39" ht="28.5" customHeight="1" x14ac:dyDescent="0.25">
      <c r="A286" s="243"/>
      <c r="B286" s="362"/>
      <c r="C286" s="362"/>
      <c r="D286" s="362"/>
      <c r="E286" s="362"/>
      <c r="F286" s="362"/>
      <c r="G286" s="362"/>
      <c r="H286" s="362"/>
      <c r="I286" s="363"/>
      <c r="J286" s="362" t="s">
        <v>269</v>
      </c>
      <c r="K286" s="245"/>
      <c r="L286" s="257"/>
      <c r="M286" s="591" t="s">
        <v>270</v>
      </c>
      <c r="N286" s="592"/>
      <c r="O286" s="179"/>
      <c r="P286" s="180"/>
      <c r="Q286" s="180">
        <v>25000000</v>
      </c>
      <c r="R286" s="181">
        <f t="shared" ref="R286:R291" si="91">Q286/Q$292*100</f>
        <v>8.4368563733194204</v>
      </c>
      <c r="S286" s="181">
        <v>100</v>
      </c>
      <c r="T286" s="180">
        <f t="shared" si="88"/>
        <v>100</v>
      </c>
      <c r="U286" s="180">
        <f t="shared" si="77"/>
        <v>8.4368563733194204</v>
      </c>
      <c r="V286" s="182">
        <f t="shared" si="74"/>
        <v>0</v>
      </c>
      <c r="W286" s="180"/>
      <c r="X286" s="180"/>
      <c r="Y286" s="180"/>
      <c r="Z286" s="180"/>
      <c r="AA286" s="180"/>
      <c r="AB286" s="180"/>
      <c r="AC286" s="180"/>
      <c r="AD286" s="180"/>
      <c r="AE286" s="180"/>
      <c r="AF286" s="180"/>
      <c r="AG286" s="180"/>
      <c r="AH286" s="180"/>
      <c r="AI286" s="180">
        <v>25000000</v>
      </c>
      <c r="AJ286" s="181">
        <f t="shared" si="89"/>
        <v>100</v>
      </c>
      <c r="AK286" s="246">
        <f t="shared" si="84"/>
        <v>0</v>
      </c>
      <c r="AL286" s="181">
        <f t="shared" si="90"/>
        <v>0</v>
      </c>
      <c r="AM286" s="243"/>
    </row>
    <row r="287" spans="1:39" ht="28.5" customHeight="1" x14ac:dyDescent="0.25">
      <c r="A287" s="243"/>
      <c r="B287" s="362"/>
      <c r="C287" s="362"/>
      <c r="D287" s="362"/>
      <c r="E287" s="362"/>
      <c r="F287" s="362"/>
      <c r="G287" s="362"/>
      <c r="H287" s="362"/>
      <c r="I287" s="363"/>
      <c r="J287" s="362" t="s">
        <v>315</v>
      </c>
      <c r="K287" s="245"/>
      <c r="L287" s="257"/>
      <c r="M287" s="591" t="s">
        <v>271</v>
      </c>
      <c r="N287" s="592"/>
      <c r="O287" s="179"/>
      <c r="P287" s="180"/>
      <c r="Q287" s="180">
        <v>1000000</v>
      </c>
      <c r="R287" s="181">
        <f t="shared" si="91"/>
        <v>0.33747425493277683</v>
      </c>
      <c r="S287" s="181">
        <v>100</v>
      </c>
      <c r="T287" s="180">
        <f t="shared" si="88"/>
        <v>0</v>
      </c>
      <c r="U287" s="180">
        <f t="shared" si="77"/>
        <v>0</v>
      </c>
      <c r="V287" s="182">
        <f t="shared" si="74"/>
        <v>100</v>
      </c>
      <c r="W287" s="180"/>
      <c r="X287" s="180"/>
      <c r="Y287" s="180"/>
      <c r="Z287" s="180"/>
      <c r="AA287" s="180"/>
      <c r="AB287" s="180"/>
      <c r="AC287" s="180"/>
      <c r="AD287" s="180"/>
      <c r="AE287" s="180"/>
      <c r="AF287" s="180"/>
      <c r="AG287" s="180"/>
      <c r="AH287" s="180"/>
      <c r="AI287" s="180">
        <v>0</v>
      </c>
      <c r="AJ287" s="181">
        <f t="shared" si="89"/>
        <v>0</v>
      </c>
      <c r="AK287" s="246">
        <f t="shared" si="84"/>
        <v>1000000</v>
      </c>
      <c r="AL287" s="181">
        <f t="shared" si="90"/>
        <v>100</v>
      </c>
      <c r="AM287" s="243"/>
    </row>
    <row r="288" spans="1:39" ht="28.5" customHeight="1" x14ac:dyDescent="0.25">
      <c r="A288" s="243"/>
      <c r="B288" s="362"/>
      <c r="C288" s="362"/>
      <c r="D288" s="362"/>
      <c r="E288" s="362"/>
      <c r="F288" s="362"/>
      <c r="G288" s="362"/>
      <c r="H288" s="362"/>
      <c r="I288" s="363"/>
      <c r="J288" s="362" t="s">
        <v>318</v>
      </c>
      <c r="K288" s="245"/>
      <c r="L288" s="257"/>
      <c r="M288" s="591" t="s">
        <v>319</v>
      </c>
      <c r="N288" s="592"/>
      <c r="O288" s="179"/>
      <c r="P288" s="180"/>
      <c r="Q288" s="180">
        <v>105482320</v>
      </c>
      <c r="R288" s="181">
        <f t="shared" si="91"/>
        <v>35.597567350580746</v>
      </c>
      <c r="S288" s="181">
        <v>100</v>
      </c>
      <c r="T288" s="180">
        <f t="shared" si="88"/>
        <v>0</v>
      </c>
      <c r="U288" s="180"/>
      <c r="V288" s="182">
        <f t="shared" si="74"/>
        <v>100</v>
      </c>
      <c r="W288" s="180"/>
      <c r="X288" s="180"/>
      <c r="Y288" s="180"/>
      <c r="Z288" s="180"/>
      <c r="AA288" s="180"/>
      <c r="AB288" s="180"/>
      <c r="AC288" s="180"/>
      <c r="AD288" s="180"/>
      <c r="AE288" s="180"/>
      <c r="AF288" s="180"/>
      <c r="AG288" s="180"/>
      <c r="AH288" s="180"/>
      <c r="AI288" s="180">
        <v>0</v>
      </c>
      <c r="AJ288" s="181">
        <f t="shared" si="89"/>
        <v>0</v>
      </c>
      <c r="AK288" s="246">
        <f t="shared" si="84"/>
        <v>105482320</v>
      </c>
      <c r="AL288" s="181">
        <f t="shared" si="90"/>
        <v>100</v>
      </c>
      <c r="AM288" s="243"/>
    </row>
    <row r="289" spans="1:39" ht="28.5" customHeight="1" x14ac:dyDescent="0.25">
      <c r="A289" s="243"/>
      <c r="B289" s="362"/>
      <c r="C289" s="362"/>
      <c r="D289" s="362"/>
      <c r="E289" s="362"/>
      <c r="F289" s="362"/>
      <c r="G289" s="362"/>
      <c r="H289" s="362"/>
      <c r="I289" s="363"/>
      <c r="J289" s="362" t="s">
        <v>280</v>
      </c>
      <c r="K289" s="245"/>
      <c r="L289" s="257"/>
      <c r="M289" s="591" t="s">
        <v>281</v>
      </c>
      <c r="N289" s="592"/>
      <c r="O289" s="179"/>
      <c r="P289" s="180"/>
      <c r="Q289" s="180">
        <v>13000000</v>
      </c>
      <c r="R289" s="181">
        <f t="shared" si="91"/>
        <v>4.3871653141260989</v>
      </c>
      <c r="S289" s="181">
        <v>100</v>
      </c>
      <c r="T289" s="180">
        <f t="shared" si="88"/>
        <v>0</v>
      </c>
      <c r="U289" s="180">
        <f t="shared" si="77"/>
        <v>0</v>
      </c>
      <c r="V289" s="182">
        <f t="shared" si="74"/>
        <v>100</v>
      </c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  <c r="AG289" s="180"/>
      <c r="AH289" s="180"/>
      <c r="AI289" s="180">
        <v>0</v>
      </c>
      <c r="AJ289" s="181">
        <f t="shared" si="89"/>
        <v>0</v>
      </c>
      <c r="AK289" s="246">
        <f t="shared" si="84"/>
        <v>13000000</v>
      </c>
      <c r="AL289" s="181">
        <f t="shared" si="90"/>
        <v>100</v>
      </c>
      <c r="AM289" s="243"/>
    </row>
    <row r="290" spans="1:39" ht="28.5" customHeight="1" x14ac:dyDescent="0.25">
      <c r="A290" s="243"/>
      <c r="B290" s="362"/>
      <c r="C290" s="362"/>
      <c r="D290" s="362"/>
      <c r="E290" s="362"/>
      <c r="F290" s="362"/>
      <c r="G290" s="362"/>
      <c r="H290" s="362"/>
      <c r="I290" s="363"/>
      <c r="J290" s="362" t="s">
        <v>284</v>
      </c>
      <c r="K290" s="245"/>
      <c r="L290" s="257"/>
      <c r="M290" s="591" t="s">
        <v>600</v>
      </c>
      <c r="N290" s="592"/>
      <c r="O290" s="179"/>
      <c r="P290" s="180"/>
      <c r="Q290" s="180">
        <v>660000</v>
      </c>
      <c r="R290" s="181">
        <f t="shared" si="91"/>
        <v>0.22273300825563269</v>
      </c>
      <c r="S290" s="181">
        <v>100</v>
      </c>
      <c r="T290" s="180">
        <f t="shared" si="88"/>
        <v>0</v>
      </c>
      <c r="U290" s="180"/>
      <c r="V290" s="182">
        <f t="shared" si="74"/>
        <v>100</v>
      </c>
      <c r="W290" s="180"/>
      <c r="X290" s="180"/>
      <c r="Y290" s="180"/>
      <c r="Z290" s="180"/>
      <c r="AA290" s="180"/>
      <c r="AB290" s="180"/>
      <c r="AC290" s="180"/>
      <c r="AD290" s="180"/>
      <c r="AE290" s="180"/>
      <c r="AF290" s="180"/>
      <c r="AG290" s="180"/>
      <c r="AH290" s="180"/>
      <c r="AI290" s="180">
        <v>0</v>
      </c>
      <c r="AJ290" s="181">
        <f t="shared" si="89"/>
        <v>0</v>
      </c>
      <c r="AK290" s="246">
        <f t="shared" si="84"/>
        <v>660000</v>
      </c>
      <c r="AL290" s="181">
        <f t="shared" si="90"/>
        <v>100</v>
      </c>
      <c r="AM290" s="243"/>
    </row>
    <row r="291" spans="1:39" ht="28.5" customHeight="1" x14ac:dyDescent="0.25">
      <c r="A291" s="243"/>
      <c r="B291" s="362"/>
      <c r="C291" s="362"/>
      <c r="D291" s="362"/>
      <c r="E291" s="362"/>
      <c r="F291" s="362"/>
      <c r="G291" s="362"/>
      <c r="H291" s="362"/>
      <c r="I291" s="363"/>
      <c r="J291" s="362" t="s">
        <v>407</v>
      </c>
      <c r="K291" s="245"/>
      <c r="L291" s="257"/>
      <c r="M291" s="591" t="s">
        <v>414</v>
      </c>
      <c r="N291" s="592"/>
      <c r="O291" s="179"/>
      <c r="P291" s="180"/>
      <c r="Q291" s="180">
        <v>400000</v>
      </c>
      <c r="R291" s="181">
        <f t="shared" si="91"/>
        <v>0.13498970197311072</v>
      </c>
      <c r="S291" s="181">
        <v>100</v>
      </c>
      <c r="T291" s="180">
        <f t="shared" si="88"/>
        <v>0</v>
      </c>
      <c r="U291" s="180">
        <f t="shared" si="77"/>
        <v>0</v>
      </c>
      <c r="V291" s="182">
        <f t="shared" si="74"/>
        <v>100</v>
      </c>
      <c r="W291" s="180"/>
      <c r="X291" s="180"/>
      <c r="Y291" s="180"/>
      <c r="Z291" s="180"/>
      <c r="AA291" s="180"/>
      <c r="AB291" s="180"/>
      <c r="AC291" s="180"/>
      <c r="AD291" s="180"/>
      <c r="AE291" s="180"/>
      <c r="AF291" s="180"/>
      <c r="AG291" s="180"/>
      <c r="AH291" s="180"/>
      <c r="AI291" s="180">
        <v>0</v>
      </c>
      <c r="AJ291" s="181">
        <f t="shared" si="89"/>
        <v>0</v>
      </c>
      <c r="AK291" s="246">
        <f t="shared" si="84"/>
        <v>400000</v>
      </c>
      <c r="AL291" s="181">
        <f t="shared" si="90"/>
        <v>100</v>
      </c>
      <c r="AM291" s="243"/>
    </row>
    <row r="292" spans="1:39" s="311" customFormat="1" ht="28.5" customHeight="1" x14ac:dyDescent="0.25">
      <c r="A292" s="227">
        <f>A282+1</f>
        <v>40</v>
      </c>
      <c r="B292" s="615" t="s">
        <v>147</v>
      </c>
      <c r="C292" s="615"/>
      <c r="D292" s="615"/>
      <c r="E292" s="615"/>
      <c r="F292" s="615"/>
      <c r="G292" s="615"/>
      <c r="H292" s="615"/>
      <c r="I292" s="614"/>
      <c r="J292" s="304" t="s">
        <v>484</v>
      </c>
      <c r="K292" s="230"/>
      <c r="L292" s="294"/>
      <c r="M292" s="609" t="s">
        <v>43</v>
      </c>
      <c r="N292" s="609"/>
      <c r="O292" s="310">
        <v>450820000</v>
      </c>
      <c r="P292" s="231">
        <f>O292</f>
        <v>450820000</v>
      </c>
      <c r="Q292" s="231">
        <f>SUM(Q293:Q303)</f>
        <v>296318900</v>
      </c>
      <c r="R292" s="233">
        <f>Q292/Q$243*100</f>
        <v>2.4842618811972654</v>
      </c>
      <c r="S292" s="233">
        <v>100</v>
      </c>
      <c r="T292" s="231">
        <f t="shared" si="88"/>
        <v>0</v>
      </c>
      <c r="U292" s="231">
        <f t="shared" si="77"/>
        <v>0</v>
      </c>
      <c r="V292" s="296">
        <f t="shared" si="74"/>
        <v>100</v>
      </c>
      <c r="W292" s="231"/>
      <c r="X292" s="231" t="e">
        <f>#REF!</f>
        <v>#REF!</v>
      </c>
      <c r="Y292" s="231" t="e">
        <f>#REF!</f>
        <v>#REF!</v>
      </c>
      <c r="Z292" s="231" t="e">
        <f>#REF!</f>
        <v>#REF!</v>
      </c>
      <c r="AA292" s="231" t="e">
        <f>#REF!</f>
        <v>#REF!</v>
      </c>
      <c r="AB292" s="231">
        <v>0</v>
      </c>
      <c r="AC292" s="231" t="e">
        <f>#REF!</f>
        <v>#REF!</v>
      </c>
      <c r="AD292" s="231" t="e">
        <f>#REF!</f>
        <v>#REF!</v>
      </c>
      <c r="AE292" s="231" t="e">
        <f>#REF!</f>
        <v>#REF!</v>
      </c>
      <c r="AF292" s="231" t="e">
        <f>[1]April!N59</f>
        <v>#REF!</v>
      </c>
      <c r="AG292" s="231" t="e">
        <f>[2]april!N59</f>
        <v>#REF!</v>
      </c>
      <c r="AH292" s="231">
        <f>'[3]DES SKPD'!$N59</f>
        <v>395224250</v>
      </c>
      <c r="AI292" s="231">
        <f>SUM(AI293:AI303)</f>
        <v>0</v>
      </c>
      <c r="AJ292" s="233">
        <f t="shared" si="89"/>
        <v>0</v>
      </c>
      <c r="AK292" s="234">
        <f t="shared" si="84"/>
        <v>296318900</v>
      </c>
      <c r="AL292" s="233">
        <f t="shared" si="90"/>
        <v>100</v>
      </c>
      <c r="AM292" s="227"/>
    </row>
    <row r="293" spans="1:39" ht="28.5" customHeight="1" x14ac:dyDescent="0.25">
      <c r="A293" s="243"/>
      <c r="B293" s="362"/>
      <c r="C293" s="362"/>
      <c r="D293" s="362"/>
      <c r="E293" s="362"/>
      <c r="F293" s="362"/>
      <c r="G293" s="362"/>
      <c r="H293" s="362"/>
      <c r="I293" s="363"/>
      <c r="J293" s="362" t="s">
        <v>257</v>
      </c>
      <c r="K293" s="245"/>
      <c r="L293" s="257"/>
      <c r="M293" s="591" t="s">
        <v>260</v>
      </c>
      <c r="N293" s="592"/>
      <c r="O293" s="179"/>
      <c r="P293" s="180"/>
      <c r="Q293" s="180">
        <v>1540000</v>
      </c>
      <c r="R293" s="181">
        <f>Q293/Q$292*100</f>
        <v>0.51971035259647624</v>
      </c>
      <c r="S293" s="181">
        <v>100</v>
      </c>
      <c r="T293" s="180">
        <f t="shared" si="88"/>
        <v>0</v>
      </c>
      <c r="U293" s="180">
        <f t="shared" si="77"/>
        <v>0</v>
      </c>
      <c r="V293" s="182">
        <f t="shared" ref="V293:V532" si="92">S293-T293</f>
        <v>100</v>
      </c>
      <c r="W293" s="180"/>
      <c r="X293" s="180"/>
      <c r="Y293" s="180"/>
      <c r="Z293" s="180"/>
      <c r="AA293" s="180"/>
      <c r="AB293" s="180"/>
      <c r="AC293" s="180"/>
      <c r="AD293" s="180"/>
      <c r="AE293" s="180"/>
      <c r="AF293" s="180"/>
      <c r="AG293" s="180"/>
      <c r="AH293" s="180"/>
      <c r="AI293" s="180">
        <v>0</v>
      </c>
      <c r="AJ293" s="181">
        <f t="shared" si="89"/>
        <v>0</v>
      </c>
      <c r="AK293" s="246">
        <f t="shared" si="84"/>
        <v>1540000</v>
      </c>
      <c r="AL293" s="181">
        <f t="shared" si="90"/>
        <v>100</v>
      </c>
      <c r="AM293" s="243"/>
    </row>
    <row r="294" spans="1:39" ht="28.5" customHeight="1" x14ac:dyDescent="0.25">
      <c r="A294" s="243"/>
      <c r="B294" s="362"/>
      <c r="C294" s="362"/>
      <c r="D294" s="362"/>
      <c r="E294" s="362"/>
      <c r="F294" s="362"/>
      <c r="G294" s="362"/>
      <c r="H294" s="362"/>
      <c r="I294" s="363"/>
      <c r="J294" s="362" t="s">
        <v>326</v>
      </c>
      <c r="K294" s="245"/>
      <c r="L294" s="257"/>
      <c r="M294" s="591" t="s">
        <v>327</v>
      </c>
      <c r="N294" s="592"/>
      <c r="O294" s="179"/>
      <c r="P294" s="180"/>
      <c r="Q294" s="180">
        <v>140400000</v>
      </c>
      <c r="R294" s="181">
        <f t="shared" ref="R294:R303" si="93">Q294/Q$292*100</f>
        <v>47.381385392561867</v>
      </c>
      <c r="S294" s="181">
        <v>100</v>
      </c>
      <c r="T294" s="180">
        <f t="shared" si="88"/>
        <v>0</v>
      </c>
      <c r="U294" s="180">
        <f t="shared" si="77"/>
        <v>0</v>
      </c>
      <c r="V294" s="182">
        <f t="shared" si="92"/>
        <v>100</v>
      </c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>
        <v>0</v>
      </c>
      <c r="AJ294" s="181">
        <f t="shared" si="89"/>
        <v>0</v>
      </c>
      <c r="AK294" s="246">
        <f t="shared" si="84"/>
        <v>140400000</v>
      </c>
      <c r="AL294" s="181">
        <f t="shared" si="90"/>
        <v>100</v>
      </c>
      <c r="AM294" s="243"/>
    </row>
    <row r="295" spans="1:39" ht="28.5" customHeight="1" x14ac:dyDescent="0.25">
      <c r="A295" s="243"/>
      <c r="B295" s="362"/>
      <c r="C295" s="362"/>
      <c r="D295" s="362"/>
      <c r="E295" s="362"/>
      <c r="F295" s="362"/>
      <c r="G295" s="362"/>
      <c r="H295" s="362"/>
      <c r="I295" s="363"/>
      <c r="J295" s="362" t="s">
        <v>323</v>
      </c>
      <c r="K295" s="245"/>
      <c r="L295" s="257"/>
      <c r="M295" s="591" t="s">
        <v>324</v>
      </c>
      <c r="N295" s="592"/>
      <c r="O295" s="179"/>
      <c r="P295" s="180"/>
      <c r="Q295" s="180">
        <v>10000000</v>
      </c>
      <c r="R295" s="181">
        <f t="shared" si="93"/>
        <v>3.3747425493277681</v>
      </c>
      <c r="S295" s="181">
        <v>100</v>
      </c>
      <c r="T295" s="180">
        <f t="shared" si="88"/>
        <v>0</v>
      </c>
      <c r="U295" s="180">
        <f t="shared" si="77"/>
        <v>0</v>
      </c>
      <c r="V295" s="182">
        <f t="shared" si="92"/>
        <v>100</v>
      </c>
      <c r="W295" s="180"/>
      <c r="X295" s="180"/>
      <c r="Y295" s="180"/>
      <c r="Z295" s="180"/>
      <c r="AA295" s="180"/>
      <c r="AB295" s="180"/>
      <c r="AC295" s="180"/>
      <c r="AD295" s="180"/>
      <c r="AE295" s="180"/>
      <c r="AF295" s="180"/>
      <c r="AG295" s="180"/>
      <c r="AH295" s="180"/>
      <c r="AI295" s="180">
        <v>0</v>
      </c>
      <c r="AJ295" s="181">
        <f t="shared" si="89"/>
        <v>0</v>
      </c>
      <c r="AK295" s="246">
        <f t="shared" si="84"/>
        <v>10000000</v>
      </c>
      <c r="AL295" s="181">
        <f t="shared" si="90"/>
        <v>100</v>
      </c>
      <c r="AM295" s="243"/>
    </row>
    <row r="296" spans="1:39" ht="28.5" customHeight="1" x14ac:dyDescent="0.25">
      <c r="A296" s="243"/>
      <c r="B296" s="362"/>
      <c r="C296" s="362"/>
      <c r="D296" s="362"/>
      <c r="E296" s="362"/>
      <c r="F296" s="362"/>
      <c r="G296" s="362"/>
      <c r="H296" s="362"/>
      <c r="I296" s="363"/>
      <c r="J296" s="362" t="s">
        <v>341</v>
      </c>
      <c r="K296" s="245"/>
      <c r="L296" s="257"/>
      <c r="M296" s="591" t="s">
        <v>337</v>
      </c>
      <c r="N296" s="592"/>
      <c r="O296" s="179"/>
      <c r="P296" s="180"/>
      <c r="Q296" s="180">
        <v>10000000</v>
      </c>
      <c r="R296" s="181">
        <f t="shared" si="93"/>
        <v>3.3747425493277681</v>
      </c>
      <c r="S296" s="181">
        <v>100</v>
      </c>
      <c r="T296" s="180">
        <f t="shared" si="88"/>
        <v>0</v>
      </c>
      <c r="U296" s="180">
        <f t="shared" si="77"/>
        <v>0</v>
      </c>
      <c r="V296" s="182">
        <f t="shared" si="92"/>
        <v>100</v>
      </c>
      <c r="W296" s="180"/>
      <c r="X296" s="180"/>
      <c r="Y296" s="180"/>
      <c r="Z296" s="180"/>
      <c r="AA296" s="180"/>
      <c r="AB296" s="180"/>
      <c r="AC296" s="180"/>
      <c r="AD296" s="180"/>
      <c r="AE296" s="180"/>
      <c r="AF296" s="180"/>
      <c r="AG296" s="180"/>
      <c r="AH296" s="180"/>
      <c r="AI296" s="180">
        <v>0</v>
      </c>
      <c r="AJ296" s="181">
        <f t="shared" si="89"/>
        <v>0</v>
      </c>
      <c r="AK296" s="246">
        <f t="shared" si="84"/>
        <v>10000000</v>
      </c>
      <c r="AL296" s="181">
        <f t="shared" si="90"/>
        <v>100</v>
      </c>
      <c r="AM296" s="243"/>
    </row>
    <row r="297" spans="1:39" ht="28.5" customHeight="1" x14ac:dyDescent="0.25">
      <c r="A297" s="243"/>
      <c r="B297" s="362"/>
      <c r="C297" s="362"/>
      <c r="D297" s="362"/>
      <c r="E297" s="362"/>
      <c r="F297" s="362"/>
      <c r="G297" s="362"/>
      <c r="H297" s="362"/>
      <c r="I297" s="363"/>
      <c r="J297" s="362" t="s">
        <v>269</v>
      </c>
      <c r="K297" s="245"/>
      <c r="L297" s="257"/>
      <c r="M297" s="591" t="s">
        <v>270</v>
      </c>
      <c r="N297" s="592"/>
      <c r="O297" s="179"/>
      <c r="P297" s="180"/>
      <c r="Q297" s="180">
        <v>23000000</v>
      </c>
      <c r="R297" s="181">
        <f t="shared" si="93"/>
        <v>7.7619078634538665</v>
      </c>
      <c r="S297" s="181">
        <v>100</v>
      </c>
      <c r="T297" s="180">
        <f t="shared" si="88"/>
        <v>0</v>
      </c>
      <c r="U297" s="180">
        <f t="shared" ref="U297:U360" si="94">R297*T297/100</f>
        <v>0</v>
      </c>
      <c r="V297" s="182">
        <f t="shared" si="92"/>
        <v>100</v>
      </c>
      <c r="W297" s="180"/>
      <c r="X297" s="180"/>
      <c r="Y297" s="180"/>
      <c r="Z297" s="180"/>
      <c r="AA297" s="180"/>
      <c r="AB297" s="180"/>
      <c r="AC297" s="180"/>
      <c r="AD297" s="180"/>
      <c r="AE297" s="180"/>
      <c r="AF297" s="180"/>
      <c r="AG297" s="180"/>
      <c r="AH297" s="180"/>
      <c r="AI297" s="180">
        <v>0</v>
      </c>
      <c r="AJ297" s="181">
        <f t="shared" si="89"/>
        <v>0</v>
      </c>
      <c r="AK297" s="246">
        <f t="shared" si="84"/>
        <v>23000000</v>
      </c>
      <c r="AL297" s="181">
        <f t="shared" si="90"/>
        <v>100</v>
      </c>
      <c r="AM297" s="243"/>
    </row>
    <row r="298" spans="1:39" ht="28.5" customHeight="1" x14ac:dyDescent="0.25">
      <c r="A298" s="243"/>
      <c r="B298" s="362"/>
      <c r="C298" s="362"/>
      <c r="D298" s="362"/>
      <c r="E298" s="362"/>
      <c r="F298" s="362"/>
      <c r="G298" s="362"/>
      <c r="H298" s="362"/>
      <c r="I298" s="363"/>
      <c r="J298" s="362" t="s">
        <v>315</v>
      </c>
      <c r="K298" s="245"/>
      <c r="L298" s="257"/>
      <c r="M298" s="591" t="s">
        <v>271</v>
      </c>
      <c r="N298" s="592"/>
      <c r="O298" s="179"/>
      <c r="P298" s="180"/>
      <c r="Q298" s="180">
        <v>17000000</v>
      </c>
      <c r="R298" s="181">
        <f t="shared" si="93"/>
        <v>5.7370623338572058</v>
      </c>
      <c r="S298" s="181">
        <v>100</v>
      </c>
      <c r="T298" s="180">
        <f t="shared" si="88"/>
        <v>0</v>
      </c>
      <c r="U298" s="180">
        <f t="shared" si="94"/>
        <v>0</v>
      </c>
      <c r="V298" s="182">
        <f t="shared" si="92"/>
        <v>100</v>
      </c>
      <c r="W298" s="180"/>
      <c r="X298" s="180"/>
      <c r="Y298" s="180"/>
      <c r="Z298" s="180"/>
      <c r="AA298" s="180"/>
      <c r="AB298" s="180"/>
      <c r="AC298" s="180"/>
      <c r="AD298" s="180"/>
      <c r="AE298" s="180"/>
      <c r="AF298" s="180"/>
      <c r="AG298" s="180"/>
      <c r="AH298" s="180"/>
      <c r="AI298" s="180">
        <v>0</v>
      </c>
      <c r="AJ298" s="181">
        <f t="shared" si="89"/>
        <v>0</v>
      </c>
      <c r="AK298" s="246">
        <f t="shared" si="84"/>
        <v>17000000</v>
      </c>
      <c r="AL298" s="181">
        <f t="shared" si="90"/>
        <v>100</v>
      </c>
      <c r="AM298" s="243"/>
    </row>
    <row r="299" spans="1:39" ht="28.5" customHeight="1" x14ac:dyDescent="0.25">
      <c r="A299" s="243"/>
      <c r="B299" s="362"/>
      <c r="C299" s="362"/>
      <c r="D299" s="362"/>
      <c r="E299" s="362"/>
      <c r="F299" s="362"/>
      <c r="G299" s="362"/>
      <c r="H299" s="362"/>
      <c r="I299" s="363"/>
      <c r="J299" s="362" t="s">
        <v>343</v>
      </c>
      <c r="K299" s="245"/>
      <c r="L299" s="257"/>
      <c r="M299" s="591" t="s">
        <v>319</v>
      </c>
      <c r="N299" s="592"/>
      <c r="O299" s="179"/>
      <c r="P299" s="180"/>
      <c r="Q299" s="180">
        <v>32500000</v>
      </c>
      <c r="R299" s="181">
        <f t="shared" si="93"/>
        <v>10.967913285315246</v>
      </c>
      <c r="S299" s="181">
        <v>100</v>
      </c>
      <c r="T299" s="180">
        <f t="shared" si="88"/>
        <v>0</v>
      </c>
      <c r="U299" s="180">
        <f t="shared" si="94"/>
        <v>0</v>
      </c>
      <c r="V299" s="182">
        <f t="shared" si="92"/>
        <v>100</v>
      </c>
      <c r="W299" s="180"/>
      <c r="X299" s="180"/>
      <c r="Y299" s="180"/>
      <c r="Z299" s="180"/>
      <c r="AA299" s="180"/>
      <c r="AB299" s="180"/>
      <c r="AC299" s="180"/>
      <c r="AD299" s="180"/>
      <c r="AE299" s="180"/>
      <c r="AF299" s="180"/>
      <c r="AG299" s="180"/>
      <c r="AH299" s="180"/>
      <c r="AI299" s="180">
        <v>0</v>
      </c>
      <c r="AJ299" s="181">
        <f t="shared" si="89"/>
        <v>0</v>
      </c>
      <c r="AK299" s="246">
        <f t="shared" si="84"/>
        <v>32500000</v>
      </c>
      <c r="AL299" s="181">
        <f t="shared" si="90"/>
        <v>100</v>
      </c>
      <c r="AM299" s="243"/>
    </row>
    <row r="300" spans="1:39" ht="28.5" customHeight="1" x14ac:dyDescent="0.25">
      <c r="A300" s="243"/>
      <c r="B300" s="362"/>
      <c r="C300" s="362"/>
      <c r="D300" s="362"/>
      <c r="E300" s="362"/>
      <c r="F300" s="362"/>
      <c r="G300" s="362"/>
      <c r="H300" s="362"/>
      <c r="I300" s="363"/>
      <c r="J300" s="362" t="s">
        <v>280</v>
      </c>
      <c r="K300" s="245"/>
      <c r="L300" s="257"/>
      <c r="M300" s="591" t="s">
        <v>281</v>
      </c>
      <c r="N300" s="592"/>
      <c r="O300" s="179"/>
      <c r="P300" s="180"/>
      <c r="Q300" s="180">
        <v>6500000</v>
      </c>
      <c r="R300" s="181">
        <f t="shared" si="93"/>
        <v>2.1935826570630494</v>
      </c>
      <c r="S300" s="181">
        <v>100</v>
      </c>
      <c r="T300" s="180">
        <f t="shared" si="88"/>
        <v>0</v>
      </c>
      <c r="U300" s="180">
        <f t="shared" si="94"/>
        <v>0</v>
      </c>
      <c r="V300" s="182">
        <f t="shared" si="92"/>
        <v>100</v>
      </c>
      <c r="W300" s="180"/>
      <c r="X300" s="180"/>
      <c r="Y300" s="180"/>
      <c r="Z300" s="180"/>
      <c r="AA300" s="180"/>
      <c r="AB300" s="180"/>
      <c r="AC300" s="180"/>
      <c r="AD300" s="180"/>
      <c r="AE300" s="180"/>
      <c r="AF300" s="180"/>
      <c r="AG300" s="180"/>
      <c r="AH300" s="180"/>
      <c r="AI300" s="180">
        <v>0</v>
      </c>
      <c r="AJ300" s="181">
        <f t="shared" si="89"/>
        <v>0</v>
      </c>
      <c r="AK300" s="246">
        <f t="shared" si="84"/>
        <v>6500000</v>
      </c>
      <c r="AL300" s="181">
        <f t="shared" si="90"/>
        <v>100</v>
      </c>
      <c r="AM300" s="243"/>
    </row>
    <row r="301" spans="1:39" ht="28.5" customHeight="1" x14ac:dyDescent="0.25">
      <c r="A301" s="243"/>
      <c r="B301" s="362"/>
      <c r="C301" s="362"/>
      <c r="D301" s="362"/>
      <c r="E301" s="362"/>
      <c r="F301" s="362"/>
      <c r="G301" s="362"/>
      <c r="H301" s="362"/>
      <c r="I301" s="363"/>
      <c r="J301" s="362"/>
      <c r="K301" s="245"/>
      <c r="L301" s="257"/>
      <c r="M301" s="591" t="s">
        <v>285</v>
      </c>
      <c r="N301" s="592"/>
      <c r="O301" s="179"/>
      <c r="P301" s="180"/>
      <c r="Q301" s="180">
        <v>660000</v>
      </c>
      <c r="R301" s="181">
        <f t="shared" si="93"/>
        <v>0.22273300825563269</v>
      </c>
      <c r="S301" s="181"/>
      <c r="T301" s="180">
        <f t="shared" si="88"/>
        <v>0</v>
      </c>
      <c r="U301" s="180">
        <f t="shared" si="94"/>
        <v>0</v>
      </c>
      <c r="V301" s="182">
        <f t="shared" si="92"/>
        <v>0</v>
      </c>
      <c r="W301" s="180"/>
      <c r="X301" s="180"/>
      <c r="Y301" s="180"/>
      <c r="Z301" s="180"/>
      <c r="AA301" s="180"/>
      <c r="AB301" s="180"/>
      <c r="AC301" s="180"/>
      <c r="AD301" s="180"/>
      <c r="AE301" s="180"/>
      <c r="AF301" s="180"/>
      <c r="AG301" s="180"/>
      <c r="AH301" s="180"/>
      <c r="AI301" s="180">
        <v>0</v>
      </c>
      <c r="AJ301" s="181">
        <f t="shared" si="89"/>
        <v>0</v>
      </c>
      <c r="AK301" s="246">
        <f t="shared" si="84"/>
        <v>660000</v>
      </c>
      <c r="AL301" s="181">
        <f t="shared" si="90"/>
        <v>100</v>
      </c>
      <c r="AM301" s="243"/>
    </row>
    <row r="302" spans="1:39" ht="28.5" customHeight="1" x14ac:dyDescent="0.25">
      <c r="A302" s="243"/>
      <c r="B302" s="362"/>
      <c r="C302" s="362"/>
      <c r="D302" s="362"/>
      <c r="E302" s="362"/>
      <c r="F302" s="362"/>
      <c r="G302" s="362"/>
      <c r="H302" s="362"/>
      <c r="I302" s="363"/>
      <c r="J302" s="362" t="s">
        <v>282</v>
      </c>
      <c r="K302" s="245"/>
      <c r="L302" s="257"/>
      <c r="M302" s="591" t="s">
        <v>283</v>
      </c>
      <c r="N302" s="592"/>
      <c r="O302" s="179"/>
      <c r="P302" s="180"/>
      <c r="Q302" s="180">
        <v>53918900</v>
      </c>
      <c r="R302" s="181">
        <f t="shared" si="93"/>
        <v>18.1962406042949</v>
      </c>
      <c r="S302" s="181">
        <v>100</v>
      </c>
      <c r="T302" s="180">
        <f t="shared" si="88"/>
        <v>0</v>
      </c>
      <c r="U302" s="180">
        <f t="shared" si="94"/>
        <v>0</v>
      </c>
      <c r="V302" s="182">
        <f t="shared" si="92"/>
        <v>100</v>
      </c>
      <c r="W302" s="180"/>
      <c r="X302" s="180"/>
      <c r="Y302" s="180"/>
      <c r="Z302" s="180"/>
      <c r="AA302" s="180"/>
      <c r="AB302" s="180"/>
      <c r="AC302" s="180"/>
      <c r="AD302" s="180"/>
      <c r="AE302" s="180"/>
      <c r="AF302" s="180"/>
      <c r="AG302" s="180"/>
      <c r="AH302" s="180"/>
      <c r="AI302" s="180">
        <v>0</v>
      </c>
      <c r="AJ302" s="181">
        <f t="shared" si="89"/>
        <v>0</v>
      </c>
      <c r="AK302" s="246">
        <f t="shared" si="84"/>
        <v>53918900</v>
      </c>
      <c r="AL302" s="181">
        <f t="shared" si="90"/>
        <v>100</v>
      </c>
      <c r="AM302" s="243"/>
    </row>
    <row r="303" spans="1:39" ht="28.5" customHeight="1" x14ac:dyDescent="0.25">
      <c r="A303" s="243"/>
      <c r="B303" s="362"/>
      <c r="C303" s="362"/>
      <c r="D303" s="362"/>
      <c r="E303" s="362"/>
      <c r="F303" s="362"/>
      <c r="G303" s="362"/>
      <c r="H303" s="362"/>
      <c r="I303" s="363"/>
      <c r="J303" s="362" t="s">
        <v>407</v>
      </c>
      <c r="K303" s="245"/>
      <c r="L303" s="257"/>
      <c r="M303" s="591" t="s">
        <v>414</v>
      </c>
      <c r="N303" s="592"/>
      <c r="O303" s="179"/>
      <c r="P303" s="180"/>
      <c r="Q303" s="180">
        <v>800000</v>
      </c>
      <c r="R303" s="181">
        <f t="shared" si="93"/>
        <v>0.26997940394622144</v>
      </c>
      <c r="S303" s="181">
        <v>100</v>
      </c>
      <c r="T303" s="180">
        <f t="shared" si="88"/>
        <v>0</v>
      </c>
      <c r="U303" s="180">
        <f t="shared" si="94"/>
        <v>0</v>
      </c>
      <c r="V303" s="182">
        <f t="shared" si="92"/>
        <v>100</v>
      </c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>
        <v>0</v>
      </c>
      <c r="AJ303" s="181">
        <f t="shared" si="89"/>
        <v>0</v>
      </c>
      <c r="AK303" s="246">
        <f t="shared" si="84"/>
        <v>800000</v>
      </c>
      <c r="AL303" s="181">
        <f t="shared" si="90"/>
        <v>100</v>
      </c>
      <c r="AM303" s="243"/>
    </row>
    <row r="304" spans="1:39" s="311" customFormat="1" ht="28.5" customHeight="1" x14ac:dyDescent="0.25">
      <c r="A304" s="227">
        <f>A292+1</f>
        <v>41</v>
      </c>
      <c r="B304" s="615" t="s">
        <v>148</v>
      </c>
      <c r="C304" s="615"/>
      <c r="D304" s="615"/>
      <c r="E304" s="615"/>
      <c r="F304" s="615"/>
      <c r="G304" s="615"/>
      <c r="H304" s="615"/>
      <c r="I304" s="614"/>
      <c r="J304" s="304" t="s">
        <v>485</v>
      </c>
      <c r="K304" s="230"/>
      <c r="L304" s="294"/>
      <c r="M304" s="609" t="s">
        <v>44</v>
      </c>
      <c r="N304" s="609"/>
      <c r="O304" s="310">
        <v>100275000</v>
      </c>
      <c r="P304" s="231">
        <f>O304</f>
        <v>100275000</v>
      </c>
      <c r="Q304" s="231">
        <f>SUM(Q305:Q311)</f>
        <v>331985880</v>
      </c>
      <c r="R304" s="233">
        <f>Q304/Q$243*100</f>
        <v>2.783284720548469</v>
      </c>
      <c r="S304" s="233">
        <v>100</v>
      </c>
      <c r="T304" s="231">
        <f t="shared" si="88"/>
        <v>0</v>
      </c>
      <c r="U304" s="231">
        <f t="shared" si="94"/>
        <v>0</v>
      </c>
      <c r="V304" s="296">
        <f t="shared" si="92"/>
        <v>100</v>
      </c>
      <c r="W304" s="231"/>
      <c r="X304" s="231" t="e">
        <f>#REF!</f>
        <v>#REF!</v>
      </c>
      <c r="Y304" s="231" t="e">
        <f>#REF!</f>
        <v>#REF!</v>
      </c>
      <c r="Z304" s="231" t="e">
        <f>#REF!</f>
        <v>#REF!</v>
      </c>
      <c r="AA304" s="231" t="e">
        <f>#REF!</f>
        <v>#REF!</v>
      </c>
      <c r="AB304" s="231">
        <v>0</v>
      </c>
      <c r="AC304" s="231" t="e">
        <f>#REF!</f>
        <v>#REF!</v>
      </c>
      <c r="AD304" s="231" t="e">
        <f>#REF!</f>
        <v>#REF!</v>
      </c>
      <c r="AE304" s="231" t="e">
        <f>#REF!</f>
        <v>#REF!</v>
      </c>
      <c r="AF304" s="231" t="e">
        <f>[1]April!N60</f>
        <v>#REF!</v>
      </c>
      <c r="AG304" s="231" t="e">
        <f>[2]april!N60</f>
        <v>#REF!</v>
      </c>
      <c r="AH304" s="231">
        <f>'[3]DES SKPD'!$N60</f>
        <v>90196500</v>
      </c>
      <c r="AI304" s="231">
        <f>SUM(AI305:AI311)</f>
        <v>0</v>
      </c>
      <c r="AJ304" s="233">
        <f t="shared" si="89"/>
        <v>0</v>
      </c>
      <c r="AK304" s="234">
        <f t="shared" si="84"/>
        <v>331985880</v>
      </c>
      <c r="AL304" s="233">
        <f t="shared" si="90"/>
        <v>100</v>
      </c>
      <c r="AM304" s="227"/>
    </row>
    <row r="305" spans="1:39" ht="28.5" customHeight="1" x14ac:dyDescent="0.25">
      <c r="A305" s="243"/>
      <c r="B305" s="362"/>
      <c r="C305" s="362"/>
      <c r="D305" s="362"/>
      <c r="E305" s="362"/>
      <c r="F305" s="362"/>
      <c r="G305" s="362"/>
      <c r="H305" s="362"/>
      <c r="I305" s="363"/>
      <c r="J305" s="362" t="s">
        <v>326</v>
      </c>
      <c r="K305" s="245"/>
      <c r="L305" s="257"/>
      <c r="M305" s="591" t="s">
        <v>327</v>
      </c>
      <c r="N305" s="592"/>
      <c r="O305" s="179"/>
      <c r="P305" s="180"/>
      <c r="Q305" s="180">
        <v>280800000</v>
      </c>
      <c r="R305" s="181">
        <f t="shared" ref="R305:R311" si="95">Q305/Q$304*100</f>
        <v>84.581910531857559</v>
      </c>
      <c r="S305" s="181">
        <v>100</v>
      </c>
      <c r="T305" s="180">
        <f t="shared" si="88"/>
        <v>0</v>
      </c>
      <c r="U305" s="180">
        <f t="shared" si="94"/>
        <v>0</v>
      </c>
      <c r="V305" s="182">
        <f t="shared" si="92"/>
        <v>100</v>
      </c>
      <c r="W305" s="180"/>
      <c r="X305" s="180"/>
      <c r="Y305" s="180"/>
      <c r="Z305" s="180"/>
      <c r="AA305" s="180"/>
      <c r="AB305" s="180"/>
      <c r="AC305" s="180"/>
      <c r="AD305" s="180"/>
      <c r="AE305" s="180"/>
      <c r="AF305" s="180"/>
      <c r="AG305" s="180"/>
      <c r="AH305" s="180"/>
      <c r="AI305" s="180">
        <v>0</v>
      </c>
      <c r="AJ305" s="181">
        <f t="shared" si="89"/>
        <v>0</v>
      </c>
      <c r="AK305" s="246">
        <f t="shared" si="84"/>
        <v>280800000</v>
      </c>
      <c r="AL305" s="181">
        <f t="shared" si="90"/>
        <v>100</v>
      </c>
      <c r="AM305" s="243"/>
    </row>
    <row r="306" spans="1:39" ht="28.5" customHeight="1" x14ac:dyDescent="0.25">
      <c r="A306" s="243"/>
      <c r="B306" s="362"/>
      <c r="C306" s="362"/>
      <c r="D306" s="362"/>
      <c r="E306" s="362"/>
      <c r="F306" s="362"/>
      <c r="G306" s="362"/>
      <c r="H306" s="362"/>
      <c r="I306" s="363"/>
      <c r="J306" s="362" t="s">
        <v>323</v>
      </c>
      <c r="K306" s="245"/>
      <c r="L306" s="257"/>
      <c r="M306" s="591" t="s">
        <v>324</v>
      </c>
      <c r="N306" s="592"/>
      <c r="O306" s="179"/>
      <c r="P306" s="180"/>
      <c r="Q306" s="180">
        <v>4000000</v>
      </c>
      <c r="R306" s="181">
        <f t="shared" si="95"/>
        <v>1.2048705203968313</v>
      </c>
      <c r="S306" s="181">
        <v>100</v>
      </c>
      <c r="T306" s="180">
        <f t="shared" si="88"/>
        <v>0</v>
      </c>
      <c r="U306" s="180">
        <f t="shared" si="94"/>
        <v>0</v>
      </c>
      <c r="V306" s="182">
        <f t="shared" si="92"/>
        <v>100</v>
      </c>
      <c r="W306" s="180"/>
      <c r="X306" s="180"/>
      <c r="Y306" s="180"/>
      <c r="Z306" s="180"/>
      <c r="AA306" s="180"/>
      <c r="AB306" s="180"/>
      <c r="AC306" s="180"/>
      <c r="AD306" s="180"/>
      <c r="AE306" s="180"/>
      <c r="AF306" s="180"/>
      <c r="AG306" s="180"/>
      <c r="AH306" s="180"/>
      <c r="AI306" s="180">
        <v>0</v>
      </c>
      <c r="AJ306" s="181">
        <f t="shared" si="89"/>
        <v>0</v>
      </c>
      <c r="AK306" s="246">
        <f t="shared" si="84"/>
        <v>4000000</v>
      </c>
      <c r="AL306" s="181">
        <f t="shared" si="90"/>
        <v>100</v>
      </c>
      <c r="AM306" s="243"/>
    </row>
    <row r="307" spans="1:39" ht="28.5" customHeight="1" x14ac:dyDescent="0.25">
      <c r="A307" s="243"/>
      <c r="B307" s="362"/>
      <c r="C307" s="362"/>
      <c r="D307" s="362"/>
      <c r="E307" s="362"/>
      <c r="F307" s="362"/>
      <c r="G307" s="362"/>
      <c r="H307" s="362"/>
      <c r="I307" s="363"/>
      <c r="J307" s="362" t="s">
        <v>269</v>
      </c>
      <c r="K307" s="245"/>
      <c r="L307" s="257"/>
      <c r="M307" s="591" t="s">
        <v>270</v>
      </c>
      <c r="N307" s="592"/>
      <c r="O307" s="179"/>
      <c r="P307" s="180"/>
      <c r="Q307" s="180">
        <v>27680000</v>
      </c>
      <c r="R307" s="181">
        <f t="shared" si="95"/>
        <v>8.3377040011460739</v>
      </c>
      <c r="S307" s="181">
        <v>100</v>
      </c>
      <c r="T307" s="180">
        <f t="shared" si="88"/>
        <v>0</v>
      </c>
      <c r="U307" s="180">
        <f t="shared" si="94"/>
        <v>0</v>
      </c>
      <c r="V307" s="182">
        <f t="shared" si="92"/>
        <v>100</v>
      </c>
      <c r="W307" s="180"/>
      <c r="X307" s="180"/>
      <c r="Y307" s="180"/>
      <c r="Z307" s="180"/>
      <c r="AA307" s="180"/>
      <c r="AB307" s="180"/>
      <c r="AC307" s="180"/>
      <c r="AD307" s="180"/>
      <c r="AE307" s="180"/>
      <c r="AF307" s="180"/>
      <c r="AG307" s="180"/>
      <c r="AH307" s="180"/>
      <c r="AI307" s="180">
        <v>0</v>
      </c>
      <c r="AJ307" s="181">
        <f t="shared" si="89"/>
        <v>0</v>
      </c>
      <c r="AK307" s="246">
        <f t="shared" si="84"/>
        <v>27680000</v>
      </c>
      <c r="AL307" s="181">
        <f t="shared" si="90"/>
        <v>100</v>
      </c>
      <c r="AM307" s="243"/>
    </row>
    <row r="308" spans="1:39" ht="28.5" customHeight="1" x14ac:dyDescent="0.25">
      <c r="A308" s="243"/>
      <c r="B308" s="362"/>
      <c r="C308" s="362"/>
      <c r="D308" s="362"/>
      <c r="E308" s="362"/>
      <c r="F308" s="362"/>
      <c r="G308" s="362"/>
      <c r="H308" s="362"/>
      <c r="I308" s="363"/>
      <c r="J308" s="362" t="s">
        <v>315</v>
      </c>
      <c r="K308" s="245"/>
      <c r="L308" s="257"/>
      <c r="M308" s="591" t="s">
        <v>271</v>
      </c>
      <c r="N308" s="592"/>
      <c r="O308" s="179"/>
      <c r="P308" s="180"/>
      <c r="Q308" s="180">
        <v>1000000</v>
      </c>
      <c r="R308" s="181">
        <f t="shared" si="95"/>
        <v>0.30121763009920782</v>
      </c>
      <c r="S308" s="181">
        <v>100</v>
      </c>
      <c r="T308" s="180">
        <f t="shared" si="88"/>
        <v>0</v>
      </c>
      <c r="U308" s="180">
        <f t="shared" si="94"/>
        <v>0</v>
      </c>
      <c r="V308" s="182">
        <f t="shared" si="92"/>
        <v>100</v>
      </c>
      <c r="W308" s="180"/>
      <c r="X308" s="180"/>
      <c r="Y308" s="180"/>
      <c r="Z308" s="180"/>
      <c r="AA308" s="180"/>
      <c r="AB308" s="180"/>
      <c r="AC308" s="180"/>
      <c r="AD308" s="180"/>
      <c r="AE308" s="180"/>
      <c r="AF308" s="180"/>
      <c r="AG308" s="180"/>
      <c r="AH308" s="180"/>
      <c r="AI308" s="180">
        <v>0</v>
      </c>
      <c r="AJ308" s="181">
        <f t="shared" si="89"/>
        <v>0</v>
      </c>
      <c r="AK308" s="246">
        <f t="shared" ref="AK308:AK354" si="96">Q308-AI308</f>
        <v>1000000</v>
      </c>
      <c r="AL308" s="181">
        <f t="shared" si="90"/>
        <v>100</v>
      </c>
      <c r="AM308" s="243"/>
    </row>
    <row r="309" spans="1:39" ht="28.5" customHeight="1" x14ac:dyDescent="0.25">
      <c r="A309" s="243"/>
      <c r="B309" s="362"/>
      <c r="C309" s="362"/>
      <c r="D309" s="362"/>
      <c r="E309" s="362"/>
      <c r="F309" s="362"/>
      <c r="G309" s="362"/>
      <c r="H309" s="362"/>
      <c r="I309" s="363"/>
      <c r="J309" s="362" t="s">
        <v>328</v>
      </c>
      <c r="K309" s="245"/>
      <c r="L309" s="257"/>
      <c r="M309" s="591" t="s">
        <v>329</v>
      </c>
      <c r="N309" s="592"/>
      <c r="O309" s="179"/>
      <c r="P309" s="180"/>
      <c r="Q309" s="180">
        <v>5105880</v>
      </c>
      <c r="R309" s="181">
        <f t="shared" si="95"/>
        <v>1.5379810731709433</v>
      </c>
      <c r="S309" s="181">
        <v>100</v>
      </c>
      <c r="T309" s="180">
        <f t="shared" si="88"/>
        <v>0</v>
      </c>
      <c r="U309" s="180">
        <f t="shared" si="94"/>
        <v>0</v>
      </c>
      <c r="V309" s="182">
        <f t="shared" si="92"/>
        <v>100</v>
      </c>
      <c r="W309" s="180"/>
      <c r="X309" s="180"/>
      <c r="Y309" s="180"/>
      <c r="Z309" s="180"/>
      <c r="AA309" s="180"/>
      <c r="AB309" s="180"/>
      <c r="AC309" s="180"/>
      <c r="AD309" s="180"/>
      <c r="AE309" s="180"/>
      <c r="AF309" s="180"/>
      <c r="AG309" s="180"/>
      <c r="AH309" s="180"/>
      <c r="AI309" s="180">
        <v>0</v>
      </c>
      <c r="AJ309" s="181">
        <f t="shared" si="89"/>
        <v>0</v>
      </c>
      <c r="AK309" s="246">
        <f t="shared" si="96"/>
        <v>5105880</v>
      </c>
      <c r="AL309" s="181">
        <f t="shared" si="90"/>
        <v>100</v>
      </c>
      <c r="AM309" s="243"/>
    </row>
    <row r="310" spans="1:39" ht="28.5" customHeight="1" x14ac:dyDescent="0.25">
      <c r="A310" s="243"/>
      <c r="B310" s="362"/>
      <c r="C310" s="362"/>
      <c r="D310" s="362"/>
      <c r="E310" s="362"/>
      <c r="F310" s="362"/>
      <c r="G310" s="362"/>
      <c r="H310" s="362"/>
      <c r="I310" s="363"/>
      <c r="J310" s="362" t="s">
        <v>280</v>
      </c>
      <c r="K310" s="245"/>
      <c r="L310" s="257"/>
      <c r="M310" s="591" t="s">
        <v>281</v>
      </c>
      <c r="N310" s="592"/>
      <c r="O310" s="179"/>
      <c r="P310" s="180"/>
      <c r="Q310" s="180">
        <v>13000000</v>
      </c>
      <c r="R310" s="181">
        <f t="shared" si="95"/>
        <v>3.9158291912897019</v>
      </c>
      <c r="S310" s="181">
        <v>100</v>
      </c>
      <c r="T310" s="180">
        <f t="shared" si="88"/>
        <v>0</v>
      </c>
      <c r="U310" s="180">
        <f t="shared" si="94"/>
        <v>0</v>
      </c>
      <c r="V310" s="182">
        <f t="shared" si="92"/>
        <v>100</v>
      </c>
      <c r="W310" s="180"/>
      <c r="X310" s="180"/>
      <c r="Y310" s="180"/>
      <c r="Z310" s="180"/>
      <c r="AA310" s="180"/>
      <c r="AB310" s="180"/>
      <c r="AC310" s="180"/>
      <c r="AD310" s="180"/>
      <c r="AE310" s="180"/>
      <c r="AF310" s="180"/>
      <c r="AG310" s="180"/>
      <c r="AH310" s="180"/>
      <c r="AI310" s="180">
        <v>0</v>
      </c>
      <c r="AJ310" s="181">
        <f t="shared" si="89"/>
        <v>0</v>
      </c>
      <c r="AK310" s="246">
        <f t="shared" si="96"/>
        <v>13000000</v>
      </c>
      <c r="AL310" s="181">
        <f t="shared" si="90"/>
        <v>100</v>
      </c>
      <c r="AM310" s="243"/>
    </row>
    <row r="311" spans="1:39" ht="28.5" customHeight="1" x14ac:dyDescent="0.25">
      <c r="A311" s="243"/>
      <c r="B311" s="362"/>
      <c r="C311" s="362"/>
      <c r="D311" s="362"/>
      <c r="E311" s="362"/>
      <c r="F311" s="362"/>
      <c r="G311" s="362"/>
      <c r="H311" s="362"/>
      <c r="I311" s="363"/>
      <c r="J311" s="362" t="s">
        <v>407</v>
      </c>
      <c r="K311" s="245"/>
      <c r="L311" s="257"/>
      <c r="M311" s="591" t="s">
        <v>414</v>
      </c>
      <c r="N311" s="592"/>
      <c r="O311" s="179"/>
      <c r="P311" s="180"/>
      <c r="Q311" s="180">
        <v>400000</v>
      </c>
      <c r="R311" s="181">
        <f t="shared" si="95"/>
        <v>0.12048705203968313</v>
      </c>
      <c r="S311" s="181">
        <v>100</v>
      </c>
      <c r="T311" s="180">
        <f t="shared" si="88"/>
        <v>0</v>
      </c>
      <c r="U311" s="180">
        <f t="shared" si="94"/>
        <v>0</v>
      </c>
      <c r="V311" s="182">
        <f t="shared" si="92"/>
        <v>100</v>
      </c>
      <c r="W311" s="180"/>
      <c r="X311" s="180"/>
      <c r="Y311" s="180"/>
      <c r="Z311" s="180"/>
      <c r="AA311" s="180"/>
      <c r="AB311" s="180"/>
      <c r="AC311" s="180"/>
      <c r="AD311" s="180"/>
      <c r="AE311" s="180"/>
      <c r="AF311" s="180"/>
      <c r="AG311" s="180"/>
      <c r="AH311" s="180"/>
      <c r="AI311" s="180">
        <v>0</v>
      </c>
      <c r="AJ311" s="181">
        <f t="shared" si="89"/>
        <v>0</v>
      </c>
      <c r="AK311" s="246">
        <f t="shared" si="96"/>
        <v>400000</v>
      </c>
      <c r="AL311" s="181">
        <f t="shared" si="90"/>
        <v>100</v>
      </c>
      <c r="AM311" s="243"/>
    </row>
    <row r="312" spans="1:39" s="297" customFormat="1" ht="28.5" customHeight="1" x14ac:dyDescent="0.25">
      <c r="A312" s="227">
        <f>A304+1</f>
        <v>42</v>
      </c>
      <c r="B312" s="615" t="s">
        <v>150</v>
      </c>
      <c r="C312" s="615"/>
      <c r="D312" s="615"/>
      <c r="E312" s="615"/>
      <c r="F312" s="615"/>
      <c r="G312" s="615"/>
      <c r="H312" s="615"/>
      <c r="I312" s="614"/>
      <c r="J312" s="304" t="s">
        <v>486</v>
      </c>
      <c r="K312" s="230"/>
      <c r="L312" s="294"/>
      <c r="M312" s="610" t="s">
        <v>45</v>
      </c>
      <c r="N312" s="610"/>
      <c r="O312" s="309">
        <v>803450000</v>
      </c>
      <c r="P312" s="231">
        <f>O312</f>
        <v>803450000</v>
      </c>
      <c r="Q312" s="231">
        <f>SUM(Q313:Q319)</f>
        <v>77953471</v>
      </c>
      <c r="R312" s="233">
        <f>Q312/Q$243*100</f>
        <v>0.65354196614632576</v>
      </c>
      <c r="S312" s="233">
        <v>100</v>
      </c>
      <c r="T312" s="231">
        <f t="shared" si="88"/>
        <v>0</v>
      </c>
      <c r="U312" s="231">
        <f t="shared" si="94"/>
        <v>0</v>
      </c>
      <c r="V312" s="296">
        <f t="shared" si="92"/>
        <v>100</v>
      </c>
      <c r="W312" s="231"/>
      <c r="X312" s="231" t="e">
        <f>#REF!</f>
        <v>#REF!</v>
      </c>
      <c r="Y312" s="231" t="e">
        <f>#REF!</f>
        <v>#REF!</v>
      </c>
      <c r="Z312" s="231" t="e">
        <f>#REF!</f>
        <v>#REF!</v>
      </c>
      <c r="AA312" s="231" t="e">
        <f>#REF!</f>
        <v>#REF!</v>
      </c>
      <c r="AB312" s="231">
        <v>323021990</v>
      </c>
      <c r="AC312" s="231" t="e">
        <f>#REF!</f>
        <v>#REF!</v>
      </c>
      <c r="AD312" s="231" t="e">
        <f>#REF!</f>
        <v>#REF!</v>
      </c>
      <c r="AE312" s="231" t="e">
        <f>#REF!</f>
        <v>#REF!</v>
      </c>
      <c r="AF312" s="231" t="e">
        <f>[1]April!N61</f>
        <v>#REF!</v>
      </c>
      <c r="AG312" s="231" t="e">
        <f>[2]april!N61</f>
        <v>#REF!</v>
      </c>
      <c r="AH312" s="231">
        <f>'[3]DES SKPD'!$N61</f>
        <v>541082490</v>
      </c>
      <c r="AI312" s="231">
        <f>SUM(AI313:AI319)</f>
        <v>0</v>
      </c>
      <c r="AJ312" s="233">
        <f t="shared" si="89"/>
        <v>0</v>
      </c>
      <c r="AK312" s="234">
        <f t="shared" si="96"/>
        <v>77953471</v>
      </c>
      <c r="AL312" s="233">
        <f t="shared" si="90"/>
        <v>100</v>
      </c>
      <c r="AM312" s="227"/>
    </row>
    <row r="313" spans="1:39" ht="28.5" customHeight="1" x14ac:dyDescent="0.25">
      <c r="A313" s="243"/>
      <c r="B313" s="362"/>
      <c r="C313" s="362"/>
      <c r="D313" s="362"/>
      <c r="E313" s="362"/>
      <c r="F313" s="362"/>
      <c r="G313" s="362"/>
      <c r="H313" s="362"/>
      <c r="I313" s="363"/>
      <c r="J313" s="362" t="s">
        <v>326</v>
      </c>
      <c r="K313" s="245"/>
      <c r="L313" s="257"/>
      <c r="M313" s="591" t="s">
        <v>327</v>
      </c>
      <c r="N313" s="592"/>
      <c r="O313" s="179"/>
      <c r="P313" s="180"/>
      <c r="Q313" s="180">
        <v>33500000</v>
      </c>
      <c r="R313" s="181">
        <f t="shared" ref="R313:R319" si="97">Q313/Q$312*100</f>
        <v>42.974353252339462</v>
      </c>
      <c r="S313" s="181">
        <v>100</v>
      </c>
      <c r="T313" s="180">
        <f t="shared" si="88"/>
        <v>0</v>
      </c>
      <c r="U313" s="180">
        <f t="shared" si="94"/>
        <v>0</v>
      </c>
      <c r="V313" s="182">
        <f t="shared" si="92"/>
        <v>100</v>
      </c>
      <c r="W313" s="180"/>
      <c r="X313" s="180"/>
      <c r="Y313" s="180"/>
      <c r="Z313" s="180"/>
      <c r="AA313" s="180"/>
      <c r="AB313" s="180"/>
      <c r="AC313" s="180"/>
      <c r="AD313" s="180"/>
      <c r="AE313" s="180"/>
      <c r="AF313" s="180"/>
      <c r="AG313" s="180"/>
      <c r="AH313" s="180"/>
      <c r="AI313" s="180">
        <v>0</v>
      </c>
      <c r="AJ313" s="181">
        <f t="shared" si="89"/>
        <v>0</v>
      </c>
      <c r="AK313" s="246">
        <f t="shared" si="96"/>
        <v>33500000</v>
      </c>
      <c r="AL313" s="181">
        <f t="shared" si="90"/>
        <v>100</v>
      </c>
      <c r="AM313" s="243"/>
    </row>
    <row r="314" spans="1:39" ht="28.5" customHeight="1" x14ac:dyDescent="0.25">
      <c r="A314" s="243"/>
      <c r="B314" s="362"/>
      <c r="C314" s="362"/>
      <c r="D314" s="362"/>
      <c r="E314" s="362"/>
      <c r="F314" s="362"/>
      <c r="G314" s="362"/>
      <c r="H314" s="362"/>
      <c r="I314" s="363"/>
      <c r="J314" s="362" t="s">
        <v>323</v>
      </c>
      <c r="K314" s="245"/>
      <c r="L314" s="257"/>
      <c r="M314" s="591" t="s">
        <v>324</v>
      </c>
      <c r="N314" s="592"/>
      <c r="O314" s="179"/>
      <c r="P314" s="180"/>
      <c r="Q314" s="180">
        <v>9642000</v>
      </c>
      <c r="R314" s="181">
        <f t="shared" si="97"/>
        <v>12.368916837583795</v>
      </c>
      <c r="S314" s="181">
        <v>100</v>
      </c>
      <c r="T314" s="180">
        <f t="shared" si="88"/>
        <v>0</v>
      </c>
      <c r="U314" s="180">
        <f t="shared" si="94"/>
        <v>0</v>
      </c>
      <c r="V314" s="182">
        <f t="shared" si="92"/>
        <v>100</v>
      </c>
      <c r="W314" s="180"/>
      <c r="X314" s="180"/>
      <c r="Y314" s="180"/>
      <c r="Z314" s="180"/>
      <c r="AA314" s="180"/>
      <c r="AB314" s="180"/>
      <c r="AC314" s="180"/>
      <c r="AD314" s="180"/>
      <c r="AE314" s="180"/>
      <c r="AF314" s="180"/>
      <c r="AG314" s="180"/>
      <c r="AH314" s="180"/>
      <c r="AI314" s="180">
        <v>0</v>
      </c>
      <c r="AJ314" s="181">
        <f t="shared" si="89"/>
        <v>0</v>
      </c>
      <c r="AK314" s="246">
        <f t="shared" si="96"/>
        <v>9642000</v>
      </c>
      <c r="AL314" s="181">
        <f t="shared" si="90"/>
        <v>100</v>
      </c>
      <c r="AM314" s="243"/>
    </row>
    <row r="315" spans="1:39" ht="28.5" customHeight="1" x14ac:dyDescent="0.25">
      <c r="A315" s="243"/>
      <c r="B315" s="362"/>
      <c r="C315" s="362"/>
      <c r="D315" s="362"/>
      <c r="E315" s="362"/>
      <c r="F315" s="362"/>
      <c r="G315" s="362"/>
      <c r="H315" s="362"/>
      <c r="I315" s="363"/>
      <c r="J315" s="362" t="s">
        <v>269</v>
      </c>
      <c r="K315" s="245"/>
      <c r="L315" s="257"/>
      <c r="M315" s="591" t="s">
        <v>270</v>
      </c>
      <c r="N315" s="592"/>
      <c r="O315" s="179"/>
      <c r="P315" s="180"/>
      <c r="Q315" s="180">
        <v>1250000</v>
      </c>
      <c r="R315" s="181">
        <f t="shared" si="97"/>
        <v>1.6035206437440097</v>
      </c>
      <c r="S315" s="181">
        <v>100</v>
      </c>
      <c r="T315" s="180">
        <f t="shared" si="88"/>
        <v>0</v>
      </c>
      <c r="U315" s="180">
        <f t="shared" si="94"/>
        <v>0</v>
      </c>
      <c r="V315" s="182">
        <f t="shared" si="92"/>
        <v>100</v>
      </c>
      <c r="W315" s="180"/>
      <c r="X315" s="180"/>
      <c r="Y315" s="180"/>
      <c r="Z315" s="180"/>
      <c r="AA315" s="180"/>
      <c r="AB315" s="180"/>
      <c r="AC315" s="180"/>
      <c r="AD315" s="180"/>
      <c r="AE315" s="180"/>
      <c r="AF315" s="180"/>
      <c r="AG315" s="180"/>
      <c r="AH315" s="180"/>
      <c r="AI315" s="180">
        <v>0</v>
      </c>
      <c r="AJ315" s="181">
        <f t="shared" si="89"/>
        <v>0</v>
      </c>
      <c r="AK315" s="246">
        <f t="shared" si="96"/>
        <v>1250000</v>
      </c>
      <c r="AL315" s="181">
        <f t="shared" si="90"/>
        <v>100</v>
      </c>
      <c r="AM315" s="243"/>
    </row>
    <row r="316" spans="1:39" ht="28.5" customHeight="1" x14ac:dyDescent="0.25">
      <c r="A316" s="243"/>
      <c r="B316" s="362"/>
      <c r="C316" s="362"/>
      <c r="D316" s="362"/>
      <c r="E316" s="362"/>
      <c r="F316" s="362"/>
      <c r="G316" s="362"/>
      <c r="H316" s="362"/>
      <c r="I316" s="363"/>
      <c r="J316" s="362" t="s">
        <v>315</v>
      </c>
      <c r="K316" s="245"/>
      <c r="L316" s="257"/>
      <c r="M316" s="591" t="s">
        <v>271</v>
      </c>
      <c r="N316" s="592"/>
      <c r="O316" s="179"/>
      <c r="P316" s="180"/>
      <c r="Q316" s="180">
        <v>17421471</v>
      </c>
      <c r="R316" s="181">
        <f t="shared" si="97"/>
        <v>22.348550714310079</v>
      </c>
      <c r="S316" s="181">
        <v>100</v>
      </c>
      <c r="T316" s="180">
        <f t="shared" si="88"/>
        <v>0</v>
      </c>
      <c r="U316" s="180">
        <f t="shared" si="94"/>
        <v>0</v>
      </c>
      <c r="V316" s="182">
        <f t="shared" si="92"/>
        <v>100</v>
      </c>
      <c r="W316" s="180"/>
      <c r="X316" s="180"/>
      <c r="Y316" s="180"/>
      <c r="Z316" s="180"/>
      <c r="AA316" s="180"/>
      <c r="AB316" s="180"/>
      <c r="AC316" s="180"/>
      <c r="AD316" s="180"/>
      <c r="AE316" s="180"/>
      <c r="AF316" s="180"/>
      <c r="AG316" s="180"/>
      <c r="AH316" s="180"/>
      <c r="AI316" s="180">
        <v>0</v>
      </c>
      <c r="AJ316" s="181">
        <f t="shared" si="89"/>
        <v>0</v>
      </c>
      <c r="AK316" s="246">
        <f t="shared" si="96"/>
        <v>17421471</v>
      </c>
      <c r="AL316" s="181">
        <f t="shared" si="90"/>
        <v>100</v>
      </c>
      <c r="AM316" s="243"/>
    </row>
    <row r="317" spans="1:39" ht="28.5" customHeight="1" x14ac:dyDescent="0.25">
      <c r="A317" s="243"/>
      <c r="B317" s="362"/>
      <c r="C317" s="362"/>
      <c r="D317" s="362"/>
      <c r="E317" s="362"/>
      <c r="F317" s="362"/>
      <c r="G317" s="362"/>
      <c r="H317" s="362"/>
      <c r="I317" s="363"/>
      <c r="J317" s="362" t="s">
        <v>318</v>
      </c>
      <c r="K317" s="245"/>
      <c r="L317" s="257"/>
      <c r="M317" s="591" t="s">
        <v>281</v>
      </c>
      <c r="N317" s="592"/>
      <c r="O317" s="179"/>
      <c r="P317" s="180"/>
      <c r="Q317" s="180">
        <v>2250000</v>
      </c>
      <c r="R317" s="181">
        <f t="shared" si="97"/>
        <v>2.8863371587392175</v>
      </c>
      <c r="S317" s="181">
        <v>100</v>
      </c>
      <c r="T317" s="180">
        <f t="shared" si="88"/>
        <v>0</v>
      </c>
      <c r="U317" s="180">
        <f t="shared" si="94"/>
        <v>0</v>
      </c>
      <c r="V317" s="182">
        <f t="shared" si="92"/>
        <v>100</v>
      </c>
      <c r="W317" s="180"/>
      <c r="X317" s="180"/>
      <c r="Y317" s="180"/>
      <c r="Z317" s="180"/>
      <c r="AA317" s="180"/>
      <c r="AB317" s="180"/>
      <c r="AC317" s="180"/>
      <c r="AD317" s="180"/>
      <c r="AE317" s="180"/>
      <c r="AF317" s="180"/>
      <c r="AG317" s="180"/>
      <c r="AH317" s="180"/>
      <c r="AI317" s="180">
        <v>0</v>
      </c>
      <c r="AJ317" s="181">
        <f t="shared" si="89"/>
        <v>0</v>
      </c>
      <c r="AK317" s="246">
        <f t="shared" si="96"/>
        <v>2250000</v>
      </c>
      <c r="AL317" s="181">
        <f t="shared" si="90"/>
        <v>100</v>
      </c>
      <c r="AM317" s="243"/>
    </row>
    <row r="318" spans="1:39" ht="28.5" customHeight="1" x14ac:dyDescent="0.25">
      <c r="A318" s="243"/>
      <c r="B318" s="362"/>
      <c r="C318" s="362"/>
      <c r="D318" s="362"/>
      <c r="E318" s="362"/>
      <c r="F318" s="362"/>
      <c r="G318" s="362"/>
      <c r="H318" s="362"/>
      <c r="I318" s="363"/>
      <c r="J318" s="362" t="s">
        <v>284</v>
      </c>
      <c r="K318" s="245"/>
      <c r="L318" s="257"/>
      <c r="M318" s="591" t="s">
        <v>285</v>
      </c>
      <c r="N318" s="592"/>
      <c r="O318" s="179"/>
      <c r="P318" s="180"/>
      <c r="Q318" s="180">
        <v>2640000</v>
      </c>
      <c r="R318" s="181">
        <f t="shared" si="97"/>
        <v>3.3866355995873487</v>
      </c>
      <c r="S318" s="181">
        <v>100</v>
      </c>
      <c r="T318" s="180">
        <f t="shared" si="88"/>
        <v>0</v>
      </c>
      <c r="U318" s="180">
        <f t="shared" si="94"/>
        <v>0</v>
      </c>
      <c r="V318" s="182">
        <f t="shared" si="92"/>
        <v>100</v>
      </c>
      <c r="W318" s="180"/>
      <c r="X318" s="180"/>
      <c r="Y318" s="180"/>
      <c r="Z318" s="180"/>
      <c r="AA318" s="180"/>
      <c r="AB318" s="180"/>
      <c r="AC318" s="180"/>
      <c r="AD318" s="180"/>
      <c r="AE318" s="180"/>
      <c r="AF318" s="180"/>
      <c r="AG318" s="180"/>
      <c r="AH318" s="180"/>
      <c r="AI318" s="180">
        <v>0</v>
      </c>
      <c r="AJ318" s="181">
        <f t="shared" si="89"/>
        <v>0</v>
      </c>
      <c r="AK318" s="246">
        <f t="shared" si="96"/>
        <v>2640000</v>
      </c>
      <c r="AL318" s="181">
        <f t="shared" si="90"/>
        <v>100</v>
      </c>
      <c r="AM318" s="243"/>
    </row>
    <row r="319" spans="1:39" ht="28.5" customHeight="1" x14ac:dyDescent="0.25">
      <c r="A319" s="243"/>
      <c r="B319" s="362"/>
      <c r="C319" s="362"/>
      <c r="D319" s="362"/>
      <c r="E319" s="362"/>
      <c r="F319" s="362"/>
      <c r="G319" s="362"/>
      <c r="H319" s="362"/>
      <c r="I319" s="363"/>
      <c r="J319" s="362" t="s">
        <v>282</v>
      </c>
      <c r="K319" s="245"/>
      <c r="L319" s="257"/>
      <c r="M319" s="591" t="s">
        <v>283</v>
      </c>
      <c r="N319" s="592"/>
      <c r="O319" s="179"/>
      <c r="P319" s="180"/>
      <c r="Q319" s="180">
        <v>11250000</v>
      </c>
      <c r="R319" s="181">
        <f t="shared" si="97"/>
        <v>14.431685793696088</v>
      </c>
      <c r="S319" s="181">
        <v>100</v>
      </c>
      <c r="T319" s="180">
        <f t="shared" si="88"/>
        <v>0</v>
      </c>
      <c r="U319" s="180">
        <f t="shared" si="94"/>
        <v>0</v>
      </c>
      <c r="V319" s="182">
        <f t="shared" si="92"/>
        <v>100</v>
      </c>
      <c r="W319" s="180"/>
      <c r="X319" s="180"/>
      <c r="Y319" s="180"/>
      <c r="Z319" s="180"/>
      <c r="AA319" s="180"/>
      <c r="AB319" s="180"/>
      <c r="AC319" s="180"/>
      <c r="AD319" s="180"/>
      <c r="AE319" s="180"/>
      <c r="AF319" s="180"/>
      <c r="AG319" s="180"/>
      <c r="AH319" s="180"/>
      <c r="AI319" s="180">
        <v>0</v>
      </c>
      <c r="AJ319" s="181">
        <f t="shared" si="89"/>
        <v>0</v>
      </c>
      <c r="AK319" s="246">
        <f t="shared" si="96"/>
        <v>11250000</v>
      </c>
      <c r="AL319" s="181">
        <f t="shared" si="90"/>
        <v>100</v>
      </c>
      <c r="AM319" s="243"/>
    </row>
    <row r="320" spans="1:39" s="297" customFormat="1" ht="47.25" customHeight="1" x14ac:dyDescent="0.25">
      <c r="A320" s="227">
        <f>A312+1</f>
        <v>43</v>
      </c>
      <c r="B320" s="615" t="s">
        <v>151</v>
      </c>
      <c r="C320" s="615"/>
      <c r="D320" s="615"/>
      <c r="E320" s="615"/>
      <c r="F320" s="615"/>
      <c r="G320" s="615"/>
      <c r="H320" s="615"/>
      <c r="I320" s="614"/>
      <c r="J320" s="304" t="s">
        <v>487</v>
      </c>
      <c r="K320" s="230"/>
      <c r="L320" s="294"/>
      <c r="M320" s="610" t="s">
        <v>46</v>
      </c>
      <c r="N320" s="610"/>
      <c r="O320" s="309">
        <v>66400000</v>
      </c>
      <c r="P320" s="231">
        <f>O320</f>
        <v>66400000</v>
      </c>
      <c r="Q320" s="231">
        <f>SUM(Q321:Q326)</f>
        <v>38384665</v>
      </c>
      <c r="R320" s="233">
        <f>Q320/Q$243*100</f>
        <v>0.32180721540889506</v>
      </c>
      <c r="S320" s="233">
        <v>100</v>
      </c>
      <c r="T320" s="231">
        <f t="shared" si="88"/>
        <v>0</v>
      </c>
      <c r="U320" s="231">
        <f t="shared" si="94"/>
        <v>0</v>
      </c>
      <c r="V320" s="296">
        <f t="shared" si="92"/>
        <v>100</v>
      </c>
      <c r="W320" s="231"/>
      <c r="X320" s="231" t="e">
        <f>#REF!</f>
        <v>#REF!</v>
      </c>
      <c r="Y320" s="231" t="e">
        <f>#REF!</f>
        <v>#REF!</v>
      </c>
      <c r="Z320" s="231" t="e">
        <f>#REF!</f>
        <v>#REF!</v>
      </c>
      <c r="AA320" s="231" t="e">
        <f>#REF!</f>
        <v>#REF!</v>
      </c>
      <c r="AB320" s="231">
        <v>323021990</v>
      </c>
      <c r="AC320" s="231" t="e">
        <f>#REF!</f>
        <v>#REF!</v>
      </c>
      <c r="AD320" s="231" t="e">
        <f>#REF!</f>
        <v>#REF!</v>
      </c>
      <c r="AE320" s="231" t="e">
        <f>#REF!</f>
        <v>#REF!</v>
      </c>
      <c r="AF320" s="231" t="e">
        <f>[1]April!N62</f>
        <v>#REF!</v>
      </c>
      <c r="AG320" s="231" t="e">
        <f>[2]april!N62</f>
        <v>#REF!</v>
      </c>
      <c r="AH320" s="231">
        <f>'[3]DES SKPD'!$N62</f>
        <v>58437000</v>
      </c>
      <c r="AI320" s="231">
        <f>SUM(AI321:AI326)</f>
        <v>0</v>
      </c>
      <c r="AJ320" s="233">
        <f t="shared" si="89"/>
        <v>0</v>
      </c>
      <c r="AK320" s="234">
        <f t="shared" si="96"/>
        <v>38384665</v>
      </c>
      <c r="AL320" s="233">
        <f t="shared" si="90"/>
        <v>100</v>
      </c>
      <c r="AM320" s="227"/>
    </row>
    <row r="321" spans="1:39" ht="28.5" customHeight="1" x14ac:dyDescent="0.25">
      <c r="A321" s="243"/>
      <c r="B321" s="362"/>
      <c r="C321" s="362"/>
      <c r="D321" s="362"/>
      <c r="E321" s="362"/>
      <c r="F321" s="362"/>
      <c r="G321" s="362"/>
      <c r="H321" s="362"/>
      <c r="I321" s="363"/>
      <c r="J321" s="362" t="s">
        <v>326</v>
      </c>
      <c r="K321" s="245"/>
      <c r="L321" s="257"/>
      <c r="M321" s="591" t="s">
        <v>327</v>
      </c>
      <c r="N321" s="592"/>
      <c r="O321" s="179"/>
      <c r="P321" s="180"/>
      <c r="Q321" s="180">
        <v>16750000</v>
      </c>
      <c r="R321" s="181">
        <f t="shared" ref="R321:R326" si="98">Q321/Q$320*100</f>
        <v>43.637218144277142</v>
      </c>
      <c r="S321" s="181">
        <v>100</v>
      </c>
      <c r="T321" s="180">
        <f t="shared" si="88"/>
        <v>0</v>
      </c>
      <c r="U321" s="180">
        <f t="shared" si="94"/>
        <v>0</v>
      </c>
      <c r="V321" s="182">
        <f t="shared" si="92"/>
        <v>100</v>
      </c>
      <c r="W321" s="180"/>
      <c r="X321" s="180"/>
      <c r="Y321" s="180"/>
      <c r="Z321" s="180"/>
      <c r="AA321" s="180"/>
      <c r="AB321" s="180"/>
      <c r="AC321" s="180"/>
      <c r="AD321" s="180"/>
      <c r="AE321" s="180"/>
      <c r="AF321" s="180"/>
      <c r="AG321" s="180"/>
      <c r="AH321" s="180"/>
      <c r="AI321" s="180">
        <v>0</v>
      </c>
      <c r="AJ321" s="181">
        <f t="shared" si="89"/>
        <v>0</v>
      </c>
      <c r="AK321" s="246">
        <f t="shared" si="96"/>
        <v>16750000</v>
      </c>
      <c r="AL321" s="181">
        <f t="shared" si="90"/>
        <v>100</v>
      </c>
      <c r="AM321" s="243"/>
    </row>
    <row r="322" spans="1:39" ht="28.5" customHeight="1" x14ac:dyDescent="0.25">
      <c r="A322" s="243"/>
      <c r="B322" s="362"/>
      <c r="C322" s="362"/>
      <c r="D322" s="362"/>
      <c r="E322" s="362"/>
      <c r="F322" s="362"/>
      <c r="G322" s="362"/>
      <c r="H322" s="362"/>
      <c r="I322" s="363"/>
      <c r="J322" s="362" t="s">
        <v>323</v>
      </c>
      <c r="K322" s="245"/>
      <c r="L322" s="257"/>
      <c r="M322" s="591" t="s">
        <v>324</v>
      </c>
      <c r="N322" s="592"/>
      <c r="O322" s="179"/>
      <c r="P322" s="180"/>
      <c r="Q322" s="180">
        <v>5934000</v>
      </c>
      <c r="R322" s="181">
        <f t="shared" si="98"/>
        <v>15.459298654814363</v>
      </c>
      <c r="S322" s="181">
        <v>100</v>
      </c>
      <c r="T322" s="180">
        <f t="shared" si="88"/>
        <v>0</v>
      </c>
      <c r="U322" s="180">
        <f t="shared" si="94"/>
        <v>0</v>
      </c>
      <c r="V322" s="182">
        <f t="shared" si="92"/>
        <v>100</v>
      </c>
      <c r="W322" s="180"/>
      <c r="X322" s="180"/>
      <c r="Y322" s="180"/>
      <c r="Z322" s="180"/>
      <c r="AA322" s="180"/>
      <c r="AB322" s="180"/>
      <c r="AC322" s="180"/>
      <c r="AD322" s="180"/>
      <c r="AE322" s="180"/>
      <c r="AF322" s="180"/>
      <c r="AG322" s="180"/>
      <c r="AH322" s="180"/>
      <c r="AI322" s="180">
        <v>0</v>
      </c>
      <c r="AJ322" s="181">
        <f t="shared" si="89"/>
        <v>0</v>
      </c>
      <c r="AK322" s="246">
        <f t="shared" si="96"/>
        <v>5934000</v>
      </c>
      <c r="AL322" s="181">
        <f t="shared" si="90"/>
        <v>100</v>
      </c>
      <c r="AM322" s="243"/>
    </row>
    <row r="323" spans="1:39" ht="28.5" customHeight="1" x14ac:dyDescent="0.25">
      <c r="A323" s="243"/>
      <c r="B323" s="362"/>
      <c r="C323" s="362"/>
      <c r="D323" s="362"/>
      <c r="E323" s="362"/>
      <c r="F323" s="362"/>
      <c r="G323" s="362"/>
      <c r="H323" s="362"/>
      <c r="I323" s="363"/>
      <c r="J323" s="362" t="s">
        <v>269</v>
      </c>
      <c r="K323" s="245"/>
      <c r="L323" s="257"/>
      <c r="M323" s="591" t="s">
        <v>270</v>
      </c>
      <c r="N323" s="592"/>
      <c r="O323" s="179"/>
      <c r="P323" s="180"/>
      <c r="Q323" s="180">
        <v>4000000</v>
      </c>
      <c r="R323" s="181">
        <f t="shared" si="98"/>
        <v>10.420828213558723</v>
      </c>
      <c r="S323" s="181">
        <v>100</v>
      </c>
      <c r="T323" s="180">
        <f t="shared" si="88"/>
        <v>0</v>
      </c>
      <c r="U323" s="180">
        <f t="shared" si="94"/>
        <v>0</v>
      </c>
      <c r="V323" s="182">
        <f t="shared" si="92"/>
        <v>100</v>
      </c>
      <c r="W323" s="180"/>
      <c r="X323" s="180"/>
      <c r="Y323" s="180"/>
      <c r="Z323" s="180"/>
      <c r="AA323" s="180"/>
      <c r="AB323" s="180"/>
      <c r="AC323" s="180"/>
      <c r="AD323" s="180"/>
      <c r="AE323" s="180"/>
      <c r="AF323" s="180"/>
      <c r="AG323" s="180"/>
      <c r="AH323" s="180"/>
      <c r="AI323" s="180">
        <v>0</v>
      </c>
      <c r="AJ323" s="181">
        <f t="shared" si="89"/>
        <v>0</v>
      </c>
      <c r="AK323" s="246">
        <f t="shared" si="96"/>
        <v>4000000</v>
      </c>
      <c r="AL323" s="181">
        <f t="shared" si="90"/>
        <v>100</v>
      </c>
      <c r="AM323" s="243"/>
    </row>
    <row r="324" spans="1:39" ht="28.5" customHeight="1" x14ac:dyDescent="0.25">
      <c r="A324" s="243"/>
      <c r="B324" s="362"/>
      <c r="C324" s="362"/>
      <c r="D324" s="362"/>
      <c r="E324" s="362"/>
      <c r="F324" s="362"/>
      <c r="G324" s="362"/>
      <c r="H324" s="362"/>
      <c r="I324" s="363"/>
      <c r="J324" s="362" t="s">
        <v>315</v>
      </c>
      <c r="K324" s="245"/>
      <c r="L324" s="257"/>
      <c r="M324" s="591" t="s">
        <v>271</v>
      </c>
      <c r="N324" s="592"/>
      <c r="O324" s="179"/>
      <c r="P324" s="180"/>
      <c r="Q324" s="180">
        <v>6000000</v>
      </c>
      <c r="R324" s="181">
        <f t="shared" si="98"/>
        <v>15.631242320338082</v>
      </c>
      <c r="S324" s="181">
        <v>100</v>
      </c>
      <c r="T324" s="180">
        <f t="shared" si="88"/>
        <v>0</v>
      </c>
      <c r="U324" s="180">
        <f t="shared" si="94"/>
        <v>0</v>
      </c>
      <c r="V324" s="182">
        <f t="shared" si="92"/>
        <v>100</v>
      </c>
      <c r="W324" s="180"/>
      <c r="X324" s="180"/>
      <c r="Y324" s="180"/>
      <c r="Z324" s="180"/>
      <c r="AA324" s="180"/>
      <c r="AB324" s="180"/>
      <c r="AC324" s="180"/>
      <c r="AD324" s="180"/>
      <c r="AE324" s="180"/>
      <c r="AF324" s="180"/>
      <c r="AG324" s="180"/>
      <c r="AH324" s="180"/>
      <c r="AI324" s="180">
        <v>0</v>
      </c>
      <c r="AJ324" s="181">
        <f t="shared" si="89"/>
        <v>0</v>
      </c>
      <c r="AK324" s="246">
        <f t="shared" si="96"/>
        <v>6000000</v>
      </c>
      <c r="AL324" s="181">
        <f t="shared" si="90"/>
        <v>100</v>
      </c>
      <c r="AM324" s="243"/>
    </row>
    <row r="325" spans="1:39" ht="28.5" customHeight="1" x14ac:dyDescent="0.25">
      <c r="A325" s="243"/>
      <c r="B325" s="362"/>
      <c r="C325" s="362"/>
      <c r="D325" s="362"/>
      <c r="E325" s="362"/>
      <c r="F325" s="362"/>
      <c r="G325" s="362"/>
      <c r="H325" s="362"/>
      <c r="I325" s="363"/>
      <c r="J325" s="362" t="s">
        <v>339</v>
      </c>
      <c r="K325" s="245"/>
      <c r="L325" s="257"/>
      <c r="M325" s="591" t="s">
        <v>340</v>
      </c>
      <c r="N325" s="592"/>
      <c r="O325" s="179"/>
      <c r="P325" s="180"/>
      <c r="Q325" s="180">
        <v>1500000</v>
      </c>
      <c r="R325" s="181">
        <f t="shared" si="98"/>
        <v>3.9078105800845204</v>
      </c>
      <c r="S325" s="181">
        <v>100</v>
      </c>
      <c r="T325" s="180">
        <f t="shared" si="88"/>
        <v>0</v>
      </c>
      <c r="U325" s="180">
        <f t="shared" si="94"/>
        <v>0</v>
      </c>
      <c r="V325" s="182">
        <f t="shared" si="92"/>
        <v>100</v>
      </c>
      <c r="W325" s="180"/>
      <c r="X325" s="180"/>
      <c r="Y325" s="180"/>
      <c r="Z325" s="180"/>
      <c r="AA325" s="180"/>
      <c r="AB325" s="180"/>
      <c r="AC325" s="180"/>
      <c r="AD325" s="180"/>
      <c r="AE325" s="180"/>
      <c r="AF325" s="180"/>
      <c r="AG325" s="180"/>
      <c r="AH325" s="180"/>
      <c r="AI325" s="180">
        <v>0</v>
      </c>
      <c r="AJ325" s="181">
        <f t="shared" si="89"/>
        <v>0</v>
      </c>
      <c r="AK325" s="246">
        <f t="shared" si="96"/>
        <v>1500000</v>
      </c>
      <c r="AL325" s="181">
        <f t="shared" si="90"/>
        <v>100</v>
      </c>
      <c r="AM325" s="243"/>
    </row>
    <row r="326" spans="1:39" ht="28.5" customHeight="1" x14ac:dyDescent="0.25">
      <c r="A326" s="243"/>
      <c r="B326" s="362"/>
      <c r="C326" s="362"/>
      <c r="D326" s="362"/>
      <c r="E326" s="362"/>
      <c r="F326" s="362"/>
      <c r="G326" s="362"/>
      <c r="H326" s="362"/>
      <c r="I326" s="363"/>
      <c r="J326" s="362" t="s">
        <v>282</v>
      </c>
      <c r="K326" s="245"/>
      <c r="L326" s="257"/>
      <c r="M326" s="591" t="s">
        <v>590</v>
      </c>
      <c r="N326" s="592"/>
      <c r="O326" s="179"/>
      <c r="P326" s="180"/>
      <c r="Q326" s="180">
        <v>4200665</v>
      </c>
      <c r="R326" s="181">
        <f t="shared" si="98"/>
        <v>10.943602086927163</v>
      </c>
      <c r="S326" s="181">
        <v>100</v>
      </c>
      <c r="T326" s="180">
        <f t="shared" si="88"/>
        <v>0</v>
      </c>
      <c r="U326" s="180">
        <f t="shared" si="94"/>
        <v>0</v>
      </c>
      <c r="V326" s="182">
        <f t="shared" si="92"/>
        <v>100</v>
      </c>
      <c r="W326" s="180"/>
      <c r="X326" s="180"/>
      <c r="Y326" s="180"/>
      <c r="Z326" s="180"/>
      <c r="AA326" s="180"/>
      <c r="AB326" s="180"/>
      <c r="AC326" s="180"/>
      <c r="AD326" s="180"/>
      <c r="AE326" s="180"/>
      <c r="AF326" s="180"/>
      <c r="AG326" s="180"/>
      <c r="AH326" s="180"/>
      <c r="AI326" s="180">
        <v>0</v>
      </c>
      <c r="AJ326" s="181">
        <f t="shared" si="89"/>
        <v>0</v>
      </c>
      <c r="AK326" s="246">
        <f t="shared" si="96"/>
        <v>4200665</v>
      </c>
      <c r="AL326" s="181">
        <f t="shared" si="90"/>
        <v>100</v>
      </c>
      <c r="AM326" s="243"/>
    </row>
    <row r="327" spans="1:39" s="311" customFormat="1" ht="27.75" customHeight="1" x14ac:dyDescent="0.25">
      <c r="A327" s="227">
        <f>SUM(A320+1)</f>
        <v>44</v>
      </c>
      <c r="B327" s="367"/>
      <c r="C327" s="367"/>
      <c r="D327" s="367"/>
      <c r="E327" s="367"/>
      <c r="F327" s="367"/>
      <c r="G327" s="367"/>
      <c r="H327" s="367"/>
      <c r="I327" s="366"/>
      <c r="J327" s="304" t="s">
        <v>488</v>
      </c>
      <c r="K327" s="230"/>
      <c r="L327" s="294"/>
      <c r="M327" s="609" t="s">
        <v>198</v>
      </c>
      <c r="N327" s="614"/>
      <c r="O327" s="310"/>
      <c r="P327" s="231"/>
      <c r="Q327" s="231">
        <f>SUM(Q328:Q333)</f>
        <v>139532300</v>
      </c>
      <c r="R327" s="233">
        <f>Q327/Q$243*100</f>
        <v>1.1698031211839044</v>
      </c>
      <c r="S327" s="233">
        <v>100</v>
      </c>
      <c r="T327" s="231">
        <f t="shared" si="88"/>
        <v>0</v>
      </c>
      <c r="U327" s="231">
        <f t="shared" si="94"/>
        <v>0</v>
      </c>
      <c r="V327" s="296">
        <f t="shared" si="92"/>
        <v>100</v>
      </c>
      <c r="W327" s="231"/>
      <c r="X327" s="231" t="e">
        <f>#REF!</f>
        <v>#REF!</v>
      </c>
      <c r="Y327" s="231" t="e">
        <f>#REF!</f>
        <v>#REF!</v>
      </c>
      <c r="Z327" s="231" t="e">
        <f>#REF!</f>
        <v>#REF!</v>
      </c>
      <c r="AA327" s="231" t="e">
        <f>#REF!</f>
        <v>#REF!</v>
      </c>
      <c r="AB327" s="231">
        <v>323021990</v>
      </c>
      <c r="AC327" s="231" t="e">
        <f>#REF!</f>
        <v>#REF!</v>
      </c>
      <c r="AD327" s="231" t="e">
        <f>#REF!</f>
        <v>#REF!</v>
      </c>
      <c r="AE327" s="231" t="e">
        <f>#REF!</f>
        <v>#REF!</v>
      </c>
      <c r="AF327" s="231" t="e">
        <f>[1]April!N63</f>
        <v>#REF!</v>
      </c>
      <c r="AG327" s="231" t="e">
        <f>[2]april!N63</f>
        <v>#REF!</v>
      </c>
      <c r="AH327" s="231">
        <f>'[3]DES SKPD'!$N63</f>
        <v>174573000</v>
      </c>
      <c r="AI327" s="231">
        <f>SUM(AI328:AI333)</f>
        <v>0</v>
      </c>
      <c r="AJ327" s="233">
        <f t="shared" si="89"/>
        <v>0</v>
      </c>
      <c r="AK327" s="234">
        <f t="shared" si="96"/>
        <v>139532300</v>
      </c>
      <c r="AL327" s="233">
        <f t="shared" si="90"/>
        <v>100</v>
      </c>
      <c r="AM327" s="227"/>
    </row>
    <row r="328" spans="1:39" ht="27.75" customHeight="1" x14ac:dyDescent="0.25">
      <c r="A328" s="243"/>
      <c r="B328" s="362"/>
      <c r="C328" s="362"/>
      <c r="D328" s="362"/>
      <c r="E328" s="362"/>
      <c r="F328" s="362"/>
      <c r="G328" s="362"/>
      <c r="H328" s="362"/>
      <c r="I328" s="363"/>
      <c r="J328" s="362" t="s">
        <v>257</v>
      </c>
      <c r="K328" s="245"/>
      <c r="L328" s="257"/>
      <c r="M328" s="591" t="s">
        <v>428</v>
      </c>
      <c r="N328" s="592"/>
      <c r="O328" s="179"/>
      <c r="P328" s="180"/>
      <c r="Q328" s="180">
        <v>2000000</v>
      </c>
      <c r="R328" s="181">
        <f t="shared" ref="R328:R333" si="99">Q328/Q$327*100</f>
        <v>1.4333598743803406</v>
      </c>
      <c r="S328" s="181">
        <v>100</v>
      </c>
      <c r="T328" s="180">
        <f t="shared" si="88"/>
        <v>0</v>
      </c>
      <c r="U328" s="180">
        <f t="shared" si="94"/>
        <v>0</v>
      </c>
      <c r="V328" s="182">
        <f t="shared" si="92"/>
        <v>100</v>
      </c>
      <c r="W328" s="180"/>
      <c r="X328" s="180"/>
      <c r="Y328" s="180"/>
      <c r="Z328" s="180"/>
      <c r="AA328" s="180"/>
      <c r="AB328" s="180"/>
      <c r="AC328" s="180"/>
      <c r="AD328" s="180"/>
      <c r="AE328" s="180"/>
      <c r="AF328" s="180"/>
      <c r="AG328" s="180"/>
      <c r="AH328" s="180"/>
      <c r="AI328" s="180">
        <v>0</v>
      </c>
      <c r="AJ328" s="181">
        <f t="shared" si="89"/>
        <v>0</v>
      </c>
      <c r="AK328" s="246">
        <f t="shared" si="96"/>
        <v>2000000</v>
      </c>
      <c r="AL328" s="181">
        <f t="shared" si="90"/>
        <v>100</v>
      </c>
      <c r="AM328" s="243"/>
    </row>
    <row r="329" spans="1:39" ht="27.75" customHeight="1" x14ac:dyDescent="0.25">
      <c r="A329" s="243"/>
      <c r="B329" s="362"/>
      <c r="C329" s="362"/>
      <c r="D329" s="362"/>
      <c r="E329" s="362"/>
      <c r="F329" s="362"/>
      <c r="G329" s="362"/>
      <c r="H329" s="362"/>
      <c r="I329" s="363"/>
      <c r="J329" s="362" t="s">
        <v>259</v>
      </c>
      <c r="K329" s="245"/>
      <c r="L329" s="257"/>
      <c r="M329" s="591" t="s">
        <v>340</v>
      </c>
      <c r="N329" s="592"/>
      <c r="O329" s="179"/>
      <c r="P329" s="180"/>
      <c r="Q329" s="180">
        <v>7500000</v>
      </c>
      <c r="R329" s="181">
        <f t="shared" si="99"/>
        <v>5.3750995289262775</v>
      </c>
      <c r="S329" s="181">
        <v>100</v>
      </c>
      <c r="T329" s="180">
        <f t="shared" si="88"/>
        <v>0</v>
      </c>
      <c r="U329" s="180">
        <f t="shared" si="94"/>
        <v>0</v>
      </c>
      <c r="V329" s="182">
        <f t="shared" si="92"/>
        <v>100</v>
      </c>
      <c r="W329" s="180"/>
      <c r="X329" s="180"/>
      <c r="Y329" s="180"/>
      <c r="Z329" s="180"/>
      <c r="AA329" s="180"/>
      <c r="AB329" s="180"/>
      <c r="AC329" s="180"/>
      <c r="AD329" s="180"/>
      <c r="AE329" s="180"/>
      <c r="AF329" s="180"/>
      <c r="AG329" s="180"/>
      <c r="AH329" s="180"/>
      <c r="AI329" s="180">
        <v>0</v>
      </c>
      <c r="AJ329" s="181">
        <f t="shared" si="89"/>
        <v>0</v>
      </c>
      <c r="AK329" s="246">
        <f t="shared" si="96"/>
        <v>7500000</v>
      </c>
      <c r="AL329" s="181">
        <f t="shared" si="90"/>
        <v>100</v>
      </c>
      <c r="AM329" s="243"/>
    </row>
    <row r="330" spans="1:39" ht="27.75" customHeight="1" x14ac:dyDescent="0.25">
      <c r="A330" s="243"/>
      <c r="B330" s="362"/>
      <c r="C330" s="362"/>
      <c r="D330" s="362"/>
      <c r="E330" s="362"/>
      <c r="F330" s="362"/>
      <c r="G330" s="362"/>
      <c r="H330" s="362"/>
      <c r="I330" s="363"/>
      <c r="J330" s="362" t="s">
        <v>323</v>
      </c>
      <c r="K330" s="245"/>
      <c r="L330" s="257"/>
      <c r="M330" s="591" t="s">
        <v>605</v>
      </c>
      <c r="N330" s="592"/>
      <c r="O330" s="179"/>
      <c r="P330" s="180"/>
      <c r="Q330" s="180">
        <v>24232300</v>
      </c>
      <c r="R330" s="181">
        <f t="shared" si="99"/>
        <v>17.366803241973365</v>
      </c>
      <c r="S330" s="181">
        <v>100</v>
      </c>
      <c r="T330" s="180">
        <f t="shared" si="88"/>
        <v>0</v>
      </c>
      <c r="U330" s="180">
        <f t="shared" si="94"/>
        <v>0</v>
      </c>
      <c r="V330" s="182">
        <f t="shared" si="92"/>
        <v>100</v>
      </c>
      <c r="W330" s="180"/>
      <c r="X330" s="180"/>
      <c r="Y330" s="180"/>
      <c r="Z330" s="180"/>
      <c r="AA330" s="180"/>
      <c r="AB330" s="180"/>
      <c r="AC330" s="180"/>
      <c r="AD330" s="180"/>
      <c r="AE330" s="180"/>
      <c r="AF330" s="180"/>
      <c r="AG330" s="180"/>
      <c r="AH330" s="180"/>
      <c r="AI330" s="180">
        <v>0</v>
      </c>
      <c r="AJ330" s="181">
        <f t="shared" si="89"/>
        <v>0</v>
      </c>
      <c r="AK330" s="246">
        <f t="shared" si="96"/>
        <v>24232300</v>
      </c>
      <c r="AL330" s="181">
        <f t="shared" si="90"/>
        <v>100</v>
      </c>
      <c r="AM330" s="243"/>
    </row>
    <row r="331" spans="1:39" ht="27.75" customHeight="1" x14ac:dyDescent="0.25">
      <c r="A331" s="243"/>
      <c r="B331" s="362"/>
      <c r="C331" s="362"/>
      <c r="D331" s="362"/>
      <c r="E331" s="362"/>
      <c r="F331" s="362"/>
      <c r="G331" s="362"/>
      <c r="H331" s="362"/>
      <c r="I331" s="363"/>
      <c r="J331" s="362" t="s">
        <v>315</v>
      </c>
      <c r="K331" s="245"/>
      <c r="L331" s="257"/>
      <c r="M331" s="591" t="s">
        <v>321</v>
      </c>
      <c r="N331" s="592"/>
      <c r="O331" s="179"/>
      <c r="P331" s="180"/>
      <c r="Q331" s="180">
        <v>3800000</v>
      </c>
      <c r="R331" s="181">
        <f t="shared" si="99"/>
        <v>2.7233837613226468</v>
      </c>
      <c r="S331" s="181">
        <v>100</v>
      </c>
      <c r="T331" s="180">
        <f t="shared" si="88"/>
        <v>0</v>
      </c>
      <c r="U331" s="180">
        <f t="shared" si="94"/>
        <v>0</v>
      </c>
      <c r="V331" s="182">
        <f t="shared" si="92"/>
        <v>100</v>
      </c>
      <c r="W331" s="180"/>
      <c r="X331" s="180"/>
      <c r="Y331" s="180"/>
      <c r="Z331" s="180"/>
      <c r="AA331" s="180"/>
      <c r="AB331" s="180"/>
      <c r="AC331" s="180"/>
      <c r="AD331" s="180"/>
      <c r="AE331" s="180"/>
      <c r="AF331" s="180"/>
      <c r="AG331" s="180"/>
      <c r="AH331" s="180"/>
      <c r="AI331" s="180">
        <v>0</v>
      </c>
      <c r="AJ331" s="181">
        <f t="shared" si="89"/>
        <v>0</v>
      </c>
      <c r="AK331" s="246">
        <f t="shared" si="96"/>
        <v>3800000</v>
      </c>
      <c r="AL331" s="181">
        <f t="shared" si="90"/>
        <v>100</v>
      </c>
      <c r="AM331" s="243"/>
    </row>
    <row r="332" spans="1:39" ht="27.75" customHeight="1" x14ac:dyDescent="0.25">
      <c r="A332" s="243"/>
      <c r="B332" s="362"/>
      <c r="C332" s="362"/>
      <c r="D332" s="362"/>
      <c r="E332" s="362"/>
      <c r="F332" s="362"/>
      <c r="G332" s="362"/>
      <c r="H332" s="362"/>
      <c r="I332" s="363"/>
      <c r="J332" s="362" t="s">
        <v>282</v>
      </c>
      <c r="K332" s="245"/>
      <c r="L332" s="257"/>
      <c r="M332" s="591" t="s">
        <v>606</v>
      </c>
      <c r="N332" s="592"/>
      <c r="O332" s="179"/>
      <c r="P332" s="180"/>
      <c r="Q332" s="180">
        <v>100000000</v>
      </c>
      <c r="R332" s="181">
        <f t="shared" si="99"/>
        <v>71.667993719017034</v>
      </c>
      <c r="S332" s="181">
        <v>100</v>
      </c>
      <c r="T332" s="180">
        <f t="shared" si="88"/>
        <v>0</v>
      </c>
      <c r="U332" s="180">
        <f t="shared" si="94"/>
        <v>0</v>
      </c>
      <c r="V332" s="182">
        <f t="shared" si="92"/>
        <v>100</v>
      </c>
      <c r="W332" s="180"/>
      <c r="X332" s="180"/>
      <c r="Y332" s="180"/>
      <c r="Z332" s="180"/>
      <c r="AA332" s="180"/>
      <c r="AB332" s="180"/>
      <c r="AC332" s="180"/>
      <c r="AD332" s="180"/>
      <c r="AE332" s="180"/>
      <c r="AF332" s="180"/>
      <c r="AG332" s="180"/>
      <c r="AH332" s="180"/>
      <c r="AI332" s="180">
        <v>0</v>
      </c>
      <c r="AJ332" s="181">
        <f t="shared" si="89"/>
        <v>0</v>
      </c>
      <c r="AK332" s="246">
        <f t="shared" si="96"/>
        <v>100000000</v>
      </c>
      <c r="AL332" s="181">
        <f t="shared" si="90"/>
        <v>100</v>
      </c>
      <c r="AM332" s="243"/>
    </row>
    <row r="333" spans="1:39" ht="27.75" customHeight="1" x14ac:dyDescent="0.25">
      <c r="A333" s="243"/>
      <c r="B333" s="362"/>
      <c r="C333" s="362"/>
      <c r="D333" s="362"/>
      <c r="E333" s="362"/>
      <c r="F333" s="362"/>
      <c r="G333" s="362"/>
      <c r="H333" s="362"/>
      <c r="I333" s="363"/>
      <c r="J333" s="362" t="s">
        <v>308</v>
      </c>
      <c r="K333" s="245"/>
      <c r="L333" s="257"/>
      <c r="M333" s="591" t="s">
        <v>607</v>
      </c>
      <c r="N333" s="592"/>
      <c r="O333" s="179"/>
      <c r="P333" s="180"/>
      <c r="Q333" s="180">
        <v>2000000</v>
      </c>
      <c r="R333" s="181">
        <f t="shared" si="99"/>
        <v>1.4333598743803406</v>
      </c>
      <c r="S333" s="181">
        <v>100</v>
      </c>
      <c r="T333" s="180">
        <f t="shared" si="88"/>
        <v>0</v>
      </c>
      <c r="U333" s="180">
        <f t="shared" si="94"/>
        <v>0</v>
      </c>
      <c r="V333" s="182">
        <f t="shared" si="92"/>
        <v>100</v>
      </c>
      <c r="W333" s="180"/>
      <c r="X333" s="180"/>
      <c r="Y333" s="180"/>
      <c r="Z333" s="180"/>
      <c r="AA333" s="180"/>
      <c r="AB333" s="180"/>
      <c r="AC333" s="180"/>
      <c r="AD333" s="180"/>
      <c r="AE333" s="180"/>
      <c r="AF333" s="180"/>
      <c r="AG333" s="180"/>
      <c r="AH333" s="180"/>
      <c r="AI333" s="180">
        <v>0</v>
      </c>
      <c r="AJ333" s="181">
        <f t="shared" si="89"/>
        <v>0</v>
      </c>
      <c r="AK333" s="246">
        <f t="shared" si="96"/>
        <v>2000000</v>
      </c>
      <c r="AL333" s="181">
        <f t="shared" si="90"/>
        <v>100</v>
      </c>
      <c r="AM333" s="243"/>
    </row>
    <row r="334" spans="1:39" s="297" customFormat="1" ht="36" customHeight="1" x14ac:dyDescent="0.25">
      <c r="A334" s="227">
        <f>SUM(A327+1)</f>
        <v>45</v>
      </c>
      <c r="B334" s="615" t="s">
        <v>152</v>
      </c>
      <c r="C334" s="615"/>
      <c r="D334" s="615"/>
      <c r="E334" s="615"/>
      <c r="F334" s="615"/>
      <c r="G334" s="615"/>
      <c r="H334" s="615"/>
      <c r="I334" s="614"/>
      <c r="J334" s="304" t="s">
        <v>489</v>
      </c>
      <c r="K334" s="230"/>
      <c r="L334" s="294"/>
      <c r="M334" s="610" t="s">
        <v>47</v>
      </c>
      <c r="N334" s="610"/>
      <c r="O334" s="309">
        <v>136000000</v>
      </c>
      <c r="P334" s="231">
        <f>O334</f>
        <v>136000000</v>
      </c>
      <c r="Q334" s="231">
        <f>SUM(Q335:Q344)</f>
        <v>341340000</v>
      </c>
      <c r="R334" s="233">
        <f>Q334/Q$243*100</f>
        <v>2.8617072705381759</v>
      </c>
      <c r="S334" s="233">
        <v>100</v>
      </c>
      <c r="T334" s="231">
        <f t="shared" si="88"/>
        <v>3.2251245092869278</v>
      </c>
      <c r="U334" s="231">
        <f t="shared" si="94"/>
        <v>9.2293622566172684E-2</v>
      </c>
      <c r="V334" s="296">
        <f t="shared" si="92"/>
        <v>96.774875490713072</v>
      </c>
      <c r="W334" s="231"/>
      <c r="X334" s="231" t="e">
        <f>#REF!</f>
        <v>#REF!</v>
      </c>
      <c r="Y334" s="231" t="e">
        <f>#REF!</f>
        <v>#REF!</v>
      </c>
      <c r="Z334" s="231" t="e">
        <f>#REF!</f>
        <v>#REF!</v>
      </c>
      <c r="AA334" s="231" t="e">
        <f>#REF!</f>
        <v>#REF!</v>
      </c>
      <c r="AB334" s="231">
        <v>88014000</v>
      </c>
      <c r="AC334" s="231" t="e">
        <f>#REF!</f>
        <v>#REF!</v>
      </c>
      <c r="AD334" s="231" t="e">
        <f>#REF!</f>
        <v>#REF!</v>
      </c>
      <c r="AE334" s="231" t="e">
        <f>#REF!</f>
        <v>#REF!</v>
      </c>
      <c r="AF334" s="231" t="e">
        <f>[1]April!N63</f>
        <v>#REF!</v>
      </c>
      <c r="AG334" s="231" t="e">
        <f>[2]april!N63</f>
        <v>#REF!</v>
      </c>
      <c r="AH334" s="231">
        <f>'[3]DES SKPD'!$N63</f>
        <v>174573000</v>
      </c>
      <c r="AI334" s="231">
        <f>SUM(AI335:AI344)</f>
        <v>11008640</v>
      </c>
      <c r="AJ334" s="233">
        <f t="shared" si="89"/>
        <v>3.2251245092869278</v>
      </c>
      <c r="AK334" s="234">
        <f t="shared" si="96"/>
        <v>330331360</v>
      </c>
      <c r="AL334" s="233">
        <f t="shared" si="90"/>
        <v>96.774875490713072</v>
      </c>
      <c r="AM334" s="227"/>
    </row>
    <row r="335" spans="1:39" ht="29.25" customHeight="1" x14ac:dyDescent="0.25">
      <c r="A335" s="243"/>
      <c r="B335" s="362"/>
      <c r="C335" s="362"/>
      <c r="D335" s="362"/>
      <c r="E335" s="362"/>
      <c r="F335" s="362"/>
      <c r="G335" s="362"/>
      <c r="H335" s="362"/>
      <c r="I335" s="363"/>
      <c r="J335" s="362" t="s">
        <v>259</v>
      </c>
      <c r="K335" s="245"/>
      <c r="L335" s="257"/>
      <c r="M335" s="591" t="s">
        <v>260</v>
      </c>
      <c r="N335" s="592"/>
      <c r="O335" s="179"/>
      <c r="P335" s="180"/>
      <c r="Q335" s="180">
        <v>1600000</v>
      </c>
      <c r="R335" s="181">
        <f t="shared" ref="R335:R344" si="100">Q335/Q$334*100</f>
        <v>0.46874084490537299</v>
      </c>
      <c r="S335" s="181">
        <v>100</v>
      </c>
      <c r="T335" s="180">
        <f t="shared" si="88"/>
        <v>0</v>
      </c>
      <c r="U335" s="180">
        <f t="shared" si="94"/>
        <v>0</v>
      </c>
      <c r="V335" s="182">
        <f t="shared" si="92"/>
        <v>100</v>
      </c>
      <c r="W335" s="180"/>
      <c r="X335" s="180"/>
      <c r="Y335" s="180"/>
      <c r="Z335" s="180"/>
      <c r="AA335" s="180"/>
      <c r="AB335" s="180"/>
      <c r="AC335" s="180"/>
      <c r="AD335" s="180"/>
      <c r="AE335" s="180"/>
      <c r="AF335" s="180"/>
      <c r="AG335" s="180"/>
      <c r="AH335" s="180"/>
      <c r="AI335" s="180">
        <v>0</v>
      </c>
      <c r="AJ335" s="181">
        <f t="shared" si="89"/>
        <v>0</v>
      </c>
      <c r="AK335" s="246">
        <f t="shared" si="96"/>
        <v>1600000</v>
      </c>
      <c r="AL335" s="181">
        <f t="shared" si="90"/>
        <v>100</v>
      </c>
      <c r="AM335" s="243"/>
    </row>
    <row r="336" spans="1:39" ht="29.25" customHeight="1" x14ac:dyDescent="0.25">
      <c r="A336" s="243"/>
      <c r="B336" s="362"/>
      <c r="C336" s="362"/>
      <c r="D336" s="362"/>
      <c r="E336" s="362"/>
      <c r="F336" s="362"/>
      <c r="G336" s="362"/>
      <c r="H336" s="362"/>
      <c r="I336" s="363"/>
      <c r="J336" s="362" t="s">
        <v>323</v>
      </c>
      <c r="K336" s="245"/>
      <c r="L336" s="257"/>
      <c r="M336" s="591" t="s">
        <v>324</v>
      </c>
      <c r="N336" s="592"/>
      <c r="O336" s="179"/>
      <c r="P336" s="180"/>
      <c r="Q336" s="180">
        <v>52980000</v>
      </c>
      <c r="R336" s="181">
        <f t="shared" si="100"/>
        <v>15.521181226929162</v>
      </c>
      <c r="S336" s="181">
        <v>100</v>
      </c>
      <c r="T336" s="180">
        <f t="shared" si="88"/>
        <v>7.1781804454511144</v>
      </c>
      <c r="U336" s="180">
        <f t="shared" si="94"/>
        <v>1.1141383957344584</v>
      </c>
      <c r="V336" s="182">
        <f t="shared" si="92"/>
        <v>92.821819554548881</v>
      </c>
      <c r="W336" s="180"/>
      <c r="X336" s="180"/>
      <c r="Y336" s="180"/>
      <c r="Z336" s="180"/>
      <c r="AA336" s="180"/>
      <c r="AB336" s="180"/>
      <c r="AC336" s="180"/>
      <c r="AD336" s="180"/>
      <c r="AE336" s="180"/>
      <c r="AF336" s="180"/>
      <c r="AG336" s="180"/>
      <c r="AH336" s="180"/>
      <c r="AI336" s="180">
        <v>3803000</v>
      </c>
      <c r="AJ336" s="181">
        <f t="shared" si="89"/>
        <v>7.1781804454511144</v>
      </c>
      <c r="AK336" s="246">
        <f t="shared" si="96"/>
        <v>49177000</v>
      </c>
      <c r="AL336" s="181">
        <f t="shared" si="90"/>
        <v>92.821819554548895</v>
      </c>
      <c r="AM336" s="243"/>
    </row>
    <row r="337" spans="1:39" ht="39.75" customHeight="1" x14ac:dyDescent="0.25">
      <c r="A337" s="243"/>
      <c r="B337" s="362"/>
      <c r="C337" s="362"/>
      <c r="D337" s="362"/>
      <c r="E337" s="362"/>
      <c r="F337" s="362"/>
      <c r="G337" s="362"/>
      <c r="H337" s="362"/>
      <c r="I337" s="363"/>
      <c r="J337" s="362" t="s">
        <v>315</v>
      </c>
      <c r="K337" s="245"/>
      <c r="L337" s="257"/>
      <c r="M337" s="591" t="s">
        <v>271</v>
      </c>
      <c r="N337" s="592"/>
      <c r="O337" s="179"/>
      <c r="P337" s="180"/>
      <c r="Q337" s="180">
        <v>1800000</v>
      </c>
      <c r="R337" s="181">
        <f t="shared" si="100"/>
        <v>0.52733345051854452</v>
      </c>
      <c r="S337" s="181">
        <v>100</v>
      </c>
      <c r="T337" s="180">
        <f t="shared" si="88"/>
        <v>0</v>
      </c>
      <c r="U337" s="180">
        <f t="shared" si="94"/>
        <v>0</v>
      </c>
      <c r="V337" s="182">
        <f t="shared" si="92"/>
        <v>100</v>
      </c>
      <c r="W337" s="180"/>
      <c r="X337" s="180"/>
      <c r="Y337" s="180"/>
      <c r="Z337" s="180"/>
      <c r="AA337" s="180"/>
      <c r="AB337" s="180"/>
      <c r="AC337" s="180"/>
      <c r="AD337" s="180"/>
      <c r="AE337" s="180"/>
      <c r="AF337" s="180"/>
      <c r="AG337" s="180"/>
      <c r="AH337" s="180"/>
      <c r="AI337" s="180">
        <v>0</v>
      </c>
      <c r="AJ337" s="181">
        <f t="shared" si="89"/>
        <v>0</v>
      </c>
      <c r="AK337" s="246">
        <f t="shared" si="96"/>
        <v>1800000</v>
      </c>
      <c r="AL337" s="181">
        <f t="shared" si="90"/>
        <v>100</v>
      </c>
      <c r="AM337" s="243"/>
    </row>
    <row r="338" spans="1:39" ht="29.25" customHeight="1" x14ac:dyDescent="0.25">
      <c r="A338" s="243"/>
      <c r="B338" s="362"/>
      <c r="C338" s="362"/>
      <c r="D338" s="362"/>
      <c r="E338" s="362"/>
      <c r="F338" s="362"/>
      <c r="G338" s="362"/>
      <c r="H338" s="362"/>
      <c r="I338" s="363"/>
      <c r="J338" s="362" t="s">
        <v>316</v>
      </c>
      <c r="K338" s="245"/>
      <c r="L338" s="257"/>
      <c r="M338" s="591" t="s">
        <v>317</v>
      </c>
      <c r="N338" s="592"/>
      <c r="O338" s="179"/>
      <c r="P338" s="180"/>
      <c r="Q338" s="180">
        <v>600000</v>
      </c>
      <c r="R338" s="181">
        <f t="shared" si="100"/>
        <v>0.17577781683951485</v>
      </c>
      <c r="S338" s="181">
        <v>100</v>
      </c>
      <c r="T338" s="180">
        <f t="shared" si="88"/>
        <v>0</v>
      </c>
      <c r="U338" s="180">
        <f t="shared" si="94"/>
        <v>0</v>
      </c>
      <c r="V338" s="182">
        <f t="shared" si="92"/>
        <v>100</v>
      </c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0"/>
      <c r="AG338" s="180"/>
      <c r="AH338" s="180"/>
      <c r="AI338" s="180">
        <v>0</v>
      </c>
      <c r="AJ338" s="181">
        <f t="shared" si="89"/>
        <v>0</v>
      </c>
      <c r="AK338" s="246">
        <f t="shared" si="96"/>
        <v>600000</v>
      </c>
      <c r="AL338" s="181">
        <f t="shared" si="90"/>
        <v>100</v>
      </c>
      <c r="AM338" s="243"/>
    </row>
    <row r="339" spans="1:39" ht="29.25" customHeight="1" x14ac:dyDescent="0.25">
      <c r="A339" s="243"/>
      <c r="B339" s="362"/>
      <c r="C339" s="362"/>
      <c r="D339" s="362"/>
      <c r="E339" s="362"/>
      <c r="F339" s="362"/>
      <c r="G339" s="362"/>
      <c r="H339" s="362"/>
      <c r="I339" s="363"/>
      <c r="J339" s="362" t="s">
        <v>318</v>
      </c>
      <c r="K339" s="245"/>
      <c r="L339" s="257"/>
      <c r="M339" s="591" t="s">
        <v>319</v>
      </c>
      <c r="N339" s="592"/>
      <c r="O339" s="179"/>
      <c r="P339" s="180"/>
      <c r="Q339" s="180">
        <v>97400000</v>
      </c>
      <c r="R339" s="181">
        <f t="shared" si="100"/>
        <v>28.534598933614578</v>
      </c>
      <c r="S339" s="181">
        <v>100</v>
      </c>
      <c r="T339" s="180">
        <f t="shared" si="88"/>
        <v>0</v>
      </c>
      <c r="U339" s="180">
        <f t="shared" si="94"/>
        <v>0</v>
      </c>
      <c r="V339" s="182">
        <f t="shared" si="92"/>
        <v>100</v>
      </c>
      <c r="W339" s="180"/>
      <c r="X339" s="180"/>
      <c r="Y339" s="180"/>
      <c r="Z339" s="180"/>
      <c r="AA339" s="180"/>
      <c r="AB339" s="180"/>
      <c r="AC339" s="180"/>
      <c r="AD339" s="180"/>
      <c r="AE339" s="180"/>
      <c r="AF339" s="180"/>
      <c r="AG339" s="180"/>
      <c r="AH339" s="180"/>
      <c r="AI339" s="180">
        <v>0</v>
      </c>
      <c r="AJ339" s="181">
        <f t="shared" si="89"/>
        <v>0</v>
      </c>
      <c r="AK339" s="246">
        <f t="shared" si="96"/>
        <v>97400000</v>
      </c>
      <c r="AL339" s="181">
        <f t="shared" si="90"/>
        <v>100</v>
      </c>
      <c r="AM339" s="243"/>
    </row>
    <row r="340" spans="1:39" ht="29.25" customHeight="1" x14ac:dyDescent="0.25">
      <c r="A340" s="243"/>
      <c r="B340" s="362"/>
      <c r="C340" s="362"/>
      <c r="D340" s="362"/>
      <c r="E340" s="362"/>
      <c r="F340" s="362"/>
      <c r="G340" s="362"/>
      <c r="H340" s="362"/>
      <c r="I340" s="363"/>
      <c r="J340" s="362" t="s">
        <v>280</v>
      </c>
      <c r="K340" s="245"/>
      <c r="L340" s="257"/>
      <c r="M340" s="591" t="s">
        <v>281</v>
      </c>
      <c r="N340" s="592"/>
      <c r="O340" s="179"/>
      <c r="P340" s="180"/>
      <c r="Q340" s="180">
        <v>2000000</v>
      </c>
      <c r="R340" s="181">
        <f t="shared" si="100"/>
        <v>0.58592605613171622</v>
      </c>
      <c r="S340" s="181">
        <v>100</v>
      </c>
      <c r="T340" s="180">
        <f t="shared" ref="T340:T408" si="101">AJ340</f>
        <v>0</v>
      </c>
      <c r="U340" s="180">
        <f t="shared" si="94"/>
        <v>0</v>
      </c>
      <c r="V340" s="182">
        <f t="shared" si="92"/>
        <v>100</v>
      </c>
      <c r="W340" s="180"/>
      <c r="X340" s="180"/>
      <c r="Y340" s="180"/>
      <c r="Z340" s="180"/>
      <c r="AA340" s="180"/>
      <c r="AB340" s="180"/>
      <c r="AC340" s="180"/>
      <c r="AD340" s="180"/>
      <c r="AE340" s="180"/>
      <c r="AF340" s="180"/>
      <c r="AG340" s="180"/>
      <c r="AH340" s="180"/>
      <c r="AI340" s="180">
        <v>0</v>
      </c>
      <c r="AJ340" s="181">
        <f t="shared" ref="AJ340:AJ403" si="102">AI340/Q340*100</f>
        <v>0</v>
      </c>
      <c r="AK340" s="246">
        <f t="shared" si="96"/>
        <v>2000000</v>
      </c>
      <c r="AL340" s="181">
        <f t="shared" ref="AL340:AL403" si="103">AK340/Q340*100</f>
        <v>100</v>
      </c>
      <c r="AM340" s="243"/>
    </row>
    <row r="341" spans="1:39" ht="29.25" customHeight="1" x14ac:dyDescent="0.25">
      <c r="A341" s="243"/>
      <c r="B341" s="362"/>
      <c r="C341" s="362"/>
      <c r="D341" s="362"/>
      <c r="E341" s="362"/>
      <c r="F341" s="362"/>
      <c r="G341" s="362"/>
      <c r="H341" s="362"/>
      <c r="I341" s="363"/>
      <c r="J341" s="362" t="s">
        <v>284</v>
      </c>
      <c r="K341" s="245"/>
      <c r="L341" s="257"/>
      <c r="M341" s="591" t="s">
        <v>285</v>
      </c>
      <c r="N341" s="592"/>
      <c r="O341" s="179"/>
      <c r="P341" s="180"/>
      <c r="Q341" s="180">
        <v>2200000</v>
      </c>
      <c r="R341" s="181">
        <f t="shared" si="100"/>
        <v>0.64451866174488781</v>
      </c>
      <c r="S341" s="181">
        <v>100</v>
      </c>
      <c r="T341" s="180">
        <f t="shared" si="101"/>
        <v>0</v>
      </c>
      <c r="U341" s="180">
        <f t="shared" si="94"/>
        <v>0</v>
      </c>
      <c r="V341" s="182">
        <f t="shared" si="92"/>
        <v>100</v>
      </c>
      <c r="W341" s="180"/>
      <c r="X341" s="180"/>
      <c r="Y341" s="180"/>
      <c r="Z341" s="180"/>
      <c r="AA341" s="180"/>
      <c r="AB341" s="180"/>
      <c r="AC341" s="180"/>
      <c r="AD341" s="180"/>
      <c r="AE341" s="180"/>
      <c r="AF341" s="180"/>
      <c r="AG341" s="180"/>
      <c r="AH341" s="180"/>
      <c r="AI341" s="180">
        <v>0</v>
      </c>
      <c r="AJ341" s="181">
        <f t="shared" si="102"/>
        <v>0</v>
      </c>
      <c r="AK341" s="246">
        <f t="shared" si="96"/>
        <v>2200000</v>
      </c>
      <c r="AL341" s="181">
        <f t="shared" si="103"/>
        <v>100</v>
      </c>
      <c r="AM341" s="243"/>
    </row>
    <row r="342" spans="1:39" ht="29.25" customHeight="1" x14ac:dyDescent="0.25">
      <c r="A342" s="243"/>
      <c r="B342" s="362"/>
      <c r="C342" s="362"/>
      <c r="D342" s="362"/>
      <c r="E342" s="362"/>
      <c r="F342" s="362"/>
      <c r="G342" s="362"/>
      <c r="H342" s="362"/>
      <c r="I342" s="363"/>
      <c r="J342" s="362" t="s">
        <v>282</v>
      </c>
      <c r="K342" s="245"/>
      <c r="L342" s="257"/>
      <c r="M342" s="591" t="s">
        <v>283</v>
      </c>
      <c r="N342" s="592"/>
      <c r="O342" s="179"/>
      <c r="P342" s="180"/>
      <c r="Q342" s="180">
        <v>159060000</v>
      </c>
      <c r="R342" s="181">
        <f t="shared" si="100"/>
        <v>46.598699244155391</v>
      </c>
      <c r="S342" s="181">
        <v>100</v>
      </c>
      <c r="T342" s="180">
        <f t="shared" si="101"/>
        <v>4.5301395699735947</v>
      </c>
      <c r="U342" s="180">
        <f t="shared" si="94"/>
        <v>2.1109861135524697</v>
      </c>
      <c r="V342" s="182">
        <f t="shared" si="92"/>
        <v>95.469860430026401</v>
      </c>
      <c r="W342" s="180"/>
      <c r="X342" s="180"/>
      <c r="Y342" s="180"/>
      <c r="Z342" s="180"/>
      <c r="AA342" s="180"/>
      <c r="AB342" s="180"/>
      <c r="AC342" s="180"/>
      <c r="AD342" s="180"/>
      <c r="AE342" s="180"/>
      <c r="AF342" s="180"/>
      <c r="AG342" s="180"/>
      <c r="AH342" s="180"/>
      <c r="AI342" s="180">
        <v>7205640</v>
      </c>
      <c r="AJ342" s="181">
        <f t="shared" si="102"/>
        <v>4.5301395699735947</v>
      </c>
      <c r="AK342" s="246">
        <f t="shared" si="96"/>
        <v>151854360</v>
      </c>
      <c r="AL342" s="181">
        <f t="shared" si="103"/>
        <v>95.469860430026415</v>
      </c>
      <c r="AM342" s="243"/>
    </row>
    <row r="343" spans="1:39" ht="29.25" customHeight="1" x14ac:dyDescent="0.25">
      <c r="A343" s="243"/>
      <c r="B343" s="362"/>
      <c r="C343" s="362"/>
      <c r="D343" s="362"/>
      <c r="E343" s="362"/>
      <c r="F343" s="362"/>
      <c r="G343" s="362"/>
      <c r="H343" s="362"/>
      <c r="I343" s="363"/>
      <c r="J343" s="362" t="s">
        <v>320</v>
      </c>
      <c r="K343" s="245"/>
      <c r="L343" s="257"/>
      <c r="M343" s="591" t="s">
        <v>321</v>
      </c>
      <c r="N343" s="592"/>
      <c r="O343" s="179"/>
      <c r="P343" s="180"/>
      <c r="Q343" s="180">
        <v>14400000</v>
      </c>
      <c r="R343" s="181">
        <f t="shared" si="100"/>
        <v>4.2186676041483562</v>
      </c>
      <c r="S343" s="181">
        <v>100</v>
      </c>
      <c r="T343" s="180">
        <f t="shared" si="101"/>
        <v>0</v>
      </c>
      <c r="U343" s="180">
        <f t="shared" si="94"/>
        <v>0</v>
      </c>
      <c r="V343" s="182">
        <f t="shared" si="92"/>
        <v>100</v>
      </c>
      <c r="W343" s="180"/>
      <c r="X343" s="180"/>
      <c r="Y343" s="180"/>
      <c r="Z343" s="180"/>
      <c r="AA343" s="180"/>
      <c r="AB343" s="180"/>
      <c r="AC343" s="180"/>
      <c r="AD343" s="180"/>
      <c r="AE343" s="180"/>
      <c r="AF343" s="180"/>
      <c r="AG343" s="180"/>
      <c r="AH343" s="180"/>
      <c r="AI343" s="180">
        <v>0</v>
      </c>
      <c r="AJ343" s="181">
        <f t="shared" si="102"/>
        <v>0</v>
      </c>
      <c r="AK343" s="246">
        <f t="shared" si="96"/>
        <v>14400000</v>
      </c>
      <c r="AL343" s="181">
        <f t="shared" si="103"/>
        <v>100</v>
      </c>
      <c r="AM343" s="243"/>
    </row>
    <row r="344" spans="1:39" ht="29.25" customHeight="1" x14ac:dyDescent="0.25">
      <c r="A344" s="243"/>
      <c r="B344" s="362"/>
      <c r="C344" s="362"/>
      <c r="D344" s="362"/>
      <c r="E344" s="362"/>
      <c r="F344" s="362"/>
      <c r="G344" s="362"/>
      <c r="H344" s="362"/>
      <c r="I344" s="363"/>
      <c r="J344" s="362" t="s">
        <v>407</v>
      </c>
      <c r="K344" s="245"/>
      <c r="L344" s="257"/>
      <c r="M344" s="591" t="s">
        <v>414</v>
      </c>
      <c r="N344" s="592"/>
      <c r="O344" s="179"/>
      <c r="P344" s="180"/>
      <c r="Q344" s="180">
        <v>9300000</v>
      </c>
      <c r="R344" s="181">
        <f t="shared" si="100"/>
        <v>2.7245561610124804</v>
      </c>
      <c r="S344" s="181"/>
      <c r="T344" s="180">
        <f t="shared" si="101"/>
        <v>0</v>
      </c>
      <c r="U344" s="180">
        <f t="shared" si="94"/>
        <v>0</v>
      </c>
      <c r="V344" s="182"/>
      <c r="W344" s="180"/>
      <c r="X344" s="180"/>
      <c r="Y344" s="180"/>
      <c r="Z344" s="180"/>
      <c r="AA344" s="180"/>
      <c r="AB344" s="180"/>
      <c r="AC344" s="180"/>
      <c r="AD344" s="180"/>
      <c r="AE344" s="180"/>
      <c r="AF344" s="180"/>
      <c r="AG344" s="180"/>
      <c r="AH344" s="180"/>
      <c r="AI344" s="180">
        <v>0</v>
      </c>
      <c r="AJ344" s="181">
        <f t="shared" si="102"/>
        <v>0</v>
      </c>
      <c r="AK344" s="246">
        <f t="shared" si="96"/>
        <v>9300000</v>
      </c>
      <c r="AL344" s="181">
        <f t="shared" si="103"/>
        <v>100</v>
      </c>
      <c r="AM344" s="243"/>
    </row>
    <row r="345" spans="1:39" s="297" customFormat="1" ht="45" customHeight="1" x14ac:dyDescent="0.25">
      <c r="A345" s="227">
        <f>A334+1</f>
        <v>46</v>
      </c>
      <c r="B345" s="615" t="s">
        <v>147</v>
      </c>
      <c r="C345" s="615"/>
      <c r="D345" s="615"/>
      <c r="E345" s="615"/>
      <c r="F345" s="615"/>
      <c r="G345" s="615"/>
      <c r="H345" s="615"/>
      <c r="I345" s="614"/>
      <c r="J345" s="304" t="s">
        <v>490</v>
      </c>
      <c r="K345" s="230"/>
      <c r="L345" s="294"/>
      <c r="M345" s="610" t="s">
        <v>48</v>
      </c>
      <c r="N345" s="610"/>
      <c r="O345" s="309">
        <v>606500000</v>
      </c>
      <c r="P345" s="231">
        <f>O345</f>
        <v>606500000</v>
      </c>
      <c r="Q345" s="231">
        <f>SUM(Q346:Q350)</f>
        <v>189188876</v>
      </c>
      <c r="R345" s="233">
        <f>Q345/Q$243*100</f>
        <v>1.5861111558977716</v>
      </c>
      <c r="S345" s="233">
        <v>100</v>
      </c>
      <c r="T345" s="231">
        <f t="shared" si="101"/>
        <v>0</v>
      </c>
      <c r="U345" s="231">
        <f t="shared" si="94"/>
        <v>0</v>
      </c>
      <c r="V345" s="296">
        <f t="shared" si="92"/>
        <v>100</v>
      </c>
      <c r="W345" s="231"/>
      <c r="X345" s="231" t="e">
        <f>#REF!</f>
        <v>#REF!</v>
      </c>
      <c r="Y345" s="231" t="e">
        <f>#REF!</f>
        <v>#REF!</v>
      </c>
      <c r="Z345" s="231" t="e">
        <f>#REF!</f>
        <v>#REF!</v>
      </c>
      <c r="AA345" s="231" t="e">
        <f>#REF!</f>
        <v>#REF!</v>
      </c>
      <c r="AB345" s="231">
        <v>143751020</v>
      </c>
      <c r="AC345" s="231" t="e">
        <f>#REF!</f>
        <v>#REF!</v>
      </c>
      <c r="AD345" s="231" t="e">
        <f>#REF!</f>
        <v>#REF!</v>
      </c>
      <c r="AE345" s="231" t="e">
        <f>#REF!</f>
        <v>#REF!</v>
      </c>
      <c r="AF345" s="231" t="e">
        <f>[1]April!N64</f>
        <v>#REF!</v>
      </c>
      <c r="AG345" s="231" t="e">
        <f>[2]april!N64</f>
        <v>#REF!</v>
      </c>
      <c r="AH345" s="231">
        <f>'[3]DES SKPD'!$N64</f>
        <v>571546340</v>
      </c>
      <c r="AI345" s="231">
        <f>SUM(AI346:AI350)</f>
        <v>0</v>
      </c>
      <c r="AJ345" s="233">
        <f t="shared" si="102"/>
        <v>0</v>
      </c>
      <c r="AK345" s="234">
        <f t="shared" si="96"/>
        <v>189188876</v>
      </c>
      <c r="AL345" s="233">
        <f t="shared" si="103"/>
        <v>100</v>
      </c>
      <c r="AM345" s="227"/>
    </row>
    <row r="346" spans="1:39" ht="28.5" customHeight="1" x14ac:dyDescent="0.25">
      <c r="A346" s="243"/>
      <c r="B346" s="362"/>
      <c r="C346" s="362"/>
      <c r="D346" s="362"/>
      <c r="E346" s="362"/>
      <c r="F346" s="362"/>
      <c r="G346" s="362"/>
      <c r="H346" s="362"/>
      <c r="I346" s="363"/>
      <c r="J346" s="362" t="s">
        <v>257</v>
      </c>
      <c r="K346" s="245"/>
      <c r="L346" s="257"/>
      <c r="M346" s="591" t="s">
        <v>428</v>
      </c>
      <c r="N346" s="592"/>
      <c r="O346" s="179"/>
      <c r="P346" s="180"/>
      <c r="Q346" s="180">
        <v>10000000</v>
      </c>
      <c r="R346" s="181">
        <f>Q346/Q$345*100</f>
        <v>5.2857230358512197</v>
      </c>
      <c r="S346" s="181">
        <v>100</v>
      </c>
      <c r="T346" s="180">
        <f t="shared" si="101"/>
        <v>0</v>
      </c>
      <c r="U346" s="180">
        <f t="shared" si="94"/>
        <v>0</v>
      </c>
      <c r="V346" s="182">
        <f t="shared" si="92"/>
        <v>100</v>
      </c>
      <c r="W346" s="180"/>
      <c r="X346" s="180"/>
      <c r="Y346" s="180"/>
      <c r="Z346" s="180"/>
      <c r="AA346" s="180"/>
      <c r="AB346" s="180"/>
      <c r="AC346" s="180"/>
      <c r="AD346" s="180"/>
      <c r="AE346" s="180"/>
      <c r="AF346" s="180"/>
      <c r="AG346" s="180"/>
      <c r="AH346" s="180"/>
      <c r="AI346" s="180">
        <v>0</v>
      </c>
      <c r="AJ346" s="181">
        <f t="shared" si="102"/>
        <v>0</v>
      </c>
      <c r="AK346" s="246">
        <f t="shared" si="96"/>
        <v>10000000</v>
      </c>
      <c r="AL346" s="181">
        <f t="shared" si="103"/>
        <v>100</v>
      </c>
      <c r="AM346" s="243"/>
    </row>
    <row r="347" spans="1:39" ht="28.5" customHeight="1" x14ac:dyDescent="0.25">
      <c r="A347" s="243"/>
      <c r="B347" s="362"/>
      <c r="C347" s="362"/>
      <c r="D347" s="362"/>
      <c r="E347" s="362"/>
      <c r="F347" s="362"/>
      <c r="G347" s="362"/>
      <c r="H347" s="362"/>
      <c r="I347" s="363"/>
      <c r="J347" s="362" t="s">
        <v>318</v>
      </c>
      <c r="K347" s="245"/>
      <c r="L347" s="257"/>
      <c r="M347" s="611" t="s">
        <v>319</v>
      </c>
      <c r="N347" s="598"/>
      <c r="O347" s="179"/>
      <c r="P347" s="180"/>
      <c r="Q347" s="180">
        <v>100000000</v>
      </c>
      <c r="R347" s="181">
        <f>Q347/Q$345*100</f>
        <v>52.857230358512197</v>
      </c>
      <c r="S347" s="181">
        <v>100</v>
      </c>
      <c r="T347" s="180">
        <f t="shared" si="101"/>
        <v>0</v>
      </c>
      <c r="U347" s="180">
        <f t="shared" si="94"/>
        <v>0</v>
      </c>
      <c r="V347" s="182">
        <f t="shared" si="92"/>
        <v>100</v>
      </c>
      <c r="W347" s="180"/>
      <c r="X347" s="180"/>
      <c r="Y347" s="180"/>
      <c r="Z347" s="180"/>
      <c r="AA347" s="180"/>
      <c r="AB347" s="180"/>
      <c r="AC347" s="180"/>
      <c r="AD347" s="180"/>
      <c r="AE347" s="180"/>
      <c r="AF347" s="180"/>
      <c r="AG347" s="180"/>
      <c r="AH347" s="180"/>
      <c r="AI347" s="180">
        <v>0</v>
      </c>
      <c r="AJ347" s="181">
        <f t="shared" si="102"/>
        <v>0</v>
      </c>
      <c r="AK347" s="246">
        <f t="shared" si="96"/>
        <v>100000000</v>
      </c>
      <c r="AL347" s="181">
        <f t="shared" si="103"/>
        <v>100</v>
      </c>
      <c r="AM347" s="243"/>
    </row>
    <row r="348" spans="1:39" ht="28.5" customHeight="1" x14ac:dyDescent="0.25">
      <c r="A348" s="243"/>
      <c r="B348" s="362"/>
      <c r="C348" s="362"/>
      <c r="D348" s="362"/>
      <c r="E348" s="362"/>
      <c r="F348" s="362"/>
      <c r="G348" s="362"/>
      <c r="H348" s="362"/>
      <c r="I348" s="363"/>
      <c r="J348" s="362" t="s">
        <v>282</v>
      </c>
      <c r="K348" s="245"/>
      <c r="L348" s="257"/>
      <c r="M348" s="591" t="s">
        <v>603</v>
      </c>
      <c r="N348" s="592"/>
      <c r="O348" s="179"/>
      <c r="P348" s="180"/>
      <c r="Q348" s="180">
        <v>12388876</v>
      </c>
      <c r="R348" s="181">
        <f>Q348/Q$345*100</f>
        <v>6.5484167261504318</v>
      </c>
      <c r="S348" s="181">
        <v>100</v>
      </c>
      <c r="T348" s="180">
        <f t="shared" si="101"/>
        <v>0</v>
      </c>
      <c r="U348" s="180">
        <f t="shared" si="94"/>
        <v>0</v>
      </c>
      <c r="V348" s="182">
        <f t="shared" si="92"/>
        <v>100</v>
      </c>
      <c r="W348" s="180"/>
      <c r="X348" s="180"/>
      <c r="Y348" s="180"/>
      <c r="Z348" s="180"/>
      <c r="AA348" s="180"/>
      <c r="AB348" s="180"/>
      <c r="AC348" s="180"/>
      <c r="AD348" s="180"/>
      <c r="AE348" s="180"/>
      <c r="AF348" s="180"/>
      <c r="AG348" s="180"/>
      <c r="AH348" s="180"/>
      <c r="AI348" s="180">
        <v>0</v>
      </c>
      <c r="AJ348" s="181">
        <f t="shared" si="102"/>
        <v>0</v>
      </c>
      <c r="AK348" s="246">
        <f t="shared" si="96"/>
        <v>12388876</v>
      </c>
      <c r="AL348" s="181">
        <f t="shared" si="103"/>
        <v>100</v>
      </c>
      <c r="AM348" s="243"/>
    </row>
    <row r="349" spans="1:39" ht="28.5" customHeight="1" x14ac:dyDescent="0.25">
      <c r="A349" s="243"/>
      <c r="B349" s="362"/>
      <c r="C349" s="362"/>
      <c r="D349" s="362"/>
      <c r="E349" s="362"/>
      <c r="F349" s="362"/>
      <c r="G349" s="362"/>
      <c r="H349" s="362"/>
      <c r="I349" s="363"/>
      <c r="J349" s="362" t="s">
        <v>320</v>
      </c>
      <c r="K349" s="245"/>
      <c r="L349" s="257"/>
      <c r="M349" s="591" t="s">
        <v>321</v>
      </c>
      <c r="N349" s="592"/>
      <c r="O349" s="179"/>
      <c r="P349" s="180"/>
      <c r="Q349" s="180">
        <v>57600000</v>
      </c>
      <c r="R349" s="181">
        <f>Q349/Q$345*100</f>
        <v>30.445764686503026</v>
      </c>
      <c r="S349" s="181">
        <v>100</v>
      </c>
      <c r="T349" s="180">
        <f t="shared" si="101"/>
        <v>0</v>
      </c>
      <c r="U349" s="180">
        <f t="shared" si="94"/>
        <v>0</v>
      </c>
      <c r="V349" s="182">
        <f t="shared" si="92"/>
        <v>100</v>
      </c>
      <c r="W349" s="180"/>
      <c r="X349" s="180"/>
      <c r="Y349" s="180"/>
      <c r="Z349" s="180"/>
      <c r="AA349" s="180"/>
      <c r="AB349" s="180"/>
      <c r="AC349" s="180"/>
      <c r="AD349" s="180"/>
      <c r="AE349" s="180"/>
      <c r="AF349" s="180"/>
      <c r="AG349" s="180"/>
      <c r="AH349" s="180"/>
      <c r="AI349" s="180">
        <v>0</v>
      </c>
      <c r="AJ349" s="181">
        <f t="shared" si="102"/>
        <v>0</v>
      </c>
      <c r="AK349" s="246">
        <f t="shared" si="96"/>
        <v>57600000</v>
      </c>
      <c r="AL349" s="181">
        <f t="shared" si="103"/>
        <v>100</v>
      </c>
      <c r="AM349" s="243"/>
    </row>
    <row r="350" spans="1:39" ht="28.5" customHeight="1" x14ac:dyDescent="0.25">
      <c r="A350" s="243"/>
      <c r="B350" s="362"/>
      <c r="C350" s="362"/>
      <c r="D350" s="362"/>
      <c r="E350" s="362"/>
      <c r="F350" s="362"/>
      <c r="G350" s="362"/>
      <c r="H350" s="362"/>
      <c r="I350" s="363"/>
      <c r="J350" s="362" t="s">
        <v>309</v>
      </c>
      <c r="K350" s="245"/>
      <c r="L350" s="257"/>
      <c r="M350" s="591" t="s">
        <v>607</v>
      </c>
      <c r="N350" s="592"/>
      <c r="O350" s="179"/>
      <c r="P350" s="180"/>
      <c r="Q350" s="180">
        <v>9200000</v>
      </c>
      <c r="R350" s="181">
        <f>Q350/Q$345*100</f>
        <v>4.8628651929831221</v>
      </c>
      <c r="S350" s="181">
        <v>100</v>
      </c>
      <c r="T350" s="180">
        <f t="shared" si="101"/>
        <v>0</v>
      </c>
      <c r="U350" s="180">
        <f t="shared" si="94"/>
        <v>0</v>
      </c>
      <c r="V350" s="182">
        <f t="shared" si="92"/>
        <v>100</v>
      </c>
      <c r="W350" s="180"/>
      <c r="X350" s="180"/>
      <c r="Y350" s="180"/>
      <c r="Z350" s="180"/>
      <c r="AA350" s="180"/>
      <c r="AB350" s="180"/>
      <c r="AC350" s="180"/>
      <c r="AD350" s="180"/>
      <c r="AE350" s="180"/>
      <c r="AF350" s="180"/>
      <c r="AG350" s="180"/>
      <c r="AH350" s="180"/>
      <c r="AI350" s="180">
        <v>0</v>
      </c>
      <c r="AJ350" s="181">
        <f t="shared" si="102"/>
        <v>0</v>
      </c>
      <c r="AK350" s="246">
        <f t="shared" si="96"/>
        <v>9200000</v>
      </c>
      <c r="AL350" s="181">
        <f t="shared" si="103"/>
        <v>100</v>
      </c>
      <c r="AM350" s="243"/>
    </row>
    <row r="351" spans="1:39" ht="28.5" customHeight="1" x14ac:dyDescent="0.25">
      <c r="A351" s="227">
        <v>47</v>
      </c>
      <c r="B351" s="362"/>
      <c r="C351" s="362"/>
      <c r="D351" s="362"/>
      <c r="E351" s="362"/>
      <c r="F351" s="362"/>
      <c r="G351" s="362"/>
      <c r="H351" s="362"/>
      <c r="I351" s="363"/>
      <c r="J351" s="304" t="s">
        <v>492</v>
      </c>
      <c r="K351" s="230"/>
      <c r="L351" s="294"/>
      <c r="M351" s="609" t="s">
        <v>493</v>
      </c>
      <c r="N351" s="609"/>
      <c r="O351" s="309">
        <v>558720000</v>
      </c>
      <c r="P351" s="231">
        <f>O351</f>
        <v>558720000</v>
      </c>
      <c r="Q351" s="231">
        <f>SUM(Q352:Q358)</f>
        <v>541894073</v>
      </c>
      <c r="R351" s="233">
        <f>Q351/Q$243*100</f>
        <v>4.5431013317092779</v>
      </c>
      <c r="S351" s="233">
        <v>100</v>
      </c>
      <c r="T351" s="231">
        <f t="shared" si="101"/>
        <v>7.4654811734765003</v>
      </c>
      <c r="U351" s="231">
        <f t="shared" si="94"/>
        <v>0.3391643746107163</v>
      </c>
      <c r="V351" s="296">
        <f t="shared" si="92"/>
        <v>92.534518826523495</v>
      </c>
      <c r="W351" s="231"/>
      <c r="X351" s="231" t="e">
        <f>#REF!</f>
        <v>#REF!</v>
      </c>
      <c r="Y351" s="231" t="e">
        <f>#REF!</f>
        <v>#REF!</v>
      </c>
      <c r="Z351" s="231" t="e">
        <f>#REF!</f>
        <v>#REF!</v>
      </c>
      <c r="AA351" s="231" t="e">
        <f>#REF!</f>
        <v>#REF!</v>
      </c>
      <c r="AB351" s="231">
        <v>192786500</v>
      </c>
      <c r="AC351" s="231" t="e">
        <f>#REF!</f>
        <v>#REF!</v>
      </c>
      <c r="AD351" s="231" t="e">
        <f>#REF!</f>
        <v>#REF!</v>
      </c>
      <c r="AE351" s="231" t="e">
        <f>#REF!</f>
        <v>#REF!</v>
      </c>
      <c r="AF351" s="231" t="e">
        <f>[1]April!N54</f>
        <v>#REF!</v>
      </c>
      <c r="AG351" s="231" t="e">
        <f>[2]april!N54</f>
        <v>#REF!</v>
      </c>
      <c r="AH351" s="231">
        <f>'[3]DES SKPD'!$N54</f>
        <v>508172500</v>
      </c>
      <c r="AI351" s="231">
        <f>SUM(AI352:AI358)</f>
        <v>40455000</v>
      </c>
      <c r="AJ351" s="233">
        <f t="shared" si="102"/>
        <v>7.4654811734765003</v>
      </c>
      <c r="AK351" s="234">
        <f t="shared" si="96"/>
        <v>501439073</v>
      </c>
      <c r="AL351" s="233">
        <f t="shared" si="103"/>
        <v>92.534518826523509</v>
      </c>
      <c r="AM351" s="243"/>
    </row>
    <row r="352" spans="1:39" ht="28.5" customHeight="1" x14ac:dyDescent="0.25">
      <c r="A352" s="243"/>
      <c r="B352" s="362"/>
      <c r="C352" s="362"/>
      <c r="D352" s="362"/>
      <c r="E352" s="362"/>
      <c r="F352" s="362"/>
      <c r="G352" s="362"/>
      <c r="H352" s="362"/>
      <c r="I352" s="363"/>
      <c r="J352" s="362" t="s">
        <v>315</v>
      </c>
      <c r="K352" s="245"/>
      <c r="L352" s="257"/>
      <c r="M352" s="591" t="s">
        <v>271</v>
      </c>
      <c r="N352" s="592"/>
      <c r="O352" s="179"/>
      <c r="P352" s="180"/>
      <c r="Q352" s="180">
        <v>20304000</v>
      </c>
      <c r="R352" s="181">
        <f t="shared" ref="R352:R358" si="104">Q352/Q$351*100</f>
        <v>3.74685773689944</v>
      </c>
      <c r="S352" s="181">
        <v>100</v>
      </c>
      <c r="T352" s="180">
        <f t="shared" si="101"/>
        <v>9.8502758077226158</v>
      </c>
      <c r="U352" s="180">
        <f t="shared" si="94"/>
        <v>0.36907582120758858</v>
      </c>
      <c r="V352" s="182">
        <f t="shared" si="92"/>
        <v>90.14972419227739</v>
      </c>
      <c r="W352" s="180"/>
      <c r="X352" s="180"/>
      <c r="Y352" s="180"/>
      <c r="Z352" s="180"/>
      <c r="AA352" s="180"/>
      <c r="AB352" s="180"/>
      <c r="AC352" s="180"/>
      <c r="AD352" s="180"/>
      <c r="AE352" s="180"/>
      <c r="AF352" s="180"/>
      <c r="AG352" s="180"/>
      <c r="AH352" s="180"/>
      <c r="AI352" s="180">
        <v>2000000</v>
      </c>
      <c r="AJ352" s="181">
        <f t="shared" si="102"/>
        <v>9.8502758077226158</v>
      </c>
      <c r="AK352" s="246">
        <f t="shared" si="96"/>
        <v>18304000</v>
      </c>
      <c r="AL352" s="181">
        <f t="shared" si="103"/>
        <v>90.149724192277375</v>
      </c>
      <c r="AM352" s="243"/>
    </row>
    <row r="353" spans="1:39" ht="28.5" customHeight="1" x14ac:dyDescent="0.25">
      <c r="A353" s="243"/>
      <c r="B353" s="362"/>
      <c r="C353" s="362"/>
      <c r="D353" s="362"/>
      <c r="E353" s="362"/>
      <c r="F353" s="362"/>
      <c r="G353" s="362"/>
      <c r="H353" s="362"/>
      <c r="I353" s="363"/>
      <c r="J353" s="362" t="s">
        <v>328</v>
      </c>
      <c r="K353" s="245"/>
      <c r="L353" s="257"/>
      <c r="M353" s="591" t="s">
        <v>319</v>
      </c>
      <c r="N353" s="592"/>
      <c r="O353" s="179"/>
      <c r="P353" s="180"/>
      <c r="Q353" s="180">
        <v>231000000</v>
      </c>
      <c r="R353" s="181">
        <f t="shared" si="104"/>
        <v>42.628257349476492</v>
      </c>
      <c r="S353" s="181">
        <v>100</v>
      </c>
      <c r="T353" s="180">
        <f t="shared" si="101"/>
        <v>0</v>
      </c>
      <c r="U353" s="180">
        <f t="shared" si="94"/>
        <v>0</v>
      </c>
      <c r="V353" s="182">
        <f t="shared" si="92"/>
        <v>100</v>
      </c>
      <c r="W353" s="180"/>
      <c r="X353" s="180"/>
      <c r="Y353" s="180"/>
      <c r="Z353" s="180"/>
      <c r="AA353" s="180"/>
      <c r="AB353" s="180"/>
      <c r="AC353" s="180"/>
      <c r="AD353" s="180"/>
      <c r="AE353" s="180"/>
      <c r="AF353" s="180"/>
      <c r="AG353" s="180"/>
      <c r="AH353" s="180"/>
      <c r="AI353" s="180">
        <v>0</v>
      </c>
      <c r="AJ353" s="181">
        <f t="shared" si="102"/>
        <v>0</v>
      </c>
      <c r="AK353" s="246">
        <f t="shared" si="96"/>
        <v>231000000</v>
      </c>
      <c r="AL353" s="181">
        <f t="shared" si="103"/>
        <v>100</v>
      </c>
      <c r="AM353" s="243"/>
    </row>
    <row r="354" spans="1:39" ht="28.5" customHeight="1" x14ac:dyDescent="0.25">
      <c r="A354" s="243"/>
      <c r="B354" s="362"/>
      <c r="C354" s="362"/>
      <c r="D354" s="362"/>
      <c r="E354" s="362"/>
      <c r="F354" s="362"/>
      <c r="G354" s="362"/>
      <c r="H354" s="362"/>
      <c r="I354" s="363"/>
      <c r="J354" s="312" t="s">
        <v>339</v>
      </c>
      <c r="M354" s="619" t="s">
        <v>608</v>
      </c>
      <c r="N354" s="620"/>
      <c r="O354" s="179"/>
      <c r="P354" s="180"/>
      <c r="Q354" s="180">
        <v>25200000</v>
      </c>
      <c r="R354" s="181">
        <f t="shared" si="104"/>
        <v>4.6503553472156174</v>
      </c>
      <c r="S354" s="181">
        <v>100</v>
      </c>
      <c r="T354" s="180">
        <f t="shared" si="101"/>
        <v>3.4722222222222223</v>
      </c>
      <c r="U354" s="180">
        <f t="shared" si="94"/>
        <v>0.16147067177832006</v>
      </c>
      <c r="V354" s="182">
        <f t="shared" si="92"/>
        <v>96.527777777777771</v>
      </c>
      <c r="W354" s="180"/>
      <c r="X354" s="180"/>
      <c r="Y354" s="180"/>
      <c r="Z354" s="180"/>
      <c r="AA354" s="180"/>
      <c r="AB354" s="180"/>
      <c r="AC354" s="180"/>
      <c r="AD354" s="180"/>
      <c r="AE354" s="180"/>
      <c r="AF354" s="180"/>
      <c r="AG354" s="180"/>
      <c r="AH354" s="180"/>
      <c r="AI354" s="180">
        <v>875000</v>
      </c>
      <c r="AJ354" s="181">
        <f t="shared" si="102"/>
        <v>3.4722222222222223</v>
      </c>
      <c r="AK354" s="246">
        <f t="shared" si="96"/>
        <v>24325000</v>
      </c>
      <c r="AL354" s="181">
        <f t="shared" si="103"/>
        <v>96.527777777777786</v>
      </c>
      <c r="AM354" s="243"/>
    </row>
    <row r="355" spans="1:39" ht="28.5" customHeight="1" x14ac:dyDescent="0.25">
      <c r="A355" s="243"/>
      <c r="B355" s="362"/>
      <c r="C355" s="362"/>
      <c r="D355" s="362"/>
      <c r="E355" s="362"/>
      <c r="F355" s="362"/>
      <c r="G355" s="362"/>
      <c r="H355" s="362"/>
      <c r="I355" s="363"/>
      <c r="J355" s="362" t="s">
        <v>284</v>
      </c>
      <c r="K355" s="245"/>
      <c r="L355" s="257"/>
      <c r="M355" s="591" t="s">
        <v>503</v>
      </c>
      <c r="N355" s="592"/>
      <c r="O355" s="179"/>
      <c r="P355" s="180"/>
      <c r="Q355" s="180">
        <v>152190073</v>
      </c>
      <c r="R355" s="181">
        <f t="shared" si="104"/>
        <v>28.084838086058934</v>
      </c>
      <c r="S355" s="181">
        <v>100</v>
      </c>
      <c r="T355" s="180">
        <f t="shared" si="101"/>
        <v>19.764758244120166</v>
      </c>
      <c r="U355" s="180">
        <f t="shared" si="94"/>
        <v>5.5509003509621335</v>
      </c>
      <c r="V355" s="182">
        <f t="shared" si="92"/>
        <v>80.235241755879827</v>
      </c>
      <c r="W355" s="180"/>
      <c r="X355" s="180"/>
      <c r="Y355" s="180"/>
      <c r="Z355" s="180"/>
      <c r="AA355" s="180"/>
      <c r="AB355" s="180"/>
      <c r="AC355" s="180"/>
      <c r="AD355" s="180"/>
      <c r="AE355" s="180"/>
      <c r="AF355" s="180"/>
      <c r="AG355" s="180"/>
      <c r="AH355" s="180"/>
      <c r="AI355" s="180">
        <v>30080000</v>
      </c>
      <c r="AJ355" s="181">
        <f>AI355/Q355*100</f>
        <v>19.764758244120166</v>
      </c>
      <c r="AK355" s="246">
        <f>Q355-AI355</f>
        <v>122110073</v>
      </c>
      <c r="AL355" s="181">
        <f>AK355/Q355*100</f>
        <v>80.235241755879841</v>
      </c>
      <c r="AM355" s="243"/>
    </row>
    <row r="356" spans="1:39" ht="28.5" customHeight="1" x14ac:dyDescent="0.25">
      <c r="A356" s="243"/>
      <c r="B356" s="362"/>
      <c r="C356" s="362"/>
      <c r="D356" s="362"/>
      <c r="E356" s="362"/>
      <c r="F356" s="362"/>
      <c r="G356" s="362"/>
      <c r="H356" s="362"/>
      <c r="I356" s="363"/>
      <c r="J356" s="362" t="s">
        <v>320</v>
      </c>
      <c r="K356" s="245"/>
      <c r="L356" s="257"/>
      <c r="M356" s="591" t="s">
        <v>321</v>
      </c>
      <c r="N356" s="592"/>
      <c r="O356" s="179"/>
      <c r="P356" s="180"/>
      <c r="Q356" s="180">
        <v>9200000</v>
      </c>
      <c r="R356" s="181">
        <f t="shared" si="104"/>
        <v>1.6977487775549078</v>
      </c>
      <c r="S356" s="181">
        <v>100</v>
      </c>
      <c r="T356" s="180">
        <f t="shared" si="101"/>
        <v>65.217391304347828</v>
      </c>
      <c r="U356" s="180">
        <f t="shared" si="94"/>
        <v>1.1072274636227659</v>
      </c>
      <c r="V356" s="182">
        <f t="shared" si="92"/>
        <v>34.782608695652172</v>
      </c>
      <c r="W356" s="180"/>
      <c r="X356" s="180"/>
      <c r="Y356" s="180"/>
      <c r="Z356" s="180"/>
      <c r="AA356" s="180"/>
      <c r="AB356" s="180"/>
      <c r="AC356" s="180"/>
      <c r="AD356" s="180"/>
      <c r="AE356" s="180"/>
      <c r="AF356" s="180"/>
      <c r="AG356" s="180"/>
      <c r="AH356" s="180"/>
      <c r="AI356" s="180">
        <v>6000000</v>
      </c>
      <c r="AJ356" s="181">
        <f t="shared" si="102"/>
        <v>65.217391304347828</v>
      </c>
      <c r="AK356" s="246">
        <f t="shared" ref="AK356:AK419" si="105">Q356-AI356</f>
        <v>3200000</v>
      </c>
      <c r="AL356" s="181">
        <f t="shared" si="103"/>
        <v>34.782608695652172</v>
      </c>
      <c r="AM356" s="243"/>
    </row>
    <row r="357" spans="1:39" ht="28.5" customHeight="1" x14ac:dyDescent="0.25">
      <c r="A357" s="243"/>
      <c r="B357" s="362"/>
      <c r="C357" s="362"/>
      <c r="D357" s="362"/>
      <c r="E357" s="362"/>
      <c r="F357" s="362"/>
      <c r="G357" s="362"/>
      <c r="H357" s="362"/>
      <c r="I357" s="363"/>
      <c r="J357" s="312" t="s">
        <v>407</v>
      </c>
      <c r="M357" s="616" t="s">
        <v>414</v>
      </c>
      <c r="N357" s="617"/>
      <c r="O357" s="179"/>
      <c r="P357" s="180"/>
      <c r="Q357" s="180">
        <v>8000000</v>
      </c>
      <c r="R357" s="181">
        <f t="shared" si="104"/>
        <v>1.4763032848303546</v>
      </c>
      <c r="S357" s="181">
        <v>100</v>
      </c>
      <c r="T357" s="180">
        <f t="shared" si="101"/>
        <v>18.75</v>
      </c>
      <c r="U357" s="180">
        <f t="shared" si="94"/>
        <v>0.27680686590569148</v>
      </c>
      <c r="V357" s="182">
        <f t="shared" si="92"/>
        <v>81.25</v>
      </c>
      <c r="W357" s="180"/>
      <c r="X357" s="180"/>
      <c r="Y357" s="180"/>
      <c r="Z357" s="180"/>
      <c r="AA357" s="180"/>
      <c r="AB357" s="180"/>
      <c r="AC357" s="180"/>
      <c r="AD357" s="180"/>
      <c r="AE357" s="180"/>
      <c r="AF357" s="180"/>
      <c r="AG357" s="180"/>
      <c r="AH357" s="180"/>
      <c r="AI357" s="180">
        <v>1500000</v>
      </c>
      <c r="AJ357" s="181">
        <f t="shared" si="102"/>
        <v>18.75</v>
      </c>
      <c r="AK357" s="246">
        <f t="shared" si="105"/>
        <v>6500000</v>
      </c>
      <c r="AL357" s="181">
        <f t="shared" si="103"/>
        <v>81.25</v>
      </c>
      <c r="AM357" s="243"/>
    </row>
    <row r="358" spans="1:39" ht="28.5" customHeight="1" x14ac:dyDescent="0.25">
      <c r="A358" s="243"/>
      <c r="B358" s="362"/>
      <c r="C358" s="362"/>
      <c r="D358" s="362"/>
      <c r="E358" s="362"/>
      <c r="F358" s="362"/>
      <c r="G358" s="362"/>
      <c r="H358" s="362"/>
      <c r="I358" s="363"/>
      <c r="J358" s="312" t="s">
        <v>551</v>
      </c>
      <c r="M358" s="616" t="s">
        <v>550</v>
      </c>
      <c r="N358" s="617"/>
      <c r="O358" s="179"/>
      <c r="P358" s="180"/>
      <c r="Q358" s="180">
        <v>96000000</v>
      </c>
      <c r="R358" s="181">
        <f t="shared" si="104"/>
        <v>17.715639417964255</v>
      </c>
      <c r="S358" s="181">
        <v>100</v>
      </c>
      <c r="T358" s="180">
        <f t="shared" si="101"/>
        <v>0</v>
      </c>
      <c r="U358" s="180">
        <f t="shared" si="94"/>
        <v>0</v>
      </c>
      <c r="V358" s="182">
        <f t="shared" si="92"/>
        <v>100</v>
      </c>
      <c r="W358" s="180"/>
      <c r="X358" s="180"/>
      <c r="Y358" s="180"/>
      <c r="Z358" s="180"/>
      <c r="AA358" s="180"/>
      <c r="AB358" s="180"/>
      <c r="AC358" s="180"/>
      <c r="AD358" s="180"/>
      <c r="AE358" s="180"/>
      <c r="AF358" s="180"/>
      <c r="AG358" s="180"/>
      <c r="AH358" s="180"/>
      <c r="AI358" s="180">
        <v>0</v>
      </c>
      <c r="AJ358" s="181">
        <f t="shared" si="102"/>
        <v>0</v>
      </c>
      <c r="AK358" s="246">
        <f t="shared" si="105"/>
        <v>96000000</v>
      </c>
      <c r="AL358" s="181">
        <f t="shared" si="103"/>
        <v>100</v>
      </c>
      <c r="AM358" s="243"/>
    </row>
    <row r="359" spans="1:39" s="297" customFormat="1" ht="29.25" customHeight="1" x14ac:dyDescent="0.25">
      <c r="A359" s="227">
        <f>SUM(A351+1)</f>
        <v>48</v>
      </c>
      <c r="B359" s="615" t="s">
        <v>150</v>
      </c>
      <c r="C359" s="615"/>
      <c r="D359" s="615"/>
      <c r="E359" s="615"/>
      <c r="F359" s="615"/>
      <c r="G359" s="615"/>
      <c r="H359" s="615"/>
      <c r="I359" s="614"/>
      <c r="J359" s="304" t="s">
        <v>491</v>
      </c>
      <c r="K359" s="230"/>
      <c r="L359" s="294"/>
      <c r="M359" s="609" t="s">
        <v>49</v>
      </c>
      <c r="N359" s="609"/>
      <c r="O359" s="309">
        <v>558720000</v>
      </c>
      <c r="P359" s="231">
        <f>O359</f>
        <v>558720000</v>
      </c>
      <c r="Q359" s="231">
        <f>SUM(Q360:Q371)</f>
        <v>412540000</v>
      </c>
      <c r="R359" s="233">
        <f>Q359/Q$243*100</f>
        <v>3.4586298628576171</v>
      </c>
      <c r="S359" s="233">
        <v>100</v>
      </c>
      <c r="T359" s="231">
        <f t="shared" si="101"/>
        <v>27.150090173074126</v>
      </c>
      <c r="U359" s="231">
        <f t="shared" si="94"/>
        <v>0.93902112651871306</v>
      </c>
      <c r="V359" s="296">
        <f t="shared" si="92"/>
        <v>72.849909826925881</v>
      </c>
      <c r="W359" s="231"/>
      <c r="X359" s="231" t="e">
        <f>#REF!</f>
        <v>#REF!</v>
      </c>
      <c r="Y359" s="231" t="e">
        <f>#REF!</f>
        <v>#REF!</v>
      </c>
      <c r="Z359" s="231" t="e">
        <f>#REF!</f>
        <v>#REF!</v>
      </c>
      <c r="AA359" s="231" t="e">
        <f>#REF!</f>
        <v>#REF!</v>
      </c>
      <c r="AB359" s="231">
        <v>192786500</v>
      </c>
      <c r="AC359" s="231" t="e">
        <f>#REF!</f>
        <v>#REF!</v>
      </c>
      <c r="AD359" s="231" t="e">
        <f>#REF!</f>
        <v>#REF!</v>
      </c>
      <c r="AE359" s="231" t="e">
        <f>#REF!</f>
        <v>#REF!</v>
      </c>
      <c r="AF359" s="231" t="e">
        <f>[1]April!N66</f>
        <v>#REF!</v>
      </c>
      <c r="AG359" s="231" t="e">
        <f>[2]april!N66</f>
        <v>#REF!</v>
      </c>
      <c r="AH359" s="231">
        <f>'[3]DES SKPD'!$N66</f>
        <v>558385000</v>
      </c>
      <c r="AI359" s="231">
        <f>SUM(AI360:AI371)</f>
        <v>112004982</v>
      </c>
      <c r="AJ359" s="233">
        <f t="shared" si="102"/>
        <v>27.150090173074126</v>
      </c>
      <c r="AK359" s="234">
        <f t="shared" si="105"/>
        <v>300535018</v>
      </c>
      <c r="AL359" s="233">
        <f t="shared" si="103"/>
        <v>72.849909826925881</v>
      </c>
      <c r="AM359" s="227"/>
    </row>
    <row r="360" spans="1:39" ht="29.25" customHeight="1" x14ac:dyDescent="0.25">
      <c r="A360" s="243"/>
      <c r="B360" s="362"/>
      <c r="C360" s="362"/>
      <c r="D360" s="362"/>
      <c r="E360" s="362"/>
      <c r="F360" s="362"/>
      <c r="G360" s="362"/>
      <c r="H360" s="362"/>
      <c r="I360" s="363"/>
      <c r="J360" s="362" t="s">
        <v>259</v>
      </c>
      <c r="K360" s="245"/>
      <c r="L360" s="257"/>
      <c r="M360" s="591" t="s">
        <v>260</v>
      </c>
      <c r="N360" s="592"/>
      <c r="O360" s="179"/>
      <c r="P360" s="180"/>
      <c r="Q360" s="180">
        <v>3080000</v>
      </c>
      <c r="R360" s="181">
        <f t="shared" ref="R360:R371" si="106">Q360/Q$359*100</f>
        <v>0.74659426964657971</v>
      </c>
      <c r="S360" s="181">
        <v>100</v>
      </c>
      <c r="T360" s="180">
        <f t="shared" si="101"/>
        <v>0</v>
      </c>
      <c r="U360" s="180">
        <f t="shared" si="94"/>
        <v>0</v>
      </c>
      <c r="V360" s="182">
        <f t="shared" si="92"/>
        <v>100</v>
      </c>
      <c r="W360" s="180"/>
      <c r="X360" s="180"/>
      <c r="Y360" s="180"/>
      <c r="Z360" s="180"/>
      <c r="AA360" s="180"/>
      <c r="AB360" s="180"/>
      <c r="AC360" s="180"/>
      <c r="AD360" s="180"/>
      <c r="AE360" s="180"/>
      <c r="AF360" s="180"/>
      <c r="AG360" s="180"/>
      <c r="AH360" s="180"/>
      <c r="AI360" s="180">
        <v>0</v>
      </c>
      <c r="AJ360" s="181">
        <f t="shared" si="102"/>
        <v>0</v>
      </c>
      <c r="AK360" s="246">
        <f t="shared" si="105"/>
        <v>3080000</v>
      </c>
      <c r="AL360" s="181">
        <f t="shared" si="103"/>
        <v>100</v>
      </c>
      <c r="AM360" s="243"/>
    </row>
    <row r="361" spans="1:39" ht="29.25" customHeight="1" x14ac:dyDescent="0.25">
      <c r="A361" s="243"/>
      <c r="B361" s="362"/>
      <c r="C361" s="362"/>
      <c r="D361" s="362"/>
      <c r="E361" s="362"/>
      <c r="F361" s="362"/>
      <c r="G361" s="362"/>
      <c r="H361" s="362"/>
      <c r="I361" s="363"/>
      <c r="J361" s="362" t="s">
        <v>347</v>
      </c>
      <c r="K361" s="245"/>
      <c r="L361" s="257"/>
      <c r="M361" s="591" t="s">
        <v>348</v>
      </c>
      <c r="N361" s="592"/>
      <c r="O361" s="179"/>
      <c r="P361" s="180"/>
      <c r="Q361" s="180">
        <v>57400000</v>
      </c>
      <c r="R361" s="181">
        <f t="shared" si="106"/>
        <v>13.913802297958986</v>
      </c>
      <c r="S361" s="181">
        <v>100</v>
      </c>
      <c r="T361" s="180">
        <f t="shared" si="101"/>
        <v>0</v>
      </c>
      <c r="U361" s="180">
        <f t="shared" ref="U361:U424" si="107">R361*T361/100</f>
        <v>0</v>
      </c>
      <c r="V361" s="182">
        <f t="shared" si="92"/>
        <v>100</v>
      </c>
      <c r="W361" s="180"/>
      <c r="X361" s="180"/>
      <c r="Y361" s="180"/>
      <c r="Z361" s="180"/>
      <c r="AA361" s="180"/>
      <c r="AB361" s="180"/>
      <c r="AC361" s="180"/>
      <c r="AD361" s="180"/>
      <c r="AE361" s="180"/>
      <c r="AF361" s="180"/>
      <c r="AG361" s="180"/>
      <c r="AH361" s="180"/>
      <c r="AI361" s="180">
        <v>0</v>
      </c>
      <c r="AJ361" s="181">
        <f t="shared" si="102"/>
        <v>0</v>
      </c>
      <c r="AK361" s="246">
        <f t="shared" si="105"/>
        <v>57400000</v>
      </c>
      <c r="AL361" s="181">
        <f t="shared" si="103"/>
        <v>100</v>
      </c>
      <c r="AM361" s="243"/>
    </row>
    <row r="362" spans="1:39" ht="29.25" customHeight="1" x14ac:dyDescent="0.25">
      <c r="A362" s="243"/>
      <c r="B362" s="362"/>
      <c r="C362" s="362"/>
      <c r="D362" s="362"/>
      <c r="E362" s="362"/>
      <c r="F362" s="362"/>
      <c r="G362" s="362"/>
      <c r="H362" s="362"/>
      <c r="I362" s="363"/>
      <c r="J362" s="362" t="s">
        <v>323</v>
      </c>
      <c r="K362" s="245"/>
      <c r="L362" s="257"/>
      <c r="M362" s="591" t="s">
        <v>324</v>
      </c>
      <c r="N362" s="592"/>
      <c r="O362" s="179"/>
      <c r="P362" s="180"/>
      <c r="Q362" s="180">
        <v>24084000</v>
      </c>
      <c r="R362" s="181">
        <f t="shared" si="106"/>
        <v>5.8379793474572166</v>
      </c>
      <c r="S362" s="181">
        <v>100</v>
      </c>
      <c r="T362" s="180">
        <f t="shared" si="101"/>
        <v>24.28998505231689</v>
      </c>
      <c r="U362" s="180">
        <f t="shared" si="107"/>
        <v>1.4180443108547049</v>
      </c>
      <c r="V362" s="182">
        <f t="shared" si="92"/>
        <v>75.710014947683106</v>
      </c>
      <c r="W362" s="180"/>
      <c r="X362" s="180"/>
      <c r="Y362" s="180"/>
      <c r="Z362" s="180"/>
      <c r="AA362" s="180"/>
      <c r="AB362" s="180"/>
      <c r="AC362" s="180"/>
      <c r="AD362" s="180"/>
      <c r="AE362" s="180"/>
      <c r="AF362" s="180"/>
      <c r="AG362" s="180"/>
      <c r="AH362" s="180"/>
      <c r="AI362" s="180">
        <v>5850000</v>
      </c>
      <c r="AJ362" s="181">
        <f t="shared" si="102"/>
        <v>24.28998505231689</v>
      </c>
      <c r="AK362" s="246">
        <f t="shared" si="105"/>
        <v>18234000</v>
      </c>
      <c r="AL362" s="181">
        <f t="shared" si="103"/>
        <v>75.710014947683106</v>
      </c>
      <c r="AM362" s="243"/>
    </row>
    <row r="363" spans="1:39" ht="29.25" customHeight="1" x14ac:dyDescent="0.25">
      <c r="A363" s="243"/>
      <c r="B363" s="362"/>
      <c r="C363" s="362"/>
      <c r="D363" s="362"/>
      <c r="E363" s="362"/>
      <c r="F363" s="362"/>
      <c r="G363" s="362"/>
      <c r="H363" s="362"/>
      <c r="I363" s="363"/>
      <c r="J363" s="362" t="s">
        <v>269</v>
      </c>
      <c r="K363" s="245"/>
      <c r="L363" s="257"/>
      <c r="M363" s="591" t="s">
        <v>270</v>
      </c>
      <c r="N363" s="592"/>
      <c r="O363" s="179"/>
      <c r="P363" s="180"/>
      <c r="Q363" s="180">
        <v>1500000</v>
      </c>
      <c r="R363" s="181">
        <f t="shared" si="106"/>
        <v>0.36360110534736023</v>
      </c>
      <c r="S363" s="181">
        <v>100</v>
      </c>
      <c r="T363" s="180">
        <f t="shared" si="101"/>
        <v>0</v>
      </c>
      <c r="U363" s="180">
        <f t="shared" si="107"/>
        <v>0</v>
      </c>
      <c r="V363" s="182">
        <f t="shared" si="92"/>
        <v>100</v>
      </c>
      <c r="W363" s="180"/>
      <c r="X363" s="180"/>
      <c r="Y363" s="180"/>
      <c r="Z363" s="180"/>
      <c r="AA363" s="180"/>
      <c r="AB363" s="180"/>
      <c r="AC363" s="180"/>
      <c r="AD363" s="180"/>
      <c r="AE363" s="180"/>
      <c r="AF363" s="180"/>
      <c r="AG363" s="180"/>
      <c r="AH363" s="180"/>
      <c r="AI363" s="180">
        <v>0</v>
      </c>
      <c r="AJ363" s="181">
        <f t="shared" si="102"/>
        <v>0</v>
      </c>
      <c r="AK363" s="246">
        <f t="shared" si="105"/>
        <v>1500000</v>
      </c>
      <c r="AL363" s="181">
        <f t="shared" si="103"/>
        <v>100</v>
      </c>
      <c r="AM363" s="243"/>
    </row>
    <row r="364" spans="1:39" ht="29.25" customHeight="1" x14ac:dyDescent="0.25">
      <c r="A364" s="243"/>
      <c r="B364" s="362"/>
      <c r="C364" s="362"/>
      <c r="D364" s="362"/>
      <c r="E364" s="362"/>
      <c r="F364" s="362"/>
      <c r="G364" s="362"/>
      <c r="H364" s="362"/>
      <c r="I364" s="363"/>
      <c r="J364" s="362" t="s">
        <v>315</v>
      </c>
      <c r="K364" s="245"/>
      <c r="L364" s="257"/>
      <c r="M364" s="591" t="s">
        <v>271</v>
      </c>
      <c r="N364" s="592"/>
      <c r="O364" s="179"/>
      <c r="P364" s="180"/>
      <c r="Q364" s="180">
        <v>3116000</v>
      </c>
      <c r="R364" s="181">
        <f t="shared" si="106"/>
        <v>0.75532069617491637</v>
      </c>
      <c r="S364" s="181">
        <v>100</v>
      </c>
      <c r="T364" s="180">
        <f t="shared" si="101"/>
        <v>30.744544287548138</v>
      </c>
      <c r="U364" s="180">
        <f t="shared" si="107"/>
        <v>0.23221990594851408</v>
      </c>
      <c r="V364" s="182">
        <f t="shared" si="92"/>
        <v>69.255455712451862</v>
      </c>
      <c r="W364" s="180"/>
      <c r="X364" s="180"/>
      <c r="Y364" s="180"/>
      <c r="Z364" s="180"/>
      <c r="AA364" s="180"/>
      <c r="AB364" s="180"/>
      <c r="AC364" s="180"/>
      <c r="AD364" s="180"/>
      <c r="AE364" s="180"/>
      <c r="AF364" s="180"/>
      <c r="AG364" s="180"/>
      <c r="AH364" s="180"/>
      <c r="AI364" s="180">
        <v>958000</v>
      </c>
      <c r="AJ364" s="181">
        <f t="shared" si="102"/>
        <v>30.744544287548138</v>
      </c>
      <c r="AK364" s="246">
        <f t="shared" si="105"/>
        <v>2158000</v>
      </c>
      <c r="AL364" s="181">
        <f t="shared" si="103"/>
        <v>69.255455712451862</v>
      </c>
      <c r="AM364" s="243"/>
    </row>
    <row r="365" spans="1:39" ht="29.25" customHeight="1" x14ac:dyDescent="0.25">
      <c r="A365" s="243"/>
      <c r="B365" s="362"/>
      <c r="C365" s="362"/>
      <c r="D365" s="362"/>
      <c r="E365" s="362"/>
      <c r="F365" s="362"/>
      <c r="G365" s="362"/>
      <c r="H365" s="362"/>
      <c r="I365" s="363"/>
      <c r="J365" s="362" t="s">
        <v>316</v>
      </c>
      <c r="K365" s="245"/>
      <c r="L365" s="257"/>
      <c r="M365" s="591" t="s">
        <v>317</v>
      </c>
      <c r="N365" s="592"/>
      <c r="O365" s="179"/>
      <c r="P365" s="180"/>
      <c r="Q365" s="180">
        <v>2000000</v>
      </c>
      <c r="R365" s="181">
        <f t="shared" si="106"/>
        <v>0.48480147379648031</v>
      </c>
      <c r="S365" s="181">
        <v>100</v>
      </c>
      <c r="T365" s="180">
        <f t="shared" si="101"/>
        <v>50</v>
      </c>
      <c r="U365" s="180">
        <f t="shared" si="107"/>
        <v>0.24240073689824015</v>
      </c>
      <c r="V365" s="182">
        <f t="shared" si="92"/>
        <v>50</v>
      </c>
      <c r="W365" s="180"/>
      <c r="X365" s="180"/>
      <c r="Y365" s="180"/>
      <c r="Z365" s="180"/>
      <c r="AA365" s="180"/>
      <c r="AB365" s="180"/>
      <c r="AC365" s="180"/>
      <c r="AD365" s="180"/>
      <c r="AE365" s="180"/>
      <c r="AF365" s="180"/>
      <c r="AG365" s="180"/>
      <c r="AH365" s="180"/>
      <c r="AI365" s="180">
        <v>1000000</v>
      </c>
      <c r="AJ365" s="181">
        <f t="shared" si="102"/>
        <v>50</v>
      </c>
      <c r="AK365" s="246">
        <f t="shared" si="105"/>
        <v>1000000</v>
      </c>
      <c r="AL365" s="181">
        <f t="shared" si="103"/>
        <v>50</v>
      </c>
      <c r="AM365" s="243"/>
    </row>
    <row r="366" spans="1:39" ht="29.25" customHeight="1" x14ac:dyDescent="0.25">
      <c r="A366" s="243"/>
      <c r="B366" s="362"/>
      <c r="C366" s="362"/>
      <c r="D366" s="362"/>
      <c r="E366" s="362"/>
      <c r="F366" s="362"/>
      <c r="G366" s="362"/>
      <c r="H366" s="362"/>
      <c r="I366" s="363"/>
      <c r="J366" s="362" t="s">
        <v>318</v>
      </c>
      <c r="K366" s="245"/>
      <c r="L366" s="257"/>
      <c r="M366" s="591" t="s">
        <v>319</v>
      </c>
      <c r="N366" s="592"/>
      <c r="O366" s="179"/>
      <c r="P366" s="180"/>
      <c r="Q366" s="180">
        <v>105200000</v>
      </c>
      <c r="R366" s="181">
        <f t="shared" si="106"/>
        <v>25.500557521694866</v>
      </c>
      <c r="S366" s="181">
        <v>100</v>
      </c>
      <c r="T366" s="180">
        <f t="shared" si="101"/>
        <v>49.904942965779469</v>
      </c>
      <c r="U366" s="180">
        <f t="shared" si="107"/>
        <v>12.726038687157608</v>
      </c>
      <c r="V366" s="182">
        <f t="shared" si="92"/>
        <v>50.095057034220531</v>
      </c>
      <c r="W366" s="180"/>
      <c r="X366" s="180"/>
      <c r="Y366" s="180"/>
      <c r="Z366" s="180"/>
      <c r="AA366" s="180"/>
      <c r="AB366" s="180"/>
      <c r="AC366" s="180"/>
      <c r="AD366" s="180"/>
      <c r="AE366" s="180"/>
      <c r="AF366" s="180"/>
      <c r="AG366" s="180"/>
      <c r="AH366" s="180"/>
      <c r="AI366" s="180">
        <v>52500000</v>
      </c>
      <c r="AJ366" s="181">
        <f t="shared" si="102"/>
        <v>49.904942965779469</v>
      </c>
      <c r="AK366" s="246">
        <f t="shared" si="105"/>
        <v>52700000</v>
      </c>
      <c r="AL366" s="181">
        <f t="shared" si="103"/>
        <v>50.095057034220538</v>
      </c>
      <c r="AM366" s="243"/>
    </row>
    <row r="367" spans="1:39" ht="29.25" customHeight="1" x14ac:dyDescent="0.25">
      <c r="A367" s="243"/>
      <c r="B367" s="362"/>
      <c r="C367" s="362"/>
      <c r="D367" s="362"/>
      <c r="E367" s="362"/>
      <c r="F367" s="362"/>
      <c r="G367" s="362"/>
      <c r="H367" s="362"/>
      <c r="I367" s="363"/>
      <c r="J367" s="362" t="s">
        <v>284</v>
      </c>
      <c r="K367" s="245"/>
      <c r="L367" s="257"/>
      <c r="M367" s="591" t="s">
        <v>285</v>
      </c>
      <c r="N367" s="592"/>
      <c r="O367" s="179"/>
      <c r="P367" s="180"/>
      <c r="Q367" s="180">
        <v>14740000</v>
      </c>
      <c r="R367" s="181">
        <f t="shared" si="106"/>
        <v>3.57298686188006</v>
      </c>
      <c r="S367" s="181">
        <v>100</v>
      </c>
      <c r="T367" s="180">
        <f t="shared" si="101"/>
        <v>16.282225237449119</v>
      </c>
      <c r="U367" s="180">
        <f t="shared" si="107"/>
        <v>0.58176176855577633</v>
      </c>
      <c r="V367" s="182">
        <f t="shared" si="92"/>
        <v>83.717774762550874</v>
      </c>
      <c r="W367" s="180"/>
      <c r="X367" s="180"/>
      <c r="Y367" s="180"/>
      <c r="Z367" s="180"/>
      <c r="AA367" s="180"/>
      <c r="AB367" s="180"/>
      <c r="AC367" s="180"/>
      <c r="AD367" s="180"/>
      <c r="AE367" s="180"/>
      <c r="AF367" s="180"/>
      <c r="AG367" s="180"/>
      <c r="AH367" s="180"/>
      <c r="AI367" s="180">
        <v>2400000</v>
      </c>
      <c r="AJ367" s="181">
        <f t="shared" si="102"/>
        <v>16.282225237449119</v>
      </c>
      <c r="AK367" s="246">
        <f t="shared" si="105"/>
        <v>12340000</v>
      </c>
      <c r="AL367" s="181">
        <f t="shared" si="103"/>
        <v>83.717774762550874</v>
      </c>
      <c r="AM367" s="243"/>
    </row>
    <row r="368" spans="1:39" ht="29.25" customHeight="1" x14ac:dyDescent="0.25">
      <c r="A368" s="243"/>
      <c r="B368" s="362"/>
      <c r="C368" s="362"/>
      <c r="D368" s="362"/>
      <c r="E368" s="362"/>
      <c r="F368" s="362"/>
      <c r="G368" s="362"/>
      <c r="H368" s="362"/>
      <c r="I368" s="363"/>
      <c r="J368" s="362" t="s">
        <v>282</v>
      </c>
      <c r="K368" s="245"/>
      <c r="L368" s="257"/>
      <c r="M368" s="591" t="s">
        <v>283</v>
      </c>
      <c r="N368" s="592"/>
      <c r="O368" s="179"/>
      <c r="P368" s="180"/>
      <c r="Q368" s="180">
        <v>88420000</v>
      </c>
      <c r="R368" s="181">
        <f t="shared" si="106"/>
        <v>21.433073156542395</v>
      </c>
      <c r="S368" s="181">
        <v>100</v>
      </c>
      <c r="T368" s="180">
        <f t="shared" si="101"/>
        <v>16.961074417552592</v>
      </c>
      <c r="U368" s="180">
        <f t="shared" si="107"/>
        <v>3.635279488049644</v>
      </c>
      <c r="V368" s="182">
        <f t="shared" si="92"/>
        <v>83.038925582447405</v>
      </c>
      <c r="W368" s="180"/>
      <c r="X368" s="180"/>
      <c r="Y368" s="180"/>
      <c r="Z368" s="180"/>
      <c r="AA368" s="180"/>
      <c r="AB368" s="180"/>
      <c r="AC368" s="180"/>
      <c r="AD368" s="180"/>
      <c r="AE368" s="180"/>
      <c r="AF368" s="180"/>
      <c r="AG368" s="180"/>
      <c r="AH368" s="180"/>
      <c r="AI368" s="180">
        <v>14996982</v>
      </c>
      <c r="AJ368" s="181">
        <f t="shared" si="102"/>
        <v>16.961074417552592</v>
      </c>
      <c r="AK368" s="246">
        <f t="shared" si="105"/>
        <v>73423018</v>
      </c>
      <c r="AL368" s="181">
        <f t="shared" si="103"/>
        <v>83.038925582447405</v>
      </c>
      <c r="AM368" s="243"/>
    </row>
    <row r="369" spans="1:39" ht="29.25" customHeight="1" x14ac:dyDescent="0.25">
      <c r="A369" s="243"/>
      <c r="B369" s="362"/>
      <c r="C369" s="362"/>
      <c r="D369" s="362"/>
      <c r="E369" s="362"/>
      <c r="F369" s="362"/>
      <c r="G369" s="362"/>
      <c r="H369" s="362"/>
      <c r="I369" s="363"/>
      <c r="J369" s="362" t="s">
        <v>320</v>
      </c>
      <c r="K369" s="245"/>
      <c r="L369" s="257"/>
      <c r="M369" s="591" t="s">
        <v>321</v>
      </c>
      <c r="N369" s="592"/>
      <c r="O369" s="179"/>
      <c r="P369" s="180"/>
      <c r="Q369" s="180">
        <v>65600000</v>
      </c>
      <c r="R369" s="181">
        <f t="shared" si="106"/>
        <v>15.901488340524555</v>
      </c>
      <c r="S369" s="181">
        <v>100</v>
      </c>
      <c r="T369" s="180">
        <f t="shared" si="101"/>
        <v>38.719512195121951</v>
      </c>
      <c r="U369" s="180">
        <f t="shared" si="107"/>
        <v>6.1569787172152992</v>
      </c>
      <c r="V369" s="182">
        <f t="shared" si="92"/>
        <v>61.280487804878049</v>
      </c>
      <c r="W369" s="180"/>
      <c r="X369" s="180"/>
      <c r="Y369" s="180"/>
      <c r="Z369" s="180"/>
      <c r="AA369" s="180"/>
      <c r="AB369" s="180"/>
      <c r="AC369" s="180"/>
      <c r="AD369" s="180"/>
      <c r="AE369" s="180"/>
      <c r="AF369" s="180"/>
      <c r="AG369" s="180"/>
      <c r="AH369" s="180"/>
      <c r="AI369" s="180">
        <v>25400000</v>
      </c>
      <c r="AJ369" s="181">
        <f t="shared" si="102"/>
        <v>38.719512195121951</v>
      </c>
      <c r="AK369" s="246">
        <f t="shared" si="105"/>
        <v>40200000</v>
      </c>
      <c r="AL369" s="181">
        <f t="shared" si="103"/>
        <v>61.280487804878049</v>
      </c>
      <c r="AM369" s="243"/>
    </row>
    <row r="370" spans="1:39" ht="29.25" customHeight="1" x14ac:dyDescent="0.25">
      <c r="A370" s="243"/>
      <c r="B370" s="362"/>
      <c r="C370" s="362"/>
      <c r="D370" s="362"/>
      <c r="E370" s="362"/>
      <c r="F370" s="362"/>
      <c r="G370" s="362"/>
      <c r="H370" s="362"/>
      <c r="I370" s="363"/>
      <c r="J370" s="362" t="s">
        <v>320</v>
      </c>
      <c r="K370" s="245"/>
      <c r="L370" s="257"/>
      <c r="M370" s="591" t="s">
        <v>414</v>
      </c>
      <c r="N370" s="592"/>
      <c r="O370" s="179"/>
      <c r="P370" s="180"/>
      <c r="Q370" s="180">
        <v>18600000</v>
      </c>
      <c r="R370" s="181">
        <f t="shared" si="106"/>
        <v>4.5086537063072676</v>
      </c>
      <c r="S370" s="181">
        <v>100</v>
      </c>
      <c r="T370" s="180">
        <f t="shared" si="101"/>
        <v>47.8494623655914</v>
      </c>
      <c r="U370" s="180">
        <f t="shared" si="107"/>
        <v>2.157366558394338</v>
      </c>
      <c r="V370" s="182">
        <f t="shared" si="92"/>
        <v>52.1505376344086</v>
      </c>
      <c r="W370" s="180"/>
      <c r="X370" s="180"/>
      <c r="Y370" s="180"/>
      <c r="Z370" s="180"/>
      <c r="AA370" s="180"/>
      <c r="AB370" s="180"/>
      <c r="AC370" s="180"/>
      <c r="AD370" s="180"/>
      <c r="AE370" s="180"/>
      <c r="AF370" s="180"/>
      <c r="AG370" s="180"/>
      <c r="AH370" s="180"/>
      <c r="AI370" s="180">
        <v>8900000</v>
      </c>
      <c r="AJ370" s="181">
        <f t="shared" si="102"/>
        <v>47.8494623655914</v>
      </c>
      <c r="AK370" s="246">
        <f t="shared" si="105"/>
        <v>9700000</v>
      </c>
      <c r="AL370" s="181">
        <f t="shared" si="103"/>
        <v>52.1505376344086</v>
      </c>
      <c r="AM370" s="243"/>
    </row>
    <row r="371" spans="1:39" ht="29.25" customHeight="1" x14ac:dyDescent="0.25">
      <c r="A371" s="243"/>
      <c r="B371" s="362"/>
      <c r="C371" s="362"/>
      <c r="D371" s="362"/>
      <c r="E371" s="362"/>
      <c r="F371" s="362"/>
      <c r="G371" s="362"/>
      <c r="H371" s="362"/>
      <c r="I371" s="363"/>
      <c r="J371" s="362" t="s">
        <v>350</v>
      </c>
      <c r="K371" s="245"/>
      <c r="L371" s="257"/>
      <c r="M371" s="591" t="s">
        <v>550</v>
      </c>
      <c r="N371" s="592"/>
      <c r="O371" s="179"/>
      <c r="P371" s="180"/>
      <c r="Q371" s="180">
        <v>28800000</v>
      </c>
      <c r="R371" s="181">
        <f t="shared" si="106"/>
        <v>6.9811412226693168</v>
      </c>
      <c r="S371" s="181">
        <v>100</v>
      </c>
      <c r="T371" s="180">
        <f t="shared" si="101"/>
        <v>0</v>
      </c>
      <c r="U371" s="180">
        <f t="shared" si="107"/>
        <v>0</v>
      </c>
      <c r="V371" s="182">
        <f t="shared" si="92"/>
        <v>100</v>
      </c>
      <c r="W371" s="180"/>
      <c r="X371" s="180"/>
      <c r="Y371" s="180"/>
      <c r="Z371" s="180"/>
      <c r="AA371" s="180"/>
      <c r="AB371" s="180"/>
      <c r="AC371" s="180"/>
      <c r="AD371" s="180"/>
      <c r="AE371" s="180"/>
      <c r="AF371" s="180"/>
      <c r="AG371" s="180"/>
      <c r="AH371" s="180"/>
      <c r="AI371" s="180">
        <v>0</v>
      </c>
      <c r="AJ371" s="181">
        <f t="shared" si="102"/>
        <v>0</v>
      </c>
      <c r="AK371" s="246">
        <f t="shared" si="105"/>
        <v>28800000</v>
      </c>
      <c r="AL371" s="181">
        <f t="shared" si="103"/>
        <v>100</v>
      </c>
      <c r="AM371" s="243"/>
    </row>
    <row r="372" spans="1:39" s="297" customFormat="1" ht="24.75" customHeight="1" x14ac:dyDescent="0.25">
      <c r="A372" s="227">
        <f>SUM(A359+1)</f>
        <v>49</v>
      </c>
      <c r="B372" s="615" t="s">
        <v>147</v>
      </c>
      <c r="C372" s="615"/>
      <c r="D372" s="615"/>
      <c r="E372" s="615"/>
      <c r="F372" s="615"/>
      <c r="G372" s="615"/>
      <c r="H372" s="615"/>
      <c r="I372" s="614"/>
      <c r="J372" s="304" t="s">
        <v>495</v>
      </c>
      <c r="K372" s="230"/>
      <c r="L372" s="294"/>
      <c r="M372" s="610" t="s">
        <v>50</v>
      </c>
      <c r="N372" s="610"/>
      <c r="O372" s="309">
        <v>509540000</v>
      </c>
      <c r="P372" s="231">
        <f>O372</f>
        <v>509540000</v>
      </c>
      <c r="Q372" s="231">
        <f>SUM(Q373:Q381)</f>
        <v>351260000</v>
      </c>
      <c r="R372" s="233">
        <f>Q372/Q$243*100</f>
        <v>2.9448740137377385</v>
      </c>
      <c r="S372" s="233">
        <v>100</v>
      </c>
      <c r="T372" s="231">
        <f t="shared" si="101"/>
        <v>0</v>
      </c>
      <c r="U372" s="231">
        <f t="shared" si="107"/>
        <v>0</v>
      </c>
      <c r="V372" s="296">
        <f t="shared" si="92"/>
        <v>100</v>
      </c>
      <c r="W372" s="231"/>
      <c r="X372" s="231" t="e">
        <f>#REF!</f>
        <v>#REF!</v>
      </c>
      <c r="Y372" s="231" t="e">
        <f>#REF!</f>
        <v>#REF!</v>
      </c>
      <c r="Z372" s="231" t="e">
        <f>#REF!</f>
        <v>#REF!</v>
      </c>
      <c r="AA372" s="231" t="e">
        <f>#REF!</f>
        <v>#REF!</v>
      </c>
      <c r="AB372" s="231">
        <v>227840500</v>
      </c>
      <c r="AC372" s="231" t="e">
        <f>#REF!</f>
        <v>#REF!</v>
      </c>
      <c r="AD372" s="231" t="e">
        <f>#REF!</f>
        <v>#REF!</v>
      </c>
      <c r="AE372" s="231" t="e">
        <f>#REF!</f>
        <v>#REF!</v>
      </c>
      <c r="AF372" s="231" t="e">
        <f>[1]April!N68</f>
        <v>#REF!</v>
      </c>
      <c r="AG372" s="231" t="e">
        <f>[2]april!N68</f>
        <v>#REF!</v>
      </c>
      <c r="AH372" s="231">
        <f>'[3]DES SKPD'!$N68</f>
        <v>375022000</v>
      </c>
      <c r="AI372" s="231">
        <f>SUM(AI373:AI381)</f>
        <v>0</v>
      </c>
      <c r="AJ372" s="233">
        <f t="shared" si="102"/>
        <v>0</v>
      </c>
      <c r="AK372" s="234">
        <f t="shared" si="105"/>
        <v>351260000</v>
      </c>
      <c r="AL372" s="233">
        <f t="shared" si="103"/>
        <v>100</v>
      </c>
      <c r="AM372" s="227"/>
    </row>
    <row r="373" spans="1:39" ht="24.75" customHeight="1" x14ac:dyDescent="0.25">
      <c r="A373" s="243"/>
      <c r="B373" s="362"/>
      <c r="C373" s="362"/>
      <c r="D373" s="362"/>
      <c r="E373" s="362"/>
      <c r="F373" s="362"/>
      <c r="G373" s="362"/>
      <c r="H373" s="362"/>
      <c r="I373" s="363"/>
      <c r="J373" s="362" t="s">
        <v>259</v>
      </c>
      <c r="K373" s="245"/>
      <c r="L373" s="257"/>
      <c r="M373" s="591" t="s">
        <v>260</v>
      </c>
      <c r="N373" s="592"/>
      <c r="O373" s="179"/>
      <c r="P373" s="180"/>
      <c r="Q373" s="180">
        <v>4620000</v>
      </c>
      <c r="R373" s="181">
        <f t="shared" ref="R373:R381" si="108">Q373/Q$372*100</f>
        <v>1.3152650458349939</v>
      </c>
      <c r="S373" s="181">
        <v>100</v>
      </c>
      <c r="T373" s="180">
        <f t="shared" si="101"/>
        <v>0</v>
      </c>
      <c r="U373" s="180">
        <f t="shared" si="107"/>
        <v>0</v>
      </c>
      <c r="V373" s="182">
        <f t="shared" si="92"/>
        <v>100</v>
      </c>
      <c r="W373" s="180"/>
      <c r="X373" s="180"/>
      <c r="Y373" s="180"/>
      <c r="Z373" s="180"/>
      <c r="AA373" s="180"/>
      <c r="AB373" s="180"/>
      <c r="AC373" s="180"/>
      <c r="AD373" s="180"/>
      <c r="AE373" s="180"/>
      <c r="AF373" s="180"/>
      <c r="AG373" s="180"/>
      <c r="AH373" s="180"/>
      <c r="AI373" s="180">
        <v>0</v>
      </c>
      <c r="AJ373" s="181">
        <f t="shared" si="102"/>
        <v>0</v>
      </c>
      <c r="AK373" s="246">
        <f t="shared" si="105"/>
        <v>4620000</v>
      </c>
      <c r="AL373" s="181">
        <f t="shared" si="103"/>
        <v>100</v>
      </c>
      <c r="AM373" s="243"/>
    </row>
    <row r="374" spans="1:39" ht="24.75" customHeight="1" x14ac:dyDescent="0.25">
      <c r="A374" s="243"/>
      <c r="B374" s="362"/>
      <c r="C374" s="362"/>
      <c r="D374" s="362"/>
      <c r="E374" s="362"/>
      <c r="F374" s="362"/>
      <c r="G374" s="362"/>
      <c r="H374" s="362"/>
      <c r="I374" s="363"/>
      <c r="J374" s="362" t="s">
        <v>323</v>
      </c>
      <c r="K374" s="245"/>
      <c r="L374" s="257"/>
      <c r="M374" s="591" t="s">
        <v>609</v>
      </c>
      <c r="N374" s="592"/>
      <c r="O374" s="179"/>
      <c r="P374" s="180"/>
      <c r="Q374" s="180">
        <v>18900000</v>
      </c>
      <c r="R374" s="181">
        <f t="shared" si="108"/>
        <v>5.3806297329613395</v>
      </c>
      <c r="S374" s="181">
        <v>100</v>
      </c>
      <c r="T374" s="180">
        <f t="shared" si="101"/>
        <v>0</v>
      </c>
      <c r="U374" s="180">
        <f t="shared" si="107"/>
        <v>0</v>
      </c>
      <c r="V374" s="182">
        <f t="shared" si="92"/>
        <v>100</v>
      </c>
      <c r="W374" s="180"/>
      <c r="X374" s="180"/>
      <c r="Y374" s="180"/>
      <c r="Z374" s="180"/>
      <c r="AA374" s="180"/>
      <c r="AB374" s="180"/>
      <c r="AC374" s="180"/>
      <c r="AD374" s="180"/>
      <c r="AE374" s="180"/>
      <c r="AF374" s="180"/>
      <c r="AG374" s="180"/>
      <c r="AH374" s="180"/>
      <c r="AI374" s="180">
        <v>0</v>
      </c>
      <c r="AJ374" s="181">
        <f t="shared" si="102"/>
        <v>0</v>
      </c>
      <c r="AK374" s="246">
        <f t="shared" si="105"/>
        <v>18900000</v>
      </c>
      <c r="AL374" s="181">
        <f t="shared" si="103"/>
        <v>100</v>
      </c>
      <c r="AM374" s="243"/>
    </row>
    <row r="375" spans="1:39" ht="24.75" customHeight="1" x14ac:dyDescent="0.25">
      <c r="A375" s="243"/>
      <c r="B375" s="362"/>
      <c r="C375" s="362"/>
      <c r="D375" s="362"/>
      <c r="E375" s="362"/>
      <c r="F375" s="362"/>
      <c r="G375" s="362"/>
      <c r="H375" s="362"/>
      <c r="I375" s="363"/>
      <c r="J375" s="362" t="s">
        <v>269</v>
      </c>
      <c r="K375" s="245"/>
      <c r="L375" s="257"/>
      <c r="M375" s="591" t="s">
        <v>352</v>
      </c>
      <c r="N375" s="592"/>
      <c r="O375" s="179"/>
      <c r="P375" s="180"/>
      <c r="Q375" s="180">
        <v>7500000</v>
      </c>
      <c r="R375" s="181">
        <f t="shared" si="108"/>
        <v>2.1351705289529126</v>
      </c>
      <c r="S375" s="181">
        <v>100</v>
      </c>
      <c r="T375" s="180">
        <f t="shared" si="101"/>
        <v>0</v>
      </c>
      <c r="U375" s="180">
        <f t="shared" si="107"/>
        <v>0</v>
      </c>
      <c r="V375" s="182">
        <f t="shared" si="92"/>
        <v>100</v>
      </c>
      <c r="W375" s="180"/>
      <c r="X375" s="180"/>
      <c r="Y375" s="180"/>
      <c r="Z375" s="180"/>
      <c r="AA375" s="180"/>
      <c r="AB375" s="180"/>
      <c r="AC375" s="180"/>
      <c r="AD375" s="180"/>
      <c r="AE375" s="180"/>
      <c r="AF375" s="180"/>
      <c r="AG375" s="180"/>
      <c r="AH375" s="180"/>
      <c r="AI375" s="180">
        <v>0</v>
      </c>
      <c r="AJ375" s="181">
        <f t="shared" si="102"/>
        <v>0</v>
      </c>
      <c r="AK375" s="246">
        <f t="shared" si="105"/>
        <v>7500000</v>
      </c>
      <c r="AL375" s="181">
        <f t="shared" si="103"/>
        <v>100</v>
      </c>
      <c r="AM375" s="243"/>
    </row>
    <row r="376" spans="1:39" ht="24.75" customHeight="1" x14ac:dyDescent="0.25">
      <c r="A376" s="243"/>
      <c r="B376" s="362"/>
      <c r="C376" s="362"/>
      <c r="D376" s="362"/>
      <c r="E376" s="362"/>
      <c r="F376" s="362"/>
      <c r="G376" s="362"/>
      <c r="H376" s="362"/>
      <c r="I376" s="363"/>
      <c r="J376" s="362" t="s">
        <v>315</v>
      </c>
      <c r="K376" s="245"/>
      <c r="L376" s="257"/>
      <c r="M376" s="591" t="s">
        <v>271</v>
      </c>
      <c r="N376" s="592"/>
      <c r="O376" s="179"/>
      <c r="P376" s="180"/>
      <c r="Q376" s="180">
        <v>7560000</v>
      </c>
      <c r="R376" s="181">
        <f t="shared" si="108"/>
        <v>2.1522518931845354</v>
      </c>
      <c r="S376" s="181">
        <v>100</v>
      </c>
      <c r="T376" s="180">
        <f t="shared" si="101"/>
        <v>0</v>
      </c>
      <c r="U376" s="180">
        <f t="shared" si="107"/>
        <v>0</v>
      </c>
      <c r="V376" s="182">
        <f t="shared" si="92"/>
        <v>100</v>
      </c>
      <c r="W376" s="180"/>
      <c r="X376" s="180"/>
      <c r="Y376" s="180"/>
      <c r="Z376" s="180"/>
      <c r="AA376" s="180"/>
      <c r="AB376" s="180"/>
      <c r="AC376" s="180"/>
      <c r="AD376" s="180"/>
      <c r="AE376" s="180"/>
      <c r="AF376" s="180"/>
      <c r="AG376" s="180"/>
      <c r="AH376" s="180"/>
      <c r="AI376" s="180">
        <v>0</v>
      </c>
      <c r="AJ376" s="181">
        <f t="shared" si="102"/>
        <v>0</v>
      </c>
      <c r="AK376" s="246">
        <f t="shared" si="105"/>
        <v>7560000</v>
      </c>
      <c r="AL376" s="181">
        <f t="shared" si="103"/>
        <v>100</v>
      </c>
      <c r="AM376" s="243"/>
    </row>
    <row r="377" spans="1:39" ht="24.75" customHeight="1" x14ac:dyDescent="0.25">
      <c r="A377" s="243"/>
      <c r="B377" s="362"/>
      <c r="C377" s="362"/>
      <c r="D377" s="362"/>
      <c r="E377" s="362"/>
      <c r="F377" s="362"/>
      <c r="G377" s="362"/>
      <c r="H377" s="362"/>
      <c r="I377" s="363"/>
      <c r="J377" s="362" t="s">
        <v>318</v>
      </c>
      <c r="K377" s="245"/>
      <c r="L377" s="257"/>
      <c r="M377" s="591" t="s">
        <v>319</v>
      </c>
      <c r="N377" s="592"/>
      <c r="O377" s="179"/>
      <c r="P377" s="180"/>
      <c r="Q377" s="180">
        <v>182850000</v>
      </c>
      <c r="R377" s="181">
        <f t="shared" si="108"/>
        <v>52.055457495872005</v>
      </c>
      <c r="S377" s="181">
        <v>100</v>
      </c>
      <c r="T377" s="180">
        <f t="shared" si="101"/>
        <v>0</v>
      </c>
      <c r="U377" s="180">
        <f t="shared" si="107"/>
        <v>0</v>
      </c>
      <c r="V377" s="182">
        <f t="shared" si="92"/>
        <v>100</v>
      </c>
      <c r="W377" s="180"/>
      <c r="X377" s="180"/>
      <c r="Y377" s="180"/>
      <c r="Z377" s="180"/>
      <c r="AA377" s="180"/>
      <c r="AB377" s="180"/>
      <c r="AC377" s="180"/>
      <c r="AD377" s="180"/>
      <c r="AE377" s="180"/>
      <c r="AF377" s="180"/>
      <c r="AG377" s="180"/>
      <c r="AH377" s="180"/>
      <c r="AI377" s="180">
        <v>0</v>
      </c>
      <c r="AJ377" s="181">
        <f t="shared" si="102"/>
        <v>0</v>
      </c>
      <c r="AK377" s="246">
        <f t="shared" si="105"/>
        <v>182850000</v>
      </c>
      <c r="AL377" s="181">
        <f t="shared" si="103"/>
        <v>100</v>
      </c>
      <c r="AM377" s="243"/>
    </row>
    <row r="378" spans="1:39" ht="24.75" customHeight="1" x14ac:dyDescent="0.25">
      <c r="A378" s="243"/>
      <c r="B378" s="362"/>
      <c r="C378" s="362"/>
      <c r="D378" s="362"/>
      <c r="E378" s="362"/>
      <c r="F378" s="362"/>
      <c r="G378" s="362"/>
      <c r="H378" s="362"/>
      <c r="I378" s="363"/>
      <c r="J378" s="362" t="s">
        <v>284</v>
      </c>
      <c r="K378" s="245"/>
      <c r="L378" s="257"/>
      <c r="M378" s="591" t="s">
        <v>285</v>
      </c>
      <c r="N378" s="592"/>
      <c r="O378" s="179"/>
      <c r="P378" s="180"/>
      <c r="Q378" s="180">
        <v>1320000</v>
      </c>
      <c r="R378" s="181">
        <f t="shared" si="108"/>
        <v>0.37579001309571258</v>
      </c>
      <c r="S378" s="181">
        <v>100</v>
      </c>
      <c r="T378" s="180">
        <f t="shared" si="101"/>
        <v>0</v>
      </c>
      <c r="U378" s="180">
        <f t="shared" si="107"/>
        <v>0</v>
      </c>
      <c r="V378" s="182">
        <f t="shared" si="92"/>
        <v>100</v>
      </c>
      <c r="W378" s="180"/>
      <c r="X378" s="180"/>
      <c r="Y378" s="180"/>
      <c r="Z378" s="180"/>
      <c r="AA378" s="180"/>
      <c r="AB378" s="180"/>
      <c r="AC378" s="180"/>
      <c r="AD378" s="180"/>
      <c r="AE378" s="180"/>
      <c r="AF378" s="180"/>
      <c r="AG378" s="180"/>
      <c r="AH378" s="180"/>
      <c r="AI378" s="180">
        <v>0</v>
      </c>
      <c r="AJ378" s="181">
        <f t="shared" si="102"/>
        <v>0</v>
      </c>
      <c r="AK378" s="246">
        <f t="shared" si="105"/>
        <v>1320000</v>
      </c>
      <c r="AL378" s="181">
        <f t="shared" si="103"/>
        <v>100</v>
      </c>
      <c r="AM378" s="243"/>
    </row>
    <row r="379" spans="1:39" ht="24.75" customHeight="1" x14ac:dyDescent="0.25">
      <c r="A379" s="243"/>
      <c r="B379" s="362"/>
      <c r="C379" s="362"/>
      <c r="D379" s="362"/>
      <c r="E379" s="362"/>
      <c r="F379" s="362"/>
      <c r="G379" s="362"/>
      <c r="H379" s="362"/>
      <c r="I379" s="363"/>
      <c r="J379" s="362" t="s">
        <v>282</v>
      </c>
      <c r="K379" s="245"/>
      <c r="L379" s="257"/>
      <c r="M379" s="591" t="s">
        <v>283</v>
      </c>
      <c r="N379" s="592"/>
      <c r="O379" s="179"/>
      <c r="P379" s="180"/>
      <c r="Q379" s="180">
        <v>108410000</v>
      </c>
      <c r="R379" s="181">
        <f t="shared" si="108"/>
        <v>30.863178272504697</v>
      </c>
      <c r="S379" s="181">
        <v>100</v>
      </c>
      <c r="T379" s="180">
        <f t="shared" si="101"/>
        <v>0</v>
      </c>
      <c r="U379" s="180">
        <f t="shared" si="107"/>
        <v>0</v>
      </c>
      <c r="V379" s="182">
        <f t="shared" si="92"/>
        <v>100</v>
      </c>
      <c r="W379" s="180"/>
      <c r="X379" s="180"/>
      <c r="Y379" s="180"/>
      <c r="Z379" s="180"/>
      <c r="AA379" s="180"/>
      <c r="AB379" s="180"/>
      <c r="AC379" s="180"/>
      <c r="AD379" s="180"/>
      <c r="AE379" s="180"/>
      <c r="AF379" s="180"/>
      <c r="AG379" s="180"/>
      <c r="AH379" s="180"/>
      <c r="AI379" s="180">
        <v>0</v>
      </c>
      <c r="AJ379" s="181">
        <f t="shared" si="102"/>
        <v>0</v>
      </c>
      <c r="AK379" s="246">
        <f t="shared" si="105"/>
        <v>108410000</v>
      </c>
      <c r="AL379" s="181">
        <f t="shared" si="103"/>
        <v>100</v>
      </c>
      <c r="AM379" s="243"/>
    </row>
    <row r="380" spans="1:39" ht="24.75" customHeight="1" x14ac:dyDescent="0.25">
      <c r="A380" s="243"/>
      <c r="B380" s="362"/>
      <c r="C380" s="362"/>
      <c r="D380" s="362"/>
      <c r="E380" s="362"/>
      <c r="F380" s="362"/>
      <c r="G380" s="362"/>
      <c r="H380" s="362"/>
      <c r="I380" s="363"/>
      <c r="J380" s="362" t="s">
        <v>320</v>
      </c>
      <c r="K380" s="245"/>
      <c r="L380" s="257"/>
      <c r="M380" s="591" t="s">
        <v>321</v>
      </c>
      <c r="N380" s="592"/>
      <c r="O380" s="179"/>
      <c r="P380" s="180"/>
      <c r="Q380" s="180">
        <v>16800000</v>
      </c>
      <c r="R380" s="181">
        <f t="shared" si="108"/>
        <v>4.7827819848545232</v>
      </c>
      <c r="S380" s="181">
        <v>100</v>
      </c>
      <c r="T380" s="180">
        <f t="shared" si="101"/>
        <v>0</v>
      </c>
      <c r="U380" s="180">
        <f t="shared" si="107"/>
        <v>0</v>
      </c>
      <c r="V380" s="182">
        <f t="shared" si="92"/>
        <v>100</v>
      </c>
      <c r="W380" s="180"/>
      <c r="X380" s="180"/>
      <c r="Y380" s="180"/>
      <c r="Z380" s="180"/>
      <c r="AA380" s="180"/>
      <c r="AB380" s="180"/>
      <c r="AC380" s="180"/>
      <c r="AD380" s="180"/>
      <c r="AE380" s="180"/>
      <c r="AF380" s="180"/>
      <c r="AG380" s="180"/>
      <c r="AH380" s="180"/>
      <c r="AI380" s="180">
        <v>0</v>
      </c>
      <c r="AJ380" s="181">
        <f t="shared" si="102"/>
        <v>0</v>
      </c>
      <c r="AK380" s="246">
        <f t="shared" si="105"/>
        <v>16800000</v>
      </c>
      <c r="AL380" s="181">
        <f t="shared" si="103"/>
        <v>100</v>
      </c>
      <c r="AM380" s="243"/>
    </row>
    <row r="381" spans="1:39" ht="24.75" customHeight="1" x14ac:dyDescent="0.25">
      <c r="A381" s="243"/>
      <c r="B381" s="362"/>
      <c r="C381" s="362"/>
      <c r="D381" s="362"/>
      <c r="E381" s="362"/>
      <c r="F381" s="362"/>
      <c r="G381" s="362"/>
      <c r="H381" s="362"/>
      <c r="I381" s="363"/>
      <c r="J381" s="362" t="s">
        <v>407</v>
      </c>
      <c r="K381" s="245"/>
      <c r="L381" s="257"/>
      <c r="M381" s="591" t="s">
        <v>414</v>
      </c>
      <c r="N381" s="592"/>
      <c r="O381" s="179"/>
      <c r="P381" s="180"/>
      <c r="Q381" s="180">
        <v>3300000</v>
      </c>
      <c r="R381" s="181">
        <f t="shared" si="108"/>
        <v>0.93947503273928146</v>
      </c>
      <c r="S381" s="181">
        <v>100</v>
      </c>
      <c r="T381" s="180">
        <f t="shared" si="101"/>
        <v>0</v>
      </c>
      <c r="U381" s="180">
        <f t="shared" si="107"/>
        <v>0</v>
      </c>
      <c r="V381" s="182">
        <f t="shared" si="92"/>
        <v>100</v>
      </c>
      <c r="W381" s="180"/>
      <c r="X381" s="180"/>
      <c r="Y381" s="180"/>
      <c r="Z381" s="180"/>
      <c r="AA381" s="180"/>
      <c r="AB381" s="180"/>
      <c r="AC381" s="180"/>
      <c r="AD381" s="180"/>
      <c r="AE381" s="180"/>
      <c r="AF381" s="180"/>
      <c r="AG381" s="180"/>
      <c r="AH381" s="180"/>
      <c r="AI381" s="180">
        <v>0</v>
      </c>
      <c r="AJ381" s="181">
        <f t="shared" si="102"/>
        <v>0</v>
      </c>
      <c r="AK381" s="246">
        <f t="shared" si="105"/>
        <v>3300000</v>
      </c>
      <c r="AL381" s="181">
        <f t="shared" si="103"/>
        <v>100</v>
      </c>
      <c r="AM381" s="243"/>
    </row>
    <row r="382" spans="1:39" s="297" customFormat="1" ht="30.75" customHeight="1" x14ac:dyDescent="0.25">
      <c r="A382" s="227">
        <f>A372+1</f>
        <v>50</v>
      </c>
      <c r="B382" s="615" t="s">
        <v>148</v>
      </c>
      <c r="C382" s="615"/>
      <c r="D382" s="615"/>
      <c r="E382" s="615"/>
      <c r="F382" s="615"/>
      <c r="G382" s="615"/>
      <c r="H382" s="615"/>
      <c r="I382" s="614"/>
      <c r="J382" s="304" t="s">
        <v>496</v>
      </c>
      <c r="K382" s="230"/>
      <c r="L382" s="294"/>
      <c r="M382" s="610" t="s">
        <v>199</v>
      </c>
      <c r="N382" s="610"/>
      <c r="O382" s="309">
        <v>569155000</v>
      </c>
      <c r="P382" s="231">
        <f>O382</f>
        <v>569155000</v>
      </c>
      <c r="Q382" s="231">
        <f>SUM(Q383:Q394)</f>
        <v>303990300</v>
      </c>
      <c r="R382" s="233">
        <f>Q382/Q$243*100</f>
        <v>2.5485769370219757</v>
      </c>
      <c r="S382" s="233">
        <v>100</v>
      </c>
      <c r="T382" s="231">
        <f t="shared" si="101"/>
        <v>50.403170759066981</v>
      </c>
      <c r="U382" s="231">
        <f t="shared" si="107"/>
        <v>1.2845635854933855</v>
      </c>
      <c r="V382" s="296">
        <f t="shared" si="92"/>
        <v>49.596829240933019</v>
      </c>
      <c r="W382" s="231"/>
      <c r="X382" s="231" t="e">
        <f>#REF!</f>
        <v>#REF!</v>
      </c>
      <c r="Y382" s="231" t="e">
        <f>#REF!</f>
        <v>#REF!</v>
      </c>
      <c r="Z382" s="231" t="e">
        <f>#REF!</f>
        <v>#REF!</v>
      </c>
      <c r="AA382" s="231" t="e">
        <f>#REF!</f>
        <v>#REF!</v>
      </c>
      <c r="AB382" s="231">
        <v>286887000</v>
      </c>
      <c r="AC382" s="231" t="e">
        <f>#REF!</f>
        <v>#REF!</v>
      </c>
      <c r="AD382" s="231" t="e">
        <f>#REF!</f>
        <v>#REF!</v>
      </c>
      <c r="AE382" s="231" t="e">
        <f>#REF!</f>
        <v>#REF!</v>
      </c>
      <c r="AF382" s="231" t="e">
        <f>[1]April!N69</f>
        <v>#REF!</v>
      </c>
      <c r="AG382" s="231" t="e">
        <f>[2]april!N69</f>
        <v>#REF!</v>
      </c>
      <c r="AH382" s="231">
        <f>'[3]DES SKPD'!$N69</f>
        <v>642713500</v>
      </c>
      <c r="AI382" s="231">
        <f>SUM(AI383:AI394)</f>
        <v>153220750</v>
      </c>
      <c r="AJ382" s="233">
        <f t="shared" si="102"/>
        <v>50.403170759066981</v>
      </c>
      <c r="AK382" s="234">
        <f t="shared" si="105"/>
        <v>150769550</v>
      </c>
      <c r="AL382" s="233">
        <f t="shared" si="103"/>
        <v>49.596829240933019</v>
      </c>
      <c r="AM382" s="227"/>
    </row>
    <row r="383" spans="1:39" ht="24.75" customHeight="1" x14ac:dyDescent="0.25">
      <c r="A383" s="243"/>
      <c r="B383" s="362"/>
      <c r="C383" s="362"/>
      <c r="D383" s="362"/>
      <c r="E383" s="362"/>
      <c r="F383" s="362"/>
      <c r="G383" s="362"/>
      <c r="H383" s="362"/>
      <c r="I383" s="363"/>
      <c r="J383" s="362" t="s">
        <v>259</v>
      </c>
      <c r="K383" s="245"/>
      <c r="L383" s="257"/>
      <c r="M383" s="591" t="s">
        <v>260</v>
      </c>
      <c r="N383" s="592"/>
      <c r="O383" s="179"/>
      <c r="P383" s="180"/>
      <c r="Q383" s="180">
        <v>1540000</v>
      </c>
      <c r="R383" s="181">
        <f t="shared" ref="R383:R394" si="109">Q383/Q$382*100</f>
        <v>0.50659511175192107</v>
      </c>
      <c r="S383" s="181">
        <v>100</v>
      </c>
      <c r="T383" s="180">
        <f t="shared" si="101"/>
        <v>50</v>
      </c>
      <c r="U383" s="180">
        <f t="shared" si="107"/>
        <v>0.25329755587596053</v>
      </c>
      <c r="V383" s="182">
        <f t="shared" si="92"/>
        <v>50</v>
      </c>
      <c r="W383" s="180"/>
      <c r="X383" s="180"/>
      <c r="Y383" s="180"/>
      <c r="Z383" s="180"/>
      <c r="AA383" s="180"/>
      <c r="AB383" s="180"/>
      <c r="AC383" s="180"/>
      <c r="AD383" s="180"/>
      <c r="AE383" s="180"/>
      <c r="AF383" s="180"/>
      <c r="AG383" s="180"/>
      <c r="AH383" s="180"/>
      <c r="AI383" s="180">
        <v>770000</v>
      </c>
      <c r="AJ383" s="181">
        <f t="shared" si="102"/>
        <v>50</v>
      </c>
      <c r="AK383" s="246">
        <f t="shared" si="105"/>
        <v>770000</v>
      </c>
      <c r="AL383" s="181">
        <f t="shared" si="103"/>
        <v>50</v>
      </c>
      <c r="AM383" s="243"/>
    </row>
    <row r="384" spans="1:39" ht="24.75" customHeight="1" x14ac:dyDescent="0.25">
      <c r="A384" s="243"/>
      <c r="B384" s="362"/>
      <c r="C384" s="362"/>
      <c r="D384" s="362"/>
      <c r="E384" s="362"/>
      <c r="F384" s="362"/>
      <c r="G384" s="362"/>
      <c r="H384" s="362"/>
      <c r="I384" s="363"/>
      <c r="J384" s="362" t="s">
        <v>326</v>
      </c>
      <c r="K384" s="245"/>
      <c r="L384" s="257"/>
      <c r="M384" s="591" t="s">
        <v>327</v>
      </c>
      <c r="N384" s="592"/>
      <c r="O384" s="179"/>
      <c r="P384" s="180"/>
      <c r="Q384" s="180">
        <v>51150000</v>
      </c>
      <c r="R384" s="181">
        <f t="shared" si="109"/>
        <v>16.826194783188804</v>
      </c>
      <c r="S384" s="181">
        <v>100</v>
      </c>
      <c r="T384" s="180">
        <f t="shared" si="101"/>
        <v>0</v>
      </c>
      <c r="U384" s="180">
        <f t="shared" si="107"/>
        <v>0</v>
      </c>
      <c r="V384" s="182">
        <f t="shared" si="92"/>
        <v>100</v>
      </c>
      <c r="W384" s="180"/>
      <c r="X384" s="180"/>
      <c r="Y384" s="180"/>
      <c r="Z384" s="180"/>
      <c r="AA384" s="180"/>
      <c r="AB384" s="180"/>
      <c r="AC384" s="180"/>
      <c r="AD384" s="180"/>
      <c r="AE384" s="180"/>
      <c r="AF384" s="180"/>
      <c r="AG384" s="180"/>
      <c r="AH384" s="180"/>
      <c r="AI384" s="180">
        <v>0</v>
      </c>
      <c r="AJ384" s="181">
        <f t="shared" si="102"/>
        <v>0</v>
      </c>
      <c r="AK384" s="246">
        <f t="shared" si="105"/>
        <v>51150000</v>
      </c>
      <c r="AL384" s="181">
        <f t="shared" si="103"/>
        <v>100</v>
      </c>
      <c r="AM384" s="243"/>
    </row>
    <row r="385" spans="1:39" ht="24.75" customHeight="1" x14ac:dyDescent="0.25">
      <c r="A385" s="243"/>
      <c r="B385" s="362"/>
      <c r="C385" s="362"/>
      <c r="D385" s="362"/>
      <c r="E385" s="362"/>
      <c r="F385" s="362"/>
      <c r="G385" s="362"/>
      <c r="H385" s="362"/>
      <c r="I385" s="363"/>
      <c r="J385" s="362" t="s">
        <v>323</v>
      </c>
      <c r="K385" s="245"/>
      <c r="L385" s="257"/>
      <c r="M385" s="591" t="s">
        <v>324</v>
      </c>
      <c r="N385" s="592"/>
      <c r="O385" s="179"/>
      <c r="P385" s="180"/>
      <c r="Q385" s="180">
        <v>5000000</v>
      </c>
      <c r="R385" s="181">
        <f t="shared" si="109"/>
        <v>1.6447893238698736</v>
      </c>
      <c r="S385" s="181">
        <v>100</v>
      </c>
      <c r="T385" s="180">
        <f t="shared" si="101"/>
        <v>0</v>
      </c>
      <c r="U385" s="180">
        <f t="shared" si="107"/>
        <v>0</v>
      </c>
      <c r="V385" s="182">
        <f t="shared" si="92"/>
        <v>100</v>
      </c>
      <c r="W385" s="180"/>
      <c r="X385" s="180"/>
      <c r="Y385" s="180"/>
      <c r="Z385" s="180"/>
      <c r="AA385" s="180"/>
      <c r="AB385" s="180"/>
      <c r="AC385" s="180"/>
      <c r="AD385" s="180"/>
      <c r="AE385" s="180"/>
      <c r="AF385" s="180"/>
      <c r="AG385" s="180"/>
      <c r="AH385" s="180"/>
      <c r="AI385" s="180">
        <v>0</v>
      </c>
      <c r="AJ385" s="181">
        <f t="shared" si="102"/>
        <v>0</v>
      </c>
      <c r="AK385" s="246">
        <f t="shared" si="105"/>
        <v>5000000</v>
      </c>
      <c r="AL385" s="181">
        <f t="shared" si="103"/>
        <v>100</v>
      </c>
      <c r="AM385" s="243"/>
    </row>
    <row r="386" spans="1:39" ht="24.75" customHeight="1" x14ac:dyDescent="0.25">
      <c r="A386" s="243"/>
      <c r="B386" s="362"/>
      <c r="C386" s="362"/>
      <c r="D386" s="362"/>
      <c r="E386" s="362"/>
      <c r="F386" s="362"/>
      <c r="G386" s="362"/>
      <c r="H386" s="362"/>
      <c r="I386" s="363"/>
      <c r="J386" s="362" t="s">
        <v>269</v>
      </c>
      <c r="K386" s="245"/>
      <c r="L386" s="257"/>
      <c r="M386" s="591" t="s">
        <v>270</v>
      </c>
      <c r="N386" s="592"/>
      <c r="O386" s="179"/>
      <c r="P386" s="180"/>
      <c r="Q386" s="180">
        <v>22000000</v>
      </c>
      <c r="R386" s="181">
        <f t="shared" si="109"/>
        <v>7.2370730250274438</v>
      </c>
      <c r="S386" s="181">
        <v>100</v>
      </c>
      <c r="T386" s="180">
        <f t="shared" si="101"/>
        <v>100</v>
      </c>
      <c r="U386" s="180">
        <f t="shared" si="107"/>
        <v>7.2370730250274438</v>
      </c>
      <c r="V386" s="182">
        <f t="shared" si="92"/>
        <v>0</v>
      </c>
      <c r="W386" s="180"/>
      <c r="X386" s="180"/>
      <c r="Y386" s="180"/>
      <c r="Z386" s="180"/>
      <c r="AA386" s="180"/>
      <c r="AB386" s="180"/>
      <c r="AC386" s="180"/>
      <c r="AD386" s="180"/>
      <c r="AE386" s="180"/>
      <c r="AF386" s="180"/>
      <c r="AG386" s="180"/>
      <c r="AH386" s="180"/>
      <c r="AI386" s="180">
        <v>22000000</v>
      </c>
      <c r="AJ386" s="181">
        <f t="shared" si="102"/>
        <v>100</v>
      </c>
      <c r="AK386" s="246">
        <f t="shared" si="105"/>
        <v>0</v>
      </c>
      <c r="AL386" s="181">
        <f t="shared" si="103"/>
        <v>0</v>
      </c>
      <c r="AM386" s="243"/>
    </row>
    <row r="387" spans="1:39" ht="24.75" customHeight="1" x14ac:dyDescent="0.25">
      <c r="A387" s="243"/>
      <c r="B387" s="362"/>
      <c r="C387" s="362"/>
      <c r="D387" s="362"/>
      <c r="E387" s="362"/>
      <c r="F387" s="362"/>
      <c r="G387" s="362"/>
      <c r="H387" s="362"/>
      <c r="I387" s="363"/>
      <c r="J387" s="362" t="s">
        <v>315</v>
      </c>
      <c r="K387" s="245"/>
      <c r="L387" s="257"/>
      <c r="M387" s="591" t="s">
        <v>271</v>
      </c>
      <c r="N387" s="592"/>
      <c r="O387" s="179"/>
      <c r="P387" s="180"/>
      <c r="Q387" s="180">
        <v>3400300</v>
      </c>
      <c r="R387" s="181">
        <f t="shared" si="109"/>
        <v>1.1185554275909462</v>
      </c>
      <c r="S387" s="181">
        <v>100</v>
      </c>
      <c r="T387" s="180">
        <f t="shared" si="101"/>
        <v>0</v>
      </c>
      <c r="U387" s="180">
        <f t="shared" si="107"/>
        <v>0</v>
      </c>
      <c r="V387" s="182">
        <f t="shared" si="92"/>
        <v>100</v>
      </c>
      <c r="W387" s="180"/>
      <c r="X387" s="180"/>
      <c r="Y387" s="180"/>
      <c r="Z387" s="180"/>
      <c r="AA387" s="180"/>
      <c r="AB387" s="180"/>
      <c r="AC387" s="180"/>
      <c r="AD387" s="180"/>
      <c r="AE387" s="180"/>
      <c r="AF387" s="180"/>
      <c r="AG387" s="180"/>
      <c r="AH387" s="180"/>
      <c r="AI387" s="180">
        <v>0</v>
      </c>
      <c r="AJ387" s="181">
        <f t="shared" si="102"/>
        <v>0</v>
      </c>
      <c r="AK387" s="246">
        <f t="shared" si="105"/>
        <v>3400300</v>
      </c>
      <c r="AL387" s="181">
        <f t="shared" si="103"/>
        <v>100</v>
      </c>
      <c r="AM387" s="243"/>
    </row>
    <row r="388" spans="1:39" ht="24.75" customHeight="1" x14ac:dyDescent="0.25">
      <c r="A388" s="243"/>
      <c r="B388" s="362"/>
      <c r="C388" s="362"/>
      <c r="D388" s="362"/>
      <c r="E388" s="362"/>
      <c r="F388" s="362"/>
      <c r="G388" s="362"/>
      <c r="H388" s="362"/>
      <c r="I388" s="363"/>
      <c r="J388" s="362" t="s">
        <v>328</v>
      </c>
      <c r="K388" s="245"/>
      <c r="L388" s="257"/>
      <c r="M388" s="591" t="s">
        <v>329</v>
      </c>
      <c r="N388" s="592"/>
      <c r="O388" s="179"/>
      <c r="P388" s="180"/>
      <c r="Q388" s="180">
        <v>15000000</v>
      </c>
      <c r="R388" s="181">
        <f t="shared" si="109"/>
        <v>4.9343679716096203</v>
      </c>
      <c r="S388" s="181">
        <v>100</v>
      </c>
      <c r="T388" s="180">
        <f t="shared" si="101"/>
        <v>0</v>
      </c>
      <c r="U388" s="180">
        <f t="shared" si="107"/>
        <v>0</v>
      </c>
      <c r="V388" s="182">
        <f t="shared" si="92"/>
        <v>100</v>
      </c>
      <c r="W388" s="180"/>
      <c r="X388" s="180"/>
      <c r="Y388" s="180"/>
      <c r="Z388" s="180"/>
      <c r="AA388" s="180"/>
      <c r="AB388" s="180"/>
      <c r="AC388" s="180"/>
      <c r="AD388" s="180"/>
      <c r="AE388" s="180"/>
      <c r="AF388" s="180"/>
      <c r="AG388" s="180"/>
      <c r="AH388" s="180"/>
      <c r="AI388" s="180">
        <v>0</v>
      </c>
      <c r="AJ388" s="181">
        <f t="shared" si="102"/>
        <v>0</v>
      </c>
      <c r="AK388" s="246">
        <f t="shared" si="105"/>
        <v>15000000</v>
      </c>
      <c r="AL388" s="181">
        <f t="shared" si="103"/>
        <v>100</v>
      </c>
      <c r="AM388" s="243"/>
    </row>
    <row r="389" spans="1:39" ht="27.75" customHeight="1" x14ac:dyDescent="0.25">
      <c r="A389" s="243"/>
      <c r="B389" s="362"/>
      <c r="C389" s="362"/>
      <c r="D389" s="362"/>
      <c r="E389" s="362"/>
      <c r="F389" s="362"/>
      <c r="G389" s="362"/>
      <c r="H389" s="362"/>
      <c r="I389" s="363"/>
      <c r="J389" s="362" t="s">
        <v>318</v>
      </c>
      <c r="K389" s="245"/>
      <c r="L389" s="257"/>
      <c r="M389" s="591" t="s">
        <v>319</v>
      </c>
      <c r="N389" s="592"/>
      <c r="O389" s="179"/>
      <c r="P389" s="180"/>
      <c r="Q389" s="180">
        <v>91000000</v>
      </c>
      <c r="R389" s="181">
        <f t="shared" si="109"/>
        <v>29.935165694431699</v>
      </c>
      <c r="S389" s="181">
        <v>100</v>
      </c>
      <c r="T389" s="180">
        <f t="shared" si="101"/>
        <v>50</v>
      </c>
      <c r="U389" s="180">
        <f t="shared" si="107"/>
        <v>14.96758284721585</v>
      </c>
      <c r="V389" s="182">
        <f t="shared" si="92"/>
        <v>50</v>
      </c>
      <c r="W389" s="180"/>
      <c r="X389" s="180"/>
      <c r="Y389" s="180"/>
      <c r="Z389" s="180"/>
      <c r="AA389" s="180"/>
      <c r="AB389" s="180"/>
      <c r="AC389" s="180"/>
      <c r="AD389" s="180"/>
      <c r="AE389" s="180"/>
      <c r="AF389" s="180"/>
      <c r="AG389" s="180"/>
      <c r="AH389" s="180"/>
      <c r="AI389" s="180">
        <v>45500000</v>
      </c>
      <c r="AJ389" s="181">
        <f t="shared" si="102"/>
        <v>50</v>
      </c>
      <c r="AK389" s="246">
        <f t="shared" si="105"/>
        <v>45500000</v>
      </c>
      <c r="AL389" s="181">
        <f t="shared" si="103"/>
        <v>50</v>
      </c>
      <c r="AM389" s="243"/>
    </row>
    <row r="390" spans="1:39" ht="24.75" customHeight="1" x14ac:dyDescent="0.25">
      <c r="A390" s="243"/>
      <c r="B390" s="362"/>
      <c r="C390" s="362"/>
      <c r="D390" s="362"/>
      <c r="E390" s="362"/>
      <c r="F390" s="362"/>
      <c r="G390" s="362"/>
      <c r="H390" s="362"/>
      <c r="I390" s="363"/>
      <c r="J390" s="362" t="s">
        <v>280</v>
      </c>
      <c r="K390" s="245"/>
      <c r="L390" s="257"/>
      <c r="M390" s="591" t="s">
        <v>281</v>
      </c>
      <c r="N390" s="592"/>
      <c r="O390" s="179"/>
      <c r="P390" s="180"/>
      <c r="Q390" s="180">
        <v>23750000</v>
      </c>
      <c r="R390" s="181">
        <f t="shared" si="109"/>
        <v>7.8127492883818999</v>
      </c>
      <c r="S390" s="181">
        <v>100</v>
      </c>
      <c r="T390" s="180">
        <f t="shared" si="101"/>
        <v>94.73684210526315</v>
      </c>
      <c r="U390" s="180">
        <f t="shared" si="107"/>
        <v>7.4015519574144308</v>
      </c>
      <c r="V390" s="182">
        <f t="shared" si="92"/>
        <v>5.2631578947368496</v>
      </c>
      <c r="W390" s="180"/>
      <c r="X390" s="180"/>
      <c r="Y390" s="180"/>
      <c r="Z390" s="180"/>
      <c r="AA390" s="180"/>
      <c r="AB390" s="180"/>
      <c r="AC390" s="180"/>
      <c r="AD390" s="180"/>
      <c r="AE390" s="180"/>
      <c r="AF390" s="180"/>
      <c r="AG390" s="180"/>
      <c r="AH390" s="180"/>
      <c r="AI390" s="180">
        <v>22500000</v>
      </c>
      <c r="AJ390" s="181">
        <f t="shared" si="102"/>
        <v>94.73684210526315</v>
      </c>
      <c r="AK390" s="246">
        <f t="shared" si="105"/>
        <v>1250000</v>
      </c>
      <c r="AL390" s="181">
        <f t="shared" si="103"/>
        <v>5.2631578947368416</v>
      </c>
      <c r="AM390" s="243"/>
    </row>
    <row r="391" spans="1:39" ht="24.75" customHeight="1" x14ac:dyDescent="0.25">
      <c r="A391" s="243"/>
      <c r="B391" s="362"/>
      <c r="C391" s="362"/>
      <c r="D391" s="362"/>
      <c r="E391" s="362"/>
      <c r="F391" s="362"/>
      <c r="G391" s="362"/>
      <c r="H391" s="362"/>
      <c r="I391" s="363"/>
      <c r="J391" s="362" t="s">
        <v>284</v>
      </c>
      <c r="K391" s="245"/>
      <c r="L391" s="257"/>
      <c r="M391" s="591" t="s">
        <v>285</v>
      </c>
      <c r="N391" s="592"/>
      <c r="O391" s="179"/>
      <c r="P391" s="180"/>
      <c r="Q391" s="180">
        <v>6600000</v>
      </c>
      <c r="R391" s="181">
        <f t="shared" si="109"/>
        <v>2.1711219075082329</v>
      </c>
      <c r="S391" s="181">
        <v>100</v>
      </c>
      <c r="T391" s="180">
        <f t="shared" si="101"/>
        <v>43.333333333333336</v>
      </c>
      <c r="U391" s="180">
        <f t="shared" si="107"/>
        <v>0.94081949325356762</v>
      </c>
      <c r="V391" s="182">
        <f t="shared" si="92"/>
        <v>56.666666666666664</v>
      </c>
      <c r="W391" s="180"/>
      <c r="X391" s="180"/>
      <c r="Y391" s="180"/>
      <c r="Z391" s="180"/>
      <c r="AA391" s="180"/>
      <c r="AB391" s="180"/>
      <c r="AC391" s="180"/>
      <c r="AD391" s="180"/>
      <c r="AE391" s="180"/>
      <c r="AF391" s="180"/>
      <c r="AG391" s="180"/>
      <c r="AH391" s="180"/>
      <c r="AI391" s="180">
        <v>2860000</v>
      </c>
      <c r="AJ391" s="181">
        <f t="shared" si="102"/>
        <v>43.333333333333336</v>
      </c>
      <c r="AK391" s="246">
        <f t="shared" si="105"/>
        <v>3740000</v>
      </c>
      <c r="AL391" s="181">
        <f t="shared" si="103"/>
        <v>56.666666666666664</v>
      </c>
      <c r="AM391" s="243"/>
    </row>
    <row r="392" spans="1:39" ht="24.75" customHeight="1" x14ac:dyDescent="0.25">
      <c r="A392" s="243"/>
      <c r="B392" s="362"/>
      <c r="C392" s="362"/>
      <c r="D392" s="362"/>
      <c r="E392" s="362"/>
      <c r="F392" s="362"/>
      <c r="G392" s="362"/>
      <c r="H392" s="362"/>
      <c r="I392" s="363"/>
      <c r="J392" s="362" t="s">
        <v>282</v>
      </c>
      <c r="K392" s="245"/>
      <c r="L392" s="257"/>
      <c r="M392" s="591" t="s">
        <v>283</v>
      </c>
      <c r="N392" s="592"/>
      <c r="O392" s="179"/>
      <c r="P392" s="180"/>
      <c r="Q392" s="180">
        <v>25650000</v>
      </c>
      <c r="R392" s="181">
        <f t="shared" si="109"/>
        <v>8.4377692314524513</v>
      </c>
      <c r="S392" s="181">
        <v>100</v>
      </c>
      <c r="T392" s="180">
        <f t="shared" si="101"/>
        <v>42.459064327485379</v>
      </c>
      <c r="U392" s="180">
        <f t="shared" si="107"/>
        <v>3.5825978657871649</v>
      </c>
      <c r="V392" s="182">
        <f t="shared" si="92"/>
        <v>57.540935672514621</v>
      </c>
      <c r="W392" s="180"/>
      <c r="X392" s="180"/>
      <c r="Y392" s="180"/>
      <c r="Z392" s="180"/>
      <c r="AA392" s="180"/>
      <c r="AB392" s="180"/>
      <c r="AC392" s="180"/>
      <c r="AD392" s="180"/>
      <c r="AE392" s="180"/>
      <c r="AF392" s="180"/>
      <c r="AG392" s="180"/>
      <c r="AH392" s="180"/>
      <c r="AI392" s="180">
        <v>10890750</v>
      </c>
      <c r="AJ392" s="181">
        <f t="shared" si="102"/>
        <v>42.459064327485379</v>
      </c>
      <c r="AK392" s="246">
        <f t="shared" si="105"/>
        <v>14759250</v>
      </c>
      <c r="AL392" s="181">
        <f t="shared" si="103"/>
        <v>57.540935672514614</v>
      </c>
      <c r="AM392" s="243"/>
    </row>
    <row r="393" spans="1:39" ht="24.75" customHeight="1" x14ac:dyDescent="0.25">
      <c r="A393" s="243"/>
      <c r="B393" s="362"/>
      <c r="C393" s="362"/>
      <c r="D393" s="362"/>
      <c r="E393" s="362"/>
      <c r="F393" s="362"/>
      <c r="G393" s="362"/>
      <c r="H393" s="362"/>
      <c r="I393" s="363"/>
      <c r="J393" s="362" t="s">
        <v>320</v>
      </c>
      <c r="K393" s="245"/>
      <c r="L393" s="257"/>
      <c r="M393" s="591" t="s">
        <v>321</v>
      </c>
      <c r="N393" s="592"/>
      <c r="O393" s="179"/>
      <c r="P393" s="180"/>
      <c r="Q393" s="180">
        <v>50400000</v>
      </c>
      <c r="R393" s="181">
        <f t="shared" si="109"/>
        <v>16.579476384608324</v>
      </c>
      <c r="S393" s="181">
        <v>100</v>
      </c>
      <c r="T393" s="180">
        <f t="shared" si="101"/>
        <v>85.714285714285708</v>
      </c>
      <c r="U393" s="180">
        <f t="shared" si="107"/>
        <v>14.210979758235705</v>
      </c>
      <c r="V393" s="182">
        <f t="shared" si="92"/>
        <v>14.285714285714292</v>
      </c>
      <c r="W393" s="180"/>
      <c r="X393" s="180"/>
      <c r="Y393" s="180"/>
      <c r="Z393" s="180"/>
      <c r="AA393" s="180"/>
      <c r="AB393" s="180"/>
      <c r="AC393" s="180"/>
      <c r="AD393" s="180"/>
      <c r="AE393" s="180"/>
      <c r="AF393" s="180"/>
      <c r="AG393" s="180"/>
      <c r="AH393" s="180"/>
      <c r="AI393" s="180">
        <v>43200000</v>
      </c>
      <c r="AJ393" s="181">
        <f t="shared" si="102"/>
        <v>85.714285714285708</v>
      </c>
      <c r="AK393" s="246">
        <f t="shared" si="105"/>
        <v>7200000</v>
      </c>
      <c r="AL393" s="181">
        <f t="shared" si="103"/>
        <v>14.285714285714285</v>
      </c>
      <c r="AM393" s="243"/>
    </row>
    <row r="394" spans="1:39" ht="24.75" customHeight="1" x14ac:dyDescent="0.25">
      <c r="A394" s="243"/>
      <c r="B394" s="362"/>
      <c r="C394" s="362"/>
      <c r="D394" s="362"/>
      <c r="E394" s="362"/>
      <c r="F394" s="362"/>
      <c r="G394" s="362"/>
      <c r="H394" s="362"/>
      <c r="I394" s="363"/>
      <c r="J394" s="362" t="s">
        <v>407</v>
      </c>
      <c r="K394" s="245"/>
      <c r="L394" s="257"/>
      <c r="M394" s="619" t="s">
        <v>414</v>
      </c>
      <c r="N394" s="620"/>
      <c r="O394" s="179"/>
      <c r="P394" s="180"/>
      <c r="Q394" s="180">
        <v>8500000</v>
      </c>
      <c r="R394" s="181">
        <f t="shared" si="109"/>
        <v>2.7961418505787852</v>
      </c>
      <c r="S394" s="181"/>
      <c r="T394" s="180">
        <f t="shared" si="101"/>
        <v>64.705882352941174</v>
      </c>
      <c r="U394" s="180">
        <f t="shared" si="107"/>
        <v>1.8092682562568609</v>
      </c>
      <c r="V394" s="182"/>
      <c r="W394" s="180"/>
      <c r="X394" s="180"/>
      <c r="Y394" s="180"/>
      <c r="Z394" s="180"/>
      <c r="AA394" s="180"/>
      <c r="AB394" s="180"/>
      <c r="AC394" s="180"/>
      <c r="AD394" s="180"/>
      <c r="AE394" s="180"/>
      <c r="AF394" s="180"/>
      <c r="AG394" s="180"/>
      <c r="AH394" s="180"/>
      <c r="AI394" s="180">
        <v>5500000</v>
      </c>
      <c r="AJ394" s="181">
        <f t="shared" si="102"/>
        <v>64.705882352941174</v>
      </c>
      <c r="AK394" s="246">
        <f t="shared" si="105"/>
        <v>3000000</v>
      </c>
      <c r="AL394" s="181">
        <f t="shared" si="103"/>
        <v>35.294117647058826</v>
      </c>
      <c r="AM394" s="243"/>
    </row>
    <row r="395" spans="1:39" s="297" customFormat="1" ht="29.25" customHeight="1" x14ac:dyDescent="0.25">
      <c r="A395" s="227">
        <f>A382+1</f>
        <v>51</v>
      </c>
      <c r="B395" s="615" t="s">
        <v>150</v>
      </c>
      <c r="C395" s="615"/>
      <c r="D395" s="615"/>
      <c r="E395" s="615"/>
      <c r="F395" s="615"/>
      <c r="G395" s="615"/>
      <c r="H395" s="615"/>
      <c r="I395" s="614"/>
      <c r="J395" s="304" t="s">
        <v>497</v>
      </c>
      <c r="K395" s="230"/>
      <c r="L395" s="294"/>
      <c r="M395" s="610" t="s">
        <v>51</v>
      </c>
      <c r="N395" s="610"/>
      <c r="O395" s="309">
        <v>316240000</v>
      </c>
      <c r="P395" s="231">
        <f>O395</f>
        <v>316240000</v>
      </c>
      <c r="Q395" s="231">
        <f>SUM(Q396:Q402)</f>
        <v>266500000</v>
      </c>
      <c r="R395" s="233">
        <f>Q395/Q$243*100</f>
        <v>2.2342678490608305</v>
      </c>
      <c r="S395" s="233">
        <v>100</v>
      </c>
      <c r="T395" s="231">
        <f t="shared" si="101"/>
        <v>0</v>
      </c>
      <c r="U395" s="231">
        <f t="shared" si="107"/>
        <v>0</v>
      </c>
      <c r="V395" s="296">
        <f t="shared" si="92"/>
        <v>100</v>
      </c>
      <c r="W395" s="231"/>
      <c r="X395" s="231" t="e">
        <f>#REF!</f>
        <v>#REF!</v>
      </c>
      <c r="Y395" s="231" t="e">
        <f>#REF!</f>
        <v>#REF!</v>
      </c>
      <c r="Z395" s="231" t="e">
        <f>#REF!</f>
        <v>#REF!</v>
      </c>
      <c r="AA395" s="231" t="e">
        <f>#REF!</f>
        <v>#REF!</v>
      </c>
      <c r="AB395" s="231">
        <v>13182000</v>
      </c>
      <c r="AC395" s="231" t="e">
        <f>#REF!</f>
        <v>#REF!</v>
      </c>
      <c r="AD395" s="231" t="e">
        <f>#REF!</f>
        <v>#REF!</v>
      </c>
      <c r="AE395" s="231" t="e">
        <f>#REF!</f>
        <v>#REF!</v>
      </c>
      <c r="AF395" s="231" t="e">
        <f>[1]April!N70</f>
        <v>#REF!</v>
      </c>
      <c r="AG395" s="231" t="e">
        <f>[2]april!N70</f>
        <v>#REF!</v>
      </c>
      <c r="AH395" s="231">
        <f>'[3]DES SKPD'!$N70</f>
        <v>293250450</v>
      </c>
      <c r="AI395" s="231">
        <f>SUM(AI396:AI402)</f>
        <v>0</v>
      </c>
      <c r="AJ395" s="233">
        <f t="shared" si="102"/>
        <v>0</v>
      </c>
      <c r="AK395" s="234">
        <f t="shared" si="105"/>
        <v>266500000</v>
      </c>
      <c r="AL395" s="233">
        <f t="shared" si="103"/>
        <v>100</v>
      </c>
      <c r="AM395" s="227"/>
    </row>
    <row r="396" spans="1:39" ht="29.25" customHeight="1" x14ac:dyDescent="0.25">
      <c r="A396" s="243"/>
      <c r="B396" s="362"/>
      <c r="C396" s="362"/>
      <c r="D396" s="362"/>
      <c r="E396" s="362"/>
      <c r="F396" s="362"/>
      <c r="G396" s="362"/>
      <c r="H396" s="362"/>
      <c r="I396" s="363"/>
      <c r="J396" s="362" t="s">
        <v>315</v>
      </c>
      <c r="K396" s="245"/>
      <c r="L396" s="257"/>
      <c r="M396" s="591" t="s">
        <v>271</v>
      </c>
      <c r="N396" s="592"/>
      <c r="O396" s="179"/>
      <c r="P396" s="180"/>
      <c r="Q396" s="180">
        <v>8000000</v>
      </c>
      <c r="R396" s="181">
        <f t="shared" ref="R396:R402" si="110">Q396/Q$395*100</f>
        <v>3.0018761726078798</v>
      </c>
      <c r="S396" s="181">
        <v>100</v>
      </c>
      <c r="T396" s="180">
        <f t="shared" si="101"/>
        <v>0</v>
      </c>
      <c r="U396" s="180">
        <f t="shared" si="107"/>
        <v>0</v>
      </c>
      <c r="V396" s="182">
        <f t="shared" si="92"/>
        <v>100</v>
      </c>
      <c r="W396" s="180"/>
      <c r="X396" s="180"/>
      <c r="Y396" s="180"/>
      <c r="Z396" s="180"/>
      <c r="AA396" s="180"/>
      <c r="AB396" s="180"/>
      <c r="AC396" s="180"/>
      <c r="AD396" s="180"/>
      <c r="AE396" s="180"/>
      <c r="AF396" s="180"/>
      <c r="AG396" s="180"/>
      <c r="AH396" s="180"/>
      <c r="AI396" s="180">
        <v>0</v>
      </c>
      <c r="AJ396" s="181">
        <f t="shared" si="102"/>
        <v>0</v>
      </c>
      <c r="AK396" s="246">
        <f t="shared" si="105"/>
        <v>8000000</v>
      </c>
      <c r="AL396" s="181">
        <f t="shared" si="103"/>
        <v>100</v>
      </c>
      <c r="AM396" s="243"/>
    </row>
    <row r="397" spans="1:39" ht="29.25" customHeight="1" x14ac:dyDescent="0.25">
      <c r="A397" s="243"/>
      <c r="B397" s="362"/>
      <c r="C397" s="362"/>
      <c r="D397" s="362"/>
      <c r="E397" s="362"/>
      <c r="F397" s="362"/>
      <c r="G397" s="362"/>
      <c r="H397" s="362"/>
      <c r="I397" s="363"/>
      <c r="J397" s="362" t="s">
        <v>284</v>
      </c>
      <c r="K397" s="245"/>
      <c r="L397" s="257"/>
      <c r="M397" s="591" t="s">
        <v>319</v>
      </c>
      <c r="N397" s="592"/>
      <c r="O397" s="179"/>
      <c r="P397" s="180"/>
      <c r="Q397" s="180">
        <v>27000000</v>
      </c>
      <c r="R397" s="181">
        <f t="shared" si="110"/>
        <v>10.131332082551594</v>
      </c>
      <c r="S397" s="181">
        <v>100</v>
      </c>
      <c r="T397" s="180">
        <f t="shared" si="101"/>
        <v>0</v>
      </c>
      <c r="U397" s="180">
        <f t="shared" si="107"/>
        <v>0</v>
      </c>
      <c r="V397" s="182"/>
      <c r="W397" s="180"/>
      <c r="X397" s="180"/>
      <c r="Y397" s="180"/>
      <c r="Z397" s="180"/>
      <c r="AA397" s="180"/>
      <c r="AB397" s="180"/>
      <c r="AC397" s="180"/>
      <c r="AD397" s="180"/>
      <c r="AE397" s="180"/>
      <c r="AF397" s="180"/>
      <c r="AG397" s="180"/>
      <c r="AH397" s="180"/>
      <c r="AI397" s="180">
        <v>0</v>
      </c>
      <c r="AJ397" s="181">
        <f t="shared" si="102"/>
        <v>0</v>
      </c>
      <c r="AK397" s="246">
        <f t="shared" si="105"/>
        <v>27000000</v>
      </c>
      <c r="AL397" s="181">
        <f t="shared" si="103"/>
        <v>100</v>
      </c>
      <c r="AM397" s="243"/>
    </row>
    <row r="398" spans="1:39" ht="29.25" customHeight="1" x14ac:dyDescent="0.25">
      <c r="A398" s="243"/>
      <c r="B398" s="362"/>
      <c r="C398" s="362"/>
      <c r="D398" s="362"/>
      <c r="E398" s="362"/>
      <c r="F398" s="362"/>
      <c r="G398" s="362"/>
      <c r="H398" s="362"/>
      <c r="I398" s="363"/>
      <c r="J398" s="362" t="s">
        <v>282</v>
      </c>
      <c r="K398" s="245"/>
      <c r="L398" s="257"/>
      <c r="M398" s="591" t="s">
        <v>340</v>
      </c>
      <c r="N398" s="592"/>
      <c r="O398" s="179"/>
      <c r="P398" s="180"/>
      <c r="Q398" s="180">
        <v>5000000</v>
      </c>
      <c r="R398" s="181">
        <f t="shared" si="110"/>
        <v>1.876172607879925</v>
      </c>
      <c r="S398" s="181">
        <v>100</v>
      </c>
      <c r="T398" s="180">
        <f t="shared" si="101"/>
        <v>0</v>
      </c>
      <c r="U398" s="180">
        <f t="shared" si="107"/>
        <v>0</v>
      </c>
      <c r="V398" s="182">
        <f t="shared" si="92"/>
        <v>100</v>
      </c>
      <c r="W398" s="180"/>
      <c r="X398" s="180"/>
      <c r="Y398" s="180"/>
      <c r="Z398" s="180"/>
      <c r="AA398" s="180"/>
      <c r="AB398" s="180"/>
      <c r="AC398" s="180"/>
      <c r="AD398" s="180"/>
      <c r="AE398" s="180"/>
      <c r="AF398" s="180"/>
      <c r="AG398" s="180"/>
      <c r="AH398" s="180"/>
      <c r="AI398" s="180">
        <v>0</v>
      </c>
      <c r="AJ398" s="181">
        <f t="shared" si="102"/>
        <v>0</v>
      </c>
      <c r="AK398" s="246">
        <f t="shared" si="105"/>
        <v>5000000</v>
      </c>
      <c r="AL398" s="181">
        <f t="shared" si="103"/>
        <v>100</v>
      </c>
      <c r="AM398" s="243"/>
    </row>
    <row r="399" spans="1:39" ht="29.25" customHeight="1" x14ac:dyDescent="0.25">
      <c r="A399" s="243"/>
      <c r="B399" s="362"/>
      <c r="C399" s="362"/>
      <c r="D399" s="362"/>
      <c r="E399" s="362"/>
      <c r="F399" s="362"/>
      <c r="G399" s="362"/>
      <c r="H399" s="362"/>
      <c r="I399" s="363"/>
      <c r="J399" s="362" t="s">
        <v>308</v>
      </c>
      <c r="K399" s="245"/>
      <c r="L399" s="257"/>
      <c r="M399" s="591" t="s">
        <v>590</v>
      </c>
      <c r="N399" s="592"/>
      <c r="O399" s="179"/>
      <c r="P399" s="180"/>
      <c r="Q399" s="180">
        <v>15000000</v>
      </c>
      <c r="R399" s="181">
        <f t="shared" si="110"/>
        <v>5.6285178236397746</v>
      </c>
      <c r="S399" s="181">
        <v>100</v>
      </c>
      <c r="T399" s="180">
        <f t="shared" si="101"/>
        <v>0</v>
      </c>
      <c r="U399" s="180">
        <f t="shared" si="107"/>
        <v>0</v>
      </c>
      <c r="V399" s="182">
        <f t="shared" si="92"/>
        <v>100</v>
      </c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  <c r="AG399" s="180"/>
      <c r="AH399" s="180"/>
      <c r="AI399" s="180">
        <v>0</v>
      </c>
      <c r="AJ399" s="181">
        <f t="shared" si="102"/>
        <v>0</v>
      </c>
      <c r="AK399" s="246">
        <f t="shared" si="105"/>
        <v>15000000</v>
      </c>
      <c r="AL399" s="181">
        <f t="shared" si="103"/>
        <v>100</v>
      </c>
      <c r="AM399" s="243"/>
    </row>
    <row r="400" spans="1:39" ht="29.25" customHeight="1" x14ac:dyDescent="0.25">
      <c r="A400" s="243"/>
      <c r="B400" s="362"/>
      <c r="C400" s="362"/>
      <c r="D400" s="362"/>
      <c r="E400" s="362"/>
      <c r="F400" s="362"/>
      <c r="G400" s="362"/>
      <c r="H400" s="362"/>
      <c r="I400" s="363"/>
      <c r="J400" s="362" t="s">
        <v>309</v>
      </c>
      <c r="K400" s="245"/>
      <c r="L400" s="257"/>
      <c r="M400" s="591" t="s">
        <v>321</v>
      </c>
      <c r="N400" s="592"/>
      <c r="O400" s="179"/>
      <c r="P400" s="180"/>
      <c r="Q400" s="180">
        <v>9500000</v>
      </c>
      <c r="R400" s="181">
        <f t="shared" si="110"/>
        <v>3.5647279549718571</v>
      </c>
      <c r="S400" s="181">
        <v>100</v>
      </c>
      <c r="T400" s="180">
        <f t="shared" si="101"/>
        <v>0</v>
      </c>
      <c r="U400" s="180">
        <f t="shared" si="107"/>
        <v>0</v>
      </c>
      <c r="V400" s="182">
        <f t="shared" si="92"/>
        <v>100</v>
      </c>
      <c r="W400" s="180"/>
      <c r="X400" s="180"/>
      <c r="Y400" s="180"/>
      <c r="Z400" s="180"/>
      <c r="AA400" s="180"/>
      <c r="AB400" s="180"/>
      <c r="AC400" s="180"/>
      <c r="AD400" s="180"/>
      <c r="AE400" s="180"/>
      <c r="AF400" s="180"/>
      <c r="AG400" s="180"/>
      <c r="AH400" s="180"/>
      <c r="AI400" s="180">
        <v>0</v>
      </c>
      <c r="AJ400" s="181">
        <f t="shared" si="102"/>
        <v>0</v>
      </c>
      <c r="AK400" s="246">
        <f t="shared" si="105"/>
        <v>9500000</v>
      </c>
      <c r="AL400" s="181">
        <f t="shared" si="103"/>
        <v>100</v>
      </c>
      <c r="AM400" s="243"/>
    </row>
    <row r="401" spans="1:39" ht="29.25" customHeight="1" x14ac:dyDescent="0.25">
      <c r="A401" s="243"/>
      <c r="B401" s="362"/>
      <c r="C401" s="362"/>
      <c r="D401" s="362"/>
      <c r="E401" s="362"/>
      <c r="F401" s="362"/>
      <c r="G401" s="362"/>
      <c r="H401" s="362"/>
      <c r="I401" s="363"/>
      <c r="J401" s="362" t="s">
        <v>309</v>
      </c>
      <c r="K401" s="245"/>
      <c r="L401" s="257"/>
      <c r="M401" s="591" t="s">
        <v>310</v>
      </c>
      <c r="N401" s="592"/>
      <c r="O401" s="179"/>
      <c r="P401" s="180"/>
      <c r="Q401" s="180">
        <v>200000000</v>
      </c>
      <c r="R401" s="181">
        <f t="shared" si="110"/>
        <v>75.046904315196997</v>
      </c>
      <c r="S401" s="181">
        <v>100</v>
      </c>
      <c r="T401" s="180">
        <f t="shared" si="101"/>
        <v>0</v>
      </c>
      <c r="U401" s="180">
        <f t="shared" si="107"/>
        <v>0</v>
      </c>
      <c r="V401" s="182">
        <f t="shared" si="92"/>
        <v>100</v>
      </c>
      <c r="W401" s="180"/>
      <c r="X401" s="180"/>
      <c r="Y401" s="180"/>
      <c r="Z401" s="180"/>
      <c r="AA401" s="180"/>
      <c r="AB401" s="180"/>
      <c r="AC401" s="180"/>
      <c r="AD401" s="180"/>
      <c r="AE401" s="180"/>
      <c r="AF401" s="180"/>
      <c r="AG401" s="180"/>
      <c r="AH401" s="180"/>
      <c r="AI401" s="180">
        <v>0</v>
      </c>
      <c r="AJ401" s="181">
        <f t="shared" si="102"/>
        <v>0</v>
      </c>
      <c r="AK401" s="246">
        <f t="shared" si="105"/>
        <v>200000000</v>
      </c>
      <c r="AL401" s="181">
        <f t="shared" si="103"/>
        <v>100</v>
      </c>
      <c r="AM401" s="243"/>
    </row>
    <row r="402" spans="1:39" ht="29.25" customHeight="1" x14ac:dyDescent="0.25">
      <c r="A402" s="243"/>
      <c r="B402" s="362"/>
      <c r="C402" s="362"/>
      <c r="D402" s="362"/>
      <c r="E402" s="362"/>
      <c r="F402" s="362"/>
      <c r="G402" s="362"/>
      <c r="H402" s="362"/>
      <c r="I402" s="363"/>
      <c r="J402" s="362" t="s">
        <v>407</v>
      </c>
      <c r="K402" s="245"/>
      <c r="L402" s="257"/>
      <c r="M402" s="591" t="s">
        <v>610</v>
      </c>
      <c r="N402" s="592"/>
      <c r="O402" s="179"/>
      <c r="P402" s="180"/>
      <c r="Q402" s="180">
        <v>2000000</v>
      </c>
      <c r="R402" s="181">
        <f t="shared" si="110"/>
        <v>0.75046904315196994</v>
      </c>
      <c r="S402" s="181">
        <v>100</v>
      </c>
      <c r="T402" s="180">
        <f t="shared" si="101"/>
        <v>0</v>
      </c>
      <c r="U402" s="180">
        <f t="shared" si="107"/>
        <v>0</v>
      </c>
      <c r="V402" s="182">
        <f t="shared" si="92"/>
        <v>100</v>
      </c>
      <c r="W402" s="180"/>
      <c r="X402" s="180"/>
      <c r="Y402" s="180"/>
      <c r="Z402" s="180"/>
      <c r="AA402" s="180"/>
      <c r="AB402" s="180"/>
      <c r="AC402" s="180"/>
      <c r="AD402" s="180"/>
      <c r="AE402" s="180"/>
      <c r="AF402" s="180"/>
      <c r="AG402" s="180"/>
      <c r="AH402" s="180"/>
      <c r="AI402" s="180">
        <v>0</v>
      </c>
      <c r="AJ402" s="181">
        <f t="shared" si="102"/>
        <v>0</v>
      </c>
      <c r="AK402" s="246">
        <f t="shared" si="105"/>
        <v>2000000</v>
      </c>
      <c r="AL402" s="181">
        <f t="shared" si="103"/>
        <v>100</v>
      </c>
      <c r="AM402" s="243"/>
    </row>
    <row r="403" spans="1:39" s="297" customFormat="1" ht="30" customHeight="1" x14ac:dyDescent="0.25">
      <c r="A403" s="227">
        <f>A395+1</f>
        <v>52</v>
      </c>
      <c r="B403" s="615" t="s">
        <v>151</v>
      </c>
      <c r="C403" s="615"/>
      <c r="D403" s="615"/>
      <c r="E403" s="615"/>
      <c r="F403" s="615"/>
      <c r="G403" s="615"/>
      <c r="H403" s="615"/>
      <c r="I403" s="614"/>
      <c r="J403" s="304" t="s">
        <v>498</v>
      </c>
      <c r="K403" s="230"/>
      <c r="L403" s="294"/>
      <c r="M403" s="613" t="s">
        <v>52</v>
      </c>
      <c r="N403" s="613"/>
      <c r="O403" s="309">
        <v>252956000</v>
      </c>
      <c r="P403" s="231">
        <f>O403</f>
        <v>252956000</v>
      </c>
      <c r="Q403" s="231">
        <f>SUM(Q404:Q416)</f>
        <v>394282000</v>
      </c>
      <c r="R403" s="233">
        <f>Q403/Q$33*100</f>
        <v>1.2404167461869322</v>
      </c>
      <c r="S403" s="233">
        <v>100</v>
      </c>
      <c r="T403" s="231">
        <f t="shared" si="101"/>
        <v>7.2405029902455604</v>
      </c>
      <c r="U403" s="231">
        <f t="shared" si="107"/>
        <v>8.9812411599171499E-2</v>
      </c>
      <c r="V403" s="296">
        <f t="shared" si="92"/>
        <v>92.75949700975444</v>
      </c>
      <c r="W403" s="231"/>
      <c r="X403" s="231" t="e">
        <f>#REF!</f>
        <v>#REF!</v>
      </c>
      <c r="Y403" s="231" t="e">
        <f>#REF!</f>
        <v>#REF!</v>
      </c>
      <c r="Z403" s="231" t="e">
        <f>#REF!</f>
        <v>#REF!</v>
      </c>
      <c r="AA403" s="231" t="e">
        <f>#REF!</f>
        <v>#REF!</v>
      </c>
      <c r="AB403" s="231">
        <v>58582925</v>
      </c>
      <c r="AC403" s="231" t="e">
        <f>#REF!</f>
        <v>#REF!</v>
      </c>
      <c r="AD403" s="231" t="e">
        <f>#REF!</f>
        <v>#REF!</v>
      </c>
      <c r="AE403" s="231" t="e">
        <f>#REF!</f>
        <v>#REF!</v>
      </c>
      <c r="AF403" s="231" t="e">
        <f>[1]April!N71</f>
        <v>#REF!</v>
      </c>
      <c r="AG403" s="231" t="e">
        <f>[2]april!N71</f>
        <v>#REF!</v>
      </c>
      <c r="AH403" s="231">
        <f>'[3]DES SKPD'!$N71</f>
        <v>205056925</v>
      </c>
      <c r="AI403" s="231">
        <f>SUM(AI404:AI416)</f>
        <v>28548000</v>
      </c>
      <c r="AJ403" s="233">
        <f t="shared" si="102"/>
        <v>7.2405029902455604</v>
      </c>
      <c r="AK403" s="234">
        <f t="shared" si="105"/>
        <v>365734000</v>
      </c>
      <c r="AL403" s="233">
        <f t="shared" si="103"/>
        <v>92.75949700975444</v>
      </c>
      <c r="AM403" s="227"/>
    </row>
    <row r="404" spans="1:39" ht="29.25" customHeight="1" x14ac:dyDescent="0.25">
      <c r="A404" s="243"/>
      <c r="B404" s="362"/>
      <c r="C404" s="362"/>
      <c r="D404" s="362"/>
      <c r="E404" s="362"/>
      <c r="F404" s="362"/>
      <c r="G404" s="362"/>
      <c r="H404" s="362"/>
      <c r="I404" s="363"/>
      <c r="J404" s="362" t="s">
        <v>415</v>
      </c>
      <c r="K404" s="245"/>
      <c r="L404" s="257"/>
      <c r="M404" s="604" t="s">
        <v>260</v>
      </c>
      <c r="N404" s="592"/>
      <c r="O404" s="179"/>
      <c r="P404" s="180"/>
      <c r="Q404" s="180">
        <v>2400000</v>
      </c>
      <c r="R404" s="181">
        <f>Q404/Q$403*100</f>
        <v>0.60870138631740733</v>
      </c>
      <c r="S404" s="181">
        <v>100</v>
      </c>
      <c r="T404" s="180">
        <f t="shared" si="101"/>
        <v>0</v>
      </c>
      <c r="U404" s="180">
        <f t="shared" si="107"/>
        <v>0</v>
      </c>
      <c r="V404" s="182">
        <f t="shared" si="92"/>
        <v>100</v>
      </c>
      <c r="W404" s="180"/>
      <c r="X404" s="180"/>
      <c r="Y404" s="180"/>
      <c r="Z404" s="180"/>
      <c r="AA404" s="180"/>
      <c r="AB404" s="180"/>
      <c r="AC404" s="180"/>
      <c r="AD404" s="180"/>
      <c r="AE404" s="180"/>
      <c r="AF404" s="180"/>
      <c r="AG404" s="180"/>
      <c r="AH404" s="180"/>
      <c r="AI404" s="180">
        <v>0</v>
      </c>
      <c r="AJ404" s="181">
        <f t="shared" ref="AJ404:AJ468" si="111">AI404/Q404*100</f>
        <v>0</v>
      </c>
      <c r="AK404" s="246">
        <f t="shared" si="105"/>
        <v>2400000</v>
      </c>
      <c r="AL404" s="181">
        <f t="shared" ref="AL404:AL468" si="112">AK404/Q404*100</f>
        <v>100</v>
      </c>
      <c r="AM404" s="243"/>
    </row>
    <row r="405" spans="1:39" ht="29.25" customHeight="1" x14ac:dyDescent="0.25">
      <c r="A405" s="243"/>
      <c r="B405" s="362"/>
      <c r="C405" s="362"/>
      <c r="D405" s="362"/>
      <c r="E405" s="362"/>
      <c r="F405" s="362"/>
      <c r="G405" s="362"/>
      <c r="H405" s="362"/>
      <c r="I405" s="363"/>
      <c r="J405" s="362" t="s">
        <v>326</v>
      </c>
      <c r="K405" s="245"/>
      <c r="L405" s="257"/>
      <c r="M405" s="604" t="s">
        <v>327</v>
      </c>
      <c r="N405" s="592"/>
      <c r="O405" s="179"/>
      <c r="P405" s="180"/>
      <c r="Q405" s="180">
        <v>32800000</v>
      </c>
      <c r="R405" s="181">
        <f t="shared" ref="R405:R416" si="113">Q405/Q$403*100</f>
        <v>8.3189189463379005</v>
      </c>
      <c r="S405" s="181">
        <v>100</v>
      </c>
      <c r="T405" s="180">
        <f t="shared" si="101"/>
        <v>0</v>
      </c>
      <c r="U405" s="180">
        <f t="shared" si="107"/>
        <v>0</v>
      </c>
      <c r="V405" s="182">
        <f t="shared" si="92"/>
        <v>100</v>
      </c>
      <c r="W405" s="180"/>
      <c r="X405" s="180"/>
      <c r="Y405" s="180"/>
      <c r="Z405" s="180"/>
      <c r="AA405" s="180"/>
      <c r="AB405" s="180"/>
      <c r="AC405" s="180"/>
      <c r="AD405" s="180"/>
      <c r="AE405" s="180"/>
      <c r="AF405" s="180"/>
      <c r="AG405" s="180"/>
      <c r="AH405" s="180"/>
      <c r="AI405" s="180">
        <v>0</v>
      </c>
      <c r="AJ405" s="181">
        <f t="shared" si="111"/>
        <v>0</v>
      </c>
      <c r="AK405" s="246">
        <f t="shared" si="105"/>
        <v>32800000</v>
      </c>
      <c r="AL405" s="181">
        <f t="shared" si="112"/>
        <v>100</v>
      </c>
      <c r="AM405" s="243"/>
    </row>
    <row r="406" spans="1:39" ht="29.25" customHeight="1" x14ac:dyDescent="0.25">
      <c r="A406" s="243"/>
      <c r="B406" s="362"/>
      <c r="C406" s="362"/>
      <c r="D406" s="362"/>
      <c r="E406" s="362"/>
      <c r="F406" s="362"/>
      <c r="G406" s="362"/>
      <c r="H406" s="362"/>
      <c r="I406" s="363"/>
      <c r="J406" s="362" t="s">
        <v>347</v>
      </c>
      <c r="K406" s="245"/>
      <c r="L406" s="257"/>
      <c r="M406" s="604" t="s">
        <v>348</v>
      </c>
      <c r="N406" s="592"/>
      <c r="O406" s="179"/>
      <c r="P406" s="180"/>
      <c r="Q406" s="180">
        <v>27800000</v>
      </c>
      <c r="R406" s="181">
        <f t="shared" si="113"/>
        <v>7.0507910581766353</v>
      </c>
      <c r="S406" s="181">
        <v>100</v>
      </c>
      <c r="T406" s="180">
        <f t="shared" si="101"/>
        <v>0</v>
      </c>
      <c r="U406" s="180">
        <f t="shared" si="107"/>
        <v>0</v>
      </c>
      <c r="V406" s="182">
        <f t="shared" si="92"/>
        <v>100</v>
      </c>
      <c r="W406" s="180"/>
      <c r="X406" s="180"/>
      <c r="Y406" s="180"/>
      <c r="Z406" s="180"/>
      <c r="AA406" s="180"/>
      <c r="AB406" s="180"/>
      <c r="AC406" s="180"/>
      <c r="AD406" s="180"/>
      <c r="AE406" s="180"/>
      <c r="AF406" s="180"/>
      <c r="AG406" s="180"/>
      <c r="AH406" s="180"/>
      <c r="AI406" s="180">
        <v>0</v>
      </c>
      <c r="AJ406" s="181">
        <f t="shared" si="111"/>
        <v>0</v>
      </c>
      <c r="AK406" s="246">
        <f t="shared" si="105"/>
        <v>27800000</v>
      </c>
      <c r="AL406" s="181">
        <f t="shared" si="112"/>
        <v>100</v>
      </c>
      <c r="AM406" s="243"/>
    </row>
    <row r="407" spans="1:39" ht="29.25" customHeight="1" x14ac:dyDescent="0.25">
      <c r="A407" s="243"/>
      <c r="B407" s="362"/>
      <c r="C407" s="362"/>
      <c r="D407" s="362"/>
      <c r="E407" s="362"/>
      <c r="F407" s="362"/>
      <c r="G407" s="362"/>
      <c r="H407" s="362"/>
      <c r="I407" s="363"/>
      <c r="J407" s="362" t="s">
        <v>323</v>
      </c>
      <c r="K407" s="245"/>
      <c r="L407" s="257"/>
      <c r="M407" s="604" t="s">
        <v>324</v>
      </c>
      <c r="N407" s="592"/>
      <c r="O407" s="179"/>
      <c r="P407" s="180"/>
      <c r="Q407" s="180">
        <v>35352000</v>
      </c>
      <c r="R407" s="181">
        <f t="shared" si="113"/>
        <v>8.9661714204554102</v>
      </c>
      <c r="S407" s="181">
        <v>100</v>
      </c>
      <c r="T407" s="180">
        <f t="shared" si="101"/>
        <v>9.877800407331975</v>
      </c>
      <c r="U407" s="180">
        <f t="shared" si="107"/>
        <v>0.88566051709182758</v>
      </c>
      <c r="V407" s="182">
        <f t="shared" si="92"/>
        <v>90.122199592668025</v>
      </c>
      <c r="W407" s="180"/>
      <c r="X407" s="180"/>
      <c r="Y407" s="180"/>
      <c r="Z407" s="180"/>
      <c r="AA407" s="180"/>
      <c r="AB407" s="180"/>
      <c r="AC407" s="180"/>
      <c r="AD407" s="180"/>
      <c r="AE407" s="180"/>
      <c r="AF407" s="180"/>
      <c r="AG407" s="180"/>
      <c r="AH407" s="180"/>
      <c r="AI407" s="180">
        <v>3492000</v>
      </c>
      <c r="AJ407" s="181">
        <f t="shared" si="111"/>
        <v>9.877800407331975</v>
      </c>
      <c r="AK407" s="246">
        <f t="shared" si="105"/>
        <v>31860000</v>
      </c>
      <c r="AL407" s="181">
        <f t="shared" si="112"/>
        <v>90.122199592668025</v>
      </c>
      <c r="AM407" s="243"/>
    </row>
    <row r="408" spans="1:39" ht="29.25" customHeight="1" x14ac:dyDescent="0.25">
      <c r="A408" s="243"/>
      <c r="B408" s="362"/>
      <c r="C408" s="362"/>
      <c r="D408" s="362"/>
      <c r="E408" s="362"/>
      <c r="F408" s="362"/>
      <c r="G408" s="362"/>
      <c r="H408" s="362"/>
      <c r="I408" s="363"/>
      <c r="J408" s="362" t="s">
        <v>269</v>
      </c>
      <c r="K408" s="245"/>
      <c r="L408" s="257"/>
      <c r="M408" s="604" t="s">
        <v>270</v>
      </c>
      <c r="N408" s="592"/>
      <c r="O408" s="179"/>
      <c r="P408" s="180"/>
      <c r="Q408" s="180">
        <v>16330000</v>
      </c>
      <c r="R408" s="181">
        <f t="shared" si="113"/>
        <v>4.1417056827346919</v>
      </c>
      <c r="S408" s="181">
        <v>100</v>
      </c>
      <c r="T408" s="180">
        <f t="shared" si="101"/>
        <v>14.574402939375384</v>
      </c>
      <c r="U408" s="180">
        <f t="shared" si="107"/>
        <v>0.60362887476476224</v>
      </c>
      <c r="V408" s="182">
        <f t="shared" si="92"/>
        <v>85.425597060624611</v>
      </c>
      <c r="W408" s="180"/>
      <c r="X408" s="180"/>
      <c r="Y408" s="180"/>
      <c r="Z408" s="180"/>
      <c r="AA408" s="180"/>
      <c r="AB408" s="180"/>
      <c r="AC408" s="180"/>
      <c r="AD408" s="180"/>
      <c r="AE408" s="180"/>
      <c r="AF408" s="180"/>
      <c r="AG408" s="180"/>
      <c r="AH408" s="180"/>
      <c r="AI408" s="180">
        <v>2380000</v>
      </c>
      <c r="AJ408" s="181">
        <f t="shared" si="111"/>
        <v>14.574402939375384</v>
      </c>
      <c r="AK408" s="246">
        <f t="shared" si="105"/>
        <v>13950000</v>
      </c>
      <c r="AL408" s="181">
        <f t="shared" si="112"/>
        <v>85.425597060624611</v>
      </c>
      <c r="AM408" s="243"/>
    </row>
    <row r="409" spans="1:39" ht="29.25" customHeight="1" x14ac:dyDescent="0.25">
      <c r="A409" s="243"/>
      <c r="B409" s="362"/>
      <c r="C409" s="362"/>
      <c r="D409" s="362"/>
      <c r="E409" s="362"/>
      <c r="F409" s="362"/>
      <c r="G409" s="362"/>
      <c r="H409" s="362"/>
      <c r="I409" s="363"/>
      <c r="J409" s="362" t="s">
        <v>315</v>
      </c>
      <c r="K409" s="245"/>
      <c r="L409" s="257"/>
      <c r="M409" s="604" t="s">
        <v>271</v>
      </c>
      <c r="N409" s="592"/>
      <c r="O409" s="179"/>
      <c r="P409" s="180"/>
      <c r="Q409" s="180">
        <v>21000000</v>
      </c>
      <c r="R409" s="181">
        <f t="shared" si="113"/>
        <v>5.3261371302773144</v>
      </c>
      <c r="S409" s="181">
        <v>100</v>
      </c>
      <c r="T409" s="180">
        <f t="shared" ref="T409:T620" si="114">AJ409</f>
        <v>16.666666666666664</v>
      </c>
      <c r="U409" s="180">
        <f t="shared" si="107"/>
        <v>0.88768952171288562</v>
      </c>
      <c r="V409" s="182">
        <f t="shared" si="92"/>
        <v>83.333333333333343</v>
      </c>
      <c r="W409" s="180"/>
      <c r="X409" s="180"/>
      <c r="Y409" s="180"/>
      <c r="Z409" s="180"/>
      <c r="AA409" s="180"/>
      <c r="AB409" s="180"/>
      <c r="AC409" s="180"/>
      <c r="AD409" s="180"/>
      <c r="AE409" s="180"/>
      <c r="AF409" s="180"/>
      <c r="AG409" s="180"/>
      <c r="AH409" s="180"/>
      <c r="AI409" s="180">
        <v>3500000</v>
      </c>
      <c r="AJ409" s="181">
        <f t="shared" si="111"/>
        <v>16.666666666666664</v>
      </c>
      <c r="AK409" s="246">
        <f t="shared" si="105"/>
        <v>17500000</v>
      </c>
      <c r="AL409" s="181">
        <f t="shared" si="112"/>
        <v>83.333333333333343</v>
      </c>
      <c r="AM409" s="243"/>
    </row>
    <row r="410" spans="1:39" ht="29.25" customHeight="1" x14ac:dyDescent="0.25">
      <c r="A410" s="243"/>
      <c r="B410" s="362"/>
      <c r="C410" s="362"/>
      <c r="D410" s="362"/>
      <c r="E410" s="362"/>
      <c r="F410" s="362"/>
      <c r="G410" s="362"/>
      <c r="H410" s="362"/>
      <c r="I410" s="363"/>
      <c r="J410" s="362" t="s">
        <v>316</v>
      </c>
      <c r="K410" s="245"/>
      <c r="L410" s="257"/>
      <c r="M410" s="604" t="s">
        <v>317</v>
      </c>
      <c r="N410" s="592"/>
      <c r="O410" s="179"/>
      <c r="P410" s="180"/>
      <c r="Q410" s="180">
        <v>900000</v>
      </c>
      <c r="R410" s="181">
        <f t="shared" si="113"/>
        <v>0.22826301986902778</v>
      </c>
      <c r="S410" s="181">
        <v>100</v>
      </c>
      <c r="T410" s="180">
        <f t="shared" si="114"/>
        <v>0</v>
      </c>
      <c r="U410" s="180">
        <f t="shared" si="107"/>
        <v>0</v>
      </c>
      <c r="V410" s="182">
        <f t="shared" si="92"/>
        <v>100</v>
      </c>
      <c r="W410" s="180"/>
      <c r="X410" s="180"/>
      <c r="Y410" s="180"/>
      <c r="Z410" s="180"/>
      <c r="AA410" s="180"/>
      <c r="AB410" s="180"/>
      <c r="AC410" s="180"/>
      <c r="AD410" s="180"/>
      <c r="AE410" s="180"/>
      <c r="AF410" s="180"/>
      <c r="AG410" s="180"/>
      <c r="AH410" s="180"/>
      <c r="AI410" s="180">
        <v>0</v>
      </c>
      <c r="AJ410" s="181">
        <f t="shared" si="111"/>
        <v>0</v>
      </c>
      <c r="AK410" s="246">
        <f t="shared" si="105"/>
        <v>900000</v>
      </c>
      <c r="AL410" s="181">
        <f t="shared" si="112"/>
        <v>100</v>
      </c>
      <c r="AM410" s="243"/>
    </row>
    <row r="411" spans="1:39" ht="29.25" customHeight="1" x14ac:dyDescent="0.25">
      <c r="A411" s="243"/>
      <c r="B411" s="362"/>
      <c r="C411" s="362"/>
      <c r="D411" s="362"/>
      <c r="E411" s="362"/>
      <c r="F411" s="362"/>
      <c r="G411" s="362"/>
      <c r="H411" s="362"/>
      <c r="I411" s="363"/>
      <c r="J411" s="362" t="s">
        <v>318</v>
      </c>
      <c r="K411" s="245"/>
      <c r="L411" s="257"/>
      <c r="M411" s="604" t="s">
        <v>319</v>
      </c>
      <c r="N411" s="592"/>
      <c r="O411" s="179"/>
      <c r="P411" s="180"/>
      <c r="Q411" s="180">
        <v>109500000</v>
      </c>
      <c r="R411" s="181">
        <f t="shared" si="113"/>
        <v>27.772000750731713</v>
      </c>
      <c r="S411" s="181">
        <v>100</v>
      </c>
      <c r="T411" s="180">
        <f t="shared" si="114"/>
        <v>0</v>
      </c>
      <c r="U411" s="180">
        <f t="shared" si="107"/>
        <v>0</v>
      </c>
      <c r="V411" s="182">
        <f t="shared" si="92"/>
        <v>100</v>
      </c>
      <c r="W411" s="180"/>
      <c r="X411" s="180"/>
      <c r="Y411" s="180"/>
      <c r="Z411" s="180"/>
      <c r="AA411" s="180"/>
      <c r="AB411" s="180"/>
      <c r="AC411" s="180"/>
      <c r="AD411" s="180"/>
      <c r="AE411" s="180"/>
      <c r="AF411" s="180"/>
      <c r="AG411" s="180"/>
      <c r="AH411" s="180"/>
      <c r="AI411" s="180">
        <v>0</v>
      </c>
      <c r="AJ411" s="181">
        <f t="shared" si="111"/>
        <v>0</v>
      </c>
      <c r="AK411" s="246">
        <f t="shared" si="105"/>
        <v>109500000</v>
      </c>
      <c r="AL411" s="181">
        <f t="shared" si="112"/>
        <v>100</v>
      </c>
      <c r="AM411" s="243"/>
    </row>
    <row r="412" spans="1:39" ht="29.25" customHeight="1" x14ac:dyDescent="0.25">
      <c r="A412" s="243"/>
      <c r="B412" s="362"/>
      <c r="C412" s="362"/>
      <c r="D412" s="362"/>
      <c r="E412" s="362"/>
      <c r="F412" s="362"/>
      <c r="G412" s="362"/>
      <c r="H412" s="362"/>
      <c r="I412" s="363"/>
      <c r="J412" s="362" t="s">
        <v>284</v>
      </c>
      <c r="K412" s="245"/>
      <c r="L412" s="257"/>
      <c r="M412" s="604" t="s">
        <v>285</v>
      </c>
      <c r="N412" s="592"/>
      <c r="O412" s="179"/>
      <c r="P412" s="180"/>
      <c r="Q412" s="180">
        <v>25000000</v>
      </c>
      <c r="R412" s="181">
        <f t="shared" si="113"/>
        <v>6.3406394408063269</v>
      </c>
      <c r="S412" s="181">
        <v>100</v>
      </c>
      <c r="T412" s="180">
        <f t="shared" si="114"/>
        <v>16.72</v>
      </c>
      <c r="U412" s="180">
        <f t="shared" si="107"/>
        <v>1.0601549145028177</v>
      </c>
      <c r="V412" s="182">
        <f t="shared" si="92"/>
        <v>83.28</v>
      </c>
      <c r="W412" s="180"/>
      <c r="X412" s="180"/>
      <c r="Y412" s="180"/>
      <c r="Z412" s="180"/>
      <c r="AA412" s="180"/>
      <c r="AB412" s="180"/>
      <c r="AC412" s="180"/>
      <c r="AD412" s="180"/>
      <c r="AE412" s="180"/>
      <c r="AF412" s="180"/>
      <c r="AG412" s="180"/>
      <c r="AH412" s="180"/>
      <c r="AI412" s="180">
        <v>4180000</v>
      </c>
      <c r="AJ412" s="181">
        <f t="shared" si="111"/>
        <v>16.72</v>
      </c>
      <c r="AK412" s="246">
        <f t="shared" si="105"/>
        <v>20820000</v>
      </c>
      <c r="AL412" s="181">
        <f t="shared" si="112"/>
        <v>83.28</v>
      </c>
      <c r="AM412" s="243"/>
    </row>
    <row r="413" spans="1:39" ht="29.25" customHeight="1" x14ac:dyDescent="0.25">
      <c r="A413" s="243"/>
      <c r="B413" s="362"/>
      <c r="C413" s="362"/>
      <c r="D413" s="362"/>
      <c r="E413" s="362"/>
      <c r="F413" s="362"/>
      <c r="G413" s="362"/>
      <c r="H413" s="362"/>
      <c r="I413" s="363"/>
      <c r="J413" s="362" t="s">
        <v>282</v>
      </c>
      <c r="K413" s="245"/>
      <c r="L413" s="257"/>
      <c r="M413" s="604" t="s">
        <v>283</v>
      </c>
      <c r="N413" s="592"/>
      <c r="O413" s="179"/>
      <c r="P413" s="180"/>
      <c r="Q413" s="180">
        <v>74100000</v>
      </c>
      <c r="R413" s="181">
        <f t="shared" si="113"/>
        <v>18.793655302549954</v>
      </c>
      <c r="S413" s="181">
        <v>100</v>
      </c>
      <c r="T413" s="180">
        <f t="shared" si="114"/>
        <v>20.237516869095817</v>
      </c>
      <c r="U413" s="180">
        <f t="shared" si="107"/>
        <v>3.8033691621732673</v>
      </c>
      <c r="V413" s="182">
        <f t="shared" si="92"/>
        <v>79.762483130904187</v>
      </c>
      <c r="W413" s="180"/>
      <c r="X413" s="180"/>
      <c r="Y413" s="180"/>
      <c r="Z413" s="180"/>
      <c r="AA413" s="180"/>
      <c r="AB413" s="180"/>
      <c r="AC413" s="180"/>
      <c r="AD413" s="180"/>
      <c r="AE413" s="180"/>
      <c r="AF413" s="180"/>
      <c r="AG413" s="180"/>
      <c r="AH413" s="180"/>
      <c r="AI413" s="180">
        <v>14996000</v>
      </c>
      <c r="AJ413" s="181">
        <f t="shared" si="111"/>
        <v>20.237516869095817</v>
      </c>
      <c r="AK413" s="246">
        <f t="shared" si="105"/>
        <v>59104000</v>
      </c>
      <c r="AL413" s="181">
        <f t="shared" si="112"/>
        <v>79.762483130904187</v>
      </c>
      <c r="AM413" s="243"/>
    </row>
    <row r="414" spans="1:39" ht="29.25" customHeight="1" x14ac:dyDescent="0.25">
      <c r="A414" s="243"/>
      <c r="B414" s="362"/>
      <c r="C414" s="362"/>
      <c r="D414" s="362"/>
      <c r="E414" s="362"/>
      <c r="F414" s="362"/>
      <c r="G414" s="362"/>
      <c r="H414" s="362"/>
      <c r="I414" s="363"/>
      <c r="J414" s="362" t="s">
        <v>320</v>
      </c>
      <c r="K414" s="245"/>
      <c r="L414" s="257"/>
      <c r="M414" s="604" t="s">
        <v>321</v>
      </c>
      <c r="N414" s="592"/>
      <c r="O414" s="179"/>
      <c r="P414" s="180"/>
      <c r="Q414" s="180">
        <v>26600000</v>
      </c>
      <c r="R414" s="181">
        <f t="shared" si="113"/>
        <v>6.7464403650179321</v>
      </c>
      <c r="S414" s="181">
        <v>100</v>
      </c>
      <c r="T414" s="180">
        <f t="shared" si="114"/>
        <v>0</v>
      </c>
      <c r="U414" s="180">
        <f t="shared" si="107"/>
        <v>0</v>
      </c>
      <c r="V414" s="182">
        <f t="shared" si="92"/>
        <v>100</v>
      </c>
      <c r="W414" s="180"/>
      <c r="X414" s="180"/>
      <c r="Y414" s="180"/>
      <c r="Z414" s="180"/>
      <c r="AA414" s="180"/>
      <c r="AB414" s="180"/>
      <c r="AC414" s="180"/>
      <c r="AD414" s="180"/>
      <c r="AE414" s="180"/>
      <c r="AF414" s="180"/>
      <c r="AG414" s="180"/>
      <c r="AH414" s="180"/>
      <c r="AI414" s="180">
        <v>0</v>
      </c>
      <c r="AJ414" s="181">
        <f t="shared" si="111"/>
        <v>0</v>
      </c>
      <c r="AK414" s="246">
        <f t="shared" si="105"/>
        <v>26600000</v>
      </c>
      <c r="AL414" s="181">
        <f t="shared" si="112"/>
        <v>100</v>
      </c>
      <c r="AM414" s="243"/>
    </row>
    <row r="415" spans="1:39" ht="29.25" customHeight="1" x14ac:dyDescent="0.25">
      <c r="A415" s="243"/>
      <c r="B415" s="362"/>
      <c r="C415" s="362"/>
      <c r="D415" s="362"/>
      <c r="E415" s="362"/>
      <c r="F415" s="362"/>
      <c r="G415" s="362"/>
      <c r="H415" s="362"/>
      <c r="I415" s="363"/>
      <c r="J415" s="362" t="s">
        <v>309</v>
      </c>
      <c r="K415" s="245"/>
      <c r="L415" s="257"/>
      <c r="M415" s="604" t="s">
        <v>611</v>
      </c>
      <c r="N415" s="592"/>
      <c r="O415" s="179"/>
      <c r="P415" s="180"/>
      <c r="Q415" s="180">
        <v>12900000</v>
      </c>
      <c r="R415" s="181">
        <f t="shared" si="113"/>
        <v>3.2717699514560645</v>
      </c>
      <c r="S415" s="181">
        <v>100</v>
      </c>
      <c r="T415" s="180">
        <f t="shared" si="114"/>
        <v>0</v>
      </c>
      <c r="U415" s="180">
        <f t="shared" si="107"/>
        <v>0</v>
      </c>
      <c r="V415" s="182">
        <f t="shared" si="92"/>
        <v>100</v>
      </c>
      <c r="W415" s="180"/>
      <c r="X415" s="180"/>
      <c r="Y415" s="180"/>
      <c r="Z415" s="180"/>
      <c r="AA415" s="180"/>
      <c r="AB415" s="180"/>
      <c r="AC415" s="180"/>
      <c r="AD415" s="180"/>
      <c r="AE415" s="180"/>
      <c r="AF415" s="180"/>
      <c r="AG415" s="180"/>
      <c r="AH415" s="180"/>
      <c r="AI415" s="180">
        <v>0</v>
      </c>
      <c r="AJ415" s="181">
        <f t="shared" si="111"/>
        <v>0</v>
      </c>
      <c r="AK415" s="246">
        <f t="shared" si="105"/>
        <v>12900000</v>
      </c>
      <c r="AL415" s="181">
        <f t="shared" si="112"/>
        <v>100</v>
      </c>
      <c r="AM415" s="243"/>
    </row>
    <row r="416" spans="1:39" ht="29.25" customHeight="1" x14ac:dyDescent="0.25">
      <c r="A416" s="243"/>
      <c r="B416" s="362"/>
      <c r="C416" s="362"/>
      <c r="D416" s="362"/>
      <c r="E416" s="362"/>
      <c r="F416" s="362"/>
      <c r="G416" s="362"/>
      <c r="H416" s="362"/>
      <c r="I416" s="363"/>
      <c r="J416" s="362" t="s">
        <v>551</v>
      </c>
      <c r="K416" s="245"/>
      <c r="L416" s="257"/>
      <c r="M416" s="604" t="s">
        <v>550</v>
      </c>
      <c r="N416" s="592"/>
      <c r="O416" s="179"/>
      <c r="P416" s="180"/>
      <c r="Q416" s="180">
        <v>9600000</v>
      </c>
      <c r="R416" s="181">
        <f t="shared" si="113"/>
        <v>2.4348055452696293</v>
      </c>
      <c r="S416" s="181"/>
      <c r="T416" s="180">
        <f t="shared" si="114"/>
        <v>0</v>
      </c>
      <c r="U416" s="180">
        <f t="shared" si="107"/>
        <v>0</v>
      </c>
      <c r="V416" s="182"/>
      <c r="W416" s="180"/>
      <c r="X416" s="180"/>
      <c r="Y416" s="180"/>
      <c r="Z416" s="180"/>
      <c r="AA416" s="180"/>
      <c r="AB416" s="180"/>
      <c r="AC416" s="180"/>
      <c r="AD416" s="180"/>
      <c r="AE416" s="180"/>
      <c r="AF416" s="180"/>
      <c r="AG416" s="180"/>
      <c r="AH416" s="180"/>
      <c r="AI416" s="180">
        <v>0</v>
      </c>
      <c r="AJ416" s="181">
        <f t="shared" si="111"/>
        <v>0</v>
      </c>
      <c r="AK416" s="246">
        <f t="shared" si="105"/>
        <v>9600000</v>
      </c>
      <c r="AL416" s="181">
        <f t="shared" si="112"/>
        <v>100</v>
      </c>
      <c r="AM416" s="243"/>
    </row>
    <row r="417" spans="1:39" ht="29.25" customHeight="1" x14ac:dyDescent="0.25">
      <c r="A417" s="227">
        <v>53</v>
      </c>
      <c r="B417" s="362"/>
      <c r="C417" s="362"/>
      <c r="D417" s="362"/>
      <c r="E417" s="362"/>
      <c r="F417" s="362"/>
      <c r="G417" s="362"/>
      <c r="H417" s="362"/>
      <c r="I417" s="363"/>
      <c r="J417" s="304" t="s">
        <v>499</v>
      </c>
      <c r="K417" s="230"/>
      <c r="L417" s="294"/>
      <c r="M417" s="613" t="s">
        <v>500</v>
      </c>
      <c r="N417" s="613"/>
      <c r="O417" s="309">
        <v>252956000</v>
      </c>
      <c r="P417" s="231">
        <f>O417</f>
        <v>252956000</v>
      </c>
      <c r="Q417" s="231">
        <f>SUM(Q418:Q419)</f>
        <v>418500000</v>
      </c>
      <c r="R417" s="233">
        <f>Q417/Q$243*100</f>
        <v>3.5085969787315476</v>
      </c>
      <c r="S417" s="233">
        <v>100</v>
      </c>
      <c r="T417" s="231">
        <f t="shared" si="114"/>
        <v>1.9115890083632019</v>
      </c>
      <c r="U417" s="231">
        <f t="shared" si="107"/>
        <v>6.7069954193195655E-2</v>
      </c>
      <c r="V417" s="296">
        <f t="shared" ref="V417:V419" si="115">S417-T417</f>
        <v>98.088410991636792</v>
      </c>
      <c r="W417" s="231"/>
      <c r="X417" s="231" t="e">
        <f>#REF!</f>
        <v>#REF!</v>
      </c>
      <c r="Y417" s="231" t="e">
        <f>#REF!</f>
        <v>#REF!</v>
      </c>
      <c r="Z417" s="231" t="e">
        <f>#REF!</f>
        <v>#REF!</v>
      </c>
      <c r="AA417" s="231" t="e">
        <f>#REF!</f>
        <v>#REF!</v>
      </c>
      <c r="AB417" s="231">
        <v>58582925</v>
      </c>
      <c r="AC417" s="231" t="e">
        <f>#REF!</f>
        <v>#REF!</v>
      </c>
      <c r="AD417" s="231" t="e">
        <f>#REF!</f>
        <v>#REF!</v>
      </c>
      <c r="AE417" s="231" t="e">
        <f>#REF!</f>
        <v>#REF!</v>
      </c>
      <c r="AF417" s="231" t="e">
        <f>[1]April!N86</f>
        <v>#REF!</v>
      </c>
      <c r="AG417" s="231" t="e">
        <f>[2]april!N86</f>
        <v>#REF!</v>
      </c>
      <c r="AH417" s="231">
        <f>'[3]DES SKPD'!$N86</f>
        <v>126710000</v>
      </c>
      <c r="AI417" s="231">
        <f>SUM(AI418:AI419)</f>
        <v>8000000</v>
      </c>
      <c r="AJ417" s="233">
        <f t="shared" si="111"/>
        <v>1.9115890083632019</v>
      </c>
      <c r="AK417" s="234">
        <f t="shared" si="105"/>
        <v>410500000</v>
      </c>
      <c r="AL417" s="233">
        <f t="shared" si="112"/>
        <v>98.088410991636792</v>
      </c>
      <c r="AM417" s="243"/>
    </row>
    <row r="418" spans="1:39" ht="29.25" customHeight="1" x14ac:dyDescent="0.25">
      <c r="A418" s="243"/>
      <c r="B418" s="362"/>
      <c r="C418" s="362"/>
      <c r="D418" s="362"/>
      <c r="E418" s="362"/>
      <c r="F418" s="362"/>
      <c r="G418" s="362"/>
      <c r="H418" s="362"/>
      <c r="I418" s="363"/>
      <c r="J418" s="362" t="s">
        <v>537</v>
      </c>
      <c r="K418" s="245"/>
      <c r="L418" s="257"/>
      <c r="M418" s="604" t="s">
        <v>605</v>
      </c>
      <c r="N418" s="592"/>
      <c r="O418" s="179"/>
      <c r="P418" s="180"/>
      <c r="Q418" s="180">
        <v>38500000</v>
      </c>
      <c r="R418" s="181">
        <f t="shared" ref="R418:R419" si="116">Q418/Q$417*100</f>
        <v>9.1995221027479097</v>
      </c>
      <c r="S418" s="181">
        <v>100</v>
      </c>
      <c r="T418" s="180">
        <f t="shared" si="114"/>
        <v>20.779220779220779</v>
      </c>
      <c r="U418" s="180">
        <f t="shared" si="107"/>
        <v>1.9115890083632021</v>
      </c>
      <c r="V418" s="182">
        <f t="shared" si="115"/>
        <v>79.220779220779221</v>
      </c>
      <c r="W418" s="180"/>
      <c r="X418" s="180"/>
      <c r="Y418" s="180"/>
      <c r="Z418" s="180"/>
      <c r="AA418" s="180"/>
      <c r="AB418" s="180"/>
      <c r="AC418" s="180"/>
      <c r="AD418" s="180"/>
      <c r="AE418" s="180"/>
      <c r="AF418" s="180"/>
      <c r="AG418" s="180"/>
      <c r="AH418" s="180"/>
      <c r="AI418" s="180">
        <v>8000000</v>
      </c>
      <c r="AJ418" s="181">
        <f t="shared" si="111"/>
        <v>20.779220779220779</v>
      </c>
      <c r="AK418" s="246">
        <f t="shared" si="105"/>
        <v>30500000</v>
      </c>
      <c r="AL418" s="181">
        <f t="shared" si="112"/>
        <v>79.220779220779221</v>
      </c>
      <c r="AM418" s="243"/>
    </row>
    <row r="419" spans="1:39" ht="29.25" customHeight="1" x14ac:dyDescent="0.25">
      <c r="A419" s="243"/>
      <c r="B419" s="362"/>
      <c r="C419" s="362"/>
      <c r="D419" s="362"/>
      <c r="E419" s="362"/>
      <c r="F419" s="362"/>
      <c r="G419" s="362"/>
      <c r="H419" s="362"/>
      <c r="I419" s="363"/>
      <c r="J419" s="362" t="s">
        <v>415</v>
      </c>
      <c r="K419" s="245"/>
      <c r="L419" s="257"/>
      <c r="M419" s="604" t="s">
        <v>303</v>
      </c>
      <c r="N419" s="592"/>
      <c r="O419" s="179"/>
      <c r="P419" s="180"/>
      <c r="Q419" s="180">
        <v>380000000</v>
      </c>
      <c r="R419" s="181">
        <f t="shared" si="116"/>
        <v>90.80047789725208</v>
      </c>
      <c r="S419" s="181">
        <v>100</v>
      </c>
      <c r="T419" s="180">
        <f t="shared" si="114"/>
        <v>0</v>
      </c>
      <c r="U419" s="180">
        <f t="shared" si="107"/>
        <v>0</v>
      </c>
      <c r="V419" s="182">
        <f t="shared" si="115"/>
        <v>100</v>
      </c>
      <c r="W419" s="180"/>
      <c r="X419" s="180"/>
      <c r="Y419" s="180"/>
      <c r="Z419" s="180"/>
      <c r="AA419" s="180"/>
      <c r="AB419" s="180"/>
      <c r="AC419" s="180"/>
      <c r="AD419" s="180"/>
      <c r="AE419" s="180"/>
      <c r="AF419" s="180"/>
      <c r="AG419" s="180"/>
      <c r="AH419" s="180"/>
      <c r="AI419" s="180">
        <v>0</v>
      </c>
      <c r="AJ419" s="181">
        <f t="shared" si="111"/>
        <v>0</v>
      </c>
      <c r="AK419" s="246">
        <f t="shared" si="105"/>
        <v>380000000</v>
      </c>
      <c r="AL419" s="181">
        <f t="shared" si="112"/>
        <v>100</v>
      </c>
      <c r="AM419" s="243"/>
    </row>
    <row r="420" spans="1:39" s="297" customFormat="1" ht="29.25" customHeight="1" x14ac:dyDescent="0.25">
      <c r="A420" s="227">
        <f>SUM(A417+1)</f>
        <v>54</v>
      </c>
      <c r="B420" s="615" t="s">
        <v>153</v>
      </c>
      <c r="C420" s="615"/>
      <c r="D420" s="615"/>
      <c r="E420" s="615"/>
      <c r="F420" s="615"/>
      <c r="G420" s="615"/>
      <c r="H420" s="615"/>
      <c r="I420" s="614"/>
      <c r="J420" s="304" t="s">
        <v>504</v>
      </c>
      <c r="K420" s="230"/>
      <c r="L420" s="294"/>
      <c r="M420" s="610" t="s">
        <v>53</v>
      </c>
      <c r="N420" s="610"/>
      <c r="O420" s="309">
        <v>420443450</v>
      </c>
      <c r="P420" s="231">
        <f>O420</f>
        <v>420443450</v>
      </c>
      <c r="Q420" s="231">
        <f>SUM(Q421:Q430)</f>
        <v>179508000</v>
      </c>
      <c r="R420" s="233">
        <f>Q420/Q$243*100</f>
        <v>1.5049491671640207</v>
      </c>
      <c r="S420" s="233">
        <v>100</v>
      </c>
      <c r="T420" s="231">
        <f t="shared" si="114"/>
        <v>0</v>
      </c>
      <c r="U420" s="231">
        <f t="shared" si="107"/>
        <v>0</v>
      </c>
      <c r="V420" s="296">
        <f t="shared" si="92"/>
        <v>100</v>
      </c>
      <c r="W420" s="231"/>
      <c r="X420" s="231" t="e">
        <f>#REF!</f>
        <v>#REF!</v>
      </c>
      <c r="Y420" s="231" t="e">
        <f>#REF!</f>
        <v>#REF!</v>
      </c>
      <c r="Z420" s="231" t="e">
        <f>#REF!</f>
        <v>#REF!</v>
      </c>
      <c r="AA420" s="231" t="e">
        <f>#REF!</f>
        <v>#REF!</v>
      </c>
      <c r="AB420" s="231">
        <v>55843500</v>
      </c>
      <c r="AC420" s="231" t="e">
        <f>#REF!</f>
        <v>#REF!</v>
      </c>
      <c r="AD420" s="231" t="e">
        <f>#REF!</f>
        <v>#REF!</v>
      </c>
      <c r="AE420" s="231" t="e">
        <f>#REF!</f>
        <v>#REF!</v>
      </c>
      <c r="AF420" s="231" t="e">
        <f>[1]April!N73</f>
        <v>#REF!</v>
      </c>
      <c r="AG420" s="231" t="e">
        <f>[2]april!N73</f>
        <v>#REF!</v>
      </c>
      <c r="AH420" s="231">
        <f>'[3]DES SKPD'!$N73</f>
        <v>192051900</v>
      </c>
      <c r="AI420" s="231">
        <f>SUM(AI421:AI430)</f>
        <v>0</v>
      </c>
      <c r="AJ420" s="233">
        <f t="shared" si="111"/>
        <v>0</v>
      </c>
      <c r="AK420" s="234">
        <f t="shared" ref="AK420:AK484" si="117">Q420-AI420</f>
        <v>179508000</v>
      </c>
      <c r="AL420" s="233">
        <f t="shared" si="112"/>
        <v>100</v>
      </c>
      <c r="AM420" s="227"/>
    </row>
    <row r="421" spans="1:39" ht="24.75" customHeight="1" x14ac:dyDescent="0.25">
      <c r="A421" s="243"/>
      <c r="B421" s="362"/>
      <c r="C421" s="362"/>
      <c r="D421" s="362"/>
      <c r="E421" s="362"/>
      <c r="F421" s="362"/>
      <c r="G421" s="362"/>
      <c r="H421" s="362"/>
      <c r="I421" s="363"/>
      <c r="J421" s="362" t="s">
        <v>273</v>
      </c>
      <c r="K421" s="245"/>
      <c r="L421" s="257"/>
      <c r="M421" s="591" t="s">
        <v>322</v>
      </c>
      <c r="N421" s="592"/>
      <c r="O421" s="179"/>
      <c r="P421" s="180"/>
      <c r="Q421" s="180">
        <v>20400000</v>
      </c>
      <c r="R421" s="181">
        <f t="shared" ref="R421:R430" si="118">Q421/Q$420*100</f>
        <v>11.364396015776455</v>
      </c>
      <c r="S421" s="181">
        <v>100</v>
      </c>
      <c r="T421" s="180">
        <f t="shared" si="114"/>
        <v>0</v>
      </c>
      <c r="U421" s="180">
        <f t="shared" si="107"/>
        <v>0</v>
      </c>
      <c r="V421" s="182">
        <f t="shared" si="92"/>
        <v>100</v>
      </c>
      <c r="W421" s="180"/>
      <c r="X421" s="180"/>
      <c r="Y421" s="180"/>
      <c r="Z421" s="180"/>
      <c r="AA421" s="180"/>
      <c r="AB421" s="180"/>
      <c r="AC421" s="180"/>
      <c r="AD421" s="180"/>
      <c r="AE421" s="180"/>
      <c r="AF421" s="180"/>
      <c r="AG421" s="180"/>
      <c r="AH421" s="180"/>
      <c r="AI421" s="180">
        <v>0</v>
      </c>
      <c r="AJ421" s="181">
        <f t="shared" si="111"/>
        <v>0</v>
      </c>
      <c r="AK421" s="246">
        <f t="shared" si="117"/>
        <v>20400000</v>
      </c>
      <c r="AL421" s="181">
        <f t="shared" si="112"/>
        <v>100</v>
      </c>
      <c r="AM421" s="243"/>
    </row>
    <row r="422" spans="1:39" ht="24.75" customHeight="1" x14ac:dyDescent="0.25">
      <c r="A422" s="243"/>
      <c r="B422" s="362"/>
      <c r="C422" s="362"/>
      <c r="D422" s="362"/>
      <c r="E422" s="362"/>
      <c r="F422" s="362"/>
      <c r="G422" s="362"/>
      <c r="H422" s="362"/>
      <c r="I422" s="363"/>
      <c r="J422" s="362" t="s">
        <v>323</v>
      </c>
      <c r="K422" s="245"/>
      <c r="L422" s="257"/>
      <c r="M422" s="591" t="s">
        <v>324</v>
      </c>
      <c r="N422" s="592"/>
      <c r="O422" s="179"/>
      <c r="P422" s="180"/>
      <c r="Q422" s="180">
        <v>8408000</v>
      </c>
      <c r="R422" s="181">
        <f t="shared" si="118"/>
        <v>4.6839138088553156</v>
      </c>
      <c r="S422" s="181">
        <v>100</v>
      </c>
      <c r="T422" s="180">
        <f t="shared" si="114"/>
        <v>0</v>
      </c>
      <c r="U422" s="180">
        <f t="shared" si="107"/>
        <v>0</v>
      </c>
      <c r="V422" s="182">
        <f t="shared" si="92"/>
        <v>100</v>
      </c>
      <c r="W422" s="180"/>
      <c r="X422" s="180"/>
      <c r="Y422" s="180"/>
      <c r="Z422" s="180"/>
      <c r="AA422" s="180"/>
      <c r="AB422" s="180"/>
      <c r="AC422" s="180"/>
      <c r="AD422" s="180"/>
      <c r="AE422" s="180"/>
      <c r="AF422" s="180"/>
      <c r="AG422" s="180"/>
      <c r="AH422" s="180"/>
      <c r="AI422" s="180">
        <v>0</v>
      </c>
      <c r="AJ422" s="181">
        <f t="shared" si="111"/>
        <v>0</v>
      </c>
      <c r="AK422" s="246">
        <f t="shared" si="117"/>
        <v>8408000</v>
      </c>
      <c r="AL422" s="181">
        <f t="shared" si="112"/>
        <v>100</v>
      </c>
      <c r="AM422" s="243"/>
    </row>
    <row r="423" spans="1:39" ht="24.75" customHeight="1" x14ac:dyDescent="0.25">
      <c r="A423" s="243"/>
      <c r="B423" s="362"/>
      <c r="C423" s="362"/>
      <c r="D423" s="362"/>
      <c r="E423" s="362"/>
      <c r="F423" s="362"/>
      <c r="G423" s="362"/>
      <c r="H423" s="362"/>
      <c r="I423" s="363"/>
      <c r="J423" s="362" t="s">
        <v>417</v>
      </c>
      <c r="K423" s="245"/>
      <c r="L423" s="257"/>
      <c r="M423" s="591" t="s">
        <v>408</v>
      </c>
      <c r="N423" s="592"/>
      <c r="O423" s="179"/>
      <c r="P423" s="180"/>
      <c r="Q423" s="180">
        <v>3000000</v>
      </c>
      <c r="R423" s="181">
        <f t="shared" si="118"/>
        <v>1.6712347082024199</v>
      </c>
      <c r="S423" s="181">
        <v>101</v>
      </c>
      <c r="T423" s="180">
        <f t="shared" si="114"/>
        <v>0</v>
      </c>
      <c r="U423" s="180">
        <f t="shared" si="107"/>
        <v>0</v>
      </c>
      <c r="V423" s="182">
        <f t="shared" si="92"/>
        <v>101</v>
      </c>
      <c r="W423" s="180"/>
      <c r="X423" s="180"/>
      <c r="Y423" s="180"/>
      <c r="Z423" s="180"/>
      <c r="AA423" s="180"/>
      <c r="AB423" s="180"/>
      <c r="AC423" s="180"/>
      <c r="AD423" s="180"/>
      <c r="AE423" s="180"/>
      <c r="AF423" s="180"/>
      <c r="AG423" s="180"/>
      <c r="AH423" s="180"/>
      <c r="AI423" s="180">
        <v>0</v>
      </c>
      <c r="AJ423" s="181">
        <f t="shared" si="111"/>
        <v>0</v>
      </c>
      <c r="AK423" s="246">
        <f t="shared" si="117"/>
        <v>3000000</v>
      </c>
      <c r="AL423" s="181">
        <f t="shared" si="112"/>
        <v>100</v>
      </c>
      <c r="AM423" s="243"/>
    </row>
    <row r="424" spans="1:39" ht="24.75" customHeight="1" x14ac:dyDescent="0.25">
      <c r="A424" s="243"/>
      <c r="B424" s="362"/>
      <c r="C424" s="362"/>
      <c r="D424" s="362"/>
      <c r="E424" s="362"/>
      <c r="F424" s="362"/>
      <c r="G424" s="362"/>
      <c r="H424" s="362"/>
      <c r="I424" s="363"/>
      <c r="J424" s="362" t="s">
        <v>315</v>
      </c>
      <c r="K424" s="245"/>
      <c r="L424" s="257"/>
      <c r="M424" s="591" t="s">
        <v>271</v>
      </c>
      <c r="N424" s="592"/>
      <c r="O424" s="179"/>
      <c r="P424" s="180"/>
      <c r="Q424" s="180">
        <v>4000000</v>
      </c>
      <c r="R424" s="181">
        <f t="shared" si="118"/>
        <v>2.2283129442698932</v>
      </c>
      <c r="S424" s="181">
        <v>100</v>
      </c>
      <c r="T424" s="180">
        <f t="shared" si="114"/>
        <v>0</v>
      </c>
      <c r="U424" s="180">
        <f t="shared" si="107"/>
        <v>0</v>
      </c>
      <c r="V424" s="182">
        <f t="shared" si="92"/>
        <v>100</v>
      </c>
      <c r="W424" s="180"/>
      <c r="X424" s="180"/>
      <c r="Y424" s="180"/>
      <c r="Z424" s="180"/>
      <c r="AA424" s="180"/>
      <c r="AB424" s="180"/>
      <c r="AC424" s="180"/>
      <c r="AD424" s="180"/>
      <c r="AE424" s="180"/>
      <c r="AF424" s="180"/>
      <c r="AG424" s="180"/>
      <c r="AH424" s="180"/>
      <c r="AI424" s="180">
        <v>0</v>
      </c>
      <c r="AJ424" s="181">
        <f t="shared" si="111"/>
        <v>0</v>
      </c>
      <c r="AK424" s="246">
        <f t="shared" si="117"/>
        <v>4000000</v>
      </c>
      <c r="AL424" s="181">
        <f t="shared" si="112"/>
        <v>100</v>
      </c>
      <c r="AM424" s="243"/>
    </row>
    <row r="425" spans="1:39" ht="29.25" customHeight="1" x14ac:dyDescent="0.25">
      <c r="A425" s="243"/>
      <c r="B425" s="362"/>
      <c r="C425" s="362"/>
      <c r="D425" s="362"/>
      <c r="E425" s="362"/>
      <c r="F425" s="362"/>
      <c r="G425" s="362"/>
      <c r="H425" s="362"/>
      <c r="I425" s="363"/>
      <c r="J425" s="362" t="s">
        <v>328</v>
      </c>
      <c r="K425" s="245"/>
      <c r="L425" s="257"/>
      <c r="M425" s="591" t="s">
        <v>329</v>
      </c>
      <c r="N425" s="592"/>
      <c r="O425" s="179"/>
      <c r="P425" s="180"/>
      <c r="Q425" s="180">
        <v>26000000</v>
      </c>
      <c r="R425" s="181">
        <f t="shared" si="118"/>
        <v>14.484034137754307</v>
      </c>
      <c r="S425" s="181">
        <v>100</v>
      </c>
      <c r="T425" s="180">
        <f t="shared" si="114"/>
        <v>0</v>
      </c>
      <c r="U425" s="180">
        <f t="shared" ref="U425:U667" si="119">R425*T425/100</f>
        <v>0</v>
      </c>
      <c r="V425" s="182">
        <f t="shared" si="92"/>
        <v>100</v>
      </c>
      <c r="W425" s="180"/>
      <c r="X425" s="180"/>
      <c r="Y425" s="180"/>
      <c r="Z425" s="180"/>
      <c r="AA425" s="180"/>
      <c r="AB425" s="180"/>
      <c r="AC425" s="180"/>
      <c r="AD425" s="180"/>
      <c r="AE425" s="180"/>
      <c r="AF425" s="180"/>
      <c r="AG425" s="180"/>
      <c r="AH425" s="180"/>
      <c r="AI425" s="180">
        <v>0</v>
      </c>
      <c r="AJ425" s="181">
        <f t="shared" si="111"/>
        <v>0</v>
      </c>
      <c r="AK425" s="246">
        <f t="shared" si="117"/>
        <v>26000000</v>
      </c>
      <c r="AL425" s="181">
        <f t="shared" si="112"/>
        <v>100</v>
      </c>
      <c r="AM425" s="243"/>
    </row>
    <row r="426" spans="1:39" ht="24.75" customHeight="1" x14ac:dyDescent="0.25">
      <c r="A426" s="243"/>
      <c r="B426" s="362"/>
      <c r="C426" s="362"/>
      <c r="D426" s="362"/>
      <c r="E426" s="362"/>
      <c r="F426" s="362"/>
      <c r="G426" s="362"/>
      <c r="H426" s="362"/>
      <c r="I426" s="363"/>
      <c r="J426" s="362" t="s">
        <v>280</v>
      </c>
      <c r="K426" s="245"/>
      <c r="L426" s="257"/>
      <c r="M426" s="591" t="s">
        <v>281</v>
      </c>
      <c r="N426" s="592"/>
      <c r="O426" s="179"/>
      <c r="P426" s="180"/>
      <c r="Q426" s="180">
        <v>48500000</v>
      </c>
      <c r="R426" s="181">
        <f t="shared" si="118"/>
        <v>27.018294449272457</v>
      </c>
      <c r="S426" s="181">
        <v>100</v>
      </c>
      <c r="T426" s="180">
        <f t="shared" si="114"/>
        <v>0</v>
      </c>
      <c r="U426" s="180">
        <f t="shared" si="119"/>
        <v>0</v>
      </c>
      <c r="V426" s="182">
        <f t="shared" si="92"/>
        <v>100</v>
      </c>
      <c r="W426" s="180"/>
      <c r="X426" s="180"/>
      <c r="Y426" s="180"/>
      <c r="Z426" s="180"/>
      <c r="AA426" s="180"/>
      <c r="AB426" s="180"/>
      <c r="AC426" s="180"/>
      <c r="AD426" s="180"/>
      <c r="AE426" s="180"/>
      <c r="AF426" s="180"/>
      <c r="AG426" s="180"/>
      <c r="AH426" s="180"/>
      <c r="AI426" s="180">
        <v>0</v>
      </c>
      <c r="AJ426" s="181">
        <f t="shared" si="111"/>
        <v>0</v>
      </c>
      <c r="AK426" s="246">
        <f t="shared" si="117"/>
        <v>48500000</v>
      </c>
      <c r="AL426" s="181">
        <f t="shared" si="112"/>
        <v>100</v>
      </c>
      <c r="AM426" s="243"/>
    </row>
    <row r="427" spans="1:39" ht="24.75" customHeight="1" x14ac:dyDescent="0.25">
      <c r="A427" s="243"/>
      <c r="B427" s="362"/>
      <c r="C427" s="362"/>
      <c r="D427" s="362"/>
      <c r="E427" s="362"/>
      <c r="F427" s="362"/>
      <c r="G427" s="362"/>
      <c r="H427" s="362"/>
      <c r="I427" s="363"/>
      <c r="J427" s="362" t="s">
        <v>284</v>
      </c>
      <c r="K427" s="245"/>
      <c r="L427" s="257"/>
      <c r="M427" s="591" t="s">
        <v>285</v>
      </c>
      <c r="N427" s="592"/>
      <c r="O427" s="179"/>
      <c r="P427" s="180"/>
      <c r="Q427" s="180">
        <v>10000000</v>
      </c>
      <c r="R427" s="181">
        <f t="shared" si="118"/>
        <v>5.5707823606747331</v>
      </c>
      <c r="S427" s="181">
        <v>100</v>
      </c>
      <c r="T427" s="180">
        <f t="shared" si="114"/>
        <v>0</v>
      </c>
      <c r="U427" s="180">
        <f t="shared" si="119"/>
        <v>0</v>
      </c>
      <c r="V427" s="182">
        <f t="shared" si="92"/>
        <v>100</v>
      </c>
      <c r="W427" s="180"/>
      <c r="X427" s="180"/>
      <c r="Y427" s="180"/>
      <c r="Z427" s="180"/>
      <c r="AA427" s="180"/>
      <c r="AB427" s="180"/>
      <c r="AC427" s="180"/>
      <c r="AD427" s="180"/>
      <c r="AE427" s="180"/>
      <c r="AF427" s="180"/>
      <c r="AG427" s="180"/>
      <c r="AH427" s="180"/>
      <c r="AI427" s="180">
        <v>0</v>
      </c>
      <c r="AJ427" s="181">
        <f t="shared" si="111"/>
        <v>0</v>
      </c>
      <c r="AK427" s="246">
        <f t="shared" si="117"/>
        <v>10000000</v>
      </c>
      <c r="AL427" s="181">
        <f t="shared" si="112"/>
        <v>100</v>
      </c>
      <c r="AM427" s="243"/>
    </row>
    <row r="428" spans="1:39" ht="24.75" customHeight="1" x14ac:dyDescent="0.25">
      <c r="A428" s="243"/>
      <c r="B428" s="362"/>
      <c r="C428" s="362"/>
      <c r="D428" s="362"/>
      <c r="E428" s="362"/>
      <c r="F428" s="362"/>
      <c r="G428" s="362"/>
      <c r="H428" s="362"/>
      <c r="I428" s="363"/>
      <c r="J428" s="362" t="s">
        <v>282</v>
      </c>
      <c r="K428" s="245"/>
      <c r="L428" s="257"/>
      <c r="M428" s="591" t="s">
        <v>283</v>
      </c>
      <c r="N428" s="592"/>
      <c r="O428" s="179"/>
      <c r="P428" s="180"/>
      <c r="Q428" s="180">
        <v>10000000</v>
      </c>
      <c r="R428" s="181">
        <f t="shared" si="118"/>
        <v>5.5707823606747331</v>
      </c>
      <c r="S428" s="181">
        <v>100</v>
      </c>
      <c r="T428" s="180">
        <f t="shared" si="114"/>
        <v>0</v>
      </c>
      <c r="U428" s="180">
        <f t="shared" si="119"/>
        <v>0</v>
      </c>
      <c r="V428" s="182">
        <f t="shared" si="92"/>
        <v>100</v>
      </c>
      <c r="W428" s="180"/>
      <c r="X428" s="180"/>
      <c r="Y428" s="180"/>
      <c r="Z428" s="180"/>
      <c r="AA428" s="180"/>
      <c r="AB428" s="180"/>
      <c r="AC428" s="180"/>
      <c r="AD428" s="180"/>
      <c r="AE428" s="180"/>
      <c r="AF428" s="180"/>
      <c r="AG428" s="180"/>
      <c r="AH428" s="180"/>
      <c r="AI428" s="180">
        <v>0</v>
      </c>
      <c r="AJ428" s="181">
        <f t="shared" si="111"/>
        <v>0</v>
      </c>
      <c r="AK428" s="246">
        <f t="shared" si="117"/>
        <v>10000000</v>
      </c>
      <c r="AL428" s="181">
        <f t="shared" si="112"/>
        <v>100</v>
      </c>
      <c r="AM428" s="243"/>
    </row>
    <row r="429" spans="1:39" ht="24.75" customHeight="1" x14ac:dyDescent="0.25">
      <c r="A429" s="243"/>
      <c r="B429" s="362"/>
      <c r="C429" s="362"/>
      <c r="D429" s="362"/>
      <c r="E429" s="362"/>
      <c r="F429" s="362"/>
      <c r="G429" s="362"/>
      <c r="H429" s="362"/>
      <c r="I429" s="363"/>
      <c r="J429" s="362" t="s">
        <v>309</v>
      </c>
      <c r="K429" s="245"/>
      <c r="L429" s="257"/>
      <c r="M429" s="591" t="s">
        <v>321</v>
      </c>
      <c r="N429" s="592"/>
      <c r="O429" s="179"/>
      <c r="P429" s="180"/>
      <c r="Q429" s="180">
        <v>39600000</v>
      </c>
      <c r="R429" s="181">
        <f t="shared" si="118"/>
        <v>22.060298148271944</v>
      </c>
      <c r="S429" s="181">
        <v>100</v>
      </c>
      <c r="T429" s="180">
        <f t="shared" si="114"/>
        <v>0</v>
      </c>
      <c r="U429" s="180">
        <f t="shared" si="119"/>
        <v>0</v>
      </c>
      <c r="V429" s="182">
        <f t="shared" si="92"/>
        <v>100</v>
      </c>
      <c r="W429" s="180"/>
      <c r="X429" s="180"/>
      <c r="Y429" s="180"/>
      <c r="Z429" s="180"/>
      <c r="AA429" s="180"/>
      <c r="AB429" s="180"/>
      <c r="AC429" s="180"/>
      <c r="AD429" s="180"/>
      <c r="AE429" s="180"/>
      <c r="AF429" s="180"/>
      <c r="AG429" s="180"/>
      <c r="AH429" s="180"/>
      <c r="AI429" s="180">
        <v>0</v>
      </c>
      <c r="AJ429" s="181">
        <f t="shared" si="111"/>
        <v>0</v>
      </c>
      <c r="AK429" s="246">
        <f t="shared" si="117"/>
        <v>39600000</v>
      </c>
      <c r="AL429" s="181">
        <f t="shared" si="112"/>
        <v>100</v>
      </c>
      <c r="AM429" s="243"/>
    </row>
    <row r="430" spans="1:39" ht="24.75" customHeight="1" x14ac:dyDescent="0.25">
      <c r="A430" s="243"/>
      <c r="B430" s="362"/>
      <c r="C430" s="362"/>
      <c r="D430" s="362"/>
      <c r="E430" s="362"/>
      <c r="F430" s="362"/>
      <c r="G430" s="362"/>
      <c r="H430" s="362"/>
      <c r="I430" s="363"/>
      <c r="J430" s="362" t="s">
        <v>407</v>
      </c>
      <c r="K430" s="245"/>
      <c r="L430" s="257"/>
      <c r="M430" s="591" t="s">
        <v>414</v>
      </c>
      <c r="N430" s="592"/>
      <c r="O430" s="179"/>
      <c r="P430" s="180"/>
      <c r="Q430" s="180">
        <v>9600000</v>
      </c>
      <c r="R430" s="181">
        <f t="shared" si="118"/>
        <v>5.3479510662477434</v>
      </c>
      <c r="S430" s="181"/>
      <c r="T430" s="180">
        <f t="shared" si="114"/>
        <v>0</v>
      </c>
      <c r="U430" s="180">
        <f t="shared" si="119"/>
        <v>0</v>
      </c>
      <c r="V430" s="182"/>
      <c r="W430" s="180"/>
      <c r="X430" s="180"/>
      <c r="Y430" s="180"/>
      <c r="Z430" s="180"/>
      <c r="AA430" s="180"/>
      <c r="AB430" s="180"/>
      <c r="AC430" s="180"/>
      <c r="AD430" s="180"/>
      <c r="AE430" s="180"/>
      <c r="AF430" s="180"/>
      <c r="AG430" s="180"/>
      <c r="AH430" s="180"/>
      <c r="AI430" s="180">
        <v>0</v>
      </c>
      <c r="AJ430" s="181">
        <f t="shared" si="111"/>
        <v>0</v>
      </c>
      <c r="AK430" s="246">
        <f t="shared" si="117"/>
        <v>9600000</v>
      </c>
      <c r="AL430" s="181">
        <f t="shared" si="112"/>
        <v>100</v>
      </c>
      <c r="AM430" s="243"/>
    </row>
    <row r="431" spans="1:39" s="297" customFormat="1" ht="24.75" customHeight="1" x14ac:dyDescent="0.25">
      <c r="A431" s="227">
        <f>A420+1</f>
        <v>55</v>
      </c>
      <c r="B431" s="615" t="s">
        <v>154</v>
      </c>
      <c r="C431" s="615"/>
      <c r="D431" s="615"/>
      <c r="E431" s="615"/>
      <c r="F431" s="615"/>
      <c r="G431" s="615"/>
      <c r="H431" s="615"/>
      <c r="I431" s="614"/>
      <c r="J431" s="304" t="s">
        <v>505</v>
      </c>
      <c r="K431" s="230"/>
      <c r="L431" s="294"/>
      <c r="M431" s="610" t="s">
        <v>54</v>
      </c>
      <c r="N431" s="610"/>
      <c r="O431" s="309">
        <v>255497500</v>
      </c>
      <c r="P431" s="231">
        <f>O431</f>
        <v>255497500</v>
      </c>
      <c r="Q431" s="231">
        <f>SUM(Q432:Q441)</f>
        <v>106437000</v>
      </c>
      <c r="R431" s="233">
        <f>Q431/Q$33*100</f>
        <v>0.33485230675987876</v>
      </c>
      <c r="S431" s="233">
        <v>100</v>
      </c>
      <c r="T431" s="231">
        <f t="shared" si="114"/>
        <v>0</v>
      </c>
      <c r="U431" s="231">
        <f t="shared" si="119"/>
        <v>0</v>
      </c>
      <c r="V431" s="296">
        <f t="shared" si="92"/>
        <v>100</v>
      </c>
      <c r="W431" s="231"/>
      <c r="X431" s="231" t="e">
        <f>#REF!</f>
        <v>#REF!</v>
      </c>
      <c r="Y431" s="231" t="e">
        <f>#REF!</f>
        <v>#REF!</v>
      </c>
      <c r="Z431" s="231" t="e">
        <f>#REF!</f>
        <v>#REF!</v>
      </c>
      <c r="AA431" s="231" t="e">
        <f>#REF!</f>
        <v>#REF!</v>
      </c>
      <c r="AB431" s="231">
        <v>62640000</v>
      </c>
      <c r="AC431" s="231" t="e">
        <f>#REF!</f>
        <v>#REF!</v>
      </c>
      <c r="AD431" s="231" t="e">
        <f>#REF!</f>
        <v>#REF!</v>
      </c>
      <c r="AE431" s="231" t="e">
        <f>#REF!</f>
        <v>#REF!</v>
      </c>
      <c r="AF431" s="231" t="e">
        <f>[1]April!N74</f>
        <v>#REF!</v>
      </c>
      <c r="AG431" s="231" t="e">
        <f>[2]april!N74</f>
        <v>#REF!</v>
      </c>
      <c r="AH431" s="231">
        <f>'[3]DES SKPD'!$N74</f>
        <v>327019800</v>
      </c>
      <c r="AI431" s="231">
        <f>SUM(AI432:AI441)</f>
        <v>0</v>
      </c>
      <c r="AJ431" s="233">
        <f t="shared" si="111"/>
        <v>0</v>
      </c>
      <c r="AK431" s="234">
        <f t="shared" si="117"/>
        <v>106437000</v>
      </c>
      <c r="AL431" s="233">
        <f t="shared" si="112"/>
        <v>100</v>
      </c>
      <c r="AM431" s="227"/>
    </row>
    <row r="432" spans="1:39" ht="24.75" customHeight="1" x14ac:dyDescent="0.25">
      <c r="A432" s="243"/>
      <c r="B432" s="362"/>
      <c r="C432" s="362"/>
      <c r="D432" s="362"/>
      <c r="E432" s="362"/>
      <c r="F432" s="362"/>
      <c r="G432" s="362"/>
      <c r="H432" s="362"/>
      <c r="I432" s="363"/>
      <c r="J432" s="362" t="s">
        <v>257</v>
      </c>
      <c r="K432" s="245"/>
      <c r="L432" s="257"/>
      <c r="M432" s="591" t="s">
        <v>324</v>
      </c>
      <c r="N432" s="592"/>
      <c r="O432" s="179"/>
      <c r="P432" s="180"/>
      <c r="Q432" s="180">
        <v>27357000</v>
      </c>
      <c r="R432" s="181">
        <f>Q432/Q$431*100</f>
        <v>25.702528256151524</v>
      </c>
      <c r="S432" s="181">
        <v>100</v>
      </c>
      <c r="T432" s="180">
        <f t="shared" si="114"/>
        <v>0</v>
      </c>
      <c r="U432" s="180">
        <f t="shared" si="119"/>
        <v>0</v>
      </c>
      <c r="V432" s="182">
        <f t="shared" si="92"/>
        <v>100</v>
      </c>
      <c r="W432" s="180"/>
      <c r="X432" s="180"/>
      <c r="Y432" s="180"/>
      <c r="Z432" s="180"/>
      <c r="AA432" s="180"/>
      <c r="AB432" s="180"/>
      <c r="AC432" s="180"/>
      <c r="AD432" s="180"/>
      <c r="AE432" s="180"/>
      <c r="AF432" s="180"/>
      <c r="AG432" s="180"/>
      <c r="AH432" s="180"/>
      <c r="AI432" s="180">
        <v>0</v>
      </c>
      <c r="AJ432" s="181">
        <f t="shared" si="111"/>
        <v>0</v>
      </c>
      <c r="AK432" s="246">
        <f t="shared" si="117"/>
        <v>27357000</v>
      </c>
      <c r="AL432" s="181">
        <f t="shared" si="112"/>
        <v>100</v>
      </c>
      <c r="AM432" s="243"/>
    </row>
    <row r="433" spans="1:39" ht="24.75" customHeight="1" x14ac:dyDescent="0.25">
      <c r="A433" s="243"/>
      <c r="B433" s="362"/>
      <c r="C433" s="362"/>
      <c r="D433" s="362"/>
      <c r="E433" s="362"/>
      <c r="F433" s="362"/>
      <c r="G433" s="362"/>
      <c r="H433" s="362"/>
      <c r="I433" s="363"/>
      <c r="J433" s="362" t="s">
        <v>269</v>
      </c>
      <c r="K433" s="245"/>
      <c r="L433" s="257"/>
      <c r="M433" s="591" t="s">
        <v>270</v>
      </c>
      <c r="N433" s="592"/>
      <c r="O433" s="179"/>
      <c r="P433" s="180"/>
      <c r="Q433" s="180">
        <v>4500000</v>
      </c>
      <c r="R433" s="181">
        <f t="shared" ref="R433:R441" si="120">Q433/Q$431*100</f>
        <v>4.2278530961977507</v>
      </c>
      <c r="S433" s="181">
        <v>100</v>
      </c>
      <c r="T433" s="180">
        <f t="shared" si="114"/>
        <v>0</v>
      </c>
      <c r="U433" s="180">
        <f t="shared" si="119"/>
        <v>0</v>
      </c>
      <c r="V433" s="182">
        <f t="shared" si="92"/>
        <v>100</v>
      </c>
      <c r="W433" s="180"/>
      <c r="X433" s="180"/>
      <c r="Y433" s="180"/>
      <c r="Z433" s="180"/>
      <c r="AA433" s="180"/>
      <c r="AB433" s="180"/>
      <c r="AC433" s="180"/>
      <c r="AD433" s="180"/>
      <c r="AE433" s="180"/>
      <c r="AF433" s="180"/>
      <c r="AG433" s="180"/>
      <c r="AH433" s="180"/>
      <c r="AI433" s="180">
        <v>0</v>
      </c>
      <c r="AJ433" s="181">
        <f t="shared" si="111"/>
        <v>0</v>
      </c>
      <c r="AK433" s="246">
        <f t="shared" si="117"/>
        <v>4500000</v>
      </c>
      <c r="AL433" s="181">
        <f t="shared" si="112"/>
        <v>100</v>
      </c>
      <c r="AM433" s="243"/>
    </row>
    <row r="434" spans="1:39" ht="24.75" customHeight="1" x14ac:dyDescent="0.25">
      <c r="A434" s="243"/>
      <c r="B434" s="362"/>
      <c r="C434" s="362"/>
      <c r="D434" s="362"/>
      <c r="E434" s="362"/>
      <c r="F434" s="362"/>
      <c r="G434" s="362"/>
      <c r="H434" s="362"/>
      <c r="I434" s="363"/>
      <c r="J434" s="362" t="s">
        <v>315</v>
      </c>
      <c r="K434" s="245"/>
      <c r="L434" s="257"/>
      <c r="M434" s="591" t="s">
        <v>271</v>
      </c>
      <c r="N434" s="592"/>
      <c r="O434" s="179"/>
      <c r="P434" s="180"/>
      <c r="Q434" s="180">
        <v>1580000</v>
      </c>
      <c r="R434" s="181">
        <f t="shared" si="120"/>
        <v>1.4844461982205437</v>
      </c>
      <c r="S434" s="181">
        <v>100</v>
      </c>
      <c r="T434" s="180">
        <f t="shared" si="114"/>
        <v>0</v>
      </c>
      <c r="U434" s="180">
        <f t="shared" si="119"/>
        <v>0</v>
      </c>
      <c r="V434" s="182">
        <f t="shared" si="92"/>
        <v>100</v>
      </c>
      <c r="W434" s="180"/>
      <c r="X434" s="180"/>
      <c r="Y434" s="180"/>
      <c r="Z434" s="180"/>
      <c r="AA434" s="180"/>
      <c r="AB434" s="180"/>
      <c r="AC434" s="180"/>
      <c r="AD434" s="180"/>
      <c r="AE434" s="180"/>
      <c r="AF434" s="180"/>
      <c r="AG434" s="180"/>
      <c r="AH434" s="180"/>
      <c r="AI434" s="180">
        <v>0</v>
      </c>
      <c r="AJ434" s="181">
        <f t="shared" si="111"/>
        <v>0</v>
      </c>
      <c r="AK434" s="246">
        <f t="shared" si="117"/>
        <v>1580000</v>
      </c>
      <c r="AL434" s="181">
        <f t="shared" si="112"/>
        <v>100</v>
      </c>
      <c r="AM434" s="243"/>
    </row>
    <row r="435" spans="1:39" ht="24.75" customHeight="1" x14ac:dyDescent="0.25">
      <c r="A435" s="243"/>
      <c r="B435" s="362"/>
      <c r="C435" s="362"/>
      <c r="D435" s="362"/>
      <c r="E435" s="362"/>
      <c r="F435" s="362"/>
      <c r="G435" s="362"/>
      <c r="H435" s="362"/>
      <c r="I435" s="363"/>
      <c r="J435" s="362" t="s">
        <v>328</v>
      </c>
      <c r="K435" s="245"/>
      <c r="L435" s="257"/>
      <c r="M435" s="591" t="s">
        <v>612</v>
      </c>
      <c r="N435" s="592"/>
      <c r="O435" s="179"/>
      <c r="P435" s="180"/>
      <c r="Q435" s="180">
        <v>500000</v>
      </c>
      <c r="R435" s="181">
        <f t="shared" si="120"/>
        <v>0.46976145513308343</v>
      </c>
      <c r="S435" s="181">
        <v>100</v>
      </c>
      <c r="T435" s="180">
        <f t="shared" si="114"/>
        <v>0</v>
      </c>
      <c r="U435" s="180">
        <f t="shared" si="119"/>
        <v>0</v>
      </c>
      <c r="V435" s="182">
        <f t="shared" si="92"/>
        <v>100</v>
      </c>
      <c r="W435" s="180"/>
      <c r="X435" s="180"/>
      <c r="Y435" s="180"/>
      <c r="Z435" s="180"/>
      <c r="AA435" s="180"/>
      <c r="AB435" s="180"/>
      <c r="AC435" s="180"/>
      <c r="AD435" s="180"/>
      <c r="AE435" s="180"/>
      <c r="AF435" s="180"/>
      <c r="AG435" s="180"/>
      <c r="AH435" s="180"/>
      <c r="AI435" s="180">
        <v>0</v>
      </c>
      <c r="AJ435" s="181">
        <f t="shared" si="111"/>
        <v>0</v>
      </c>
      <c r="AK435" s="246">
        <f t="shared" si="117"/>
        <v>500000</v>
      </c>
      <c r="AL435" s="181">
        <f t="shared" si="112"/>
        <v>100</v>
      </c>
      <c r="AM435" s="243"/>
    </row>
    <row r="436" spans="1:39" ht="29.25" customHeight="1" x14ac:dyDescent="0.25">
      <c r="A436" s="243"/>
      <c r="B436" s="362"/>
      <c r="C436" s="362"/>
      <c r="D436" s="362"/>
      <c r="E436" s="362"/>
      <c r="F436" s="362"/>
      <c r="G436" s="362"/>
      <c r="H436" s="362"/>
      <c r="I436" s="363"/>
      <c r="J436" s="362" t="s">
        <v>339</v>
      </c>
      <c r="K436" s="245"/>
      <c r="L436" s="257"/>
      <c r="M436" s="591" t="s">
        <v>613</v>
      </c>
      <c r="N436" s="592"/>
      <c r="O436" s="179"/>
      <c r="P436" s="180"/>
      <c r="Q436" s="180">
        <v>9400000</v>
      </c>
      <c r="R436" s="181">
        <f t="shared" si="120"/>
        <v>8.8315153565019671</v>
      </c>
      <c r="S436" s="181">
        <v>100</v>
      </c>
      <c r="T436" s="180">
        <f t="shared" si="114"/>
        <v>0</v>
      </c>
      <c r="U436" s="180">
        <f t="shared" si="119"/>
        <v>0</v>
      </c>
      <c r="V436" s="182">
        <f t="shared" si="92"/>
        <v>100</v>
      </c>
      <c r="W436" s="180"/>
      <c r="X436" s="180"/>
      <c r="Y436" s="180"/>
      <c r="Z436" s="180"/>
      <c r="AA436" s="180"/>
      <c r="AB436" s="180"/>
      <c r="AC436" s="180"/>
      <c r="AD436" s="180"/>
      <c r="AE436" s="180"/>
      <c r="AF436" s="180"/>
      <c r="AG436" s="180"/>
      <c r="AH436" s="180"/>
      <c r="AI436" s="180">
        <v>0</v>
      </c>
      <c r="AJ436" s="181">
        <f t="shared" si="111"/>
        <v>0</v>
      </c>
      <c r="AK436" s="246">
        <f t="shared" si="117"/>
        <v>9400000</v>
      </c>
      <c r="AL436" s="181">
        <f t="shared" si="112"/>
        <v>100</v>
      </c>
      <c r="AM436" s="243"/>
    </row>
    <row r="437" spans="1:39" ht="24.75" customHeight="1" x14ac:dyDescent="0.25">
      <c r="A437" s="243"/>
      <c r="B437" s="362"/>
      <c r="C437" s="362"/>
      <c r="D437" s="362"/>
      <c r="E437" s="362"/>
      <c r="F437" s="362"/>
      <c r="G437" s="362"/>
      <c r="H437" s="362"/>
      <c r="I437" s="363"/>
      <c r="J437" s="362" t="s">
        <v>284</v>
      </c>
      <c r="K437" s="245"/>
      <c r="L437" s="257"/>
      <c r="M437" s="591" t="s">
        <v>319</v>
      </c>
      <c r="N437" s="592"/>
      <c r="O437" s="179"/>
      <c r="P437" s="180"/>
      <c r="Q437" s="180">
        <v>24500000</v>
      </c>
      <c r="R437" s="181">
        <f t="shared" si="120"/>
        <v>23.018311301521088</v>
      </c>
      <c r="S437" s="181">
        <v>100</v>
      </c>
      <c r="T437" s="180">
        <f t="shared" si="114"/>
        <v>0</v>
      </c>
      <c r="U437" s="180">
        <f t="shared" si="119"/>
        <v>0</v>
      </c>
      <c r="V437" s="182">
        <f t="shared" si="92"/>
        <v>100</v>
      </c>
      <c r="W437" s="180"/>
      <c r="X437" s="180"/>
      <c r="Y437" s="180"/>
      <c r="Z437" s="180"/>
      <c r="AA437" s="180"/>
      <c r="AB437" s="180"/>
      <c r="AC437" s="180"/>
      <c r="AD437" s="180"/>
      <c r="AE437" s="180"/>
      <c r="AF437" s="180"/>
      <c r="AG437" s="180"/>
      <c r="AH437" s="180"/>
      <c r="AI437" s="180">
        <v>0</v>
      </c>
      <c r="AJ437" s="181">
        <f t="shared" si="111"/>
        <v>0</v>
      </c>
      <c r="AK437" s="246">
        <f t="shared" si="117"/>
        <v>24500000</v>
      </c>
      <c r="AL437" s="181">
        <f t="shared" si="112"/>
        <v>100</v>
      </c>
      <c r="AM437" s="243"/>
    </row>
    <row r="438" spans="1:39" ht="24.75" customHeight="1" x14ac:dyDescent="0.25">
      <c r="A438" s="243"/>
      <c r="B438" s="362"/>
      <c r="C438" s="362"/>
      <c r="D438" s="362"/>
      <c r="E438" s="362"/>
      <c r="F438" s="362"/>
      <c r="G438" s="362"/>
      <c r="H438" s="362"/>
      <c r="I438" s="363"/>
      <c r="J438" s="362" t="s">
        <v>282</v>
      </c>
      <c r="K438" s="245"/>
      <c r="L438" s="257"/>
      <c r="M438" s="591" t="s">
        <v>585</v>
      </c>
      <c r="N438" s="592"/>
      <c r="O438" s="179"/>
      <c r="P438" s="180"/>
      <c r="Q438" s="180">
        <v>2500000</v>
      </c>
      <c r="R438" s="181">
        <f t="shared" si="120"/>
        <v>2.348807275665417</v>
      </c>
      <c r="S438" s="181">
        <v>100</v>
      </c>
      <c r="T438" s="180">
        <f t="shared" si="114"/>
        <v>0</v>
      </c>
      <c r="U438" s="180">
        <f t="shared" si="119"/>
        <v>0</v>
      </c>
      <c r="V438" s="182">
        <f t="shared" si="92"/>
        <v>100</v>
      </c>
      <c r="W438" s="180"/>
      <c r="X438" s="180"/>
      <c r="Y438" s="180"/>
      <c r="Z438" s="180"/>
      <c r="AA438" s="180"/>
      <c r="AB438" s="180"/>
      <c r="AC438" s="180"/>
      <c r="AD438" s="180"/>
      <c r="AE438" s="180"/>
      <c r="AF438" s="180"/>
      <c r="AG438" s="180"/>
      <c r="AH438" s="180"/>
      <c r="AI438" s="180">
        <v>0</v>
      </c>
      <c r="AJ438" s="181">
        <f t="shared" si="111"/>
        <v>0</v>
      </c>
      <c r="AK438" s="246">
        <f t="shared" si="117"/>
        <v>2500000</v>
      </c>
      <c r="AL438" s="181">
        <f t="shared" si="112"/>
        <v>100</v>
      </c>
      <c r="AM438" s="243"/>
    </row>
    <row r="439" spans="1:39" ht="24.75" customHeight="1" x14ac:dyDescent="0.25">
      <c r="A439" s="243"/>
      <c r="B439" s="362"/>
      <c r="C439" s="362"/>
      <c r="D439" s="362"/>
      <c r="E439" s="362"/>
      <c r="F439" s="362"/>
      <c r="G439" s="362"/>
      <c r="H439" s="362"/>
      <c r="I439" s="363"/>
      <c r="J439" s="362" t="s">
        <v>282</v>
      </c>
      <c r="K439" s="245"/>
      <c r="L439" s="257"/>
      <c r="M439" s="591" t="s">
        <v>503</v>
      </c>
      <c r="N439" s="592"/>
      <c r="O439" s="179"/>
      <c r="P439" s="180"/>
      <c r="Q439" s="180">
        <v>23900000</v>
      </c>
      <c r="R439" s="181">
        <f t="shared" si="120"/>
        <v>22.454597555361389</v>
      </c>
      <c r="S439" s="181">
        <v>100</v>
      </c>
      <c r="T439" s="180">
        <f t="shared" si="114"/>
        <v>0</v>
      </c>
      <c r="U439" s="180">
        <f t="shared" si="119"/>
        <v>0</v>
      </c>
      <c r="V439" s="182">
        <f t="shared" si="92"/>
        <v>100</v>
      </c>
      <c r="W439" s="180"/>
      <c r="X439" s="180"/>
      <c r="Y439" s="180"/>
      <c r="Z439" s="180"/>
      <c r="AA439" s="180"/>
      <c r="AB439" s="180"/>
      <c r="AC439" s="180"/>
      <c r="AD439" s="180"/>
      <c r="AE439" s="180"/>
      <c r="AF439" s="180"/>
      <c r="AG439" s="180"/>
      <c r="AH439" s="180"/>
      <c r="AI439" s="180">
        <v>0</v>
      </c>
      <c r="AJ439" s="181">
        <f t="shared" si="111"/>
        <v>0</v>
      </c>
      <c r="AK439" s="246">
        <f t="shared" si="117"/>
        <v>23900000</v>
      </c>
      <c r="AL439" s="181">
        <f t="shared" si="112"/>
        <v>100</v>
      </c>
      <c r="AM439" s="243"/>
    </row>
    <row r="440" spans="1:39" ht="24.75" customHeight="1" x14ac:dyDescent="0.25">
      <c r="A440" s="243"/>
      <c r="B440" s="362"/>
      <c r="C440" s="362"/>
      <c r="D440" s="362"/>
      <c r="E440" s="362"/>
      <c r="F440" s="362"/>
      <c r="G440" s="362"/>
      <c r="H440" s="362"/>
      <c r="I440" s="363"/>
      <c r="J440" s="362" t="s">
        <v>320</v>
      </c>
      <c r="K440" s="245"/>
      <c r="L440" s="257"/>
      <c r="M440" s="591" t="s">
        <v>321</v>
      </c>
      <c r="N440" s="592"/>
      <c r="O440" s="179"/>
      <c r="P440" s="180"/>
      <c r="Q440" s="180">
        <v>7400000</v>
      </c>
      <c r="R440" s="181">
        <f t="shared" si="120"/>
        <v>6.9524695359696338</v>
      </c>
      <c r="S440" s="181">
        <v>100</v>
      </c>
      <c r="T440" s="180">
        <f t="shared" si="114"/>
        <v>0</v>
      </c>
      <c r="U440" s="180">
        <f t="shared" si="119"/>
        <v>0</v>
      </c>
      <c r="V440" s="182">
        <f t="shared" si="92"/>
        <v>100</v>
      </c>
      <c r="W440" s="180"/>
      <c r="X440" s="180"/>
      <c r="Y440" s="180"/>
      <c r="Z440" s="180"/>
      <c r="AA440" s="180"/>
      <c r="AB440" s="180"/>
      <c r="AC440" s="180"/>
      <c r="AD440" s="180"/>
      <c r="AE440" s="180"/>
      <c r="AF440" s="180"/>
      <c r="AG440" s="180"/>
      <c r="AH440" s="180"/>
      <c r="AI440" s="180">
        <v>0</v>
      </c>
      <c r="AJ440" s="181">
        <f t="shared" si="111"/>
        <v>0</v>
      </c>
      <c r="AK440" s="246">
        <f t="shared" si="117"/>
        <v>7400000</v>
      </c>
      <c r="AL440" s="181">
        <f t="shared" si="112"/>
        <v>100</v>
      </c>
      <c r="AM440" s="243"/>
    </row>
    <row r="441" spans="1:39" ht="24.75" customHeight="1" x14ac:dyDescent="0.25">
      <c r="A441" s="243"/>
      <c r="B441" s="362"/>
      <c r="C441" s="362"/>
      <c r="D441" s="362"/>
      <c r="E441" s="362"/>
      <c r="F441" s="362"/>
      <c r="G441" s="362"/>
      <c r="H441" s="362"/>
      <c r="I441" s="363"/>
      <c r="J441" s="362" t="s">
        <v>407</v>
      </c>
      <c r="K441" s="245"/>
      <c r="L441" s="257"/>
      <c r="M441" s="591" t="s">
        <v>614</v>
      </c>
      <c r="N441" s="592"/>
      <c r="O441" s="179"/>
      <c r="P441" s="180"/>
      <c r="Q441" s="180">
        <v>4800000</v>
      </c>
      <c r="R441" s="181">
        <f t="shared" si="120"/>
        <v>4.5097099692776013</v>
      </c>
      <c r="S441" s="181">
        <v>100</v>
      </c>
      <c r="T441" s="180">
        <f t="shared" si="114"/>
        <v>0</v>
      </c>
      <c r="U441" s="180">
        <f t="shared" si="119"/>
        <v>0</v>
      </c>
      <c r="V441" s="182">
        <f t="shared" si="92"/>
        <v>100</v>
      </c>
      <c r="W441" s="180"/>
      <c r="X441" s="180"/>
      <c r="Y441" s="180"/>
      <c r="Z441" s="180"/>
      <c r="AA441" s="180"/>
      <c r="AB441" s="180"/>
      <c r="AC441" s="180"/>
      <c r="AD441" s="180"/>
      <c r="AE441" s="180"/>
      <c r="AF441" s="180"/>
      <c r="AG441" s="180"/>
      <c r="AH441" s="180"/>
      <c r="AI441" s="180">
        <v>0</v>
      </c>
      <c r="AJ441" s="181">
        <f t="shared" si="111"/>
        <v>0</v>
      </c>
      <c r="AK441" s="246">
        <f t="shared" si="117"/>
        <v>4800000</v>
      </c>
      <c r="AL441" s="181">
        <f t="shared" si="112"/>
        <v>100</v>
      </c>
      <c r="AM441" s="243"/>
    </row>
    <row r="442" spans="1:39" s="297" customFormat="1" ht="28.5" customHeight="1" x14ac:dyDescent="0.25">
      <c r="A442" s="227">
        <f>A431+1</f>
        <v>56</v>
      </c>
      <c r="B442" s="618" t="s">
        <v>155</v>
      </c>
      <c r="C442" s="615"/>
      <c r="D442" s="615"/>
      <c r="E442" s="615"/>
      <c r="F442" s="615"/>
      <c r="G442" s="615"/>
      <c r="H442" s="615"/>
      <c r="I442" s="614"/>
      <c r="J442" s="304" t="s">
        <v>506</v>
      </c>
      <c r="K442" s="230"/>
      <c r="L442" s="294"/>
      <c r="M442" s="610" t="s">
        <v>55</v>
      </c>
      <c r="N442" s="612"/>
      <c r="O442" s="309">
        <v>589234000</v>
      </c>
      <c r="P442" s="231">
        <f>O442</f>
        <v>589234000</v>
      </c>
      <c r="Q442" s="231">
        <f>SUM(Q443:Q451)</f>
        <v>131960000</v>
      </c>
      <c r="R442" s="233">
        <f>Q442/Q$243*100</f>
        <v>1.1063188944167623</v>
      </c>
      <c r="S442" s="233">
        <v>100</v>
      </c>
      <c r="T442" s="231">
        <f t="shared" si="114"/>
        <v>0</v>
      </c>
      <c r="U442" s="231">
        <f t="shared" si="119"/>
        <v>0</v>
      </c>
      <c r="V442" s="296">
        <f t="shared" si="92"/>
        <v>100</v>
      </c>
      <c r="W442" s="231"/>
      <c r="X442" s="231" t="e">
        <f>#REF!</f>
        <v>#REF!</v>
      </c>
      <c r="Y442" s="231" t="e">
        <f>#REF!</f>
        <v>#REF!</v>
      </c>
      <c r="Z442" s="231" t="e">
        <f>#REF!</f>
        <v>#REF!</v>
      </c>
      <c r="AA442" s="231" t="e">
        <f>#REF!</f>
        <v>#REF!</v>
      </c>
      <c r="AB442" s="231">
        <v>371113894</v>
      </c>
      <c r="AC442" s="231" t="e">
        <f>#REF!</f>
        <v>#REF!</v>
      </c>
      <c r="AD442" s="231" t="e">
        <f>#REF!</f>
        <v>#REF!</v>
      </c>
      <c r="AE442" s="231" t="e">
        <f>#REF!</f>
        <v>#REF!</v>
      </c>
      <c r="AF442" s="231" t="e">
        <f>[1]April!N75</f>
        <v>#REF!</v>
      </c>
      <c r="AG442" s="231" t="e">
        <f>[2]april!N75</f>
        <v>#REF!</v>
      </c>
      <c r="AH442" s="231">
        <f>'[3]DES SKPD'!$N75</f>
        <v>574563894</v>
      </c>
      <c r="AI442" s="231">
        <f>SUM(AI443:AI451)</f>
        <v>0</v>
      </c>
      <c r="AJ442" s="233">
        <f t="shared" si="111"/>
        <v>0</v>
      </c>
      <c r="AK442" s="234">
        <f t="shared" si="117"/>
        <v>131960000</v>
      </c>
      <c r="AL442" s="233">
        <f t="shared" si="112"/>
        <v>100</v>
      </c>
      <c r="AM442" s="227"/>
    </row>
    <row r="443" spans="1:39" ht="24.75" customHeight="1" x14ac:dyDescent="0.25">
      <c r="A443" s="243"/>
      <c r="B443" s="362"/>
      <c r="C443" s="362"/>
      <c r="D443" s="362"/>
      <c r="E443" s="362"/>
      <c r="F443" s="362"/>
      <c r="G443" s="362"/>
      <c r="H443" s="362"/>
      <c r="I443" s="363"/>
      <c r="J443" s="362" t="s">
        <v>259</v>
      </c>
      <c r="K443" s="245"/>
      <c r="L443" s="257"/>
      <c r="M443" s="591" t="s">
        <v>260</v>
      </c>
      <c r="N443" s="592"/>
      <c r="O443" s="179"/>
      <c r="P443" s="180"/>
      <c r="Q443" s="180">
        <v>1540000</v>
      </c>
      <c r="R443" s="181">
        <f t="shared" ref="R443:R451" si="121">Q443/Q$442*100</f>
        <v>1.1670203091846014</v>
      </c>
      <c r="S443" s="181">
        <v>100</v>
      </c>
      <c r="T443" s="180">
        <f t="shared" si="114"/>
        <v>0</v>
      </c>
      <c r="U443" s="180">
        <f t="shared" si="119"/>
        <v>0</v>
      </c>
      <c r="V443" s="182">
        <f t="shared" si="92"/>
        <v>100</v>
      </c>
      <c r="W443" s="180"/>
      <c r="X443" s="180"/>
      <c r="Y443" s="180"/>
      <c r="Z443" s="180"/>
      <c r="AA443" s="180"/>
      <c r="AB443" s="180"/>
      <c r="AC443" s="180"/>
      <c r="AD443" s="180"/>
      <c r="AE443" s="180"/>
      <c r="AF443" s="180"/>
      <c r="AG443" s="180"/>
      <c r="AH443" s="180"/>
      <c r="AI443" s="180">
        <v>0</v>
      </c>
      <c r="AJ443" s="181">
        <f t="shared" si="111"/>
        <v>0</v>
      </c>
      <c r="AK443" s="246">
        <f t="shared" si="117"/>
        <v>1540000</v>
      </c>
      <c r="AL443" s="181">
        <f t="shared" si="112"/>
        <v>100</v>
      </c>
      <c r="AM443" s="243"/>
    </row>
    <row r="444" spans="1:39" ht="39" customHeight="1" x14ac:dyDescent="0.25">
      <c r="A444" s="243"/>
      <c r="B444" s="362"/>
      <c r="C444" s="362"/>
      <c r="D444" s="362"/>
      <c r="E444" s="362"/>
      <c r="F444" s="362"/>
      <c r="G444" s="362"/>
      <c r="H444" s="362"/>
      <c r="I444" s="363"/>
      <c r="J444" s="362" t="s">
        <v>345</v>
      </c>
      <c r="K444" s="245"/>
      <c r="L444" s="257"/>
      <c r="M444" s="591" t="s">
        <v>346</v>
      </c>
      <c r="N444" s="592"/>
      <c r="O444" s="179"/>
      <c r="P444" s="180"/>
      <c r="Q444" s="180">
        <v>1400000</v>
      </c>
      <c r="R444" s="181">
        <f t="shared" si="121"/>
        <v>1.0609275538041831</v>
      </c>
      <c r="S444" s="181">
        <v>100</v>
      </c>
      <c r="T444" s="180">
        <f t="shared" si="114"/>
        <v>0</v>
      </c>
      <c r="U444" s="180">
        <f t="shared" si="119"/>
        <v>0</v>
      </c>
      <c r="V444" s="182">
        <f t="shared" si="92"/>
        <v>100</v>
      </c>
      <c r="W444" s="180"/>
      <c r="X444" s="180"/>
      <c r="Y444" s="180"/>
      <c r="Z444" s="180"/>
      <c r="AA444" s="180"/>
      <c r="AB444" s="180"/>
      <c r="AC444" s="180"/>
      <c r="AD444" s="180"/>
      <c r="AE444" s="180"/>
      <c r="AF444" s="180"/>
      <c r="AG444" s="180"/>
      <c r="AH444" s="180"/>
      <c r="AI444" s="180">
        <v>0</v>
      </c>
      <c r="AJ444" s="181">
        <f t="shared" si="111"/>
        <v>0</v>
      </c>
      <c r="AK444" s="246">
        <f t="shared" si="117"/>
        <v>1400000</v>
      </c>
      <c r="AL444" s="181">
        <f t="shared" si="112"/>
        <v>100</v>
      </c>
      <c r="AM444" s="243"/>
    </row>
    <row r="445" spans="1:39" ht="24.75" customHeight="1" x14ac:dyDescent="0.25">
      <c r="A445" s="243"/>
      <c r="B445" s="362"/>
      <c r="C445" s="362"/>
      <c r="D445" s="362"/>
      <c r="E445" s="362"/>
      <c r="F445" s="362"/>
      <c r="G445" s="362"/>
      <c r="H445" s="362"/>
      <c r="I445" s="363"/>
      <c r="J445" s="362" t="s">
        <v>315</v>
      </c>
      <c r="K445" s="245"/>
      <c r="L445" s="257"/>
      <c r="M445" s="591" t="s">
        <v>271</v>
      </c>
      <c r="N445" s="592"/>
      <c r="O445" s="179"/>
      <c r="P445" s="180"/>
      <c r="Q445" s="180">
        <v>3400000</v>
      </c>
      <c r="R445" s="181">
        <f t="shared" si="121"/>
        <v>2.5765383449530157</v>
      </c>
      <c r="S445" s="181">
        <v>100</v>
      </c>
      <c r="T445" s="180">
        <f t="shared" si="114"/>
        <v>0</v>
      </c>
      <c r="U445" s="180">
        <f t="shared" si="119"/>
        <v>0</v>
      </c>
      <c r="V445" s="182">
        <f t="shared" si="92"/>
        <v>100</v>
      </c>
      <c r="W445" s="180"/>
      <c r="X445" s="180"/>
      <c r="Y445" s="180"/>
      <c r="Z445" s="180"/>
      <c r="AA445" s="180"/>
      <c r="AB445" s="180"/>
      <c r="AC445" s="180"/>
      <c r="AD445" s="180"/>
      <c r="AE445" s="180"/>
      <c r="AF445" s="180"/>
      <c r="AG445" s="180"/>
      <c r="AH445" s="180"/>
      <c r="AI445" s="180">
        <v>0</v>
      </c>
      <c r="AJ445" s="181">
        <f t="shared" si="111"/>
        <v>0</v>
      </c>
      <c r="AK445" s="246">
        <f t="shared" si="117"/>
        <v>3400000</v>
      </c>
      <c r="AL445" s="181">
        <f t="shared" si="112"/>
        <v>100</v>
      </c>
      <c r="AM445" s="243"/>
    </row>
    <row r="446" spans="1:39" ht="27.75" customHeight="1" x14ac:dyDescent="0.25">
      <c r="A446" s="243"/>
      <c r="B446" s="362"/>
      <c r="C446" s="362"/>
      <c r="D446" s="362"/>
      <c r="E446" s="362"/>
      <c r="F446" s="362"/>
      <c r="G446" s="362"/>
      <c r="H446" s="362"/>
      <c r="I446" s="363"/>
      <c r="J446" s="362" t="s">
        <v>318</v>
      </c>
      <c r="K446" s="245"/>
      <c r="L446" s="257"/>
      <c r="M446" s="591" t="s">
        <v>319</v>
      </c>
      <c r="N446" s="592"/>
      <c r="O446" s="179"/>
      <c r="P446" s="180"/>
      <c r="Q446" s="180">
        <v>64800000</v>
      </c>
      <c r="R446" s="181">
        <f t="shared" si="121"/>
        <v>49.105789633222194</v>
      </c>
      <c r="S446" s="181">
        <v>100</v>
      </c>
      <c r="T446" s="180">
        <f t="shared" si="114"/>
        <v>0</v>
      </c>
      <c r="U446" s="180">
        <f t="shared" si="119"/>
        <v>0</v>
      </c>
      <c r="V446" s="182">
        <f t="shared" si="92"/>
        <v>100</v>
      </c>
      <c r="W446" s="180"/>
      <c r="X446" s="180"/>
      <c r="Y446" s="180"/>
      <c r="Z446" s="180"/>
      <c r="AA446" s="180"/>
      <c r="AB446" s="180"/>
      <c r="AC446" s="180"/>
      <c r="AD446" s="180"/>
      <c r="AE446" s="180"/>
      <c r="AF446" s="180"/>
      <c r="AG446" s="180"/>
      <c r="AH446" s="180"/>
      <c r="AI446" s="180">
        <v>0</v>
      </c>
      <c r="AJ446" s="181">
        <f t="shared" si="111"/>
        <v>0</v>
      </c>
      <c r="AK446" s="246">
        <f t="shared" si="117"/>
        <v>64800000</v>
      </c>
      <c r="AL446" s="181">
        <f t="shared" si="112"/>
        <v>100</v>
      </c>
      <c r="AM446" s="243"/>
    </row>
    <row r="447" spans="1:39" ht="24.75" customHeight="1" x14ac:dyDescent="0.25">
      <c r="A447" s="243"/>
      <c r="B447" s="362"/>
      <c r="C447" s="362"/>
      <c r="D447" s="362"/>
      <c r="E447" s="362"/>
      <c r="F447" s="362"/>
      <c r="G447" s="362"/>
      <c r="H447" s="362"/>
      <c r="I447" s="363"/>
      <c r="J447" s="362" t="s">
        <v>330</v>
      </c>
      <c r="K447" s="245"/>
      <c r="L447" s="257"/>
      <c r="M447" s="591" t="s">
        <v>331</v>
      </c>
      <c r="N447" s="592"/>
      <c r="O447" s="179"/>
      <c r="P447" s="180"/>
      <c r="Q447" s="180">
        <v>12000000</v>
      </c>
      <c r="R447" s="181">
        <f t="shared" si="121"/>
        <v>9.0936647468929976</v>
      </c>
      <c r="S447" s="181">
        <v>100</v>
      </c>
      <c r="T447" s="180">
        <f t="shared" si="114"/>
        <v>0</v>
      </c>
      <c r="U447" s="180">
        <f t="shared" si="119"/>
        <v>0</v>
      </c>
      <c r="V447" s="182">
        <f t="shared" si="92"/>
        <v>100</v>
      </c>
      <c r="W447" s="180"/>
      <c r="X447" s="180"/>
      <c r="Y447" s="180"/>
      <c r="Z447" s="180"/>
      <c r="AA447" s="180"/>
      <c r="AB447" s="180"/>
      <c r="AC447" s="180"/>
      <c r="AD447" s="180"/>
      <c r="AE447" s="180"/>
      <c r="AF447" s="180"/>
      <c r="AG447" s="180"/>
      <c r="AH447" s="180"/>
      <c r="AI447" s="180">
        <v>0</v>
      </c>
      <c r="AJ447" s="181">
        <f t="shared" si="111"/>
        <v>0</v>
      </c>
      <c r="AK447" s="246">
        <f t="shared" si="117"/>
        <v>12000000</v>
      </c>
      <c r="AL447" s="181">
        <f t="shared" si="112"/>
        <v>100</v>
      </c>
      <c r="AM447" s="243"/>
    </row>
    <row r="448" spans="1:39" ht="24.75" customHeight="1" x14ac:dyDescent="0.25">
      <c r="A448" s="243"/>
      <c r="B448" s="362"/>
      <c r="C448" s="362"/>
      <c r="D448" s="362"/>
      <c r="E448" s="362"/>
      <c r="F448" s="362"/>
      <c r="G448" s="362"/>
      <c r="H448" s="362"/>
      <c r="I448" s="363"/>
      <c r="J448" s="362" t="s">
        <v>284</v>
      </c>
      <c r="K448" s="245"/>
      <c r="L448" s="257"/>
      <c r="M448" s="591" t="s">
        <v>585</v>
      </c>
      <c r="N448" s="592"/>
      <c r="O448" s="179"/>
      <c r="P448" s="180"/>
      <c r="Q448" s="180">
        <v>300000</v>
      </c>
      <c r="R448" s="181">
        <f t="shared" si="121"/>
        <v>0.22734161867232497</v>
      </c>
      <c r="S448" s="181">
        <v>100</v>
      </c>
      <c r="T448" s="180">
        <f t="shared" si="114"/>
        <v>0</v>
      </c>
      <c r="U448" s="180">
        <f t="shared" si="119"/>
        <v>0</v>
      </c>
      <c r="V448" s="182">
        <f t="shared" si="92"/>
        <v>100</v>
      </c>
      <c r="W448" s="180"/>
      <c r="X448" s="180"/>
      <c r="Y448" s="180"/>
      <c r="Z448" s="180"/>
      <c r="AA448" s="180"/>
      <c r="AB448" s="180"/>
      <c r="AC448" s="180"/>
      <c r="AD448" s="180"/>
      <c r="AE448" s="180"/>
      <c r="AF448" s="180"/>
      <c r="AG448" s="180"/>
      <c r="AH448" s="180"/>
      <c r="AI448" s="180">
        <v>0</v>
      </c>
      <c r="AJ448" s="181">
        <f t="shared" si="111"/>
        <v>0</v>
      </c>
      <c r="AK448" s="246">
        <f t="shared" si="117"/>
        <v>300000</v>
      </c>
      <c r="AL448" s="181">
        <f t="shared" si="112"/>
        <v>100</v>
      </c>
      <c r="AM448" s="243"/>
    </row>
    <row r="449" spans="1:39" ht="24.75" customHeight="1" x14ac:dyDescent="0.25">
      <c r="A449" s="243"/>
      <c r="B449" s="362"/>
      <c r="C449" s="362"/>
      <c r="D449" s="362"/>
      <c r="E449" s="362"/>
      <c r="F449" s="362"/>
      <c r="G449" s="362"/>
      <c r="H449" s="362"/>
      <c r="I449" s="363"/>
      <c r="J449" s="362" t="s">
        <v>282</v>
      </c>
      <c r="K449" s="245"/>
      <c r="L449" s="257"/>
      <c r="M449" s="591" t="s">
        <v>503</v>
      </c>
      <c r="N449" s="592"/>
      <c r="O449" s="179"/>
      <c r="P449" s="180"/>
      <c r="Q449" s="180">
        <v>26720000</v>
      </c>
      <c r="R449" s="181">
        <f t="shared" si="121"/>
        <v>20.248560169748409</v>
      </c>
      <c r="S449" s="181">
        <v>100</v>
      </c>
      <c r="T449" s="180">
        <f t="shared" si="114"/>
        <v>0</v>
      </c>
      <c r="U449" s="180">
        <f t="shared" si="119"/>
        <v>0</v>
      </c>
      <c r="V449" s="182">
        <f t="shared" si="92"/>
        <v>100</v>
      </c>
      <c r="W449" s="180"/>
      <c r="X449" s="180"/>
      <c r="Y449" s="180"/>
      <c r="Z449" s="180"/>
      <c r="AA449" s="180"/>
      <c r="AB449" s="180"/>
      <c r="AC449" s="180"/>
      <c r="AD449" s="180"/>
      <c r="AE449" s="180"/>
      <c r="AF449" s="180"/>
      <c r="AG449" s="180"/>
      <c r="AH449" s="180"/>
      <c r="AI449" s="180">
        <v>0</v>
      </c>
      <c r="AJ449" s="181">
        <f t="shared" si="111"/>
        <v>0</v>
      </c>
      <c r="AK449" s="246">
        <f t="shared" si="117"/>
        <v>26720000</v>
      </c>
      <c r="AL449" s="181">
        <f t="shared" si="112"/>
        <v>100</v>
      </c>
      <c r="AM449" s="243"/>
    </row>
    <row r="450" spans="1:39" ht="24.75" customHeight="1" x14ac:dyDescent="0.25">
      <c r="A450" s="243"/>
      <c r="B450" s="362"/>
      <c r="C450" s="362"/>
      <c r="D450" s="362"/>
      <c r="E450" s="362"/>
      <c r="F450" s="362"/>
      <c r="G450" s="362"/>
      <c r="H450" s="362"/>
      <c r="I450" s="363"/>
      <c r="J450" s="362" t="s">
        <v>320</v>
      </c>
      <c r="K450" s="245"/>
      <c r="L450" s="257"/>
      <c r="M450" s="591" t="s">
        <v>321</v>
      </c>
      <c r="N450" s="592"/>
      <c r="O450" s="179"/>
      <c r="P450" s="180"/>
      <c r="Q450" s="180">
        <v>13800000</v>
      </c>
      <c r="R450" s="181">
        <f t="shared" si="121"/>
        <v>10.457714458926947</v>
      </c>
      <c r="S450" s="181">
        <v>100</v>
      </c>
      <c r="T450" s="180">
        <f t="shared" si="114"/>
        <v>0</v>
      </c>
      <c r="U450" s="180">
        <f t="shared" si="119"/>
        <v>0</v>
      </c>
      <c r="V450" s="182">
        <f t="shared" si="92"/>
        <v>100</v>
      </c>
      <c r="W450" s="180"/>
      <c r="X450" s="180"/>
      <c r="Y450" s="180"/>
      <c r="Z450" s="180"/>
      <c r="AA450" s="180"/>
      <c r="AB450" s="180"/>
      <c r="AC450" s="180"/>
      <c r="AD450" s="180"/>
      <c r="AE450" s="180"/>
      <c r="AF450" s="180"/>
      <c r="AG450" s="180"/>
      <c r="AH450" s="180"/>
      <c r="AI450" s="180">
        <v>0</v>
      </c>
      <c r="AJ450" s="181">
        <f t="shared" si="111"/>
        <v>0</v>
      </c>
      <c r="AK450" s="246">
        <f t="shared" si="117"/>
        <v>13800000</v>
      </c>
      <c r="AL450" s="181">
        <f t="shared" si="112"/>
        <v>100</v>
      </c>
      <c r="AM450" s="243"/>
    </row>
    <row r="451" spans="1:39" ht="24.75" customHeight="1" x14ac:dyDescent="0.25">
      <c r="A451" s="243"/>
      <c r="B451" s="362"/>
      <c r="C451" s="362"/>
      <c r="D451" s="362"/>
      <c r="E451" s="362"/>
      <c r="F451" s="362"/>
      <c r="G451" s="362"/>
      <c r="H451" s="362"/>
      <c r="I451" s="363"/>
      <c r="J451" s="362" t="s">
        <v>407</v>
      </c>
      <c r="K451" s="245"/>
      <c r="L451" s="257"/>
      <c r="M451" s="591" t="s">
        <v>414</v>
      </c>
      <c r="N451" s="592"/>
      <c r="O451" s="179"/>
      <c r="P451" s="180"/>
      <c r="Q451" s="180">
        <v>8000000</v>
      </c>
      <c r="R451" s="181">
        <f t="shared" si="121"/>
        <v>6.0624431645953321</v>
      </c>
      <c r="S451" s="181"/>
      <c r="T451" s="180">
        <f t="shared" si="114"/>
        <v>0</v>
      </c>
      <c r="U451" s="180">
        <f t="shared" si="119"/>
        <v>0</v>
      </c>
      <c r="V451" s="182"/>
      <c r="W451" s="180"/>
      <c r="X451" s="180"/>
      <c r="Y451" s="180"/>
      <c r="Z451" s="180"/>
      <c r="AA451" s="180"/>
      <c r="AB451" s="180"/>
      <c r="AC451" s="180"/>
      <c r="AD451" s="180"/>
      <c r="AE451" s="180"/>
      <c r="AF451" s="180"/>
      <c r="AG451" s="180"/>
      <c r="AH451" s="180"/>
      <c r="AI451" s="180">
        <v>0</v>
      </c>
      <c r="AJ451" s="181">
        <f t="shared" si="111"/>
        <v>0</v>
      </c>
      <c r="AK451" s="246">
        <f t="shared" si="117"/>
        <v>8000000</v>
      </c>
      <c r="AL451" s="181">
        <f t="shared" si="112"/>
        <v>100</v>
      </c>
      <c r="AM451" s="243"/>
    </row>
    <row r="452" spans="1:39" s="297" customFormat="1" ht="30" customHeight="1" x14ac:dyDescent="0.25">
      <c r="A452" s="227">
        <f>A442+1</f>
        <v>57</v>
      </c>
      <c r="B452" s="615" t="s">
        <v>156</v>
      </c>
      <c r="C452" s="615"/>
      <c r="D452" s="615"/>
      <c r="E452" s="615"/>
      <c r="F452" s="615"/>
      <c r="G452" s="615"/>
      <c r="H452" s="615"/>
      <c r="I452" s="614"/>
      <c r="J452" s="304" t="s">
        <v>507</v>
      </c>
      <c r="K452" s="230"/>
      <c r="L452" s="294"/>
      <c r="M452" s="610" t="s">
        <v>157</v>
      </c>
      <c r="N452" s="610"/>
      <c r="O452" s="309">
        <v>1493981000</v>
      </c>
      <c r="P452" s="231">
        <f>O452</f>
        <v>1493981000</v>
      </c>
      <c r="Q452" s="231">
        <f>SUM(Q453:Q460)</f>
        <v>759011476</v>
      </c>
      <c r="R452" s="233">
        <f>Q452/Q$243*100</f>
        <v>6.3633581159287287</v>
      </c>
      <c r="S452" s="233">
        <v>100</v>
      </c>
      <c r="T452" s="231">
        <f t="shared" si="114"/>
        <v>9.9319973918286308</v>
      </c>
      <c r="U452" s="231">
        <f t="shared" si="119"/>
        <v>0.63200856210675682</v>
      </c>
      <c r="V452" s="296">
        <f t="shared" si="92"/>
        <v>90.068002608171369</v>
      </c>
      <c r="W452" s="231"/>
      <c r="X452" s="231" t="e">
        <f>#REF!</f>
        <v>#REF!</v>
      </c>
      <c r="Y452" s="231" t="e">
        <f>#REF!</f>
        <v>#REF!</v>
      </c>
      <c r="Z452" s="231" t="e">
        <f>#REF!</f>
        <v>#REF!</v>
      </c>
      <c r="AA452" s="231" t="e">
        <f>#REF!</f>
        <v>#REF!</v>
      </c>
      <c r="AB452" s="231">
        <v>366754000</v>
      </c>
      <c r="AC452" s="231" t="e">
        <f>#REF!</f>
        <v>#REF!</v>
      </c>
      <c r="AD452" s="231" t="e">
        <f>#REF!</f>
        <v>#REF!</v>
      </c>
      <c r="AE452" s="231" t="e">
        <f>#REF!</f>
        <v>#REF!</v>
      </c>
      <c r="AF452" s="231" t="e">
        <f>[1]April!N76</f>
        <v>#REF!</v>
      </c>
      <c r="AG452" s="231" t="e">
        <f>[2]april!N76</f>
        <v>#REF!</v>
      </c>
      <c r="AH452" s="231">
        <f>'[3]DES SKPD'!$N76</f>
        <v>1083037500</v>
      </c>
      <c r="AI452" s="231">
        <f>SUM(AI453:AI459)</f>
        <v>75385000</v>
      </c>
      <c r="AJ452" s="233">
        <f t="shared" si="111"/>
        <v>9.9319973918286308</v>
      </c>
      <c r="AK452" s="234">
        <f t="shared" si="117"/>
        <v>683626476</v>
      </c>
      <c r="AL452" s="233">
        <f t="shared" si="112"/>
        <v>90.068002608171369</v>
      </c>
      <c r="AM452" s="227"/>
    </row>
    <row r="453" spans="1:39" ht="30" customHeight="1" x14ac:dyDescent="0.25">
      <c r="A453" s="243"/>
      <c r="B453" s="362"/>
      <c r="C453" s="362"/>
      <c r="D453" s="362"/>
      <c r="E453" s="362"/>
      <c r="F453" s="362"/>
      <c r="G453" s="362"/>
      <c r="H453" s="362"/>
      <c r="I453" s="363"/>
      <c r="J453" s="362" t="s">
        <v>259</v>
      </c>
      <c r="K453" s="245"/>
      <c r="L453" s="257"/>
      <c r="M453" s="591" t="s">
        <v>615</v>
      </c>
      <c r="N453" s="592"/>
      <c r="O453" s="179"/>
      <c r="P453" s="180"/>
      <c r="Q453" s="180">
        <v>3850000</v>
      </c>
      <c r="R453" s="181">
        <f t="shared" ref="R453:R460" si="122">Q453/Q$452*100</f>
        <v>0.5072387074158019</v>
      </c>
      <c r="S453" s="181">
        <v>100</v>
      </c>
      <c r="T453" s="180">
        <f t="shared" si="114"/>
        <v>0</v>
      </c>
      <c r="U453" s="180">
        <f t="shared" si="119"/>
        <v>0</v>
      </c>
      <c r="V453" s="182">
        <f t="shared" si="92"/>
        <v>100</v>
      </c>
      <c r="W453" s="180"/>
      <c r="X453" s="180"/>
      <c r="Y453" s="180"/>
      <c r="Z453" s="180"/>
      <c r="AA453" s="180"/>
      <c r="AB453" s="180"/>
      <c r="AC453" s="180"/>
      <c r="AD453" s="180"/>
      <c r="AE453" s="180"/>
      <c r="AF453" s="180"/>
      <c r="AG453" s="180"/>
      <c r="AH453" s="180"/>
      <c r="AI453" s="180">
        <v>0</v>
      </c>
      <c r="AJ453" s="181">
        <f t="shared" si="111"/>
        <v>0</v>
      </c>
      <c r="AK453" s="246">
        <f t="shared" si="117"/>
        <v>3850000</v>
      </c>
      <c r="AL453" s="181">
        <f t="shared" si="112"/>
        <v>100</v>
      </c>
      <c r="AM453" s="243"/>
    </row>
    <row r="454" spans="1:39" ht="30" customHeight="1" x14ac:dyDescent="0.25">
      <c r="A454" s="243"/>
      <c r="B454" s="362"/>
      <c r="C454" s="362"/>
      <c r="D454" s="362"/>
      <c r="E454" s="362"/>
      <c r="F454" s="362"/>
      <c r="G454" s="362"/>
      <c r="H454" s="362"/>
      <c r="I454" s="363"/>
      <c r="J454" s="362" t="s">
        <v>269</v>
      </c>
      <c r="K454" s="245"/>
      <c r="L454" s="257"/>
      <c r="M454" s="591" t="s">
        <v>354</v>
      </c>
      <c r="N454" s="592"/>
      <c r="O454" s="179"/>
      <c r="P454" s="180"/>
      <c r="Q454" s="180">
        <v>155506476</v>
      </c>
      <c r="R454" s="181">
        <f t="shared" si="122"/>
        <v>20.488026982084786</v>
      </c>
      <c r="S454" s="181">
        <v>100</v>
      </c>
      <c r="T454" s="180">
        <f t="shared" si="114"/>
        <v>0</v>
      </c>
      <c r="U454" s="180">
        <f t="shared" si="119"/>
        <v>0</v>
      </c>
      <c r="V454" s="182">
        <f t="shared" si="92"/>
        <v>100</v>
      </c>
      <c r="W454" s="180"/>
      <c r="X454" s="180"/>
      <c r="Y454" s="180"/>
      <c r="Z454" s="180"/>
      <c r="AA454" s="180"/>
      <c r="AB454" s="180"/>
      <c r="AC454" s="180"/>
      <c r="AD454" s="180"/>
      <c r="AE454" s="180"/>
      <c r="AF454" s="180"/>
      <c r="AG454" s="180"/>
      <c r="AH454" s="180"/>
      <c r="AI454" s="180">
        <v>0</v>
      </c>
      <c r="AJ454" s="181">
        <f t="shared" si="111"/>
        <v>0</v>
      </c>
      <c r="AK454" s="246">
        <f t="shared" si="117"/>
        <v>155506476</v>
      </c>
      <c r="AL454" s="181">
        <f t="shared" si="112"/>
        <v>100</v>
      </c>
      <c r="AM454" s="243"/>
    </row>
    <row r="455" spans="1:39" ht="30" customHeight="1" x14ac:dyDescent="0.25">
      <c r="A455" s="243"/>
      <c r="B455" s="362"/>
      <c r="C455" s="362"/>
      <c r="D455" s="362"/>
      <c r="E455" s="362"/>
      <c r="F455" s="362"/>
      <c r="G455" s="362"/>
      <c r="H455" s="362"/>
      <c r="I455" s="363"/>
      <c r="J455" s="362" t="s">
        <v>306</v>
      </c>
      <c r="K455" s="245"/>
      <c r="L455" s="257"/>
      <c r="M455" s="591" t="s">
        <v>352</v>
      </c>
      <c r="N455" s="592"/>
      <c r="O455" s="179"/>
      <c r="P455" s="180"/>
      <c r="Q455" s="180">
        <v>47955000</v>
      </c>
      <c r="R455" s="181">
        <f t="shared" si="122"/>
        <v>6.3180862893830607</v>
      </c>
      <c r="S455" s="181">
        <v>100</v>
      </c>
      <c r="T455" s="180">
        <f t="shared" si="114"/>
        <v>100</v>
      </c>
      <c r="U455" s="180">
        <f t="shared" si="119"/>
        <v>6.3180862893830616</v>
      </c>
      <c r="V455" s="182">
        <f t="shared" si="92"/>
        <v>0</v>
      </c>
      <c r="W455" s="180"/>
      <c r="X455" s="180"/>
      <c r="Y455" s="180"/>
      <c r="Z455" s="180"/>
      <c r="AA455" s="180"/>
      <c r="AB455" s="180"/>
      <c r="AC455" s="180"/>
      <c r="AD455" s="180"/>
      <c r="AE455" s="180"/>
      <c r="AF455" s="180"/>
      <c r="AG455" s="180"/>
      <c r="AH455" s="180"/>
      <c r="AI455" s="180">
        <v>47955000</v>
      </c>
      <c r="AJ455" s="181">
        <f t="shared" si="111"/>
        <v>100</v>
      </c>
      <c r="AK455" s="246">
        <f t="shared" si="117"/>
        <v>0</v>
      </c>
      <c r="AL455" s="181">
        <f t="shared" si="112"/>
        <v>0</v>
      </c>
      <c r="AM455" s="243"/>
    </row>
    <row r="456" spans="1:39" ht="30" customHeight="1" x14ac:dyDescent="0.25">
      <c r="A456" s="243"/>
      <c r="B456" s="362"/>
      <c r="C456" s="362"/>
      <c r="D456" s="362"/>
      <c r="E456" s="362"/>
      <c r="F456" s="362"/>
      <c r="G456" s="362"/>
      <c r="H456" s="362"/>
      <c r="I456" s="363"/>
      <c r="J456" s="362" t="s">
        <v>308</v>
      </c>
      <c r="K456" s="245"/>
      <c r="L456" s="257"/>
      <c r="M456" s="591" t="s">
        <v>612</v>
      </c>
      <c r="N456" s="592"/>
      <c r="O456" s="179"/>
      <c r="P456" s="180"/>
      <c r="Q456" s="180">
        <v>5000000</v>
      </c>
      <c r="R456" s="181">
        <f t="shared" si="122"/>
        <v>0.65875156807247004</v>
      </c>
      <c r="S456" s="181">
        <v>100</v>
      </c>
      <c r="T456" s="180">
        <f t="shared" si="114"/>
        <v>0</v>
      </c>
      <c r="U456" s="180">
        <f t="shared" si="119"/>
        <v>0</v>
      </c>
      <c r="V456" s="182">
        <f t="shared" si="92"/>
        <v>100</v>
      </c>
      <c r="W456" s="180"/>
      <c r="X456" s="180"/>
      <c r="Y456" s="180"/>
      <c r="Z456" s="180"/>
      <c r="AA456" s="180"/>
      <c r="AB456" s="180"/>
      <c r="AC456" s="180"/>
      <c r="AD456" s="180"/>
      <c r="AE456" s="180"/>
      <c r="AF456" s="180"/>
      <c r="AG456" s="180"/>
      <c r="AH456" s="180"/>
      <c r="AI456" s="180">
        <v>0</v>
      </c>
      <c r="AJ456" s="181">
        <f t="shared" si="111"/>
        <v>0</v>
      </c>
      <c r="AK456" s="246">
        <f t="shared" si="117"/>
        <v>5000000</v>
      </c>
      <c r="AL456" s="181">
        <f t="shared" si="112"/>
        <v>100</v>
      </c>
      <c r="AM456" s="243"/>
    </row>
    <row r="457" spans="1:39" ht="30" customHeight="1" x14ac:dyDescent="0.25">
      <c r="A457" s="243"/>
      <c r="B457" s="362"/>
      <c r="C457" s="362"/>
      <c r="D457" s="362"/>
      <c r="E457" s="362"/>
      <c r="F457" s="362"/>
      <c r="G457" s="362"/>
      <c r="H457" s="362"/>
      <c r="I457" s="363"/>
      <c r="J457" s="362" t="s">
        <v>282</v>
      </c>
      <c r="K457" s="245"/>
      <c r="L457" s="257"/>
      <c r="M457" s="591" t="s">
        <v>616</v>
      </c>
      <c r="N457" s="592"/>
      <c r="O457" s="179"/>
      <c r="P457" s="180"/>
      <c r="Q457" s="180">
        <v>63700000</v>
      </c>
      <c r="R457" s="181">
        <f t="shared" si="122"/>
        <v>8.3924949772432687</v>
      </c>
      <c r="S457" s="181">
        <v>100</v>
      </c>
      <c r="T457" s="180">
        <f t="shared" si="114"/>
        <v>43.061224489795919</v>
      </c>
      <c r="U457" s="180">
        <f t="shared" si="119"/>
        <v>3.6139111024455706</v>
      </c>
      <c r="V457" s="182">
        <f t="shared" si="92"/>
        <v>56.938775510204081</v>
      </c>
      <c r="W457" s="180"/>
      <c r="X457" s="180"/>
      <c r="Y457" s="180"/>
      <c r="Z457" s="180"/>
      <c r="AA457" s="180"/>
      <c r="AB457" s="180"/>
      <c r="AC457" s="180"/>
      <c r="AD457" s="180"/>
      <c r="AE457" s="180"/>
      <c r="AF457" s="180"/>
      <c r="AG457" s="180"/>
      <c r="AH457" s="180"/>
      <c r="AI457" s="180">
        <v>27430000</v>
      </c>
      <c r="AJ457" s="181">
        <f t="shared" si="111"/>
        <v>43.061224489795919</v>
      </c>
      <c r="AK457" s="246">
        <f t="shared" si="117"/>
        <v>36270000</v>
      </c>
      <c r="AL457" s="181">
        <f t="shared" si="112"/>
        <v>56.938775510204088</v>
      </c>
      <c r="AM457" s="243"/>
    </row>
    <row r="458" spans="1:39" ht="30" customHeight="1" x14ac:dyDescent="0.25">
      <c r="A458" s="243"/>
      <c r="B458" s="362"/>
      <c r="C458" s="362"/>
      <c r="D458" s="362"/>
      <c r="E458" s="362"/>
      <c r="F458" s="362"/>
      <c r="G458" s="362"/>
      <c r="H458" s="362"/>
      <c r="I458" s="363"/>
      <c r="J458" s="362" t="s">
        <v>308</v>
      </c>
      <c r="K458" s="245"/>
      <c r="L458" s="257"/>
      <c r="M458" s="591" t="s">
        <v>601</v>
      </c>
      <c r="N458" s="592"/>
      <c r="O458" s="179"/>
      <c r="P458" s="180"/>
      <c r="Q458" s="180">
        <v>225000000</v>
      </c>
      <c r="R458" s="181">
        <f t="shared" si="122"/>
        <v>29.643820563261151</v>
      </c>
      <c r="S458" s="181">
        <v>100</v>
      </c>
      <c r="T458" s="180">
        <f t="shared" si="114"/>
        <v>0</v>
      </c>
      <c r="U458" s="180">
        <f t="shared" si="119"/>
        <v>0</v>
      </c>
      <c r="V458" s="182">
        <f t="shared" si="92"/>
        <v>100</v>
      </c>
      <c r="W458" s="180"/>
      <c r="X458" s="180"/>
      <c r="Y458" s="180"/>
      <c r="Z458" s="180"/>
      <c r="AA458" s="180"/>
      <c r="AB458" s="180"/>
      <c r="AC458" s="180"/>
      <c r="AD458" s="180"/>
      <c r="AE458" s="180"/>
      <c r="AF458" s="180"/>
      <c r="AG458" s="180"/>
      <c r="AH458" s="180"/>
      <c r="AI458" s="180">
        <v>0</v>
      </c>
      <c r="AJ458" s="181">
        <f t="shared" si="111"/>
        <v>0</v>
      </c>
      <c r="AK458" s="246">
        <f t="shared" si="117"/>
        <v>225000000</v>
      </c>
      <c r="AL458" s="181">
        <f t="shared" si="112"/>
        <v>100</v>
      </c>
      <c r="AM458" s="243"/>
    </row>
    <row r="459" spans="1:39" ht="30" customHeight="1" x14ac:dyDescent="0.25">
      <c r="A459" s="243"/>
      <c r="B459" s="362"/>
      <c r="C459" s="362"/>
      <c r="D459" s="362"/>
      <c r="E459" s="362"/>
      <c r="F459" s="362"/>
      <c r="G459" s="362"/>
      <c r="H459" s="362"/>
      <c r="I459" s="363"/>
      <c r="J459" s="362" t="s">
        <v>309</v>
      </c>
      <c r="K459" s="245"/>
      <c r="L459" s="257"/>
      <c r="M459" s="591" t="s">
        <v>310</v>
      </c>
      <c r="N459" s="592"/>
      <c r="O459" s="179"/>
      <c r="P459" s="180"/>
      <c r="Q459" s="180">
        <v>28500000</v>
      </c>
      <c r="R459" s="181">
        <f t="shared" si="122"/>
        <v>3.7548839380130796</v>
      </c>
      <c r="S459" s="181">
        <v>100</v>
      </c>
      <c r="T459" s="180">
        <f t="shared" si="114"/>
        <v>0</v>
      </c>
      <c r="U459" s="180">
        <f t="shared" si="119"/>
        <v>0</v>
      </c>
      <c r="V459" s="182">
        <f t="shared" si="92"/>
        <v>100</v>
      </c>
      <c r="W459" s="180"/>
      <c r="X459" s="180"/>
      <c r="Y459" s="180"/>
      <c r="Z459" s="180"/>
      <c r="AA459" s="180"/>
      <c r="AB459" s="180"/>
      <c r="AC459" s="180"/>
      <c r="AD459" s="180"/>
      <c r="AE459" s="180"/>
      <c r="AF459" s="180"/>
      <c r="AG459" s="180"/>
      <c r="AH459" s="180"/>
      <c r="AI459" s="180">
        <v>0</v>
      </c>
      <c r="AJ459" s="181">
        <f t="shared" si="111"/>
        <v>0</v>
      </c>
      <c r="AK459" s="246">
        <f t="shared" si="117"/>
        <v>28500000</v>
      </c>
      <c r="AL459" s="181">
        <f t="shared" si="112"/>
        <v>100</v>
      </c>
      <c r="AM459" s="243"/>
    </row>
    <row r="460" spans="1:39" ht="30" customHeight="1" x14ac:dyDescent="0.25">
      <c r="A460" s="243"/>
      <c r="B460" s="362"/>
      <c r="C460" s="362"/>
      <c r="D460" s="362"/>
      <c r="E460" s="362"/>
      <c r="F460" s="362"/>
      <c r="G460" s="362"/>
      <c r="H460" s="362"/>
      <c r="I460" s="363"/>
      <c r="J460" s="362" t="s">
        <v>551</v>
      </c>
      <c r="K460" s="245"/>
      <c r="L460" s="257"/>
      <c r="M460" s="591" t="s">
        <v>550</v>
      </c>
      <c r="N460" s="592"/>
      <c r="O460" s="179"/>
      <c r="P460" s="180"/>
      <c r="Q460" s="180">
        <v>229500000</v>
      </c>
      <c r="R460" s="181">
        <f t="shared" si="122"/>
        <v>30.236696974526378</v>
      </c>
      <c r="S460" s="181">
        <v>100</v>
      </c>
      <c r="T460" s="180">
        <f t="shared" si="114"/>
        <v>0</v>
      </c>
      <c r="U460" s="180">
        <f t="shared" si="119"/>
        <v>0</v>
      </c>
      <c r="V460" s="182">
        <f t="shared" si="92"/>
        <v>100</v>
      </c>
      <c r="W460" s="180"/>
      <c r="X460" s="180"/>
      <c r="Y460" s="180"/>
      <c r="Z460" s="180"/>
      <c r="AA460" s="180"/>
      <c r="AB460" s="180"/>
      <c r="AC460" s="180"/>
      <c r="AD460" s="180"/>
      <c r="AE460" s="180"/>
      <c r="AF460" s="180"/>
      <c r="AG460" s="180"/>
      <c r="AH460" s="180"/>
      <c r="AI460" s="180">
        <v>0</v>
      </c>
      <c r="AJ460" s="181">
        <f t="shared" si="111"/>
        <v>0</v>
      </c>
      <c r="AK460" s="246">
        <f t="shared" si="117"/>
        <v>229500000</v>
      </c>
      <c r="AL460" s="181">
        <f t="shared" si="112"/>
        <v>100</v>
      </c>
      <c r="AM460" s="243"/>
    </row>
    <row r="461" spans="1:39" s="297" customFormat="1" ht="31.5" customHeight="1" x14ac:dyDescent="0.25">
      <c r="A461" s="227">
        <f>A452+1</f>
        <v>58</v>
      </c>
      <c r="B461" s="615" t="s">
        <v>158</v>
      </c>
      <c r="C461" s="615"/>
      <c r="D461" s="615"/>
      <c r="E461" s="615"/>
      <c r="F461" s="615"/>
      <c r="G461" s="615"/>
      <c r="H461" s="615"/>
      <c r="I461" s="614"/>
      <c r="J461" s="304" t="s">
        <v>508</v>
      </c>
      <c r="K461" s="230"/>
      <c r="L461" s="294"/>
      <c r="M461" s="609" t="s">
        <v>159</v>
      </c>
      <c r="N461" s="609"/>
      <c r="O461" s="309">
        <v>355300000</v>
      </c>
      <c r="P461" s="231">
        <f>O461</f>
        <v>355300000</v>
      </c>
      <c r="Q461" s="231">
        <f>SUM(Q462:Q470)</f>
        <v>83400000</v>
      </c>
      <c r="R461" s="233">
        <f>Q461/Q$33*100</f>
        <v>0.26237757907282139</v>
      </c>
      <c r="S461" s="233">
        <v>100</v>
      </c>
      <c r="T461" s="231">
        <f t="shared" si="114"/>
        <v>0</v>
      </c>
      <c r="U461" s="231">
        <f t="shared" si="119"/>
        <v>0</v>
      </c>
      <c r="V461" s="296">
        <f t="shared" si="92"/>
        <v>100</v>
      </c>
      <c r="W461" s="231"/>
      <c r="X461" s="231" t="e">
        <f>#REF!</f>
        <v>#REF!</v>
      </c>
      <c r="Y461" s="231" t="e">
        <f>#REF!</f>
        <v>#REF!</v>
      </c>
      <c r="Z461" s="231" t="e">
        <f>#REF!</f>
        <v>#REF!</v>
      </c>
      <c r="AA461" s="231" t="e">
        <f>#REF!</f>
        <v>#REF!</v>
      </c>
      <c r="AB461" s="231">
        <v>131395500</v>
      </c>
      <c r="AC461" s="231" t="e">
        <f>#REF!</f>
        <v>#REF!</v>
      </c>
      <c r="AD461" s="231" t="e">
        <f>#REF!</f>
        <v>#REF!</v>
      </c>
      <c r="AE461" s="231" t="e">
        <f>#REF!</f>
        <v>#REF!</v>
      </c>
      <c r="AF461" s="231" t="e">
        <f>[1]April!N67</f>
        <v>#REF!</v>
      </c>
      <c r="AG461" s="231" t="e">
        <f>[2]april!N77</f>
        <v>#REF!</v>
      </c>
      <c r="AH461" s="231">
        <f>'[3]DES SKPD'!$N77</f>
        <v>318242454</v>
      </c>
      <c r="AI461" s="231">
        <f>SUM(AI462:AI470)</f>
        <v>0</v>
      </c>
      <c r="AJ461" s="233">
        <f t="shared" si="111"/>
        <v>0</v>
      </c>
      <c r="AK461" s="234">
        <f t="shared" si="117"/>
        <v>83400000</v>
      </c>
      <c r="AL461" s="233">
        <f t="shared" si="112"/>
        <v>100</v>
      </c>
      <c r="AM461" s="227"/>
    </row>
    <row r="462" spans="1:39" ht="24.75" customHeight="1" x14ac:dyDescent="0.25">
      <c r="A462" s="243"/>
      <c r="B462" s="362"/>
      <c r="C462" s="362"/>
      <c r="D462" s="362"/>
      <c r="E462" s="362"/>
      <c r="F462" s="362"/>
      <c r="G462" s="362"/>
      <c r="H462" s="362"/>
      <c r="I462" s="363"/>
      <c r="J462" s="362" t="s">
        <v>257</v>
      </c>
      <c r="K462" s="245"/>
      <c r="L462" s="257"/>
      <c r="M462" s="591" t="s">
        <v>258</v>
      </c>
      <c r="N462" s="592"/>
      <c r="O462" s="179"/>
      <c r="P462" s="180"/>
      <c r="Q462" s="180">
        <v>2600000</v>
      </c>
      <c r="R462" s="181">
        <f>Q462/Q$461*100</f>
        <v>3.1175059952038371</v>
      </c>
      <c r="S462" s="181">
        <v>100</v>
      </c>
      <c r="T462" s="180">
        <f t="shared" si="114"/>
        <v>0</v>
      </c>
      <c r="U462" s="180">
        <f t="shared" si="119"/>
        <v>0</v>
      </c>
      <c r="V462" s="182">
        <f t="shared" si="92"/>
        <v>100</v>
      </c>
      <c r="W462" s="180"/>
      <c r="X462" s="180"/>
      <c r="Y462" s="180"/>
      <c r="Z462" s="180"/>
      <c r="AA462" s="180"/>
      <c r="AB462" s="180"/>
      <c r="AC462" s="180"/>
      <c r="AD462" s="180"/>
      <c r="AE462" s="180"/>
      <c r="AF462" s="180"/>
      <c r="AG462" s="180"/>
      <c r="AH462" s="180"/>
      <c r="AI462" s="180">
        <v>0</v>
      </c>
      <c r="AJ462" s="181">
        <f t="shared" si="111"/>
        <v>0</v>
      </c>
      <c r="AK462" s="246">
        <f t="shared" si="117"/>
        <v>2600000</v>
      </c>
      <c r="AL462" s="181">
        <f t="shared" si="112"/>
        <v>100</v>
      </c>
      <c r="AM462" s="243"/>
    </row>
    <row r="463" spans="1:39" ht="24.75" customHeight="1" x14ac:dyDescent="0.25">
      <c r="A463" s="243"/>
      <c r="B463" s="362"/>
      <c r="C463" s="362"/>
      <c r="D463" s="362"/>
      <c r="E463" s="362"/>
      <c r="F463" s="362"/>
      <c r="G463" s="362"/>
      <c r="H463" s="362"/>
      <c r="I463" s="363"/>
      <c r="J463" s="362" t="s">
        <v>269</v>
      </c>
      <c r="K463" s="245"/>
      <c r="L463" s="257"/>
      <c r="M463" s="591" t="s">
        <v>352</v>
      </c>
      <c r="N463" s="592"/>
      <c r="O463" s="179"/>
      <c r="P463" s="180"/>
      <c r="Q463" s="180">
        <v>3000000</v>
      </c>
      <c r="R463" s="181">
        <f t="shared" ref="R463:R470" si="123">Q463/Q$461*100</f>
        <v>3.5971223021582732</v>
      </c>
      <c r="S463" s="181">
        <v>100</v>
      </c>
      <c r="T463" s="180">
        <f t="shared" si="114"/>
        <v>0</v>
      </c>
      <c r="U463" s="180">
        <f t="shared" si="119"/>
        <v>0</v>
      </c>
      <c r="V463" s="182">
        <f t="shared" si="92"/>
        <v>100</v>
      </c>
      <c r="W463" s="180"/>
      <c r="X463" s="180"/>
      <c r="Y463" s="180"/>
      <c r="Z463" s="180"/>
      <c r="AA463" s="180"/>
      <c r="AB463" s="180"/>
      <c r="AC463" s="180"/>
      <c r="AD463" s="180"/>
      <c r="AE463" s="180"/>
      <c r="AF463" s="180"/>
      <c r="AG463" s="180"/>
      <c r="AH463" s="180"/>
      <c r="AI463" s="180">
        <v>0</v>
      </c>
      <c r="AJ463" s="181">
        <f t="shared" si="111"/>
        <v>0</v>
      </c>
      <c r="AK463" s="246">
        <f t="shared" si="117"/>
        <v>3000000</v>
      </c>
      <c r="AL463" s="181">
        <f t="shared" si="112"/>
        <v>100</v>
      </c>
      <c r="AM463" s="243"/>
    </row>
    <row r="464" spans="1:39" ht="24.75" customHeight="1" x14ac:dyDescent="0.25">
      <c r="A464" s="243"/>
      <c r="B464" s="362"/>
      <c r="C464" s="362"/>
      <c r="D464" s="362"/>
      <c r="E464" s="362"/>
      <c r="F464" s="362"/>
      <c r="G464" s="362"/>
      <c r="H464" s="362"/>
      <c r="I464" s="363"/>
      <c r="J464" s="362" t="s">
        <v>315</v>
      </c>
      <c r="K464" s="245"/>
      <c r="L464" s="257"/>
      <c r="M464" s="591" t="s">
        <v>271</v>
      </c>
      <c r="N464" s="592"/>
      <c r="O464" s="179"/>
      <c r="P464" s="180"/>
      <c r="Q464" s="180">
        <v>1400000</v>
      </c>
      <c r="R464" s="181">
        <f t="shared" si="123"/>
        <v>1.6786570743405276</v>
      </c>
      <c r="S464" s="181">
        <v>100</v>
      </c>
      <c r="T464" s="180">
        <f t="shared" si="114"/>
        <v>0</v>
      </c>
      <c r="U464" s="180">
        <f t="shared" si="119"/>
        <v>0</v>
      </c>
      <c r="V464" s="182">
        <f t="shared" si="92"/>
        <v>100</v>
      </c>
      <c r="W464" s="180"/>
      <c r="X464" s="180"/>
      <c r="Y464" s="180"/>
      <c r="Z464" s="180"/>
      <c r="AA464" s="180"/>
      <c r="AB464" s="180"/>
      <c r="AC464" s="180"/>
      <c r="AD464" s="180"/>
      <c r="AE464" s="180"/>
      <c r="AF464" s="180"/>
      <c r="AG464" s="180"/>
      <c r="AH464" s="180"/>
      <c r="AI464" s="180">
        <v>0</v>
      </c>
      <c r="AJ464" s="181">
        <f t="shared" si="111"/>
        <v>0</v>
      </c>
      <c r="AK464" s="246">
        <f t="shared" si="117"/>
        <v>1400000</v>
      </c>
      <c r="AL464" s="181">
        <f t="shared" si="112"/>
        <v>100</v>
      </c>
      <c r="AM464" s="243"/>
    </row>
    <row r="465" spans="1:39" ht="24.75" customHeight="1" x14ac:dyDescent="0.25">
      <c r="A465" s="243"/>
      <c r="B465" s="362"/>
      <c r="C465" s="362"/>
      <c r="D465" s="362"/>
      <c r="E465" s="362"/>
      <c r="F465" s="362"/>
      <c r="G465" s="362"/>
      <c r="H465" s="362"/>
      <c r="I465" s="363"/>
      <c r="J465" s="362"/>
      <c r="K465" s="245"/>
      <c r="L465" s="257"/>
      <c r="M465" s="591" t="s">
        <v>612</v>
      </c>
      <c r="N465" s="592"/>
      <c r="O465" s="179"/>
      <c r="P465" s="180"/>
      <c r="Q465" s="180">
        <v>1200000</v>
      </c>
      <c r="R465" s="181">
        <f t="shared" si="123"/>
        <v>1.4388489208633095</v>
      </c>
      <c r="S465" s="181">
        <v>100</v>
      </c>
      <c r="T465" s="180">
        <f t="shared" si="114"/>
        <v>0</v>
      </c>
      <c r="U465" s="180">
        <f t="shared" si="119"/>
        <v>0</v>
      </c>
      <c r="V465" s="182">
        <f t="shared" si="92"/>
        <v>100</v>
      </c>
      <c r="W465" s="180"/>
      <c r="X465" s="180"/>
      <c r="Y465" s="180"/>
      <c r="Z465" s="180"/>
      <c r="AA465" s="180"/>
      <c r="AB465" s="180"/>
      <c r="AC465" s="180"/>
      <c r="AD465" s="180"/>
      <c r="AE465" s="180"/>
      <c r="AF465" s="180"/>
      <c r="AG465" s="180"/>
      <c r="AH465" s="180"/>
      <c r="AI465" s="180">
        <v>0</v>
      </c>
      <c r="AJ465" s="181">
        <f t="shared" si="111"/>
        <v>0</v>
      </c>
      <c r="AK465" s="246">
        <f t="shared" si="117"/>
        <v>1200000</v>
      </c>
      <c r="AL465" s="181">
        <f t="shared" si="112"/>
        <v>100</v>
      </c>
      <c r="AM465" s="243"/>
    </row>
    <row r="466" spans="1:39" ht="33" customHeight="1" x14ac:dyDescent="0.25">
      <c r="A466" s="243"/>
      <c r="B466" s="362"/>
      <c r="C466" s="362"/>
      <c r="D466" s="362"/>
      <c r="E466" s="362"/>
      <c r="F466" s="362"/>
      <c r="G466" s="362"/>
      <c r="H466" s="362"/>
      <c r="I466" s="363"/>
      <c r="J466" s="362" t="s">
        <v>318</v>
      </c>
      <c r="K466" s="245"/>
      <c r="L466" s="257"/>
      <c r="M466" s="591" t="s">
        <v>319</v>
      </c>
      <c r="N466" s="592"/>
      <c r="O466" s="179"/>
      <c r="P466" s="180"/>
      <c r="Q466" s="180">
        <v>36000000</v>
      </c>
      <c r="R466" s="181">
        <f t="shared" si="123"/>
        <v>43.165467625899282</v>
      </c>
      <c r="S466" s="181">
        <v>100</v>
      </c>
      <c r="T466" s="180">
        <f t="shared" si="114"/>
        <v>0</v>
      </c>
      <c r="U466" s="180">
        <f t="shared" si="119"/>
        <v>0</v>
      </c>
      <c r="V466" s="182">
        <f t="shared" si="92"/>
        <v>100</v>
      </c>
      <c r="W466" s="180"/>
      <c r="X466" s="180"/>
      <c r="Y466" s="180"/>
      <c r="Z466" s="180"/>
      <c r="AA466" s="180"/>
      <c r="AB466" s="180"/>
      <c r="AC466" s="180"/>
      <c r="AD466" s="180"/>
      <c r="AE466" s="180"/>
      <c r="AF466" s="180"/>
      <c r="AG466" s="180"/>
      <c r="AH466" s="180"/>
      <c r="AI466" s="180">
        <v>0</v>
      </c>
      <c r="AJ466" s="181">
        <f t="shared" si="111"/>
        <v>0</v>
      </c>
      <c r="AK466" s="246">
        <f t="shared" si="117"/>
        <v>36000000</v>
      </c>
      <c r="AL466" s="181">
        <f t="shared" si="112"/>
        <v>100</v>
      </c>
      <c r="AM466" s="243"/>
    </row>
    <row r="467" spans="1:39" ht="24.75" customHeight="1" x14ac:dyDescent="0.25">
      <c r="A467" s="243"/>
      <c r="B467" s="362"/>
      <c r="C467" s="362"/>
      <c r="D467" s="362"/>
      <c r="E467" s="362"/>
      <c r="F467" s="362"/>
      <c r="G467" s="362"/>
      <c r="H467" s="362"/>
      <c r="I467" s="363"/>
      <c r="J467" s="362" t="s">
        <v>284</v>
      </c>
      <c r="K467" s="245"/>
      <c r="L467" s="257"/>
      <c r="M467" s="591" t="s">
        <v>285</v>
      </c>
      <c r="N467" s="592"/>
      <c r="O467" s="179"/>
      <c r="P467" s="180"/>
      <c r="Q467" s="180">
        <v>10000000</v>
      </c>
      <c r="R467" s="181">
        <f t="shared" si="123"/>
        <v>11.990407673860911</v>
      </c>
      <c r="S467" s="181">
        <v>100</v>
      </c>
      <c r="T467" s="180">
        <f t="shared" si="114"/>
        <v>0</v>
      </c>
      <c r="U467" s="180">
        <f t="shared" si="119"/>
        <v>0</v>
      </c>
      <c r="V467" s="182">
        <f t="shared" si="92"/>
        <v>100</v>
      </c>
      <c r="W467" s="180"/>
      <c r="X467" s="180"/>
      <c r="Y467" s="180"/>
      <c r="Z467" s="180"/>
      <c r="AA467" s="180"/>
      <c r="AB467" s="180"/>
      <c r="AC467" s="180"/>
      <c r="AD467" s="180"/>
      <c r="AE467" s="180"/>
      <c r="AF467" s="180"/>
      <c r="AG467" s="180"/>
      <c r="AH467" s="180"/>
      <c r="AI467" s="180">
        <v>0</v>
      </c>
      <c r="AJ467" s="181">
        <f t="shared" si="111"/>
        <v>0</v>
      </c>
      <c r="AK467" s="246">
        <f t="shared" si="117"/>
        <v>10000000</v>
      </c>
      <c r="AL467" s="181">
        <f t="shared" si="112"/>
        <v>100</v>
      </c>
      <c r="AM467" s="243"/>
    </row>
    <row r="468" spans="1:39" ht="24.75" customHeight="1" x14ac:dyDescent="0.25">
      <c r="A468" s="243"/>
      <c r="B468" s="362"/>
      <c r="C468" s="362"/>
      <c r="D468" s="362"/>
      <c r="E468" s="362"/>
      <c r="F468" s="362"/>
      <c r="G468" s="362"/>
      <c r="H468" s="362"/>
      <c r="I468" s="363"/>
      <c r="J468" s="362"/>
      <c r="K468" s="245"/>
      <c r="L468" s="257"/>
      <c r="M468" s="591" t="s">
        <v>503</v>
      </c>
      <c r="N468" s="592"/>
      <c r="O468" s="179"/>
      <c r="P468" s="180"/>
      <c r="Q468" s="180">
        <v>12000000</v>
      </c>
      <c r="R468" s="181">
        <f t="shared" si="123"/>
        <v>14.388489208633093</v>
      </c>
      <c r="S468" s="181">
        <v>100</v>
      </c>
      <c r="T468" s="180">
        <f t="shared" si="114"/>
        <v>0</v>
      </c>
      <c r="U468" s="180">
        <f t="shared" si="119"/>
        <v>0</v>
      </c>
      <c r="V468" s="182">
        <f t="shared" si="92"/>
        <v>100</v>
      </c>
      <c r="W468" s="180"/>
      <c r="X468" s="180"/>
      <c r="Y468" s="180"/>
      <c r="Z468" s="180"/>
      <c r="AA468" s="180"/>
      <c r="AB468" s="180"/>
      <c r="AC468" s="180"/>
      <c r="AD468" s="180"/>
      <c r="AE468" s="180"/>
      <c r="AF468" s="180"/>
      <c r="AG468" s="180"/>
      <c r="AH468" s="180"/>
      <c r="AI468" s="180">
        <v>0</v>
      </c>
      <c r="AJ468" s="181">
        <f t="shared" si="111"/>
        <v>0</v>
      </c>
      <c r="AK468" s="246">
        <f t="shared" si="117"/>
        <v>12000000</v>
      </c>
      <c r="AL468" s="181">
        <f t="shared" si="112"/>
        <v>100</v>
      </c>
      <c r="AM468" s="243"/>
    </row>
    <row r="469" spans="1:39" ht="24.75" customHeight="1" x14ac:dyDescent="0.25">
      <c r="A469" s="243"/>
      <c r="B469" s="362"/>
      <c r="C469" s="362"/>
      <c r="D469" s="362"/>
      <c r="E469" s="362"/>
      <c r="F469" s="362"/>
      <c r="G469" s="362"/>
      <c r="H469" s="362"/>
      <c r="I469" s="363"/>
      <c r="J469" s="362" t="s">
        <v>320</v>
      </c>
      <c r="K469" s="245"/>
      <c r="L469" s="257"/>
      <c r="M469" s="611" t="s">
        <v>321</v>
      </c>
      <c r="N469" s="598"/>
      <c r="O469" s="179"/>
      <c r="P469" s="180"/>
      <c r="Q469" s="180">
        <v>11600000</v>
      </c>
      <c r="R469" s="181">
        <f t="shared" si="123"/>
        <v>13.908872901678656</v>
      </c>
      <c r="S469" s="181">
        <v>100</v>
      </c>
      <c r="T469" s="180">
        <f t="shared" si="114"/>
        <v>0</v>
      </c>
      <c r="U469" s="180">
        <f t="shared" si="119"/>
        <v>0</v>
      </c>
      <c r="V469" s="182">
        <f t="shared" si="92"/>
        <v>100</v>
      </c>
      <c r="W469" s="180"/>
      <c r="X469" s="180"/>
      <c r="Y469" s="180"/>
      <c r="Z469" s="180"/>
      <c r="AA469" s="180"/>
      <c r="AB469" s="180"/>
      <c r="AC469" s="180"/>
      <c r="AD469" s="180"/>
      <c r="AE469" s="180"/>
      <c r="AF469" s="180"/>
      <c r="AG469" s="180"/>
      <c r="AH469" s="180"/>
      <c r="AI469" s="180">
        <v>0</v>
      </c>
      <c r="AJ469" s="181">
        <f t="shared" ref="AJ469:AJ532" si="124">AI469/Q469*100</f>
        <v>0</v>
      </c>
      <c r="AK469" s="246">
        <f t="shared" si="117"/>
        <v>11600000</v>
      </c>
      <c r="AL469" s="181">
        <f t="shared" ref="AL469:AL506" si="125">AK469/Q469*100</f>
        <v>100</v>
      </c>
      <c r="AM469" s="243"/>
    </row>
    <row r="470" spans="1:39" ht="24.75" customHeight="1" x14ac:dyDescent="0.25">
      <c r="A470" s="243"/>
      <c r="B470" s="362"/>
      <c r="C470" s="362"/>
      <c r="D470" s="362"/>
      <c r="E470" s="362"/>
      <c r="F470" s="362"/>
      <c r="G470" s="362"/>
      <c r="H470" s="362"/>
      <c r="I470" s="363"/>
      <c r="J470" s="362" t="s">
        <v>407</v>
      </c>
      <c r="K470" s="245"/>
      <c r="L470" s="257"/>
      <c r="M470" s="591" t="s">
        <v>414</v>
      </c>
      <c r="N470" s="592"/>
      <c r="O470" s="179"/>
      <c r="P470" s="180"/>
      <c r="Q470" s="180">
        <v>5600000</v>
      </c>
      <c r="R470" s="181">
        <f t="shared" si="123"/>
        <v>6.7146282973621103</v>
      </c>
      <c r="S470" s="181">
        <v>100</v>
      </c>
      <c r="T470" s="180">
        <f t="shared" si="114"/>
        <v>0</v>
      </c>
      <c r="U470" s="180">
        <f t="shared" si="119"/>
        <v>0</v>
      </c>
      <c r="V470" s="182">
        <f t="shared" si="92"/>
        <v>100</v>
      </c>
      <c r="W470" s="180"/>
      <c r="X470" s="180"/>
      <c r="Y470" s="180"/>
      <c r="Z470" s="180"/>
      <c r="AA470" s="180"/>
      <c r="AB470" s="180"/>
      <c r="AC470" s="180"/>
      <c r="AD470" s="180"/>
      <c r="AE470" s="180"/>
      <c r="AF470" s="180"/>
      <c r="AG470" s="180"/>
      <c r="AH470" s="180"/>
      <c r="AI470" s="180">
        <v>0</v>
      </c>
      <c r="AJ470" s="181">
        <f t="shared" si="124"/>
        <v>0</v>
      </c>
      <c r="AK470" s="246">
        <f t="shared" si="117"/>
        <v>5600000</v>
      </c>
      <c r="AL470" s="181">
        <f t="shared" si="125"/>
        <v>100</v>
      </c>
      <c r="AM470" s="243"/>
    </row>
    <row r="471" spans="1:39" ht="33.75" customHeight="1" x14ac:dyDescent="0.25">
      <c r="A471" s="227">
        <v>59</v>
      </c>
      <c r="B471" s="362"/>
      <c r="C471" s="362"/>
      <c r="D471" s="362"/>
      <c r="E471" s="362"/>
      <c r="F471" s="362"/>
      <c r="G471" s="362"/>
      <c r="H471" s="362"/>
      <c r="I471" s="363"/>
      <c r="J471" s="304" t="s">
        <v>511</v>
      </c>
      <c r="K471" s="230"/>
      <c r="L471" s="294"/>
      <c r="M471" s="609" t="s">
        <v>512</v>
      </c>
      <c r="N471" s="609"/>
      <c r="O471" s="309">
        <v>355300000</v>
      </c>
      <c r="P471" s="231">
        <f>O471</f>
        <v>355300000</v>
      </c>
      <c r="Q471" s="231">
        <f>SUM(Q472:Q477)</f>
        <v>14850000</v>
      </c>
      <c r="R471" s="233">
        <f>Q471/Q$243*100</f>
        <v>0.12449860247111945</v>
      </c>
      <c r="S471" s="233">
        <v>100</v>
      </c>
      <c r="T471" s="231">
        <f t="shared" si="114"/>
        <v>0</v>
      </c>
      <c r="U471" s="231">
        <f t="shared" si="119"/>
        <v>0</v>
      </c>
      <c r="V471" s="296">
        <f t="shared" si="92"/>
        <v>100</v>
      </c>
      <c r="W471" s="231"/>
      <c r="X471" s="231" t="e">
        <f>#REF!</f>
        <v>#REF!</v>
      </c>
      <c r="Y471" s="231" t="e">
        <f>#REF!</f>
        <v>#REF!</v>
      </c>
      <c r="Z471" s="231" t="e">
        <f>#REF!</f>
        <v>#REF!</v>
      </c>
      <c r="AA471" s="231" t="e">
        <f>#REF!</f>
        <v>#REF!</v>
      </c>
      <c r="AB471" s="231">
        <v>131395500</v>
      </c>
      <c r="AC471" s="231" t="e">
        <f>#REF!</f>
        <v>#REF!</v>
      </c>
      <c r="AD471" s="231" t="e">
        <f>#REF!</f>
        <v>#REF!</v>
      </c>
      <c r="AE471" s="231" t="e">
        <f>#REF!</f>
        <v>#REF!</v>
      </c>
      <c r="AF471" s="231" t="e">
        <f>[1]April!N80</f>
        <v>#REF!</v>
      </c>
      <c r="AG471" s="231" t="e">
        <f>[2]april!N90</f>
        <v>#REF!</v>
      </c>
      <c r="AH471" s="231" t="e">
        <f>'[3]DES SKPD'!$N90</f>
        <v>#REF!</v>
      </c>
      <c r="AI471" s="231">
        <f>SUM(AI472:AI477)</f>
        <v>0</v>
      </c>
      <c r="AJ471" s="233">
        <f t="shared" si="124"/>
        <v>0</v>
      </c>
      <c r="AK471" s="234">
        <f t="shared" si="117"/>
        <v>14850000</v>
      </c>
      <c r="AL471" s="233">
        <f t="shared" si="125"/>
        <v>100</v>
      </c>
      <c r="AM471" s="227"/>
    </row>
    <row r="472" spans="1:39" ht="24.75" customHeight="1" x14ac:dyDescent="0.25">
      <c r="A472" s="243"/>
      <c r="B472" s="362"/>
      <c r="C472" s="362"/>
      <c r="D472" s="362"/>
      <c r="E472" s="362"/>
      <c r="F472" s="362"/>
      <c r="G472" s="362"/>
      <c r="H472" s="362"/>
      <c r="I472" s="363"/>
      <c r="J472" s="362" t="s">
        <v>257</v>
      </c>
      <c r="K472" s="245"/>
      <c r="L472" s="257"/>
      <c r="M472" s="591" t="s">
        <v>260</v>
      </c>
      <c r="N472" s="592"/>
      <c r="O472" s="179"/>
      <c r="P472" s="180"/>
      <c r="Q472" s="180">
        <v>650000</v>
      </c>
      <c r="R472" s="181">
        <f t="shared" ref="R472:R477" si="126">Q472/Q$471*100</f>
        <v>4.3771043771043772</v>
      </c>
      <c r="S472" s="181">
        <v>100</v>
      </c>
      <c r="T472" s="180">
        <f t="shared" si="114"/>
        <v>0</v>
      </c>
      <c r="U472" s="180">
        <f t="shared" si="119"/>
        <v>0</v>
      </c>
      <c r="V472" s="182">
        <f t="shared" si="92"/>
        <v>100</v>
      </c>
      <c r="W472" s="180"/>
      <c r="X472" s="180"/>
      <c r="Y472" s="180"/>
      <c r="Z472" s="180"/>
      <c r="AA472" s="180"/>
      <c r="AB472" s="180"/>
      <c r="AC472" s="180"/>
      <c r="AD472" s="180"/>
      <c r="AE472" s="180"/>
      <c r="AF472" s="180"/>
      <c r="AG472" s="180"/>
      <c r="AH472" s="180"/>
      <c r="AI472" s="180">
        <v>0</v>
      </c>
      <c r="AJ472" s="181">
        <f t="shared" si="124"/>
        <v>0</v>
      </c>
      <c r="AK472" s="246">
        <f t="shared" si="117"/>
        <v>650000</v>
      </c>
      <c r="AL472" s="181">
        <f t="shared" si="125"/>
        <v>100</v>
      </c>
      <c r="AM472" s="243"/>
    </row>
    <row r="473" spans="1:39" ht="24.75" customHeight="1" x14ac:dyDescent="0.25">
      <c r="A473" s="243"/>
      <c r="B473" s="362"/>
      <c r="C473" s="362"/>
      <c r="D473" s="362"/>
      <c r="E473" s="362"/>
      <c r="F473" s="362"/>
      <c r="G473" s="362"/>
      <c r="H473" s="362"/>
      <c r="I473" s="363"/>
      <c r="J473" s="362" t="s">
        <v>326</v>
      </c>
      <c r="K473" s="245"/>
      <c r="L473" s="257"/>
      <c r="M473" s="591" t="s">
        <v>351</v>
      </c>
      <c r="N473" s="592"/>
      <c r="O473" s="179"/>
      <c r="P473" s="180"/>
      <c r="Q473" s="180">
        <v>250000</v>
      </c>
      <c r="R473" s="181">
        <f t="shared" si="126"/>
        <v>1.6835016835016834</v>
      </c>
      <c r="S473" s="181">
        <v>100</v>
      </c>
      <c r="T473" s="180">
        <f t="shared" si="114"/>
        <v>0</v>
      </c>
      <c r="U473" s="180">
        <f t="shared" si="119"/>
        <v>0</v>
      </c>
      <c r="V473" s="182">
        <f t="shared" si="92"/>
        <v>100</v>
      </c>
      <c r="W473" s="180"/>
      <c r="X473" s="180"/>
      <c r="Y473" s="180"/>
      <c r="Z473" s="180"/>
      <c r="AA473" s="180"/>
      <c r="AB473" s="180"/>
      <c r="AC473" s="180"/>
      <c r="AD473" s="180"/>
      <c r="AE473" s="180"/>
      <c r="AF473" s="180"/>
      <c r="AG473" s="180"/>
      <c r="AH473" s="180"/>
      <c r="AI473" s="180">
        <v>0</v>
      </c>
      <c r="AJ473" s="181">
        <f t="shared" si="124"/>
        <v>0</v>
      </c>
      <c r="AK473" s="246">
        <f t="shared" si="117"/>
        <v>250000</v>
      </c>
      <c r="AL473" s="181">
        <f t="shared" si="125"/>
        <v>100</v>
      </c>
      <c r="AM473" s="243"/>
    </row>
    <row r="474" spans="1:39" ht="24.75" customHeight="1" x14ac:dyDescent="0.25">
      <c r="A474" s="243"/>
      <c r="B474" s="362"/>
      <c r="C474" s="362"/>
      <c r="D474" s="362"/>
      <c r="E474" s="362"/>
      <c r="F474" s="362"/>
      <c r="G474" s="362"/>
      <c r="H474" s="362"/>
      <c r="I474" s="363"/>
      <c r="J474" s="362" t="s">
        <v>315</v>
      </c>
      <c r="K474" s="245"/>
      <c r="L474" s="257"/>
      <c r="M474" s="591" t="s">
        <v>271</v>
      </c>
      <c r="N474" s="592"/>
      <c r="O474" s="179"/>
      <c r="P474" s="180"/>
      <c r="Q474" s="180">
        <v>250000</v>
      </c>
      <c r="R474" s="181">
        <f t="shared" si="126"/>
        <v>1.6835016835016834</v>
      </c>
      <c r="S474" s="181">
        <v>100</v>
      </c>
      <c r="T474" s="180">
        <f t="shared" si="114"/>
        <v>0</v>
      </c>
      <c r="U474" s="180">
        <f t="shared" si="119"/>
        <v>0</v>
      </c>
      <c r="V474" s="182">
        <f t="shared" si="92"/>
        <v>100</v>
      </c>
      <c r="W474" s="180"/>
      <c r="X474" s="180"/>
      <c r="Y474" s="180"/>
      <c r="Z474" s="180"/>
      <c r="AA474" s="180"/>
      <c r="AB474" s="180"/>
      <c r="AC474" s="180"/>
      <c r="AD474" s="180"/>
      <c r="AE474" s="180"/>
      <c r="AF474" s="180"/>
      <c r="AG474" s="180"/>
      <c r="AH474" s="180"/>
      <c r="AI474" s="180">
        <v>0</v>
      </c>
      <c r="AJ474" s="181">
        <f t="shared" si="124"/>
        <v>0</v>
      </c>
      <c r="AK474" s="246">
        <f t="shared" si="117"/>
        <v>250000</v>
      </c>
      <c r="AL474" s="181">
        <f t="shared" si="125"/>
        <v>100</v>
      </c>
      <c r="AM474" s="243"/>
    </row>
    <row r="475" spans="1:39" ht="29.25" customHeight="1" x14ac:dyDescent="0.25">
      <c r="A475" s="243"/>
      <c r="B475" s="362"/>
      <c r="C475" s="362"/>
      <c r="D475" s="362"/>
      <c r="E475" s="362"/>
      <c r="F475" s="362"/>
      <c r="G475" s="362"/>
      <c r="H475" s="362"/>
      <c r="I475" s="363"/>
      <c r="J475" s="362" t="s">
        <v>318</v>
      </c>
      <c r="K475" s="245"/>
      <c r="L475" s="257"/>
      <c r="M475" s="591" t="s">
        <v>329</v>
      </c>
      <c r="N475" s="592"/>
      <c r="O475" s="179"/>
      <c r="P475" s="180"/>
      <c r="Q475" s="180">
        <v>5000000</v>
      </c>
      <c r="R475" s="181">
        <f t="shared" si="126"/>
        <v>33.670033670033675</v>
      </c>
      <c r="S475" s="181">
        <v>100</v>
      </c>
      <c r="T475" s="180">
        <f t="shared" si="114"/>
        <v>0</v>
      </c>
      <c r="U475" s="180">
        <f t="shared" si="119"/>
        <v>0</v>
      </c>
      <c r="V475" s="182">
        <f t="shared" si="92"/>
        <v>100</v>
      </c>
      <c r="W475" s="180"/>
      <c r="X475" s="180"/>
      <c r="Y475" s="180"/>
      <c r="Z475" s="180"/>
      <c r="AA475" s="180"/>
      <c r="AB475" s="180"/>
      <c r="AC475" s="180"/>
      <c r="AD475" s="180"/>
      <c r="AE475" s="180"/>
      <c r="AF475" s="180"/>
      <c r="AG475" s="180"/>
      <c r="AH475" s="180"/>
      <c r="AI475" s="180">
        <v>0</v>
      </c>
      <c r="AJ475" s="181">
        <f t="shared" si="124"/>
        <v>0</v>
      </c>
      <c r="AK475" s="246">
        <f t="shared" si="117"/>
        <v>5000000</v>
      </c>
      <c r="AL475" s="181">
        <f t="shared" si="125"/>
        <v>100</v>
      </c>
      <c r="AM475" s="243"/>
    </row>
    <row r="476" spans="1:39" ht="29.25" customHeight="1" x14ac:dyDescent="0.25">
      <c r="A476" s="243"/>
      <c r="B476" s="362"/>
      <c r="C476" s="362"/>
      <c r="D476" s="362"/>
      <c r="E476" s="362"/>
      <c r="F476" s="362"/>
      <c r="G476" s="362"/>
      <c r="H476" s="362"/>
      <c r="I476" s="363"/>
      <c r="J476" s="362" t="s">
        <v>284</v>
      </c>
      <c r="K476" s="245"/>
      <c r="L476" s="257"/>
      <c r="M476" s="591" t="s">
        <v>285</v>
      </c>
      <c r="N476" s="592"/>
      <c r="O476" s="179"/>
      <c r="P476" s="180"/>
      <c r="Q476" s="180">
        <v>2200000</v>
      </c>
      <c r="R476" s="181">
        <f t="shared" si="126"/>
        <v>14.814814814814813</v>
      </c>
      <c r="S476" s="181">
        <v>100</v>
      </c>
      <c r="T476" s="180">
        <f t="shared" si="114"/>
        <v>0</v>
      </c>
      <c r="U476" s="180">
        <f t="shared" si="119"/>
        <v>0</v>
      </c>
      <c r="V476" s="182">
        <f t="shared" si="92"/>
        <v>100</v>
      </c>
      <c r="W476" s="180"/>
      <c r="X476" s="180"/>
      <c r="Y476" s="180"/>
      <c r="Z476" s="180"/>
      <c r="AA476" s="180"/>
      <c r="AB476" s="180"/>
      <c r="AC476" s="180"/>
      <c r="AD476" s="180"/>
      <c r="AE476" s="180"/>
      <c r="AF476" s="180"/>
      <c r="AG476" s="180"/>
      <c r="AH476" s="180"/>
      <c r="AI476" s="180">
        <v>0</v>
      </c>
      <c r="AJ476" s="181">
        <f t="shared" si="124"/>
        <v>0</v>
      </c>
      <c r="AK476" s="246">
        <f t="shared" si="117"/>
        <v>2200000</v>
      </c>
      <c r="AL476" s="181">
        <f t="shared" si="125"/>
        <v>100</v>
      </c>
      <c r="AM476" s="243"/>
    </row>
    <row r="477" spans="1:39" ht="24.75" customHeight="1" x14ac:dyDescent="0.25">
      <c r="A477" s="243"/>
      <c r="B477" s="362"/>
      <c r="C477" s="362"/>
      <c r="D477" s="362"/>
      <c r="E477" s="362"/>
      <c r="F477" s="362"/>
      <c r="G477" s="362"/>
      <c r="H477" s="362"/>
      <c r="I477" s="363"/>
      <c r="J477" s="362" t="s">
        <v>282</v>
      </c>
      <c r="K477" s="245"/>
      <c r="L477" s="257"/>
      <c r="M477" s="616" t="s">
        <v>418</v>
      </c>
      <c r="N477" s="617"/>
      <c r="O477" s="179"/>
      <c r="P477" s="180"/>
      <c r="Q477" s="180">
        <v>6500000</v>
      </c>
      <c r="R477" s="181">
        <f t="shared" si="126"/>
        <v>43.771043771043772</v>
      </c>
      <c r="S477" s="181">
        <v>100</v>
      </c>
      <c r="T477" s="180">
        <f t="shared" si="114"/>
        <v>0</v>
      </c>
      <c r="U477" s="180">
        <f t="shared" si="119"/>
        <v>0</v>
      </c>
      <c r="V477" s="182">
        <f t="shared" si="92"/>
        <v>100</v>
      </c>
      <c r="W477" s="180"/>
      <c r="X477" s="180"/>
      <c r="Y477" s="180"/>
      <c r="Z477" s="180"/>
      <c r="AA477" s="180"/>
      <c r="AB477" s="180"/>
      <c r="AC477" s="180"/>
      <c r="AD477" s="180"/>
      <c r="AE477" s="180"/>
      <c r="AF477" s="180"/>
      <c r="AG477" s="180"/>
      <c r="AH477" s="180"/>
      <c r="AI477" s="180">
        <v>0</v>
      </c>
      <c r="AJ477" s="181">
        <f t="shared" si="124"/>
        <v>0</v>
      </c>
      <c r="AK477" s="246">
        <f t="shared" si="117"/>
        <v>6500000</v>
      </c>
      <c r="AL477" s="181">
        <f t="shared" si="125"/>
        <v>100</v>
      </c>
      <c r="AM477" s="243"/>
    </row>
    <row r="478" spans="1:39" ht="30.75" customHeight="1" x14ac:dyDescent="0.25">
      <c r="A478" s="227">
        <v>60</v>
      </c>
      <c r="B478" s="362"/>
      <c r="C478" s="362"/>
      <c r="D478" s="362"/>
      <c r="E478" s="362"/>
      <c r="F478" s="362"/>
      <c r="G478" s="362"/>
      <c r="H478" s="362"/>
      <c r="I478" s="363"/>
      <c r="J478" s="304" t="s">
        <v>513</v>
      </c>
      <c r="M478" s="609" t="s">
        <v>160</v>
      </c>
      <c r="N478" s="609"/>
      <c r="O478" s="309">
        <v>355300000</v>
      </c>
      <c r="P478" s="231">
        <f>O478</f>
        <v>355300000</v>
      </c>
      <c r="Q478" s="231">
        <f>SUM(Q479:Q484)</f>
        <v>241740393</v>
      </c>
      <c r="R478" s="233">
        <f>Q478/Q$243*100</f>
        <v>2.0266896356443893</v>
      </c>
      <c r="S478" s="233">
        <v>100</v>
      </c>
      <c r="T478" s="231">
        <f t="shared" si="114"/>
        <v>8.1074576560318583</v>
      </c>
      <c r="U478" s="231">
        <f t="shared" si="119"/>
        <v>0.16431300402905522</v>
      </c>
      <c r="V478" s="296">
        <f t="shared" si="92"/>
        <v>91.892542343968145</v>
      </c>
      <c r="W478" s="231"/>
      <c r="X478" s="231" t="e">
        <f>#REF!</f>
        <v>#REF!</v>
      </c>
      <c r="Y478" s="231" t="e">
        <f>#REF!</f>
        <v>#REF!</v>
      </c>
      <c r="Z478" s="231" t="e">
        <f>#REF!</f>
        <v>#REF!</v>
      </c>
      <c r="AA478" s="231" t="e">
        <f>#REF!</f>
        <v>#REF!</v>
      </c>
      <c r="AB478" s="231">
        <v>131395500</v>
      </c>
      <c r="AC478" s="231" t="e">
        <f>#REF!</f>
        <v>#REF!</v>
      </c>
      <c r="AD478" s="231" t="e">
        <f>#REF!</f>
        <v>#REF!</v>
      </c>
      <c r="AE478" s="231" t="e">
        <f>#REF!</f>
        <v>#REF!</v>
      </c>
      <c r="AF478" s="231" t="e">
        <f>[1]April!N89</f>
        <v>#REF!</v>
      </c>
      <c r="AG478" s="231" t="e">
        <f>[2]april!N99</f>
        <v>#REF!</v>
      </c>
      <c r="AH478" s="231" t="e">
        <f>'[3]DES SKPD'!$N99</f>
        <v>#REF!</v>
      </c>
      <c r="AI478" s="231">
        <f>SUM(AI479:AI484)</f>
        <v>19599000</v>
      </c>
      <c r="AJ478" s="233">
        <f t="shared" si="124"/>
        <v>8.1074576560318583</v>
      </c>
      <c r="AK478" s="234">
        <f>Q478-AI478</f>
        <v>222141393</v>
      </c>
      <c r="AL478" s="233">
        <f>AK478/Q478*100</f>
        <v>91.892542343968145</v>
      </c>
      <c r="AM478" s="243"/>
    </row>
    <row r="479" spans="1:39" ht="24.75" customHeight="1" x14ac:dyDescent="0.25">
      <c r="A479" s="243"/>
      <c r="B479" s="362"/>
      <c r="C479" s="362"/>
      <c r="D479" s="362"/>
      <c r="E479" s="362"/>
      <c r="F479" s="362"/>
      <c r="G479" s="362"/>
      <c r="H479" s="362"/>
      <c r="I479" s="363"/>
      <c r="J479" s="362" t="s">
        <v>257</v>
      </c>
      <c r="K479" s="245"/>
      <c r="L479" s="257"/>
      <c r="M479" s="591" t="s">
        <v>324</v>
      </c>
      <c r="N479" s="592"/>
      <c r="O479" s="179"/>
      <c r="P479" s="180"/>
      <c r="Q479" s="180">
        <v>15000000</v>
      </c>
      <c r="R479" s="181">
        <f>Q479/Q478*100</f>
        <v>6.2050035634714966</v>
      </c>
      <c r="S479" s="181">
        <v>100</v>
      </c>
      <c r="T479" s="180">
        <f t="shared" si="114"/>
        <v>33.333333333333329</v>
      </c>
      <c r="U479" s="180">
        <f t="shared" si="119"/>
        <v>2.0683345211571651</v>
      </c>
      <c r="V479" s="182">
        <f t="shared" si="92"/>
        <v>66.666666666666671</v>
      </c>
      <c r="W479" s="180"/>
      <c r="X479" s="180"/>
      <c r="Y479" s="180"/>
      <c r="Z479" s="180"/>
      <c r="AA479" s="180"/>
      <c r="AB479" s="180"/>
      <c r="AC479" s="180"/>
      <c r="AD479" s="180"/>
      <c r="AE479" s="180"/>
      <c r="AF479" s="180"/>
      <c r="AG479" s="180"/>
      <c r="AH479" s="180"/>
      <c r="AI479" s="180">
        <v>5000000</v>
      </c>
      <c r="AJ479" s="181">
        <f t="shared" si="124"/>
        <v>33.333333333333329</v>
      </c>
      <c r="AK479" s="246">
        <f t="shared" si="117"/>
        <v>10000000</v>
      </c>
      <c r="AL479" s="181">
        <f t="shared" si="125"/>
        <v>66.666666666666657</v>
      </c>
      <c r="AM479" s="243"/>
    </row>
    <row r="480" spans="1:39" ht="24.75" customHeight="1" x14ac:dyDescent="0.25">
      <c r="A480" s="243"/>
      <c r="B480" s="362"/>
      <c r="C480" s="362"/>
      <c r="D480" s="362"/>
      <c r="E480" s="362"/>
      <c r="F480" s="362"/>
      <c r="G480" s="362"/>
      <c r="H480" s="362"/>
      <c r="I480" s="363"/>
      <c r="J480" s="362" t="s">
        <v>326</v>
      </c>
      <c r="K480" s="245"/>
      <c r="L480" s="257"/>
      <c r="M480" s="591" t="s">
        <v>428</v>
      </c>
      <c r="N480" s="592"/>
      <c r="O480" s="179"/>
      <c r="P480" s="180"/>
      <c r="Q480" s="180">
        <v>8000000</v>
      </c>
      <c r="R480" s="181">
        <f>Q480/Q478*100</f>
        <v>3.3093352338514648</v>
      </c>
      <c r="S480" s="181">
        <v>100</v>
      </c>
      <c r="T480" s="180">
        <f t="shared" si="114"/>
        <v>12.1875</v>
      </c>
      <c r="U480" s="180">
        <f t="shared" si="119"/>
        <v>0.40332523162564726</v>
      </c>
      <c r="V480" s="182">
        <f t="shared" si="92"/>
        <v>87.8125</v>
      </c>
      <c r="W480" s="180"/>
      <c r="X480" s="180"/>
      <c r="Y480" s="180"/>
      <c r="Z480" s="180"/>
      <c r="AA480" s="180"/>
      <c r="AB480" s="180"/>
      <c r="AC480" s="180"/>
      <c r="AD480" s="180"/>
      <c r="AE480" s="180"/>
      <c r="AF480" s="180"/>
      <c r="AG480" s="180"/>
      <c r="AH480" s="180"/>
      <c r="AI480" s="180">
        <v>975000</v>
      </c>
      <c r="AJ480" s="181">
        <f t="shared" si="124"/>
        <v>12.1875</v>
      </c>
      <c r="AK480" s="246">
        <f t="shared" si="117"/>
        <v>7025000</v>
      </c>
      <c r="AL480" s="181">
        <f t="shared" si="125"/>
        <v>87.8125</v>
      </c>
      <c r="AM480" s="243"/>
    </row>
    <row r="481" spans="1:39" ht="24.75" customHeight="1" x14ac:dyDescent="0.25">
      <c r="A481" s="227"/>
      <c r="B481" s="362"/>
      <c r="C481" s="362"/>
      <c r="D481" s="362"/>
      <c r="E481" s="362"/>
      <c r="F481" s="362"/>
      <c r="G481" s="362"/>
      <c r="H481" s="362"/>
      <c r="I481" s="363"/>
      <c r="J481" s="362" t="s">
        <v>315</v>
      </c>
      <c r="K481" s="245"/>
      <c r="L481" s="257"/>
      <c r="M481" s="591" t="s">
        <v>329</v>
      </c>
      <c r="N481" s="592"/>
      <c r="O481" s="179"/>
      <c r="P481" s="180"/>
      <c r="Q481" s="180">
        <v>24000000</v>
      </c>
      <c r="R481" s="181">
        <f>Q481/Q478*100</f>
        <v>9.9280057015543939</v>
      </c>
      <c r="S481" s="181">
        <v>100</v>
      </c>
      <c r="T481" s="180">
        <f t="shared" si="114"/>
        <v>33.333333333333329</v>
      </c>
      <c r="U481" s="180">
        <f t="shared" si="119"/>
        <v>3.3093352338514643</v>
      </c>
      <c r="V481" s="182">
        <f t="shared" si="92"/>
        <v>66.666666666666671</v>
      </c>
      <c r="W481" s="180"/>
      <c r="X481" s="180"/>
      <c r="Y481" s="180"/>
      <c r="Z481" s="180"/>
      <c r="AA481" s="180"/>
      <c r="AB481" s="180"/>
      <c r="AC481" s="180"/>
      <c r="AD481" s="180"/>
      <c r="AE481" s="180"/>
      <c r="AF481" s="180"/>
      <c r="AG481" s="180"/>
      <c r="AH481" s="180"/>
      <c r="AI481" s="180">
        <v>8000000</v>
      </c>
      <c r="AJ481" s="181">
        <f t="shared" si="124"/>
        <v>33.333333333333329</v>
      </c>
      <c r="AK481" s="246">
        <f t="shared" si="117"/>
        <v>16000000</v>
      </c>
      <c r="AL481" s="181">
        <f t="shared" si="125"/>
        <v>66.666666666666657</v>
      </c>
      <c r="AM481" s="243"/>
    </row>
    <row r="482" spans="1:39" ht="24.75" customHeight="1" x14ac:dyDescent="0.25">
      <c r="A482" s="243"/>
      <c r="B482" s="362"/>
      <c r="C482" s="362"/>
      <c r="D482" s="362"/>
      <c r="E482" s="362"/>
      <c r="F482" s="362"/>
      <c r="G482" s="362"/>
      <c r="H482" s="362"/>
      <c r="I482" s="363"/>
      <c r="J482" s="362" t="s">
        <v>280</v>
      </c>
      <c r="K482" s="245"/>
      <c r="L482" s="257"/>
      <c r="M482" s="591" t="s">
        <v>585</v>
      </c>
      <c r="N482" s="592"/>
      <c r="O482" s="179"/>
      <c r="P482" s="180"/>
      <c r="Q482" s="180">
        <v>15000000</v>
      </c>
      <c r="R482" s="181">
        <f>Q482/Q478*100</f>
        <v>6.2050035634714966</v>
      </c>
      <c r="S482" s="181">
        <v>100</v>
      </c>
      <c r="T482" s="180">
        <f t="shared" si="114"/>
        <v>20.533333333333335</v>
      </c>
      <c r="U482" s="180">
        <f t="shared" si="119"/>
        <v>1.2740940650328141</v>
      </c>
      <c r="V482" s="182">
        <f t="shared" si="92"/>
        <v>79.466666666666669</v>
      </c>
      <c r="W482" s="180"/>
      <c r="X482" s="180"/>
      <c r="Y482" s="180"/>
      <c r="Z482" s="180"/>
      <c r="AA482" s="180"/>
      <c r="AB482" s="180"/>
      <c r="AC482" s="180"/>
      <c r="AD482" s="180"/>
      <c r="AE482" s="180"/>
      <c r="AF482" s="180"/>
      <c r="AG482" s="180"/>
      <c r="AH482" s="180"/>
      <c r="AI482" s="180">
        <v>3080000</v>
      </c>
      <c r="AJ482" s="181">
        <f t="shared" si="124"/>
        <v>20.533333333333335</v>
      </c>
      <c r="AK482" s="246">
        <f t="shared" si="117"/>
        <v>11920000</v>
      </c>
      <c r="AL482" s="181">
        <f t="shared" si="125"/>
        <v>79.466666666666669</v>
      </c>
      <c r="AM482" s="243"/>
    </row>
    <row r="483" spans="1:39" ht="24.75" customHeight="1" x14ac:dyDescent="0.25">
      <c r="A483" s="243"/>
      <c r="B483" s="362"/>
      <c r="C483" s="362"/>
      <c r="D483" s="362"/>
      <c r="E483" s="362"/>
      <c r="F483" s="362"/>
      <c r="G483" s="362"/>
      <c r="H483" s="362"/>
      <c r="I483" s="363"/>
      <c r="J483" s="362" t="s">
        <v>284</v>
      </c>
      <c r="K483" s="245"/>
      <c r="L483" s="257"/>
      <c r="M483" s="591" t="s">
        <v>503</v>
      </c>
      <c r="N483" s="592"/>
      <c r="O483" s="179"/>
      <c r="P483" s="180"/>
      <c r="Q483" s="180">
        <v>29740393</v>
      </c>
      <c r="R483" s="181">
        <f>Q483/Q478*100</f>
        <v>12.302616302936183</v>
      </c>
      <c r="S483" s="181">
        <v>100</v>
      </c>
      <c r="T483" s="180">
        <f t="shared" si="114"/>
        <v>8.5540228066253192</v>
      </c>
      <c r="U483" s="180">
        <f t="shared" si="119"/>
        <v>1.0523686043647658</v>
      </c>
      <c r="V483" s="182">
        <f t="shared" si="92"/>
        <v>91.445977193374688</v>
      </c>
      <c r="W483" s="180"/>
      <c r="X483" s="180"/>
      <c r="Y483" s="180"/>
      <c r="Z483" s="180"/>
      <c r="AA483" s="180"/>
      <c r="AB483" s="180"/>
      <c r="AC483" s="180"/>
      <c r="AD483" s="180"/>
      <c r="AE483" s="180"/>
      <c r="AF483" s="180"/>
      <c r="AG483" s="180"/>
      <c r="AH483" s="180"/>
      <c r="AI483" s="180">
        <v>2544000</v>
      </c>
      <c r="AJ483" s="181">
        <f t="shared" si="124"/>
        <v>8.5540228066253192</v>
      </c>
      <c r="AK483" s="246">
        <f t="shared" si="117"/>
        <v>27196393</v>
      </c>
      <c r="AL483" s="181">
        <f t="shared" si="125"/>
        <v>91.445977193374688</v>
      </c>
      <c r="AM483" s="243"/>
    </row>
    <row r="484" spans="1:39" ht="24.75" customHeight="1" x14ac:dyDescent="0.25">
      <c r="A484" s="243"/>
      <c r="B484" s="362"/>
      <c r="C484" s="362"/>
      <c r="D484" s="362"/>
      <c r="E484" s="362"/>
      <c r="F484" s="362"/>
      <c r="G484" s="362"/>
      <c r="H484" s="362"/>
      <c r="I484" s="363"/>
      <c r="J484" s="362" t="s">
        <v>282</v>
      </c>
      <c r="K484" s="245"/>
      <c r="L484" s="257"/>
      <c r="M484" s="591" t="s">
        <v>591</v>
      </c>
      <c r="N484" s="592"/>
      <c r="O484" s="179"/>
      <c r="P484" s="180"/>
      <c r="Q484" s="180">
        <v>150000000</v>
      </c>
      <c r="R484" s="181">
        <f>Q484/Q478*100</f>
        <v>62.050035634714959</v>
      </c>
      <c r="S484" s="181">
        <v>100</v>
      </c>
      <c r="T484" s="180">
        <f t="shared" si="114"/>
        <v>0</v>
      </c>
      <c r="U484" s="180">
        <f t="shared" si="119"/>
        <v>0</v>
      </c>
      <c r="V484" s="182">
        <f t="shared" si="92"/>
        <v>100</v>
      </c>
      <c r="W484" s="180"/>
      <c r="X484" s="180"/>
      <c r="Y484" s="180"/>
      <c r="Z484" s="180"/>
      <c r="AA484" s="180"/>
      <c r="AB484" s="180"/>
      <c r="AC484" s="180"/>
      <c r="AD484" s="180"/>
      <c r="AE484" s="180"/>
      <c r="AF484" s="180"/>
      <c r="AG484" s="180"/>
      <c r="AH484" s="180"/>
      <c r="AI484" s="180">
        <v>0</v>
      </c>
      <c r="AJ484" s="181">
        <f t="shared" si="124"/>
        <v>0</v>
      </c>
      <c r="AK484" s="246">
        <f t="shared" si="117"/>
        <v>150000000</v>
      </c>
      <c r="AL484" s="181">
        <f t="shared" si="125"/>
        <v>100</v>
      </c>
      <c r="AM484" s="243"/>
    </row>
    <row r="485" spans="1:39" s="297" customFormat="1" ht="27.75" customHeight="1" x14ac:dyDescent="0.25">
      <c r="A485" s="227">
        <v>61</v>
      </c>
      <c r="B485" s="367"/>
      <c r="C485" s="367"/>
      <c r="D485" s="367"/>
      <c r="E485" s="367"/>
      <c r="F485" s="367"/>
      <c r="G485" s="367"/>
      <c r="H485" s="367"/>
      <c r="I485" s="366"/>
      <c r="J485" s="304" t="s">
        <v>514</v>
      </c>
      <c r="K485" s="230"/>
      <c r="L485" s="294"/>
      <c r="M485" s="610" t="s">
        <v>200</v>
      </c>
      <c r="N485" s="612"/>
      <c r="O485" s="309"/>
      <c r="P485" s="231"/>
      <c r="Q485" s="231">
        <f>SUM(Q486:Q489)</f>
        <v>395380000</v>
      </c>
      <c r="R485" s="233">
        <f>Q485/Q$243*100</f>
        <v>3.3147648111132124</v>
      </c>
      <c r="S485" s="233">
        <v>100</v>
      </c>
      <c r="T485" s="231">
        <f t="shared" si="114"/>
        <v>34.798320602964239</v>
      </c>
      <c r="U485" s="231">
        <f t="shared" si="119"/>
        <v>1.1534824862054176</v>
      </c>
      <c r="V485" s="296">
        <f t="shared" si="92"/>
        <v>65.201679397035761</v>
      </c>
      <c r="W485" s="231"/>
      <c r="X485" s="231"/>
      <c r="Y485" s="231"/>
      <c r="Z485" s="231"/>
      <c r="AA485" s="231"/>
      <c r="AB485" s="231"/>
      <c r="AC485" s="231"/>
      <c r="AD485" s="231"/>
      <c r="AE485" s="231"/>
      <c r="AF485" s="231"/>
      <c r="AG485" s="231"/>
      <c r="AH485" s="231"/>
      <c r="AI485" s="231">
        <f>SUM(AI486:AI489)</f>
        <v>137585600</v>
      </c>
      <c r="AJ485" s="233">
        <f t="shared" si="124"/>
        <v>34.798320602964239</v>
      </c>
      <c r="AK485" s="234">
        <f t="shared" ref="AK485:AK490" si="127">Q485-AI485</f>
        <v>257794400</v>
      </c>
      <c r="AL485" s="233">
        <f t="shared" si="125"/>
        <v>65.201679397035761</v>
      </c>
      <c r="AM485" s="227"/>
    </row>
    <row r="486" spans="1:39" ht="29.25" customHeight="1" x14ac:dyDescent="0.25">
      <c r="A486" s="243"/>
      <c r="B486" s="362"/>
      <c r="C486" s="362"/>
      <c r="D486" s="362"/>
      <c r="E486" s="362"/>
      <c r="F486" s="362"/>
      <c r="G486" s="362"/>
      <c r="H486" s="362"/>
      <c r="I486" s="363"/>
      <c r="J486" s="362" t="s">
        <v>315</v>
      </c>
      <c r="K486" s="245"/>
      <c r="L486" s="257"/>
      <c r="M486" s="591" t="s">
        <v>271</v>
      </c>
      <c r="N486" s="592"/>
      <c r="O486" s="179"/>
      <c r="P486" s="180"/>
      <c r="Q486" s="180">
        <v>20295000</v>
      </c>
      <c r="R486" s="181">
        <f>Q486/Q$485*100</f>
        <v>5.1330365724113509</v>
      </c>
      <c r="S486" s="181">
        <v>100</v>
      </c>
      <c r="T486" s="180">
        <f t="shared" si="114"/>
        <v>99.744271988174432</v>
      </c>
      <c r="U486" s="180">
        <f t="shared" si="119"/>
        <v>5.1199099600384441</v>
      </c>
      <c r="V486" s="182">
        <f t="shared" si="92"/>
        <v>0.25572801182556759</v>
      </c>
      <c r="W486" s="180"/>
      <c r="X486" s="180"/>
      <c r="Y486" s="180"/>
      <c r="Z486" s="180"/>
      <c r="AA486" s="180"/>
      <c r="AB486" s="180"/>
      <c r="AC486" s="180"/>
      <c r="AD486" s="180"/>
      <c r="AE486" s="180"/>
      <c r="AF486" s="180"/>
      <c r="AG486" s="180"/>
      <c r="AH486" s="180"/>
      <c r="AI486" s="180">
        <v>20243100</v>
      </c>
      <c r="AJ486" s="181">
        <f t="shared" si="124"/>
        <v>99.744271988174432</v>
      </c>
      <c r="AK486" s="246">
        <f t="shared" si="127"/>
        <v>51900</v>
      </c>
      <c r="AL486" s="181">
        <f t="shared" si="125"/>
        <v>0.25572801182557281</v>
      </c>
      <c r="AM486" s="243"/>
    </row>
    <row r="487" spans="1:39" ht="24.75" customHeight="1" x14ac:dyDescent="0.25">
      <c r="A487" s="243"/>
      <c r="B487" s="362"/>
      <c r="C487" s="362"/>
      <c r="D487" s="362"/>
      <c r="E487" s="362"/>
      <c r="F487" s="362"/>
      <c r="G487" s="362"/>
      <c r="H487" s="362"/>
      <c r="I487" s="363"/>
      <c r="J487" s="362" t="s">
        <v>284</v>
      </c>
      <c r="K487" s="245"/>
      <c r="L487" s="257"/>
      <c r="M487" s="591" t="s">
        <v>285</v>
      </c>
      <c r="N487" s="592"/>
      <c r="O487" s="179"/>
      <c r="P487" s="180"/>
      <c r="Q487" s="180">
        <v>5000000</v>
      </c>
      <c r="R487" s="181">
        <f>Q487/Q$485*100</f>
        <v>1.2646062016288129</v>
      </c>
      <c r="S487" s="181">
        <v>100</v>
      </c>
      <c r="T487" s="180">
        <f t="shared" si="114"/>
        <v>0</v>
      </c>
      <c r="U487" s="180">
        <f t="shared" si="119"/>
        <v>0</v>
      </c>
      <c r="V487" s="182">
        <f t="shared" si="92"/>
        <v>100</v>
      </c>
      <c r="W487" s="180"/>
      <c r="X487" s="180"/>
      <c r="Y487" s="180"/>
      <c r="Z487" s="180"/>
      <c r="AA487" s="180"/>
      <c r="AB487" s="180"/>
      <c r="AC487" s="180"/>
      <c r="AD487" s="180"/>
      <c r="AE487" s="180"/>
      <c r="AF487" s="180"/>
      <c r="AG487" s="180"/>
      <c r="AH487" s="180"/>
      <c r="AI487" s="180">
        <v>0</v>
      </c>
      <c r="AJ487" s="181">
        <f t="shared" si="124"/>
        <v>0</v>
      </c>
      <c r="AK487" s="246">
        <f t="shared" si="127"/>
        <v>5000000</v>
      </c>
      <c r="AL487" s="181">
        <f t="shared" si="125"/>
        <v>100</v>
      </c>
      <c r="AM487" s="243"/>
    </row>
    <row r="488" spans="1:39" ht="24.75" customHeight="1" x14ac:dyDescent="0.25">
      <c r="A488" s="243"/>
      <c r="B488" s="362"/>
      <c r="C488" s="362"/>
      <c r="D488" s="362"/>
      <c r="E488" s="362"/>
      <c r="F488" s="362"/>
      <c r="G488" s="362"/>
      <c r="H488" s="362"/>
      <c r="I488" s="363"/>
      <c r="J488" s="362" t="s">
        <v>309</v>
      </c>
      <c r="K488" s="245"/>
      <c r="L488" s="257"/>
      <c r="M488" s="591" t="s">
        <v>310</v>
      </c>
      <c r="N488" s="592"/>
      <c r="O488" s="179"/>
      <c r="P488" s="180"/>
      <c r="Q488" s="180">
        <v>219362000</v>
      </c>
      <c r="R488" s="181">
        <f>Q488/Q$485*100</f>
        <v>55.48130912033993</v>
      </c>
      <c r="S488" s="181">
        <v>100</v>
      </c>
      <c r="T488" s="180">
        <f t="shared" si="114"/>
        <v>53.492628623006723</v>
      </c>
      <c r="U488" s="180">
        <f t="shared" si="119"/>
        <v>29.678410642925797</v>
      </c>
      <c r="V488" s="182">
        <f t="shared" si="92"/>
        <v>46.507371376993277</v>
      </c>
      <c r="W488" s="180"/>
      <c r="X488" s="180"/>
      <c r="Y488" s="180"/>
      <c r="Z488" s="180"/>
      <c r="AA488" s="180"/>
      <c r="AB488" s="180"/>
      <c r="AC488" s="180"/>
      <c r="AD488" s="180"/>
      <c r="AE488" s="180"/>
      <c r="AF488" s="180"/>
      <c r="AG488" s="180"/>
      <c r="AH488" s="180"/>
      <c r="AI488" s="180">
        <v>117342500</v>
      </c>
      <c r="AJ488" s="181">
        <f t="shared" si="124"/>
        <v>53.492628623006723</v>
      </c>
      <c r="AK488" s="246">
        <f t="shared" si="127"/>
        <v>102019500</v>
      </c>
      <c r="AL488" s="181">
        <f t="shared" si="125"/>
        <v>46.507371376993277</v>
      </c>
      <c r="AM488" s="243"/>
    </row>
    <row r="489" spans="1:39" ht="24.75" customHeight="1" x14ac:dyDescent="0.25">
      <c r="A489" s="243"/>
      <c r="B489" s="362"/>
      <c r="C489" s="362"/>
      <c r="D489" s="362"/>
      <c r="E489" s="362"/>
      <c r="F489" s="362"/>
      <c r="G489" s="362"/>
      <c r="H489" s="362"/>
      <c r="I489" s="363"/>
      <c r="J489" s="362" t="s">
        <v>342</v>
      </c>
      <c r="K489" s="245"/>
      <c r="L489" s="257"/>
      <c r="M489" s="591" t="s">
        <v>617</v>
      </c>
      <c r="N489" s="592"/>
      <c r="O489" s="179"/>
      <c r="P489" s="180"/>
      <c r="Q489" s="180">
        <v>150723000</v>
      </c>
      <c r="R489" s="181">
        <f>Q489/Q$485*100</f>
        <v>38.121048105619906</v>
      </c>
      <c r="S489" s="181">
        <v>100</v>
      </c>
      <c r="T489" s="180">
        <f t="shared" si="114"/>
        <v>0</v>
      </c>
      <c r="U489" s="180">
        <f t="shared" si="119"/>
        <v>0</v>
      </c>
      <c r="V489" s="182">
        <f t="shared" si="92"/>
        <v>100</v>
      </c>
      <c r="W489" s="180"/>
      <c r="X489" s="180"/>
      <c r="Y489" s="180"/>
      <c r="Z489" s="180"/>
      <c r="AA489" s="180"/>
      <c r="AB489" s="180"/>
      <c r="AC489" s="180"/>
      <c r="AD489" s="180"/>
      <c r="AE489" s="180"/>
      <c r="AF489" s="180"/>
      <c r="AG489" s="180"/>
      <c r="AH489" s="180"/>
      <c r="AI489" s="180">
        <v>0</v>
      </c>
      <c r="AJ489" s="181">
        <f t="shared" si="124"/>
        <v>0</v>
      </c>
      <c r="AK489" s="246">
        <f t="shared" si="127"/>
        <v>150723000</v>
      </c>
      <c r="AL489" s="181">
        <f t="shared" si="125"/>
        <v>100</v>
      </c>
      <c r="AM489" s="243"/>
    </row>
    <row r="490" spans="1:39" s="297" customFormat="1" ht="29.25" customHeight="1" x14ac:dyDescent="0.25">
      <c r="A490" s="227">
        <f>SUM(A485+1)</f>
        <v>62</v>
      </c>
      <c r="B490" s="615" t="s">
        <v>158</v>
      </c>
      <c r="C490" s="615"/>
      <c r="D490" s="615"/>
      <c r="E490" s="615"/>
      <c r="F490" s="615"/>
      <c r="G490" s="615"/>
      <c r="H490" s="615"/>
      <c r="I490" s="614"/>
      <c r="J490" s="304" t="s">
        <v>515</v>
      </c>
      <c r="K490" s="230"/>
      <c r="L490" s="294"/>
      <c r="M490" s="610" t="s">
        <v>161</v>
      </c>
      <c r="N490" s="610"/>
      <c r="O490" s="309">
        <v>355300000</v>
      </c>
      <c r="P490" s="231">
        <v>0</v>
      </c>
      <c r="Q490" s="231">
        <f>SUM(Q491:Q498)</f>
        <v>20233874</v>
      </c>
      <c r="R490" s="233">
        <f>Q490/Q$243*100</f>
        <v>0.16963562529136159</v>
      </c>
      <c r="S490" s="233">
        <v>100</v>
      </c>
      <c r="T490" s="231">
        <f t="shared" si="114"/>
        <v>0</v>
      </c>
      <c r="U490" s="231">
        <f t="shared" si="119"/>
        <v>0</v>
      </c>
      <c r="V490" s="296">
        <f t="shared" si="92"/>
        <v>100</v>
      </c>
      <c r="W490" s="231"/>
      <c r="X490" s="231"/>
      <c r="Y490" s="231"/>
      <c r="Z490" s="231"/>
      <c r="AA490" s="231"/>
      <c r="AB490" s="231"/>
      <c r="AC490" s="231"/>
      <c r="AD490" s="231"/>
      <c r="AE490" s="231"/>
      <c r="AF490" s="231"/>
      <c r="AG490" s="231" t="e">
        <f>[2]april!N82</f>
        <v>#REF!</v>
      </c>
      <c r="AH490" s="231">
        <f>'[3]DES SKPD'!$N82</f>
        <v>34370000</v>
      </c>
      <c r="AI490" s="231">
        <f>SUM(AI491:AI498)</f>
        <v>0</v>
      </c>
      <c r="AJ490" s="233">
        <f t="shared" si="124"/>
        <v>0</v>
      </c>
      <c r="AK490" s="234">
        <f t="shared" si="127"/>
        <v>20233874</v>
      </c>
      <c r="AL490" s="233">
        <f t="shared" si="125"/>
        <v>100</v>
      </c>
      <c r="AM490" s="227"/>
    </row>
    <row r="491" spans="1:39" ht="29.25" customHeight="1" x14ac:dyDescent="0.25">
      <c r="A491" s="243"/>
      <c r="B491" s="362"/>
      <c r="C491" s="362"/>
      <c r="D491" s="362"/>
      <c r="E491" s="362"/>
      <c r="F491" s="362"/>
      <c r="G491" s="362"/>
      <c r="H491" s="362"/>
      <c r="I491" s="363"/>
      <c r="J491" s="362" t="s">
        <v>257</v>
      </c>
      <c r="K491" s="245"/>
      <c r="L491" s="257"/>
      <c r="M491" s="591" t="s">
        <v>260</v>
      </c>
      <c r="N491" s="592"/>
      <c r="O491" s="179"/>
      <c r="P491" s="180"/>
      <c r="Q491" s="180">
        <v>650000</v>
      </c>
      <c r="R491" s="181">
        <f>Q491/Q$490*100</f>
        <v>3.2124347517435363</v>
      </c>
      <c r="S491" s="181">
        <v>100</v>
      </c>
      <c r="T491" s="180">
        <f t="shared" si="114"/>
        <v>0</v>
      </c>
      <c r="U491" s="180">
        <f t="shared" si="119"/>
        <v>0</v>
      </c>
      <c r="V491" s="182">
        <f t="shared" si="92"/>
        <v>100</v>
      </c>
      <c r="W491" s="180"/>
      <c r="X491" s="180"/>
      <c r="Y491" s="180"/>
      <c r="Z491" s="180"/>
      <c r="AA491" s="180"/>
      <c r="AB491" s="180"/>
      <c r="AC491" s="180"/>
      <c r="AD491" s="180"/>
      <c r="AE491" s="180"/>
      <c r="AF491" s="180"/>
      <c r="AG491" s="180"/>
      <c r="AH491" s="180"/>
      <c r="AI491" s="180">
        <v>0</v>
      </c>
      <c r="AJ491" s="181">
        <f t="shared" si="124"/>
        <v>0</v>
      </c>
      <c r="AK491" s="180">
        <f>SUM(Q491-AI491)</f>
        <v>650000</v>
      </c>
      <c r="AL491" s="181">
        <f t="shared" si="125"/>
        <v>100</v>
      </c>
      <c r="AM491" s="243"/>
    </row>
    <row r="492" spans="1:39" ht="42" customHeight="1" x14ac:dyDescent="0.25">
      <c r="A492" s="243"/>
      <c r="B492" s="362"/>
      <c r="C492" s="362"/>
      <c r="D492" s="362"/>
      <c r="E492" s="362"/>
      <c r="F492" s="362"/>
      <c r="G492" s="362"/>
      <c r="H492" s="362"/>
      <c r="I492" s="363"/>
      <c r="J492" s="362" t="s">
        <v>345</v>
      </c>
      <c r="K492" s="245"/>
      <c r="L492" s="257"/>
      <c r="M492" s="591" t="s">
        <v>351</v>
      </c>
      <c r="N492" s="592"/>
      <c r="O492" s="179"/>
      <c r="P492" s="180"/>
      <c r="Q492" s="180">
        <v>250000</v>
      </c>
      <c r="R492" s="181">
        <f t="shared" ref="R492:R498" si="128">Q492/Q$490*100</f>
        <v>1.2355518275936679</v>
      </c>
      <c r="S492" s="181">
        <v>100</v>
      </c>
      <c r="T492" s="180">
        <f t="shared" si="114"/>
        <v>0</v>
      </c>
      <c r="U492" s="180">
        <f t="shared" si="119"/>
        <v>0</v>
      </c>
      <c r="V492" s="182">
        <f t="shared" si="92"/>
        <v>100</v>
      </c>
      <c r="W492" s="180"/>
      <c r="X492" s="180"/>
      <c r="Y492" s="180"/>
      <c r="Z492" s="180"/>
      <c r="AA492" s="180"/>
      <c r="AB492" s="180"/>
      <c r="AC492" s="180"/>
      <c r="AD492" s="180"/>
      <c r="AE492" s="180"/>
      <c r="AF492" s="180"/>
      <c r="AG492" s="180"/>
      <c r="AH492" s="180"/>
      <c r="AI492" s="180">
        <v>0</v>
      </c>
      <c r="AJ492" s="181">
        <f t="shared" si="124"/>
        <v>0</v>
      </c>
      <c r="AK492" s="180">
        <f t="shared" ref="AK492:AK498" si="129">SUM(Q492-AI492)</f>
        <v>250000</v>
      </c>
      <c r="AL492" s="181">
        <f t="shared" si="125"/>
        <v>100</v>
      </c>
      <c r="AM492" s="243"/>
    </row>
    <row r="493" spans="1:39" ht="29.25" customHeight="1" x14ac:dyDescent="0.25">
      <c r="A493" s="243"/>
      <c r="B493" s="362"/>
      <c r="C493" s="362"/>
      <c r="D493" s="362"/>
      <c r="E493" s="362"/>
      <c r="F493" s="362"/>
      <c r="G493" s="362"/>
      <c r="H493" s="362"/>
      <c r="I493" s="363"/>
      <c r="J493" s="362" t="s">
        <v>315</v>
      </c>
      <c r="K493" s="245"/>
      <c r="L493" s="257"/>
      <c r="M493" s="591" t="s">
        <v>271</v>
      </c>
      <c r="N493" s="592"/>
      <c r="O493" s="179"/>
      <c r="P493" s="180"/>
      <c r="Q493" s="180">
        <v>250000</v>
      </c>
      <c r="R493" s="181">
        <f t="shared" si="128"/>
        <v>1.2355518275936679</v>
      </c>
      <c r="S493" s="181">
        <v>100</v>
      </c>
      <c r="T493" s="180">
        <f t="shared" si="114"/>
        <v>0</v>
      </c>
      <c r="U493" s="180">
        <f t="shared" si="119"/>
        <v>0</v>
      </c>
      <c r="V493" s="182">
        <f t="shared" si="92"/>
        <v>100</v>
      </c>
      <c r="W493" s="180"/>
      <c r="X493" s="180"/>
      <c r="Y493" s="180"/>
      <c r="Z493" s="180"/>
      <c r="AA493" s="180"/>
      <c r="AB493" s="180"/>
      <c r="AC493" s="180"/>
      <c r="AD493" s="180"/>
      <c r="AE493" s="180"/>
      <c r="AF493" s="180"/>
      <c r="AG493" s="180"/>
      <c r="AH493" s="180"/>
      <c r="AI493" s="180">
        <v>0</v>
      </c>
      <c r="AJ493" s="181">
        <f t="shared" si="124"/>
        <v>0</v>
      </c>
      <c r="AK493" s="180">
        <f t="shared" si="129"/>
        <v>250000</v>
      </c>
      <c r="AL493" s="181">
        <f t="shared" si="125"/>
        <v>100</v>
      </c>
      <c r="AM493" s="243"/>
    </row>
    <row r="494" spans="1:39" ht="29.25" customHeight="1" x14ac:dyDescent="0.25">
      <c r="A494" s="243"/>
      <c r="B494" s="362"/>
      <c r="C494" s="362"/>
      <c r="D494" s="362"/>
      <c r="E494" s="362"/>
      <c r="F494" s="362"/>
      <c r="G494" s="362"/>
      <c r="H494" s="362"/>
      <c r="I494" s="363"/>
      <c r="J494" s="362" t="s">
        <v>342</v>
      </c>
      <c r="K494" s="245"/>
      <c r="L494" s="257"/>
      <c r="M494" s="591" t="s">
        <v>612</v>
      </c>
      <c r="N494" s="592"/>
      <c r="O494" s="179"/>
      <c r="P494" s="180"/>
      <c r="Q494" s="180">
        <v>250000</v>
      </c>
      <c r="R494" s="181">
        <f t="shared" si="128"/>
        <v>1.2355518275936679</v>
      </c>
      <c r="S494" s="181">
        <v>100</v>
      </c>
      <c r="T494" s="180">
        <f t="shared" si="114"/>
        <v>0</v>
      </c>
      <c r="U494" s="180">
        <f t="shared" si="119"/>
        <v>0</v>
      </c>
      <c r="V494" s="182">
        <f t="shared" si="92"/>
        <v>100</v>
      </c>
      <c r="W494" s="180"/>
      <c r="X494" s="180"/>
      <c r="Y494" s="180"/>
      <c r="Z494" s="180"/>
      <c r="AA494" s="180"/>
      <c r="AB494" s="180"/>
      <c r="AC494" s="180"/>
      <c r="AD494" s="180"/>
      <c r="AE494" s="180"/>
      <c r="AF494" s="180"/>
      <c r="AG494" s="180"/>
      <c r="AH494" s="180"/>
      <c r="AI494" s="180">
        <v>0</v>
      </c>
      <c r="AJ494" s="181">
        <f t="shared" si="124"/>
        <v>0</v>
      </c>
      <c r="AK494" s="180">
        <f t="shared" si="129"/>
        <v>250000</v>
      </c>
      <c r="AL494" s="181">
        <f t="shared" si="125"/>
        <v>100</v>
      </c>
      <c r="AM494" s="243"/>
    </row>
    <row r="495" spans="1:39" ht="29.25" customHeight="1" x14ac:dyDescent="0.25">
      <c r="A495" s="243"/>
      <c r="B495" s="362"/>
      <c r="C495" s="362"/>
      <c r="D495" s="362"/>
      <c r="E495" s="362"/>
      <c r="F495" s="362"/>
      <c r="G495" s="362"/>
      <c r="H495" s="362"/>
      <c r="I495" s="363"/>
      <c r="J495" s="362" t="s">
        <v>318</v>
      </c>
      <c r="K495" s="245"/>
      <c r="L495" s="257"/>
      <c r="M495" s="591" t="s">
        <v>319</v>
      </c>
      <c r="N495" s="592"/>
      <c r="O495" s="179"/>
      <c r="P495" s="180"/>
      <c r="Q495" s="180">
        <v>10500000</v>
      </c>
      <c r="R495" s="181">
        <f t="shared" si="128"/>
        <v>51.893176758934054</v>
      </c>
      <c r="S495" s="181">
        <v>100</v>
      </c>
      <c r="T495" s="180">
        <f t="shared" si="114"/>
        <v>0</v>
      </c>
      <c r="U495" s="180">
        <f t="shared" si="119"/>
        <v>0</v>
      </c>
      <c r="V495" s="182">
        <f t="shared" si="92"/>
        <v>100</v>
      </c>
      <c r="W495" s="180"/>
      <c r="X495" s="180"/>
      <c r="Y495" s="180"/>
      <c r="Z495" s="180"/>
      <c r="AA495" s="180"/>
      <c r="AB495" s="180"/>
      <c r="AC495" s="180"/>
      <c r="AD495" s="180"/>
      <c r="AE495" s="180"/>
      <c r="AF495" s="180"/>
      <c r="AG495" s="180"/>
      <c r="AH495" s="180"/>
      <c r="AI495" s="180">
        <v>0</v>
      </c>
      <c r="AJ495" s="181">
        <f t="shared" si="124"/>
        <v>0</v>
      </c>
      <c r="AK495" s="180">
        <f t="shared" si="129"/>
        <v>10500000</v>
      </c>
      <c r="AL495" s="181">
        <f t="shared" si="125"/>
        <v>100</v>
      </c>
      <c r="AM495" s="243"/>
    </row>
    <row r="496" spans="1:39" ht="29.25" customHeight="1" x14ac:dyDescent="0.25">
      <c r="A496" s="243"/>
      <c r="B496" s="362"/>
      <c r="C496" s="362"/>
      <c r="D496" s="362"/>
      <c r="E496" s="362"/>
      <c r="F496" s="362"/>
      <c r="G496" s="362"/>
      <c r="H496" s="362"/>
      <c r="I496" s="363"/>
      <c r="J496" s="362" t="s">
        <v>284</v>
      </c>
      <c r="K496" s="245"/>
      <c r="L496" s="257"/>
      <c r="M496" s="591" t="s">
        <v>285</v>
      </c>
      <c r="N496" s="592"/>
      <c r="O496" s="179"/>
      <c r="P496" s="180"/>
      <c r="Q496" s="180">
        <v>2890000</v>
      </c>
      <c r="R496" s="181">
        <f t="shared" si="128"/>
        <v>14.2829791269828</v>
      </c>
      <c r="S496" s="181">
        <v>100</v>
      </c>
      <c r="T496" s="180">
        <f t="shared" si="114"/>
        <v>0</v>
      </c>
      <c r="U496" s="180">
        <f t="shared" si="119"/>
        <v>0</v>
      </c>
      <c r="V496" s="182">
        <f t="shared" si="92"/>
        <v>100</v>
      </c>
      <c r="W496" s="180"/>
      <c r="X496" s="180"/>
      <c r="Y496" s="180"/>
      <c r="Z496" s="180"/>
      <c r="AA496" s="180"/>
      <c r="AB496" s="180"/>
      <c r="AC496" s="180"/>
      <c r="AD496" s="180"/>
      <c r="AE496" s="180"/>
      <c r="AF496" s="180"/>
      <c r="AG496" s="180"/>
      <c r="AH496" s="180"/>
      <c r="AI496" s="180">
        <v>0</v>
      </c>
      <c r="AJ496" s="181">
        <f t="shared" si="124"/>
        <v>0</v>
      </c>
      <c r="AK496" s="180">
        <f t="shared" si="129"/>
        <v>2890000</v>
      </c>
      <c r="AL496" s="181">
        <f t="shared" si="125"/>
        <v>100</v>
      </c>
      <c r="AM496" s="243"/>
    </row>
    <row r="497" spans="1:39" ht="29.25" customHeight="1" x14ac:dyDescent="0.25">
      <c r="A497" s="243"/>
      <c r="B497" s="362"/>
      <c r="C497" s="362"/>
      <c r="D497" s="362"/>
      <c r="E497" s="362"/>
      <c r="F497" s="362"/>
      <c r="G497" s="362"/>
      <c r="H497" s="362"/>
      <c r="I497" s="363"/>
      <c r="J497" s="362" t="s">
        <v>282</v>
      </c>
      <c r="K497" s="245"/>
      <c r="L497" s="257"/>
      <c r="M497" s="591" t="s">
        <v>283</v>
      </c>
      <c r="N497" s="592"/>
      <c r="O497" s="179"/>
      <c r="P497" s="180"/>
      <c r="Q497" s="180">
        <v>2943874</v>
      </c>
      <c r="R497" s="181">
        <f t="shared" si="128"/>
        <v>14.549235603621927</v>
      </c>
      <c r="S497" s="181">
        <v>100</v>
      </c>
      <c r="T497" s="180">
        <f t="shared" si="114"/>
        <v>0</v>
      </c>
      <c r="U497" s="180">
        <f t="shared" si="119"/>
        <v>0</v>
      </c>
      <c r="V497" s="182">
        <f t="shared" si="92"/>
        <v>100</v>
      </c>
      <c r="W497" s="180"/>
      <c r="X497" s="180"/>
      <c r="Y497" s="180"/>
      <c r="Z497" s="180"/>
      <c r="AA497" s="180"/>
      <c r="AB497" s="180"/>
      <c r="AC497" s="180"/>
      <c r="AD497" s="180"/>
      <c r="AE497" s="180"/>
      <c r="AF497" s="180"/>
      <c r="AG497" s="180"/>
      <c r="AH497" s="180"/>
      <c r="AI497" s="180">
        <v>0</v>
      </c>
      <c r="AJ497" s="181">
        <f t="shared" si="124"/>
        <v>0</v>
      </c>
      <c r="AK497" s="180">
        <f t="shared" si="129"/>
        <v>2943874</v>
      </c>
      <c r="AL497" s="181">
        <f t="shared" si="125"/>
        <v>100</v>
      </c>
      <c r="AM497" s="243"/>
    </row>
    <row r="498" spans="1:39" ht="29.25" customHeight="1" x14ac:dyDescent="0.25">
      <c r="A498" s="243"/>
      <c r="B498" s="362"/>
      <c r="C498" s="362"/>
      <c r="D498" s="362"/>
      <c r="E498" s="362"/>
      <c r="F498" s="362"/>
      <c r="G498" s="362"/>
      <c r="H498" s="362"/>
      <c r="I498" s="363"/>
      <c r="J498" s="362" t="s">
        <v>320</v>
      </c>
      <c r="K498" s="245"/>
      <c r="L498" s="257"/>
      <c r="M498" s="591" t="s">
        <v>321</v>
      </c>
      <c r="N498" s="592"/>
      <c r="O498" s="179"/>
      <c r="P498" s="180"/>
      <c r="Q498" s="180">
        <v>2500000</v>
      </c>
      <c r="R498" s="181">
        <f t="shared" si="128"/>
        <v>12.35551827593668</v>
      </c>
      <c r="S498" s="181">
        <v>100</v>
      </c>
      <c r="T498" s="180">
        <f t="shared" si="114"/>
        <v>0</v>
      </c>
      <c r="U498" s="180">
        <f t="shared" si="119"/>
        <v>0</v>
      </c>
      <c r="V498" s="182">
        <f t="shared" si="92"/>
        <v>100</v>
      </c>
      <c r="W498" s="180"/>
      <c r="X498" s="180"/>
      <c r="Y498" s="180"/>
      <c r="Z498" s="180"/>
      <c r="AA498" s="180"/>
      <c r="AB498" s="180"/>
      <c r="AC498" s="180"/>
      <c r="AD498" s="180"/>
      <c r="AE498" s="180"/>
      <c r="AF498" s="180"/>
      <c r="AG498" s="180"/>
      <c r="AH498" s="180"/>
      <c r="AI498" s="180">
        <v>0</v>
      </c>
      <c r="AJ498" s="181">
        <f t="shared" si="124"/>
        <v>0</v>
      </c>
      <c r="AK498" s="180">
        <f t="shared" si="129"/>
        <v>2500000</v>
      </c>
      <c r="AL498" s="181">
        <f t="shared" si="125"/>
        <v>100</v>
      </c>
      <c r="AM498" s="243"/>
    </row>
    <row r="499" spans="1:39" s="297" customFormat="1" ht="29.25" customHeight="1" x14ac:dyDescent="0.25">
      <c r="A499" s="227">
        <f>A490+1</f>
        <v>63</v>
      </c>
      <c r="B499" s="615" t="s">
        <v>158</v>
      </c>
      <c r="C499" s="615"/>
      <c r="D499" s="615"/>
      <c r="E499" s="615"/>
      <c r="F499" s="615"/>
      <c r="G499" s="615"/>
      <c r="H499" s="615"/>
      <c r="I499" s="614"/>
      <c r="J499" s="304" t="s">
        <v>516</v>
      </c>
      <c r="K499" s="230"/>
      <c r="L499" s="294"/>
      <c r="M499" s="610" t="s">
        <v>162</v>
      </c>
      <c r="N499" s="610"/>
      <c r="O499" s="309">
        <v>355300000</v>
      </c>
      <c r="P499" s="231">
        <v>0</v>
      </c>
      <c r="Q499" s="231">
        <f>SUM(Q500:Q505)</f>
        <v>381500000</v>
      </c>
      <c r="R499" s="233">
        <f>Q499/Q$243*100</f>
        <v>3.1983984405880177</v>
      </c>
      <c r="S499" s="233">
        <v>100</v>
      </c>
      <c r="T499" s="231">
        <f t="shared" si="114"/>
        <v>6.5132372214941014</v>
      </c>
      <c r="U499" s="231">
        <f t="shared" si="119"/>
        <v>0.20831927772406567</v>
      </c>
      <c r="V499" s="296">
        <f t="shared" si="92"/>
        <v>93.486762778505891</v>
      </c>
      <c r="W499" s="231"/>
      <c r="X499" s="231"/>
      <c r="Y499" s="231"/>
      <c r="Z499" s="231"/>
      <c r="AA499" s="231"/>
      <c r="AB499" s="231"/>
      <c r="AC499" s="231"/>
      <c r="AD499" s="231"/>
      <c r="AE499" s="231"/>
      <c r="AF499" s="231"/>
      <c r="AG499" s="231" t="e">
        <f>[2]april!N83</f>
        <v>#REF!</v>
      </c>
      <c r="AH499" s="231">
        <f>'[3]DES SKPD'!$N83</f>
        <v>33663000</v>
      </c>
      <c r="AI499" s="231">
        <f>SUM(AI500:AI505)</f>
        <v>24848000</v>
      </c>
      <c r="AJ499" s="233">
        <f t="shared" si="124"/>
        <v>6.5132372214941014</v>
      </c>
      <c r="AK499" s="234">
        <f>Q499-AI499</f>
        <v>356652000</v>
      </c>
      <c r="AL499" s="233">
        <f t="shared" si="125"/>
        <v>93.486762778505891</v>
      </c>
      <c r="AM499" s="227"/>
    </row>
    <row r="500" spans="1:39" ht="29.25" customHeight="1" x14ac:dyDescent="0.25">
      <c r="A500" s="243"/>
      <c r="B500" s="362"/>
      <c r="C500" s="362"/>
      <c r="D500" s="362"/>
      <c r="E500" s="362"/>
      <c r="F500" s="362"/>
      <c r="G500" s="362"/>
      <c r="H500" s="362"/>
      <c r="I500" s="363"/>
      <c r="J500" s="362" t="s">
        <v>332</v>
      </c>
      <c r="K500" s="245"/>
      <c r="L500" s="257"/>
      <c r="M500" s="591" t="s">
        <v>351</v>
      </c>
      <c r="N500" s="592"/>
      <c r="O500" s="179"/>
      <c r="P500" s="180"/>
      <c r="Q500" s="180">
        <v>500000</v>
      </c>
      <c r="R500" s="181">
        <f t="shared" ref="R500:R505" si="130">Q500/Q$499*100</f>
        <v>0.13106159895150721</v>
      </c>
      <c r="S500" s="181">
        <v>100</v>
      </c>
      <c r="T500" s="180">
        <f t="shared" si="114"/>
        <v>0</v>
      </c>
      <c r="U500" s="180">
        <f t="shared" si="119"/>
        <v>0</v>
      </c>
      <c r="V500" s="182">
        <f t="shared" si="92"/>
        <v>100</v>
      </c>
      <c r="W500" s="180"/>
      <c r="X500" s="180"/>
      <c r="Y500" s="180"/>
      <c r="Z500" s="180"/>
      <c r="AA500" s="180"/>
      <c r="AB500" s="180"/>
      <c r="AC500" s="180"/>
      <c r="AD500" s="180"/>
      <c r="AE500" s="180"/>
      <c r="AF500" s="180"/>
      <c r="AG500" s="180"/>
      <c r="AH500" s="180"/>
      <c r="AI500" s="180">
        <v>0</v>
      </c>
      <c r="AJ500" s="181">
        <f t="shared" si="124"/>
        <v>0</v>
      </c>
      <c r="AK500" s="180">
        <f t="shared" ref="AK500:AK505" si="131">SUM(Q500-AI500)</f>
        <v>500000</v>
      </c>
      <c r="AL500" s="181">
        <f t="shared" si="125"/>
        <v>100</v>
      </c>
      <c r="AM500" s="243"/>
    </row>
    <row r="501" spans="1:39" ht="29.25" customHeight="1" x14ac:dyDescent="0.25">
      <c r="A501" s="243"/>
      <c r="B501" s="362"/>
      <c r="C501" s="362"/>
      <c r="D501" s="362"/>
      <c r="E501" s="362"/>
      <c r="F501" s="362"/>
      <c r="G501" s="362"/>
      <c r="H501" s="362"/>
      <c r="I501" s="363"/>
      <c r="J501" s="362" t="s">
        <v>269</v>
      </c>
      <c r="K501" s="245"/>
      <c r="L501" s="257"/>
      <c r="M501" s="591" t="s">
        <v>270</v>
      </c>
      <c r="N501" s="592"/>
      <c r="O501" s="179"/>
      <c r="P501" s="180"/>
      <c r="Q501" s="180">
        <v>30000000</v>
      </c>
      <c r="R501" s="181">
        <f t="shared" si="130"/>
        <v>7.8636959370904327</v>
      </c>
      <c r="S501" s="181">
        <v>100</v>
      </c>
      <c r="T501" s="180">
        <f t="shared" si="114"/>
        <v>66.25</v>
      </c>
      <c r="U501" s="180">
        <f t="shared" si="119"/>
        <v>5.2096985583224118</v>
      </c>
      <c r="V501" s="182">
        <f t="shared" si="92"/>
        <v>33.75</v>
      </c>
      <c r="W501" s="180"/>
      <c r="X501" s="180"/>
      <c r="Y501" s="180"/>
      <c r="Z501" s="180"/>
      <c r="AA501" s="180"/>
      <c r="AB501" s="180"/>
      <c r="AC501" s="180"/>
      <c r="AD501" s="180"/>
      <c r="AE501" s="180"/>
      <c r="AF501" s="180"/>
      <c r="AG501" s="180"/>
      <c r="AH501" s="180"/>
      <c r="AI501" s="180">
        <v>19875000</v>
      </c>
      <c r="AJ501" s="181">
        <f t="shared" si="124"/>
        <v>66.25</v>
      </c>
      <c r="AK501" s="180">
        <f t="shared" si="131"/>
        <v>10125000</v>
      </c>
      <c r="AL501" s="181">
        <f t="shared" si="125"/>
        <v>33.75</v>
      </c>
      <c r="AM501" s="243"/>
    </row>
    <row r="502" spans="1:39" ht="29.25" customHeight="1" x14ac:dyDescent="0.25">
      <c r="A502" s="243"/>
      <c r="B502" s="362"/>
      <c r="C502" s="362"/>
      <c r="D502" s="362"/>
      <c r="E502" s="362"/>
      <c r="F502" s="362"/>
      <c r="G502" s="362"/>
      <c r="H502" s="362"/>
      <c r="I502" s="363"/>
      <c r="J502" s="362" t="s">
        <v>315</v>
      </c>
      <c r="K502" s="245"/>
      <c r="L502" s="257"/>
      <c r="M502" s="591" t="s">
        <v>271</v>
      </c>
      <c r="N502" s="592"/>
      <c r="O502" s="179"/>
      <c r="P502" s="180"/>
      <c r="Q502" s="180">
        <v>2500000</v>
      </c>
      <c r="R502" s="181">
        <f t="shared" si="130"/>
        <v>0.65530799475753598</v>
      </c>
      <c r="S502" s="181">
        <v>100</v>
      </c>
      <c r="T502" s="180">
        <f t="shared" si="114"/>
        <v>20</v>
      </c>
      <c r="U502" s="180">
        <f t="shared" si="119"/>
        <v>0.13106159895150721</v>
      </c>
      <c r="V502" s="182">
        <f t="shared" si="92"/>
        <v>80</v>
      </c>
      <c r="W502" s="180"/>
      <c r="X502" s="180"/>
      <c r="Y502" s="180"/>
      <c r="Z502" s="180"/>
      <c r="AA502" s="180"/>
      <c r="AB502" s="180"/>
      <c r="AC502" s="180"/>
      <c r="AD502" s="180"/>
      <c r="AE502" s="180"/>
      <c r="AF502" s="180"/>
      <c r="AG502" s="180"/>
      <c r="AH502" s="180"/>
      <c r="AI502" s="180">
        <v>500000</v>
      </c>
      <c r="AJ502" s="181">
        <f t="shared" si="124"/>
        <v>20</v>
      </c>
      <c r="AK502" s="180">
        <f t="shared" si="131"/>
        <v>2000000</v>
      </c>
      <c r="AL502" s="181">
        <f t="shared" si="125"/>
        <v>80</v>
      </c>
      <c r="AM502" s="243"/>
    </row>
    <row r="503" spans="1:39" ht="29.25" customHeight="1" x14ac:dyDescent="0.25">
      <c r="A503" s="243"/>
      <c r="B503" s="362"/>
      <c r="C503" s="362"/>
      <c r="D503" s="362"/>
      <c r="E503" s="362"/>
      <c r="F503" s="362"/>
      <c r="G503" s="362"/>
      <c r="H503" s="362"/>
      <c r="I503" s="363"/>
      <c r="J503" s="362" t="s">
        <v>284</v>
      </c>
      <c r="K503" s="245"/>
      <c r="L503" s="257"/>
      <c r="M503" s="591" t="s">
        <v>285</v>
      </c>
      <c r="N503" s="592"/>
      <c r="O503" s="179"/>
      <c r="P503" s="180"/>
      <c r="Q503" s="180">
        <v>15400000</v>
      </c>
      <c r="R503" s="181">
        <f t="shared" si="130"/>
        <v>4.0366972477064227</v>
      </c>
      <c r="S503" s="181">
        <v>100</v>
      </c>
      <c r="T503" s="180">
        <f t="shared" si="114"/>
        <v>15</v>
      </c>
      <c r="U503" s="180">
        <f t="shared" si="119"/>
        <v>0.60550458715596345</v>
      </c>
      <c r="V503" s="182">
        <f t="shared" si="92"/>
        <v>85</v>
      </c>
      <c r="W503" s="180"/>
      <c r="X503" s="180"/>
      <c r="Y503" s="180"/>
      <c r="Z503" s="180"/>
      <c r="AA503" s="180"/>
      <c r="AB503" s="180"/>
      <c r="AC503" s="180"/>
      <c r="AD503" s="180"/>
      <c r="AE503" s="180"/>
      <c r="AF503" s="180"/>
      <c r="AG503" s="180"/>
      <c r="AH503" s="180"/>
      <c r="AI503" s="180">
        <v>2310000</v>
      </c>
      <c r="AJ503" s="181">
        <f t="shared" si="124"/>
        <v>15</v>
      </c>
      <c r="AK503" s="180">
        <f t="shared" si="131"/>
        <v>13090000</v>
      </c>
      <c r="AL503" s="181">
        <f t="shared" si="125"/>
        <v>85</v>
      </c>
      <c r="AM503" s="243"/>
    </row>
    <row r="504" spans="1:39" ht="29.25" customHeight="1" x14ac:dyDescent="0.25">
      <c r="A504" s="243"/>
      <c r="B504" s="362"/>
      <c r="C504" s="362"/>
      <c r="D504" s="362"/>
      <c r="E504" s="362"/>
      <c r="F504" s="362"/>
      <c r="G504" s="362"/>
      <c r="H504" s="362"/>
      <c r="I504" s="363"/>
      <c r="J504" s="362" t="s">
        <v>282</v>
      </c>
      <c r="K504" s="245"/>
      <c r="L504" s="257"/>
      <c r="M504" s="591" t="s">
        <v>283</v>
      </c>
      <c r="N504" s="592"/>
      <c r="O504" s="179"/>
      <c r="P504" s="180"/>
      <c r="Q504" s="180">
        <v>18700000</v>
      </c>
      <c r="R504" s="181">
        <f t="shared" si="130"/>
        <v>4.9017038007863691</v>
      </c>
      <c r="S504" s="181">
        <v>100</v>
      </c>
      <c r="T504" s="180">
        <f t="shared" si="114"/>
        <v>11.566844919786096</v>
      </c>
      <c r="U504" s="180">
        <f t="shared" si="119"/>
        <v>0.56697247706422016</v>
      </c>
      <c r="V504" s="182">
        <f t="shared" si="92"/>
        <v>88.433155080213908</v>
      </c>
      <c r="W504" s="180"/>
      <c r="X504" s="180"/>
      <c r="Y504" s="180"/>
      <c r="Z504" s="180"/>
      <c r="AA504" s="180"/>
      <c r="AB504" s="180"/>
      <c r="AC504" s="180"/>
      <c r="AD504" s="180"/>
      <c r="AE504" s="180"/>
      <c r="AF504" s="180"/>
      <c r="AG504" s="180"/>
      <c r="AH504" s="180"/>
      <c r="AI504" s="180">
        <v>2163000</v>
      </c>
      <c r="AJ504" s="181">
        <f t="shared" si="124"/>
        <v>11.566844919786096</v>
      </c>
      <c r="AK504" s="180">
        <f t="shared" si="131"/>
        <v>16537000</v>
      </c>
      <c r="AL504" s="181">
        <f t="shared" si="125"/>
        <v>88.433155080213893</v>
      </c>
      <c r="AM504" s="243"/>
    </row>
    <row r="505" spans="1:39" ht="29.25" customHeight="1" x14ac:dyDescent="0.25">
      <c r="A505" s="243"/>
      <c r="B505" s="362"/>
      <c r="C505" s="362"/>
      <c r="D505" s="362"/>
      <c r="E505" s="362"/>
      <c r="F505" s="362"/>
      <c r="G505" s="362"/>
      <c r="H505" s="362"/>
      <c r="I505" s="363"/>
      <c r="J505" s="362" t="s">
        <v>551</v>
      </c>
      <c r="K505" s="245"/>
      <c r="L505" s="257"/>
      <c r="M505" s="591" t="s">
        <v>550</v>
      </c>
      <c r="N505" s="592"/>
      <c r="O505" s="179"/>
      <c r="P505" s="180"/>
      <c r="Q505" s="180">
        <v>314400000</v>
      </c>
      <c r="R505" s="181">
        <f t="shared" si="130"/>
        <v>82.411533420707727</v>
      </c>
      <c r="S505" s="181">
        <v>100</v>
      </c>
      <c r="T505" s="180">
        <f t="shared" si="114"/>
        <v>0</v>
      </c>
      <c r="U505" s="180">
        <f t="shared" si="119"/>
        <v>0</v>
      </c>
      <c r="V505" s="182">
        <f t="shared" si="92"/>
        <v>100</v>
      </c>
      <c r="W505" s="180"/>
      <c r="X505" s="180"/>
      <c r="Y505" s="180"/>
      <c r="Z505" s="180"/>
      <c r="AA505" s="180"/>
      <c r="AB505" s="180"/>
      <c r="AC505" s="180"/>
      <c r="AD505" s="180"/>
      <c r="AE505" s="180"/>
      <c r="AF505" s="180"/>
      <c r="AG505" s="180"/>
      <c r="AH505" s="180"/>
      <c r="AI505" s="180">
        <v>0</v>
      </c>
      <c r="AJ505" s="181">
        <f t="shared" si="124"/>
        <v>0</v>
      </c>
      <c r="AK505" s="180">
        <f t="shared" si="131"/>
        <v>314400000</v>
      </c>
      <c r="AL505" s="181">
        <f t="shared" si="125"/>
        <v>100</v>
      </c>
      <c r="AM505" s="243"/>
    </row>
    <row r="506" spans="1:39" s="297" customFormat="1" ht="29.25" customHeight="1" x14ac:dyDescent="0.25">
      <c r="A506" s="227">
        <f>SUM(A499+1)</f>
        <v>64</v>
      </c>
      <c r="B506" s="367"/>
      <c r="C506" s="367"/>
      <c r="D506" s="367"/>
      <c r="E506" s="367"/>
      <c r="F506" s="367"/>
      <c r="G506" s="367"/>
      <c r="H506" s="367"/>
      <c r="I506" s="366"/>
      <c r="J506" s="304" t="s">
        <v>517</v>
      </c>
      <c r="K506" s="230"/>
      <c r="L506" s="294"/>
      <c r="M506" s="610" t="s">
        <v>369</v>
      </c>
      <c r="N506" s="612"/>
      <c r="O506" s="309"/>
      <c r="P506" s="231"/>
      <c r="Q506" s="231">
        <f>SUM(Q507:Q517)</f>
        <v>1010210970</v>
      </c>
      <c r="R506" s="233">
        <f>Q506/Q$243*100</f>
        <v>8.4693504354204698</v>
      </c>
      <c r="S506" s="233">
        <v>100</v>
      </c>
      <c r="T506" s="231">
        <f t="shared" si="114"/>
        <v>0</v>
      </c>
      <c r="U506" s="231">
        <f t="shared" si="119"/>
        <v>0</v>
      </c>
      <c r="V506" s="296">
        <f t="shared" si="92"/>
        <v>100</v>
      </c>
      <c r="W506" s="231"/>
      <c r="X506" s="231"/>
      <c r="Y506" s="231"/>
      <c r="Z506" s="231"/>
      <c r="AA506" s="231"/>
      <c r="AB506" s="231"/>
      <c r="AC506" s="231"/>
      <c r="AD506" s="231"/>
      <c r="AE506" s="231"/>
      <c r="AF506" s="231"/>
      <c r="AG506" s="231" t="e">
        <f>[2]april!N91</f>
        <v>#REF!</v>
      </c>
      <c r="AH506" s="231" t="e">
        <f>'[3]DES SKPD'!$N91</f>
        <v>#REF!</v>
      </c>
      <c r="AI506" s="231">
        <f>SUM(AI507:AI517)</f>
        <v>0</v>
      </c>
      <c r="AJ506" s="233">
        <f t="shared" si="124"/>
        <v>0</v>
      </c>
      <c r="AK506" s="234">
        <f>Q506-AI506</f>
        <v>1010210970</v>
      </c>
      <c r="AL506" s="233">
        <f t="shared" si="125"/>
        <v>100</v>
      </c>
      <c r="AM506" s="227"/>
    </row>
    <row r="507" spans="1:39" s="297" customFormat="1" ht="29.25" customHeight="1" x14ac:dyDescent="0.25">
      <c r="A507" s="227"/>
      <c r="B507" s="367"/>
      <c r="C507" s="367"/>
      <c r="D507" s="367"/>
      <c r="E507" s="367"/>
      <c r="F507" s="367"/>
      <c r="G507" s="367"/>
      <c r="H507" s="367"/>
      <c r="I507" s="366"/>
      <c r="J507" s="367" t="s">
        <v>421</v>
      </c>
      <c r="K507" s="230"/>
      <c r="L507" s="294"/>
      <c r="M507" s="591" t="s">
        <v>324</v>
      </c>
      <c r="N507" s="592"/>
      <c r="O507" s="309"/>
      <c r="P507" s="231"/>
      <c r="Q507" s="180">
        <v>10814970</v>
      </c>
      <c r="R507" s="181">
        <f>Q507/Q$506*100</f>
        <v>1.0705654879198154</v>
      </c>
      <c r="S507" s="181">
        <v>100</v>
      </c>
      <c r="T507" s="180">
        <f t="shared" si="114"/>
        <v>0</v>
      </c>
      <c r="U507" s="180">
        <f t="shared" si="119"/>
        <v>0</v>
      </c>
      <c r="V507" s="182">
        <f t="shared" si="92"/>
        <v>100</v>
      </c>
      <c r="W507" s="180"/>
      <c r="X507" s="180"/>
      <c r="Y507" s="180"/>
      <c r="Z507" s="180"/>
      <c r="AA507" s="180"/>
      <c r="AB507" s="180"/>
      <c r="AC507" s="180"/>
      <c r="AD507" s="180"/>
      <c r="AE507" s="180"/>
      <c r="AF507" s="180"/>
      <c r="AG507" s="180"/>
      <c r="AH507" s="180"/>
      <c r="AI507" s="180">
        <v>0</v>
      </c>
      <c r="AJ507" s="181">
        <f t="shared" si="124"/>
        <v>0</v>
      </c>
      <c r="AK507" s="180">
        <f>SUM(Q507-AI507)</f>
        <v>10814970</v>
      </c>
      <c r="AL507" s="233"/>
      <c r="AM507" s="227"/>
    </row>
    <row r="508" spans="1:39" ht="29.25" customHeight="1" x14ac:dyDescent="0.25">
      <c r="A508" s="243"/>
      <c r="B508" s="362"/>
      <c r="C508" s="362"/>
      <c r="D508" s="362"/>
      <c r="E508" s="362"/>
      <c r="F508" s="362"/>
      <c r="G508" s="362"/>
      <c r="H508" s="362"/>
      <c r="I508" s="363"/>
      <c r="J508" s="362" t="s">
        <v>315</v>
      </c>
      <c r="K508" s="245"/>
      <c r="L508" s="257"/>
      <c r="M508" s="591" t="s">
        <v>271</v>
      </c>
      <c r="N508" s="592"/>
      <c r="O508" s="179"/>
      <c r="P508" s="180"/>
      <c r="Q508" s="180">
        <v>12500000</v>
      </c>
      <c r="R508" s="181">
        <f>Q508/Q$506*100</f>
        <v>1.2373653000422278</v>
      </c>
      <c r="S508" s="181">
        <v>100</v>
      </c>
      <c r="T508" s="180">
        <f t="shared" si="114"/>
        <v>0</v>
      </c>
      <c r="U508" s="180">
        <f t="shared" si="119"/>
        <v>0</v>
      </c>
      <c r="V508" s="182">
        <f t="shared" si="92"/>
        <v>100</v>
      </c>
      <c r="W508" s="180"/>
      <c r="X508" s="180"/>
      <c r="Y508" s="180"/>
      <c r="Z508" s="180"/>
      <c r="AA508" s="180"/>
      <c r="AB508" s="180"/>
      <c r="AC508" s="180"/>
      <c r="AD508" s="180"/>
      <c r="AE508" s="180"/>
      <c r="AF508" s="180"/>
      <c r="AG508" s="180"/>
      <c r="AH508" s="180"/>
      <c r="AI508" s="180">
        <v>0</v>
      </c>
      <c r="AJ508" s="181">
        <f t="shared" si="124"/>
        <v>0</v>
      </c>
      <c r="AK508" s="180">
        <f t="shared" ref="AK508:AK517" si="132">SUM(Q508-AI508)</f>
        <v>12500000</v>
      </c>
      <c r="AL508" s="181">
        <f t="shared" ref="AL508:AL545" si="133">AK508/Q508*100</f>
        <v>100</v>
      </c>
      <c r="AM508" s="243"/>
    </row>
    <row r="509" spans="1:39" ht="29.25" customHeight="1" x14ac:dyDescent="0.25">
      <c r="A509" s="243"/>
      <c r="B509" s="362"/>
      <c r="C509" s="362"/>
      <c r="D509" s="362"/>
      <c r="E509" s="362"/>
      <c r="F509" s="362"/>
      <c r="G509" s="362"/>
      <c r="H509" s="362"/>
      <c r="I509" s="363"/>
      <c r="J509" s="362" t="s">
        <v>328</v>
      </c>
      <c r="K509" s="245"/>
      <c r="L509" s="257"/>
      <c r="M509" s="591" t="s">
        <v>329</v>
      </c>
      <c r="N509" s="592"/>
      <c r="O509" s="179"/>
      <c r="P509" s="180"/>
      <c r="Q509" s="180">
        <v>5000000</v>
      </c>
      <c r="R509" s="181">
        <f>Q509/Q$506*100</f>
        <v>0.49494612001689114</v>
      </c>
      <c r="S509" s="181">
        <v>100</v>
      </c>
      <c r="T509" s="180">
        <f t="shared" si="114"/>
        <v>0</v>
      </c>
      <c r="U509" s="180">
        <f t="shared" si="119"/>
        <v>0</v>
      </c>
      <c r="V509" s="182">
        <f t="shared" si="92"/>
        <v>100</v>
      </c>
      <c r="W509" s="180"/>
      <c r="X509" s="180"/>
      <c r="Y509" s="180"/>
      <c r="Z509" s="180"/>
      <c r="AA509" s="180"/>
      <c r="AB509" s="180"/>
      <c r="AC509" s="180"/>
      <c r="AD509" s="180"/>
      <c r="AE509" s="180"/>
      <c r="AF509" s="180"/>
      <c r="AG509" s="180"/>
      <c r="AH509" s="180"/>
      <c r="AI509" s="180">
        <v>0</v>
      </c>
      <c r="AJ509" s="181">
        <f t="shared" si="124"/>
        <v>0</v>
      </c>
      <c r="AK509" s="180">
        <f t="shared" si="132"/>
        <v>5000000</v>
      </c>
      <c r="AL509" s="181">
        <f t="shared" si="133"/>
        <v>100</v>
      </c>
      <c r="AM509" s="243"/>
    </row>
    <row r="510" spans="1:39" ht="29.25" customHeight="1" x14ac:dyDescent="0.25">
      <c r="A510" s="243"/>
      <c r="B510" s="362"/>
      <c r="C510" s="362"/>
      <c r="D510" s="362"/>
      <c r="E510" s="362"/>
      <c r="F510" s="362"/>
      <c r="G510" s="362"/>
      <c r="H510" s="362"/>
      <c r="I510" s="363"/>
      <c r="J510" s="362" t="s">
        <v>370</v>
      </c>
      <c r="K510" s="245"/>
      <c r="L510" s="257"/>
      <c r="M510" s="591" t="s">
        <v>371</v>
      </c>
      <c r="N510" s="592"/>
      <c r="O510" s="179"/>
      <c r="P510" s="180"/>
      <c r="Q510" s="180">
        <v>47450000</v>
      </c>
      <c r="R510" s="181">
        <f t="shared" ref="R510:R517" si="134">Q510/Q$506*100</f>
        <v>4.6970386789602969</v>
      </c>
      <c r="S510" s="181">
        <v>100</v>
      </c>
      <c r="T510" s="180">
        <f t="shared" si="114"/>
        <v>0</v>
      </c>
      <c r="U510" s="180">
        <f t="shared" si="119"/>
        <v>0</v>
      </c>
      <c r="V510" s="182">
        <f t="shared" si="92"/>
        <v>100</v>
      </c>
      <c r="W510" s="180"/>
      <c r="X510" s="180"/>
      <c r="Y510" s="180"/>
      <c r="Z510" s="180"/>
      <c r="AA510" s="180"/>
      <c r="AB510" s="180"/>
      <c r="AC510" s="180"/>
      <c r="AD510" s="180"/>
      <c r="AE510" s="180"/>
      <c r="AF510" s="180"/>
      <c r="AG510" s="180"/>
      <c r="AH510" s="180"/>
      <c r="AI510" s="180">
        <v>0</v>
      </c>
      <c r="AJ510" s="181">
        <f t="shared" si="124"/>
        <v>0</v>
      </c>
      <c r="AK510" s="180">
        <f t="shared" si="132"/>
        <v>47450000</v>
      </c>
      <c r="AL510" s="181">
        <f t="shared" si="133"/>
        <v>100</v>
      </c>
      <c r="AM510" s="243"/>
    </row>
    <row r="511" spans="1:39" ht="29.25" customHeight="1" x14ac:dyDescent="0.25">
      <c r="A511" s="243"/>
      <c r="B511" s="362"/>
      <c r="C511" s="362"/>
      <c r="D511" s="362"/>
      <c r="E511" s="362"/>
      <c r="F511" s="362"/>
      <c r="G511" s="362"/>
      <c r="H511" s="362"/>
      <c r="I511" s="363"/>
      <c r="J511" s="362" t="s">
        <v>280</v>
      </c>
      <c r="K511" s="245"/>
      <c r="L511" s="257"/>
      <c r="M511" s="591" t="s">
        <v>422</v>
      </c>
      <c r="N511" s="592"/>
      <c r="O511" s="179"/>
      <c r="P511" s="180"/>
      <c r="Q511" s="180">
        <v>2000000</v>
      </c>
      <c r="R511" s="181">
        <f t="shared" si="134"/>
        <v>0.19797844800675643</v>
      </c>
      <c r="S511" s="181">
        <v>100</v>
      </c>
      <c r="T511" s="180">
        <f t="shared" si="114"/>
        <v>0</v>
      </c>
      <c r="U511" s="180">
        <f t="shared" si="119"/>
        <v>0</v>
      </c>
      <c r="V511" s="182">
        <f t="shared" si="92"/>
        <v>100</v>
      </c>
      <c r="W511" s="180"/>
      <c r="X511" s="180"/>
      <c r="Y511" s="180"/>
      <c r="Z511" s="180"/>
      <c r="AA511" s="180"/>
      <c r="AB511" s="180"/>
      <c r="AC511" s="180"/>
      <c r="AD511" s="180"/>
      <c r="AE511" s="180"/>
      <c r="AF511" s="180"/>
      <c r="AG511" s="180"/>
      <c r="AH511" s="180"/>
      <c r="AI511" s="180">
        <v>0</v>
      </c>
      <c r="AJ511" s="181">
        <f t="shared" si="124"/>
        <v>0</v>
      </c>
      <c r="AK511" s="180">
        <f t="shared" si="132"/>
        <v>2000000</v>
      </c>
      <c r="AL511" s="181">
        <f t="shared" si="133"/>
        <v>100</v>
      </c>
      <c r="AM511" s="243"/>
    </row>
    <row r="512" spans="1:39" ht="29.25" customHeight="1" x14ac:dyDescent="0.25">
      <c r="A512" s="243"/>
      <c r="B512" s="362"/>
      <c r="C512" s="362"/>
      <c r="D512" s="362"/>
      <c r="E512" s="362"/>
      <c r="F512" s="362"/>
      <c r="G512" s="362"/>
      <c r="H512" s="362"/>
      <c r="I512" s="363"/>
      <c r="J512" s="362" t="s">
        <v>339</v>
      </c>
      <c r="K512" s="245"/>
      <c r="L512" s="257"/>
      <c r="M512" s="591" t="s">
        <v>340</v>
      </c>
      <c r="N512" s="592"/>
      <c r="O512" s="179"/>
      <c r="P512" s="180"/>
      <c r="Q512" s="180">
        <v>71500000</v>
      </c>
      <c r="R512" s="181">
        <f t="shared" si="134"/>
        <v>7.0777295162415435</v>
      </c>
      <c r="S512" s="181">
        <v>100</v>
      </c>
      <c r="T512" s="180">
        <f t="shared" si="114"/>
        <v>0</v>
      </c>
      <c r="U512" s="180">
        <f t="shared" si="119"/>
        <v>0</v>
      </c>
      <c r="V512" s="182">
        <f t="shared" si="92"/>
        <v>100</v>
      </c>
      <c r="W512" s="180"/>
      <c r="X512" s="180"/>
      <c r="Y512" s="180"/>
      <c r="Z512" s="180"/>
      <c r="AA512" s="180"/>
      <c r="AB512" s="180"/>
      <c r="AC512" s="180"/>
      <c r="AD512" s="180"/>
      <c r="AE512" s="180"/>
      <c r="AF512" s="180"/>
      <c r="AG512" s="180"/>
      <c r="AH512" s="180"/>
      <c r="AI512" s="180">
        <v>0</v>
      </c>
      <c r="AJ512" s="181">
        <f t="shared" si="124"/>
        <v>0</v>
      </c>
      <c r="AK512" s="180">
        <f t="shared" si="132"/>
        <v>71500000</v>
      </c>
      <c r="AL512" s="181">
        <f t="shared" si="133"/>
        <v>100</v>
      </c>
      <c r="AM512" s="243"/>
    </row>
    <row r="513" spans="1:39" ht="29.25" customHeight="1" x14ac:dyDescent="0.25">
      <c r="A513" s="243"/>
      <c r="B513" s="362"/>
      <c r="C513" s="362"/>
      <c r="D513" s="362"/>
      <c r="E513" s="362"/>
      <c r="F513" s="362"/>
      <c r="G513" s="362"/>
      <c r="H513" s="362"/>
      <c r="I513" s="363"/>
      <c r="J513" s="362" t="s">
        <v>284</v>
      </c>
      <c r="K513" s="245"/>
      <c r="L513" s="257"/>
      <c r="M513" s="591" t="s">
        <v>285</v>
      </c>
      <c r="N513" s="592"/>
      <c r="O513" s="179"/>
      <c r="P513" s="180"/>
      <c r="Q513" s="180">
        <v>8900000</v>
      </c>
      <c r="R513" s="181">
        <f t="shared" si="134"/>
        <v>0.88100409363006615</v>
      </c>
      <c r="S513" s="181">
        <v>100</v>
      </c>
      <c r="T513" s="180">
        <f t="shared" si="114"/>
        <v>0</v>
      </c>
      <c r="U513" s="180">
        <f t="shared" si="119"/>
        <v>0</v>
      </c>
      <c r="V513" s="182">
        <f t="shared" si="92"/>
        <v>100</v>
      </c>
      <c r="W513" s="180"/>
      <c r="X513" s="180"/>
      <c r="Y513" s="180"/>
      <c r="Z513" s="180"/>
      <c r="AA513" s="180"/>
      <c r="AB513" s="180"/>
      <c r="AC513" s="180"/>
      <c r="AD513" s="180"/>
      <c r="AE513" s="180"/>
      <c r="AF513" s="180"/>
      <c r="AG513" s="180"/>
      <c r="AH513" s="180"/>
      <c r="AI513" s="180">
        <v>0</v>
      </c>
      <c r="AJ513" s="181">
        <f t="shared" si="124"/>
        <v>0</v>
      </c>
      <c r="AK513" s="180">
        <f t="shared" si="132"/>
        <v>8900000</v>
      </c>
      <c r="AL513" s="181">
        <f t="shared" si="133"/>
        <v>100</v>
      </c>
      <c r="AM513" s="243"/>
    </row>
    <row r="514" spans="1:39" ht="29.25" customHeight="1" x14ac:dyDescent="0.25">
      <c r="A514" s="243"/>
      <c r="B514" s="362"/>
      <c r="C514" s="362"/>
      <c r="D514" s="362"/>
      <c r="E514" s="362"/>
      <c r="F514" s="362"/>
      <c r="G514" s="362"/>
      <c r="H514" s="362"/>
      <c r="I514" s="363"/>
      <c r="J514" s="362"/>
      <c r="K514" s="245"/>
      <c r="L514" s="257"/>
      <c r="M514" s="591" t="s">
        <v>503</v>
      </c>
      <c r="N514" s="592"/>
      <c r="O514" s="179"/>
      <c r="P514" s="180"/>
      <c r="Q514" s="180">
        <v>48070000</v>
      </c>
      <c r="R514" s="181">
        <f t="shared" si="134"/>
        <v>4.7584119978423915</v>
      </c>
      <c r="S514" s="181">
        <v>100</v>
      </c>
      <c r="T514" s="180">
        <f t="shared" si="114"/>
        <v>0</v>
      </c>
      <c r="U514" s="180">
        <f t="shared" si="119"/>
        <v>0</v>
      </c>
      <c r="V514" s="182">
        <f t="shared" si="92"/>
        <v>100</v>
      </c>
      <c r="W514" s="180"/>
      <c r="X514" s="180"/>
      <c r="Y514" s="180"/>
      <c r="Z514" s="180"/>
      <c r="AA514" s="180"/>
      <c r="AB514" s="180"/>
      <c r="AC514" s="180"/>
      <c r="AD514" s="180"/>
      <c r="AE514" s="180"/>
      <c r="AF514" s="180"/>
      <c r="AG514" s="180"/>
      <c r="AH514" s="180"/>
      <c r="AI514" s="180">
        <v>0</v>
      </c>
      <c r="AJ514" s="181">
        <f t="shared" si="124"/>
        <v>0</v>
      </c>
      <c r="AK514" s="180">
        <f t="shared" si="132"/>
        <v>48070000</v>
      </c>
      <c r="AL514" s="181">
        <f t="shared" si="133"/>
        <v>100</v>
      </c>
      <c r="AM514" s="243"/>
    </row>
    <row r="515" spans="1:39" ht="29.25" customHeight="1" x14ac:dyDescent="0.25">
      <c r="A515" s="243"/>
      <c r="B515" s="362"/>
      <c r="C515" s="362"/>
      <c r="D515" s="362"/>
      <c r="E515" s="362"/>
      <c r="F515" s="362"/>
      <c r="G515" s="362"/>
      <c r="H515" s="362"/>
      <c r="I515" s="363"/>
      <c r="J515" s="362" t="s">
        <v>309</v>
      </c>
      <c r="K515" s="245"/>
      <c r="L515" s="257"/>
      <c r="M515" s="591" t="s">
        <v>310</v>
      </c>
      <c r="N515" s="592"/>
      <c r="O515" s="179"/>
      <c r="P515" s="180"/>
      <c r="Q515" s="180">
        <v>485712000</v>
      </c>
      <c r="R515" s="181">
        <f t="shared" si="134"/>
        <v>48.080253969128847</v>
      </c>
      <c r="S515" s="181">
        <v>100</v>
      </c>
      <c r="T515" s="180">
        <f t="shared" si="114"/>
        <v>0</v>
      </c>
      <c r="U515" s="180">
        <f t="shared" si="119"/>
        <v>0</v>
      </c>
      <c r="V515" s="182">
        <f t="shared" si="92"/>
        <v>100</v>
      </c>
      <c r="W515" s="180"/>
      <c r="X515" s="180"/>
      <c r="Y515" s="180"/>
      <c r="Z515" s="180"/>
      <c r="AA515" s="180"/>
      <c r="AB515" s="180"/>
      <c r="AC515" s="180"/>
      <c r="AD515" s="180"/>
      <c r="AE515" s="180"/>
      <c r="AF515" s="180"/>
      <c r="AG515" s="180"/>
      <c r="AH515" s="180"/>
      <c r="AI515" s="180">
        <v>0</v>
      </c>
      <c r="AJ515" s="181">
        <f t="shared" si="124"/>
        <v>0</v>
      </c>
      <c r="AK515" s="180">
        <f t="shared" si="132"/>
        <v>485712000</v>
      </c>
      <c r="AL515" s="181">
        <f t="shared" si="133"/>
        <v>100</v>
      </c>
      <c r="AM515" s="243"/>
    </row>
    <row r="516" spans="1:39" ht="29.25" customHeight="1" x14ac:dyDescent="0.25">
      <c r="A516" s="243"/>
      <c r="B516" s="362"/>
      <c r="C516" s="362"/>
      <c r="D516" s="362"/>
      <c r="E516" s="362"/>
      <c r="F516" s="362"/>
      <c r="G516" s="362"/>
      <c r="H516" s="362"/>
      <c r="I516" s="363"/>
      <c r="J516" s="362" t="s">
        <v>372</v>
      </c>
      <c r="K516" s="245"/>
      <c r="L516" s="257"/>
      <c r="M516" s="591" t="s">
        <v>373</v>
      </c>
      <c r="N516" s="592"/>
      <c r="O516" s="179"/>
      <c r="P516" s="180"/>
      <c r="Q516" s="180">
        <v>143000000</v>
      </c>
      <c r="R516" s="181">
        <f t="shared" si="134"/>
        <v>14.155459032483087</v>
      </c>
      <c r="S516" s="181">
        <v>100</v>
      </c>
      <c r="T516" s="180">
        <f t="shared" si="114"/>
        <v>0</v>
      </c>
      <c r="U516" s="180">
        <f t="shared" si="119"/>
        <v>0</v>
      </c>
      <c r="V516" s="182">
        <f t="shared" si="92"/>
        <v>100</v>
      </c>
      <c r="W516" s="180"/>
      <c r="X516" s="180"/>
      <c r="Y516" s="180"/>
      <c r="Z516" s="180"/>
      <c r="AA516" s="180"/>
      <c r="AB516" s="180"/>
      <c r="AC516" s="180"/>
      <c r="AD516" s="180"/>
      <c r="AE516" s="180"/>
      <c r="AF516" s="180"/>
      <c r="AG516" s="180"/>
      <c r="AH516" s="180"/>
      <c r="AI516" s="180">
        <v>0</v>
      </c>
      <c r="AJ516" s="181">
        <f t="shared" si="124"/>
        <v>0</v>
      </c>
      <c r="AK516" s="180">
        <f t="shared" si="132"/>
        <v>143000000</v>
      </c>
      <c r="AL516" s="181">
        <f t="shared" si="133"/>
        <v>100</v>
      </c>
      <c r="AM516" s="243"/>
    </row>
    <row r="517" spans="1:39" ht="29.25" customHeight="1" x14ac:dyDescent="0.25">
      <c r="A517" s="243"/>
      <c r="B517" s="362"/>
      <c r="C517" s="362"/>
      <c r="D517" s="362"/>
      <c r="E517" s="362"/>
      <c r="F517" s="362"/>
      <c r="G517" s="362"/>
      <c r="H517" s="362"/>
      <c r="I517" s="363"/>
      <c r="J517" s="362" t="s">
        <v>551</v>
      </c>
      <c r="K517" s="245"/>
      <c r="L517" s="257"/>
      <c r="M517" s="591" t="s">
        <v>550</v>
      </c>
      <c r="N517" s="592"/>
      <c r="O517" s="179"/>
      <c r="P517" s="180"/>
      <c r="Q517" s="180">
        <v>175264000</v>
      </c>
      <c r="R517" s="181">
        <f t="shared" si="134"/>
        <v>17.349247355728082</v>
      </c>
      <c r="S517" s="181">
        <v>100</v>
      </c>
      <c r="T517" s="180">
        <f t="shared" si="114"/>
        <v>0</v>
      </c>
      <c r="U517" s="180">
        <f t="shared" si="119"/>
        <v>0</v>
      </c>
      <c r="V517" s="182">
        <f t="shared" si="92"/>
        <v>100</v>
      </c>
      <c r="W517" s="180"/>
      <c r="X517" s="180"/>
      <c r="Y517" s="180"/>
      <c r="Z517" s="180"/>
      <c r="AA517" s="180"/>
      <c r="AB517" s="180"/>
      <c r="AC517" s="180"/>
      <c r="AD517" s="180"/>
      <c r="AE517" s="180"/>
      <c r="AF517" s="180"/>
      <c r="AG517" s="180"/>
      <c r="AH517" s="180"/>
      <c r="AI517" s="180">
        <v>0</v>
      </c>
      <c r="AJ517" s="181">
        <f t="shared" si="124"/>
        <v>0</v>
      </c>
      <c r="AK517" s="180">
        <f t="shared" si="132"/>
        <v>175264000</v>
      </c>
      <c r="AL517" s="181">
        <f t="shared" si="133"/>
        <v>100</v>
      </c>
      <c r="AM517" s="243"/>
    </row>
    <row r="518" spans="1:39" s="297" customFormat="1" ht="28.5" customHeight="1" x14ac:dyDescent="0.25">
      <c r="A518" s="227">
        <f>A506+1</f>
        <v>65</v>
      </c>
      <c r="B518" s="615" t="s">
        <v>158</v>
      </c>
      <c r="C518" s="615"/>
      <c r="D518" s="615"/>
      <c r="E518" s="615"/>
      <c r="F518" s="615"/>
      <c r="G518" s="615"/>
      <c r="H518" s="615"/>
      <c r="I518" s="614"/>
      <c r="J518" s="304" t="s">
        <v>518</v>
      </c>
      <c r="K518" s="230"/>
      <c r="L518" s="294"/>
      <c r="M518" s="610" t="s">
        <v>163</v>
      </c>
      <c r="N518" s="610"/>
      <c r="O518" s="309">
        <v>355300000</v>
      </c>
      <c r="P518" s="231">
        <v>0</v>
      </c>
      <c r="Q518" s="231">
        <f>SUM(Q519:Q524)</f>
        <v>130200000</v>
      </c>
      <c r="R518" s="233">
        <f>Q518/Q$243*100</f>
        <v>1.0915635044942593</v>
      </c>
      <c r="S518" s="233">
        <v>100</v>
      </c>
      <c r="T518" s="231">
        <f t="shared" si="114"/>
        <v>0</v>
      </c>
      <c r="U518" s="231">
        <f t="shared" si="119"/>
        <v>0</v>
      </c>
      <c r="V518" s="296">
        <f t="shared" si="92"/>
        <v>100</v>
      </c>
      <c r="W518" s="231"/>
      <c r="X518" s="231"/>
      <c r="Y518" s="231"/>
      <c r="Z518" s="231"/>
      <c r="AA518" s="231"/>
      <c r="AB518" s="231"/>
      <c r="AC518" s="231"/>
      <c r="AD518" s="231"/>
      <c r="AE518" s="231"/>
      <c r="AF518" s="231"/>
      <c r="AG518" s="231" t="e">
        <f>[2]april!N84</f>
        <v>#REF!</v>
      </c>
      <c r="AH518" s="231">
        <f>'[3]DES SKPD'!$N84</f>
        <v>52275000</v>
      </c>
      <c r="AI518" s="231">
        <f>SUM(AI520:AI524)</f>
        <v>0</v>
      </c>
      <c r="AJ518" s="233">
        <f t="shared" si="124"/>
        <v>0</v>
      </c>
      <c r="AK518" s="234">
        <f t="shared" ref="AK518:AK525" si="135">Q518-AI518</f>
        <v>130200000</v>
      </c>
      <c r="AL518" s="233">
        <f t="shared" si="133"/>
        <v>100</v>
      </c>
      <c r="AM518" s="227"/>
    </row>
    <row r="519" spans="1:39" s="297" customFormat="1" ht="28.5" customHeight="1" x14ac:dyDescent="0.25">
      <c r="A519" s="227"/>
      <c r="B519" s="367"/>
      <c r="C519" s="367"/>
      <c r="D519" s="367"/>
      <c r="E519" s="367"/>
      <c r="F519" s="367"/>
      <c r="G519" s="367"/>
      <c r="H519" s="367"/>
      <c r="I519" s="366"/>
      <c r="J519" s="362" t="s">
        <v>323</v>
      </c>
      <c r="K519" s="230"/>
      <c r="L519" s="294"/>
      <c r="M519" s="591" t="s">
        <v>324</v>
      </c>
      <c r="N519" s="592"/>
      <c r="O519" s="309"/>
      <c r="P519" s="231"/>
      <c r="Q519" s="180">
        <v>6000000</v>
      </c>
      <c r="R519" s="181">
        <f t="shared" ref="R519:R524" si="136">Q519/Q$518*100</f>
        <v>4.6082949308755765</v>
      </c>
      <c r="S519" s="181">
        <v>100</v>
      </c>
      <c r="T519" s="180">
        <f t="shared" si="114"/>
        <v>0</v>
      </c>
      <c r="U519" s="180">
        <f t="shared" si="119"/>
        <v>0</v>
      </c>
      <c r="V519" s="182">
        <f t="shared" si="92"/>
        <v>100</v>
      </c>
      <c r="W519" s="180"/>
      <c r="X519" s="180"/>
      <c r="Y519" s="180"/>
      <c r="Z519" s="180"/>
      <c r="AA519" s="180"/>
      <c r="AB519" s="180"/>
      <c r="AC519" s="180"/>
      <c r="AD519" s="180"/>
      <c r="AE519" s="180"/>
      <c r="AF519" s="180"/>
      <c r="AG519" s="180"/>
      <c r="AH519" s="180"/>
      <c r="AI519" s="180">
        <v>0</v>
      </c>
      <c r="AJ519" s="181">
        <f t="shared" si="124"/>
        <v>0</v>
      </c>
      <c r="AK519" s="246">
        <f t="shared" si="135"/>
        <v>6000000</v>
      </c>
      <c r="AL519" s="181">
        <f t="shared" si="133"/>
        <v>100</v>
      </c>
      <c r="AM519" s="227"/>
    </row>
    <row r="520" spans="1:39" s="313" customFormat="1" ht="24.75" customHeight="1" x14ac:dyDescent="0.25">
      <c r="A520" s="243"/>
      <c r="B520" s="362"/>
      <c r="C520" s="362"/>
      <c r="D520" s="362"/>
      <c r="E520" s="362"/>
      <c r="F520" s="362"/>
      <c r="G520" s="362"/>
      <c r="H520" s="362"/>
      <c r="I520" s="363"/>
      <c r="J520" s="362" t="s">
        <v>315</v>
      </c>
      <c r="K520" s="245"/>
      <c r="L520" s="257"/>
      <c r="M520" s="591" t="s">
        <v>271</v>
      </c>
      <c r="N520" s="592"/>
      <c r="O520" s="179"/>
      <c r="P520" s="180"/>
      <c r="Q520" s="180">
        <v>4000000</v>
      </c>
      <c r="R520" s="181">
        <f t="shared" si="136"/>
        <v>3.0721966205837172</v>
      </c>
      <c r="S520" s="181">
        <v>100</v>
      </c>
      <c r="T520" s="180">
        <f t="shared" si="114"/>
        <v>0</v>
      </c>
      <c r="U520" s="180">
        <f t="shared" si="119"/>
        <v>0</v>
      </c>
      <c r="V520" s="182">
        <f t="shared" si="92"/>
        <v>100</v>
      </c>
      <c r="W520" s="180"/>
      <c r="X520" s="180"/>
      <c r="Y520" s="180"/>
      <c r="Z520" s="180"/>
      <c r="AA520" s="180"/>
      <c r="AB520" s="180"/>
      <c r="AC520" s="180"/>
      <c r="AD520" s="180"/>
      <c r="AE520" s="180"/>
      <c r="AF520" s="180"/>
      <c r="AG520" s="180"/>
      <c r="AH520" s="180"/>
      <c r="AI520" s="180">
        <v>0</v>
      </c>
      <c r="AJ520" s="181">
        <f t="shared" si="124"/>
        <v>0</v>
      </c>
      <c r="AK520" s="246">
        <f t="shared" si="135"/>
        <v>4000000</v>
      </c>
      <c r="AL520" s="181">
        <f t="shared" si="133"/>
        <v>100</v>
      </c>
      <c r="AM520" s="243"/>
    </row>
    <row r="521" spans="1:39" s="313" customFormat="1" ht="24.75" customHeight="1" x14ac:dyDescent="0.25">
      <c r="A521" s="243"/>
      <c r="B521" s="362"/>
      <c r="C521" s="362"/>
      <c r="D521" s="362"/>
      <c r="E521" s="362"/>
      <c r="F521" s="362"/>
      <c r="G521" s="362"/>
      <c r="H521" s="362"/>
      <c r="I521" s="363"/>
      <c r="J521" s="362" t="s">
        <v>280</v>
      </c>
      <c r="K521" s="245"/>
      <c r="L521" s="257"/>
      <c r="M521" s="591" t="s">
        <v>423</v>
      </c>
      <c r="N521" s="592"/>
      <c r="O521" s="179"/>
      <c r="P521" s="180"/>
      <c r="Q521" s="180">
        <v>1000000</v>
      </c>
      <c r="R521" s="181">
        <f t="shared" si="136"/>
        <v>0.76804915514592931</v>
      </c>
      <c r="S521" s="181">
        <v>100</v>
      </c>
      <c r="T521" s="180">
        <f t="shared" si="114"/>
        <v>0</v>
      </c>
      <c r="U521" s="180">
        <f t="shared" si="119"/>
        <v>0</v>
      </c>
      <c r="V521" s="182">
        <f t="shared" si="92"/>
        <v>100</v>
      </c>
      <c r="W521" s="180"/>
      <c r="X521" s="180"/>
      <c r="Y521" s="180"/>
      <c r="Z521" s="180"/>
      <c r="AA521" s="180"/>
      <c r="AB521" s="180"/>
      <c r="AC521" s="180"/>
      <c r="AD521" s="180"/>
      <c r="AE521" s="180"/>
      <c r="AF521" s="180"/>
      <c r="AG521" s="180"/>
      <c r="AH521" s="180"/>
      <c r="AI521" s="180">
        <v>0</v>
      </c>
      <c r="AJ521" s="181">
        <f t="shared" si="124"/>
        <v>0</v>
      </c>
      <c r="AK521" s="246">
        <f t="shared" si="135"/>
        <v>1000000</v>
      </c>
      <c r="AL521" s="181">
        <f t="shared" si="133"/>
        <v>100</v>
      </c>
      <c r="AM521" s="243"/>
    </row>
    <row r="522" spans="1:39" s="313" customFormat="1" ht="24.75" customHeight="1" x14ac:dyDescent="0.25">
      <c r="A522" s="243"/>
      <c r="B522" s="362"/>
      <c r="C522" s="362"/>
      <c r="D522" s="362"/>
      <c r="E522" s="362"/>
      <c r="F522" s="362"/>
      <c r="G522" s="362"/>
      <c r="H522" s="362"/>
      <c r="I522" s="363"/>
      <c r="J522" s="362" t="s">
        <v>284</v>
      </c>
      <c r="K522" s="245"/>
      <c r="L522" s="257"/>
      <c r="M522" s="591" t="s">
        <v>285</v>
      </c>
      <c r="N522" s="592"/>
      <c r="O522" s="179"/>
      <c r="P522" s="180"/>
      <c r="Q522" s="180">
        <v>5000000</v>
      </c>
      <c r="R522" s="181">
        <f t="shared" si="136"/>
        <v>3.8402457757296471</v>
      </c>
      <c r="S522" s="181">
        <v>100</v>
      </c>
      <c r="T522" s="180">
        <f t="shared" si="114"/>
        <v>0</v>
      </c>
      <c r="U522" s="180">
        <f t="shared" si="119"/>
        <v>0</v>
      </c>
      <c r="V522" s="182">
        <f t="shared" si="92"/>
        <v>100</v>
      </c>
      <c r="W522" s="180"/>
      <c r="X522" s="180"/>
      <c r="Y522" s="180"/>
      <c r="Z522" s="180"/>
      <c r="AA522" s="180"/>
      <c r="AB522" s="180"/>
      <c r="AC522" s="180"/>
      <c r="AD522" s="180"/>
      <c r="AE522" s="180"/>
      <c r="AF522" s="180"/>
      <c r="AG522" s="180"/>
      <c r="AH522" s="180"/>
      <c r="AI522" s="180">
        <v>0</v>
      </c>
      <c r="AJ522" s="181">
        <f t="shared" si="124"/>
        <v>0</v>
      </c>
      <c r="AK522" s="246">
        <f t="shared" si="135"/>
        <v>5000000</v>
      </c>
      <c r="AL522" s="181">
        <f t="shared" si="133"/>
        <v>100</v>
      </c>
      <c r="AM522" s="243"/>
    </row>
    <row r="523" spans="1:39" s="313" customFormat="1" ht="24.75" customHeight="1" x14ac:dyDescent="0.25">
      <c r="A523" s="243"/>
      <c r="B523" s="362"/>
      <c r="C523" s="362"/>
      <c r="D523" s="362"/>
      <c r="E523" s="362"/>
      <c r="F523" s="362"/>
      <c r="G523" s="362"/>
      <c r="H523" s="362"/>
      <c r="I523" s="363"/>
      <c r="J523" s="362"/>
      <c r="K523" s="245"/>
      <c r="L523" s="257"/>
      <c r="M523" s="591" t="s">
        <v>503</v>
      </c>
      <c r="N523" s="592"/>
      <c r="O523" s="179"/>
      <c r="P523" s="180"/>
      <c r="Q523" s="180">
        <v>10000000</v>
      </c>
      <c r="R523" s="181">
        <f t="shared" si="136"/>
        <v>7.6804915514592942</v>
      </c>
      <c r="S523" s="181">
        <v>100</v>
      </c>
      <c r="T523" s="180">
        <f t="shared" si="114"/>
        <v>0</v>
      </c>
      <c r="U523" s="180">
        <f t="shared" si="119"/>
        <v>0</v>
      </c>
      <c r="V523" s="182">
        <f t="shared" si="92"/>
        <v>100</v>
      </c>
      <c r="W523" s="180"/>
      <c r="X523" s="180"/>
      <c r="Y523" s="180"/>
      <c r="Z523" s="180"/>
      <c r="AA523" s="180"/>
      <c r="AB523" s="180"/>
      <c r="AC523" s="180"/>
      <c r="AD523" s="180"/>
      <c r="AE523" s="180"/>
      <c r="AF523" s="180"/>
      <c r="AG523" s="180"/>
      <c r="AH523" s="180"/>
      <c r="AI523" s="180">
        <v>0</v>
      </c>
      <c r="AJ523" s="181">
        <f t="shared" si="124"/>
        <v>0</v>
      </c>
      <c r="AK523" s="246">
        <f t="shared" si="135"/>
        <v>10000000</v>
      </c>
      <c r="AL523" s="181">
        <f t="shared" si="133"/>
        <v>100</v>
      </c>
      <c r="AM523" s="243"/>
    </row>
    <row r="524" spans="1:39" ht="24.75" customHeight="1" x14ac:dyDescent="0.25">
      <c r="A524" s="243"/>
      <c r="B524" s="362"/>
      <c r="C524" s="362"/>
      <c r="D524" s="362"/>
      <c r="E524" s="362"/>
      <c r="F524" s="362"/>
      <c r="G524" s="362"/>
      <c r="H524" s="362"/>
      <c r="I524" s="363"/>
      <c r="J524" s="362" t="s">
        <v>309</v>
      </c>
      <c r="K524" s="245"/>
      <c r="L524" s="257"/>
      <c r="M524" s="591" t="s">
        <v>310</v>
      </c>
      <c r="N524" s="592"/>
      <c r="O524" s="179"/>
      <c r="P524" s="180"/>
      <c r="Q524" s="180">
        <v>104200000</v>
      </c>
      <c r="R524" s="181">
        <f t="shared" si="136"/>
        <v>80.030721966205846</v>
      </c>
      <c r="S524" s="181">
        <v>100</v>
      </c>
      <c r="T524" s="180">
        <f t="shared" si="114"/>
        <v>0</v>
      </c>
      <c r="U524" s="180">
        <f t="shared" si="119"/>
        <v>0</v>
      </c>
      <c r="V524" s="182">
        <f t="shared" si="92"/>
        <v>100</v>
      </c>
      <c r="W524" s="180"/>
      <c r="X524" s="180"/>
      <c r="Y524" s="180"/>
      <c r="Z524" s="180"/>
      <c r="AA524" s="180"/>
      <c r="AB524" s="180"/>
      <c r="AC524" s="180"/>
      <c r="AD524" s="180"/>
      <c r="AE524" s="180"/>
      <c r="AF524" s="180"/>
      <c r="AG524" s="180"/>
      <c r="AH524" s="180"/>
      <c r="AI524" s="180">
        <v>0</v>
      </c>
      <c r="AJ524" s="181">
        <f t="shared" si="124"/>
        <v>0</v>
      </c>
      <c r="AK524" s="246">
        <f t="shared" si="135"/>
        <v>104200000</v>
      </c>
      <c r="AL524" s="181">
        <f t="shared" si="133"/>
        <v>100</v>
      </c>
      <c r="AM524" s="243"/>
    </row>
    <row r="525" spans="1:39" s="297" customFormat="1" ht="29.25" customHeight="1" x14ac:dyDescent="0.25">
      <c r="A525" s="227">
        <f>A518+1</f>
        <v>66</v>
      </c>
      <c r="B525" s="615" t="s">
        <v>158</v>
      </c>
      <c r="C525" s="615"/>
      <c r="D525" s="615"/>
      <c r="E525" s="615"/>
      <c r="F525" s="615"/>
      <c r="G525" s="615"/>
      <c r="H525" s="615"/>
      <c r="I525" s="614"/>
      <c r="J525" s="304" t="s">
        <v>519</v>
      </c>
      <c r="K525" s="230"/>
      <c r="L525" s="294"/>
      <c r="M525" s="610" t="s">
        <v>164</v>
      </c>
      <c r="N525" s="610"/>
      <c r="O525" s="309">
        <v>355300000</v>
      </c>
      <c r="P525" s="231">
        <v>0</v>
      </c>
      <c r="Q525" s="231">
        <f>SUM(Q526:Q536)</f>
        <v>154081000</v>
      </c>
      <c r="R525" s="233">
        <f>Q525/Q$243*100</f>
        <v>1.2917757015052225</v>
      </c>
      <c r="S525" s="233">
        <v>100</v>
      </c>
      <c r="T525" s="231">
        <f t="shared" si="114"/>
        <v>91.869211648418698</v>
      </c>
      <c r="U525" s="231">
        <f t="shared" si="119"/>
        <v>1.1867441532386782</v>
      </c>
      <c r="V525" s="296">
        <f t="shared" si="92"/>
        <v>8.1307883515813018</v>
      </c>
      <c r="W525" s="231"/>
      <c r="X525" s="231"/>
      <c r="Y525" s="231"/>
      <c r="Z525" s="231"/>
      <c r="AA525" s="231"/>
      <c r="AB525" s="231"/>
      <c r="AC525" s="231"/>
      <c r="AD525" s="231"/>
      <c r="AE525" s="231"/>
      <c r="AF525" s="231"/>
      <c r="AG525" s="231" t="e">
        <f>[2]april!N85</f>
        <v>#REF!</v>
      </c>
      <c r="AH525" s="231">
        <f>'[3]DES SKPD'!$N85</f>
        <v>78380000</v>
      </c>
      <c r="AI525" s="231">
        <f>SUM(AI526:AI536)</f>
        <v>141553000</v>
      </c>
      <c r="AJ525" s="233">
        <f t="shared" si="124"/>
        <v>91.869211648418698</v>
      </c>
      <c r="AK525" s="234">
        <f t="shared" si="135"/>
        <v>12528000</v>
      </c>
      <c r="AL525" s="233">
        <f t="shared" si="133"/>
        <v>8.1307883515813106</v>
      </c>
      <c r="AM525" s="227"/>
    </row>
    <row r="526" spans="1:39" ht="29.25" customHeight="1" x14ac:dyDescent="0.25">
      <c r="A526" s="243"/>
      <c r="B526" s="362"/>
      <c r="C526" s="362"/>
      <c r="D526" s="362"/>
      <c r="E526" s="362"/>
      <c r="F526" s="362"/>
      <c r="G526" s="362"/>
      <c r="H526" s="362"/>
      <c r="I526" s="363"/>
      <c r="J526" s="362" t="s">
        <v>259</v>
      </c>
      <c r="K526" s="245"/>
      <c r="L526" s="257"/>
      <c r="M526" s="591" t="s">
        <v>619</v>
      </c>
      <c r="N526" s="592"/>
      <c r="O526" s="179"/>
      <c r="P526" s="180"/>
      <c r="Q526" s="180">
        <v>1300000</v>
      </c>
      <c r="R526" s="181">
        <f>Q526/Q$525*100</f>
        <v>0.84371207351977218</v>
      </c>
      <c r="S526" s="181">
        <v>100</v>
      </c>
      <c r="T526" s="180">
        <f t="shared" si="114"/>
        <v>100</v>
      </c>
      <c r="U526" s="180">
        <f t="shared" si="119"/>
        <v>0.84371207351977218</v>
      </c>
      <c r="V526" s="182">
        <f t="shared" si="92"/>
        <v>0</v>
      </c>
      <c r="W526" s="180"/>
      <c r="X526" s="180"/>
      <c r="Y526" s="180"/>
      <c r="Z526" s="180"/>
      <c r="AA526" s="180"/>
      <c r="AB526" s="180"/>
      <c r="AC526" s="180"/>
      <c r="AD526" s="180"/>
      <c r="AE526" s="180"/>
      <c r="AF526" s="180"/>
      <c r="AG526" s="180"/>
      <c r="AH526" s="180"/>
      <c r="AI526" s="180">
        <v>1300000</v>
      </c>
      <c r="AJ526" s="181">
        <f t="shared" si="124"/>
        <v>100</v>
      </c>
      <c r="AK526" s="180">
        <f>SUM(Q526-AI526)</f>
        <v>0</v>
      </c>
      <c r="AL526" s="181">
        <f t="shared" si="133"/>
        <v>0</v>
      </c>
      <c r="AM526" s="243"/>
    </row>
    <row r="527" spans="1:39" ht="29.25" customHeight="1" x14ac:dyDescent="0.25">
      <c r="A527" s="243"/>
      <c r="B527" s="362"/>
      <c r="C527" s="362"/>
      <c r="D527" s="362"/>
      <c r="E527" s="362"/>
      <c r="F527" s="362"/>
      <c r="G527" s="362"/>
      <c r="H527" s="362"/>
      <c r="I527" s="363"/>
      <c r="J527" s="362" t="s">
        <v>618</v>
      </c>
      <c r="K527" s="245"/>
      <c r="L527" s="257"/>
      <c r="M527" s="591" t="s">
        <v>351</v>
      </c>
      <c r="N527" s="592"/>
      <c r="O527" s="179"/>
      <c r="P527" s="180"/>
      <c r="Q527" s="180">
        <v>986000</v>
      </c>
      <c r="R527" s="181">
        <f t="shared" ref="R527:R536" si="137">Q527/Q$525*100</f>
        <v>0.63992315730038096</v>
      </c>
      <c r="S527" s="181">
        <v>100</v>
      </c>
      <c r="T527" s="180">
        <f t="shared" si="114"/>
        <v>50.709939148073026</v>
      </c>
      <c r="U527" s="180">
        <f t="shared" si="119"/>
        <v>0.32450464366145082</v>
      </c>
      <c r="V527" s="182">
        <f t="shared" si="92"/>
        <v>49.290060851926974</v>
      </c>
      <c r="W527" s="180"/>
      <c r="X527" s="180"/>
      <c r="Y527" s="180"/>
      <c r="Z527" s="180"/>
      <c r="AA527" s="180"/>
      <c r="AB527" s="180"/>
      <c r="AC527" s="180"/>
      <c r="AD527" s="180"/>
      <c r="AE527" s="180"/>
      <c r="AF527" s="180"/>
      <c r="AG527" s="180"/>
      <c r="AH527" s="180"/>
      <c r="AI527" s="180">
        <v>500000</v>
      </c>
      <c r="AJ527" s="181">
        <f t="shared" si="124"/>
        <v>50.709939148073026</v>
      </c>
      <c r="AK527" s="180">
        <f t="shared" ref="AK527:AK536" si="138">SUM(Q527-AI527)</f>
        <v>486000</v>
      </c>
      <c r="AL527" s="181">
        <f t="shared" si="133"/>
        <v>49.290060851926974</v>
      </c>
      <c r="AM527" s="243"/>
    </row>
    <row r="528" spans="1:39" ht="29.25" customHeight="1" x14ac:dyDescent="0.25">
      <c r="A528" s="243"/>
      <c r="B528" s="362"/>
      <c r="C528" s="362"/>
      <c r="D528" s="362"/>
      <c r="E528" s="362"/>
      <c r="F528" s="362"/>
      <c r="G528" s="362"/>
      <c r="H528" s="362"/>
      <c r="I528" s="363"/>
      <c r="J528" s="362" t="s">
        <v>332</v>
      </c>
      <c r="K528" s="245"/>
      <c r="L528" s="257"/>
      <c r="M528" s="591" t="s">
        <v>354</v>
      </c>
      <c r="N528" s="592"/>
      <c r="O528" s="179"/>
      <c r="P528" s="180"/>
      <c r="Q528" s="180">
        <v>75000000</v>
      </c>
      <c r="R528" s="181">
        <f t="shared" si="137"/>
        <v>48.675696549217619</v>
      </c>
      <c r="S528" s="181">
        <v>100</v>
      </c>
      <c r="T528" s="180">
        <f t="shared" si="114"/>
        <v>100</v>
      </c>
      <c r="U528" s="180">
        <f t="shared" si="119"/>
        <v>48.675696549217619</v>
      </c>
      <c r="V528" s="182">
        <f t="shared" si="92"/>
        <v>0</v>
      </c>
      <c r="W528" s="180"/>
      <c r="X528" s="180"/>
      <c r="Y528" s="180"/>
      <c r="Z528" s="180"/>
      <c r="AA528" s="180"/>
      <c r="AB528" s="180"/>
      <c r="AC528" s="180"/>
      <c r="AD528" s="180"/>
      <c r="AE528" s="180"/>
      <c r="AF528" s="180"/>
      <c r="AG528" s="180"/>
      <c r="AH528" s="180"/>
      <c r="AI528" s="180">
        <v>75000000</v>
      </c>
      <c r="AJ528" s="181">
        <f t="shared" si="124"/>
        <v>100</v>
      </c>
      <c r="AK528" s="180">
        <f t="shared" si="138"/>
        <v>0</v>
      </c>
      <c r="AL528" s="181">
        <f t="shared" si="133"/>
        <v>0</v>
      </c>
      <c r="AM528" s="243"/>
    </row>
    <row r="529" spans="1:39" ht="29.25" customHeight="1" x14ac:dyDescent="0.25">
      <c r="A529" s="243"/>
      <c r="B529" s="362"/>
      <c r="C529" s="362"/>
      <c r="D529" s="362"/>
      <c r="E529" s="362"/>
      <c r="F529" s="362"/>
      <c r="G529" s="362"/>
      <c r="H529" s="362"/>
      <c r="I529" s="363"/>
      <c r="J529" s="362" t="s">
        <v>374</v>
      </c>
      <c r="K529" s="245"/>
      <c r="L529" s="257"/>
      <c r="M529" s="591" t="s">
        <v>428</v>
      </c>
      <c r="N529" s="592"/>
      <c r="O529" s="179"/>
      <c r="P529" s="180"/>
      <c r="Q529" s="180">
        <v>500000</v>
      </c>
      <c r="R529" s="181">
        <f t="shared" si="137"/>
        <v>0.32450464366145082</v>
      </c>
      <c r="S529" s="181">
        <v>100</v>
      </c>
      <c r="T529" s="180">
        <f t="shared" si="114"/>
        <v>100</v>
      </c>
      <c r="U529" s="180">
        <f t="shared" si="119"/>
        <v>0.32450464366145082</v>
      </c>
      <c r="V529" s="182">
        <f t="shared" si="92"/>
        <v>0</v>
      </c>
      <c r="W529" s="180"/>
      <c r="X529" s="180"/>
      <c r="Y529" s="180"/>
      <c r="Z529" s="180"/>
      <c r="AA529" s="180"/>
      <c r="AB529" s="180"/>
      <c r="AC529" s="180"/>
      <c r="AD529" s="180"/>
      <c r="AE529" s="180"/>
      <c r="AF529" s="180"/>
      <c r="AG529" s="180"/>
      <c r="AH529" s="180"/>
      <c r="AI529" s="180">
        <v>500000</v>
      </c>
      <c r="AJ529" s="181">
        <f t="shared" si="124"/>
        <v>100</v>
      </c>
      <c r="AK529" s="180">
        <f t="shared" si="138"/>
        <v>0</v>
      </c>
      <c r="AL529" s="181">
        <f t="shared" si="133"/>
        <v>0</v>
      </c>
      <c r="AM529" s="243"/>
    </row>
    <row r="530" spans="1:39" ht="29.25" customHeight="1" x14ac:dyDescent="0.25">
      <c r="A530" s="243"/>
      <c r="B530" s="362"/>
      <c r="C530" s="362"/>
      <c r="D530" s="362"/>
      <c r="E530" s="362"/>
      <c r="F530" s="362"/>
      <c r="G530" s="362"/>
      <c r="H530" s="362"/>
      <c r="I530" s="363"/>
      <c r="J530" s="362" t="s">
        <v>316</v>
      </c>
      <c r="K530" s="245"/>
      <c r="L530" s="257"/>
      <c r="M530" s="591" t="s">
        <v>317</v>
      </c>
      <c r="N530" s="592"/>
      <c r="O530" s="179"/>
      <c r="P530" s="180"/>
      <c r="Q530" s="180">
        <v>17300000</v>
      </c>
      <c r="R530" s="181">
        <f t="shared" si="137"/>
        <v>11.227860670686198</v>
      </c>
      <c r="S530" s="181">
        <v>100</v>
      </c>
      <c r="T530" s="180">
        <f t="shared" si="114"/>
        <v>97.109826589595372</v>
      </c>
      <c r="U530" s="180">
        <f t="shared" si="119"/>
        <v>10.903356027024747</v>
      </c>
      <c r="V530" s="182">
        <f t="shared" si="92"/>
        <v>2.8901734104046284</v>
      </c>
      <c r="W530" s="180"/>
      <c r="X530" s="180"/>
      <c r="Y530" s="180"/>
      <c r="Z530" s="180"/>
      <c r="AA530" s="180"/>
      <c r="AB530" s="180"/>
      <c r="AC530" s="180"/>
      <c r="AD530" s="180"/>
      <c r="AE530" s="180"/>
      <c r="AF530" s="180"/>
      <c r="AG530" s="180"/>
      <c r="AH530" s="180"/>
      <c r="AI530" s="180">
        <v>16800000</v>
      </c>
      <c r="AJ530" s="181">
        <f t="shared" si="124"/>
        <v>97.109826589595372</v>
      </c>
      <c r="AK530" s="180">
        <f t="shared" si="138"/>
        <v>500000</v>
      </c>
      <c r="AL530" s="181">
        <f t="shared" si="133"/>
        <v>2.8901734104046244</v>
      </c>
      <c r="AM530" s="243"/>
    </row>
    <row r="531" spans="1:39" ht="29.25" customHeight="1" x14ac:dyDescent="0.25">
      <c r="A531" s="243"/>
      <c r="B531" s="362"/>
      <c r="C531" s="362"/>
      <c r="D531" s="362"/>
      <c r="E531" s="362"/>
      <c r="F531" s="362"/>
      <c r="G531" s="362"/>
      <c r="H531" s="362"/>
      <c r="I531" s="363"/>
      <c r="J531" s="362" t="s">
        <v>318</v>
      </c>
      <c r="K531" s="245"/>
      <c r="L531" s="257"/>
      <c r="M531" s="591" t="s">
        <v>319</v>
      </c>
      <c r="N531" s="592"/>
      <c r="O531" s="179"/>
      <c r="P531" s="180"/>
      <c r="Q531" s="180">
        <v>26250000</v>
      </c>
      <c r="R531" s="181">
        <f t="shared" si="137"/>
        <v>17.036493792226167</v>
      </c>
      <c r="S531" s="181">
        <v>100</v>
      </c>
      <c r="T531" s="180">
        <f t="shared" si="114"/>
        <v>100</v>
      </c>
      <c r="U531" s="180">
        <f t="shared" si="119"/>
        <v>17.036493792226167</v>
      </c>
      <c r="V531" s="182">
        <f t="shared" si="92"/>
        <v>0</v>
      </c>
      <c r="W531" s="180"/>
      <c r="X531" s="180"/>
      <c r="Y531" s="180"/>
      <c r="Z531" s="180"/>
      <c r="AA531" s="180"/>
      <c r="AB531" s="180"/>
      <c r="AC531" s="180"/>
      <c r="AD531" s="180"/>
      <c r="AE531" s="180"/>
      <c r="AF531" s="180"/>
      <c r="AG531" s="180"/>
      <c r="AH531" s="180"/>
      <c r="AI531" s="180">
        <v>26250000</v>
      </c>
      <c r="AJ531" s="181">
        <f t="shared" si="124"/>
        <v>100</v>
      </c>
      <c r="AK531" s="180">
        <f t="shared" si="138"/>
        <v>0</v>
      </c>
      <c r="AL531" s="181">
        <f t="shared" si="133"/>
        <v>0</v>
      </c>
      <c r="AM531" s="243"/>
    </row>
    <row r="532" spans="1:39" ht="29.25" customHeight="1" x14ac:dyDescent="0.25">
      <c r="A532" s="243"/>
      <c r="B532" s="362"/>
      <c r="C532" s="362"/>
      <c r="D532" s="362"/>
      <c r="E532" s="362"/>
      <c r="F532" s="362"/>
      <c r="G532" s="362"/>
      <c r="H532" s="362"/>
      <c r="I532" s="363"/>
      <c r="J532" s="362" t="s">
        <v>284</v>
      </c>
      <c r="K532" s="245"/>
      <c r="L532" s="257"/>
      <c r="M532" s="591" t="s">
        <v>285</v>
      </c>
      <c r="N532" s="592"/>
      <c r="O532" s="179"/>
      <c r="P532" s="180"/>
      <c r="Q532" s="180">
        <v>3000000</v>
      </c>
      <c r="R532" s="181">
        <f t="shared" si="137"/>
        <v>1.9470278619687049</v>
      </c>
      <c r="S532" s="181">
        <v>100</v>
      </c>
      <c r="T532" s="180">
        <f t="shared" si="114"/>
        <v>14.666666666666666</v>
      </c>
      <c r="U532" s="180">
        <f t="shared" si="119"/>
        <v>0.2855640864220767</v>
      </c>
      <c r="V532" s="182">
        <f t="shared" si="92"/>
        <v>85.333333333333329</v>
      </c>
      <c r="W532" s="180"/>
      <c r="X532" s="180"/>
      <c r="Y532" s="180"/>
      <c r="Z532" s="180"/>
      <c r="AA532" s="180"/>
      <c r="AB532" s="180"/>
      <c r="AC532" s="180"/>
      <c r="AD532" s="180"/>
      <c r="AE532" s="180"/>
      <c r="AF532" s="180"/>
      <c r="AG532" s="180"/>
      <c r="AH532" s="180"/>
      <c r="AI532" s="180">
        <v>440000</v>
      </c>
      <c r="AJ532" s="181">
        <f t="shared" si="124"/>
        <v>14.666666666666666</v>
      </c>
      <c r="AK532" s="180">
        <f t="shared" si="138"/>
        <v>2560000</v>
      </c>
      <c r="AL532" s="181">
        <f t="shared" si="133"/>
        <v>85.333333333333343</v>
      </c>
      <c r="AM532" s="243"/>
    </row>
    <row r="533" spans="1:39" ht="29.25" customHeight="1" x14ac:dyDescent="0.25">
      <c r="A533" s="243"/>
      <c r="B533" s="362"/>
      <c r="C533" s="362"/>
      <c r="D533" s="362"/>
      <c r="E533" s="362"/>
      <c r="F533" s="362"/>
      <c r="G533" s="362"/>
      <c r="H533" s="362"/>
      <c r="I533" s="363"/>
      <c r="J533" s="362" t="s">
        <v>282</v>
      </c>
      <c r="K533" s="245"/>
      <c r="L533" s="257"/>
      <c r="M533" s="591" t="s">
        <v>283</v>
      </c>
      <c r="N533" s="592"/>
      <c r="O533" s="179"/>
      <c r="P533" s="180"/>
      <c r="Q533" s="180">
        <v>10245000</v>
      </c>
      <c r="R533" s="181">
        <f t="shared" si="137"/>
        <v>6.6491001486231269</v>
      </c>
      <c r="S533" s="181">
        <v>100</v>
      </c>
      <c r="T533" s="180">
        <f t="shared" si="114"/>
        <v>21.112737920937043</v>
      </c>
      <c r="U533" s="180">
        <f t="shared" si="119"/>
        <v>1.4038070884794362</v>
      </c>
      <c r="V533" s="182">
        <f t="shared" ref="V533:V674" si="139">S533-T533</f>
        <v>78.887262079062964</v>
      </c>
      <c r="W533" s="180"/>
      <c r="X533" s="180"/>
      <c r="Y533" s="180"/>
      <c r="Z533" s="180"/>
      <c r="AA533" s="180"/>
      <c r="AB533" s="180"/>
      <c r="AC533" s="180"/>
      <c r="AD533" s="180"/>
      <c r="AE533" s="180"/>
      <c r="AF533" s="180"/>
      <c r="AG533" s="180"/>
      <c r="AH533" s="180"/>
      <c r="AI533" s="180">
        <v>2163000</v>
      </c>
      <c r="AJ533" s="181">
        <f t="shared" ref="AJ533:AJ600" si="140">AI533/Q533*100</f>
        <v>21.112737920937043</v>
      </c>
      <c r="AK533" s="180">
        <f t="shared" si="138"/>
        <v>8082000</v>
      </c>
      <c r="AL533" s="181">
        <f t="shared" si="133"/>
        <v>78.887262079062964</v>
      </c>
      <c r="AM533" s="243"/>
    </row>
    <row r="534" spans="1:39" ht="29.25" customHeight="1" x14ac:dyDescent="0.25">
      <c r="A534" s="243"/>
      <c r="B534" s="362"/>
      <c r="C534" s="362"/>
      <c r="D534" s="362"/>
      <c r="E534" s="362"/>
      <c r="F534" s="362"/>
      <c r="G534" s="362"/>
      <c r="H534" s="362"/>
      <c r="I534" s="363"/>
      <c r="J534" s="362" t="s">
        <v>320</v>
      </c>
      <c r="K534" s="245"/>
      <c r="L534" s="257"/>
      <c r="M534" s="591" t="s">
        <v>321</v>
      </c>
      <c r="N534" s="592"/>
      <c r="O534" s="179"/>
      <c r="P534" s="180"/>
      <c r="Q534" s="180">
        <v>5800000</v>
      </c>
      <c r="R534" s="181">
        <f t="shared" si="137"/>
        <v>3.7642538664728291</v>
      </c>
      <c r="S534" s="181">
        <v>100</v>
      </c>
      <c r="T534" s="180">
        <f t="shared" si="114"/>
        <v>100</v>
      </c>
      <c r="U534" s="180">
        <f t="shared" si="119"/>
        <v>3.7642538664728291</v>
      </c>
      <c r="V534" s="182">
        <f t="shared" si="139"/>
        <v>0</v>
      </c>
      <c r="W534" s="180"/>
      <c r="X534" s="180"/>
      <c r="Y534" s="180"/>
      <c r="Z534" s="180"/>
      <c r="AA534" s="180"/>
      <c r="AB534" s="180"/>
      <c r="AC534" s="180"/>
      <c r="AD534" s="180"/>
      <c r="AE534" s="180"/>
      <c r="AF534" s="180"/>
      <c r="AG534" s="180"/>
      <c r="AH534" s="180"/>
      <c r="AI534" s="180">
        <v>5800000</v>
      </c>
      <c r="AJ534" s="181">
        <f t="shared" si="140"/>
        <v>100</v>
      </c>
      <c r="AK534" s="180">
        <f t="shared" si="138"/>
        <v>0</v>
      </c>
      <c r="AL534" s="181">
        <f t="shared" si="133"/>
        <v>0</v>
      </c>
      <c r="AM534" s="243"/>
    </row>
    <row r="535" spans="1:39" ht="29.25" customHeight="1" x14ac:dyDescent="0.25">
      <c r="A535" s="243"/>
      <c r="B535" s="362"/>
      <c r="C535" s="362"/>
      <c r="D535" s="362"/>
      <c r="E535" s="362"/>
      <c r="F535" s="362"/>
      <c r="G535" s="362"/>
      <c r="H535" s="362"/>
      <c r="I535" s="363"/>
      <c r="J535" s="362" t="s">
        <v>309</v>
      </c>
      <c r="K535" s="245"/>
      <c r="L535" s="257"/>
      <c r="M535" s="591" t="s">
        <v>607</v>
      </c>
      <c r="N535" s="592"/>
      <c r="O535" s="179"/>
      <c r="P535" s="180"/>
      <c r="Q535" s="180">
        <v>2450000</v>
      </c>
      <c r="R535" s="181">
        <f t="shared" si="137"/>
        <v>1.5900727539411088</v>
      </c>
      <c r="S535" s="181">
        <v>100</v>
      </c>
      <c r="T535" s="180">
        <f t="shared" si="114"/>
        <v>100</v>
      </c>
      <c r="U535" s="180">
        <f t="shared" si="119"/>
        <v>1.5900727539411088</v>
      </c>
      <c r="V535" s="182">
        <f t="shared" si="139"/>
        <v>0</v>
      </c>
      <c r="W535" s="180"/>
      <c r="X535" s="180"/>
      <c r="Y535" s="180"/>
      <c r="Z535" s="180"/>
      <c r="AA535" s="180"/>
      <c r="AB535" s="180"/>
      <c r="AC535" s="180"/>
      <c r="AD535" s="180"/>
      <c r="AE535" s="180"/>
      <c r="AF535" s="180"/>
      <c r="AG535" s="180"/>
      <c r="AH535" s="180"/>
      <c r="AI535" s="180">
        <v>2450000</v>
      </c>
      <c r="AJ535" s="181">
        <f t="shared" si="140"/>
        <v>100</v>
      </c>
      <c r="AK535" s="180">
        <f t="shared" si="138"/>
        <v>0</v>
      </c>
      <c r="AL535" s="181">
        <f t="shared" si="133"/>
        <v>0</v>
      </c>
      <c r="AM535" s="243"/>
    </row>
    <row r="536" spans="1:39" ht="29.25" customHeight="1" x14ac:dyDescent="0.25">
      <c r="A536" s="243"/>
      <c r="B536" s="362"/>
      <c r="C536" s="362"/>
      <c r="D536" s="362"/>
      <c r="E536" s="362"/>
      <c r="F536" s="362"/>
      <c r="G536" s="362"/>
      <c r="H536" s="362"/>
      <c r="I536" s="363"/>
      <c r="J536" s="362" t="s">
        <v>372</v>
      </c>
      <c r="K536" s="245"/>
      <c r="L536" s="257"/>
      <c r="M536" s="591" t="s">
        <v>373</v>
      </c>
      <c r="N536" s="592"/>
      <c r="O536" s="179"/>
      <c r="P536" s="180"/>
      <c r="Q536" s="180">
        <v>11250000</v>
      </c>
      <c r="R536" s="181">
        <f t="shared" si="137"/>
        <v>7.3013544823826422</v>
      </c>
      <c r="S536" s="181"/>
      <c r="T536" s="180">
        <f t="shared" si="114"/>
        <v>92</v>
      </c>
      <c r="U536" s="180">
        <f t="shared" si="119"/>
        <v>6.7172461237920311</v>
      </c>
      <c r="V536" s="182">
        <f t="shared" si="139"/>
        <v>-92</v>
      </c>
      <c r="W536" s="180"/>
      <c r="X536" s="180"/>
      <c r="Y536" s="180"/>
      <c r="Z536" s="180"/>
      <c r="AA536" s="180"/>
      <c r="AB536" s="180"/>
      <c r="AC536" s="180"/>
      <c r="AD536" s="180"/>
      <c r="AE536" s="180"/>
      <c r="AF536" s="180"/>
      <c r="AG536" s="180"/>
      <c r="AH536" s="180"/>
      <c r="AI536" s="180">
        <v>10350000</v>
      </c>
      <c r="AJ536" s="181">
        <f t="shared" si="140"/>
        <v>92</v>
      </c>
      <c r="AK536" s="180">
        <f t="shared" si="138"/>
        <v>900000</v>
      </c>
      <c r="AL536" s="181">
        <f t="shared" si="133"/>
        <v>8</v>
      </c>
      <c r="AM536" s="243"/>
    </row>
    <row r="537" spans="1:39" s="297" customFormat="1" ht="31.5" customHeight="1" x14ac:dyDescent="0.25">
      <c r="A537" s="227">
        <f>A525+1</f>
        <v>67</v>
      </c>
      <c r="B537" s="615" t="s">
        <v>158</v>
      </c>
      <c r="C537" s="615"/>
      <c r="D537" s="615"/>
      <c r="E537" s="615"/>
      <c r="F537" s="615"/>
      <c r="G537" s="615"/>
      <c r="H537" s="615"/>
      <c r="I537" s="614"/>
      <c r="J537" s="304" t="s">
        <v>520</v>
      </c>
      <c r="K537" s="230"/>
      <c r="L537" s="294"/>
      <c r="M537" s="610" t="s">
        <v>165</v>
      </c>
      <c r="N537" s="610"/>
      <c r="O537" s="309">
        <v>355300000</v>
      </c>
      <c r="P537" s="231">
        <v>0</v>
      </c>
      <c r="Q537" s="231">
        <f>SUM(Q538:Q547)</f>
        <v>237999131</v>
      </c>
      <c r="R537" s="233">
        <f>Q537/Q$243*100</f>
        <v>1.9953238517737966</v>
      </c>
      <c r="S537" s="233">
        <v>100</v>
      </c>
      <c r="T537" s="231">
        <f t="shared" si="114"/>
        <v>0</v>
      </c>
      <c r="U537" s="231">
        <f t="shared" si="119"/>
        <v>0</v>
      </c>
      <c r="V537" s="296">
        <f t="shared" si="139"/>
        <v>100</v>
      </c>
      <c r="W537" s="231"/>
      <c r="X537" s="231"/>
      <c r="Y537" s="231"/>
      <c r="Z537" s="231"/>
      <c r="AA537" s="231"/>
      <c r="AB537" s="231"/>
      <c r="AC537" s="231"/>
      <c r="AD537" s="231"/>
      <c r="AE537" s="231"/>
      <c r="AF537" s="231"/>
      <c r="AG537" s="231" t="e">
        <f>[2]april!N86</f>
        <v>#REF!</v>
      </c>
      <c r="AH537" s="231">
        <f>'[3]DES SKPD'!$N86</f>
        <v>126710000</v>
      </c>
      <c r="AI537" s="231">
        <f>SUM(AI538:AI547)</f>
        <v>0</v>
      </c>
      <c r="AJ537" s="233">
        <f t="shared" si="140"/>
        <v>0</v>
      </c>
      <c r="AK537" s="234">
        <f>Q537-AI537</f>
        <v>237999131</v>
      </c>
      <c r="AL537" s="233">
        <f t="shared" si="133"/>
        <v>100</v>
      </c>
      <c r="AM537" s="227"/>
    </row>
    <row r="538" spans="1:39" ht="42.75" customHeight="1" x14ac:dyDescent="0.25">
      <c r="A538" s="243"/>
      <c r="B538" s="362"/>
      <c r="C538" s="362"/>
      <c r="D538" s="362"/>
      <c r="E538" s="362"/>
      <c r="F538" s="362"/>
      <c r="G538" s="362"/>
      <c r="H538" s="362"/>
      <c r="I538" s="363"/>
      <c r="J538" s="362" t="s">
        <v>251</v>
      </c>
      <c r="K538" s="245"/>
      <c r="L538" s="257"/>
      <c r="M538" s="591" t="s">
        <v>324</v>
      </c>
      <c r="N538" s="592"/>
      <c r="O538" s="179"/>
      <c r="P538" s="180"/>
      <c r="Q538" s="180">
        <v>3199131</v>
      </c>
      <c r="R538" s="181">
        <f>Q538/Q$537*100</f>
        <v>1.3441775970182008</v>
      </c>
      <c r="S538" s="181">
        <v>100</v>
      </c>
      <c r="T538" s="180">
        <f t="shared" si="114"/>
        <v>0</v>
      </c>
      <c r="U538" s="180">
        <f t="shared" si="119"/>
        <v>0</v>
      </c>
      <c r="V538" s="182">
        <f t="shared" si="139"/>
        <v>100</v>
      </c>
      <c r="W538" s="180"/>
      <c r="X538" s="180"/>
      <c r="Y538" s="180"/>
      <c r="Z538" s="180"/>
      <c r="AA538" s="180"/>
      <c r="AB538" s="180"/>
      <c r="AC538" s="180"/>
      <c r="AD538" s="180"/>
      <c r="AE538" s="180"/>
      <c r="AF538" s="180"/>
      <c r="AG538" s="180"/>
      <c r="AH538" s="180"/>
      <c r="AI538" s="180">
        <v>0</v>
      </c>
      <c r="AJ538" s="181">
        <f t="shared" si="140"/>
        <v>0</v>
      </c>
      <c r="AK538" s="246">
        <f>SUM(Q538-AI538)</f>
        <v>3199131</v>
      </c>
      <c r="AL538" s="181">
        <f t="shared" si="133"/>
        <v>100</v>
      </c>
      <c r="AM538" s="243"/>
    </row>
    <row r="539" spans="1:39" ht="42.75" customHeight="1" x14ac:dyDescent="0.25">
      <c r="A539" s="243"/>
      <c r="B539" s="362"/>
      <c r="C539" s="362"/>
      <c r="D539" s="362"/>
      <c r="E539" s="362"/>
      <c r="F539" s="362"/>
      <c r="G539" s="362"/>
      <c r="H539" s="362"/>
      <c r="I539" s="363"/>
      <c r="J539" s="362"/>
      <c r="K539" s="245"/>
      <c r="L539" s="257"/>
      <c r="M539" s="591" t="s">
        <v>346</v>
      </c>
      <c r="N539" s="592"/>
      <c r="O539" s="179"/>
      <c r="P539" s="180"/>
      <c r="Q539" s="180">
        <v>16500000</v>
      </c>
      <c r="R539" s="181">
        <f>Q539/Q$537*100</f>
        <v>6.9327984226967621</v>
      </c>
      <c r="S539" s="181">
        <v>100</v>
      </c>
      <c r="T539" s="180">
        <f t="shared" si="114"/>
        <v>0</v>
      </c>
      <c r="U539" s="180">
        <f t="shared" si="119"/>
        <v>0</v>
      </c>
      <c r="V539" s="182">
        <f t="shared" si="139"/>
        <v>100</v>
      </c>
      <c r="W539" s="180"/>
      <c r="X539" s="180"/>
      <c r="Y539" s="180"/>
      <c r="Z539" s="180"/>
      <c r="AA539" s="180"/>
      <c r="AB539" s="180"/>
      <c r="AC539" s="180"/>
      <c r="AD539" s="180"/>
      <c r="AE539" s="180"/>
      <c r="AF539" s="180"/>
      <c r="AG539" s="180"/>
      <c r="AH539" s="180"/>
      <c r="AI539" s="180">
        <v>0</v>
      </c>
      <c r="AJ539" s="181">
        <f t="shared" si="140"/>
        <v>0</v>
      </c>
      <c r="AK539" s="246">
        <f>SUM(Q539-AI539)</f>
        <v>16500000</v>
      </c>
      <c r="AL539" s="181">
        <f t="shared" si="133"/>
        <v>100</v>
      </c>
      <c r="AM539" s="243"/>
    </row>
    <row r="540" spans="1:39" ht="24.75" customHeight="1" x14ac:dyDescent="0.25">
      <c r="A540" s="243"/>
      <c r="B540" s="362"/>
      <c r="C540" s="362"/>
      <c r="D540" s="362"/>
      <c r="E540" s="362"/>
      <c r="F540" s="362"/>
      <c r="G540" s="362"/>
      <c r="H540" s="362"/>
      <c r="I540" s="363"/>
      <c r="J540" s="362" t="s">
        <v>315</v>
      </c>
      <c r="K540" s="245"/>
      <c r="L540" s="257"/>
      <c r="M540" s="591" t="s">
        <v>271</v>
      </c>
      <c r="N540" s="592"/>
      <c r="O540" s="179"/>
      <c r="P540" s="180"/>
      <c r="Q540" s="180">
        <v>4000000</v>
      </c>
      <c r="R540" s="181">
        <f t="shared" ref="R540:R547" si="141">Q540/Q$537*100</f>
        <v>1.6806784055022455</v>
      </c>
      <c r="S540" s="181">
        <v>100</v>
      </c>
      <c r="T540" s="180">
        <f t="shared" si="114"/>
        <v>0</v>
      </c>
      <c r="U540" s="180">
        <f t="shared" si="119"/>
        <v>0</v>
      </c>
      <c r="V540" s="182">
        <f t="shared" si="139"/>
        <v>100</v>
      </c>
      <c r="W540" s="180"/>
      <c r="X540" s="180"/>
      <c r="Y540" s="180"/>
      <c r="Z540" s="180"/>
      <c r="AA540" s="180"/>
      <c r="AB540" s="180"/>
      <c r="AC540" s="180"/>
      <c r="AD540" s="180"/>
      <c r="AE540" s="180"/>
      <c r="AF540" s="180"/>
      <c r="AG540" s="180"/>
      <c r="AH540" s="180"/>
      <c r="AI540" s="180">
        <v>0</v>
      </c>
      <c r="AJ540" s="181">
        <f t="shared" si="140"/>
        <v>0</v>
      </c>
      <c r="AK540" s="246">
        <f t="shared" ref="AK540:AK547" si="142">SUM(Q540-AI540)</f>
        <v>4000000</v>
      </c>
      <c r="AL540" s="181">
        <f t="shared" si="133"/>
        <v>100</v>
      </c>
      <c r="AM540" s="243"/>
    </row>
    <row r="541" spans="1:39" ht="24.75" customHeight="1" x14ac:dyDescent="0.25">
      <c r="A541" s="243"/>
      <c r="B541" s="362"/>
      <c r="C541" s="362"/>
      <c r="D541" s="362"/>
      <c r="E541" s="362"/>
      <c r="F541" s="362"/>
      <c r="G541" s="362"/>
      <c r="H541" s="362"/>
      <c r="I541" s="363"/>
      <c r="J541" s="362" t="s">
        <v>316</v>
      </c>
      <c r="K541" s="245"/>
      <c r="L541" s="257"/>
      <c r="M541" s="591" t="s">
        <v>317</v>
      </c>
      <c r="N541" s="592"/>
      <c r="O541" s="179"/>
      <c r="P541" s="180"/>
      <c r="Q541" s="180">
        <v>3600000</v>
      </c>
      <c r="R541" s="181">
        <f t="shared" si="141"/>
        <v>1.5126105649520207</v>
      </c>
      <c r="S541" s="181">
        <v>100</v>
      </c>
      <c r="T541" s="180">
        <f t="shared" si="114"/>
        <v>0</v>
      </c>
      <c r="U541" s="180">
        <f t="shared" si="119"/>
        <v>0</v>
      </c>
      <c r="V541" s="182">
        <f t="shared" si="139"/>
        <v>100</v>
      </c>
      <c r="W541" s="180"/>
      <c r="X541" s="180"/>
      <c r="Y541" s="180"/>
      <c r="Z541" s="180"/>
      <c r="AA541" s="180"/>
      <c r="AB541" s="180"/>
      <c r="AC541" s="180"/>
      <c r="AD541" s="180"/>
      <c r="AE541" s="180"/>
      <c r="AF541" s="180"/>
      <c r="AG541" s="180"/>
      <c r="AH541" s="180"/>
      <c r="AI541" s="180">
        <v>0</v>
      </c>
      <c r="AJ541" s="181">
        <f t="shared" si="140"/>
        <v>0</v>
      </c>
      <c r="AK541" s="246">
        <f t="shared" si="142"/>
        <v>3600000</v>
      </c>
      <c r="AL541" s="181">
        <f t="shared" si="133"/>
        <v>100</v>
      </c>
      <c r="AM541" s="243"/>
    </row>
    <row r="542" spans="1:39" ht="24.75" customHeight="1" x14ac:dyDescent="0.25">
      <c r="A542" s="243"/>
      <c r="B542" s="362"/>
      <c r="C542" s="362"/>
      <c r="D542" s="362"/>
      <c r="E542" s="362"/>
      <c r="F542" s="362"/>
      <c r="G542" s="362"/>
      <c r="H542" s="362"/>
      <c r="I542" s="363"/>
      <c r="J542" s="362" t="s">
        <v>370</v>
      </c>
      <c r="K542" s="245"/>
      <c r="L542" s="257"/>
      <c r="M542" s="591" t="s">
        <v>371</v>
      </c>
      <c r="N542" s="592"/>
      <c r="O542" s="179"/>
      <c r="P542" s="180"/>
      <c r="Q542" s="180">
        <v>27000000</v>
      </c>
      <c r="R542" s="181">
        <f t="shared" si="141"/>
        <v>11.344579237140156</v>
      </c>
      <c r="S542" s="181">
        <v>100</v>
      </c>
      <c r="T542" s="180">
        <f t="shared" si="114"/>
        <v>0</v>
      </c>
      <c r="U542" s="180">
        <f t="shared" si="119"/>
        <v>0</v>
      </c>
      <c r="V542" s="182">
        <f t="shared" si="139"/>
        <v>100</v>
      </c>
      <c r="W542" s="180"/>
      <c r="X542" s="180"/>
      <c r="Y542" s="180"/>
      <c r="Z542" s="180"/>
      <c r="AA542" s="180"/>
      <c r="AB542" s="180"/>
      <c r="AC542" s="180"/>
      <c r="AD542" s="180"/>
      <c r="AE542" s="180"/>
      <c r="AF542" s="180"/>
      <c r="AG542" s="180"/>
      <c r="AH542" s="180"/>
      <c r="AI542" s="180">
        <v>0</v>
      </c>
      <c r="AJ542" s="181">
        <f t="shared" si="140"/>
        <v>0</v>
      </c>
      <c r="AK542" s="246">
        <f t="shared" si="142"/>
        <v>27000000</v>
      </c>
      <c r="AL542" s="181">
        <f t="shared" si="133"/>
        <v>100</v>
      </c>
      <c r="AM542" s="243"/>
    </row>
    <row r="543" spans="1:39" ht="30" customHeight="1" x14ac:dyDescent="0.25">
      <c r="A543" s="243"/>
      <c r="B543" s="362"/>
      <c r="C543" s="362"/>
      <c r="D543" s="362"/>
      <c r="E543" s="362"/>
      <c r="F543" s="362"/>
      <c r="G543" s="362"/>
      <c r="H543" s="362"/>
      <c r="I543" s="363"/>
      <c r="J543" s="362" t="s">
        <v>339</v>
      </c>
      <c r="K543" s="245"/>
      <c r="L543" s="257"/>
      <c r="M543" s="591" t="s">
        <v>340</v>
      </c>
      <c r="N543" s="592"/>
      <c r="O543" s="179"/>
      <c r="P543" s="180"/>
      <c r="Q543" s="180">
        <v>41000000</v>
      </c>
      <c r="R543" s="181">
        <f t="shared" si="141"/>
        <v>17.226953656398013</v>
      </c>
      <c r="S543" s="181">
        <v>100</v>
      </c>
      <c r="T543" s="180">
        <f t="shared" si="114"/>
        <v>0</v>
      </c>
      <c r="U543" s="180">
        <f t="shared" si="119"/>
        <v>0</v>
      </c>
      <c r="V543" s="182">
        <f t="shared" si="139"/>
        <v>100</v>
      </c>
      <c r="W543" s="180"/>
      <c r="X543" s="180"/>
      <c r="Y543" s="180"/>
      <c r="Z543" s="180"/>
      <c r="AA543" s="180"/>
      <c r="AB543" s="180"/>
      <c r="AC543" s="180"/>
      <c r="AD543" s="180"/>
      <c r="AE543" s="180"/>
      <c r="AF543" s="180"/>
      <c r="AG543" s="180"/>
      <c r="AH543" s="180"/>
      <c r="AI543" s="180">
        <v>0</v>
      </c>
      <c r="AJ543" s="181">
        <f t="shared" si="140"/>
        <v>0</v>
      </c>
      <c r="AK543" s="246">
        <f t="shared" si="142"/>
        <v>41000000</v>
      </c>
      <c r="AL543" s="181">
        <f t="shared" si="133"/>
        <v>100</v>
      </c>
      <c r="AM543" s="243"/>
    </row>
    <row r="544" spans="1:39" ht="24.75" customHeight="1" x14ac:dyDescent="0.25">
      <c r="A544" s="243"/>
      <c r="B544" s="362"/>
      <c r="C544" s="362"/>
      <c r="D544" s="362"/>
      <c r="E544" s="362"/>
      <c r="F544" s="362"/>
      <c r="G544" s="362"/>
      <c r="H544" s="362"/>
      <c r="I544" s="363"/>
      <c r="J544" s="362" t="s">
        <v>284</v>
      </c>
      <c r="K544" s="245"/>
      <c r="L544" s="257"/>
      <c r="M544" s="591" t="s">
        <v>285</v>
      </c>
      <c r="N544" s="592"/>
      <c r="O544" s="179"/>
      <c r="P544" s="180"/>
      <c r="Q544" s="180">
        <v>4400000</v>
      </c>
      <c r="R544" s="181">
        <f t="shared" si="141"/>
        <v>1.8487462460524697</v>
      </c>
      <c r="S544" s="181">
        <v>100</v>
      </c>
      <c r="T544" s="180">
        <f t="shared" si="114"/>
        <v>0</v>
      </c>
      <c r="U544" s="180">
        <f t="shared" si="119"/>
        <v>0</v>
      </c>
      <c r="V544" s="182">
        <f t="shared" si="139"/>
        <v>100</v>
      </c>
      <c r="W544" s="180"/>
      <c r="X544" s="180"/>
      <c r="Y544" s="180"/>
      <c r="Z544" s="180"/>
      <c r="AA544" s="180"/>
      <c r="AB544" s="180"/>
      <c r="AC544" s="180"/>
      <c r="AD544" s="180"/>
      <c r="AE544" s="180"/>
      <c r="AF544" s="180"/>
      <c r="AG544" s="180"/>
      <c r="AH544" s="180"/>
      <c r="AI544" s="180">
        <v>0</v>
      </c>
      <c r="AJ544" s="181">
        <f t="shared" si="140"/>
        <v>0</v>
      </c>
      <c r="AK544" s="246">
        <f t="shared" si="142"/>
        <v>4400000</v>
      </c>
      <c r="AL544" s="181">
        <f t="shared" si="133"/>
        <v>100</v>
      </c>
      <c r="AM544" s="243"/>
    </row>
    <row r="545" spans="1:39" ht="24.75" customHeight="1" x14ac:dyDescent="0.25">
      <c r="A545" s="243"/>
      <c r="B545" s="362"/>
      <c r="C545" s="362"/>
      <c r="D545" s="362"/>
      <c r="E545" s="362"/>
      <c r="F545" s="362"/>
      <c r="G545" s="362"/>
      <c r="H545" s="362"/>
      <c r="I545" s="363"/>
      <c r="J545" s="362" t="s">
        <v>320</v>
      </c>
      <c r="K545" s="245"/>
      <c r="L545" s="257"/>
      <c r="M545" s="591" t="s">
        <v>321</v>
      </c>
      <c r="N545" s="592"/>
      <c r="O545" s="179"/>
      <c r="P545" s="180"/>
      <c r="Q545" s="180">
        <v>33600000</v>
      </c>
      <c r="R545" s="181">
        <f t="shared" si="141"/>
        <v>14.117698606218859</v>
      </c>
      <c r="S545" s="181">
        <v>100</v>
      </c>
      <c r="T545" s="180">
        <f t="shared" si="114"/>
        <v>0</v>
      </c>
      <c r="U545" s="180">
        <f t="shared" si="119"/>
        <v>0</v>
      </c>
      <c r="V545" s="182">
        <f t="shared" si="139"/>
        <v>100</v>
      </c>
      <c r="W545" s="180"/>
      <c r="X545" s="180"/>
      <c r="Y545" s="180"/>
      <c r="Z545" s="180"/>
      <c r="AA545" s="180"/>
      <c r="AB545" s="180"/>
      <c r="AC545" s="180"/>
      <c r="AD545" s="180"/>
      <c r="AE545" s="180"/>
      <c r="AF545" s="180"/>
      <c r="AG545" s="180"/>
      <c r="AH545" s="180"/>
      <c r="AI545" s="180">
        <v>0</v>
      </c>
      <c r="AJ545" s="181">
        <f t="shared" si="140"/>
        <v>0</v>
      </c>
      <c r="AK545" s="246">
        <f t="shared" si="142"/>
        <v>33600000</v>
      </c>
      <c r="AL545" s="181">
        <f t="shared" si="133"/>
        <v>100</v>
      </c>
      <c r="AM545" s="243"/>
    </row>
    <row r="546" spans="1:39" ht="24.75" customHeight="1" x14ac:dyDescent="0.25">
      <c r="A546" s="243"/>
      <c r="B546" s="362"/>
      <c r="C546" s="362"/>
      <c r="D546" s="362"/>
      <c r="E546" s="362"/>
      <c r="F546" s="362"/>
      <c r="G546" s="362"/>
      <c r="H546" s="362"/>
      <c r="I546" s="363"/>
      <c r="J546" s="362" t="s">
        <v>407</v>
      </c>
      <c r="K546" s="245"/>
      <c r="L546" s="257"/>
      <c r="M546" s="591" t="s">
        <v>414</v>
      </c>
      <c r="N546" s="592"/>
      <c r="O546" s="179"/>
      <c r="P546" s="180"/>
      <c r="Q546" s="180">
        <v>2700000</v>
      </c>
      <c r="R546" s="181">
        <f t="shared" si="141"/>
        <v>1.1344579237140155</v>
      </c>
      <c r="S546" s="181"/>
      <c r="T546" s="180">
        <f t="shared" si="114"/>
        <v>0</v>
      </c>
      <c r="U546" s="180">
        <f t="shared" si="119"/>
        <v>0</v>
      </c>
      <c r="V546" s="182"/>
      <c r="W546" s="180"/>
      <c r="X546" s="180"/>
      <c r="Y546" s="180"/>
      <c r="Z546" s="180"/>
      <c r="AA546" s="180"/>
      <c r="AB546" s="180"/>
      <c r="AC546" s="180"/>
      <c r="AD546" s="180"/>
      <c r="AE546" s="180"/>
      <c r="AF546" s="180"/>
      <c r="AG546" s="180"/>
      <c r="AH546" s="180"/>
      <c r="AI546" s="180">
        <v>0</v>
      </c>
      <c r="AJ546" s="181">
        <f t="shared" si="140"/>
        <v>0</v>
      </c>
      <c r="AK546" s="246">
        <f t="shared" si="142"/>
        <v>2700000</v>
      </c>
      <c r="AL546" s="181"/>
      <c r="AM546" s="243"/>
    </row>
    <row r="547" spans="1:39" ht="24.75" customHeight="1" x14ac:dyDescent="0.25">
      <c r="A547" s="243"/>
      <c r="B547" s="362"/>
      <c r="C547" s="362"/>
      <c r="D547" s="362"/>
      <c r="E547" s="362"/>
      <c r="F547" s="362"/>
      <c r="G547" s="362"/>
      <c r="H547" s="362"/>
      <c r="I547" s="363"/>
      <c r="J547" s="362" t="s">
        <v>372</v>
      </c>
      <c r="K547" s="245"/>
      <c r="L547" s="257"/>
      <c r="M547" s="591" t="s">
        <v>373</v>
      </c>
      <c r="N547" s="592"/>
      <c r="O547" s="179"/>
      <c r="P547" s="180"/>
      <c r="Q547" s="180">
        <v>102000000</v>
      </c>
      <c r="R547" s="181">
        <f t="shared" si="141"/>
        <v>42.85729934030725</v>
      </c>
      <c r="S547" s="181">
        <v>100</v>
      </c>
      <c r="T547" s="180">
        <f t="shared" si="114"/>
        <v>0</v>
      </c>
      <c r="U547" s="180">
        <f t="shared" si="119"/>
        <v>0</v>
      </c>
      <c r="V547" s="182">
        <f t="shared" si="139"/>
        <v>100</v>
      </c>
      <c r="W547" s="180"/>
      <c r="X547" s="180"/>
      <c r="Y547" s="180"/>
      <c r="Z547" s="180"/>
      <c r="AA547" s="180"/>
      <c r="AB547" s="180"/>
      <c r="AC547" s="180"/>
      <c r="AD547" s="180"/>
      <c r="AE547" s="180"/>
      <c r="AF547" s="180"/>
      <c r="AG547" s="180"/>
      <c r="AH547" s="180"/>
      <c r="AI547" s="180">
        <v>0</v>
      </c>
      <c r="AJ547" s="181">
        <f t="shared" si="140"/>
        <v>0</v>
      </c>
      <c r="AK547" s="246">
        <f t="shared" si="142"/>
        <v>102000000</v>
      </c>
      <c r="AL547" s="181">
        <f t="shared" ref="AL547:AL611" si="143">AK547/Q547*100</f>
        <v>100</v>
      </c>
      <c r="AM547" s="243"/>
    </row>
    <row r="548" spans="1:39" s="297" customFormat="1" ht="29.25" customHeight="1" x14ac:dyDescent="0.25">
      <c r="A548" s="227">
        <f>SUM(A537+1)</f>
        <v>68</v>
      </c>
      <c r="B548" s="367"/>
      <c r="C548" s="367"/>
      <c r="D548" s="367"/>
      <c r="E548" s="367"/>
      <c r="F548" s="367"/>
      <c r="G548" s="367"/>
      <c r="H548" s="367"/>
      <c r="I548" s="366"/>
      <c r="J548" s="304" t="s">
        <v>521</v>
      </c>
      <c r="K548" s="230"/>
      <c r="L548" s="294"/>
      <c r="M548" s="609" t="s">
        <v>201</v>
      </c>
      <c r="N548" s="614"/>
      <c r="O548" s="309"/>
      <c r="P548" s="231"/>
      <c r="Q548" s="231">
        <f>SUM(Q549:Q556)</f>
        <v>179012754</v>
      </c>
      <c r="R548" s="233">
        <f>Q548/Q$243*100</f>
        <v>1.5007971513472254</v>
      </c>
      <c r="S548" s="233">
        <v>100</v>
      </c>
      <c r="T548" s="231">
        <f t="shared" si="114"/>
        <v>0</v>
      </c>
      <c r="U548" s="231">
        <f t="shared" si="119"/>
        <v>0</v>
      </c>
      <c r="V548" s="296">
        <f t="shared" si="139"/>
        <v>100</v>
      </c>
      <c r="W548" s="231"/>
      <c r="X548" s="231"/>
      <c r="Y548" s="231"/>
      <c r="Z548" s="231"/>
      <c r="AA548" s="231"/>
      <c r="AB548" s="231"/>
      <c r="AC548" s="231"/>
      <c r="AD548" s="231"/>
      <c r="AE548" s="231"/>
      <c r="AF548" s="231"/>
      <c r="AG548" s="231"/>
      <c r="AH548" s="231"/>
      <c r="AI548" s="231">
        <f>SUM(AI549:AI556)</f>
        <v>0</v>
      </c>
      <c r="AJ548" s="233">
        <f t="shared" si="140"/>
        <v>0</v>
      </c>
      <c r="AK548" s="234">
        <f>Q548-AI548</f>
        <v>179012754</v>
      </c>
      <c r="AL548" s="233">
        <f t="shared" si="143"/>
        <v>100</v>
      </c>
      <c r="AM548" s="227"/>
    </row>
    <row r="549" spans="1:39" ht="27" customHeight="1" x14ac:dyDescent="0.25">
      <c r="A549" s="243"/>
      <c r="B549" s="362"/>
      <c r="C549" s="362"/>
      <c r="D549" s="362"/>
      <c r="E549" s="362"/>
      <c r="F549" s="362"/>
      <c r="G549" s="362"/>
      <c r="H549" s="362"/>
      <c r="I549" s="363"/>
      <c r="J549" s="362" t="s">
        <v>257</v>
      </c>
      <c r="K549" s="245"/>
      <c r="L549" s="257"/>
      <c r="M549" s="591" t="s">
        <v>324</v>
      </c>
      <c r="N549" s="592"/>
      <c r="O549" s="179"/>
      <c r="P549" s="180"/>
      <c r="Q549" s="180">
        <v>3000000</v>
      </c>
      <c r="R549" s="181">
        <f>Q549/Q$548*100</f>
        <v>1.6758582463906455</v>
      </c>
      <c r="S549" s="181">
        <v>100</v>
      </c>
      <c r="T549" s="180">
        <f t="shared" si="114"/>
        <v>0</v>
      </c>
      <c r="U549" s="180">
        <f t="shared" si="119"/>
        <v>0</v>
      </c>
      <c r="V549" s="182">
        <f t="shared" si="139"/>
        <v>100</v>
      </c>
      <c r="W549" s="180"/>
      <c r="X549" s="180"/>
      <c r="Y549" s="180"/>
      <c r="Z549" s="180"/>
      <c r="AA549" s="180"/>
      <c r="AB549" s="180"/>
      <c r="AC549" s="180"/>
      <c r="AD549" s="180"/>
      <c r="AE549" s="180"/>
      <c r="AF549" s="180"/>
      <c r="AG549" s="180"/>
      <c r="AH549" s="180"/>
      <c r="AI549" s="180">
        <v>0</v>
      </c>
      <c r="AJ549" s="181">
        <f t="shared" si="140"/>
        <v>0</v>
      </c>
      <c r="AK549" s="246">
        <f>SUM(Q549-AI549)</f>
        <v>3000000</v>
      </c>
      <c r="AL549" s="181">
        <f t="shared" si="143"/>
        <v>100</v>
      </c>
      <c r="AM549" s="243"/>
    </row>
    <row r="550" spans="1:39" ht="24.75" customHeight="1" x14ac:dyDescent="0.25">
      <c r="A550" s="243"/>
      <c r="B550" s="362"/>
      <c r="C550" s="362"/>
      <c r="D550" s="362"/>
      <c r="E550" s="362"/>
      <c r="F550" s="362"/>
      <c r="G550" s="362"/>
      <c r="H550" s="362"/>
      <c r="I550" s="363"/>
      <c r="J550" s="362" t="s">
        <v>315</v>
      </c>
      <c r="K550" s="245"/>
      <c r="L550" s="257"/>
      <c r="M550" s="591" t="s">
        <v>271</v>
      </c>
      <c r="N550" s="592"/>
      <c r="O550" s="179"/>
      <c r="P550" s="180"/>
      <c r="Q550" s="180">
        <v>8120000</v>
      </c>
      <c r="R550" s="181">
        <f t="shared" ref="R550:R556" si="144">Q550/Q$548*100</f>
        <v>4.5359896535640134</v>
      </c>
      <c r="S550" s="181">
        <v>100</v>
      </c>
      <c r="T550" s="180">
        <f t="shared" si="114"/>
        <v>0</v>
      </c>
      <c r="U550" s="180">
        <f t="shared" si="119"/>
        <v>0</v>
      </c>
      <c r="V550" s="182">
        <f t="shared" si="139"/>
        <v>100</v>
      </c>
      <c r="W550" s="180"/>
      <c r="X550" s="180"/>
      <c r="Y550" s="180"/>
      <c r="Z550" s="180"/>
      <c r="AA550" s="180"/>
      <c r="AB550" s="180"/>
      <c r="AC550" s="180"/>
      <c r="AD550" s="180"/>
      <c r="AE550" s="180"/>
      <c r="AF550" s="180"/>
      <c r="AG550" s="180"/>
      <c r="AH550" s="180"/>
      <c r="AI550" s="180">
        <v>0</v>
      </c>
      <c r="AJ550" s="181">
        <f t="shared" si="140"/>
        <v>0</v>
      </c>
      <c r="AK550" s="246">
        <f t="shared" ref="AK550:AK556" si="145">SUM(Q550-AI550)</f>
        <v>8120000</v>
      </c>
      <c r="AL550" s="181">
        <f t="shared" si="143"/>
        <v>100</v>
      </c>
      <c r="AM550" s="243"/>
    </row>
    <row r="551" spans="1:39" ht="24.75" customHeight="1" x14ac:dyDescent="0.25">
      <c r="A551" s="243"/>
      <c r="B551" s="362"/>
      <c r="C551" s="362"/>
      <c r="D551" s="362"/>
      <c r="E551" s="362"/>
      <c r="F551" s="362"/>
      <c r="G551" s="362"/>
      <c r="H551" s="362"/>
      <c r="I551" s="363"/>
      <c r="J551" s="362" t="s">
        <v>316</v>
      </c>
      <c r="K551" s="245"/>
      <c r="L551" s="257"/>
      <c r="M551" s="591" t="s">
        <v>317</v>
      </c>
      <c r="N551" s="592"/>
      <c r="O551" s="179"/>
      <c r="P551" s="180"/>
      <c r="Q551" s="180">
        <v>5700000</v>
      </c>
      <c r="R551" s="181">
        <f t="shared" si="144"/>
        <v>3.1841306681422266</v>
      </c>
      <c r="S551" s="181">
        <v>100</v>
      </c>
      <c r="T551" s="180">
        <f t="shared" si="114"/>
        <v>0</v>
      </c>
      <c r="U551" s="180">
        <f t="shared" si="119"/>
        <v>0</v>
      </c>
      <c r="V551" s="182">
        <f t="shared" si="139"/>
        <v>100</v>
      </c>
      <c r="W551" s="180"/>
      <c r="X551" s="180"/>
      <c r="Y551" s="180"/>
      <c r="Z551" s="180"/>
      <c r="AA551" s="180"/>
      <c r="AB551" s="180"/>
      <c r="AC551" s="180"/>
      <c r="AD551" s="180"/>
      <c r="AE551" s="180"/>
      <c r="AF551" s="180"/>
      <c r="AG551" s="180"/>
      <c r="AH551" s="180"/>
      <c r="AI551" s="180">
        <v>0</v>
      </c>
      <c r="AJ551" s="181">
        <f t="shared" si="140"/>
        <v>0</v>
      </c>
      <c r="AK551" s="246">
        <f t="shared" si="145"/>
        <v>5700000</v>
      </c>
      <c r="AL551" s="181">
        <f t="shared" si="143"/>
        <v>100</v>
      </c>
      <c r="AM551" s="243"/>
    </row>
    <row r="552" spans="1:39" ht="24.75" customHeight="1" x14ac:dyDescent="0.25">
      <c r="A552" s="243"/>
      <c r="B552" s="362"/>
      <c r="C552" s="362"/>
      <c r="D552" s="362"/>
      <c r="E552" s="362"/>
      <c r="F552" s="362"/>
      <c r="G552" s="362"/>
      <c r="H552" s="362"/>
      <c r="I552" s="363"/>
      <c r="J552" s="362" t="s">
        <v>339</v>
      </c>
      <c r="K552" s="245"/>
      <c r="L552" s="257"/>
      <c r="M552" s="591" t="s">
        <v>329</v>
      </c>
      <c r="N552" s="592"/>
      <c r="O552" s="179"/>
      <c r="P552" s="180"/>
      <c r="Q552" s="180">
        <v>35000000</v>
      </c>
      <c r="R552" s="181">
        <f t="shared" si="144"/>
        <v>19.551679541224196</v>
      </c>
      <c r="S552" s="181">
        <v>100</v>
      </c>
      <c r="T552" s="180">
        <f t="shared" si="114"/>
        <v>0</v>
      </c>
      <c r="U552" s="180">
        <f t="shared" si="119"/>
        <v>0</v>
      </c>
      <c r="V552" s="182">
        <f t="shared" si="139"/>
        <v>100</v>
      </c>
      <c r="W552" s="180"/>
      <c r="X552" s="180"/>
      <c r="Y552" s="180"/>
      <c r="Z552" s="180"/>
      <c r="AA552" s="180"/>
      <c r="AB552" s="180"/>
      <c r="AC552" s="180"/>
      <c r="AD552" s="180"/>
      <c r="AE552" s="180"/>
      <c r="AF552" s="180"/>
      <c r="AG552" s="180"/>
      <c r="AH552" s="180"/>
      <c r="AI552" s="180">
        <v>0</v>
      </c>
      <c r="AJ552" s="181">
        <f t="shared" si="140"/>
        <v>0</v>
      </c>
      <c r="AK552" s="246">
        <f t="shared" si="145"/>
        <v>35000000</v>
      </c>
      <c r="AL552" s="181">
        <f t="shared" si="143"/>
        <v>100</v>
      </c>
      <c r="AM552" s="243"/>
    </row>
    <row r="553" spans="1:39" ht="24.75" customHeight="1" x14ac:dyDescent="0.25">
      <c r="A553" s="243"/>
      <c r="B553" s="362"/>
      <c r="C553" s="362"/>
      <c r="D553" s="362"/>
      <c r="E553" s="362"/>
      <c r="F553" s="362"/>
      <c r="G553" s="362"/>
      <c r="H553" s="362"/>
      <c r="I553" s="363"/>
      <c r="J553" s="362" t="s">
        <v>284</v>
      </c>
      <c r="K553" s="245"/>
      <c r="L553" s="257"/>
      <c r="M553" s="591" t="s">
        <v>620</v>
      </c>
      <c r="N553" s="592"/>
      <c r="O553" s="179"/>
      <c r="P553" s="180"/>
      <c r="Q553" s="180">
        <v>36000000</v>
      </c>
      <c r="R553" s="181">
        <f t="shared" si="144"/>
        <v>20.110298956687743</v>
      </c>
      <c r="S553" s="181"/>
      <c r="T553" s="180">
        <f t="shared" si="114"/>
        <v>0</v>
      </c>
      <c r="U553" s="180">
        <f t="shared" si="119"/>
        <v>0</v>
      </c>
      <c r="V553" s="182"/>
      <c r="W553" s="180"/>
      <c r="X553" s="180"/>
      <c r="Y553" s="180"/>
      <c r="Z553" s="180"/>
      <c r="AA553" s="180"/>
      <c r="AB553" s="180"/>
      <c r="AC553" s="180"/>
      <c r="AD553" s="180"/>
      <c r="AE553" s="180"/>
      <c r="AF553" s="180"/>
      <c r="AG553" s="180"/>
      <c r="AH553" s="180"/>
      <c r="AI553" s="180">
        <v>0</v>
      </c>
      <c r="AJ553" s="181">
        <f t="shared" si="140"/>
        <v>0</v>
      </c>
      <c r="AK553" s="246">
        <f t="shared" si="145"/>
        <v>36000000</v>
      </c>
      <c r="AL553" s="181">
        <f t="shared" si="143"/>
        <v>100</v>
      </c>
      <c r="AM553" s="243"/>
    </row>
    <row r="554" spans="1:39" ht="24.75" customHeight="1" x14ac:dyDescent="0.25">
      <c r="A554" s="243"/>
      <c r="B554" s="362"/>
      <c r="C554" s="362"/>
      <c r="D554" s="362"/>
      <c r="E554" s="362"/>
      <c r="F554" s="362"/>
      <c r="G554" s="362"/>
      <c r="H554" s="362"/>
      <c r="I554" s="363"/>
      <c r="J554" s="362" t="s">
        <v>320</v>
      </c>
      <c r="K554" s="245"/>
      <c r="L554" s="257"/>
      <c r="M554" s="591" t="s">
        <v>621</v>
      </c>
      <c r="N554" s="592"/>
      <c r="O554" s="179"/>
      <c r="P554" s="180"/>
      <c r="Q554" s="180">
        <v>10592754</v>
      </c>
      <c r="R554" s="181">
        <f t="shared" si="144"/>
        <v>5.9173180476291654</v>
      </c>
      <c r="S554" s="181">
        <v>100</v>
      </c>
      <c r="T554" s="180">
        <f t="shared" si="114"/>
        <v>0</v>
      </c>
      <c r="U554" s="180">
        <f t="shared" si="119"/>
        <v>0</v>
      </c>
      <c r="V554" s="182">
        <f t="shared" si="139"/>
        <v>100</v>
      </c>
      <c r="W554" s="180"/>
      <c r="X554" s="180"/>
      <c r="Y554" s="180"/>
      <c r="Z554" s="180"/>
      <c r="AA554" s="180"/>
      <c r="AB554" s="180"/>
      <c r="AC554" s="180"/>
      <c r="AD554" s="180"/>
      <c r="AE554" s="180"/>
      <c r="AF554" s="180"/>
      <c r="AG554" s="180"/>
      <c r="AH554" s="180"/>
      <c r="AI554" s="180">
        <v>0</v>
      </c>
      <c r="AJ554" s="181">
        <f t="shared" si="140"/>
        <v>0</v>
      </c>
      <c r="AK554" s="246">
        <f t="shared" si="145"/>
        <v>10592754</v>
      </c>
      <c r="AL554" s="181">
        <f t="shared" si="143"/>
        <v>100</v>
      </c>
      <c r="AM554" s="243"/>
    </row>
    <row r="555" spans="1:39" ht="24.75" customHeight="1" x14ac:dyDescent="0.25">
      <c r="A555" s="243"/>
      <c r="B555" s="362"/>
      <c r="C555" s="362"/>
      <c r="D555" s="362"/>
      <c r="E555" s="362"/>
      <c r="F555" s="362"/>
      <c r="G555" s="362"/>
      <c r="H555" s="362"/>
      <c r="I555" s="363"/>
      <c r="J555" s="362" t="s">
        <v>407</v>
      </c>
      <c r="K555" s="245"/>
      <c r="L555" s="257"/>
      <c r="M555" s="591" t="s">
        <v>321</v>
      </c>
      <c r="N555" s="592"/>
      <c r="O555" s="179"/>
      <c r="P555" s="180"/>
      <c r="Q555" s="180">
        <v>70400000</v>
      </c>
      <c r="R555" s="181">
        <f t="shared" si="144"/>
        <v>39.326806848633808</v>
      </c>
      <c r="S555" s="181">
        <v>100</v>
      </c>
      <c r="T555" s="180">
        <f t="shared" si="114"/>
        <v>0</v>
      </c>
      <c r="U555" s="180">
        <f t="shared" si="119"/>
        <v>0</v>
      </c>
      <c r="V555" s="182">
        <f t="shared" si="139"/>
        <v>100</v>
      </c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>
        <v>0</v>
      </c>
      <c r="AJ555" s="181">
        <f t="shared" si="140"/>
        <v>0</v>
      </c>
      <c r="AK555" s="246">
        <f t="shared" si="145"/>
        <v>70400000</v>
      </c>
      <c r="AL555" s="181">
        <f t="shared" si="143"/>
        <v>100</v>
      </c>
      <c r="AM555" s="243"/>
    </row>
    <row r="556" spans="1:39" ht="24.75" customHeight="1" x14ac:dyDescent="0.25">
      <c r="A556" s="243"/>
      <c r="B556" s="362"/>
      <c r="C556" s="362"/>
      <c r="D556" s="362"/>
      <c r="E556" s="362"/>
      <c r="F556" s="362"/>
      <c r="G556" s="362"/>
      <c r="H556" s="362"/>
      <c r="I556" s="363"/>
      <c r="J556" s="362" t="s">
        <v>343</v>
      </c>
      <c r="K556" s="245"/>
      <c r="L556" s="257"/>
      <c r="M556" s="591" t="s">
        <v>414</v>
      </c>
      <c r="N556" s="592"/>
      <c r="O556" s="179"/>
      <c r="P556" s="180"/>
      <c r="Q556" s="180">
        <v>10200000</v>
      </c>
      <c r="R556" s="181">
        <f t="shared" si="144"/>
        <v>5.6979180377281944</v>
      </c>
      <c r="S556" s="181">
        <v>100</v>
      </c>
      <c r="T556" s="180">
        <f t="shared" si="114"/>
        <v>0</v>
      </c>
      <c r="U556" s="180">
        <f t="shared" si="119"/>
        <v>0</v>
      </c>
      <c r="V556" s="182">
        <f t="shared" si="139"/>
        <v>100</v>
      </c>
      <c r="W556" s="180"/>
      <c r="X556" s="180"/>
      <c r="Y556" s="180"/>
      <c r="Z556" s="180"/>
      <c r="AA556" s="180"/>
      <c r="AB556" s="180"/>
      <c r="AC556" s="180"/>
      <c r="AD556" s="180"/>
      <c r="AE556" s="180"/>
      <c r="AF556" s="180"/>
      <c r="AG556" s="180"/>
      <c r="AH556" s="180"/>
      <c r="AI556" s="180">
        <v>0</v>
      </c>
      <c r="AJ556" s="181">
        <f t="shared" si="140"/>
        <v>0</v>
      </c>
      <c r="AK556" s="246">
        <f t="shared" si="145"/>
        <v>10200000</v>
      </c>
      <c r="AL556" s="181">
        <f t="shared" si="143"/>
        <v>100</v>
      </c>
      <c r="AM556" s="243"/>
    </row>
    <row r="557" spans="1:39" s="297" customFormat="1" ht="24.75" customHeight="1" x14ac:dyDescent="0.25">
      <c r="A557" s="227">
        <f>SUM(A548+1)</f>
        <v>69</v>
      </c>
      <c r="B557" s="367"/>
      <c r="C557" s="367"/>
      <c r="D557" s="367"/>
      <c r="E557" s="367"/>
      <c r="F557" s="367"/>
      <c r="G557" s="367"/>
      <c r="H557" s="367"/>
      <c r="I557" s="366"/>
      <c r="J557" s="304" t="s">
        <v>522</v>
      </c>
      <c r="K557" s="230"/>
      <c r="L557" s="294"/>
      <c r="M557" s="610" t="s">
        <v>202</v>
      </c>
      <c r="N557" s="612"/>
      <c r="O557" s="309"/>
      <c r="P557" s="231"/>
      <c r="Q557" s="231">
        <f>SUM(Q558:Q566)</f>
        <v>311010000</v>
      </c>
      <c r="R557" s="233">
        <f>Q557/Q$243*100</f>
        <v>2.6074283067032229</v>
      </c>
      <c r="S557" s="233">
        <v>100</v>
      </c>
      <c r="T557" s="231">
        <f t="shared" si="114"/>
        <v>33.111475515256743</v>
      </c>
      <c r="U557" s="231">
        <f t="shared" si="119"/>
        <v>0.86335798535191122</v>
      </c>
      <c r="V557" s="296">
        <f t="shared" si="139"/>
        <v>66.888524484743257</v>
      </c>
      <c r="W557" s="231"/>
      <c r="X557" s="231"/>
      <c r="Y557" s="231"/>
      <c r="Z557" s="231"/>
      <c r="AA557" s="231"/>
      <c r="AB557" s="231"/>
      <c r="AC557" s="231"/>
      <c r="AD557" s="231"/>
      <c r="AE557" s="231"/>
      <c r="AF557" s="231"/>
      <c r="AG557" s="231"/>
      <c r="AH557" s="231"/>
      <c r="AI557" s="231">
        <f>SUM(AI558:AI566)</f>
        <v>102980000</v>
      </c>
      <c r="AJ557" s="233">
        <f t="shared" si="140"/>
        <v>33.111475515256743</v>
      </c>
      <c r="AK557" s="234">
        <f>Q557-AI557</f>
        <v>208030000</v>
      </c>
      <c r="AL557" s="233">
        <f t="shared" si="143"/>
        <v>66.888524484743243</v>
      </c>
      <c r="AM557" s="227"/>
    </row>
    <row r="558" spans="1:39" ht="24.75" customHeight="1" x14ac:dyDescent="0.25">
      <c r="A558" s="243"/>
      <c r="B558" s="362"/>
      <c r="C558" s="362"/>
      <c r="D558" s="362"/>
      <c r="E558" s="362"/>
      <c r="F558" s="362"/>
      <c r="G558" s="362"/>
      <c r="H558" s="362"/>
      <c r="I558" s="363"/>
      <c r="J558" s="362" t="s">
        <v>259</v>
      </c>
      <c r="K558" s="245"/>
      <c r="L558" s="257"/>
      <c r="M558" s="591" t="s">
        <v>260</v>
      </c>
      <c r="N558" s="592"/>
      <c r="O558" s="179"/>
      <c r="P558" s="180"/>
      <c r="Q558" s="180">
        <v>2220000</v>
      </c>
      <c r="R558" s="181">
        <f t="shared" ref="R558:R565" si="146">Q558/Q$557*100</f>
        <v>0.71380341468120001</v>
      </c>
      <c r="S558" s="181">
        <v>100</v>
      </c>
      <c r="T558" s="180">
        <f t="shared" si="114"/>
        <v>33.333333333333329</v>
      </c>
      <c r="U558" s="180">
        <f t="shared" si="119"/>
        <v>0.23793447156039996</v>
      </c>
      <c r="V558" s="182">
        <f t="shared" si="139"/>
        <v>66.666666666666671</v>
      </c>
      <c r="W558" s="180"/>
      <c r="X558" s="180"/>
      <c r="Y558" s="180"/>
      <c r="Z558" s="180"/>
      <c r="AA558" s="180"/>
      <c r="AB558" s="180"/>
      <c r="AC558" s="180"/>
      <c r="AD558" s="180"/>
      <c r="AE558" s="180"/>
      <c r="AF558" s="180"/>
      <c r="AG558" s="180"/>
      <c r="AH558" s="180"/>
      <c r="AI558" s="180">
        <v>740000</v>
      </c>
      <c r="AJ558" s="181">
        <f t="shared" si="140"/>
        <v>33.333333333333329</v>
      </c>
      <c r="AK558" s="246">
        <f t="shared" ref="AK558:AK565" si="147">SUM(Q558-AI558)</f>
        <v>1480000</v>
      </c>
      <c r="AL558" s="181">
        <f t="shared" si="143"/>
        <v>66.666666666666657</v>
      </c>
      <c r="AM558" s="243"/>
    </row>
    <row r="559" spans="1:39" ht="24.75" customHeight="1" x14ac:dyDescent="0.25">
      <c r="A559" s="243"/>
      <c r="B559" s="362"/>
      <c r="C559" s="362"/>
      <c r="D559" s="362"/>
      <c r="E559" s="362"/>
      <c r="F559" s="362"/>
      <c r="G559" s="362"/>
      <c r="H559" s="362"/>
      <c r="I559" s="363"/>
      <c r="J559" s="362" t="s">
        <v>347</v>
      </c>
      <c r="K559" s="245"/>
      <c r="L559" s="257"/>
      <c r="M559" s="591" t="s">
        <v>622</v>
      </c>
      <c r="N559" s="592"/>
      <c r="O559" s="179"/>
      <c r="P559" s="180"/>
      <c r="Q559" s="180">
        <v>44250000</v>
      </c>
      <c r="R559" s="181">
        <f t="shared" si="146"/>
        <v>14.227838333172565</v>
      </c>
      <c r="S559" s="181">
        <v>100</v>
      </c>
      <c r="T559" s="180">
        <f t="shared" si="114"/>
        <v>33.333333333333329</v>
      </c>
      <c r="U559" s="180"/>
      <c r="V559" s="182">
        <f t="shared" si="139"/>
        <v>66.666666666666671</v>
      </c>
      <c r="W559" s="180"/>
      <c r="X559" s="180"/>
      <c r="Y559" s="180"/>
      <c r="Z559" s="180"/>
      <c r="AA559" s="180"/>
      <c r="AB559" s="180"/>
      <c r="AC559" s="180"/>
      <c r="AD559" s="180"/>
      <c r="AE559" s="180"/>
      <c r="AF559" s="180"/>
      <c r="AG559" s="180"/>
      <c r="AH559" s="180"/>
      <c r="AI559" s="180">
        <v>14750000</v>
      </c>
      <c r="AJ559" s="181">
        <f t="shared" si="140"/>
        <v>33.333333333333329</v>
      </c>
      <c r="AK559" s="246">
        <f t="shared" si="147"/>
        <v>29500000</v>
      </c>
      <c r="AL559" s="181">
        <f t="shared" si="143"/>
        <v>66.666666666666657</v>
      </c>
      <c r="AM559" s="243"/>
    </row>
    <row r="560" spans="1:39" ht="24.75" customHeight="1" x14ac:dyDescent="0.25">
      <c r="A560" s="243"/>
      <c r="B560" s="362"/>
      <c r="C560" s="362"/>
      <c r="D560" s="362"/>
      <c r="E560" s="362"/>
      <c r="F560" s="362"/>
      <c r="G560" s="362"/>
      <c r="H560" s="362"/>
      <c r="I560" s="363"/>
      <c r="J560" s="362" t="s">
        <v>269</v>
      </c>
      <c r="K560" s="245"/>
      <c r="L560" s="257"/>
      <c r="M560" s="591" t="s">
        <v>270</v>
      </c>
      <c r="N560" s="592"/>
      <c r="O560" s="179"/>
      <c r="P560" s="180"/>
      <c r="Q560" s="180">
        <v>15000000</v>
      </c>
      <c r="R560" s="181">
        <f t="shared" si="146"/>
        <v>4.8229960451432428</v>
      </c>
      <c r="S560" s="181">
        <v>100</v>
      </c>
      <c r="T560" s="180">
        <f t="shared" si="114"/>
        <v>33.333333333333329</v>
      </c>
      <c r="U560" s="180">
        <f t="shared" si="119"/>
        <v>1.6076653483810808</v>
      </c>
      <c r="V560" s="182">
        <f t="shared" si="139"/>
        <v>66.666666666666671</v>
      </c>
      <c r="W560" s="180"/>
      <c r="X560" s="180"/>
      <c r="Y560" s="180"/>
      <c r="Z560" s="180"/>
      <c r="AA560" s="180"/>
      <c r="AB560" s="180"/>
      <c r="AC560" s="180"/>
      <c r="AD560" s="180"/>
      <c r="AE560" s="180"/>
      <c r="AF560" s="180"/>
      <c r="AG560" s="180"/>
      <c r="AH560" s="180"/>
      <c r="AI560" s="180">
        <v>5000000</v>
      </c>
      <c r="AJ560" s="181">
        <f t="shared" si="140"/>
        <v>33.333333333333329</v>
      </c>
      <c r="AK560" s="246">
        <f t="shared" si="147"/>
        <v>10000000</v>
      </c>
      <c r="AL560" s="181">
        <f t="shared" si="143"/>
        <v>66.666666666666657</v>
      </c>
      <c r="AM560" s="243"/>
    </row>
    <row r="561" spans="1:39" ht="24.75" customHeight="1" x14ac:dyDescent="0.25">
      <c r="A561" s="243"/>
      <c r="B561" s="362"/>
      <c r="C561" s="362"/>
      <c r="D561" s="362"/>
      <c r="E561" s="362"/>
      <c r="F561" s="362"/>
      <c r="G561" s="362"/>
      <c r="H561" s="362"/>
      <c r="I561" s="363"/>
      <c r="J561" s="362" t="s">
        <v>315</v>
      </c>
      <c r="K561" s="245"/>
      <c r="L561" s="257"/>
      <c r="M561" s="591" t="s">
        <v>271</v>
      </c>
      <c r="N561" s="592"/>
      <c r="O561" s="179"/>
      <c r="P561" s="180"/>
      <c r="Q561" s="180">
        <v>10710000</v>
      </c>
      <c r="R561" s="181">
        <f t="shared" si="146"/>
        <v>3.443619176232275</v>
      </c>
      <c r="S561" s="181">
        <v>100</v>
      </c>
      <c r="T561" s="180">
        <f t="shared" si="114"/>
        <v>33.333333333333329</v>
      </c>
      <c r="U561" s="180">
        <f t="shared" si="119"/>
        <v>1.1478730587440915</v>
      </c>
      <c r="V561" s="182">
        <f t="shared" si="139"/>
        <v>66.666666666666671</v>
      </c>
      <c r="W561" s="180"/>
      <c r="X561" s="180"/>
      <c r="Y561" s="180"/>
      <c r="Z561" s="180"/>
      <c r="AA561" s="180"/>
      <c r="AB561" s="180"/>
      <c r="AC561" s="180"/>
      <c r="AD561" s="180"/>
      <c r="AE561" s="180"/>
      <c r="AF561" s="180"/>
      <c r="AG561" s="180"/>
      <c r="AH561" s="180"/>
      <c r="AI561" s="180">
        <v>3570000</v>
      </c>
      <c r="AJ561" s="181">
        <f t="shared" si="140"/>
        <v>33.333333333333329</v>
      </c>
      <c r="AK561" s="246">
        <f t="shared" si="147"/>
        <v>7140000</v>
      </c>
      <c r="AL561" s="181">
        <f t="shared" si="143"/>
        <v>66.666666666666657</v>
      </c>
      <c r="AM561" s="243"/>
    </row>
    <row r="562" spans="1:39" ht="24.75" customHeight="1" x14ac:dyDescent="0.25">
      <c r="A562" s="243"/>
      <c r="B562" s="362"/>
      <c r="C562" s="362"/>
      <c r="D562" s="362"/>
      <c r="E562" s="362"/>
      <c r="F562" s="362"/>
      <c r="G562" s="362"/>
      <c r="H562" s="362"/>
      <c r="I562" s="363"/>
      <c r="J562" s="362" t="s">
        <v>318</v>
      </c>
      <c r="K562" s="245"/>
      <c r="L562" s="257"/>
      <c r="M562" s="591" t="s">
        <v>319</v>
      </c>
      <c r="N562" s="592"/>
      <c r="O562" s="179"/>
      <c r="P562" s="180"/>
      <c r="Q562" s="180">
        <v>179970000</v>
      </c>
      <c r="R562" s="181">
        <f t="shared" si="146"/>
        <v>57.866306549628632</v>
      </c>
      <c r="S562" s="181">
        <v>100</v>
      </c>
      <c r="T562" s="180">
        <f t="shared" si="114"/>
        <v>33.333333333333329</v>
      </c>
      <c r="U562" s="180">
        <f t="shared" si="119"/>
        <v>19.288768849876206</v>
      </c>
      <c r="V562" s="182">
        <f t="shared" si="139"/>
        <v>66.666666666666671</v>
      </c>
      <c r="W562" s="180"/>
      <c r="X562" s="180"/>
      <c r="Y562" s="180"/>
      <c r="Z562" s="180"/>
      <c r="AA562" s="180"/>
      <c r="AB562" s="180"/>
      <c r="AC562" s="180"/>
      <c r="AD562" s="180"/>
      <c r="AE562" s="180"/>
      <c r="AF562" s="180"/>
      <c r="AG562" s="180"/>
      <c r="AH562" s="180"/>
      <c r="AI562" s="180">
        <v>59990000</v>
      </c>
      <c r="AJ562" s="181">
        <f t="shared" si="140"/>
        <v>33.333333333333329</v>
      </c>
      <c r="AK562" s="246">
        <f t="shared" si="147"/>
        <v>119980000</v>
      </c>
      <c r="AL562" s="181">
        <f t="shared" si="143"/>
        <v>66.666666666666657</v>
      </c>
      <c r="AM562" s="243"/>
    </row>
    <row r="563" spans="1:39" ht="24.75" customHeight="1" x14ac:dyDescent="0.25">
      <c r="A563" s="243"/>
      <c r="B563" s="362"/>
      <c r="C563" s="362"/>
      <c r="D563" s="362"/>
      <c r="E563" s="362"/>
      <c r="F563" s="362"/>
      <c r="G563" s="362"/>
      <c r="H563" s="362"/>
      <c r="I563" s="363"/>
      <c r="J563" s="362" t="s">
        <v>284</v>
      </c>
      <c r="K563" s="245"/>
      <c r="L563" s="257"/>
      <c r="M563" s="591" t="s">
        <v>285</v>
      </c>
      <c r="N563" s="592"/>
      <c r="O563" s="179"/>
      <c r="P563" s="180"/>
      <c r="Q563" s="180">
        <v>1320000</v>
      </c>
      <c r="R563" s="181">
        <f t="shared" si="146"/>
        <v>0.4244236519726054</v>
      </c>
      <c r="S563" s="181">
        <v>100</v>
      </c>
      <c r="T563" s="180">
        <f t="shared" si="114"/>
        <v>33.333333333333329</v>
      </c>
      <c r="U563" s="180">
        <f t="shared" si="119"/>
        <v>0.14147455065753511</v>
      </c>
      <c r="V563" s="182">
        <f t="shared" si="139"/>
        <v>66.666666666666671</v>
      </c>
      <c r="W563" s="180"/>
      <c r="X563" s="180"/>
      <c r="Y563" s="180"/>
      <c r="Z563" s="180"/>
      <c r="AA563" s="180"/>
      <c r="AB563" s="180"/>
      <c r="AC563" s="180"/>
      <c r="AD563" s="180"/>
      <c r="AE563" s="180"/>
      <c r="AF563" s="180"/>
      <c r="AG563" s="180"/>
      <c r="AH563" s="180"/>
      <c r="AI563" s="180">
        <v>440000</v>
      </c>
      <c r="AJ563" s="181">
        <f t="shared" si="140"/>
        <v>33.333333333333329</v>
      </c>
      <c r="AK563" s="246">
        <f t="shared" si="147"/>
        <v>880000</v>
      </c>
      <c r="AL563" s="181">
        <f t="shared" si="143"/>
        <v>66.666666666666657</v>
      </c>
      <c r="AM563" s="243"/>
    </row>
    <row r="564" spans="1:39" ht="24.75" customHeight="1" x14ac:dyDescent="0.25">
      <c r="A564" s="243"/>
      <c r="B564" s="362"/>
      <c r="C564" s="362"/>
      <c r="D564" s="362"/>
      <c r="E564" s="362"/>
      <c r="F564" s="362"/>
      <c r="G564" s="362"/>
      <c r="H564" s="362"/>
      <c r="I564" s="363"/>
      <c r="J564" s="362" t="s">
        <v>282</v>
      </c>
      <c r="K564" s="245"/>
      <c r="L564" s="257"/>
      <c r="M564" s="591" t="s">
        <v>283</v>
      </c>
      <c r="N564" s="592"/>
      <c r="O564" s="179"/>
      <c r="P564" s="180"/>
      <c r="Q564" s="180">
        <v>39540000</v>
      </c>
      <c r="R564" s="181">
        <f t="shared" si="146"/>
        <v>12.713417574997587</v>
      </c>
      <c r="S564" s="181">
        <v>100</v>
      </c>
      <c r="T564" s="180">
        <f t="shared" si="114"/>
        <v>33.864441072331815</v>
      </c>
      <c r="U564" s="180">
        <f t="shared" si="119"/>
        <v>4.3053278029645341</v>
      </c>
      <c r="V564" s="182">
        <f t="shared" si="139"/>
        <v>66.135558927668185</v>
      </c>
      <c r="W564" s="180"/>
      <c r="X564" s="180"/>
      <c r="Y564" s="180"/>
      <c r="Z564" s="180"/>
      <c r="AA564" s="180"/>
      <c r="AB564" s="180"/>
      <c r="AC564" s="180"/>
      <c r="AD564" s="180"/>
      <c r="AE564" s="180"/>
      <c r="AF564" s="180"/>
      <c r="AG564" s="180"/>
      <c r="AH564" s="180"/>
      <c r="AI564" s="180">
        <v>13390000</v>
      </c>
      <c r="AJ564" s="181">
        <f t="shared" si="140"/>
        <v>33.864441072331815</v>
      </c>
      <c r="AK564" s="246">
        <f t="shared" si="147"/>
        <v>26150000</v>
      </c>
      <c r="AL564" s="181">
        <f t="shared" si="143"/>
        <v>66.135558927668185</v>
      </c>
      <c r="AM564" s="243"/>
    </row>
    <row r="565" spans="1:39" ht="24.75" customHeight="1" x14ac:dyDescent="0.25">
      <c r="A565" s="243"/>
      <c r="B565" s="362"/>
      <c r="C565" s="362"/>
      <c r="D565" s="362"/>
      <c r="E565" s="362"/>
      <c r="F565" s="362"/>
      <c r="G565" s="362"/>
      <c r="H565" s="362"/>
      <c r="I565" s="363"/>
      <c r="J565" s="362" t="s">
        <v>320</v>
      </c>
      <c r="K565" s="245"/>
      <c r="L565" s="257"/>
      <c r="M565" s="591" t="s">
        <v>321</v>
      </c>
      <c r="N565" s="592"/>
      <c r="O565" s="179"/>
      <c r="P565" s="180"/>
      <c r="Q565" s="180">
        <v>16200000</v>
      </c>
      <c r="R565" s="181">
        <f t="shared" si="146"/>
        <v>5.2088357287547025</v>
      </c>
      <c r="S565" s="181">
        <v>100</v>
      </c>
      <c r="T565" s="180">
        <f t="shared" si="114"/>
        <v>27.777777777777779</v>
      </c>
      <c r="U565" s="180">
        <f t="shared" si="119"/>
        <v>1.4468988135429728</v>
      </c>
      <c r="V565" s="182">
        <f t="shared" si="139"/>
        <v>72.222222222222229</v>
      </c>
      <c r="W565" s="180"/>
      <c r="X565" s="180"/>
      <c r="Y565" s="180"/>
      <c r="Z565" s="180"/>
      <c r="AA565" s="180"/>
      <c r="AB565" s="180"/>
      <c r="AC565" s="180"/>
      <c r="AD565" s="180"/>
      <c r="AE565" s="180"/>
      <c r="AF565" s="180"/>
      <c r="AG565" s="180"/>
      <c r="AH565" s="180"/>
      <c r="AI565" s="180">
        <v>4500000</v>
      </c>
      <c r="AJ565" s="181">
        <f t="shared" si="140"/>
        <v>27.777777777777779</v>
      </c>
      <c r="AK565" s="246">
        <f t="shared" si="147"/>
        <v>11700000</v>
      </c>
      <c r="AL565" s="181">
        <f t="shared" si="143"/>
        <v>72.222222222222214</v>
      </c>
      <c r="AM565" s="243"/>
    </row>
    <row r="566" spans="1:39" ht="24.75" customHeight="1" x14ac:dyDescent="0.25">
      <c r="A566" s="243"/>
      <c r="B566" s="362"/>
      <c r="C566" s="362"/>
      <c r="D566" s="362"/>
      <c r="E566" s="362"/>
      <c r="F566" s="362"/>
      <c r="G566" s="362"/>
      <c r="H566" s="362"/>
      <c r="I566" s="363"/>
      <c r="J566" s="362" t="s">
        <v>407</v>
      </c>
      <c r="K566" s="245"/>
      <c r="L566" s="257"/>
      <c r="M566" s="591" t="s">
        <v>414</v>
      </c>
      <c r="N566" s="592"/>
      <c r="O566" s="179"/>
      <c r="P566" s="180"/>
      <c r="Q566" s="180">
        <v>1800000</v>
      </c>
      <c r="R566" s="181">
        <f>Q566/Q$557*100</f>
        <v>0.57875952541718911</v>
      </c>
      <c r="S566" s="181">
        <v>100</v>
      </c>
      <c r="T566" s="180">
        <f t="shared" si="114"/>
        <v>33.333333333333329</v>
      </c>
      <c r="U566" s="180">
        <f t="shared" si="119"/>
        <v>0.19291984180572969</v>
      </c>
      <c r="V566" s="182">
        <f t="shared" si="139"/>
        <v>66.666666666666671</v>
      </c>
      <c r="W566" s="180"/>
      <c r="X566" s="180"/>
      <c r="Y566" s="180"/>
      <c r="Z566" s="180"/>
      <c r="AA566" s="180"/>
      <c r="AB566" s="180"/>
      <c r="AC566" s="180"/>
      <c r="AD566" s="180"/>
      <c r="AE566" s="180"/>
      <c r="AF566" s="180"/>
      <c r="AG566" s="180"/>
      <c r="AH566" s="180"/>
      <c r="AI566" s="180">
        <v>600000</v>
      </c>
      <c r="AJ566" s="181">
        <f t="shared" si="140"/>
        <v>33.333333333333329</v>
      </c>
      <c r="AK566" s="246">
        <f t="shared" ref="AK566:AK630" si="148">Q566-AI566</f>
        <v>1200000</v>
      </c>
      <c r="AL566" s="181">
        <f t="shared" si="143"/>
        <v>66.666666666666657</v>
      </c>
      <c r="AM566" s="243"/>
    </row>
    <row r="567" spans="1:39" s="311" customFormat="1" ht="24.75" customHeight="1" x14ac:dyDescent="0.25">
      <c r="A567" s="227">
        <f>SUM(A557+1)</f>
        <v>70</v>
      </c>
      <c r="B567" s="367"/>
      <c r="C567" s="367"/>
      <c r="D567" s="367"/>
      <c r="E567" s="367"/>
      <c r="F567" s="367"/>
      <c r="G567" s="367"/>
      <c r="H567" s="367"/>
      <c r="I567" s="366"/>
      <c r="J567" s="304" t="s">
        <v>523</v>
      </c>
      <c r="K567" s="230"/>
      <c r="L567" s="294"/>
      <c r="M567" s="609" t="s">
        <v>203</v>
      </c>
      <c r="N567" s="614"/>
      <c r="O567" s="310"/>
      <c r="P567" s="231"/>
      <c r="Q567" s="231">
        <f>SUM(Q568:Q579)</f>
        <v>363103120</v>
      </c>
      <c r="R567" s="233">
        <f>Q567/Q$243*100</f>
        <v>3.0441637032258035</v>
      </c>
      <c r="S567" s="233">
        <v>100</v>
      </c>
      <c r="T567" s="231">
        <f t="shared" si="114"/>
        <v>0</v>
      </c>
      <c r="U567" s="231">
        <f t="shared" si="119"/>
        <v>0</v>
      </c>
      <c r="V567" s="296">
        <f t="shared" si="139"/>
        <v>100</v>
      </c>
      <c r="W567" s="231"/>
      <c r="X567" s="231"/>
      <c r="Y567" s="231"/>
      <c r="Z567" s="231"/>
      <c r="AA567" s="231"/>
      <c r="AB567" s="231"/>
      <c r="AC567" s="231"/>
      <c r="AD567" s="231"/>
      <c r="AE567" s="231"/>
      <c r="AF567" s="231"/>
      <c r="AG567" s="231"/>
      <c r="AH567" s="231"/>
      <c r="AI567" s="231">
        <f>SUM(AI568:AI579)</f>
        <v>0</v>
      </c>
      <c r="AJ567" s="233">
        <f t="shared" si="140"/>
        <v>0</v>
      </c>
      <c r="AK567" s="234">
        <f t="shared" si="148"/>
        <v>363103120</v>
      </c>
      <c r="AL567" s="233">
        <f t="shared" si="143"/>
        <v>100</v>
      </c>
      <c r="AM567" s="227"/>
    </row>
    <row r="568" spans="1:39" ht="24.75" customHeight="1" x14ac:dyDescent="0.25">
      <c r="A568" s="243"/>
      <c r="B568" s="362"/>
      <c r="C568" s="362"/>
      <c r="D568" s="362"/>
      <c r="E568" s="362"/>
      <c r="F568" s="362"/>
      <c r="G568" s="362"/>
      <c r="H568" s="362"/>
      <c r="I568" s="363"/>
      <c r="J568" s="362" t="s">
        <v>259</v>
      </c>
      <c r="K568" s="245"/>
      <c r="L568" s="257"/>
      <c r="M568" s="591" t="s">
        <v>260</v>
      </c>
      <c r="N568" s="592"/>
      <c r="O568" s="179"/>
      <c r="P568" s="180"/>
      <c r="Q568" s="180">
        <v>2310000</v>
      </c>
      <c r="R568" s="181">
        <f t="shared" ref="R568:R579" si="149">Q568/Q$567*100</f>
        <v>0.63618291134485438</v>
      </c>
      <c r="S568" s="181">
        <v>100</v>
      </c>
      <c r="T568" s="180">
        <f t="shared" si="114"/>
        <v>0</v>
      </c>
      <c r="U568" s="180">
        <f t="shared" si="119"/>
        <v>0</v>
      </c>
      <c r="V568" s="182">
        <f t="shared" si="139"/>
        <v>100</v>
      </c>
      <c r="W568" s="180"/>
      <c r="X568" s="180"/>
      <c r="Y568" s="180"/>
      <c r="Z568" s="180"/>
      <c r="AA568" s="180"/>
      <c r="AB568" s="180"/>
      <c r="AC568" s="180"/>
      <c r="AD568" s="180"/>
      <c r="AE568" s="180"/>
      <c r="AF568" s="180"/>
      <c r="AG568" s="180"/>
      <c r="AH568" s="180"/>
      <c r="AI568" s="180">
        <v>0</v>
      </c>
      <c r="AJ568" s="181">
        <f t="shared" si="140"/>
        <v>0</v>
      </c>
      <c r="AK568" s="246">
        <f t="shared" si="148"/>
        <v>2310000</v>
      </c>
      <c r="AL568" s="181">
        <f t="shared" si="143"/>
        <v>100</v>
      </c>
      <c r="AM568" s="243"/>
    </row>
    <row r="569" spans="1:39" ht="24.75" customHeight="1" x14ac:dyDescent="0.25">
      <c r="A569" s="243"/>
      <c r="B569" s="362"/>
      <c r="C569" s="362"/>
      <c r="D569" s="362"/>
      <c r="E569" s="362"/>
      <c r="F569" s="362"/>
      <c r="G569" s="362"/>
      <c r="H569" s="362"/>
      <c r="I569" s="363"/>
      <c r="J569" s="362" t="s">
        <v>326</v>
      </c>
      <c r="K569" s="245"/>
      <c r="L569" s="257"/>
      <c r="M569" s="591" t="s">
        <v>327</v>
      </c>
      <c r="N569" s="592"/>
      <c r="O569" s="179"/>
      <c r="P569" s="180"/>
      <c r="Q569" s="180">
        <v>140400000</v>
      </c>
      <c r="R569" s="181">
        <f t="shared" si="149"/>
        <v>38.666701624596342</v>
      </c>
      <c r="S569" s="181">
        <v>100</v>
      </c>
      <c r="T569" s="180">
        <f t="shared" si="114"/>
        <v>0</v>
      </c>
      <c r="U569" s="180">
        <f t="shared" si="119"/>
        <v>0</v>
      </c>
      <c r="V569" s="182">
        <f t="shared" si="139"/>
        <v>100</v>
      </c>
      <c r="W569" s="180"/>
      <c r="X569" s="180"/>
      <c r="Y569" s="180"/>
      <c r="Z569" s="180"/>
      <c r="AA569" s="180"/>
      <c r="AB569" s="180"/>
      <c r="AC569" s="180"/>
      <c r="AD569" s="180"/>
      <c r="AE569" s="180"/>
      <c r="AF569" s="180"/>
      <c r="AG569" s="180"/>
      <c r="AH569" s="180"/>
      <c r="AI569" s="180">
        <v>0</v>
      </c>
      <c r="AJ569" s="181">
        <f t="shared" si="140"/>
        <v>0</v>
      </c>
      <c r="AK569" s="246">
        <f t="shared" si="148"/>
        <v>140400000</v>
      </c>
      <c r="AL569" s="181">
        <f t="shared" si="143"/>
        <v>100</v>
      </c>
      <c r="AM569" s="243"/>
    </row>
    <row r="570" spans="1:39" ht="24.75" customHeight="1" x14ac:dyDescent="0.25">
      <c r="A570" s="243"/>
      <c r="B570" s="362"/>
      <c r="C570" s="362"/>
      <c r="D570" s="362"/>
      <c r="E570" s="362"/>
      <c r="F570" s="362"/>
      <c r="G570" s="362"/>
      <c r="H570" s="362"/>
      <c r="I570" s="363"/>
      <c r="J570" s="362" t="s">
        <v>269</v>
      </c>
      <c r="K570" s="245"/>
      <c r="L570" s="257"/>
      <c r="M570" s="591" t="s">
        <v>270</v>
      </c>
      <c r="N570" s="592"/>
      <c r="O570" s="179"/>
      <c r="P570" s="180"/>
      <c r="Q570" s="180">
        <v>22000000</v>
      </c>
      <c r="R570" s="181">
        <f t="shared" si="149"/>
        <v>6.0588848699509938</v>
      </c>
      <c r="S570" s="181">
        <v>100</v>
      </c>
      <c r="T570" s="180">
        <f t="shared" si="114"/>
        <v>0</v>
      </c>
      <c r="U570" s="180">
        <f t="shared" si="119"/>
        <v>0</v>
      </c>
      <c r="V570" s="182">
        <f t="shared" si="139"/>
        <v>100</v>
      </c>
      <c r="W570" s="180"/>
      <c r="X570" s="180"/>
      <c r="Y570" s="180"/>
      <c r="Z570" s="180"/>
      <c r="AA570" s="180"/>
      <c r="AB570" s="180"/>
      <c r="AC570" s="180"/>
      <c r="AD570" s="180"/>
      <c r="AE570" s="180"/>
      <c r="AF570" s="180"/>
      <c r="AG570" s="180"/>
      <c r="AH570" s="180"/>
      <c r="AI570" s="180">
        <v>0</v>
      </c>
      <c r="AJ570" s="181">
        <f t="shared" si="140"/>
        <v>0</v>
      </c>
      <c r="AK570" s="246">
        <f t="shared" si="148"/>
        <v>22000000</v>
      </c>
      <c r="AL570" s="181">
        <f t="shared" si="143"/>
        <v>100</v>
      </c>
      <c r="AM570" s="243"/>
    </row>
    <row r="571" spans="1:39" ht="24.75" customHeight="1" x14ac:dyDescent="0.25">
      <c r="A571" s="243"/>
      <c r="B571" s="362"/>
      <c r="C571" s="362"/>
      <c r="D571" s="362"/>
      <c r="E571" s="362"/>
      <c r="F571" s="362"/>
      <c r="G571" s="362"/>
      <c r="H571" s="362"/>
      <c r="I571" s="363"/>
      <c r="J571" s="362" t="s">
        <v>315</v>
      </c>
      <c r="K571" s="245"/>
      <c r="L571" s="257"/>
      <c r="M571" s="591" t="s">
        <v>271</v>
      </c>
      <c r="N571" s="592"/>
      <c r="O571" s="179"/>
      <c r="P571" s="180"/>
      <c r="Q571" s="180">
        <v>4500000</v>
      </c>
      <c r="R571" s="181">
        <f t="shared" si="149"/>
        <v>1.2393173597627032</v>
      </c>
      <c r="S571" s="181">
        <v>100</v>
      </c>
      <c r="T571" s="180">
        <f t="shared" si="114"/>
        <v>0</v>
      </c>
      <c r="U571" s="180">
        <f t="shared" si="119"/>
        <v>0</v>
      </c>
      <c r="V571" s="182">
        <f t="shared" si="139"/>
        <v>100</v>
      </c>
      <c r="W571" s="180"/>
      <c r="X571" s="180"/>
      <c r="Y571" s="180"/>
      <c r="Z571" s="180"/>
      <c r="AA571" s="180"/>
      <c r="AB571" s="180"/>
      <c r="AC571" s="180"/>
      <c r="AD571" s="180"/>
      <c r="AE571" s="180"/>
      <c r="AF571" s="180"/>
      <c r="AG571" s="180"/>
      <c r="AH571" s="180"/>
      <c r="AI571" s="180">
        <v>0</v>
      </c>
      <c r="AJ571" s="181">
        <f t="shared" si="140"/>
        <v>0</v>
      </c>
      <c r="AK571" s="246">
        <f t="shared" si="148"/>
        <v>4500000</v>
      </c>
      <c r="AL571" s="181">
        <f t="shared" si="143"/>
        <v>100</v>
      </c>
      <c r="AM571" s="243"/>
    </row>
    <row r="572" spans="1:39" ht="24.75" customHeight="1" x14ac:dyDescent="0.25">
      <c r="A572" s="243"/>
      <c r="B572" s="362"/>
      <c r="C572" s="362"/>
      <c r="D572" s="362"/>
      <c r="E572" s="362"/>
      <c r="F572" s="362"/>
      <c r="G572" s="362"/>
      <c r="H572" s="362"/>
      <c r="I572" s="363"/>
      <c r="J572" s="362" t="s">
        <v>316</v>
      </c>
      <c r="K572" s="245"/>
      <c r="L572" s="257"/>
      <c r="M572" s="591" t="s">
        <v>317</v>
      </c>
      <c r="N572" s="592"/>
      <c r="O572" s="179"/>
      <c r="P572" s="180"/>
      <c r="Q572" s="180">
        <v>600000</v>
      </c>
      <c r="R572" s="181">
        <f t="shared" si="149"/>
        <v>0.16524231463502709</v>
      </c>
      <c r="S572" s="181">
        <v>100</v>
      </c>
      <c r="T572" s="180">
        <f t="shared" si="114"/>
        <v>0</v>
      </c>
      <c r="U572" s="180">
        <f t="shared" si="119"/>
        <v>0</v>
      </c>
      <c r="V572" s="182">
        <f t="shared" si="139"/>
        <v>100</v>
      </c>
      <c r="W572" s="180"/>
      <c r="X572" s="180"/>
      <c r="Y572" s="180"/>
      <c r="Z572" s="180"/>
      <c r="AA572" s="180"/>
      <c r="AB572" s="180"/>
      <c r="AC572" s="180"/>
      <c r="AD572" s="180"/>
      <c r="AE572" s="180"/>
      <c r="AF572" s="180"/>
      <c r="AG572" s="180"/>
      <c r="AH572" s="180"/>
      <c r="AI572" s="180">
        <v>0</v>
      </c>
      <c r="AJ572" s="181">
        <f t="shared" si="140"/>
        <v>0</v>
      </c>
      <c r="AK572" s="246">
        <f t="shared" si="148"/>
        <v>600000</v>
      </c>
      <c r="AL572" s="181">
        <f t="shared" si="143"/>
        <v>100</v>
      </c>
      <c r="AM572" s="243"/>
    </row>
    <row r="573" spans="1:39" ht="24.75" customHeight="1" x14ac:dyDescent="0.25">
      <c r="A573" s="243"/>
      <c r="B573" s="362"/>
      <c r="C573" s="362"/>
      <c r="D573" s="362"/>
      <c r="E573" s="362"/>
      <c r="F573" s="362"/>
      <c r="G573" s="362"/>
      <c r="H573" s="362"/>
      <c r="I573" s="363"/>
      <c r="J573" s="362" t="s">
        <v>328</v>
      </c>
      <c r="K573" s="245"/>
      <c r="L573" s="257"/>
      <c r="M573" s="591" t="s">
        <v>329</v>
      </c>
      <c r="N573" s="592"/>
      <c r="O573" s="179"/>
      <c r="P573" s="180"/>
      <c r="Q573" s="180">
        <v>8250000</v>
      </c>
      <c r="R573" s="181">
        <f t="shared" si="149"/>
        <v>2.2720818262316222</v>
      </c>
      <c r="S573" s="181">
        <v>100</v>
      </c>
      <c r="T573" s="180">
        <f t="shared" si="114"/>
        <v>0</v>
      </c>
      <c r="U573" s="180">
        <f t="shared" si="119"/>
        <v>0</v>
      </c>
      <c r="V573" s="182">
        <f t="shared" si="139"/>
        <v>100</v>
      </c>
      <c r="W573" s="180"/>
      <c r="X573" s="180"/>
      <c r="Y573" s="180"/>
      <c r="Z573" s="180"/>
      <c r="AA573" s="180"/>
      <c r="AB573" s="180"/>
      <c r="AC573" s="180"/>
      <c r="AD573" s="180"/>
      <c r="AE573" s="180"/>
      <c r="AF573" s="180"/>
      <c r="AG573" s="180"/>
      <c r="AH573" s="180"/>
      <c r="AI573" s="180">
        <v>0</v>
      </c>
      <c r="AJ573" s="181">
        <f t="shared" si="140"/>
        <v>0</v>
      </c>
      <c r="AK573" s="246">
        <f t="shared" si="148"/>
        <v>8250000</v>
      </c>
      <c r="AL573" s="181">
        <f t="shared" si="143"/>
        <v>100</v>
      </c>
      <c r="AM573" s="243"/>
    </row>
    <row r="574" spans="1:39" ht="24.75" customHeight="1" x14ac:dyDescent="0.25">
      <c r="A574" s="243"/>
      <c r="B574" s="362"/>
      <c r="C574" s="362"/>
      <c r="D574" s="362"/>
      <c r="E574" s="362"/>
      <c r="F574" s="362"/>
      <c r="G574" s="362"/>
      <c r="H574" s="362"/>
      <c r="I574" s="363"/>
      <c r="J574" s="362" t="s">
        <v>318</v>
      </c>
      <c r="K574" s="245"/>
      <c r="L574" s="257"/>
      <c r="M574" s="591" t="s">
        <v>319</v>
      </c>
      <c r="N574" s="592"/>
      <c r="O574" s="179"/>
      <c r="P574" s="180"/>
      <c r="Q574" s="180">
        <v>100000000</v>
      </c>
      <c r="R574" s="181">
        <f t="shared" si="149"/>
        <v>27.540385772504518</v>
      </c>
      <c r="S574" s="181">
        <v>100</v>
      </c>
      <c r="T574" s="180">
        <f t="shared" si="114"/>
        <v>0</v>
      </c>
      <c r="U574" s="180">
        <f t="shared" si="119"/>
        <v>0</v>
      </c>
      <c r="V574" s="182">
        <v>100</v>
      </c>
      <c r="W574" s="180"/>
      <c r="X574" s="180"/>
      <c r="Y574" s="180"/>
      <c r="Z574" s="180"/>
      <c r="AA574" s="180"/>
      <c r="AB574" s="180"/>
      <c r="AC574" s="180"/>
      <c r="AD574" s="180"/>
      <c r="AE574" s="180"/>
      <c r="AF574" s="180"/>
      <c r="AG574" s="180"/>
      <c r="AH574" s="180"/>
      <c r="AI574" s="180">
        <v>0</v>
      </c>
      <c r="AJ574" s="181">
        <f t="shared" si="140"/>
        <v>0</v>
      </c>
      <c r="AK574" s="246">
        <f t="shared" si="148"/>
        <v>100000000</v>
      </c>
      <c r="AL574" s="181">
        <f t="shared" si="143"/>
        <v>100</v>
      </c>
      <c r="AM574" s="243"/>
    </row>
    <row r="575" spans="1:39" ht="24.75" customHeight="1" x14ac:dyDescent="0.25">
      <c r="A575" s="243"/>
      <c r="B575" s="362"/>
      <c r="C575" s="362"/>
      <c r="D575" s="362"/>
      <c r="E575" s="362"/>
      <c r="F575" s="362"/>
      <c r="G575" s="362"/>
      <c r="H575" s="362"/>
      <c r="I575" s="363"/>
      <c r="J575" s="362" t="s">
        <v>280</v>
      </c>
      <c r="K575" s="245"/>
      <c r="L575" s="257"/>
      <c r="M575" s="591" t="s">
        <v>281</v>
      </c>
      <c r="N575" s="592"/>
      <c r="O575" s="179"/>
      <c r="P575" s="180"/>
      <c r="Q575" s="180">
        <v>9500000</v>
      </c>
      <c r="R575" s="181">
        <f t="shared" si="149"/>
        <v>2.6163366483879291</v>
      </c>
      <c r="S575" s="181">
        <v>100</v>
      </c>
      <c r="T575" s="180">
        <f t="shared" si="114"/>
        <v>0</v>
      </c>
      <c r="U575" s="180">
        <f t="shared" si="119"/>
        <v>0</v>
      </c>
      <c r="V575" s="182">
        <f t="shared" si="139"/>
        <v>100</v>
      </c>
      <c r="W575" s="180"/>
      <c r="X575" s="180"/>
      <c r="Y575" s="180"/>
      <c r="Z575" s="180"/>
      <c r="AA575" s="180"/>
      <c r="AB575" s="180"/>
      <c r="AC575" s="180"/>
      <c r="AD575" s="180"/>
      <c r="AE575" s="180"/>
      <c r="AF575" s="180"/>
      <c r="AG575" s="180"/>
      <c r="AH575" s="180"/>
      <c r="AI575" s="180">
        <v>0</v>
      </c>
      <c r="AJ575" s="181">
        <f t="shared" si="140"/>
        <v>0</v>
      </c>
      <c r="AK575" s="246">
        <f t="shared" si="148"/>
        <v>9500000</v>
      </c>
      <c r="AL575" s="181">
        <f t="shared" si="143"/>
        <v>100</v>
      </c>
      <c r="AM575" s="243"/>
    </row>
    <row r="576" spans="1:39" ht="24.75" customHeight="1" x14ac:dyDescent="0.25">
      <c r="A576" s="243"/>
      <c r="B576" s="362"/>
      <c r="C576" s="362"/>
      <c r="D576" s="362"/>
      <c r="E576" s="362"/>
      <c r="F576" s="362"/>
      <c r="G576" s="362"/>
      <c r="H576" s="362"/>
      <c r="I576" s="363"/>
      <c r="J576" s="362" t="s">
        <v>284</v>
      </c>
      <c r="K576" s="245"/>
      <c r="L576" s="257"/>
      <c r="M576" s="591" t="s">
        <v>285</v>
      </c>
      <c r="N576" s="592"/>
      <c r="O576" s="179"/>
      <c r="P576" s="180"/>
      <c r="Q576" s="180">
        <v>3000000</v>
      </c>
      <c r="R576" s="181">
        <f t="shared" si="149"/>
        <v>0.82621157317513538</v>
      </c>
      <c r="S576" s="181">
        <v>100</v>
      </c>
      <c r="T576" s="180">
        <f t="shared" si="114"/>
        <v>0</v>
      </c>
      <c r="U576" s="180">
        <f t="shared" si="119"/>
        <v>0</v>
      </c>
      <c r="V576" s="182">
        <f t="shared" si="139"/>
        <v>100</v>
      </c>
      <c r="W576" s="180"/>
      <c r="X576" s="180"/>
      <c r="Y576" s="180"/>
      <c r="Z576" s="180"/>
      <c r="AA576" s="180"/>
      <c r="AB576" s="180"/>
      <c r="AC576" s="180"/>
      <c r="AD576" s="180"/>
      <c r="AE576" s="180"/>
      <c r="AF576" s="180"/>
      <c r="AG576" s="180"/>
      <c r="AH576" s="180"/>
      <c r="AI576" s="180">
        <v>0</v>
      </c>
      <c r="AJ576" s="181">
        <f t="shared" si="140"/>
        <v>0</v>
      </c>
      <c r="AK576" s="246">
        <f t="shared" si="148"/>
        <v>3000000</v>
      </c>
      <c r="AL576" s="181">
        <f t="shared" si="143"/>
        <v>100</v>
      </c>
      <c r="AM576" s="243"/>
    </row>
    <row r="577" spans="1:39" ht="24.75" customHeight="1" x14ac:dyDescent="0.25">
      <c r="A577" s="243"/>
      <c r="B577" s="362"/>
      <c r="C577" s="362"/>
      <c r="D577" s="362"/>
      <c r="E577" s="362"/>
      <c r="F577" s="362"/>
      <c r="G577" s="362"/>
      <c r="H577" s="362"/>
      <c r="I577" s="363"/>
      <c r="J577" s="362" t="s">
        <v>282</v>
      </c>
      <c r="K577" s="245"/>
      <c r="L577" s="257"/>
      <c r="M577" s="591" t="s">
        <v>283</v>
      </c>
      <c r="N577" s="592"/>
      <c r="O577" s="179"/>
      <c r="P577" s="180"/>
      <c r="Q577" s="180">
        <v>32443120</v>
      </c>
      <c r="R577" s="181">
        <f t="shared" si="149"/>
        <v>8.934960404636568</v>
      </c>
      <c r="S577" s="181">
        <v>100</v>
      </c>
      <c r="T577" s="180">
        <f t="shared" si="114"/>
        <v>0</v>
      </c>
      <c r="U577" s="180">
        <f t="shared" si="119"/>
        <v>0</v>
      </c>
      <c r="V577" s="182">
        <f t="shared" si="139"/>
        <v>100</v>
      </c>
      <c r="W577" s="180"/>
      <c r="X577" s="180"/>
      <c r="Y577" s="180"/>
      <c r="Z577" s="180"/>
      <c r="AA577" s="180"/>
      <c r="AB577" s="180"/>
      <c r="AC577" s="180"/>
      <c r="AD577" s="180"/>
      <c r="AE577" s="180"/>
      <c r="AF577" s="180"/>
      <c r="AG577" s="180"/>
      <c r="AH577" s="180"/>
      <c r="AI577" s="180">
        <v>0</v>
      </c>
      <c r="AJ577" s="181">
        <f t="shared" si="140"/>
        <v>0</v>
      </c>
      <c r="AK577" s="246">
        <f t="shared" si="148"/>
        <v>32443120</v>
      </c>
      <c r="AL577" s="181">
        <f t="shared" si="143"/>
        <v>100</v>
      </c>
      <c r="AM577" s="243"/>
    </row>
    <row r="578" spans="1:39" ht="24.75" customHeight="1" x14ac:dyDescent="0.25">
      <c r="A578" s="243"/>
      <c r="B578" s="362"/>
      <c r="C578" s="362"/>
      <c r="D578" s="362"/>
      <c r="E578" s="362"/>
      <c r="F578" s="362"/>
      <c r="G578" s="362"/>
      <c r="H578" s="362"/>
      <c r="I578" s="363"/>
      <c r="J578" s="362" t="s">
        <v>320</v>
      </c>
      <c r="K578" s="245"/>
      <c r="L578" s="257"/>
      <c r="M578" s="591" t="s">
        <v>321</v>
      </c>
      <c r="N578" s="592"/>
      <c r="O578" s="179"/>
      <c r="P578" s="180"/>
      <c r="Q578" s="180">
        <v>20000000</v>
      </c>
      <c r="R578" s="181">
        <f t="shared" si="149"/>
        <v>5.5080771545009029</v>
      </c>
      <c r="S578" s="181">
        <v>100</v>
      </c>
      <c r="T578" s="180">
        <f t="shared" si="114"/>
        <v>0</v>
      </c>
      <c r="U578" s="180">
        <f t="shared" si="119"/>
        <v>0</v>
      </c>
      <c r="V578" s="182">
        <f t="shared" si="139"/>
        <v>100</v>
      </c>
      <c r="W578" s="180"/>
      <c r="X578" s="180"/>
      <c r="Y578" s="180"/>
      <c r="Z578" s="180"/>
      <c r="AA578" s="180"/>
      <c r="AB578" s="180"/>
      <c r="AC578" s="180"/>
      <c r="AD578" s="180"/>
      <c r="AE578" s="180"/>
      <c r="AF578" s="180"/>
      <c r="AG578" s="180"/>
      <c r="AH578" s="180"/>
      <c r="AI578" s="180">
        <v>0</v>
      </c>
      <c r="AJ578" s="181">
        <f t="shared" si="140"/>
        <v>0</v>
      </c>
      <c r="AK578" s="246">
        <f t="shared" si="148"/>
        <v>20000000</v>
      </c>
      <c r="AL578" s="181">
        <f t="shared" si="143"/>
        <v>100</v>
      </c>
      <c r="AM578" s="243"/>
    </row>
    <row r="579" spans="1:39" ht="24.75" customHeight="1" x14ac:dyDescent="0.25">
      <c r="A579" s="243"/>
      <c r="B579" s="362"/>
      <c r="C579" s="362"/>
      <c r="D579" s="362"/>
      <c r="E579" s="362"/>
      <c r="F579" s="362"/>
      <c r="G579" s="362"/>
      <c r="H579" s="362"/>
      <c r="I579" s="363"/>
      <c r="J579" s="362" t="s">
        <v>407</v>
      </c>
      <c r="K579" s="245"/>
      <c r="L579" s="257"/>
      <c r="M579" s="591" t="s">
        <v>414</v>
      </c>
      <c r="N579" s="592"/>
      <c r="O579" s="179"/>
      <c r="P579" s="180"/>
      <c r="Q579" s="180">
        <v>20100000</v>
      </c>
      <c r="R579" s="181">
        <f t="shared" si="149"/>
        <v>5.5356175402734076</v>
      </c>
      <c r="S579" s="181">
        <v>100</v>
      </c>
      <c r="T579" s="180">
        <f t="shared" si="114"/>
        <v>0</v>
      </c>
      <c r="U579" s="180">
        <f t="shared" si="119"/>
        <v>0</v>
      </c>
      <c r="V579" s="182">
        <v>100</v>
      </c>
      <c r="W579" s="180"/>
      <c r="X579" s="180"/>
      <c r="Y579" s="180"/>
      <c r="Z579" s="180"/>
      <c r="AA579" s="180"/>
      <c r="AB579" s="180"/>
      <c r="AC579" s="180"/>
      <c r="AD579" s="180"/>
      <c r="AE579" s="180"/>
      <c r="AF579" s="180"/>
      <c r="AG579" s="180"/>
      <c r="AH579" s="180"/>
      <c r="AI579" s="180">
        <v>0</v>
      </c>
      <c r="AJ579" s="181">
        <f t="shared" si="140"/>
        <v>0</v>
      </c>
      <c r="AK579" s="246">
        <f t="shared" si="148"/>
        <v>20100000</v>
      </c>
      <c r="AL579" s="181">
        <f t="shared" si="143"/>
        <v>100</v>
      </c>
      <c r="AM579" s="243"/>
    </row>
    <row r="580" spans="1:39" s="311" customFormat="1" ht="24.75" customHeight="1" x14ac:dyDescent="0.25">
      <c r="A580" s="227">
        <f>SUM(A567+1)</f>
        <v>71</v>
      </c>
      <c r="B580" s="367"/>
      <c r="C580" s="367"/>
      <c r="D580" s="367"/>
      <c r="E580" s="367"/>
      <c r="F580" s="367"/>
      <c r="G580" s="367"/>
      <c r="H580" s="367"/>
      <c r="I580" s="366"/>
      <c r="J580" s="304" t="s">
        <v>524</v>
      </c>
      <c r="K580" s="230"/>
      <c r="L580" s="294"/>
      <c r="M580" s="609" t="s">
        <v>204</v>
      </c>
      <c r="N580" s="614"/>
      <c r="O580" s="310"/>
      <c r="P580" s="231"/>
      <c r="Q580" s="231">
        <f>SUM(Q581:Q588)</f>
        <v>161972105</v>
      </c>
      <c r="R580" s="233">
        <f>Q580/Q$243*100</f>
        <v>1.3579327078656847</v>
      </c>
      <c r="S580" s="233">
        <v>100</v>
      </c>
      <c r="T580" s="231">
        <f t="shared" si="114"/>
        <v>32.225487222012703</v>
      </c>
      <c r="U580" s="231">
        <f t="shared" si="119"/>
        <v>0.43760043125678727</v>
      </c>
      <c r="V580" s="296">
        <f t="shared" si="139"/>
        <v>67.774512777987297</v>
      </c>
      <c r="W580" s="231"/>
      <c r="X580" s="231"/>
      <c r="Y580" s="231"/>
      <c r="Z580" s="231"/>
      <c r="AA580" s="231"/>
      <c r="AB580" s="231"/>
      <c r="AC580" s="231"/>
      <c r="AD580" s="231"/>
      <c r="AE580" s="231"/>
      <c r="AF580" s="231"/>
      <c r="AG580" s="231"/>
      <c r="AH580" s="231"/>
      <c r="AI580" s="231">
        <f>SUM(AI581:AI587)</f>
        <v>52196300</v>
      </c>
      <c r="AJ580" s="233">
        <f t="shared" si="140"/>
        <v>32.225487222012703</v>
      </c>
      <c r="AK580" s="234">
        <f t="shared" si="148"/>
        <v>109775805</v>
      </c>
      <c r="AL580" s="233">
        <f t="shared" si="143"/>
        <v>67.774512777987297</v>
      </c>
      <c r="AM580" s="227"/>
    </row>
    <row r="581" spans="1:39" ht="24.75" customHeight="1" x14ac:dyDescent="0.25">
      <c r="A581" s="243"/>
      <c r="B581" s="362"/>
      <c r="C581" s="362"/>
      <c r="D581" s="362"/>
      <c r="E581" s="362"/>
      <c r="F581" s="362"/>
      <c r="G581" s="362"/>
      <c r="H581" s="362"/>
      <c r="I581" s="363"/>
      <c r="J581" s="362" t="s">
        <v>257</v>
      </c>
      <c r="K581" s="245"/>
      <c r="L581" s="257"/>
      <c r="M581" s="591" t="s">
        <v>260</v>
      </c>
      <c r="N581" s="592"/>
      <c r="O581" s="179"/>
      <c r="P581" s="180"/>
      <c r="Q581" s="180">
        <v>1540000</v>
      </c>
      <c r="R581" s="181">
        <f>Q581/Q$580*100</f>
        <v>0.95078100022222956</v>
      </c>
      <c r="S581" s="181">
        <v>100</v>
      </c>
      <c r="T581" s="180">
        <f t="shared" si="114"/>
        <v>0</v>
      </c>
      <c r="U581" s="180">
        <f t="shared" si="119"/>
        <v>0</v>
      </c>
      <c r="V581" s="182">
        <f t="shared" si="139"/>
        <v>100</v>
      </c>
      <c r="W581" s="180"/>
      <c r="X581" s="180"/>
      <c r="Y581" s="180"/>
      <c r="Z581" s="180"/>
      <c r="AA581" s="180"/>
      <c r="AB581" s="180"/>
      <c r="AC581" s="180"/>
      <c r="AD581" s="180"/>
      <c r="AE581" s="180"/>
      <c r="AF581" s="180"/>
      <c r="AG581" s="180"/>
      <c r="AH581" s="180"/>
      <c r="AI581" s="180">
        <v>0</v>
      </c>
      <c r="AJ581" s="181">
        <f t="shared" si="140"/>
        <v>0</v>
      </c>
      <c r="AK581" s="246">
        <f t="shared" si="148"/>
        <v>1540000</v>
      </c>
      <c r="AL581" s="181">
        <f t="shared" si="143"/>
        <v>100</v>
      </c>
      <c r="AM581" s="243"/>
    </row>
    <row r="582" spans="1:39" ht="24.75" customHeight="1" x14ac:dyDescent="0.25">
      <c r="A582" s="243"/>
      <c r="B582" s="362"/>
      <c r="C582" s="362"/>
      <c r="D582" s="362"/>
      <c r="E582" s="362"/>
      <c r="F582" s="362"/>
      <c r="G582" s="362"/>
      <c r="H582" s="362"/>
      <c r="I582" s="363"/>
      <c r="J582" s="362" t="s">
        <v>315</v>
      </c>
      <c r="K582" s="245"/>
      <c r="L582" s="257"/>
      <c r="M582" s="591" t="s">
        <v>271</v>
      </c>
      <c r="N582" s="592"/>
      <c r="O582" s="179"/>
      <c r="P582" s="180"/>
      <c r="Q582" s="180">
        <v>2000000</v>
      </c>
      <c r="R582" s="181">
        <f t="shared" ref="R582:R588" si="150">Q582/Q$580*100</f>
        <v>1.2347805197691293</v>
      </c>
      <c r="S582" s="181">
        <v>100</v>
      </c>
      <c r="T582" s="180">
        <f t="shared" si="114"/>
        <v>0</v>
      </c>
      <c r="U582" s="180">
        <f t="shared" si="119"/>
        <v>0</v>
      </c>
      <c r="V582" s="182">
        <f t="shared" si="139"/>
        <v>100</v>
      </c>
      <c r="W582" s="180"/>
      <c r="X582" s="180"/>
      <c r="Y582" s="180"/>
      <c r="Z582" s="180"/>
      <c r="AA582" s="180"/>
      <c r="AB582" s="180"/>
      <c r="AC582" s="180"/>
      <c r="AD582" s="180"/>
      <c r="AE582" s="180"/>
      <c r="AF582" s="180"/>
      <c r="AG582" s="180"/>
      <c r="AH582" s="180"/>
      <c r="AI582" s="180">
        <v>0</v>
      </c>
      <c r="AJ582" s="181">
        <f t="shared" si="140"/>
        <v>0</v>
      </c>
      <c r="AK582" s="246">
        <f t="shared" si="148"/>
        <v>2000000</v>
      </c>
      <c r="AL582" s="181">
        <f t="shared" si="143"/>
        <v>100</v>
      </c>
      <c r="AM582" s="243"/>
    </row>
    <row r="583" spans="1:39" ht="30" customHeight="1" x14ac:dyDescent="0.25">
      <c r="A583" s="243"/>
      <c r="B583" s="362"/>
      <c r="C583" s="362"/>
      <c r="D583" s="362"/>
      <c r="E583" s="362"/>
      <c r="F583" s="362"/>
      <c r="G583" s="362"/>
      <c r="H583" s="362"/>
      <c r="I583" s="363"/>
      <c r="J583" s="362" t="s">
        <v>318</v>
      </c>
      <c r="K583" s="245"/>
      <c r="L583" s="257"/>
      <c r="M583" s="591" t="s">
        <v>319</v>
      </c>
      <c r="N583" s="592"/>
      <c r="O583" s="179"/>
      <c r="P583" s="180"/>
      <c r="Q583" s="180">
        <v>58500000</v>
      </c>
      <c r="R583" s="181">
        <f t="shared" si="150"/>
        <v>36.117330203247036</v>
      </c>
      <c r="S583" s="181">
        <v>100</v>
      </c>
      <c r="T583" s="180">
        <f t="shared" si="114"/>
        <v>0</v>
      </c>
      <c r="U583" s="180">
        <f t="shared" si="119"/>
        <v>0</v>
      </c>
      <c r="V583" s="182">
        <f t="shared" si="139"/>
        <v>100</v>
      </c>
      <c r="W583" s="180"/>
      <c r="X583" s="180"/>
      <c r="Y583" s="180"/>
      <c r="Z583" s="180"/>
      <c r="AA583" s="180"/>
      <c r="AB583" s="180"/>
      <c r="AC583" s="180"/>
      <c r="AD583" s="180"/>
      <c r="AE583" s="180"/>
      <c r="AF583" s="180"/>
      <c r="AG583" s="180"/>
      <c r="AH583" s="180"/>
      <c r="AI583" s="180">
        <v>0</v>
      </c>
      <c r="AJ583" s="181">
        <f t="shared" si="140"/>
        <v>0</v>
      </c>
      <c r="AK583" s="246">
        <f t="shared" si="148"/>
        <v>58500000</v>
      </c>
      <c r="AL583" s="181">
        <f t="shared" si="143"/>
        <v>100</v>
      </c>
      <c r="AM583" s="243"/>
    </row>
    <row r="584" spans="1:39" ht="24.75" customHeight="1" x14ac:dyDescent="0.25">
      <c r="A584" s="243"/>
      <c r="B584" s="362"/>
      <c r="C584" s="362"/>
      <c r="D584" s="362"/>
      <c r="E584" s="362"/>
      <c r="F584" s="362"/>
      <c r="G584" s="362"/>
      <c r="H584" s="362"/>
      <c r="I584" s="363"/>
      <c r="J584" s="362" t="s">
        <v>280</v>
      </c>
      <c r="K584" s="245"/>
      <c r="L584" s="257"/>
      <c r="M584" s="591" t="s">
        <v>281</v>
      </c>
      <c r="N584" s="592"/>
      <c r="O584" s="179"/>
      <c r="P584" s="180"/>
      <c r="Q584" s="180">
        <v>2925000</v>
      </c>
      <c r="R584" s="181">
        <f t="shared" si="150"/>
        <v>1.8058665101623517</v>
      </c>
      <c r="S584" s="181">
        <v>100</v>
      </c>
      <c r="T584" s="180">
        <f t="shared" si="114"/>
        <v>0</v>
      </c>
      <c r="U584" s="180">
        <f t="shared" si="119"/>
        <v>0</v>
      </c>
      <c r="V584" s="182">
        <f t="shared" si="139"/>
        <v>100</v>
      </c>
      <c r="W584" s="180"/>
      <c r="X584" s="180"/>
      <c r="Y584" s="180"/>
      <c r="Z584" s="180"/>
      <c r="AA584" s="180"/>
      <c r="AB584" s="180"/>
      <c r="AC584" s="180"/>
      <c r="AD584" s="180"/>
      <c r="AE584" s="180"/>
      <c r="AF584" s="180"/>
      <c r="AG584" s="180"/>
      <c r="AH584" s="180"/>
      <c r="AI584" s="180">
        <v>0</v>
      </c>
      <c r="AJ584" s="181">
        <f t="shared" si="140"/>
        <v>0</v>
      </c>
      <c r="AK584" s="246">
        <f t="shared" si="148"/>
        <v>2925000</v>
      </c>
      <c r="AL584" s="181">
        <f t="shared" si="143"/>
        <v>100</v>
      </c>
      <c r="AM584" s="243"/>
    </row>
    <row r="585" spans="1:39" ht="24.75" customHeight="1" x14ac:dyDescent="0.25">
      <c r="A585" s="243"/>
      <c r="B585" s="362"/>
      <c r="C585" s="362"/>
      <c r="D585" s="362"/>
      <c r="E585" s="362"/>
      <c r="F585" s="362"/>
      <c r="G585" s="362"/>
      <c r="H585" s="362"/>
      <c r="I585" s="363"/>
      <c r="J585" s="362" t="s">
        <v>284</v>
      </c>
      <c r="K585" s="245"/>
      <c r="L585" s="257"/>
      <c r="M585" s="591" t="s">
        <v>285</v>
      </c>
      <c r="N585" s="592"/>
      <c r="O585" s="179"/>
      <c r="P585" s="180"/>
      <c r="Q585" s="180">
        <v>2000000</v>
      </c>
      <c r="R585" s="181">
        <f t="shared" si="150"/>
        <v>1.2347805197691293</v>
      </c>
      <c r="S585" s="181">
        <v>100</v>
      </c>
      <c r="T585" s="180">
        <f t="shared" si="114"/>
        <v>0</v>
      </c>
      <c r="U585" s="180">
        <f t="shared" si="119"/>
        <v>0</v>
      </c>
      <c r="V585" s="182">
        <f t="shared" si="139"/>
        <v>100</v>
      </c>
      <c r="W585" s="180"/>
      <c r="X585" s="180"/>
      <c r="Y585" s="180"/>
      <c r="Z585" s="180"/>
      <c r="AA585" s="180"/>
      <c r="AB585" s="180"/>
      <c r="AC585" s="180"/>
      <c r="AD585" s="180"/>
      <c r="AE585" s="180"/>
      <c r="AF585" s="180"/>
      <c r="AG585" s="180"/>
      <c r="AH585" s="180"/>
      <c r="AI585" s="180">
        <v>0</v>
      </c>
      <c r="AJ585" s="181">
        <f t="shared" si="140"/>
        <v>0</v>
      </c>
      <c r="AK585" s="246">
        <f t="shared" si="148"/>
        <v>2000000</v>
      </c>
      <c r="AL585" s="181">
        <f t="shared" si="143"/>
        <v>100</v>
      </c>
      <c r="AM585" s="243"/>
    </row>
    <row r="586" spans="1:39" ht="24.75" customHeight="1" x14ac:dyDescent="0.25">
      <c r="A586" s="243"/>
      <c r="B586" s="362"/>
      <c r="C586" s="362"/>
      <c r="D586" s="362"/>
      <c r="E586" s="362"/>
      <c r="F586" s="362"/>
      <c r="G586" s="362"/>
      <c r="H586" s="362"/>
      <c r="I586" s="363"/>
      <c r="J586" s="362" t="s">
        <v>282</v>
      </c>
      <c r="K586" s="245"/>
      <c r="L586" s="257"/>
      <c r="M586" s="591" t="s">
        <v>283</v>
      </c>
      <c r="N586" s="592"/>
      <c r="O586" s="179"/>
      <c r="P586" s="180"/>
      <c r="Q586" s="180">
        <v>73857105</v>
      </c>
      <c r="R586" s="181">
        <f t="shared" si="150"/>
        <v>45.598657250271586</v>
      </c>
      <c r="S586" s="181">
        <v>100</v>
      </c>
      <c r="T586" s="180">
        <f t="shared" si="114"/>
        <v>70.672009145227122</v>
      </c>
      <c r="U586" s="180">
        <f t="shared" si="119"/>
        <v>32.22548722201271</v>
      </c>
      <c r="V586" s="182">
        <f t="shared" si="139"/>
        <v>29.327990854772878</v>
      </c>
      <c r="W586" s="180"/>
      <c r="X586" s="180"/>
      <c r="Y586" s="180"/>
      <c r="Z586" s="180"/>
      <c r="AA586" s="180"/>
      <c r="AB586" s="180"/>
      <c r="AC586" s="180"/>
      <c r="AD586" s="180"/>
      <c r="AE586" s="180"/>
      <c r="AF586" s="180"/>
      <c r="AG586" s="180"/>
      <c r="AH586" s="180"/>
      <c r="AI586" s="180">
        <v>52196300</v>
      </c>
      <c r="AJ586" s="181">
        <f t="shared" si="140"/>
        <v>70.672009145227122</v>
      </c>
      <c r="AK586" s="246">
        <f t="shared" si="148"/>
        <v>21660805</v>
      </c>
      <c r="AL586" s="181">
        <f t="shared" si="143"/>
        <v>29.327990854772874</v>
      </c>
      <c r="AM586" s="243"/>
    </row>
    <row r="587" spans="1:39" ht="24.75" customHeight="1" x14ac:dyDescent="0.25">
      <c r="A587" s="243"/>
      <c r="B587" s="362"/>
      <c r="C587" s="362"/>
      <c r="D587" s="362"/>
      <c r="E587" s="362"/>
      <c r="F587" s="362"/>
      <c r="G587" s="362"/>
      <c r="H587" s="362"/>
      <c r="I587" s="363"/>
      <c r="J587" s="362" t="s">
        <v>320</v>
      </c>
      <c r="K587" s="245"/>
      <c r="L587" s="257"/>
      <c r="M587" s="591" t="s">
        <v>321</v>
      </c>
      <c r="N587" s="592"/>
      <c r="O587" s="179"/>
      <c r="P587" s="180"/>
      <c r="Q587" s="180">
        <v>15750000</v>
      </c>
      <c r="R587" s="181">
        <f t="shared" si="150"/>
        <v>9.7238965931818946</v>
      </c>
      <c r="S587" s="181">
        <v>100</v>
      </c>
      <c r="T587" s="180">
        <f t="shared" si="114"/>
        <v>0</v>
      </c>
      <c r="U587" s="180">
        <f t="shared" si="119"/>
        <v>0</v>
      </c>
      <c r="V587" s="182">
        <v>100</v>
      </c>
      <c r="W587" s="180"/>
      <c r="X587" s="180"/>
      <c r="Y587" s="180"/>
      <c r="Z587" s="180"/>
      <c r="AA587" s="180"/>
      <c r="AB587" s="180"/>
      <c r="AC587" s="180"/>
      <c r="AD587" s="180"/>
      <c r="AE587" s="180"/>
      <c r="AF587" s="180"/>
      <c r="AG587" s="180"/>
      <c r="AH587" s="180"/>
      <c r="AI587" s="180">
        <v>0</v>
      </c>
      <c r="AJ587" s="181">
        <f t="shared" si="140"/>
        <v>0</v>
      </c>
      <c r="AK587" s="246">
        <f t="shared" si="148"/>
        <v>15750000</v>
      </c>
      <c r="AL587" s="181">
        <f t="shared" si="143"/>
        <v>100</v>
      </c>
      <c r="AM587" s="243"/>
    </row>
    <row r="588" spans="1:39" ht="24.75" customHeight="1" x14ac:dyDescent="0.25">
      <c r="A588" s="243"/>
      <c r="B588" s="362"/>
      <c r="C588" s="362"/>
      <c r="D588" s="362"/>
      <c r="E588" s="362"/>
      <c r="F588" s="362"/>
      <c r="G588" s="362"/>
      <c r="H588" s="362"/>
      <c r="I588" s="363"/>
      <c r="J588" s="362" t="s">
        <v>407</v>
      </c>
      <c r="K588" s="245"/>
      <c r="L588" s="257"/>
      <c r="M588" s="591" t="s">
        <v>414</v>
      </c>
      <c r="N588" s="592"/>
      <c r="O588" s="179"/>
      <c r="P588" s="180"/>
      <c r="Q588" s="180">
        <v>5400000</v>
      </c>
      <c r="R588" s="181">
        <f t="shared" si="150"/>
        <v>3.3339074033766494</v>
      </c>
      <c r="S588" s="181">
        <v>100</v>
      </c>
      <c r="T588" s="180">
        <f t="shared" si="114"/>
        <v>0</v>
      </c>
      <c r="U588" s="180">
        <f t="shared" si="119"/>
        <v>0</v>
      </c>
      <c r="V588" s="182">
        <v>100</v>
      </c>
      <c r="W588" s="180"/>
      <c r="X588" s="180"/>
      <c r="Y588" s="180"/>
      <c r="Z588" s="180"/>
      <c r="AA588" s="180"/>
      <c r="AB588" s="180"/>
      <c r="AC588" s="180"/>
      <c r="AD588" s="180"/>
      <c r="AE588" s="180"/>
      <c r="AF588" s="180"/>
      <c r="AG588" s="180"/>
      <c r="AH588" s="180"/>
      <c r="AI588" s="180">
        <v>0</v>
      </c>
      <c r="AJ588" s="181">
        <f t="shared" si="140"/>
        <v>0</v>
      </c>
      <c r="AK588" s="246">
        <f t="shared" si="148"/>
        <v>5400000</v>
      </c>
      <c r="AL588" s="181">
        <f t="shared" si="143"/>
        <v>100</v>
      </c>
      <c r="AM588" s="243"/>
    </row>
    <row r="589" spans="1:39" s="297" customFormat="1" ht="24.75" customHeight="1" x14ac:dyDescent="0.25">
      <c r="A589" s="227">
        <f>SUM(A580+1)</f>
        <v>72</v>
      </c>
      <c r="B589" s="367"/>
      <c r="C589" s="367"/>
      <c r="D589" s="367"/>
      <c r="E589" s="367"/>
      <c r="F589" s="367"/>
      <c r="G589" s="367"/>
      <c r="H589" s="367"/>
      <c r="I589" s="366"/>
      <c r="J589" s="304" t="s">
        <v>525</v>
      </c>
      <c r="K589" s="230"/>
      <c r="L589" s="294"/>
      <c r="M589" s="610" t="s">
        <v>205</v>
      </c>
      <c r="N589" s="612"/>
      <c r="O589" s="309"/>
      <c r="P589" s="231"/>
      <c r="Q589" s="231">
        <f>SUM(Q590:Q602)</f>
        <v>420363277</v>
      </c>
      <c r="R589" s="233">
        <f>Q589/Q$243*100</f>
        <v>3.5242182166114522</v>
      </c>
      <c r="S589" s="233">
        <v>100</v>
      </c>
      <c r="T589" s="231">
        <f t="shared" si="114"/>
        <v>0</v>
      </c>
      <c r="U589" s="231">
        <f t="shared" si="119"/>
        <v>0</v>
      </c>
      <c r="V589" s="296">
        <f t="shared" si="139"/>
        <v>100</v>
      </c>
      <c r="W589" s="231"/>
      <c r="X589" s="231"/>
      <c r="Y589" s="231"/>
      <c r="Z589" s="231"/>
      <c r="AA589" s="231"/>
      <c r="AB589" s="231"/>
      <c r="AC589" s="231"/>
      <c r="AD589" s="231"/>
      <c r="AE589" s="231"/>
      <c r="AF589" s="231"/>
      <c r="AG589" s="231"/>
      <c r="AH589" s="231"/>
      <c r="AI589" s="231">
        <f>SUM(AI590:AI602)</f>
        <v>0</v>
      </c>
      <c r="AJ589" s="233">
        <f t="shared" si="140"/>
        <v>0</v>
      </c>
      <c r="AK589" s="234">
        <f t="shared" si="148"/>
        <v>420363277</v>
      </c>
      <c r="AL589" s="233">
        <f t="shared" si="143"/>
        <v>100</v>
      </c>
      <c r="AM589" s="227"/>
    </row>
    <row r="590" spans="1:39" ht="24.75" customHeight="1" x14ac:dyDescent="0.25">
      <c r="A590" s="243"/>
      <c r="B590" s="362"/>
      <c r="C590" s="362"/>
      <c r="D590" s="362"/>
      <c r="E590" s="362"/>
      <c r="F590" s="362"/>
      <c r="G590" s="362"/>
      <c r="H590" s="362"/>
      <c r="I590" s="363"/>
      <c r="J590" s="362" t="s">
        <v>259</v>
      </c>
      <c r="K590" s="245"/>
      <c r="L590" s="257"/>
      <c r="M590" s="591" t="s">
        <v>260</v>
      </c>
      <c r="N590" s="592"/>
      <c r="O590" s="179"/>
      <c r="P590" s="180"/>
      <c r="Q590" s="180">
        <v>2400000</v>
      </c>
      <c r="R590" s="181">
        <f t="shared" ref="R590:R602" si="151">Q590/Q$589*100</f>
        <v>0.57093474414036416</v>
      </c>
      <c r="S590" s="181">
        <v>100</v>
      </c>
      <c r="T590" s="180">
        <f t="shared" si="114"/>
        <v>0</v>
      </c>
      <c r="U590" s="180">
        <f t="shared" si="119"/>
        <v>0</v>
      </c>
      <c r="V590" s="182">
        <f t="shared" si="139"/>
        <v>100</v>
      </c>
      <c r="W590" s="180"/>
      <c r="X590" s="180"/>
      <c r="Y590" s="180"/>
      <c r="Z590" s="180"/>
      <c r="AA590" s="180"/>
      <c r="AB590" s="180"/>
      <c r="AC590" s="180"/>
      <c r="AD590" s="180"/>
      <c r="AE590" s="180"/>
      <c r="AF590" s="180"/>
      <c r="AG590" s="180"/>
      <c r="AH590" s="180"/>
      <c r="AI590" s="180">
        <v>0</v>
      </c>
      <c r="AJ590" s="181">
        <f t="shared" si="140"/>
        <v>0</v>
      </c>
      <c r="AK590" s="246">
        <f t="shared" si="148"/>
        <v>2400000</v>
      </c>
      <c r="AL590" s="181">
        <f t="shared" si="143"/>
        <v>100</v>
      </c>
      <c r="AM590" s="243"/>
    </row>
    <row r="591" spans="1:39" ht="24.75" customHeight="1" x14ac:dyDescent="0.25">
      <c r="A591" s="243"/>
      <c r="B591" s="362"/>
      <c r="C591" s="362"/>
      <c r="D591" s="362"/>
      <c r="E591" s="362"/>
      <c r="F591" s="362"/>
      <c r="G591" s="362"/>
      <c r="H591" s="362"/>
      <c r="I591" s="363"/>
      <c r="J591" s="362" t="s">
        <v>273</v>
      </c>
      <c r="K591" s="245"/>
      <c r="L591" s="257"/>
      <c r="M591" s="591" t="s">
        <v>322</v>
      </c>
      <c r="N591" s="592"/>
      <c r="O591" s="179"/>
      <c r="P591" s="180"/>
      <c r="Q591" s="180">
        <v>22500000</v>
      </c>
      <c r="R591" s="181">
        <f t="shared" si="151"/>
        <v>5.3525132263159136</v>
      </c>
      <c r="S591" s="181">
        <v>100</v>
      </c>
      <c r="T591" s="180">
        <f t="shared" si="114"/>
        <v>0</v>
      </c>
      <c r="U591" s="180">
        <f t="shared" si="119"/>
        <v>0</v>
      </c>
      <c r="V591" s="182">
        <f t="shared" si="139"/>
        <v>100</v>
      </c>
      <c r="W591" s="180"/>
      <c r="X591" s="180"/>
      <c r="Y591" s="180"/>
      <c r="Z591" s="180"/>
      <c r="AA591" s="180"/>
      <c r="AB591" s="180"/>
      <c r="AC591" s="180"/>
      <c r="AD591" s="180"/>
      <c r="AE591" s="180"/>
      <c r="AF591" s="180"/>
      <c r="AG591" s="180"/>
      <c r="AH591" s="180"/>
      <c r="AI591" s="180">
        <v>0</v>
      </c>
      <c r="AJ591" s="181">
        <f t="shared" si="140"/>
        <v>0</v>
      </c>
      <c r="AK591" s="246">
        <f t="shared" si="148"/>
        <v>22500000</v>
      </c>
      <c r="AL591" s="181">
        <f t="shared" si="143"/>
        <v>100</v>
      </c>
      <c r="AM591" s="243"/>
    </row>
    <row r="592" spans="1:39" ht="24.75" customHeight="1" x14ac:dyDescent="0.25">
      <c r="A592" s="243"/>
      <c r="B592" s="362"/>
      <c r="C592" s="362"/>
      <c r="D592" s="362"/>
      <c r="E592" s="362"/>
      <c r="F592" s="362"/>
      <c r="G592" s="362"/>
      <c r="H592" s="362"/>
      <c r="I592" s="363"/>
      <c r="J592" s="362" t="s">
        <v>326</v>
      </c>
      <c r="K592" s="245"/>
      <c r="L592" s="257"/>
      <c r="M592" s="591" t="s">
        <v>327</v>
      </c>
      <c r="N592" s="592"/>
      <c r="O592" s="179"/>
      <c r="P592" s="180"/>
      <c r="Q592" s="180">
        <v>50250000</v>
      </c>
      <c r="R592" s="181">
        <f t="shared" si="151"/>
        <v>11.953946205438873</v>
      </c>
      <c r="S592" s="181">
        <v>100</v>
      </c>
      <c r="T592" s="180">
        <f t="shared" si="114"/>
        <v>0</v>
      </c>
      <c r="U592" s="180">
        <f t="shared" si="119"/>
        <v>0</v>
      </c>
      <c r="V592" s="182">
        <f t="shared" si="139"/>
        <v>100</v>
      </c>
      <c r="W592" s="180"/>
      <c r="X592" s="180"/>
      <c r="Y592" s="180"/>
      <c r="Z592" s="180"/>
      <c r="AA592" s="180"/>
      <c r="AB592" s="180"/>
      <c r="AC592" s="180"/>
      <c r="AD592" s="180"/>
      <c r="AE592" s="180"/>
      <c r="AF592" s="180"/>
      <c r="AG592" s="180"/>
      <c r="AH592" s="180"/>
      <c r="AI592" s="180">
        <v>0</v>
      </c>
      <c r="AJ592" s="181">
        <f t="shared" si="140"/>
        <v>0</v>
      </c>
      <c r="AK592" s="246">
        <f t="shared" si="148"/>
        <v>50250000</v>
      </c>
      <c r="AL592" s="181">
        <f t="shared" si="143"/>
        <v>100</v>
      </c>
      <c r="AM592" s="243"/>
    </row>
    <row r="593" spans="1:39" ht="24.75" customHeight="1" x14ac:dyDescent="0.25">
      <c r="A593" s="243"/>
      <c r="B593" s="362"/>
      <c r="C593" s="362"/>
      <c r="D593" s="362"/>
      <c r="E593" s="362"/>
      <c r="F593" s="362"/>
      <c r="G593" s="362"/>
      <c r="H593" s="362"/>
      <c r="I593" s="363"/>
      <c r="J593" s="362" t="s">
        <v>323</v>
      </c>
      <c r="K593" s="245"/>
      <c r="L593" s="257"/>
      <c r="M593" s="591" t="s">
        <v>324</v>
      </c>
      <c r="N593" s="592"/>
      <c r="O593" s="179"/>
      <c r="P593" s="180"/>
      <c r="Q593" s="180">
        <v>18165000</v>
      </c>
      <c r="R593" s="181">
        <f t="shared" si="151"/>
        <v>4.3212623447123812</v>
      </c>
      <c r="S593" s="181">
        <v>100</v>
      </c>
      <c r="T593" s="180">
        <f t="shared" si="114"/>
        <v>0</v>
      </c>
      <c r="U593" s="180">
        <f t="shared" si="119"/>
        <v>0</v>
      </c>
      <c r="V593" s="182">
        <f t="shared" si="139"/>
        <v>100</v>
      </c>
      <c r="W593" s="180"/>
      <c r="X593" s="180"/>
      <c r="Y593" s="180"/>
      <c r="Z593" s="180"/>
      <c r="AA593" s="180"/>
      <c r="AB593" s="180"/>
      <c r="AC593" s="180"/>
      <c r="AD593" s="180"/>
      <c r="AE593" s="180"/>
      <c r="AF593" s="180"/>
      <c r="AG593" s="180"/>
      <c r="AH593" s="180"/>
      <c r="AI593" s="180">
        <v>0</v>
      </c>
      <c r="AJ593" s="181">
        <f t="shared" si="140"/>
        <v>0</v>
      </c>
      <c r="AK593" s="246">
        <f t="shared" si="148"/>
        <v>18165000</v>
      </c>
      <c r="AL593" s="181">
        <f t="shared" si="143"/>
        <v>100</v>
      </c>
      <c r="AM593" s="243"/>
    </row>
    <row r="594" spans="1:39" ht="24.75" customHeight="1" x14ac:dyDescent="0.25">
      <c r="A594" s="243"/>
      <c r="B594" s="362"/>
      <c r="C594" s="362"/>
      <c r="D594" s="362"/>
      <c r="E594" s="362"/>
      <c r="F594" s="362"/>
      <c r="G594" s="362"/>
      <c r="H594" s="362"/>
      <c r="I594" s="363"/>
      <c r="J594" s="362" t="s">
        <v>269</v>
      </c>
      <c r="K594" s="245"/>
      <c r="L594" s="257"/>
      <c r="M594" s="591" t="s">
        <v>270</v>
      </c>
      <c r="N594" s="592"/>
      <c r="O594" s="179"/>
      <c r="P594" s="180"/>
      <c r="Q594" s="180">
        <v>7500000</v>
      </c>
      <c r="R594" s="181">
        <f t="shared" si="151"/>
        <v>1.7841710754386377</v>
      </c>
      <c r="S594" s="181">
        <v>100</v>
      </c>
      <c r="T594" s="180">
        <f t="shared" si="114"/>
        <v>0</v>
      </c>
      <c r="U594" s="180">
        <f t="shared" si="119"/>
        <v>0</v>
      </c>
      <c r="V594" s="182">
        <f t="shared" si="139"/>
        <v>100</v>
      </c>
      <c r="W594" s="180"/>
      <c r="X594" s="180"/>
      <c r="Y594" s="180"/>
      <c r="Z594" s="180"/>
      <c r="AA594" s="180"/>
      <c r="AB594" s="180"/>
      <c r="AC594" s="180"/>
      <c r="AD594" s="180"/>
      <c r="AE594" s="180"/>
      <c r="AF594" s="180"/>
      <c r="AG594" s="180"/>
      <c r="AH594" s="180"/>
      <c r="AI594" s="180">
        <v>0</v>
      </c>
      <c r="AJ594" s="181">
        <f t="shared" si="140"/>
        <v>0</v>
      </c>
      <c r="AK594" s="246">
        <f t="shared" si="148"/>
        <v>7500000</v>
      </c>
      <c r="AL594" s="181">
        <f t="shared" si="143"/>
        <v>100</v>
      </c>
      <c r="AM594" s="243"/>
    </row>
    <row r="595" spans="1:39" ht="24.75" customHeight="1" x14ac:dyDescent="0.25">
      <c r="A595" s="243"/>
      <c r="B595" s="362"/>
      <c r="C595" s="362"/>
      <c r="D595" s="362"/>
      <c r="E595" s="362"/>
      <c r="F595" s="362"/>
      <c r="G595" s="362"/>
      <c r="H595" s="362"/>
      <c r="I595" s="363"/>
      <c r="J595" s="362" t="s">
        <v>315</v>
      </c>
      <c r="K595" s="245"/>
      <c r="L595" s="257"/>
      <c r="M595" s="591" t="s">
        <v>271</v>
      </c>
      <c r="N595" s="592"/>
      <c r="O595" s="179"/>
      <c r="P595" s="180"/>
      <c r="Q595" s="180">
        <v>9928277</v>
      </c>
      <c r="R595" s="181">
        <f t="shared" si="151"/>
        <v>2.361832620312359</v>
      </c>
      <c r="S595" s="181">
        <v>100</v>
      </c>
      <c r="T595" s="180">
        <f t="shared" si="114"/>
        <v>0</v>
      </c>
      <c r="U595" s="180">
        <f t="shared" si="119"/>
        <v>0</v>
      </c>
      <c r="V595" s="182">
        <f t="shared" si="139"/>
        <v>100</v>
      </c>
      <c r="W595" s="180"/>
      <c r="X595" s="180"/>
      <c r="Y595" s="180"/>
      <c r="Z595" s="180"/>
      <c r="AA595" s="180"/>
      <c r="AB595" s="180"/>
      <c r="AC595" s="180"/>
      <c r="AD595" s="180"/>
      <c r="AE595" s="180"/>
      <c r="AF595" s="180"/>
      <c r="AG595" s="180"/>
      <c r="AH595" s="180"/>
      <c r="AI595" s="180">
        <v>0</v>
      </c>
      <c r="AJ595" s="181">
        <f t="shared" si="140"/>
        <v>0</v>
      </c>
      <c r="AK595" s="246">
        <f t="shared" si="148"/>
        <v>9928277</v>
      </c>
      <c r="AL595" s="181">
        <f t="shared" si="143"/>
        <v>100</v>
      </c>
      <c r="AM595" s="243"/>
    </row>
    <row r="596" spans="1:39" ht="24.75" customHeight="1" x14ac:dyDescent="0.25">
      <c r="A596" s="243"/>
      <c r="B596" s="362"/>
      <c r="C596" s="362"/>
      <c r="D596" s="362"/>
      <c r="E596" s="362"/>
      <c r="F596" s="362"/>
      <c r="G596" s="362"/>
      <c r="H596" s="362"/>
      <c r="I596" s="363"/>
      <c r="J596" s="362" t="s">
        <v>328</v>
      </c>
      <c r="K596" s="245"/>
      <c r="L596" s="257"/>
      <c r="M596" s="591" t="s">
        <v>329</v>
      </c>
      <c r="N596" s="592"/>
      <c r="O596" s="179"/>
      <c r="P596" s="180"/>
      <c r="Q596" s="180">
        <v>149600000</v>
      </c>
      <c r="R596" s="181">
        <f t="shared" si="151"/>
        <v>35.588265718082695</v>
      </c>
      <c r="S596" s="181">
        <v>100</v>
      </c>
      <c r="T596" s="180">
        <f t="shared" si="114"/>
        <v>0</v>
      </c>
      <c r="U596" s="180">
        <f t="shared" si="119"/>
        <v>0</v>
      </c>
      <c r="V596" s="182">
        <f t="shared" si="139"/>
        <v>100</v>
      </c>
      <c r="W596" s="180"/>
      <c r="X596" s="180"/>
      <c r="Y596" s="180"/>
      <c r="Z596" s="180"/>
      <c r="AA596" s="180"/>
      <c r="AB596" s="180"/>
      <c r="AC596" s="180"/>
      <c r="AD596" s="180"/>
      <c r="AE596" s="180"/>
      <c r="AF596" s="180"/>
      <c r="AG596" s="180"/>
      <c r="AH596" s="180"/>
      <c r="AI596" s="180">
        <v>0</v>
      </c>
      <c r="AJ596" s="181">
        <f t="shared" si="140"/>
        <v>0</v>
      </c>
      <c r="AK596" s="246">
        <f t="shared" si="148"/>
        <v>149600000</v>
      </c>
      <c r="AL596" s="181">
        <f t="shared" si="143"/>
        <v>100</v>
      </c>
      <c r="AM596" s="243"/>
    </row>
    <row r="597" spans="1:39" ht="24.75" customHeight="1" x14ac:dyDescent="0.25">
      <c r="A597" s="243"/>
      <c r="B597" s="362"/>
      <c r="C597" s="362"/>
      <c r="D597" s="362"/>
      <c r="E597" s="362"/>
      <c r="F597" s="362"/>
      <c r="G597" s="362"/>
      <c r="H597" s="362"/>
      <c r="I597" s="363"/>
      <c r="J597" s="362" t="s">
        <v>280</v>
      </c>
      <c r="K597" s="245"/>
      <c r="L597" s="257"/>
      <c r="M597" s="591" t="s">
        <v>281</v>
      </c>
      <c r="N597" s="592"/>
      <c r="O597" s="179"/>
      <c r="P597" s="180"/>
      <c r="Q597" s="180">
        <v>22500000</v>
      </c>
      <c r="R597" s="181">
        <f t="shared" si="151"/>
        <v>5.3525132263159136</v>
      </c>
      <c r="S597" s="181">
        <v>100</v>
      </c>
      <c r="T597" s="180">
        <f t="shared" si="114"/>
        <v>0</v>
      </c>
      <c r="U597" s="180">
        <f t="shared" si="119"/>
        <v>0</v>
      </c>
      <c r="V597" s="182">
        <f t="shared" si="139"/>
        <v>100</v>
      </c>
      <c r="W597" s="180"/>
      <c r="X597" s="180"/>
      <c r="Y597" s="180"/>
      <c r="Z597" s="180"/>
      <c r="AA597" s="180"/>
      <c r="AB597" s="180"/>
      <c r="AC597" s="180"/>
      <c r="AD597" s="180"/>
      <c r="AE597" s="180"/>
      <c r="AF597" s="180"/>
      <c r="AG597" s="180"/>
      <c r="AH597" s="180"/>
      <c r="AI597" s="180">
        <v>0</v>
      </c>
      <c r="AJ597" s="181">
        <f t="shared" si="140"/>
        <v>0</v>
      </c>
      <c r="AK597" s="246">
        <f t="shared" si="148"/>
        <v>22500000</v>
      </c>
      <c r="AL597" s="181">
        <f t="shared" si="143"/>
        <v>100</v>
      </c>
      <c r="AM597" s="243"/>
    </row>
    <row r="598" spans="1:39" ht="24.75" customHeight="1" x14ac:dyDescent="0.25">
      <c r="A598" s="243"/>
      <c r="B598" s="362"/>
      <c r="C598" s="362"/>
      <c r="D598" s="362"/>
      <c r="E598" s="362"/>
      <c r="F598" s="362"/>
      <c r="G598" s="362"/>
      <c r="H598" s="362"/>
      <c r="I598" s="363"/>
      <c r="J598" s="362" t="s">
        <v>284</v>
      </c>
      <c r="K598" s="245"/>
      <c r="L598" s="257"/>
      <c r="M598" s="591" t="s">
        <v>285</v>
      </c>
      <c r="N598" s="592"/>
      <c r="O598" s="179"/>
      <c r="P598" s="180"/>
      <c r="Q598" s="180">
        <v>22520000</v>
      </c>
      <c r="R598" s="181">
        <f t="shared" si="151"/>
        <v>5.357271015850416</v>
      </c>
      <c r="S598" s="181">
        <v>100</v>
      </c>
      <c r="T598" s="180">
        <f t="shared" si="114"/>
        <v>0</v>
      </c>
      <c r="U598" s="180">
        <f t="shared" si="119"/>
        <v>0</v>
      </c>
      <c r="V598" s="182">
        <f t="shared" si="139"/>
        <v>100</v>
      </c>
      <c r="W598" s="180"/>
      <c r="X598" s="180"/>
      <c r="Y598" s="180"/>
      <c r="Z598" s="180"/>
      <c r="AA598" s="180"/>
      <c r="AB598" s="180"/>
      <c r="AC598" s="180"/>
      <c r="AD598" s="180"/>
      <c r="AE598" s="180"/>
      <c r="AF598" s="180"/>
      <c r="AG598" s="180"/>
      <c r="AH598" s="180"/>
      <c r="AI598" s="180">
        <v>0</v>
      </c>
      <c r="AJ598" s="181">
        <f t="shared" si="140"/>
        <v>0</v>
      </c>
      <c r="AK598" s="246">
        <f t="shared" si="148"/>
        <v>22520000</v>
      </c>
      <c r="AL598" s="181">
        <f t="shared" si="143"/>
        <v>100</v>
      </c>
      <c r="AM598" s="243"/>
    </row>
    <row r="599" spans="1:39" ht="24.75" customHeight="1" x14ac:dyDescent="0.25">
      <c r="A599" s="243"/>
      <c r="B599" s="362"/>
      <c r="C599" s="362"/>
      <c r="D599" s="362"/>
      <c r="E599" s="362"/>
      <c r="F599" s="362"/>
      <c r="G599" s="362"/>
      <c r="H599" s="362"/>
      <c r="I599" s="363"/>
      <c r="J599" s="362" t="s">
        <v>282</v>
      </c>
      <c r="K599" s="245"/>
      <c r="L599" s="257"/>
      <c r="M599" s="591" t="s">
        <v>283</v>
      </c>
      <c r="N599" s="592"/>
      <c r="O599" s="179"/>
      <c r="P599" s="180"/>
      <c r="Q599" s="180">
        <v>19800000</v>
      </c>
      <c r="R599" s="181">
        <f t="shared" si="151"/>
        <v>4.710211639158004</v>
      </c>
      <c r="S599" s="181">
        <v>100</v>
      </c>
      <c r="T599" s="180">
        <f t="shared" si="114"/>
        <v>0</v>
      </c>
      <c r="U599" s="180">
        <f t="shared" si="119"/>
        <v>0</v>
      </c>
      <c r="V599" s="182">
        <f t="shared" si="139"/>
        <v>100</v>
      </c>
      <c r="W599" s="180"/>
      <c r="X599" s="180"/>
      <c r="Y599" s="180"/>
      <c r="Z599" s="180"/>
      <c r="AA599" s="180"/>
      <c r="AB599" s="180"/>
      <c r="AC599" s="180"/>
      <c r="AD599" s="180"/>
      <c r="AE599" s="180"/>
      <c r="AF599" s="180"/>
      <c r="AG599" s="180"/>
      <c r="AH599" s="180"/>
      <c r="AI599" s="180">
        <v>0</v>
      </c>
      <c r="AJ599" s="181">
        <f t="shared" si="140"/>
        <v>0</v>
      </c>
      <c r="AK599" s="246">
        <f t="shared" si="148"/>
        <v>19800000</v>
      </c>
      <c r="AL599" s="181">
        <f t="shared" si="143"/>
        <v>100</v>
      </c>
      <c r="AM599" s="243"/>
    </row>
    <row r="600" spans="1:39" ht="24.75" customHeight="1" x14ac:dyDescent="0.25">
      <c r="A600" s="243"/>
      <c r="B600" s="362"/>
      <c r="C600" s="362"/>
      <c r="D600" s="362"/>
      <c r="E600" s="362"/>
      <c r="F600" s="362"/>
      <c r="G600" s="362"/>
      <c r="H600" s="362"/>
      <c r="I600" s="363"/>
      <c r="J600" s="362" t="s">
        <v>320</v>
      </c>
      <c r="K600" s="245"/>
      <c r="L600" s="257"/>
      <c r="M600" s="591" t="s">
        <v>321</v>
      </c>
      <c r="N600" s="592"/>
      <c r="O600" s="179"/>
      <c r="P600" s="180"/>
      <c r="Q600" s="180">
        <v>10800000</v>
      </c>
      <c r="R600" s="181">
        <f t="shared" si="151"/>
        <v>2.5692063486316385</v>
      </c>
      <c r="S600" s="181">
        <v>100</v>
      </c>
      <c r="T600" s="180">
        <f t="shared" si="114"/>
        <v>0</v>
      </c>
      <c r="U600" s="180">
        <f t="shared" si="119"/>
        <v>0</v>
      </c>
      <c r="V600" s="182">
        <f t="shared" si="139"/>
        <v>100</v>
      </c>
      <c r="W600" s="180"/>
      <c r="X600" s="180"/>
      <c r="Y600" s="180"/>
      <c r="Z600" s="180"/>
      <c r="AA600" s="180"/>
      <c r="AB600" s="180"/>
      <c r="AC600" s="180"/>
      <c r="AD600" s="180"/>
      <c r="AE600" s="180"/>
      <c r="AF600" s="180"/>
      <c r="AG600" s="180"/>
      <c r="AH600" s="180"/>
      <c r="AI600" s="180">
        <v>0</v>
      </c>
      <c r="AJ600" s="181">
        <f t="shared" si="140"/>
        <v>0</v>
      </c>
      <c r="AK600" s="246">
        <f t="shared" si="148"/>
        <v>10800000</v>
      </c>
      <c r="AL600" s="181">
        <f t="shared" si="143"/>
        <v>100</v>
      </c>
      <c r="AM600" s="243"/>
    </row>
    <row r="601" spans="1:39" ht="24.75" customHeight="1" x14ac:dyDescent="0.25">
      <c r="A601" s="243"/>
      <c r="B601" s="362"/>
      <c r="C601" s="362"/>
      <c r="D601" s="362"/>
      <c r="E601" s="362"/>
      <c r="F601" s="362"/>
      <c r="G601" s="362"/>
      <c r="H601" s="362"/>
      <c r="I601" s="363"/>
      <c r="J601" s="362" t="s">
        <v>309</v>
      </c>
      <c r="K601" s="245"/>
      <c r="L601" s="257"/>
      <c r="M601" s="591" t="s">
        <v>310</v>
      </c>
      <c r="N601" s="592"/>
      <c r="O601" s="179"/>
      <c r="P601" s="180"/>
      <c r="Q601" s="180">
        <v>75000000</v>
      </c>
      <c r="R601" s="181">
        <f t="shared" si="151"/>
        <v>17.841710754386376</v>
      </c>
      <c r="S601" s="181">
        <v>100</v>
      </c>
      <c r="T601" s="180">
        <f t="shared" si="114"/>
        <v>0</v>
      </c>
      <c r="U601" s="180">
        <f t="shared" si="119"/>
        <v>0</v>
      </c>
      <c r="V601" s="182">
        <f t="shared" si="139"/>
        <v>100</v>
      </c>
      <c r="W601" s="180"/>
      <c r="X601" s="180"/>
      <c r="Y601" s="180"/>
      <c r="Z601" s="180"/>
      <c r="AA601" s="180"/>
      <c r="AB601" s="180"/>
      <c r="AC601" s="180"/>
      <c r="AD601" s="180"/>
      <c r="AE601" s="180"/>
      <c r="AF601" s="180"/>
      <c r="AG601" s="180"/>
      <c r="AH601" s="180"/>
      <c r="AI601" s="180">
        <v>0</v>
      </c>
      <c r="AJ601" s="181">
        <f t="shared" ref="AJ601:AJ679" si="152">AI601/Q601*100</f>
        <v>0</v>
      </c>
      <c r="AK601" s="246">
        <f t="shared" si="148"/>
        <v>75000000</v>
      </c>
      <c r="AL601" s="181">
        <f t="shared" si="143"/>
        <v>100</v>
      </c>
      <c r="AM601" s="243"/>
    </row>
    <row r="602" spans="1:39" ht="24.75" customHeight="1" x14ac:dyDescent="0.25">
      <c r="A602" s="243"/>
      <c r="B602" s="362"/>
      <c r="C602" s="362"/>
      <c r="D602" s="362"/>
      <c r="E602" s="362"/>
      <c r="F602" s="362"/>
      <c r="G602" s="362"/>
      <c r="H602" s="362"/>
      <c r="I602" s="363"/>
      <c r="J602" s="362" t="s">
        <v>407</v>
      </c>
      <c r="K602" s="245"/>
      <c r="L602" s="257"/>
      <c r="M602" s="591" t="s">
        <v>607</v>
      </c>
      <c r="N602" s="592"/>
      <c r="O602" s="179"/>
      <c r="P602" s="180"/>
      <c r="Q602" s="180">
        <v>9400000</v>
      </c>
      <c r="R602" s="181">
        <f t="shared" si="151"/>
        <v>2.2361610812164261</v>
      </c>
      <c r="S602" s="181">
        <v>100</v>
      </c>
      <c r="T602" s="180">
        <f t="shared" si="114"/>
        <v>0</v>
      </c>
      <c r="U602" s="180">
        <f t="shared" si="119"/>
        <v>0</v>
      </c>
      <c r="V602" s="182">
        <f t="shared" si="139"/>
        <v>100</v>
      </c>
      <c r="W602" s="180"/>
      <c r="X602" s="180"/>
      <c r="Y602" s="180"/>
      <c r="Z602" s="180"/>
      <c r="AA602" s="180"/>
      <c r="AB602" s="180"/>
      <c r="AC602" s="180"/>
      <c r="AD602" s="180"/>
      <c r="AE602" s="180"/>
      <c r="AF602" s="180"/>
      <c r="AG602" s="180"/>
      <c r="AH602" s="180"/>
      <c r="AI602" s="180">
        <v>0</v>
      </c>
      <c r="AJ602" s="181">
        <f t="shared" si="152"/>
        <v>0</v>
      </c>
      <c r="AK602" s="246">
        <f t="shared" si="148"/>
        <v>9400000</v>
      </c>
      <c r="AL602" s="181">
        <f t="shared" si="143"/>
        <v>100</v>
      </c>
      <c r="AM602" s="243"/>
    </row>
    <row r="603" spans="1:39" s="297" customFormat="1" ht="31.5" customHeight="1" x14ac:dyDescent="0.25">
      <c r="A603" s="227">
        <f>SUM(A589+1)</f>
        <v>73</v>
      </c>
      <c r="B603" s="367"/>
      <c r="C603" s="367"/>
      <c r="D603" s="367"/>
      <c r="E603" s="367"/>
      <c r="F603" s="367"/>
      <c r="G603" s="367"/>
      <c r="H603" s="367"/>
      <c r="I603" s="366"/>
      <c r="J603" s="304" t="s">
        <v>526</v>
      </c>
      <c r="K603" s="230"/>
      <c r="L603" s="294"/>
      <c r="M603" s="610" t="s">
        <v>206</v>
      </c>
      <c r="N603" s="612"/>
      <c r="O603" s="309"/>
      <c r="P603" s="231"/>
      <c r="Q603" s="231">
        <f>SUM(Q604:Q612)</f>
        <v>252438140</v>
      </c>
      <c r="R603" s="233">
        <f>Q603/Q$243*100</f>
        <v>2.1163768108019392</v>
      </c>
      <c r="S603" s="233">
        <v>100</v>
      </c>
      <c r="T603" s="231">
        <f t="shared" si="114"/>
        <v>8.3244156370348801</v>
      </c>
      <c r="U603" s="231">
        <f t="shared" si="119"/>
        <v>0.17617600217697671</v>
      </c>
      <c r="V603" s="296">
        <f t="shared" si="139"/>
        <v>91.675584362965125</v>
      </c>
      <c r="W603" s="231"/>
      <c r="X603" s="231"/>
      <c r="Y603" s="231"/>
      <c r="Z603" s="231"/>
      <c r="AA603" s="231"/>
      <c r="AB603" s="231"/>
      <c r="AC603" s="231"/>
      <c r="AD603" s="231"/>
      <c r="AE603" s="231"/>
      <c r="AF603" s="231"/>
      <c r="AG603" s="231"/>
      <c r="AH603" s="231"/>
      <c r="AI603" s="231">
        <f>SUM(AI604:AI612)</f>
        <v>21014000</v>
      </c>
      <c r="AJ603" s="233">
        <f t="shared" si="152"/>
        <v>8.3244156370348801</v>
      </c>
      <c r="AK603" s="234">
        <f t="shared" si="148"/>
        <v>231424140</v>
      </c>
      <c r="AL603" s="233">
        <f t="shared" si="143"/>
        <v>91.675584362965125</v>
      </c>
      <c r="AM603" s="227"/>
    </row>
    <row r="604" spans="1:39" ht="31.5" customHeight="1" x14ac:dyDescent="0.25">
      <c r="A604" s="243"/>
      <c r="B604" s="362"/>
      <c r="C604" s="362"/>
      <c r="D604" s="362"/>
      <c r="E604" s="362"/>
      <c r="F604" s="362"/>
      <c r="G604" s="362"/>
      <c r="H604" s="362"/>
      <c r="I604" s="363"/>
      <c r="J604" s="362" t="s">
        <v>257</v>
      </c>
      <c r="K604" s="245"/>
      <c r="L604" s="257"/>
      <c r="M604" s="591" t="s">
        <v>260</v>
      </c>
      <c r="N604" s="592"/>
      <c r="O604" s="179"/>
      <c r="P604" s="180"/>
      <c r="Q604" s="180">
        <v>2300000</v>
      </c>
      <c r="R604" s="181">
        <f>Q604/Q$603*100</f>
        <v>0.91111430309223485</v>
      </c>
      <c r="S604" s="181">
        <v>100</v>
      </c>
      <c r="T604" s="180">
        <f t="shared" si="114"/>
        <v>0</v>
      </c>
      <c r="U604" s="180">
        <f t="shared" si="119"/>
        <v>0</v>
      </c>
      <c r="V604" s="182">
        <f t="shared" si="139"/>
        <v>100</v>
      </c>
      <c r="W604" s="180"/>
      <c r="X604" s="180"/>
      <c r="Y604" s="180"/>
      <c r="Z604" s="180"/>
      <c r="AA604" s="180"/>
      <c r="AB604" s="180"/>
      <c r="AC604" s="180"/>
      <c r="AD604" s="180"/>
      <c r="AE604" s="180"/>
      <c r="AF604" s="180"/>
      <c r="AG604" s="180"/>
      <c r="AH604" s="180"/>
      <c r="AI604" s="180">
        <v>0</v>
      </c>
      <c r="AJ604" s="181">
        <f t="shared" si="152"/>
        <v>0</v>
      </c>
      <c r="AK604" s="246">
        <f t="shared" si="148"/>
        <v>2300000</v>
      </c>
      <c r="AL604" s="181">
        <f t="shared" si="143"/>
        <v>100</v>
      </c>
      <c r="AM604" s="243"/>
    </row>
    <row r="605" spans="1:39" ht="31.5" customHeight="1" x14ac:dyDescent="0.25">
      <c r="A605" s="243"/>
      <c r="B605" s="362"/>
      <c r="C605" s="362"/>
      <c r="D605" s="362"/>
      <c r="E605" s="362"/>
      <c r="F605" s="362"/>
      <c r="G605" s="362"/>
      <c r="H605" s="362"/>
      <c r="I605" s="363"/>
      <c r="J605" s="362" t="s">
        <v>273</v>
      </c>
      <c r="K605" s="245"/>
      <c r="L605" s="257"/>
      <c r="M605" s="591" t="s">
        <v>322</v>
      </c>
      <c r="N605" s="592"/>
      <c r="O605" s="179"/>
      <c r="P605" s="180"/>
      <c r="Q605" s="180">
        <v>20400000</v>
      </c>
      <c r="R605" s="181">
        <f t="shared" ref="R605:R611" si="153">Q605/Q$603*100</f>
        <v>8.0811877317746035</v>
      </c>
      <c r="S605" s="181">
        <v>100</v>
      </c>
      <c r="T605" s="180">
        <f t="shared" si="114"/>
        <v>0</v>
      </c>
      <c r="U605" s="180">
        <f t="shared" si="119"/>
        <v>0</v>
      </c>
      <c r="V605" s="182">
        <f t="shared" si="139"/>
        <v>100</v>
      </c>
      <c r="W605" s="180"/>
      <c r="X605" s="180"/>
      <c r="Y605" s="180"/>
      <c r="Z605" s="180"/>
      <c r="AA605" s="180"/>
      <c r="AB605" s="180"/>
      <c r="AC605" s="180"/>
      <c r="AD605" s="180"/>
      <c r="AE605" s="180"/>
      <c r="AF605" s="180"/>
      <c r="AG605" s="180"/>
      <c r="AH605" s="180"/>
      <c r="AI605" s="180">
        <v>0</v>
      </c>
      <c r="AJ605" s="181">
        <f t="shared" si="152"/>
        <v>0</v>
      </c>
      <c r="AK605" s="246">
        <f t="shared" si="148"/>
        <v>20400000</v>
      </c>
      <c r="AL605" s="181">
        <f t="shared" si="143"/>
        <v>100</v>
      </c>
      <c r="AM605" s="243"/>
    </row>
    <row r="606" spans="1:39" ht="31.5" customHeight="1" x14ac:dyDescent="0.25">
      <c r="A606" s="243"/>
      <c r="B606" s="362"/>
      <c r="C606" s="362"/>
      <c r="D606" s="362"/>
      <c r="E606" s="362"/>
      <c r="F606" s="362"/>
      <c r="G606" s="362"/>
      <c r="H606" s="362"/>
      <c r="I606" s="363"/>
      <c r="J606" s="362" t="s">
        <v>323</v>
      </c>
      <c r="K606" s="245"/>
      <c r="L606" s="257"/>
      <c r="M606" s="591" t="s">
        <v>324</v>
      </c>
      <c r="N606" s="592"/>
      <c r="O606" s="179"/>
      <c r="P606" s="180"/>
      <c r="Q606" s="180">
        <v>33513000</v>
      </c>
      <c r="R606" s="181">
        <f t="shared" si="153"/>
        <v>13.275727669360899</v>
      </c>
      <c r="S606" s="181">
        <v>100</v>
      </c>
      <c r="T606" s="180">
        <f t="shared" si="114"/>
        <v>12.544385760749559</v>
      </c>
      <c r="U606" s="180">
        <f t="shared" si="119"/>
        <v>1.6653584913911978</v>
      </c>
      <c r="V606" s="182">
        <f t="shared" si="139"/>
        <v>87.455614239250437</v>
      </c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  <c r="AG606" s="180"/>
      <c r="AH606" s="180"/>
      <c r="AI606" s="180">
        <v>4204000</v>
      </c>
      <c r="AJ606" s="181">
        <f t="shared" si="152"/>
        <v>12.544385760749559</v>
      </c>
      <c r="AK606" s="246">
        <f t="shared" si="148"/>
        <v>29309000</v>
      </c>
      <c r="AL606" s="181">
        <f t="shared" si="143"/>
        <v>87.455614239250451</v>
      </c>
      <c r="AM606" s="243"/>
    </row>
    <row r="607" spans="1:39" ht="31.5" customHeight="1" x14ac:dyDescent="0.25">
      <c r="A607" s="243"/>
      <c r="B607" s="362"/>
      <c r="C607" s="362"/>
      <c r="D607" s="362"/>
      <c r="E607" s="362"/>
      <c r="F607" s="362"/>
      <c r="G607" s="362"/>
      <c r="H607" s="362"/>
      <c r="I607" s="363"/>
      <c r="J607" s="362" t="s">
        <v>269</v>
      </c>
      <c r="K607" s="245"/>
      <c r="L607" s="257"/>
      <c r="M607" s="591" t="s">
        <v>270</v>
      </c>
      <c r="N607" s="592"/>
      <c r="O607" s="179"/>
      <c r="P607" s="180"/>
      <c r="Q607" s="180">
        <v>24000000</v>
      </c>
      <c r="R607" s="181">
        <f t="shared" si="153"/>
        <v>9.5072796844407108</v>
      </c>
      <c r="S607" s="181">
        <v>100</v>
      </c>
      <c r="T607" s="180">
        <f t="shared" si="114"/>
        <v>29.166666666666668</v>
      </c>
      <c r="U607" s="180">
        <f t="shared" si="119"/>
        <v>2.7729565746285409</v>
      </c>
      <c r="V607" s="182">
        <f t="shared" si="139"/>
        <v>70.833333333333329</v>
      </c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  <c r="AG607" s="180"/>
      <c r="AH607" s="180"/>
      <c r="AI607" s="180">
        <v>7000000</v>
      </c>
      <c r="AJ607" s="181">
        <f t="shared" si="152"/>
        <v>29.166666666666668</v>
      </c>
      <c r="AK607" s="246">
        <f t="shared" si="148"/>
        <v>17000000</v>
      </c>
      <c r="AL607" s="181">
        <f t="shared" si="143"/>
        <v>70.833333333333343</v>
      </c>
      <c r="AM607" s="243"/>
    </row>
    <row r="608" spans="1:39" ht="31.5" customHeight="1" x14ac:dyDescent="0.25">
      <c r="A608" s="243"/>
      <c r="B608" s="362"/>
      <c r="C608" s="362"/>
      <c r="D608" s="362"/>
      <c r="E608" s="362"/>
      <c r="F608" s="362"/>
      <c r="G608" s="362"/>
      <c r="H608" s="362"/>
      <c r="I608" s="363"/>
      <c r="J608" s="362" t="s">
        <v>315</v>
      </c>
      <c r="K608" s="245"/>
      <c r="L608" s="257"/>
      <c r="M608" s="591" t="s">
        <v>271</v>
      </c>
      <c r="N608" s="592"/>
      <c r="O608" s="179"/>
      <c r="P608" s="180"/>
      <c r="Q608" s="180">
        <v>1965000</v>
      </c>
      <c r="R608" s="181">
        <f t="shared" si="153"/>
        <v>0.77840852416358319</v>
      </c>
      <c r="S608" s="181">
        <v>100</v>
      </c>
      <c r="T608" s="180">
        <f t="shared" si="114"/>
        <v>0</v>
      </c>
      <c r="U608" s="180">
        <f t="shared" si="119"/>
        <v>0</v>
      </c>
      <c r="V608" s="182">
        <f t="shared" si="139"/>
        <v>100</v>
      </c>
      <c r="W608" s="180"/>
      <c r="X608" s="180"/>
      <c r="Y608" s="180"/>
      <c r="Z608" s="180"/>
      <c r="AA608" s="180"/>
      <c r="AB608" s="180"/>
      <c r="AC608" s="180"/>
      <c r="AD608" s="180"/>
      <c r="AE608" s="180"/>
      <c r="AF608" s="180"/>
      <c r="AG608" s="180"/>
      <c r="AH608" s="180"/>
      <c r="AI608" s="180">
        <v>0</v>
      </c>
      <c r="AJ608" s="181">
        <f t="shared" si="152"/>
        <v>0</v>
      </c>
      <c r="AK608" s="246">
        <f t="shared" si="148"/>
        <v>1965000</v>
      </c>
      <c r="AL608" s="181">
        <f t="shared" si="143"/>
        <v>100</v>
      </c>
      <c r="AM608" s="243"/>
    </row>
    <row r="609" spans="1:39" ht="31.5" customHeight="1" x14ac:dyDescent="0.25">
      <c r="A609" s="243"/>
      <c r="B609" s="362"/>
      <c r="C609" s="362"/>
      <c r="D609" s="362"/>
      <c r="E609" s="362"/>
      <c r="F609" s="362"/>
      <c r="G609" s="362"/>
      <c r="H609" s="362"/>
      <c r="I609" s="363"/>
      <c r="J609" s="362" t="s">
        <v>328</v>
      </c>
      <c r="K609" s="245"/>
      <c r="L609" s="257"/>
      <c r="M609" s="591" t="s">
        <v>329</v>
      </c>
      <c r="N609" s="592"/>
      <c r="O609" s="179"/>
      <c r="P609" s="180"/>
      <c r="Q609" s="180">
        <v>107000000</v>
      </c>
      <c r="R609" s="181">
        <f t="shared" si="153"/>
        <v>42.386621926464834</v>
      </c>
      <c r="S609" s="181">
        <v>100</v>
      </c>
      <c r="T609" s="180">
        <f t="shared" si="114"/>
        <v>0</v>
      </c>
      <c r="U609" s="180">
        <f t="shared" si="119"/>
        <v>0</v>
      </c>
      <c r="V609" s="182">
        <f t="shared" si="139"/>
        <v>100</v>
      </c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  <c r="AG609" s="180"/>
      <c r="AH609" s="180"/>
      <c r="AI609" s="180">
        <v>0</v>
      </c>
      <c r="AJ609" s="181">
        <f t="shared" si="152"/>
        <v>0</v>
      </c>
      <c r="AK609" s="246">
        <f t="shared" si="148"/>
        <v>107000000</v>
      </c>
      <c r="AL609" s="181">
        <f t="shared" si="143"/>
        <v>100</v>
      </c>
      <c r="AM609" s="243"/>
    </row>
    <row r="610" spans="1:39" ht="31.5" customHeight="1" x14ac:dyDescent="0.25">
      <c r="A610" s="243"/>
      <c r="B610" s="362"/>
      <c r="C610" s="362"/>
      <c r="D610" s="362"/>
      <c r="E610" s="362"/>
      <c r="F610" s="362"/>
      <c r="G610" s="362"/>
      <c r="H610" s="362"/>
      <c r="I610" s="363"/>
      <c r="J610" s="362" t="s">
        <v>339</v>
      </c>
      <c r="K610" s="245"/>
      <c r="L610" s="257"/>
      <c r="M610" s="591" t="s">
        <v>340</v>
      </c>
      <c r="N610" s="592"/>
      <c r="O610" s="179"/>
      <c r="P610" s="180"/>
      <c r="Q610" s="180">
        <v>37200000</v>
      </c>
      <c r="R610" s="181">
        <f t="shared" si="153"/>
        <v>14.736283510883103</v>
      </c>
      <c r="S610" s="181">
        <v>100</v>
      </c>
      <c r="T610" s="180">
        <f t="shared" si="114"/>
        <v>11.693548387096774</v>
      </c>
      <c r="U610" s="180">
        <f t="shared" si="119"/>
        <v>1.7231944428048789</v>
      </c>
      <c r="V610" s="182">
        <f t="shared" si="139"/>
        <v>88.306451612903231</v>
      </c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  <c r="AG610" s="180"/>
      <c r="AH610" s="180"/>
      <c r="AI610" s="180">
        <v>4350000</v>
      </c>
      <c r="AJ610" s="181">
        <f t="shared" si="152"/>
        <v>11.693548387096774</v>
      </c>
      <c r="AK610" s="246">
        <f t="shared" si="148"/>
        <v>32850000</v>
      </c>
      <c r="AL610" s="181">
        <f t="shared" si="143"/>
        <v>88.306451612903231</v>
      </c>
      <c r="AM610" s="243"/>
    </row>
    <row r="611" spans="1:39" ht="31.5" customHeight="1" x14ac:dyDescent="0.25">
      <c r="A611" s="243"/>
      <c r="B611" s="362"/>
      <c r="C611" s="362"/>
      <c r="D611" s="362"/>
      <c r="E611" s="362"/>
      <c r="F611" s="362"/>
      <c r="G611" s="362"/>
      <c r="H611" s="362"/>
      <c r="I611" s="363"/>
      <c r="J611" s="362" t="s">
        <v>284</v>
      </c>
      <c r="K611" s="245"/>
      <c r="L611" s="257"/>
      <c r="M611" s="591" t="s">
        <v>285</v>
      </c>
      <c r="N611" s="592"/>
      <c r="O611" s="179"/>
      <c r="P611" s="180"/>
      <c r="Q611" s="180">
        <v>7560000</v>
      </c>
      <c r="R611" s="181">
        <f t="shared" si="153"/>
        <v>2.994793100598824</v>
      </c>
      <c r="S611" s="181">
        <v>100</v>
      </c>
      <c r="T611" s="180">
        <f t="shared" si="114"/>
        <v>0</v>
      </c>
      <c r="U611" s="180">
        <f t="shared" si="119"/>
        <v>0</v>
      </c>
      <c r="V611" s="182">
        <f t="shared" si="139"/>
        <v>100</v>
      </c>
      <c r="W611" s="180"/>
      <c r="X611" s="180"/>
      <c r="Y611" s="180"/>
      <c r="Z611" s="180"/>
      <c r="AA611" s="180"/>
      <c r="AB611" s="180"/>
      <c r="AC611" s="180"/>
      <c r="AD611" s="180"/>
      <c r="AE611" s="180"/>
      <c r="AF611" s="180"/>
      <c r="AG611" s="180"/>
      <c r="AH611" s="180"/>
      <c r="AI611" s="180">
        <v>0</v>
      </c>
      <c r="AJ611" s="181">
        <f t="shared" si="152"/>
        <v>0</v>
      </c>
      <c r="AK611" s="246">
        <f t="shared" si="148"/>
        <v>7560000</v>
      </c>
      <c r="AL611" s="181">
        <f t="shared" si="143"/>
        <v>100</v>
      </c>
      <c r="AM611" s="243"/>
    </row>
    <row r="612" spans="1:39" ht="31.5" customHeight="1" x14ac:dyDescent="0.25">
      <c r="A612" s="243"/>
      <c r="B612" s="362"/>
      <c r="C612" s="362"/>
      <c r="D612" s="362"/>
      <c r="E612" s="362"/>
      <c r="F612" s="362"/>
      <c r="G612" s="362"/>
      <c r="H612" s="362"/>
      <c r="I612" s="363"/>
      <c r="J612" s="362" t="s">
        <v>282</v>
      </c>
      <c r="K612" s="245"/>
      <c r="L612" s="257"/>
      <c r="M612" s="591" t="s">
        <v>283</v>
      </c>
      <c r="N612" s="592"/>
      <c r="O612" s="179"/>
      <c r="P612" s="180"/>
      <c r="Q612" s="180">
        <v>18500140</v>
      </c>
      <c r="R612" s="181">
        <f>Q612/Q$603*100</f>
        <v>7.3285835492212072</v>
      </c>
      <c r="S612" s="181">
        <v>100</v>
      </c>
      <c r="T612" s="180">
        <f t="shared" si="114"/>
        <v>29.51329016969601</v>
      </c>
      <c r="U612" s="180">
        <f t="shared" si="119"/>
        <v>2.1629061282102615</v>
      </c>
      <c r="V612" s="182">
        <f t="shared" si="139"/>
        <v>70.486709830303994</v>
      </c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  <c r="AG612" s="180"/>
      <c r="AH612" s="180"/>
      <c r="AI612" s="180">
        <v>5460000</v>
      </c>
      <c r="AJ612" s="181">
        <f t="shared" si="152"/>
        <v>29.51329016969601</v>
      </c>
      <c r="AK612" s="246">
        <f t="shared" si="148"/>
        <v>13040140</v>
      </c>
      <c r="AL612" s="181">
        <f t="shared" ref="AL612:AL682" si="154">AK612/Q612*100</f>
        <v>70.48670983030398</v>
      </c>
      <c r="AM612" s="243"/>
    </row>
    <row r="613" spans="1:39" s="297" customFormat="1" ht="28.5" customHeight="1" x14ac:dyDescent="0.25">
      <c r="A613" s="227">
        <f>SUM(A603+1)</f>
        <v>74</v>
      </c>
      <c r="B613" s="367"/>
      <c r="C613" s="367"/>
      <c r="D613" s="367"/>
      <c r="E613" s="367"/>
      <c r="F613" s="367"/>
      <c r="G613" s="367"/>
      <c r="H613" s="367"/>
      <c r="I613" s="366"/>
      <c r="J613" s="304" t="s">
        <v>527</v>
      </c>
      <c r="K613" s="230"/>
      <c r="L613" s="294"/>
      <c r="M613" s="609" t="s">
        <v>207</v>
      </c>
      <c r="N613" s="614"/>
      <c r="O613" s="309"/>
      <c r="P613" s="231"/>
      <c r="Q613" s="231">
        <f>SUM(Q614:Q621)</f>
        <v>195716927</v>
      </c>
      <c r="R613" s="233">
        <f>Q613/Q$603*100</f>
        <v>77.530648498677735</v>
      </c>
      <c r="S613" s="233">
        <v>100</v>
      </c>
      <c r="T613" s="231">
        <f t="shared" si="114"/>
        <v>0</v>
      </c>
      <c r="U613" s="231">
        <f t="shared" si="119"/>
        <v>0</v>
      </c>
      <c r="V613" s="296">
        <f t="shared" si="139"/>
        <v>100</v>
      </c>
      <c r="W613" s="231"/>
      <c r="X613" s="231"/>
      <c r="Y613" s="231"/>
      <c r="Z613" s="231"/>
      <c r="AA613" s="231"/>
      <c r="AB613" s="231"/>
      <c r="AC613" s="231"/>
      <c r="AD613" s="231"/>
      <c r="AE613" s="231"/>
      <c r="AF613" s="231"/>
      <c r="AG613" s="231"/>
      <c r="AH613" s="231"/>
      <c r="AI613" s="231">
        <f>SUM(AI614:AI621)</f>
        <v>0</v>
      </c>
      <c r="AJ613" s="233">
        <f t="shared" si="152"/>
        <v>0</v>
      </c>
      <c r="AK613" s="234">
        <f t="shared" si="148"/>
        <v>195716927</v>
      </c>
      <c r="AL613" s="233">
        <f t="shared" si="154"/>
        <v>100</v>
      </c>
      <c r="AM613" s="227"/>
    </row>
    <row r="614" spans="1:39" ht="28.5" customHeight="1" x14ac:dyDescent="0.25">
      <c r="A614" s="243"/>
      <c r="B614" s="362"/>
      <c r="C614" s="362"/>
      <c r="D614" s="362"/>
      <c r="E614" s="362"/>
      <c r="F614" s="362"/>
      <c r="G614" s="362"/>
      <c r="H614" s="362"/>
      <c r="I614" s="363"/>
      <c r="J614" s="362" t="s">
        <v>273</v>
      </c>
      <c r="K614" s="245"/>
      <c r="L614" s="257"/>
      <c r="M614" s="591" t="s">
        <v>322</v>
      </c>
      <c r="N614" s="592"/>
      <c r="O614" s="179"/>
      <c r="P614" s="180"/>
      <c r="Q614" s="180">
        <v>25200000</v>
      </c>
      <c r="R614" s="181">
        <f t="shared" ref="R614:R621" si="155">Q614/Q$613*100</f>
        <v>12.875738642677545</v>
      </c>
      <c r="S614" s="181">
        <v>100</v>
      </c>
      <c r="T614" s="180">
        <f t="shared" si="114"/>
        <v>0</v>
      </c>
      <c r="U614" s="180">
        <f t="shared" si="119"/>
        <v>0</v>
      </c>
      <c r="V614" s="182">
        <f t="shared" si="139"/>
        <v>100</v>
      </c>
      <c r="W614" s="180"/>
      <c r="X614" s="180"/>
      <c r="Y614" s="180"/>
      <c r="Z614" s="180"/>
      <c r="AA614" s="180"/>
      <c r="AB614" s="180"/>
      <c r="AC614" s="180"/>
      <c r="AD614" s="180"/>
      <c r="AE614" s="180"/>
      <c r="AF614" s="180"/>
      <c r="AG614" s="180"/>
      <c r="AH614" s="180"/>
      <c r="AI614" s="180">
        <v>0</v>
      </c>
      <c r="AJ614" s="181">
        <f t="shared" si="152"/>
        <v>0</v>
      </c>
      <c r="AK614" s="246">
        <f t="shared" si="148"/>
        <v>25200000</v>
      </c>
      <c r="AL614" s="181">
        <f t="shared" si="154"/>
        <v>100</v>
      </c>
      <c r="AM614" s="243"/>
    </row>
    <row r="615" spans="1:39" ht="28.5" customHeight="1" x14ac:dyDescent="0.25">
      <c r="A615" s="243"/>
      <c r="B615" s="362"/>
      <c r="C615" s="362"/>
      <c r="D615" s="362"/>
      <c r="E615" s="362"/>
      <c r="F615" s="362"/>
      <c r="G615" s="362"/>
      <c r="H615" s="362"/>
      <c r="I615" s="363"/>
      <c r="J615" s="362" t="s">
        <v>323</v>
      </c>
      <c r="K615" s="245"/>
      <c r="L615" s="257"/>
      <c r="M615" s="591" t="s">
        <v>324</v>
      </c>
      <c r="N615" s="592"/>
      <c r="O615" s="179"/>
      <c r="P615" s="180"/>
      <c r="Q615" s="180">
        <v>33468000</v>
      </c>
      <c r="R615" s="181">
        <f t="shared" si="155"/>
        <v>17.100207178298891</v>
      </c>
      <c r="S615" s="181">
        <v>100</v>
      </c>
      <c r="T615" s="180">
        <f t="shared" si="114"/>
        <v>0</v>
      </c>
      <c r="U615" s="180">
        <f t="shared" si="119"/>
        <v>0</v>
      </c>
      <c r="V615" s="182">
        <f t="shared" si="139"/>
        <v>100</v>
      </c>
      <c r="W615" s="180"/>
      <c r="X615" s="180"/>
      <c r="Y615" s="180"/>
      <c r="Z615" s="180"/>
      <c r="AA615" s="180"/>
      <c r="AB615" s="180"/>
      <c r="AC615" s="180"/>
      <c r="AD615" s="180"/>
      <c r="AE615" s="180"/>
      <c r="AF615" s="180"/>
      <c r="AG615" s="180"/>
      <c r="AH615" s="180"/>
      <c r="AI615" s="180">
        <v>0</v>
      </c>
      <c r="AJ615" s="181">
        <f t="shared" si="152"/>
        <v>0</v>
      </c>
      <c r="AK615" s="246">
        <f t="shared" si="148"/>
        <v>33468000</v>
      </c>
      <c r="AL615" s="181">
        <f t="shared" si="154"/>
        <v>100</v>
      </c>
      <c r="AM615" s="243"/>
    </row>
    <row r="616" spans="1:39" ht="28.5" customHeight="1" x14ac:dyDescent="0.25">
      <c r="A616" s="243"/>
      <c r="B616" s="362"/>
      <c r="C616" s="362"/>
      <c r="D616" s="362"/>
      <c r="E616" s="362"/>
      <c r="F616" s="362"/>
      <c r="G616" s="362"/>
      <c r="H616" s="362"/>
      <c r="I616" s="363"/>
      <c r="J616" s="362" t="s">
        <v>269</v>
      </c>
      <c r="K616" s="245"/>
      <c r="L616" s="257"/>
      <c r="M616" s="591" t="s">
        <v>270</v>
      </c>
      <c r="N616" s="592"/>
      <c r="O616" s="179"/>
      <c r="P616" s="180"/>
      <c r="Q616" s="180">
        <v>5400000</v>
      </c>
      <c r="R616" s="181">
        <f t="shared" si="155"/>
        <v>2.7590868520023308</v>
      </c>
      <c r="S616" s="181">
        <v>100</v>
      </c>
      <c r="T616" s="180">
        <f t="shared" si="114"/>
        <v>0</v>
      </c>
      <c r="U616" s="180">
        <f t="shared" si="119"/>
        <v>0</v>
      </c>
      <c r="V616" s="182">
        <f t="shared" si="139"/>
        <v>100</v>
      </c>
      <c r="W616" s="180"/>
      <c r="X616" s="180"/>
      <c r="Y616" s="180"/>
      <c r="Z616" s="180"/>
      <c r="AA616" s="180"/>
      <c r="AB616" s="180"/>
      <c r="AC616" s="180"/>
      <c r="AD616" s="180"/>
      <c r="AE616" s="180"/>
      <c r="AF616" s="180"/>
      <c r="AG616" s="180"/>
      <c r="AH616" s="180"/>
      <c r="AI616" s="180">
        <v>0</v>
      </c>
      <c r="AJ616" s="181">
        <f t="shared" si="152"/>
        <v>0</v>
      </c>
      <c r="AK616" s="246">
        <f t="shared" si="148"/>
        <v>5400000</v>
      </c>
      <c r="AL616" s="181">
        <f t="shared" si="154"/>
        <v>100</v>
      </c>
      <c r="AM616" s="243"/>
    </row>
    <row r="617" spans="1:39" ht="28.5" customHeight="1" x14ac:dyDescent="0.25">
      <c r="A617" s="243"/>
      <c r="B617" s="362"/>
      <c r="C617" s="362"/>
      <c r="D617" s="362"/>
      <c r="E617" s="362"/>
      <c r="F617" s="362"/>
      <c r="G617" s="362"/>
      <c r="H617" s="362"/>
      <c r="I617" s="363"/>
      <c r="J617" s="362" t="s">
        <v>315</v>
      </c>
      <c r="K617" s="245"/>
      <c r="L617" s="257"/>
      <c r="M617" s="591" t="s">
        <v>271</v>
      </c>
      <c r="N617" s="592"/>
      <c r="O617" s="179"/>
      <c r="P617" s="180"/>
      <c r="Q617" s="180">
        <v>9600000</v>
      </c>
      <c r="R617" s="181">
        <f t="shared" si="155"/>
        <v>4.9050432924485881</v>
      </c>
      <c r="S617" s="181">
        <v>100</v>
      </c>
      <c r="T617" s="180">
        <f t="shared" si="114"/>
        <v>0</v>
      </c>
      <c r="U617" s="180">
        <f t="shared" si="119"/>
        <v>0</v>
      </c>
      <c r="V617" s="182">
        <f t="shared" si="139"/>
        <v>100</v>
      </c>
      <c r="W617" s="180"/>
      <c r="X617" s="180"/>
      <c r="Y617" s="180"/>
      <c r="Z617" s="180"/>
      <c r="AA617" s="180"/>
      <c r="AB617" s="180"/>
      <c r="AC617" s="180"/>
      <c r="AD617" s="180"/>
      <c r="AE617" s="180"/>
      <c r="AF617" s="180"/>
      <c r="AG617" s="180"/>
      <c r="AH617" s="180"/>
      <c r="AI617" s="180">
        <v>0</v>
      </c>
      <c r="AJ617" s="181">
        <f t="shared" si="152"/>
        <v>0</v>
      </c>
      <c r="AK617" s="246">
        <f t="shared" si="148"/>
        <v>9600000</v>
      </c>
      <c r="AL617" s="181">
        <f t="shared" si="154"/>
        <v>100</v>
      </c>
      <c r="AM617" s="243"/>
    </row>
    <row r="618" spans="1:39" ht="28.5" customHeight="1" x14ac:dyDescent="0.25">
      <c r="A618" s="243"/>
      <c r="B618" s="362"/>
      <c r="C618" s="362"/>
      <c r="D618" s="362"/>
      <c r="E618" s="362"/>
      <c r="F618" s="362"/>
      <c r="G618" s="362"/>
      <c r="H618" s="362"/>
      <c r="I618" s="363"/>
      <c r="J618" s="362" t="s">
        <v>280</v>
      </c>
      <c r="K618" s="245"/>
      <c r="L618" s="257"/>
      <c r="M618" s="591" t="s">
        <v>281</v>
      </c>
      <c r="N618" s="592"/>
      <c r="O618" s="179"/>
      <c r="P618" s="180"/>
      <c r="Q618" s="180">
        <v>48000000</v>
      </c>
      <c r="R618" s="181">
        <f t="shared" si="155"/>
        <v>24.525216462242941</v>
      </c>
      <c r="S618" s="181">
        <v>100</v>
      </c>
      <c r="T618" s="180">
        <f t="shared" si="114"/>
        <v>0</v>
      </c>
      <c r="U618" s="180">
        <f t="shared" si="119"/>
        <v>0</v>
      </c>
      <c r="V618" s="182">
        <f t="shared" si="139"/>
        <v>100</v>
      </c>
      <c r="W618" s="180"/>
      <c r="X618" s="180"/>
      <c r="Y618" s="180"/>
      <c r="Z618" s="180"/>
      <c r="AA618" s="180"/>
      <c r="AB618" s="180"/>
      <c r="AC618" s="180"/>
      <c r="AD618" s="180"/>
      <c r="AE618" s="180"/>
      <c r="AF618" s="180"/>
      <c r="AG618" s="180"/>
      <c r="AH618" s="180"/>
      <c r="AI618" s="180">
        <v>0</v>
      </c>
      <c r="AJ618" s="181">
        <f t="shared" si="152"/>
        <v>0</v>
      </c>
      <c r="AK618" s="246">
        <f t="shared" si="148"/>
        <v>48000000</v>
      </c>
      <c r="AL618" s="181">
        <f t="shared" si="154"/>
        <v>100</v>
      </c>
      <c r="AM618" s="243"/>
    </row>
    <row r="619" spans="1:39" ht="28.5" customHeight="1" x14ac:dyDescent="0.25">
      <c r="A619" s="243"/>
      <c r="B619" s="362"/>
      <c r="C619" s="362"/>
      <c r="D619" s="362"/>
      <c r="E619" s="362"/>
      <c r="F619" s="362"/>
      <c r="G619" s="362"/>
      <c r="H619" s="362"/>
      <c r="I619" s="363"/>
      <c r="J619" s="362" t="s">
        <v>284</v>
      </c>
      <c r="K619" s="245"/>
      <c r="L619" s="257"/>
      <c r="M619" s="591" t="s">
        <v>285</v>
      </c>
      <c r="N619" s="592"/>
      <c r="O619" s="179"/>
      <c r="P619" s="180"/>
      <c r="Q619" s="180">
        <v>4658927</v>
      </c>
      <c r="R619" s="181">
        <f t="shared" si="155"/>
        <v>2.3804415240997527</v>
      </c>
      <c r="S619" s="181">
        <v>100</v>
      </c>
      <c r="T619" s="180">
        <f t="shared" si="114"/>
        <v>0</v>
      </c>
      <c r="U619" s="180">
        <f t="shared" si="119"/>
        <v>0</v>
      </c>
      <c r="V619" s="182">
        <f t="shared" si="139"/>
        <v>100</v>
      </c>
      <c r="W619" s="180"/>
      <c r="X619" s="180"/>
      <c r="Y619" s="180"/>
      <c r="Z619" s="180"/>
      <c r="AA619" s="180"/>
      <c r="AB619" s="180"/>
      <c r="AC619" s="180"/>
      <c r="AD619" s="180"/>
      <c r="AE619" s="180"/>
      <c r="AF619" s="180"/>
      <c r="AG619" s="180"/>
      <c r="AH619" s="180"/>
      <c r="AI619" s="180">
        <v>0</v>
      </c>
      <c r="AJ619" s="181">
        <f t="shared" si="152"/>
        <v>0</v>
      </c>
      <c r="AK619" s="246">
        <f t="shared" si="148"/>
        <v>4658927</v>
      </c>
      <c r="AL619" s="181">
        <f t="shared" si="154"/>
        <v>100</v>
      </c>
      <c r="AM619" s="243"/>
    </row>
    <row r="620" spans="1:39" ht="28.5" customHeight="1" x14ac:dyDescent="0.25">
      <c r="A620" s="243"/>
      <c r="B620" s="362"/>
      <c r="C620" s="362"/>
      <c r="D620" s="362"/>
      <c r="E620" s="362"/>
      <c r="F620" s="362"/>
      <c r="G620" s="362"/>
      <c r="H620" s="362"/>
      <c r="I620" s="363"/>
      <c r="J620" s="362" t="s">
        <v>282</v>
      </c>
      <c r="K620" s="245"/>
      <c r="L620" s="257"/>
      <c r="M620" s="591" t="s">
        <v>283</v>
      </c>
      <c r="N620" s="592"/>
      <c r="O620" s="179"/>
      <c r="P620" s="180"/>
      <c r="Q620" s="180">
        <v>59790000</v>
      </c>
      <c r="R620" s="181">
        <f t="shared" si="155"/>
        <v>30.549222755781365</v>
      </c>
      <c r="S620" s="181">
        <v>100</v>
      </c>
      <c r="T620" s="180">
        <f t="shared" si="114"/>
        <v>0</v>
      </c>
      <c r="U620" s="180">
        <f t="shared" si="119"/>
        <v>0</v>
      </c>
      <c r="V620" s="182">
        <f t="shared" si="139"/>
        <v>100</v>
      </c>
      <c r="W620" s="180"/>
      <c r="X620" s="180"/>
      <c r="Y620" s="180"/>
      <c r="Z620" s="180"/>
      <c r="AA620" s="180"/>
      <c r="AB620" s="180"/>
      <c r="AC620" s="180"/>
      <c r="AD620" s="180"/>
      <c r="AE620" s="180"/>
      <c r="AF620" s="180"/>
      <c r="AG620" s="180"/>
      <c r="AH620" s="180"/>
      <c r="AI620" s="180">
        <v>0</v>
      </c>
      <c r="AJ620" s="181">
        <f t="shared" si="152"/>
        <v>0</v>
      </c>
      <c r="AK620" s="246">
        <f t="shared" si="148"/>
        <v>59790000</v>
      </c>
      <c r="AL620" s="181">
        <f t="shared" si="154"/>
        <v>100</v>
      </c>
      <c r="AM620" s="243"/>
    </row>
    <row r="621" spans="1:39" ht="28.5" customHeight="1" x14ac:dyDescent="0.25">
      <c r="A621" s="243"/>
      <c r="B621" s="362"/>
      <c r="C621" s="362"/>
      <c r="D621" s="362"/>
      <c r="E621" s="362"/>
      <c r="F621" s="362"/>
      <c r="G621" s="362"/>
      <c r="H621" s="362"/>
      <c r="I621" s="363"/>
      <c r="J621" s="362" t="s">
        <v>551</v>
      </c>
      <c r="K621" s="245"/>
      <c r="L621" s="257"/>
      <c r="M621" s="591" t="s">
        <v>550</v>
      </c>
      <c r="N621" s="592"/>
      <c r="O621" s="179"/>
      <c r="P621" s="180"/>
      <c r="Q621" s="180">
        <v>9600000</v>
      </c>
      <c r="R621" s="181">
        <f t="shared" si="155"/>
        <v>4.9050432924485881</v>
      </c>
      <c r="S621" s="181">
        <v>100</v>
      </c>
      <c r="T621" s="180">
        <f t="shared" ref="T621:T674" si="156">AJ621</f>
        <v>0</v>
      </c>
      <c r="U621" s="180">
        <f t="shared" si="119"/>
        <v>0</v>
      </c>
      <c r="V621" s="182">
        <f t="shared" si="139"/>
        <v>100</v>
      </c>
      <c r="W621" s="180"/>
      <c r="X621" s="180"/>
      <c r="Y621" s="180"/>
      <c r="Z621" s="180"/>
      <c r="AA621" s="180"/>
      <c r="AB621" s="180"/>
      <c r="AC621" s="180"/>
      <c r="AD621" s="180"/>
      <c r="AE621" s="180"/>
      <c r="AF621" s="180"/>
      <c r="AG621" s="180"/>
      <c r="AH621" s="180"/>
      <c r="AI621" s="180">
        <v>0</v>
      </c>
      <c r="AJ621" s="181">
        <f t="shared" si="152"/>
        <v>0</v>
      </c>
      <c r="AK621" s="246">
        <f t="shared" si="148"/>
        <v>9600000</v>
      </c>
      <c r="AL621" s="181">
        <f t="shared" si="154"/>
        <v>100</v>
      </c>
      <c r="AM621" s="243"/>
    </row>
    <row r="622" spans="1:39" s="297" customFormat="1" ht="24.75" customHeight="1" x14ac:dyDescent="0.25">
      <c r="A622" s="227">
        <f>SUM(A613+1)</f>
        <v>75</v>
      </c>
      <c r="B622" s="367"/>
      <c r="C622" s="367"/>
      <c r="D622" s="367"/>
      <c r="E622" s="367"/>
      <c r="F622" s="367"/>
      <c r="G622" s="367"/>
      <c r="H622" s="367"/>
      <c r="I622" s="366"/>
      <c r="J622" s="304" t="s">
        <v>528</v>
      </c>
      <c r="K622" s="230"/>
      <c r="L622" s="294"/>
      <c r="M622" s="613" t="s">
        <v>208</v>
      </c>
      <c r="N622" s="612"/>
      <c r="O622" s="309"/>
      <c r="P622" s="231"/>
      <c r="Q622" s="231">
        <f>SUM(Q623:Q631)</f>
        <v>148625471</v>
      </c>
      <c r="R622" s="233">
        <f>Q622/Q$243*100</f>
        <v>1.2460379414890164</v>
      </c>
      <c r="S622" s="233">
        <v>100</v>
      </c>
      <c r="T622" s="231">
        <f t="shared" si="156"/>
        <v>0</v>
      </c>
      <c r="U622" s="231">
        <f t="shared" si="119"/>
        <v>0</v>
      </c>
      <c r="V622" s="296">
        <f t="shared" si="139"/>
        <v>100</v>
      </c>
      <c r="W622" s="231"/>
      <c r="X622" s="231"/>
      <c r="Y622" s="231"/>
      <c r="Z622" s="231"/>
      <c r="AA622" s="231"/>
      <c r="AB622" s="231"/>
      <c r="AC622" s="231"/>
      <c r="AD622" s="231"/>
      <c r="AE622" s="231"/>
      <c r="AF622" s="231"/>
      <c r="AG622" s="231"/>
      <c r="AH622" s="231"/>
      <c r="AI622" s="231">
        <f>SUM(AI623:AI631)</f>
        <v>0</v>
      </c>
      <c r="AJ622" s="233">
        <f t="shared" si="152"/>
        <v>0</v>
      </c>
      <c r="AK622" s="234">
        <f t="shared" si="148"/>
        <v>148625471</v>
      </c>
      <c r="AL622" s="233">
        <f t="shared" si="154"/>
        <v>100</v>
      </c>
      <c r="AM622" s="227"/>
    </row>
    <row r="623" spans="1:39" ht="24.75" customHeight="1" x14ac:dyDescent="0.25">
      <c r="A623" s="243"/>
      <c r="B623" s="362"/>
      <c r="C623" s="362"/>
      <c r="D623" s="362"/>
      <c r="E623" s="362"/>
      <c r="F623" s="362"/>
      <c r="G623" s="362"/>
      <c r="H623" s="362"/>
      <c r="I623" s="363"/>
      <c r="J623" s="362" t="s">
        <v>257</v>
      </c>
      <c r="K623" s="245"/>
      <c r="L623" s="257"/>
      <c r="M623" s="604" t="s">
        <v>260</v>
      </c>
      <c r="N623" s="592"/>
      <c r="O623" s="179"/>
      <c r="P623" s="180"/>
      <c r="Q623" s="180">
        <v>800000</v>
      </c>
      <c r="R623" s="181">
        <f>Q623/Q$622*100</f>
        <v>0.53826574584917553</v>
      </c>
      <c r="S623" s="181">
        <v>100</v>
      </c>
      <c r="T623" s="180">
        <f t="shared" si="156"/>
        <v>0</v>
      </c>
      <c r="U623" s="180">
        <f t="shared" si="119"/>
        <v>0</v>
      </c>
      <c r="V623" s="182">
        <f t="shared" si="139"/>
        <v>100</v>
      </c>
      <c r="W623" s="180"/>
      <c r="X623" s="180"/>
      <c r="Y623" s="180"/>
      <c r="Z623" s="180"/>
      <c r="AA623" s="180"/>
      <c r="AB623" s="180"/>
      <c r="AC623" s="180"/>
      <c r="AD623" s="180"/>
      <c r="AE623" s="180"/>
      <c r="AF623" s="180"/>
      <c r="AG623" s="180"/>
      <c r="AH623" s="180"/>
      <c r="AI623" s="180">
        <v>0</v>
      </c>
      <c r="AJ623" s="181">
        <f t="shared" si="152"/>
        <v>0</v>
      </c>
      <c r="AK623" s="246">
        <f t="shared" si="148"/>
        <v>800000</v>
      </c>
      <c r="AL623" s="181">
        <f t="shared" si="154"/>
        <v>100</v>
      </c>
      <c r="AM623" s="243"/>
    </row>
    <row r="624" spans="1:39" ht="24.75" customHeight="1" x14ac:dyDescent="0.25">
      <c r="A624" s="243"/>
      <c r="B624" s="362"/>
      <c r="C624" s="362"/>
      <c r="D624" s="362"/>
      <c r="E624" s="362"/>
      <c r="F624" s="362"/>
      <c r="G624" s="362"/>
      <c r="H624" s="362"/>
      <c r="I624" s="363"/>
      <c r="J624" s="362" t="s">
        <v>315</v>
      </c>
      <c r="K624" s="245"/>
      <c r="L624" s="257"/>
      <c r="M624" s="604" t="s">
        <v>271</v>
      </c>
      <c r="N624" s="592"/>
      <c r="O624" s="179"/>
      <c r="P624" s="180"/>
      <c r="Q624" s="180">
        <v>10500000</v>
      </c>
      <c r="R624" s="181">
        <f>Q624/Q$622*100</f>
        <v>7.0647379142704274</v>
      </c>
      <c r="S624" s="181">
        <v>100</v>
      </c>
      <c r="T624" s="180">
        <f t="shared" si="156"/>
        <v>0</v>
      </c>
      <c r="U624" s="180">
        <f t="shared" si="119"/>
        <v>0</v>
      </c>
      <c r="V624" s="182">
        <f t="shared" si="139"/>
        <v>100</v>
      </c>
      <c r="W624" s="180"/>
      <c r="X624" s="180"/>
      <c r="Y624" s="180"/>
      <c r="Z624" s="180"/>
      <c r="AA624" s="180"/>
      <c r="AB624" s="180"/>
      <c r="AC624" s="180"/>
      <c r="AD624" s="180"/>
      <c r="AE624" s="180"/>
      <c r="AF624" s="180"/>
      <c r="AG624" s="180"/>
      <c r="AH624" s="180"/>
      <c r="AI624" s="180">
        <v>0</v>
      </c>
      <c r="AJ624" s="181">
        <f t="shared" si="152"/>
        <v>0</v>
      </c>
      <c r="AK624" s="246">
        <f t="shared" si="148"/>
        <v>10500000</v>
      </c>
      <c r="AL624" s="181">
        <f t="shared" si="154"/>
        <v>100</v>
      </c>
      <c r="AM624" s="243"/>
    </row>
    <row r="625" spans="1:39" ht="24.75" customHeight="1" x14ac:dyDescent="0.25">
      <c r="A625" s="243"/>
      <c r="B625" s="362"/>
      <c r="C625" s="362"/>
      <c r="D625" s="362"/>
      <c r="E625" s="362"/>
      <c r="F625" s="362"/>
      <c r="G625" s="362"/>
      <c r="H625" s="362"/>
      <c r="I625" s="363"/>
      <c r="J625" s="362" t="s">
        <v>316</v>
      </c>
      <c r="K625" s="245"/>
      <c r="L625" s="257"/>
      <c r="M625" s="604" t="s">
        <v>317</v>
      </c>
      <c r="N625" s="592"/>
      <c r="O625" s="179"/>
      <c r="P625" s="180"/>
      <c r="Q625" s="180">
        <v>500000</v>
      </c>
      <c r="R625" s="181">
        <f t="shared" ref="R625:R631" si="157">Q625/Q$622*100</f>
        <v>0.33641609115573468</v>
      </c>
      <c r="S625" s="181">
        <v>100</v>
      </c>
      <c r="T625" s="180">
        <f t="shared" si="156"/>
        <v>0</v>
      </c>
      <c r="U625" s="180">
        <f t="shared" si="119"/>
        <v>0</v>
      </c>
      <c r="V625" s="182">
        <f t="shared" si="139"/>
        <v>100</v>
      </c>
      <c r="W625" s="180"/>
      <c r="X625" s="180"/>
      <c r="Y625" s="180"/>
      <c r="Z625" s="180"/>
      <c r="AA625" s="180"/>
      <c r="AB625" s="180"/>
      <c r="AC625" s="180"/>
      <c r="AD625" s="180"/>
      <c r="AE625" s="180"/>
      <c r="AF625" s="180"/>
      <c r="AG625" s="180"/>
      <c r="AH625" s="180"/>
      <c r="AI625" s="180">
        <v>0</v>
      </c>
      <c r="AJ625" s="181">
        <f t="shared" si="152"/>
        <v>0</v>
      </c>
      <c r="AK625" s="246">
        <f t="shared" si="148"/>
        <v>500000</v>
      </c>
      <c r="AL625" s="181">
        <f t="shared" si="154"/>
        <v>100</v>
      </c>
      <c r="AM625" s="243"/>
    </row>
    <row r="626" spans="1:39" ht="24.75" customHeight="1" x14ac:dyDescent="0.25">
      <c r="A626" s="243"/>
      <c r="B626" s="362"/>
      <c r="C626" s="362"/>
      <c r="D626" s="362"/>
      <c r="E626" s="362"/>
      <c r="F626" s="362"/>
      <c r="G626" s="362"/>
      <c r="H626" s="362"/>
      <c r="I626" s="363"/>
      <c r="J626" s="362" t="s">
        <v>328</v>
      </c>
      <c r="K626" s="245"/>
      <c r="L626" s="257"/>
      <c r="M626" s="604" t="s">
        <v>319</v>
      </c>
      <c r="N626" s="592"/>
      <c r="O626" s="179"/>
      <c r="P626" s="180"/>
      <c r="Q626" s="180">
        <v>65000000</v>
      </c>
      <c r="R626" s="181">
        <f t="shared" si="157"/>
        <v>43.734091850245512</v>
      </c>
      <c r="S626" s="181">
        <v>100</v>
      </c>
      <c r="T626" s="180">
        <f t="shared" si="156"/>
        <v>0</v>
      </c>
      <c r="U626" s="180">
        <f t="shared" si="119"/>
        <v>0</v>
      </c>
      <c r="V626" s="182">
        <f t="shared" si="139"/>
        <v>100</v>
      </c>
      <c r="W626" s="180"/>
      <c r="X626" s="180"/>
      <c r="Y626" s="180"/>
      <c r="Z626" s="180"/>
      <c r="AA626" s="180"/>
      <c r="AB626" s="180"/>
      <c r="AC626" s="180"/>
      <c r="AD626" s="180"/>
      <c r="AE626" s="180"/>
      <c r="AF626" s="180"/>
      <c r="AG626" s="180"/>
      <c r="AH626" s="180"/>
      <c r="AI626" s="180">
        <v>0</v>
      </c>
      <c r="AJ626" s="181">
        <f t="shared" si="152"/>
        <v>0</v>
      </c>
      <c r="AK626" s="246">
        <f t="shared" si="148"/>
        <v>65000000</v>
      </c>
      <c r="AL626" s="181">
        <f t="shared" si="154"/>
        <v>100</v>
      </c>
      <c r="AM626" s="243"/>
    </row>
    <row r="627" spans="1:39" ht="24.75" customHeight="1" x14ac:dyDescent="0.25">
      <c r="A627" s="243"/>
      <c r="B627" s="362"/>
      <c r="C627" s="362"/>
      <c r="D627" s="362"/>
      <c r="E627" s="362"/>
      <c r="F627" s="362"/>
      <c r="G627" s="362"/>
      <c r="H627" s="362"/>
      <c r="I627" s="363"/>
      <c r="J627" s="362" t="s">
        <v>284</v>
      </c>
      <c r="K627" s="245"/>
      <c r="L627" s="257"/>
      <c r="M627" s="604" t="s">
        <v>285</v>
      </c>
      <c r="N627" s="592"/>
      <c r="O627" s="179"/>
      <c r="P627" s="180"/>
      <c r="Q627" s="180">
        <v>10000000</v>
      </c>
      <c r="R627" s="181">
        <f t="shared" si="157"/>
        <v>6.728321823114694</v>
      </c>
      <c r="S627" s="181">
        <v>100</v>
      </c>
      <c r="T627" s="180">
        <f t="shared" si="156"/>
        <v>0</v>
      </c>
      <c r="U627" s="180">
        <f t="shared" si="119"/>
        <v>0</v>
      </c>
      <c r="V627" s="182">
        <f t="shared" si="139"/>
        <v>100</v>
      </c>
      <c r="W627" s="180"/>
      <c r="X627" s="180"/>
      <c r="Y627" s="180"/>
      <c r="Z627" s="180"/>
      <c r="AA627" s="180"/>
      <c r="AB627" s="180"/>
      <c r="AC627" s="180"/>
      <c r="AD627" s="180"/>
      <c r="AE627" s="180"/>
      <c r="AF627" s="180"/>
      <c r="AG627" s="180"/>
      <c r="AH627" s="180"/>
      <c r="AI627" s="180">
        <v>0</v>
      </c>
      <c r="AJ627" s="181">
        <f t="shared" si="152"/>
        <v>0</v>
      </c>
      <c r="AK627" s="246">
        <f t="shared" si="148"/>
        <v>10000000</v>
      </c>
      <c r="AL627" s="181">
        <f t="shared" si="154"/>
        <v>100</v>
      </c>
      <c r="AM627" s="243"/>
    </row>
    <row r="628" spans="1:39" ht="24.75" customHeight="1" x14ac:dyDescent="0.25">
      <c r="A628" s="243"/>
      <c r="B628" s="362"/>
      <c r="C628" s="362"/>
      <c r="D628" s="362"/>
      <c r="E628" s="362"/>
      <c r="F628" s="362"/>
      <c r="G628" s="362"/>
      <c r="H628" s="362"/>
      <c r="I628" s="363"/>
      <c r="J628" s="362" t="s">
        <v>282</v>
      </c>
      <c r="K628" s="245"/>
      <c r="L628" s="257"/>
      <c r="M628" s="604" t="s">
        <v>283</v>
      </c>
      <c r="N628" s="592"/>
      <c r="O628" s="179"/>
      <c r="P628" s="180"/>
      <c r="Q628" s="180">
        <v>34125471</v>
      </c>
      <c r="R628" s="181">
        <f t="shared" si="157"/>
        <v>22.960715125336762</v>
      </c>
      <c r="S628" s="181">
        <v>100</v>
      </c>
      <c r="T628" s="180">
        <f t="shared" si="156"/>
        <v>0</v>
      </c>
      <c r="U628" s="180">
        <f t="shared" si="119"/>
        <v>0</v>
      </c>
      <c r="V628" s="182">
        <f t="shared" si="139"/>
        <v>100</v>
      </c>
      <c r="W628" s="180"/>
      <c r="X628" s="180"/>
      <c r="Y628" s="180"/>
      <c r="Z628" s="180"/>
      <c r="AA628" s="180"/>
      <c r="AB628" s="180"/>
      <c r="AC628" s="180"/>
      <c r="AD628" s="180"/>
      <c r="AE628" s="180"/>
      <c r="AF628" s="180"/>
      <c r="AG628" s="180"/>
      <c r="AH628" s="180"/>
      <c r="AI628" s="180">
        <v>0</v>
      </c>
      <c r="AJ628" s="181">
        <f t="shared" si="152"/>
        <v>0</v>
      </c>
      <c r="AK628" s="246">
        <f t="shared" si="148"/>
        <v>34125471</v>
      </c>
      <c r="AL628" s="181">
        <f t="shared" si="154"/>
        <v>100</v>
      </c>
      <c r="AM628" s="243"/>
    </row>
    <row r="629" spans="1:39" ht="24.75" customHeight="1" x14ac:dyDescent="0.25">
      <c r="A629" s="243"/>
      <c r="B629" s="362"/>
      <c r="C629" s="362"/>
      <c r="D629" s="362"/>
      <c r="E629" s="362"/>
      <c r="F629" s="362"/>
      <c r="G629" s="362"/>
      <c r="H629" s="362"/>
      <c r="I629" s="363"/>
      <c r="J629" s="362" t="s">
        <v>320</v>
      </c>
      <c r="K629" s="245"/>
      <c r="L629" s="257"/>
      <c r="M629" s="604" t="s">
        <v>321</v>
      </c>
      <c r="N629" s="592"/>
      <c r="O629" s="179"/>
      <c r="P629" s="180"/>
      <c r="Q629" s="180">
        <v>9800000</v>
      </c>
      <c r="R629" s="181">
        <f t="shared" si="157"/>
        <v>6.5937553866524006</v>
      </c>
      <c r="S629" s="181">
        <v>100</v>
      </c>
      <c r="T629" s="180">
        <f t="shared" si="156"/>
        <v>0</v>
      </c>
      <c r="U629" s="180">
        <f t="shared" si="119"/>
        <v>0</v>
      </c>
      <c r="V629" s="182">
        <f t="shared" si="139"/>
        <v>100</v>
      </c>
      <c r="W629" s="180"/>
      <c r="X629" s="180"/>
      <c r="Y629" s="180"/>
      <c r="Z629" s="180"/>
      <c r="AA629" s="180"/>
      <c r="AB629" s="180"/>
      <c r="AC629" s="180"/>
      <c r="AD629" s="180"/>
      <c r="AE629" s="180"/>
      <c r="AF629" s="180"/>
      <c r="AG629" s="180"/>
      <c r="AH629" s="180"/>
      <c r="AI629" s="180">
        <v>0</v>
      </c>
      <c r="AJ629" s="181">
        <f t="shared" si="152"/>
        <v>0</v>
      </c>
      <c r="AK629" s="246">
        <f t="shared" si="148"/>
        <v>9800000</v>
      </c>
      <c r="AL629" s="181">
        <f t="shared" si="154"/>
        <v>100</v>
      </c>
      <c r="AM629" s="243"/>
    </row>
    <row r="630" spans="1:39" ht="24.75" customHeight="1" x14ac:dyDescent="0.25">
      <c r="A630" s="243"/>
      <c r="B630" s="362"/>
      <c r="C630" s="362"/>
      <c r="D630" s="362"/>
      <c r="E630" s="362"/>
      <c r="F630" s="362"/>
      <c r="G630" s="362"/>
      <c r="H630" s="362"/>
      <c r="I630" s="363"/>
      <c r="J630" s="362" t="s">
        <v>407</v>
      </c>
      <c r="K630" s="245"/>
      <c r="L630" s="257"/>
      <c r="M630" s="604" t="s">
        <v>623</v>
      </c>
      <c r="N630" s="592"/>
      <c r="O630" s="179"/>
      <c r="P630" s="180"/>
      <c r="Q630" s="180">
        <v>2900000</v>
      </c>
      <c r="R630" s="181">
        <f t="shared" si="157"/>
        <v>1.9512133287032611</v>
      </c>
      <c r="S630" s="181">
        <v>100</v>
      </c>
      <c r="T630" s="180">
        <f t="shared" si="156"/>
        <v>0</v>
      </c>
      <c r="U630" s="180">
        <f t="shared" si="119"/>
        <v>0</v>
      </c>
      <c r="V630" s="182">
        <f t="shared" si="139"/>
        <v>100</v>
      </c>
      <c r="W630" s="180"/>
      <c r="X630" s="180"/>
      <c r="Y630" s="180"/>
      <c r="Z630" s="180"/>
      <c r="AA630" s="180"/>
      <c r="AB630" s="180"/>
      <c r="AC630" s="180"/>
      <c r="AD630" s="180"/>
      <c r="AE630" s="180"/>
      <c r="AF630" s="180"/>
      <c r="AG630" s="180"/>
      <c r="AH630" s="180"/>
      <c r="AI630" s="180">
        <v>0</v>
      </c>
      <c r="AJ630" s="181">
        <f t="shared" si="152"/>
        <v>0</v>
      </c>
      <c r="AK630" s="246">
        <f t="shared" si="148"/>
        <v>2900000</v>
      </c>
      <c r="AL630" s="181">
        <f t="shared" si="154"/>
        <v>100</v>
      </c>
      <c r="AM630" s="243"/>
    </row>
    <row r="631" spans="1:39" ht="24.75" customHeight="1" x14ac:dyDescent="0.25">
      <c r="A631" s="243"/>
      <c r="B631" s="362"/>
      <c r="C631" s="362"/>
      <c r="D631" s="362"/>
      <c r="E631" s="362"/>
      <c r="F631" s="362"/>
      <c r="G631" s="362"/>
      <c r="H631" s="362"/>
      <c r="I631" s="363"/>
      <c r="J631" s="362" t="s">
        <v>372</v>
      </c>
      <c r="K631" s="245"/>
      <c r="L631" s="257"/>
      <c r="M631" s="604" t="s">
        <v>373</v>
      </c>
      <c r="N631" s="592"/>
      <c r="O631" s="179"/>
      <c r="P631" s="180"/>
      <c r="Q631" s="180">
        <v>15000000</v>
      </c>
      <c r="R631" s="181">
        <f t="shared" si="157"/>
        <v>10.092482734672039</v>
      </c>
      <c r="S631" s="181">
        <v>100</v>
      </c>
      <c r="T631" s="180">
        <f t="shared" si="156"/>
        <v>0</v>
      </c>
      <c r="U631" s="180">
        <f t="shared" si="119"/>
        <v>0</v>
      </c>
      <c r="V631" s="182">
        <v>100</v>
      </c>
      <c r="W631" s="180"/>
      <c r="X631" s="180"/>
      <c r="Y631" s="180"/>
      <c r="Z631" s="180"/>
      <c r="AA631" s="180"/>
      <c r="AB631" s="180"/>
      <c r="AC631" s="180"/>
      <c r="AD631" s="180"/>
      <c r="AE631" s="180"/>
      <c r="AF631" s="180"/>
      <c r="AG631" s="180"/>
      <c r="AH631" s="180"/>
      <c r="AI631" s="180">
        <v>0</v>
      </c>
      <c r="AJ631" s="181">
        <f t="shared" si="152"/>
        <v>0</v>
      </c>
      <c r="AK631" s="246">
        <f t="shared" ref="AK631:AK682" si="158">Q631-AI631</f>
        <v>15000000</v>
      </c>
      <c r="AL631" s="181">
        <f t="shared" si="154"/>
        <v>100</v>
      </c>
      <c r="AM631" s="243"/>
    </row>
    <row r="632" spans="1:39" s="297" customFormat="1" ht="31.5" customHeight="1" x14ac:dyDescent="0.25">
      <c r="A632" s="227">
        <f>SUM(A622+1)</f>
        <v>76</v>
      </c>
      <c r="B632" s="367"/>
      <c r="C632" s="367"/>
      <c r="D632" s="367"/>
      <c r="E632" s="367"/>
      <c r="F632" s="367"/>
      <c r="G632" s="367"/>
      <c r="H632" s="367"/>
      <c r="I632" s="366"/>
      <c r="J632" s="304" t="s">
        <v>529</v>
      </c>
      <c r="K632" s="230"/>
      <c r="L632" s="294"/>
      <c r="M632" s="610" t="s">
        <v>209</v>
      </c>
      <c r="N632" s="612"/>
      <c r="O632" s="309"/>
      <c r="P632" s="231"/>
      <c r="Q632" s="231">
        <f>SUM(Q633:Q638)</f>
        <v>60110918</v>
      </c>
      <c r="R632" s="233">
        <f>Q632/Q$243*100</f>
        <v>0.50395456459636756</v>
      </c>
      <c r="S632" s="233">
        <v>100</v>
      </c>
      <c r="T632" s="231">
        <f t="shared" si="156"/>
        <v>4.9907738890296098</v>
      </c>
      <c r="U632" s="231">
        <f t="shared" si="119"/>
        <v>2.5151232822448369E-2</v>
      </c>
      <c r="V632" s="296">
        <f t="shared" si="139"/>
        <v>95.009226110970388</v>
      </c>
      <c r="W632" s="231"/>
      <c r="X632" s="231"/>
      <c r="Y632" s="231"/>
      <c r="Z632" s="231"/>
      <c r="AA632" s="231"/>
      <c r="AB632" s="231"/>
      <c r="AC632" s="231"/>
      <c r="AD632" s="231"/>
      <c r="AE632" s="231"/>
      <c r="AF632" s="231"/>
      <c r="AG632" s="231"/>
      <c r="AH632" s="231"/>
      <c r="AI632" s="231">
        <f>SUM(AI633:AI638)</f>
        <v>3000000</v>
      </c>
      <c r="AJ632" s="233">
        <f t="shared" si="152"/>
        <v>4.9907738890296098</v>
      </c>
      <c r="AK632" s="234">
        <f t="shared" si="158"/>
        <v>57110918</v>
      </c>
      <c r="AL632" s="233">
        <f t="shared" si="154"/>
        <v>95.009226110970388</v>
      </c>
      <c r="AM632" s="227"/>
    </row>
    <row r="633" spans="1:39" ht="24.75" customHeight="1" x14ac:dyDescent="0.25">
      <c r="A633" s="243"/>
      <c r="B633" s="362"/>
      <c r="C633" s="362"/>
      <c r="D633" s="362"/>
      <c r="E633" s="362"/>
      <c r="F633" s="362"/>
      <c r="G633" s="362"/>
      <c r="H633" s="362"/>
      <c r="I633" s="363"/>
      <c r="J633" s="362" t="s">
        <v>347</v>
      </c>
      <c r="K633" s="245"/>
      <c r="L633" s="257"/>
      <c r="M633" s="591" t="s">
        <v>348</v>
      </c>
      <c r="N633" s="592"/>
      <c r="O633" s="179"/>
      <c r="P633" s="180"/>
      <c r="Q633" s="180">
        <v>13900000</v>
      </c>
      <c r="R633" s="181">
        <f t="shared" ref="R633:R638" si="159">Q633/Q$632*100</f>
        <v>23.123919019170529</v>
      </c>
      <c r="S633" s="181">
        <v>100</v>
      </c>
      <c r="T633" s="180">
        <f t="shared" si="156"/>
        <v>0</v>
      </c>
      <c r="U633" s="180">
        <f t="shared" si="119"/>
        <v>0</v>
      </c>
      <c r="V633" s="182">
        <f t="shared" si="139"/>
        <v>100</v>
      </c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  <c r="AG633" s="180"/>
      <c r="AH633" s="180"/>
      <c r="AI633" s="180">
        <v>0</v>
      </c>
      <c r="AJ633" s="181">
        <f t="shared" si="152"/>
        <v>0</v>
      </c>
      <c r="AK633" s="246">
        <f t="shared" si="158"/>
        <v>13900000</v>
      </c>
      <c r="AL633" s="181">
        <f t="shared" si="154"/>
        <v>100</v>
      </c>
      <c r="AM633" s="243"/>
    </row>
    <row r="634" spans="1:39" ht="24.75" customHeight="1" x14ac:dyDescent="0.25">
      <c r="A634" s="243"/>
      <c r="B634" s="362"/>
      <c r="C634" s="362"/>
      <c r="D634" s="362"/>
      <c r="E634" s="362"/>
      <c r="F634" s="362"/>
      <c r="G634" s="362"/>
      <c r="H634" s="362"/>
      <c r="I634" s="363"/>
      <c r="J634" s="362" t="s">
        <v>251</v>
      </c>
      <c r="K634" s="245"/>
      <c r="L634" s="257"/>
      <c r="M634" s="591" t="s">
        <v>324</v>
      </c>
      <c r="N634" s="592"/>
      <c r="O634" s="179"/>
      <c r="P634" s="180"/>
      <c r="Q634" s="180">
        <v>5710918</v>
      </c>
      <c r="R634" s="181">
        <f t="shared" si="159"/>
        <v>9.5006334789297355</v>
      </c>
      <c r="S634" s="181">
        <v>100</v>
      </c>
      <c r="T634" s="180">
        <f t="shared" si="156"/>
        <v>8.7551598534596362</v>
      </c>
      <c r="U634" s="180">
        <f t="shared" si="119"/>
        <v>0.83179564817160179</v>
      </c>
      <c r="V634" s="182">
        <f t="shared" si="139"/>
        <v>91.244840146540369</v>
      </c>
      <c r="W634" s="180"/>
      <c r="X634" s="180"/>
      <c r="Y634" s="180"/>
      <c r="Z634" s="180"/>
      <c r="AA634" s="180"/>
      <c r="AB634" s="180"/>
      <c r="AC634" s="180"/>
      <c r="AD634" s="180"/>
      <c r="AE634" s="180"/>
      <c r="AF634" s="180"/>
      <c r="AG634" s="180"/>
      <c r="AH634" s="180"/>
      <c r="AI634" s="180">
        <v>500000</v>
      </c>
      <c r="AJ634" s="181">
        <f t="shared" si="152"/>
        <v>8.7551598534596362</v>
      </c>
      <c r="AK634" s="246">
        <f t="shared" si="158"/>
        <v>5210918</v>
      </c>
      <c r="AL634" s="181">
        <f t="shared" si="154"/>
        <v>91.244840146540369</v>
      </c>
      <c r="AM634" s="243"/>
    </row>
    <row r="635" spans="1:39" ht="33" customHeight="1" x14ac:dyDescent="0.25">
      <c r="A635" s="243"/>
      <c r="B635" s="362"/>
      <c r="C635" s="362"/>
      <c r="D635" s="362"/>
      <c r="E635" s="362"/>
      <c r="F635" s="362"/>
      <c r="G635" s="362"/>
      <c r="H635" s="362"/>
      <c r="I635" s="363"/>
      <c r="J635" s="362" t="s">
        <v>318</v>
      </c>
      <c r="K635" s="245"/>
      <c r="L635" s="257"/>
      <c r="M635" s="591" t="s">
        <v>352</v>
      </c>
      <c r="N635" s="592"/>
      <c r="O635" s="179"/>
      <c r="P635" s="180"/>
      <c r="Q635" s="180">
        <v>12000000</v>
      </c>
      <c r="R635" s="181">
        <f t="shared" si="159"/>
        <v>19.963095556118439</v>
      </c>
      <c r="S635" s="181">
        <v>100</v>
      </c>
      <c r="T635" s="180">
        <f t="shared" si="156"/>
        <v>8.3333333333333321</v>
      </c>
      <c r="U635" s="180">
        <f t="shared" si="119"/>
        <v>1.6635912963432031</v>
      </c>
      <c r="V635" s="182">
        <f t="shared" si="139"/>
        <v>91.666666666666671</v>
      </c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  <c r="AG635" s="180"/>
      <c r="AH635" s="180"/>
      <c r="AI635" s="180">
        <v>1000000</v>
      </c>
      <c r="AJ635" s="181">
        <f t="shared" si="152"/>
        <v>8.3333333333333321</v>
      </c>
      <c r="AK635" s="246">
        <f t="shared" si="158"/>
        <v>11000000</v>
      </c>
      <c r="AL635" s="181">
        <f t="shared" si="154"/>
        <v>91.666666666666657</v>
      </c>
      <c r="AM635" s="243"/>
    </row>
    <row r="636" spans="1:39" ht="24.75" customHeight="1" x14ac:dyDescent="0.25">
      <c r="A636" s="243"/>
      <c r="B636" s="362"/>
      <c r="C636" s="362"/>
      <c r="D636" s="362"/>
      <c r="E636" s="362"/>
      <c r="F636" s="362"/>
      <c r="G636" s="362"/>
      <c r="H636" s="362"/>
      <c r="I636" s="363"/>
      <c r="J636" s="362" t="s">
        <v>315</v>
      </c>
      <c r="K636" s="245"/>
      <c r="L636" s="257"/>
      <c r="M636" s="591" t="s">
        <v>428</v>
      </c>
      <c r="N636" s="592"/>
      <c r="O636" s="179"/>
      <c r="P636" s="180"/>
      <c r="Q636" s="180">
        <v>6000000</v>
      </c>
      <c r="R636" s="181">
        <f t="shared" si="159"/>
        <v>9.9815477780592197</v>
      </c>
      <c r="S636" s="181">
        <v>100</v>
      </c>
      <c r="T636" s="180">
        <f t="shared" si="156"/>
        <v>8.3333333333333321</v>
      </c>
      <c r="U636" s="180">
        <f t="shared" si="119"/>
        <v>0.83179564817160156</v>
      </c>
      <c r="V636" s="182">
        <f t="shared" si="139"/>
        <v>91.666666666666671</v>
      </c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  <c r="AG636" s="180"/>
      <c r="AH636" s="180"/>
      <c r="AI636" s="180">
        <v>500000</v>
      </c>
      <c r="AJ636" s="181">
        <f t="shared" si="152"/>
        <v>8.3333333333333321</v>
      </c>
      <c r="AK636" s="246">
        <f t="shared" si="158"/>
        <v>5500000</v>
      </c>
      <c r="AL636" s="181">
        <f t="shared" si="154"/>
        <v>91.666666666666657</v>
      </c>
      <c r="AM636" s="243"/>
    </row>
    <row r="637" spans="1:39" ht="24.75" customHeight="1" x14ac:dyDescent="0.25">
      <c r="A637" s="243"/>
      <c r="B637" s="362"/>
      <c r="C637" s="362"/>
      <c r="D637" s="362"/>
      <c r="E637" s="362"/>
      <c r="F637" s="362"/>
      <c r="G637" s="362"/>
      <c r="H637" s="362"/>
      <c r="I637" s="363"/>
      <c r="J637" s="362" t="s">
        <v>318</v>
      </c>
      <c r="K637" s="245"/>
      <c r="L637" s="257"/>
      <c r="M637" s="591" t="s">
        <v>319</v>
      </c>
      <c r="N637" s="592"/>
      <c r="O637" s="179"/>
      <c r="P637" s="180"/>
      <c r="Q637" s="180">
        <v>10500000</v>
      </c>
      <c r="R637" s="181">
        <f t="shared" si="159"/>
        <v>17.467708611603637</v>
      </c>
      <c r="S637" s="181">
        <v>100</v>
      </c>
      <c r="T637" s="180">
        <f t="shared" si="156"/>
        <v>0</v>
      </c>
      <c r="U637" s="180">
        <f t="shared" si="119"/>
        <v>0</v>
      </c>
      <c r="V637" s="182">
        <f t="shared" si="139"/>
        <v>100</v>
      </c>
      <c r="W637" s="180"/>
      <c r="X637" s="180"/>
      <c r="Y637" s="180"/>
      <c r="Z637" s="180"/>
      <c r="AA637" s="180"/>
      <c r="AB637" s="180"/>
      <c r="AC637" s="180"/>
      <c r="AD637" s="180"/>
      <c r="AE637" s="180"/>
      <c r="AF637" s="180"/>
      <c r="AG637" s="180"/>
      <c r="AH637" s="180"/>
      <c r="AI637" s="180">
        <v>0</v>
      </c>
      <c r="AJ637" s="181">
        <f t="shared" si="152"/>
        <v>0</v>
      </c>
      <c r="AK637" s="246">
        <f t="shared" si="158"/>
        <v>10500000</v>
      </c>
      <c r="AL637" s="181">
        <f t="shared" si="154"/>
        <v>100</v>
      </c>
      <c r="AM637" s="243"/>
    </row>
    <row r="638" spans="1:39" ht="24.75" customHeight="1" x14ac:dyDescent="0.25">
      <c r="A638" s="243"/>
      <c r="B638" s="362"/>
      <c r="C638" s="362"/>
      <c r="D638" s="362"/>
      <c r="E638" s="362"/>
      <c r="F638" s="362"/>
      <c r="G638" s="362"/>
      <c r="H638" s="362"/>
      <c r="I638" s="363"/>
      <c r="J638" s="362" t="s">
        <v>624</v>
      </c>
      <c r="K638" s="245"/>
      <c r="L638" s="257"/>
      <c r="M638" s="591" t="s">
        <v>281</v>
      </c>
      <c r="N638" s="592"/>
      <c r="O638" s="179"/>
      <c r="P638" s="180"/>
      <c r="Q638" s="180">
        <v>12000000</v>
      </c>
      <c r="R638" s="181">
        <f t="shared" si="159"/>
        <v>19.963095556118439</v>
      </c>
      <c r="S638" s="181">
        <v>100</v>
      </c>
      <c r="T638" s="180">
        <f t="shared" si="156"/>
        <v>8.3333333333333321</v>
      </c>
      <c r="U638" s="180">
        <f t="shared" si="119"/>
        <v>1.6635912963432031</v>
      </c>
      <c r="V638" s="182">
        <f t="shared" si="139"/>
        <v>91.666666666666671</v>
      </c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  <c r="AG638" s="180"/>
      <c r="AH638" s="180"/>
      <c r="AI638" s="180">
        <v>1000000</v>
      </c>
      <c r="AJ638" s="181">
        <f t="shared" si="152"/>
        <v>8.3333333333333321</v>
      </c>
      <c r="AK638" s="246">
        <f t="shared" si="158"/>
        <v>11000000</v>
      </c>
      <c r="AL638" s="181">
        <f t="shared" si="154"/>
        <v>91.666666666666657</v>
      </c>
      <c r="AM638" s="243"/>
    </row>
    <row r="639" spans="1:39" ht="24.75" customHeight="1" x14ac:dyDescent="0.25">
      <c r="A639" s="227">
        <v>77</v>
      </c>
      <c r="B639" s="362"/>
      <c r="C639" s="362"/>
      <c r="D639" s="362"/>
      <c r="E639" s="362"/>
      <c r="F639" s="362"/>
      <c r="G639" s="362"/>
      <c r="H639" s="362"/>
      <c r="I639" s="363"/>
      <c r="J639" s="304" t="s">
        <v>631</v>
      </c>
      <c r="K639" s="230"/>
      <c r="L639" s="294"/>
      <c r="M639" s="610" t="s">
        <v>632</v>
      </c>
      <c r="N639" s="612"/>
      <c r="O639" s="309"/>
      <c r="P639" s="231"/>
      <c r="Q639" s="231">
        <f>SUM(Q640:Q653)</f>
        <v>334885000</v>
      </c>
      <c r="R639" s="233">
        <f>Q639/Q$243*100</f>
        <v>2.8075902012485408</v>
      </c>
      <c r="S639" s="233">
        <v>100</v>
      </c>
      <c r="T639" s="231">
        <f t="shared" si="156"/>
        <v>0</v>
      </c>
      <c r="U639" s="231">
        <f t="shared" si="119"/>
        <v>0</v>
      </c>
      <c r="V639" s="296">
        <f t="shared" si="139"/>
        <v>100</v>
      </c>
      <c r="W639" s="231"/>
      <c r="X639" s="231"/>
      <c r="Y639" s="231"/>
      <c r="Z639" s="231"/>
      <c r="AA639" s="231"/>
      <c r="AB639" s="231"/>
      <c r="AC639" s="231"/>
      <c r="AD639" s="231"/>
      <c r="AE639" s="231"/>
      <c r="AF639" s="231"/>
      <c r="AG639" s="231"/>
      <c r="AH639" s="231"/>
      <c r="AI639" s="231">
        <f>SUM(AI640:AI645)</f>
        <v>0</v>
      </c>
      <c r="AJ639" s="233">
        <f t="shared" si="152"/>
        <v>0</v>
      </c>
      <c r="AK639" s="234">
        <f t="shared" si="158"/>
        <v>334885000</v>
      </c>
      <c r="AL639" s="233">
        <f t="shared" si="154"/>
        <v>100</v>
      </c>
      <c r="AM639" s="243"/>
    </row>
    <row r="640" spans="1:39" ht="24.75" customHeight="1" x14ac:dyDescent="0.25">
      <c r="A640" s="243"/>
      <c r="B640" s="362"/>
      <c r="C640" s="362"/>
      <c r="D640" s="362"/>
      <c r="E640" s="362"/>
      <c r="F640" s="362"/>
      <c r="G640" s="362"/>
      <c r="H640" s="362"/>
      <c r="I640" s="363"/>
      <c r="J640" s="362" t="s">
        <v>257</v>
      </c>
      <c r="K640" s="245"/>
      <c r="L640" s="257"/>
      <c r="M640" s="591" t="s">
        <v>258</v>
      </c>
      <c r="N640" s="592"/>
      <c r="O640" s="179"/>
      <c r="P640" s="180"/>
      <c r="Q640" s="180">
        <v>560000</v>
      </c>
      <c r="R640" s="181">
        <f t="shared" ref="R640:R653" si="160">Q640/Q$639*100</f>
        <v>0.16722158352867403</v>
      </c>
      <c r="S640" s="181">
        <v>100</v>
      </c>
      <c r="T640" s="180">
        <f t="shared" si="156"/>
        <v>0</v>
      </c>
      <c r="U640" s="180">
        <f t="shared" si="119"/>
        <v>0</v>
      </c>
      <c r="V640" s="182">
        <f t="shared" si="139"/>
        <v>100</v>
      </c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  <c r="AG640" s="180"/>
      <c r="AH640" s="180"/>
      <c r="AI640" s="180">
        <v>0</v>
      </c>
      <c r="AJ640" s="181">
        <f t="shared" si="152"/>
        <v>0</v>
      </c>
      <c r="AK640" s="246">
        <f t="shared" si="158"/>
        <v>560000</v>
      </c>
      <c r="AL640" s="181">
        <f t="shared" si="154"/>
        <v>100</v>
      </c>
      <c r="AM640" s="243"/>
    </row>
    <row r="641" spans="1:39" ht="24.75" customHeight="1" x14ac:dyDescent="0.25">
      <c r="A641" s="243"/>
      <c r="B641" s="362"/>
      <c r="C641" s="362"/>
      <c r="D641" s="362"/>
      <c r="E641" s="362"/>
      <c r="F641" s="362"/>
      <c r="G641" s="362"/>
      <c r="H641" s="362"/>
      <c r="I641" s="363"/>
      <c r="J641" s="362" t="s">
        <v>633</v>
      </c>
      <c r="K641" s="245"/>
      <c r="L641" s="257"/>
      <c r="M641" s="591" t="s">
        <v>260</v>
      </c>
      <c r="N641" s="592"/>
      <c r="O641" s="179"/>
      <c r="P641" s="180"/>
      <c r="Q641" s="180">
        <v>600000</v>
      </c>
      <c r="R641" s="181">
        <f t="shared" si="160"/>
        <v>0.17916598235215075</v>
      </c>
      <c r="S641" s="181">
        <v>100</v>
      </c>
      <c r="T641" s="180">
        <f t="shared" si="156"/>
        <v>0</v>
      </c>
      <c r="U641" s="180">
        <f t="shared" si="119"/>
        <v>0</v>
      </c>
      <c r="V641" s="182">
        <f t="shared" si="139"/>
        <v>100</v>
      </c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  <c r="AG641" s="180"/>
      <c r="AH641" s="180"/>
      <c r="AI641" s="180">
        <v>0</v>
      </c>
      <c r="AJ641" s="181">
        <f t="shared" si="152"/>
        <v>0</v>
      </c>
      <c r="AK641" s="246">
        <f t="shared" si="158"/>
        <v>600000</v>
      </c>
      <c r="AL641" s="181">
        <f t="shared" si="154"/>
        <v>100</v>
      </c>
      <c r="AM641" s="243"/>
    </row>
    <row r="642" spans="1:39" ht="24.75" customHeight="1" x14ac:dyDescent="0.25">
      <c r="A642" s="243"/>
      <c r="B642" s="362"/>
      <c r="C642" s="362"/>
      <c r="D642" s="362"/>
      <c r="E642" s="362"/>
      <c r="F642" s="362"/>
      <c r="G642" s="362"/>
      <c r="H642" s="362"/>
      <c r="I642" s="363"/>
      <c r="J642" s="362" t="s">
        <v>375</v>
      </c>
      <c r="K642" s="245"/>
      <c r="L642" s="257"/>
      <c r="M642" s="591" t="s">
        <v>376</v>
      </c>
      <c r="N642" s="612"/>
      <c r="O642" s="179"/>
      <c r="P642" s="180"/>
      <c r="Q642" s="180">
        <v>60000000</v>
      </c>
      <c r="R642" s="181">
        <f t="shared" si="160"/>
        <v>17.916598235215073</v>
      </c>
      <c r="S642" s="181">
        <v>100</v>
      </c>
      <c r="T642" s="180">
        <f t="shared" si="156"/>
        <v>0</v>
      </c>
      <c r="U642" s="180">
        <f t="shared" si="119"/>
        <v>0</v>
      </c>
      <c r="V642" s="182">
        <f t="shared" si="139"/>
        <v>100</v>
      </c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  <c r="AG642" s="180"/>
      <c r="AH642" s="180"/>
      <c r="AI642" s="180">
        <v>0</v>
      </c>
      <c r="AJ642" s="181">
        <f t="shared" si="152"/>
        <v>0</v>
      </c>
      <c r="AK642" s="246">
        <f t="shared" si="158"/>
        <v>60000000</v>
      </c>
      <c r="AL642" s="181">
        <f t="shared" si="154"/>
        <v>100</v>
      </c>
      <c r="AM642" s="243"/>
    </row>
    <row r="643" spans="1:39" ht="24.75" customHeight="1" x14ac:dyDescent="0.25">
      <c r="A643" s="243"/>
      <c r="B643" s="362"/>
      <c r="C643" s="362"/>
      <c r="D643" s="362"/>
      <c r="E643" s="362"/>
      <c r="F643" s="362"/>
      <c r="G643" s="362"/>
      <c r="H643" s="362"/>
      <c r="I643" s="363"/>
      <c r="J643" s="362" t="s">
        <v>267</v>
      </c>
      <c r="K643" s="245"/>
      <c r="L643" s="257"/>
      <c r="M643" s="591" t="s">
        <v>268</v>
      </c>
      <c r="N643" s="592"/>
      <c r="O643" s="179"/>
      <c r="P643" s="180"/>
      <c r="Q643" s="180">
        <v>12500000</v>
      </c>
      <c r="R643" s="181">
        <f t="shared" si="160"/>
        <v>3.7326246323364738</v>
      </c>
      <c r="S643" s="181">
        <v>100</v>
      </c>
      <c r="T643" s="180">
        <f t="shared" si="156"/>
        <v>0</v>
      </c>
      <c r="U643" s="180">
        <f t="shared" si="119"/>
        <v>0</v>
      </c>
      <c r="V643" s="182">
        <f t="shared" si="139"/>
        <v>100</v>
      </c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  <c r="AG643" s="180"/>
      <c r="AH643" s="180"/>
      <c r="AI643" s="180">
        <v>0</v>
      </c>
      <c r="AJ643" s="181">
        <f t="shared" si="152"/>
        <v>0</v>
      </c>
      <c r="AK643" s="246">
        <f t="shared" si="158"/>
        <v>12500000</v>
      </c>
      <c r="AL643" s="181">
        <f t="shared" si="154"/>
        <v>100</v>
      </c>
      <c r="AM643" s="243"/>
    </row>
    <row r="644" spans="1:39" ht="24.75" customHeight="1" x14ac:dyDescent="0.25">
      <c r="A644" s="243"/>
      <c r="B644" s="362"/>
      <c r="C644" s="362"/>
      <c r="D644" s="362"/>
      <c r="E644" s="362"/>
      <c r="F644" s="362"/>
      <c r="G644" s="362"/>
      <c r="H644" s="362"/>
      <c r="I644" s="363"/>
      <c r="J644" s="362" t="s">
        <v>332</v>
      </c>
      <c r="K644" s="245"/>
      <c r="L644" s="257"/>
      <c r="M644" s="591" t="s">
        <v>351</v>
      </c>
      <c r="N644" s="592"/>
      <c r="O644" s="179"/>
      <c r="P644" s="180"/>
      <c r="Q644" s="180">
        <v>1000000</v>
      </c>
      <c r="R644" s="181">
        <f t="shared" si="160"/>
        <v>0.29860997058691791</v>
      </c>
      <c r="S644" s="181">
        <v>100</v>
      </c>
      <c r="T644" s="180">
        <f t="shared" si="156"/>
        <v>0</v>
      </c>
      <c r="U644" s="180">
        <f t="shared" si="119"/>
        <v>0</v>
      </c>
      <c r="V644" s="182">
        <f t="shared" si="139"/>
        <v>100</v>
      </c>
      <c r="W644" s="180"/>
      <c r="X644" s="180"/>
      <c r="Y644" s="180"/>
      <c r="Z644" s="180"/>
      <c r="AA644" s="180"/>
      <c r="AB644" s="180"/>
      <c r="AC644" s="180"/>
      <c r="AD644" s="180"/>
      <c r="AE644" s="180"/>
      <c r="AF644" s="180"/>
      <c r="AG644" s="180"/>
      <c r="AH644" s="180"/>
      <c r="AI644" s="180">
        <v>0</v>
      </c>
      <c r="AJ644" s="181">
        <f t="shared" si="152"/>
        <v>0</v>
      </c>
      <c r="AK644" s="246">
        <f t="shared" si="158"/>
        <v>1000000</v>
      </c>
      <c r="AL644" s="181">
        <f t="shared" si="154"/>
        <v>100</v>
      </c>
      <c r="AM644" s="243"/>
    </row>
    <row r="645" spans="1:39" ht="24.75" customHeight="1" x14ac:dyDescent="0.25">
      <c r="A645" s="243"/>
      <c r="B645" s="362"/>
      <c r="C645" s="362"/>
      <c r="D645" s="362"/>
      <c r="E645" s="362"/>
      <c r="F645" s="362"/>
      <c r="G645" s="362"/>
      <c r="H645" s="362"/>
      <c r="I645" s="363"/>
      <c r="J645" s="362" t="s">
        <v>315</v>
      </c>
      <c r="K645" s="245"/>
      <c r="L645" s="257"/>
      <c r="M645" s="591" t="s">
        <v>271</v>
      </c>
      <c r="N645" s="592"/>
      <c r="O645" s="179"/>
      <c r="P645" s="180"/>
      <c r="Q645" s="180">
        <v>975000</v>
      </c>
      <c r="R645" s="181">
        <f t="shared" si="160"/>
        <v>0.29114472132224495</v>
      </c>
      <c r="S645" s="181">
        <v>100</v>
      </c>
      <c r="T645" s="180">
        <f t="shared" si="156"/>
        <v>0</v>
      </c>
      <c r="U645" s="180">
        <f t="shared" si="119"/>
        <v>0</v>
      </c>
      <c r="V645" s="182">
        <f t="shared" si="139"/>
        <v>100</v>
      </c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  <c r="AG645" s="180"/>
      <c r="AH645" s="180"/>
      <c r="AI645" s="180">
        <v>0</v>
      </c>
      <c r="AJ645" s="181">
        <f t="shared" si="152"/>
        <v>0</v>
      </c>
      <c r="AK645" s="246">
        <f t="shared" si="158"/>
        <v>975000</v>
      </c>
      <c r="AL645" s="181">
        <f t="shared" si="154"/>
        <v>100</v>
      </c>
      <c r="AM645" s="243"/>
    </row>
    <row r="646" spans="1:39" ht="24.75" customHeight="1" x14ac:dyDescent="0.25">
      <c r="A646" s="243"/>
      <c r="B646" s="362"/>
      <c r="C646" s="362"/>
      <c r="D646" s="362"/>
      <c r="E646" s="362"/>
      <c r="F646" s="362"/>
      <c r="G646" s="362"/>
      <c r="H646" s="362"/>
      <c r="I646" s="363"/>
      <c r="J646" s="362" t="s">
        <v>501</v>
      </c>
      <c r="K646" s="245"/>
      <c r="L646" s="257"/>
      <c r="M646" s="591" t="s">
        <v>317</v>
      </c>
      <c r="N646" s="592"/>
      <c r="O646" s="179"/>
      <c r="P646" s="180"/>
      <c r="Q646" s="180">
        <v>400000</v>
      </c>
      <c r="R646" s="181">
        <f t="shared" si="160"/>
        <v>0.11944398823476715</v>
      </c>
      <c r="S646" s="181">
        <v>100</v>
      </c>
      <c r="T646" s="180">
        <f t="shared" si="156"/>
        <v>0</v>
      </c>
      <c r="U646" s="180">
        <f t="shared" si="119"/>
        <v>0</v>
      </c>
      <c r="V646" s="182">
        <f t="shared" si="139"/>
        <v>100</v>
      </c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  <c r="AG646" s="180"/>
      <c r="AH646" s="180"/>
      <c r="AI646" s="180">
        <v>0</v>
      </c>
      <c r="AJ646" s="181">
        <f t="shared" si="152"/>
        <v>0</v>
      </c>
      <c r="AK646" s="246">
        <f t="shared" si="158"/>
        <v>400000</v>
      </c>
      <c r="AL646" s="181">
        <f t="shared" si="154"/>
        <v>100</v>
      </c>
      <c r="AM646" s="243"/>
    </row>
    <row r="647" spans="1:39" ht="24.75" customHeight="1" x14ac:dyDescent="0.25">
      <c r="A647" s="243"/>
      <c r="B647" s="362"/>
      <c r="C647" s="362"/>
      <c r="D647" s="362"/>
      <c r="E647" s="362"/>
      <c r="F647" s="362"/>
      <c r="G647" s="362"/>
      <c r="H647" s="362"/>
      <c r="I647" s="363"/>
      <c r="J647" s="362" t="s">
        <v>318</v>
      </c>
      <c r="K647" s="245"/>
      <c r="L647" s="257"/>
      <c r="M647" s="591" t="s">
        <v>319</v>
      </c>
      <c r="N647" s="592"/>
      <c r="O647" s="179"/>
      <c r="P647" s="180"/>
      <c r="Q647" s="180">
        <v>21000000</v>
      </c>
      <c r="R647" s="181">
        <f t="shared" si="160"/>
        <v>6.2708093823252762</v>
      </c>
      <c r="S647" s="181">
        <v>100</v>
      </c>
      <c r="T647" s="180">
        <f t="shared" si="156"/>
        <v>0</v>
      </c>
      <c r="U647" s="180">
        <f t="shared" si="119"/>
        <v>0</v>
      </c>
      <c r="V647" s="182">
        <f t="shared" si="139"/>
        <v>100</v>
      </c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  <c r="AG647" s="180"/>
      <c r="AH647" s="180"/>
      <c r="AI647" s="180">
        <v>0</v>
      </c>
      <c r="AJ647" s="181">
        <f t="shared" si="152"/>
        <v>0</v>
      </c>
      <c r="AK647" s="246">
        <f t="shared" si="158"/>
        <v>21000000</v>
      </c>
      <c r="AL647" s="181">
        <f t="shared" si="154"/>
        <v>100</v>
      </c>
      <c r="AM647" s="243"/>
    </row>
    <row r="648" spans="1:39" ht="24.75" customHeight="1" x14ac:dyDescent="0.25">
      <c r="A648" s="243"/>
      <c r="B648" s="362"/>
      <c r="C648" s="362"/>
      <c r="D648" s="362"/>
      <c r="E648" s="362"/>
      <c r="F648" s="362"/>
      <c r="G648" s="362"/>
      <c r="H648" s="362"/>
      <c r="I648" s="363"/>
      <c r="J648" s="362" t="s">
        <v>280</v>
      </c>
      <c r="K648" s="245"/>
      <c r="L648" s="257"/>
      <c r="M648" s="591" t="s">
        <v>281</v>
      </c>
      <c r="N648" s="612"/>
      <c r="O648" s="179"/>
      <c r="P648" s="180"/>
      <c r="Q648" s="180">
        <v>1250000</v>
      </c>
      <c r="R648" s="181">
        <f t="shared" si="160"/>
        <v>0.37326246323364737</v>
      </c>
      <c r="S648" s="181">
        <v>100</v>
      </c>
      <c r="T648" s="180">
        <f t="shared" si="156"/>
        <v>0</v>
      </c>
      <c r="U648" s="180">
        <f t="shared" si="119"/>
        <v>0</v>
      </c>
      <c r="V648" s="182">
        <f t="shared" si="139"/>
        <v>100</v>
      </c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  <c r="AG648" s="180"/>
      <c r="AH648" s="180"/>
      <c r="AI648" s="180">
        <v>0</v>
      </c>
      <c r="AJ648" s="181">
        <f t="shared" si="152"/>
        <v>0</v>
      </c>
      <c r="AK648" s="246">
        <f t="shared" si="158"/>
        <v>1250000</v>
      </c>
      <c r="AL648" s="181">
        <f t="shared" si="154"/>
        <v>100</v>
      </c>
      <c r="AM648" s="243"/>
    </row>
    <row r="649" spans="1:39" ht="24.75" customHeight="1" x14ac:dyDescent="0.25">
      <c r="A649" s="243"/>
      <c r="B649" s="362"/>
      <c r="C649" s="362"/>
      <c r="D649" s="362"/>
      <c r="E649" s="362"/>
      <c r="F649" s="362"/>
      <c r="G649" s="362"/>
      <c r="H649" s="362"/>
      <c r="I649" s="363"/>
      <c r="J649" s="362" t="s">
        <v>284</v>
      </c>
      <c r="K649" s="245"/>
      <c r="L649" s="257"/>
      <c r="M649" s="591" t="s">
        <v>285</v>
      </c>
      <c r="N649" s="592"/>
      <c r="O649" s="179"/>
      <c r="P649" s="180"/>
      <c r="Q649" s="180">
        <v>2000000</v>
      </c>
      <c r="R649" s="181">
        <f t="shared" si="160"/>
        <v>0.59721994117383581</v>
      </c>
      <c r="S649" s="181">
        <v>100</v>
      </c>
      <c r="T649" s="180">
        <f t="shared" si="156"/>
        <v>0</v>
      </c>
      <c r="U649" s="180">
        <f t="shared" si="119"/>
        <v>0</v>
      </c>
      <c r="V649" s="182">
        <f t="shared" si="139"/>
        <v>100</v>
      </c>
      <c r="W649" s="180"/>
      <c r="X649" s="180"/>
      <c r="Y649" s="180"/>
      <c r="Z649" s="180"/>
      <c r="AA649" s="180"/>
      <c r="AB649" s="180"/>
      <c r="AC649" s="180"/>
      <c r="AD649" s="180"/>
      <c r="AE649" s="180"/>
      <c r="AF649" s="180"/>
      <c r="AG649" s="180"/>
      <c r="AH649" s="180"/>
      <c r="AI649" s="180">
        <v>0</v>
      </c>
      <c r="AJ649" s="181">
        <f t="shared" si="152"/>
        <v>0</v>
      </c>
      <c r="AK649" s="246">
        <f t="shared" si="158"/>
        <v>2000000</v>
      </c>
      <c r="AL649" s="181">
        <f t="shared" si="154"/>
        <v>100</v>
      </c>
      <c r="AM649" s="243"/>
    </row>
    <row r="650" spans="1:39" ht="24.75" customHeight="1" x14ac:dyDescent="0.25">
      <c r="A650" s="243"/>
      <c r="B650" s="362"/>
      <c r="C650" s="362"/>
      <c r="D650" s="362"/>
      <c r="E650" s="362"/>
      <c r="F650" s="362"/>
      <c r="G650" s="362"/>
      <c r="H650" s="362"/>
      <c r="I650" s="363"/>
      <c r="J650" s="362" t="s">
        <v>282</v>
      </c>
      <c r="K650" s="245"/>
      <c r="L650" s="257"/>
      <c r="M650" s="591" t="s">
        <v>283</v>
      </c>
      <c r="N650" s="592"/>
      <c r="O650" s="179"/>
      <c r="P650" s="180"/>
      <c r="Q650" s="180">
        <v>210000000</v>
      </c>
      <c r="R650" s="181">
        <f t="shared" si="160"/>
        <v>62.708093823252753</v>
      </c>
      <c r="S650" s="181">
        <v>100</v>
      </c>
      <c r="T650" s="180">
        <f t="shared" si="156"/>
        <v>0</v>
      </c>
      <c r="U650" s="180">
        <f t="shared" si="119"/>
        <v>0</v>
      </c>
      <c r="V650" s="182">
        <f t="shared" si="139"/>
        <v>100</v>
      </c>
      <c r="W650" s="180"/>
      <c r="X650" s="180"/>
      <c r="Y650" s="180"/>
      <c r="Z650" s="180"/>
      <c r="AA650" s="180"/>
      <c r="AB650" s="180"/>
      <c r="AC650" s="180"/>
      <c r="AD650" s="180"/>
      <c r="AE650" s="180"/>
      <c r="AF650" s="180"/>
      <c r="AG650" s="180"/>
      <c r="AH650" s="180"/>
      <c r="AI650" s="180">
        <v>0</v>
      </c>
      <c r="AJ650" s="181">
        <f t="shared" si="152"/>
        <v>0</v>
      </c>
      <c r="AK650" s="246">
        <f t="shared" si="158"/>
        <v>210000000</v>
      </c>
      <c r="AL650" s="181">
        <f t="shared" si="154"/>
        <v>100</v>
      </c>
      <c r="AM650" s="243"/>
    </row>
    <row r="651" spans="1:39" ht="24.75" customHeight="1" x14ac:dyDescent="0.25">
      <c r="A651" s="243"/>
      <c r="B651" s="362"/>
      <c r="C651" s="362"/>
      <c r="D651" s="362"/>
      <c r="E651" s="362"/>
      <c r="F651" s="362"/>
      <c r="G651" s="362"/>
      <c r="H651" s="362"/>
      <c r="I651" s="363"/>
      <c r="J651" s="362" t="s">
        <v>320</v>
      </c>
      <c r="K651" s="245"/>
      <c r="L651" s="257"/>
      <c r="M651" s="591" t="s">
        <v>321</v>
      </c>
      <c r="N651" s="592"/>
      <c r="O651" s="179"/>
      <c r="P651" s="180"/>
      <c r="Q651" s="180">
        <v>5600000</v>
      </c>
      <c r="R651" s="181">
        <f t="shared" si="160"/>
        <v>1.6722158352867402</v>
      </c>
      <c r="S651" s="181">
        <v>100</v>
      </c>
      <c r="T651" s="180">
        <f t="shared" si="156"/>
        <v>0</v>
      </c>
      <c r="U651" s="180">
        <f t="shared" si="119"/>
        <v>0</v>
      </c>
      <c r="V651" s="182">
        <f t="shared" si="139"/>
        <v>100</v>
      </c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>
        <v>0</v>
      </c>
      <c r="AJ651" s="181">
        <f t="shared" si="152"/>
        <v>0</v>
      </c>
      <c r="AK651" s="246">
        <f t="shared" si="158"/>
        <v>5600000</v>
      </c>
      <c r="AL651" s="181">
        <f t="shared" si="154"/>
        <v>100</v>
      </c>
      <c r="AM651" s="243"/>
    </row>
    <row r="652" spans="1:39" ht="24.75" customHeight="1" x14ac:dyDescent="0.25">
      <c r="A652" s="243"/>
      <c r="B652" s="362"/>
      <c r="C652" s="362"/>
      <c r="D652" s="362"/>
      <c r="E652" s="362"/>
      <c r="F652" s="362"/>
      <c r="G652" s="362"/>
      <c r="H652" s="362"/>
      <c r="I652" s="363"/>
      <c r="J652" s="362" t="s">
        <v>407</v>
      </c>
      <c r="K652" s="245"/>
      <c r="L652" s="257"/>
      <c r="M652" s="591" t="s">
        <v>634</v>
      </c>
      <c r="N652" s="592"/>
      <c r="O652" s="179"/>
      <c r="P652" s="180"/>
      <c r="Q652" s="180">
        <v>4000000</v>
      </c>
      <c r="R652" s="181">
        <f t="shared" si="160"/>
        <v>1.1944398823476716</v>
      </c>
      <c r="S652" s="181">
        <v>100</v>
      </c>
      <c r="T652" s="180">
        <f t="shared" si="156"/>
        <v>0</v>
      </c>
      <c r="U652" s="180">
        <f t="shared" si="119"/>
        <v>0</v>
      </c>
      <c r="V652" s="182">
        <f t="shared" si="139"/>
        <v>100</v>
      </c>
      <c r="W652" s="180"/>
      <c r="X652" s="180"/>
      <c r="Y652" s="180"/>
      <c r="Z652" s="180"/>
      <c r="AA652" s="180"/>
      <c r="AB652" s="180"/>
      <c r="AC652" s="180"/>
      <c r="AD652" s="180"/>
      <c r="AE652" s="180"/>
      <c r="AF652" s="180"/>
      <c r="AG652" s="180"/>
      <c r="AH652" s="180"/>
      <c r="AI652" s="180">
        <v>0</v>
      </c>
      <c r="AJ652" s="181">
        <f t="shared" si="152"/>
        <v>0</v>
      </c>
      <c r="AK652" s="246">
        <f t="shared" si="158"/>
        <v>4000000</v>
      </c>
      <c r="AL652" s="181">
        <f t="shared" si="154"/>
        <v>100</v>
      </c>
      <c r="AM652" s="243"/>
    </row>
    <row r="653" spans="1:39" ht="24.75" customHeight="1" x14ac:dyDescent="0.25">
      <c r="A653" s="243"/>
      <c r="B653" s="362"/>
      <c r="C653" s="362"/>
      <c r="D653" s="362"/>
      <c r="E653" s="362"/>
      <c r="F653" s="362"/>
      <c r="G653" s="362"/>
      <c r="H653" s="362"/>
      <c r="I653" s="363"/>
      <c r="J653" s="362" t="s">
        <v>372</v>
      </c>
      <c r="K653" s="245"/>
      <c r="L653" s="257"/>
      <c r="M653" s="591" t="s">
        <v>373</v>
      </c>
      <c r="N653" s="592"/>
      <c r="O653" s="179"/>
      <c r="P653" s="180"/>
      <c r="Q653" s="180">
        <v>15000000</v>
      </c>
      <c r="R653" s="181">
        <f t="shared" si="160"/>
        <v>4.4791495588037682</v>
      </c>
      <c r="S653" s="181">
        <v>100</v>
      </c>
      <c r="T653" s="180">
        <f t="shared" si="156"/>
        <v>0</v>
      </c>
      <c r="U653" s="180">
        <f t="shared" si="119"/>
        <v>0</v>
      </c>
      <c r="V653" s="182">
        <f t="shared" si="139"/>
        <v>100</v>
      </c>
      <c r="W653" s="180"/>
      <c r="X653" s="180"/>
      <c r="Y653" s="180"/>
      <c r="Z653" s="180"/>
      <c r="AA653" s="180"/>
      <c r="AB653" s="180"/>
      <c r="AC653" s="180"/>
      <c r="AD653" s="180"/>
      <c r="AE653" s="180"/>
      <c r="AF653" s="180"/>
      <c r="AG653" s="180"/>
      <c r="AH653" s="180"/>
      <c r="AI653" s="180">
        <v>0</v>
      </c>
      <c r="AJ653" s="181">
        <f t="shared" si="152"/>
        <v>0</v>
      </c>
      <c r="AK653" s="246">
        <f t="shared" si="158"/>
        <v>15000000</v>
      </c>
      <c r="AL653" s="181">
        <f t="shared" si="154"/>
        <v>100</v>
      </c>
      <c r="AM653" s="243"/>
    </row>
    <row r="654" spans="1:39" s="297" customFormat="1" ht="28.5" customHeight="1" x14ac:dyDescent="0.25">
      <c r="A654" s="227">
        <v>78</v>
      </c>
      <c r="B654" s="367"/>
      <c r="C654" s="367"/>
      <c r="D654" s="367"/>
      <c r="E654" s="367"/>
      <c r="F654" s="367"/>
      <c r="G654" s="367"/>
      <c r="H654" s="367"/>
      <c r="I654" s="366"/>
      <c r="J654" s="304" t="s">
        <v>530</v>
      </c>
      <c r="K654" s="230"/>
      <c r="L654" s="294"/>
      <c r="M654" s="610" t="s">
        <v>210</v>
      </c>
      <c r="N654" s="610"/>
      <c r="O654" s="309"/>
      <c r="P654" s="231"/>
      <c r="Q654" s="231">
        <f>SUM(Q655:Q667)</f>
        <v>221952061</v>
      </c>
      <c r="R654" s="233">
        <f>Q654/Q$33*100</f>
        <v>0.69826432176742415</v>
      </c>
      <c r="S654" s="233">
        <v>100</v>
      </c>
      <c r="T654" s="231">
        <f t="shared" si="156"/>
        <v>0</v>
      </c>
      <c r="U654" s="231">
        <f t="shared" si="119"/>
        <v>0</v>
      </c>
      <c r="V654" s="296">
        <f t="shared" si="139"/>
        <v>100</v>
      </c>
      <c r="W654" s="231"/>
      <c r="X654" s="231"/>
      <c r="Y654" s="231"/>
      <c r="Z654" s="231"/>
      <c r="AA654" s="231"/>
      <c r="AB654" s="231"/>
      <c r="AC654" s="231"/>
      <c r="AD654" s="231"/>
      <c r="AE654" s="231"/>
      <c r="AF654" s="231"/>
      <c r="AG654" s="231"/>
      <c r="AH654" s="231"/>
      <c r="AI654" s="231">
        <f>SUM(AI655:AI667)</f>
        <v>0</v>
      </c>
      <c r="AJ654" s="233">
        <f t="shared" si="152"/>
        <v>0</v>
      </c>
      <c r="AK654" s="234">
        <f t="shared" si="158"/>
        <v>221952061</v>
      </c>
      <c r="AL654" s="233">
        <f t="shared" si="154"/>
        <v>100</v>
      </c>
      <c r="AM654" s="227"/>
    </row>
    <row r="655" spans="1:39" ht="28.5" customHeight="1" x14ac:dyDescent="0.25">
      <c r="A655" s="243"/>
      <c r="B655" s="362"/>
      <c r="C655" s="362"/>
      <c r="D655" s="362"/>
      <c r="E655" s="362"/>
      <c r="F655" s="362"/>
      <c r="G655" s="362"/>
      <c r="H655" s="362"/>
      <c r="I655" s="363"/>
      <c r="J655" s="362" t="s">
        <v>259</v>
      </c>
      <c r="K655" s="245"/>
      <c r="L655" s="257"/>
      <c r="M655" s="591" t="s">
        <v>260</v>
      </c>
      <c r="N655" s="592"/>
      <c r="O655" s="179"/>
      <c r="P655" s="180"/>
      <c r="Q655" s="180">
        <v>650000</v>
      </c>
      <c r="R655" s="181">
        <f t="shared" ref="R655:R667" si="161">Q655/Q$654*100</f>
        <v>0.29285603254659576</v>
      </c>
      <c r="S655" s="181">
        <v>100</v>
      </c>
      <c r="T655" s="180">
        <f t="shared" si="156"/>
        <v>0</v>
      </c>
      <c r="U655" s="180">
        <f t="shared" si="119"/>
        <v>0</v>
      </c>
      <c r="V655" s="182">
        <f t="shared" si="139"/>
        <v>100</v>
      </c>
      <c r="W655" s="180"/>
      <c r="X655" s="180"/>
      <c r="Y655" s="180"/>
      <c r="Z655" s="180"/>
      <c r="AA655" s="180"/>
      <c r="AB655" s="180"/>
      <c r="AC655" s="180"/>
      <c r="AD655" s="180"/>
      <c r="AE655" s="180"/>
      <c r="AF655" s="180"/>
      <c r="AG655" s="180"/>
      <c r="AH655" s="180"/>
      <c r="AI655" s="180">
        <v>0</v>
      </c>
      <c r="AJ655" s="181">
        <f t="shared" si="152"/>
        <v>0</v>
      </c>
      <c r="AK655" s="246">
        <f t="shared" si="158"/>
        <v>650000</v>
      </c>
      <c r="AL655" s="181">
        <f t="shared" si="154"/>
        <v>100</v>
      </c>
      <c r="AM655" s="243"/>
    </row>
    <row r="656" spans="1:39" ht="28.5" customHeight="1" x14ac:dyDescent="0.25">
      <c r="A656" s="243"/>
      <c r="B656" s="362"/>
      <c r="C656" s="362"/>
      <c r="D656" s="362"/>
      <c r="E656" s="362"/>
      <c r="F656" s="362"/>
      <c r="G656" s="362"/>
      <c r="H656" s="362"/>
      <c r="I656" s="363"/>
      <c r="J656" s="362" t="s">
        <v>375</v>
      </c>
      <c r="K656" s="245"/>
      <c r="L656" s="257"/>
      <c r="M656" s="611" t="s">
        <v>376</v>
      </c>
      <c r="N656" s="598"/>
      <c r="O656" s="179"/>
      <c r="P656" s="180"/>
      <c r="Q656" s="180">
        <v>124500000</v>
      </c>
      <c r="R656" s="181">
        <f t="shared" si="161"/>
        <v>56.093193926232566</v>
      </c>
      <c r="S656" s="181">
        <v>100</v>
      </c>
      <c r="T656" s="180">
        <f t="shared" si="156"/>
        <v>0</v>
      </c>
      <c r="U656" s="180">
        <f t="shared" si="119"/>
        <v>0</v>
      </c>
      <c r="V656" s="182">
        <f t="shared" si="139"/>
        <v>100</v>
      </c>
      <c r="W656" s="180"/>
      <c r="X656" s="180"/>
      <c r="Y656" s="180"/>
      <c r="Z656" s="180"/>
      <c r="AA656" s="180"/>
      <c r="AB656" s="180"/>
      <c r="AC656" s="180"/>
      <c r="AD656" s="180"/>
      <c r="AE656" s="180"/>
      <c r="AF656" s="180"/>
      <c r="AG656" s="180"/>
      <c r="AH656" s="180"/>
      <c r="AI656" s="180">
        <v>0</v>
      </c>
      <c r="AJ656" s="181">
        <f t="shared" si="152"/>
        <v>0</v>
      </c>
      <c r="AK656" s="246">
        <f t="shared" si="158"/>
        <v>124500000</v>
      </c>
      <c r="AL656" s="181">
        <f t="shared" si="154"/>
        <v>100</v>
      </c>
      <c r="AM656" s="243"/>
    </row>
    <row r="657" spans="1:39" ht="28.5" customHeight="1" x14ac:dyDescent="0.25">
      <c r="A657" s="243"/>
      <c r="B657" s="362"/>
      <c r="C657" s="362"/>
      <c r="D657" s="362"/>
      <c r="E657" s="362"/>
      <c r="F657" s="362"/>
      <c r="G657" s="362"/>
      <c r="H657" s="362"/>
      <c r="I657" s="363"/>
      <c r="J657" s="362" t="s">
        <v>267</v>
      </c>
      <c r="K657" s="245"/>
      <c r="L657" s="257"/>
      <c r="M657" s="591" t="s">
        <v>268</v>
      </c>
      <c r="N657" s="592"/>
      <c r="O657" s="179"/>
      <c r="P657" s="180"/>
      <c r="Q657" s="180">
        <v>12500000</v>
      </c>
      <c r="R657" s="181">
        <f t="shared" si="161"/>
        <v>5.6318467797422258</v>
      </c>
      <c r="S657" s="181">
        <v>100</v>
      </c>
      <c r="T657" s="180">
        <f t="shared" si="156"/>
        <v>0</v>
      </c>
      <c r="U657" s="180">
        <f t="shared" si="119"/>
        <v>0</v>
      </c>
      <c r="V657" s="182">
        <f t="shared" si="139"/>
        <v>100</v>
      </c>
      <c r="W657" s="180"/>
      <c r="X657" s="180"/>
      <c r="Y657" s="180"/>
      <c r="Z657" s="180"/>
      <c r="AA657" s="180"/>
      <c r="AB657" s="180"/>
      <c r="AC657" s="180"/>
      <c r="AD657" s="180"/>
      <c r="AE657" s="180"/>
      <c r="AF657" s="180"/>
      <c r="AG657" s="180"/>
      <c r="AH657" s="180"/>
      <c r="AI657" s="180">
        <v>0</v>
      </c>
      <c r="AJ657" s="181">
        <f t="shared" si="152"/>
        <v>0</v>
      </c>
      <c r="AK657" s="246">
        <f t="shared" si="158"/>
        <v>12500000</v>
      </c>
      <c r="AL657" s="181">
        <f t="shared" si="154"/>
        <v>100</v>
      </c>
      <c r="AM657" s="243"/>
    </row>
    <row r="658" spans="1:39" ht="28.5" customHeight="1" x14ac:dyDescent="0.25">
      <c r="A658" s="243"/>
      <c r="B658" s="362"/>
      <c r="C658" s="362"/>
      <c r="D658" s="362"/>
      <c r="E658" s="362"/>
      <c r="F658" s="362"/>
      <c r="G658" s="362"/>
      <c r="H658" s="362"/>
      <c r="I658" s="363"/>
      <c r="J658" s="362" t="s">
        <v>332</v>
      </c>
      <c r="K658" s="245"/>
      <c r="L658" s="257"/>
      <c r="M658" s="591" t="s">
        <v>351</v>
      </c>
      <c r="N658" s="592"/>
      <c r="O658" s="179"/>
      <c r="P658" s="180"/>
      <c r="Q658" s="180">
        <v>500000</v>
      </c>
      <c r="R658" s="181">
        <f t="shared" si="161"/>
        <v>0.22527387118968903</v>
      </c>
      <c r="S658" s="181">
        <v>100</v>
      </c>
      <c r="T658" s="180">
        <f t="shared" si="156"/>
        <v>0</v>
      </c>
      <c r="U658" s="180">
        <f t="shared" si="119"/>
        <v>0</v>
      </c>
      <c r="V658" s="182">
        <f t="shared" si="139"/>
        <v>100</v>
      </c>
      <c r="W658" s="180"/>
      <c r="X658" s="180"/>
      <c r="Y658" s="180"/>
      <c r="Z658" s="180"/>
      <c r="AA658" s="180"/>
      <c r="AB658" s="180"/>
      <c r="AC658" s="180"/>
      <c r="AD658" s="180"/>
      <c r="AE658" s="180"/>
      <c r="AF658" s="180"/>
      <c r="AG658" s="180"/>
      <c r="AH658" s="180"/>
      <c r="AI658" s="180">
        <v>0</v>
      </c>
      <c r="AJ658" s="181">
        <f t="shared" si="152"/>
        <v>0</v>
      </c>
      <c r="AK658" s="246">
        <f t="shared" si="158"/>
        <v>500000</v>
      </c>
      <c r="AL658" s="181">
        <f t="shared" si="154"/>
        <v>100</v>
      </c>
      <c r="AM658" s="243"/>
    </row>
    <row r="659" spans="1:39" ht="28.5" customHeight="1" x14ac:dyDescent="0.25">
      <c r="A659" s="243"/>
      <c r="B659" s="362"/>
      <c r="C659" s="362"/>
      <c r="D659" s="362"/>
      <c r="E659" s="362"/>
      <c r="F659" s="362"/>
      <c r="G659" s="362"/>
      <c r="H659" s="362"/>
      <c r="I659" s="363"/>
      <c r="J659" s="362" t="s">
        <v>315</v>
      </c>
      <c r="K659" s="245"/>
      <c r="L659" s="257"/>
      <c r="M659" s="591" t="s">
        <v>271</v>
      </c>
      <c r="N659" s="592"/>
      <c r="O659" s="179"/>
      <c r="P659" s="180"/>
      <c r="Q659" s="180">
        <v>977061</v>
      </c>
      <c r="R659" s="181">
        <f t="shared" si="161"/>
        <v>0.44021262771693753</v>
      </c>
      <c r="S659" s="181">
        <v>100</v>
      </c>
      <c r="T659" s="180">
        <f t="shared" si="156"/>
        <v>0</v>
      </c>
      <c r="U659" s="180">
        <f t="shared" si="119"/>
        <v>0</v>
      </c>
      <c r="V659" s="182">
        <f t="shared" si="139"/>
        <v>100</v>
      </c>
      <c r="W659" s="180"/>
      <c r="X659" s="180"/>
      <c r="Y659" s="180"/>
      <c r="Z659" s="180"/>
      <c r="AA659" s="180"/>
      <c r="AB659" s="180"/>
      <c r="AC659" s="180"/>
      <c r="AD659" s="180"/>
      <c r="AE659" s="180"/>
      <c r="AF659" s="180"/>
      <c r="AG659" s="180"/>
      <c r="AH659" s="180"/>
      <c r="AI659" s="180">
        <v>0</v>
      </c>
      <c r="AJ659" s="181">
        <f t="shared" si="152"/>
        <v>0</v>
      </c>
      <c r="AK659" s="246">
        <f t="shared" si="158"/>
        <v>977061</v>
      </c>
      <c r="AL659" s="181">
        <f t="shared" si="154"/>
        <v>100</v>
      </c>
      <c r="AM659" s="243"/>
    </row>
    <row r="660" spans="1:39" ht="28.5" customHeight="1" x14ac:dyDescent="0.25">
      <c r="A660" s="243"/>
      <c r="B660" s="362"/>
      <c r="C660" s="362"/>
      <c r="D660" s="362"/>
      <c r="E660" s="362"/>
      <c r="F660" s="362"/>
      <c r="G660" s="362"/>
      <c r="H660" s="362"/>
      <c r="I660" s="363"/>
      <c r="J660" s="362" t="s">
        <v>316</v>
      </c>
      <c r="K660" s="245"/>
      <c r="L660" s="257"/>
      <c r="M660" s="591" t="s">
        <v>317</v>
      </c>
      <c r="N660" s="592"/>
      <c r="O660" s="179"/>
      <c r="P660" s="180"/>
      <c r="Q660" s="180">
        <v>400000</v>
      </c>
      <c r="R660" s="181">
        <f t="shared" si="161"/>
        <v>0.18021909695175123</v>
      </c>
      <c r="S660" s="181">
        <v>100</v>
      </c>
      <c r="T660" s="180">
        <f t="shared" si="156"/>
        <v>0</v>
      </c>
      <c r="U660" s="180">
        <f t="shared" si="119"/>
        <v>0</v>
      </c>
      <c r="V660" s="182">
        <f t="shared" si="139"/>
        <v>100</v>
      </c>
      <c r="W660" s="180"/>
      <c r="X660" s="180"/>
      <c r="Y660" s="180"/>
      <c r="Z660" s="180"/>
      <c r="AA660" s="180"/>
      <c r="AB660" s="180"/>
      <c r="AC660" s="180"/>
      <c r="AD660" s="180"/>
      <c r="AE660" s="180"/>
      <c r="AF660" s="180"/>
      <c r="AG660" s="180"/>
      <c r="AH660" s="180"/>
      <c r="AI660" s="180">
        <v>0</v>
      </c>
      <c r="AJ660" s="181">
        <f t="shared" si="152"/>
        <v>0</v>
      </c>
      <c r="AK660" s="246">
        <f t="shared" si="158"/>
        <v>400000</v>
      </c>
      <c r="AL660" s="181">
        <f t="shared" si="154"/>
        <v>100</v>
      </c>
      <c r="AM660" s="243"/>
    </row>
    <row r="661" spans="1:39" ht="28.5" customHeight="1" x14ac:dyDescent="0.25">
      <c r="A661" s="243"/>
      <c r="B661" s="362"/>
      <c r="C661" s="362"/>
      <c r="D661" s="362"/>
      <c r="E661" s="362"/>
      <c r="F661" s="362"/>
      <c r="G661" s="362"/>
      <c r="H661" s="362"/>
      <c r="I661" s="363"/>
      <c r="J661" s="362" t="s">
        <v>318</v>
      </c>
      <c r="K661" s="245"/>
      <c r="L661" s="257"/>
      <c r="M661" s="591" t="s">
        <v>319</v>
      </c>
      <c r="N661" s="592"/>
      <c r="O661" s="179"/>
      <c r="P661" s="180"/>
      <c r="Q661" s="180">
        <v>35000000</v>
      </c>
      <c r="R661" s="181">
        <f t="shared" si="161"/>
        <v>15.769170983278229</v>
      </c>
      <c r="S661" s="181">
        <v>100</v>
      </c>
      <c r="T661" s="180">
        <f t="shared" si="156"/>
        <v>0</v>
      </c>
      <c r="U661" s="180">
        <f t="shared" si="119"/>
        <v>0</v>
      </c>
      <c r="V661" s="182">
        <f t="shared" si="139"/>
        <v>100</v>
      </c>
      <c r="W661" s="180"/>
      <c r="X661" s="180"/>
      <c r="Y661" s="180"/>
      <c r="Z661" s="180"/>
      <c r="AA661" s="180"/>
      <c r="AB661" s="180"/>
      <c r="AC661" s="180"/>
      <c r="AD661" s="180"/>
      <c r="AE661" s="180"/>
      <c r="AF661" s="180"/>
      <c r="AG661" s="180"/>
      <c r="AH661" s="180"/>
      <c r="AI661" s="180">
        <v>0</v>
      </c>
      <c r="AJ661" s="181">
        <f t="shared" si="152"/>
        <v>0</v>
      </c>
      <c r="AK661" s="246">
        <f t="shared" si="158"/>
        <v>35000000</v>
      </c>
      <c r="AL661" s="181">
        <f t="shared" si="154"/>
        <v>100</v>
      </c>
      <c r="AM661" s="243"/>
    </row>
    <row r="662" spans="1:39" ht="28.5" customHeight="1" x14ac:dyDescent="0.25">
      <c r="A662" s="243"/>
      <c r="B662" s="362"/>
      <c r="C662" s="362"/>
      <c r="D662" s="362"/>
      <c r="E662" s="362"/>
      <c r="F662" s="362"/>
      <c r="G662" s="362"/>
      <c r="H662" s="362"/>
      <c r="I662" s="363"/>
      <c r="J662" s="362" t="s">
        <v>280</v>
      </c>
      <c r="K662" s="245"/>
      <c r="L662" s="257"/>
      <c r="M662" s="591" t="s">
        <v>281</v>
      </c>
      <c r="N662" s="592"/>
      <c r="O662" s="179"/>
      <c r="P662" s="180"/>
      <c r="Q662" s="180">
        <v>1250000</v>
      </c>
      <c r="R662" s="181">
        <f t="shared" si="161"/>
        <v>0.56318467797422256</v>
      </c>
      <c r="S662" s="181">
        <v>100</v>
      </c>
      <c r="T662" s="180">
        <f t="shared" si="156"/>
        <v>0</v>
      </c>
      <c r="U662" s="180">
        <f t="shared" si="119"/>
        <v>0</v>
      </c>
      <c r="V662" s="182">
        <f t="shared" si="139"/>
        <v>100</v>
      </c>
      <c r="W662" s="180"/>
      <c r="X662" s="180"/>
      <c r="Y662" s="180"/>
      <c r="Z662" s="180"/>
      <c r="AA662" s="180"/>
      <c r="AB662" s="180"/>
      <c r="AC662" s="180"/>
      <c r="AD662" s="180"/>
      <c r="AE662" s="180"/>
      <c r="AF662" s="180"/>
      <c r="AG662" s="180"/>
      <c r="AH662" s="180"/>
      <c r="AI662" s="180">
        <v>0</v>
      </c>
      <c r="AJ662" s="181">
        <f t="shared" si="152"/>
        <v>0</v>
      </c>
      <c r="AK662" s="246">
        <f t="shared" si="158"/>
        <v>1250000</v>
      </c>
      <c r="AL662" s="181">
        <f t="shared" si="154"/>
        <v>100</v>
      </c>
      <c r="AM662" s="243"/>
    </row>
    <row r="663" spans="1:39" ht="28.5" customHeight="1" x14ac:dyDescent="0.25">
      <c r="A663" s="243"/>
      <c r="B663" s="362"/>
      <c r="C663" s="362"/>
      <c r="D663" s="362"/>
      <c r="E663" s="362"/>
      <c r="F663" s="362"/>
      <c r="G663" s="362"/>
      <c r="H663" s="362"/>
      <c r="I663" s="363"/>
      <c r="J663" s="362" t="s">
        <v>284</v>
      </c>
      <c r="K663" s="245"/>
      <c r="L663" s="257"/>
      <c r="M663" s="591" t="s">
        <v>285</v>
      </c>
      <c r="N663" s="592"/>
      <c r="O663" s="179"/>
      <c r="P663" s="180"/>
      <c r="Q663" s="180">
        <v>2925000</v>
      </c>
      <c r="R663" s="181">
        <f t="shared" si="161"/>
        <v>1.3178521464596809</v>
      </c>
      <c r="S663" s="181">
        <v>100</v>
      </c>
      <c r="T663" s="180">
        <f t="shared" si="156"/>
        <v>0</v>
      </c>
      <c r="U663" s="180">
        <f t="shared" si="119"/>
        <v>0</v>
      </c>
      <c r="V663" s="182">
        <f t="shared" si="139"/>
        <v>100</v>
      </c>
      <c r="W663" s="180"/>
      <c r="X663" s="180"/>
      <c r="Y663" s="180"/>
      <c r="Z663" s="180"/>
      <c r="AA663" s="180"/>
      <c r="AB663" s="180"/>
      <c r="AC663" s="180"/>
      <c r="AD663" s="180"/>
      <c r="AE663" s="180"/>
      <c r="AF663" s="180"/>
      <c r="AG663" s="180"/>
      <c r="AH663" s="180"/>
      <c r="AI663" s="180">
        <v>0</v>
      </c>
      <c r="AJ663" s="181">
        <f t="shared" si="152"/>
        <v>0</v>
      </c>
      <c r="AK663" s="246">
        <f t="shared" si="158"/>
        <v>2925000</v>
      </c>
      <c r="AL663" s="181">
        <f t="shared" si="154"/>
        <v>100</v>
      </c>
      <c r="AM663" s="243"/>
    </row>
    <row r="664" spans="1:39" ht="28.5" customHeight="1" x14ac:dyDescent="0.25">
      <c r="A664" s="243"/>
      <c r="B664" s="362"/>
      <c r="C664" s="362"/>
      <c r="D664" s="362"/>
      <c r="E664" s="362"/>
      <c r="F664" s="362"/>
      <c r="G664" s="362"/>
      <c r="H664" s="362"/>
      <c r="I664" s="363"/>
      <c r="J664" s="362" t="s">
        <v>282</v>
      </c>
      <c r="K664" s="245"/>
      <c r="L664" s="257"/>
      <c r="M664" s="591" t="s">
        <v>283</v>
      </c>
      <c r="N664" s="592"/>
      <c r="O664" s="179"/>
      <c r="P664" s="180"/>
      <c r="Q664" s="180">
        <v>21300000</v>
      </c>
      <c r="R664" s="181">
        <f t="shared" si="161"/>
        <v>9.5966669126807531</v>
      </c>
      <c r="S664" s="181">
        <v>100</v>
      </c>
      <c r="T664" s="180">
        <f t="shared" si="156"/>
        <v>0</v>
      </c>
      <c r="U664" s="180">
        <f t="shared" si="119"/>
        <v>0</v>
      </c>
      <c r="V664" s="182">
        <f t="shared" si="139"/>
        <v>100</v>
      </c>
      <c r="W664" s="180"/>
      <c r="X664" s="180"/>
      <c r="Y664" s="180"/>
      <c r="Z664" s="180"/>
      <c r="AA664" s="180"/>
      <c r="AB664" s="180"/>
      <c r="AC664" s="180"/>
      <c r="AD664" s="180"/>
      <c r="AE664" s="180"/>
      <c r="AF664" s="180"/>
      <c r="AG664" s="180"/>
      <c r="AH664" s="180"/>
      <c r="AI664" s="180">
        <v>0</v>
      </c>
      <c r="AJ664" s="181">
        <f t="shared" si="152"/>
        <v>0</v>
      </c>
      <c r="AK664" s="246">
        <f t="shared" si="158"/>
        <v>21300000</v>
      </c>
      <c r="AL664" s="181">
        <f t="shared" si="154"/>
        <v>100</v>
      </c>
      <c r="AM664" s="243"/>
    </row>
    <row r="665" spans="1:39" ht="28.5" customHeight="1" x14ac:dyDescent="0.25">
      <c r="A665" s="243"/>
      <c r="B665" s="362"/>
      <c r="C665" s="362"/>
      <c r="D665" s="362"/>
      <c r="E665" s="362"/>
      <c r="F665" s="362"/>
      <c r="G665" s="362"/>
      <c r="H665" s="362"/>
      <c r="I665" s="363"/>
      <c r="J665" s="362" t="s">
        <v>320</v>
      </c>
      <c r="K665" s="245"/>
      <c r="L665" s="257"/>
      <c r="M665" s="591" t="s">
        <v>321</v>
      </c>
      <c r="N665" s="592"/>
      <c r="O665" s="179"/>
      <c r="P665" s="180"/>
      <c r="Q665" s="180">
        <v>4300000</v>
      </c>
      <c r="R665" s="181">
        <f t="shared" si="161"/>
        <v>1.9373552922313255</v>
      </c>
      <c r="S665" s="181">
        <v>100</v>
      </c>
      <c r="T665" s="180">
        <f t="shared" si="156"/>
        <v>0</v>
      </c>
      <c r="U665" s="180">
        <f t="shared" si="119"/>
        <v>0</v>
      </c>
      <c r="V665" s="182">
        <f t="shared" si="139"/>
        <v>100</v>
      </c>
      <c r="W665" s="180"/>
      <c r="X665" s="180"/>
      <c r="Y665" s="180"/>
      <c r="Z665" s="180"/>
      <c r="AA665" s="180"/>
      <c r="AB665" s="180"/>
      <c r="AC665" s="180"/>
      <c r="AD665" s="180"/>
      <c r="AE665" s="180"/>
      <c r="AF665" s="180"/>
      <c r="AG665" s="180"/>
      <c r="AH665" s="180"/>
      <c r="AI665" s="180">
        <v>0</v>
      </c>
      <c r="AJ665" s="181">
        <f t="shared" si="152"/>
        <v>0</v>
      </c>
      <c r="AK665" s="246">
        <f t="shared" si="158"/>
        <v>4300000</v>
      </c>
      <c r="AL665" s="181">
        <f t="shared" si="154"/>
        <v>100</v>
      </c>
      <c r="AM665" s="243"/>
    </row>
    <row r="666" spans="1:39" ht="28.5" customHeight="1" x14ac:dyDescent="0.25">
      <c r="A666" s="243"/>
      <c r="B666" s="362"/>
      <c r="C666" s="362"/>
      <c r="D666" s="362"/>
      <c r="E666" s="362"/>
      <c r="F666" s="362"/>
      <c r="G666" s="362"/>
      <c r="H666" s="362"/>
      <c r="I666" s="363"/>
      <c r="J666" s="362" t="s">
        <v>407</v>
      </c>
      <c r="K666" s="245"/>
      <c r="L666" s="257"/>
      <c r="M666" s="591" t="s">
        <v>607</v>
      </c>
      <c r="N666" s="592"/>
      <c r="O666" s="179"/>
      <c r="P666" s="180"/>
      <c r="Q666" s="180">
        <v>2650000</v>
      </c>
      <c r="R666" s="181">
        <f t="shared" si="161"/>
        <v>1.1939515173053519</v>
      </c>
      <c r="S666" s="181">
        <v>100</v>
      </c>
      <c r="T666" s="180">
        <f t="shared" si="156"/>
        <v>0</v>
      </c>
      <c r="U666" s="180">
        <f t="shared" si="119"/>
        <v>0</v>
      </c>
      <c r="V666" s="182">
        <f t="shared" si="139"/>
        <v>100</v>
      </c>
      <c r="W666" s="180"/>
      <c r="X666" s="180"/>
      <c r="Y666" s="180"/>
      <c r="Z666" s="180"/>
      <c r="AA666" s="180"/>
      <c r="AB666" s="180"/>
      <c r="AC666" s="180"/>
      <c r="AD666" s="180"/>
      <c r="AE666" s="180"/>
      <c r="AF666" s="180"/>
      <c r="AG666" s="180"/>
      <c r="AH666" s="180"/>
      <c r="AI666" s="180">
        <v>0</v>
      </c>
      <c r="AJ666" s="181">
        <f t="shared" si="152"/>
        <v>0</v>
      </c>
      <c r="AK666" s="246">
        <f t="shared" si="158"/>
        <v>2650000</v>
      </c>
      <c r="AL666" s="181">
        <f t="shared" si="154"/>
        <v>100</v>
      </c>
      <c r="AM666" s="243"/>
    </row>
    <row r="667" spans="1:39" ht="28.5" customHeight="1" x14ac:dyDescent="0.25">
      <c r="A667" s="243"/>
      <c r="B667" s="362"/>
      <c r="C667" s="362"/>
      <c r="D667" s="362"/>
      <c r="E667" s="362"/>
      <c r="F667" s="362"/>
      <c r="G667" s="362"/>
      <c r="H667" s="362"/>
      <c r="I667" s="363"/>
      <c r="J667" s="362" t="s">
        <v>372</v>
      </c>
      <c r="K667" s="245"/>
      <c r="L667" s="257"/>
      <c r="M667" s="591" t="s">
        <v>373</v>
      </c>
      <c r="N667" s="592"/>
      <c r="O667" s="179"/>
      <c r="P667" s="180"/>
      <c r="Q667" s="180">
        <v>15000000</v>
      </c>
      <c r="R667" s="181">
        <f t="shared" si="161"/>
        <v>6.7582161356906703</v>
      </c>
      <c r="S667" s="181">
        <v>100</v>
      </c>
      <c r="T667" s="180">
        <f t="shared" si="156"/>
        <v>0</v>
      </c>
      <c r="U667" s="180">
        <f t="shared" si="119"/>
        <v>0</v>
      </c>
      <c r="V667" s="182">
        <v>100</v>
      </c>
      <c r="W667" s="180"/>
      <c r="X667" s="180"/>
      <c r="Y667" s="180"/>
      <c r="Z667" s="180"/>
      <c r="AA667" s="180"/>
      <c r="AB667" s="180"/>
      <c r="AC667" s="180"/>
      <c r="AD667" s="180"/>
      <c r="AE667" s="180"/>
      <c r="AF667" s="180"/>
      <c r="AG667" s="180"/>
      <c r="AH667" s="180"/>
      <c r="AI667" s="180">
        <v>0</v>
      </c>
      <c r="AJ667" s="181">
        <f t="shared" si="152"/>
        <v>0</v>
      </c>
      <c r="AK667" s="246">
        <f t="shared" si="158"/>
        <v>15000000</v>
      </c>
      <c r="AL667" s="181">
        <f t="shared" si="154"/>
        <v>100</v>
      </c>
      <c r="AM667" s="243"/>
    </row>
    <row r="668" spans="1:39" s="297" customFormat="1" ht="28.5" customHeight="1" x14ac:dyDescent="0.25">
      <c r="A668" s="227">
        <f>SUM(A654+1)</f>
        <v>79</v>
      </c>
      <c r="B668" s="367"/>
      <c r="C668" s="367"/>
      <c r="D668" s="367"/>
      <c r="E668" s="367"/>
      <c r="F668" s="367"/>
      <c r="G668" s="367"/>
      <c r="H668" s="367"/>
      <c r="I668" s="366"/>
      <c r="J668" s="367" t="s">
        <v>377</v>
      </c>
      <c r="K668" s="230"/>
      <c r="L668" s="294"/>
      <c r="M668" s="610" t="s">
        <v>378</v>
      </c>
      <c r="N668" s="610"/>
      <c r="O668" s="309">
        <v>355300000</v>
      </c>
      <c r="P668" s="231">
        <v>0</v>
      </c>
      <c r="Q668" s="231">
        <f>SUM(Q669:Q673)</f>
        <v>88840644</v>
      </c>
      <c r="R668" s="233">
        <f>Q668/Q$33*100</f>
        <v>0.27949392201427309</v>
      </c>
      <c r="S668" s="233">
        <v>100</v>
      </c>
      <c r="T668" s="231">
        <f t="shared" si="156"/>
        <v>14.295258823202586</v>
      </c>
      <c r="U668" s="231">
        <f>R668*T668/100</f>
        <v>3.9954379547060326E-2</v>
      </c>
      <c r="V668" s="296">
        <f t="shared" si="139"/>
        <v>85.704741176797413</v>
      </c>
      <c r="W668" s="231"/>
      <c r="X668" s="231"/>
      <c r="Y668" s="231"/>
      <c r="Z668" s="231"/>
      <c r="AA668" s="231"/>
      <c r="AB668" s="231"/>
      <c r="AC668" s="231"/>
      <c r="AD668" s="231"/>
      <c r="AE668" s="231"/>
      <c r="AF668" s="231"/>
      <c r="AG668" s="231" t="e">
        <f>[2]april!N78</f>
        <v>#REF!</v>
      </c>
      <c r="AH668" s="231">
        <f>'[3]DES SKPD'!$N78</f>
        <v>0</v>
      </c>
      <c r="AI668" s="231">
        <f>SUM(AI669:AI673)</f>
        <v>12700000</v>
      </c>
      <c r="AJ668" s="233">
        <f t="shared" si="152"/>
        <v>14.295258823202586</v>
      </c>
      <c r="AK668" s="234">
        <f t="shared" si="158"/>
        <v>76140644</v>
      </c>
      <c r="AL668" s="233">
        <f t="shared" si="154"/>
        <v>85.704741176797413</v>
      </c>
      <c r="AM668" s="227"/>
    </row>
    <row r="669" spans="1:39" ht="28.5" customHeight="1" x14ac:dyDescent="0.25">
      <c r="A669" s="243"/>
      <c r="B669" s="362"/>
      <c r="C669" s="362"/>
      <c r="D669" s="362"/>
      <c r="E669" s="362"/>
      <c r="F669" s="362"/>
      <c r="G669" s="362"/>
      <c r="H669" s="362"/>
      <c r="I669" s="363"/>
      <c r="J669" s="362" t="s">
        <v>323</v>
      </c>
      <c r="K669" s="245"/>
      <c r="L669" s="257"/>
      <c r="M669" s="591" t="s">
        <v>324</v>
      </c>
      <c r="N669" s="592"/>
      <c r="O669" s="179"/>
      <c r="P669" s="180"/>
      <c r="Q669" s="180">
        <v>25000000</v>
      </c>
      <c r="R669" s="181">
        <f>Q669/Q$668*100</f>
        <v>28.140273274020842</v>
      </c>
      <c r="S669" s="181">
        <v>100</v>
      </c>
      <c r="T669" s="180">
        <f t="shared" si="156"/>
        <v>20</v>
      </c>
      <c r="U669" s="180">
        <f t="shared" ref="U669:U674" si="162">R669*T669/100</f>
        <v>5.6280546548041688</v>
      </c>
      <c r="V669" s="182">
        <f t="shared" si="139"/>
        <v>80</v>
      </c>
      <c r="W669" s="180"/>
      <c r="X669" s="180"/>
      <c r="Y669" s="180"/>
      <c r="Z669" s="180"/>
      <c r="AA669" s="180"/>
      <c r="AB669" s="180"/>
      <c r="AC669" s="180"/>
      <c r="AD669" s="180"/>
      <c r="AE669" s="180"/>
      <c r="AF669" s="180"/>
      <c r="AG669" s="180"/>
      <c r="AH669" s="180"/>
      <c r="AI669" s="180">
        <v>5000000</v>
      </c>
      <c r="AJ669" s="181">
        <f t="shared" si="152"/>
        <v>20</v>
      </c>
      <c r="AK669" s="246">
        <f t="shared" si="158"/>
        <v>20000000</v>
      </c>
      <c r="AL669" s="181">
        <f t="shared" si="154"/>
        <v>80</v>
      </c>
      <c r="AM669" s="243"/>
    </row>
    <row r="670" spans="1:39" ht="28.5" customHeight="1" x14ac:dyDescent="0.25">
      <c r="A670" s="243"/>
      <c r="B670" s="362"/>
      <c r="C670" s="362"/>
      <c r="D670" s="362"/>
      <c r="E670" s="362"/>
      <c r="F670" s="362"/>
      <c r="G670" s="362"/>
      <c r="H670" s="362"/>
      <c r="I670" s="363"/>
      <c r="J670" s="362" t="s">
        <v>315</v>
      </c>
      <c r="K670" s="245"/>
      <c r="L670" s="257"/>
      <c r="M670" s="591" t="s">
        <v>271</v>
      </c>
      <c r="N670" s="592"/>
      <c r="O670" s="179"/>
      <c r="P670" s="180"/>
      <c r="Q670" s="180">
        <v>2000000</v>
      </c>
      <c r="R670" s="181">
        <f t="shared" ref="R670:R673" si="163">Q670/Q$668*100</f>
        <v>2.2512218619216671</v>
      </c>
      <c r="S670" s="181">
        <v>100</v>
      </c>
      <c r="T670" s="180">
        <f t="shared" si="156"/>
        <v>37.5</v>
      </c>
      <c r="U670" s="180">
        <f t="shared" si="162"/>
        <v>0.84420819822062509</v>
      </c>
      <c r="V670" s="182">
        <f t="shared" si="139"/>
        <v>62.5</v>
      </c>
      <c r="W670" s="180"/>
      <c r="X670" s="180"/>
      <c r="Y670" s="180"/>
      <c r="Z670" s="180"/>
      <c r="AA670" s="180"/>
      <c r="AB670" s="180"/>
      <c r="AC670" s="180"/>
      <c r="AD670" s="180"/>
      <c r="AE670" s="180"/>
      <c r="AF670" s="180"/>
      <c r="AG670" s="180"/>
      <c r="AH670" s="180"/>
      <c r="AI670" s="180">
        <v>750000</v>
      </c>
      <c r="AJ670" s="181">
        <f t="shared" si="152"/>
        <v>37.5</v>
      </c>
      <c r="AK670" s="246">
        <f t="shared" si="158"/>
        <v>1250000</v>
      </c>
      <c r="AL670" s="181">
        <f t="shared" si="154"/>
        <v>62.5</v>
      </c>
      <c r="AM670" s="243"/>
    </row>
    <row r="671" spans="1:39" ht="28.5" customHeight="1" x14ac:dyDescent="0.25">
      <c r="A671" s="243"/>
      <c r="B671" s="362"/>
      <c r="C671" s="362"/>
      <c r="D671" s="362"/>
      <c r="E671" s="362"/>
      <c r="F671" s="362"/>
      <c r="G671" s="362"/>
      <c r="H671" s="362"/>
      <c r="I671" s="363"/>
      <c r="J671" s="362" t="s">
        <v>280</v>
      </c>
      <c r="K671" s="245"/>
      <c r="L671" s="257"/>
      <c r="M671" s="591" t="s">
        <v>425</v>
      </c>
      <c r="N671" s="592"/>
      <c r="O671" s="179"/>
      <c r="P671" s="180"/>
      <c r="Q671" s="180">
        <v>7500000</v>
      </c>
      <c r="R671" s="181">
        <f t="shared" si="163"/>
        <v>8.4420819822062523</v>
      </c>
      <c r="S671" s="181">
        <v>100</v>
      </c>
      <c r="T671" s="180">
        <f t="shared" si="156"/>
        <v>16.666666666666664</v>
      </c>
      <c r="U671" s="180">
        <f t="shared" si="162"/>
        <v>1.4070136637010418</v>
      </c>
      <c r="V671" s="182">
        <f t="shared" si="139"/>
        <v>83.333333333333343</v>
      </c>
      <c r="W671" s="180"/>
      <c r="X671" s="180"/>
      <c r="Y671" s="180"/>
      <c r="Z671" s="180"/>
      <c r="AA671" s="180"/>
      <c r="AB671" s="180"/>
      <c r="AC671" s="180"/>
      <c r="AD671" s="180"/>
      <c r="AE671" s="180"/>
      <c r="AF671" s="180"/>
      <c r="AG671" s="180"/>
      <c r="AH671" s="180"/>
      <c r="AI671" s="180">
        <v>1250000</v>
      </c>
      <c r="AJ671" s="181">
        <f t="shared" si="152"/>
        <v>16.666666666666664</v>
      </c>
      <c r="AK671" s="246">
        <f t="shared" si="158"/>
        <v>6250000</v>
      </c>
      <c r="AL671" s="181">
        <f t="shared" si="154"/>
        <v>83.333333333333343</v>
      </c>
      <c r="AM671" s="243"/>
    </row>
    <row r="672" spans="1:39" ht="28.5" customHeight="1" x14ac:dyDescent="0.25">
      <c r="A672" s="243"/>
      <c r="B672" s="362"/>
      <c r="C672" s="362"/>
      <c r="D672" s="362"/>
      <c r="E672" s="362"/>
      <c r="F672" s="362"/>
      <c r="G672" s="362"/>
      <c r="H672" s="362"/>
      <c r="I672" s="363"/>
      <c r="J672" s="362" t="s">
        <v>284</v>
      </c>
      <c r="K672" s="245"/>
      <c r="L672" s="257"/>
      <c r="M672" s="591" t="s">
        <v>285</v>
      </c>
      <c r="N672" s="592"/>
      <c r="O672" s="179"/>
      <c r="P672" s="180"/>
      <c r="Q672" s="180">
        <v>24500000</v>
      </c>
      <c r="R672" s="181">
        <f t="shared" si="163"/>
        <v>27.577467808540423</v>
      </c>
      <c r="S672" s="181">
        <v>100</v>
      </c>
      <c r="T672" s="180">
        <f t="shared" si="156"/>
        <v>0</v>
      </c>
      <c r="U672" s="180">
        <f t="shared" si="162"/>
        <v>0</v>
      </c>
      <c r="V672" s="182">
        <f t="shared" si="139"/>
        <v>100</v>
      </c>
      <c r="W672" s="180"/>
      <c r="X672" s="180"/>
      <c r="Y672" s="180"/>
      <c r="Z672" s="180"/>
      <c r="AA672" s="180"/>
      <c r="AB672" s="180"/>
      <c r="AC672" s="180"/>
      <c r="AD672" s="180"/>
      <c r="AE672" s="180"/>
      <c r="AF672" s="180"/>
      <c r="AG672" s="180"/>
      <c r="AH672" s="180"/>
      <c r="AI672" s="180">
        <v>0</v>
      </c>
      <c r="AJ672" s="181">
        <f t="shared" si="152"/>
        <v>0</v>
      </c>
      <c r="AK672" s="246">
        <f t="shared" si="158"/>
        <v>24500000</v>
      </c>
      <c r="AL672" s="181">
        <f t="shared" si="154"/>
        <v>100</v>
      </c>
      <c r="AM672" s="243"/>
    </row>
    <row r="673" spans="1:83" ht="28.5" customHeight="1" x14ac:dyDescent="0.25">
      <c r="A673" s="243"/>
      <c r="B673" s="362"/>
      <c r="C673" s="362"/>
      <c r="D673" s="362"/>
      <c r="E673" s="362"/>
      <c r="F673" s="362"/>
      <c r="G673" s="362"/>
      <c r="H673" s="362"/>
      <c r="I673" s="363"/>
      <c r="J673" s="362" t="s">
        <v>282</v>
      </c>
      <c r="K673" s="245"/>
      <c r="L673" s="257"/>
      <c r="M673" s="591" t="s">
        <v>283</v>
      </c>
      <c r="N673" s="592"/>
      <c r="O673" s="179"/>
      <c r="P673" s="180"/>
      <c r="Q673" s="180">
        <v>29840644</v>
      </c>
      <c r="R673" s="181">
        <f t="shared" si="163"/>
        <v>33.588955073310814</v>
      </c>
      <c r="S673" s="181">
        <v>100</v>
      </c>
      <c r="T673" s="180">
        <f t="shared" si="156"/>
        <v>19.101464432201929</v>
      </c>
      <c r="U673" s="180">
        <f t="shared" si="162"/>
        <v>6.4159823064767512</v>
      </c>
      <c r="V673" s="182">
        <f t="shared" si="139"/>
        <v>80.898535567798064</v>
      </c>
      <c r="W673" s="180"/>
      <c r="X673" s="180"/>
      <c r="Y673" s="180"/>
      <c r="Z673" s="180"/>
      <c r="AA673" s="180"/>
      <c r="AB673" s="180"/>
      <c r="AC673" s="180"/>
      <c r="AD673" s="180"/>
      <c r="AE673" s="180"/>
      <c r="AF673" s="180"/>
      <c r="AG673" s="180"/>
      <c r="AH673" s="180"/>
      <c r="AI673" s="180">
        <v>5700000</v>
      </c>
      <c r="AJ673" s="181">
        <f t="shared" si="152"/>
        <v>19.101464432201929</v>
      </c>
      <c r="AK673" s="246">
        <f t="shared" si="158"/>
        <v>24140644</v>
      </c>
      <c r="AL673" s="181">
        <f t="shared" si="154"/>
        <v>80.898535567798064</v>
      </c>
      <c r="AM673" s="243"/>
    </row>
    <row r="674" spans="1:83" ht="28.5" customHeight="1" x14ac:dyDescent="0.25">
      <c r="A674" s="289" t="s">
        <v>38</v>
      </c>
      <c r="B674" s="607" t="s">
        <v>145</v>
      </c>
      <c r="C674" s="607"/>
      <c r="D674" s="607"/>
      <c r="E674" s="607"/>
      <c r="F674" s="607"/>
      <c r="G674" s="607"/>
      <c r="H674" s="607"/>
      <c r="I674" s="608"/>
      <c r="J674" s="368" t="s">
        <v>531</v>
      </c>
      <c r="K674" s="291"/>
      <c r="L674" s="607" t="s">
        <v>532</v>
      </c>
      <c r="M674" s="607"/>
      <c r="N674" s="608"/>
      <c r="O674" s="263" t="e">
        <f>SUM(O675:O1149)</f>
        <v>#REF!</v>
      </c>
      <c r="P674" s="263" t="e">
        <f>SUM(P675:P1149)</f>
        <v>#REF!</v>
      </c>
      <c r="Q674" s="263">
        <f>SUM(Q675)</f>
        <v>649500000</v>
      </c>
      <c r="R674" s="222">
        <f>Q674/Q$53*100</f>
        <v>3.2186986170973042</v>
      </c>
      <c r="S674" s="222">
        <v>100</v>
      </c>
      <c r="T674" s="263">
        <f t="shared" si="156"/>
        <v>0.76212471131639725</v>
      </c>
      <c r="U674" s="308">
        <f t="shared" si="162"/>
        <v>2.4530497543697703E-2</v>
      </c>
      <c r="V674" s="292">
        <f t="shared" si="139"/>
        <v>99.237875288683597</v>
      </c>
      <c r="W674" s="263">
        <f t="shared" ref="W674:AH674" si="164">SUM(W675:W1149)</f>
        <v>0</v>
      </c>
      <c r="X674" s="263">
        <f t="shared" si="164"/>
        <v>0</v>
      </c>
      <c r="Y674" s="263">
        <f t="shared" si="164"/>
        <v>0</v>
      </c>
      <c r="Z674" s="263">
        <f t="shared" si="164"/>
        <v>0</v>
      </c>
      <c r="AA674" s="263">
        <f t="shared" si="164"/>
        <v>0</v>
      </c>
      <c r="AB674" s="263">
        <f t="shared" si="164"/>
        <v>0</v>
      </c>
      <c r="AC674" s="263">
        <f t="shared" si="164"/>
        <v>0</v>
      </c>
      <c r="AD674" s="263">
        <f t="shared" si="164"/>
        <v>0</v>
      </c>
      <c r="AE674" s="263">
        <f t="shared" si="164"/>
        <v>0</v>
      </c>
      <c r="AF674" s="263">
        <f t="shared" si="164"/>
        <v>0</v>
      </c>
      <c r="AG674" s="263" t="e">
        <f t="shared" si="164"/>
        <v>#REF!</v>
      </c>
      <c r="AH674" s="263">
        <f t="shared" si="164"/>
        <v>0</v>
      </c>
      <c r="AI674" s="263">
        <f>SUM(AI675)</f>
        <v>4950000</v>
      </c>
      <c r="AJ674" s="222">
        <f t="shared" si="152"/>
        <v>0.76212471131639725</v>
      </c>
      <c r="AK674" s="265">
        <f>SUM(Q674-AI674)</f>
        <v>644550000</v>
      </c>
      <c r="AL674" s="222">
        <f t="shared" si="154"/>
        <v>99.237875288683611</v>
      </c>
      <c r="AM674" s="289"/>
    </row>
    <row r="675" spans="1:83" s="297" customFormat="1" ht="28.5" customHeight="1" x14ac:dyDescent="0.25">
      <c r="A675" s="227">
        <f>SUM(A668+1)</f>
        <v>80</v>
      </c>
      <c r="B675" s="367"/>
      <c r="C675" s="367"/>
      <c r="D675" s="367"/>
      <c r="E675" s="367"/>
      <c r="F675" s="367"/>
      <c r="G675" s="367"/>
      <c r="H675" s="367"/>
      <c r="I675" s="366"/>
      <c r="J675" s="367" t="s">
        <v>381</v>
      </c>
      <c r="K675" s="230"/>
      <c r="L675" s="294"/>
      <c r="M675" s="609" t="s">
        <v>533</v>
      </c>
      <c r="N675" s="609"/>
      <c r="O675" s="309">
        <v>355300000</v>
      </c>
      <c r="P675" s="231">
        <v>0</v>
      </c>
      <c r="Q675" s="231">
        <f>SUM(Q676:Q682)</f>
        <v>649500000</v>
      </c>
      <c r="R675" s="233">
        <f>Q675/Q$33*100</f>
        <v>2.0433361823476917</v>
      </c>
      <c r="S675" s="233">
        <v>100</v>
      </c>
      <c r="T675" s="231">
        <f>AJ675</f>
        <v>0.76212471131639725</v>
      </c>
      <c r="U675" s="231">
        <f>R675*T675/100</f>
        <v>1.5572769980940837E-2</v>
      </c>
      <c r="V675" s="296">
        <f>S675-T675</f>
        <v>99.237875288683597</v>
      </c>
      <c r="W675" s="231"/>
      <c r="X675" s="231"/>
      <c r="Y675" s="231"/>
      <c r="Z675" s="231"/>
      <c r="AA675" s="231"/>
      <c r="AB675" s="231"/>
      <c r="AC675" s="231"/>
      <c r="AD675" s="231"/>
      <c r="AE675" s="231"/>
      <c r="AF675" s="231"/>
      <c r="AG675" s="231" t="e">
        <f>[2]april!N87</f>
        <v>#REF!</v>
      </c>
      <c r="AH675" s="231">
        <f>'[3]DES SKPD'!$N87</f>
        <v>0</v>
      </c>
      <c r="AI675" s="231">
        <f>SUM(AI676:AI682)</f>
        <v>4950000</v>
      </c>
      <c r="AJ675" s="181">
        <f t="shared" si="152"/>
        <v>0.76212471131639725</v>
      </c>
      <c r="AK675" s="234">
        <f t="shared" si="158"/>
        <v>644550000</v>
      </c>
      <c r="AL675" s="233">
        <f t="shared" si="154"/>
        <v>99.237875288683611</v>
      </c>
      <c r="AM675" s="227"/>
    </row>
    <row r="676" spans="1:83" ht="28.5" customHeight="1" x14ac:dyDescent="0.25">
      <c r="A676" s="243"/>
      <c r="B676" s="362"/>
      <c r="C676" s="362"/>
      <c r="D676" s="362"/>
      <c r="E676" s="362"/>
      <c r="F676" s="362"/>
      <c r="G676" s="362"/>
      <c r="H676" s="362"/>
      <c r="I676" s="363"/>
      <c r="J676" s="362" t="s">
        <v>536</v>
      </c>
      <c r="K676" s="245"/>
      <c r="L676" s="257"/>
      <c r="M676" s="604" t="s">
        <v>271</v>
      </c>
      <c r="N676" s="592"/>
      <c r="O676" s="179"/>
      <c r="P676" s="180"/>
      <c r="Q676" s="180">
        <v>14900000</v>
      </c>
      <c r="R676" s="181">
        <f t="shared" ref="R676:R682" si="165">Q676/Q$675*100</f>
        <v>2.2940723633564279</v>
      </c>
      <c r="S676" s="181">
        <v>100</v>
      </c>
      <c r="T676" s="180">
        <f t="shared" ref="T676:T682" si="166">AJ676</f>
        <v>16.778523489932887</v>
      </c>
      <c r="U676" s="180">
        <f t="shared" ref="U676:U682" si="167">R676*T676/100</f>
        <v>0.38491147036181678</v>
      </c>
      <c r="V676" s="182">
        <f t="shared" ref="V676:V682" si="168">S676-T676</f>
        <v>83.221476510067106</v>
      </c>
      <c r="W676" s="180"/>
      <c r="X676" s="180"/>
      <c r="Y676" s="180"/>
      <c r="Z676" s="180"/>
      <c r="AA676" s="180"/>
      <c r="AB676" s="180"/>
      <c r="AC676" s="180"/>
      <c r="AD676" s="180"/>
      <c r="AE676" s="180"/>
      <c r="AF676" s="180"/>
      <c r="AG676" s="180"/>
      <c r="AH676" s="180"/>
      <c r="AI676" s="180">
        <v>2500000</v>
      </c>
      <c r="AJ676" s="181">
        <f t="shared" si="152"/>
        <v>16.778523489932887</v>
      </c>
      <c r="AK676" s="246">
        <f t="shared" si="158"/>
        <v>12400000</v>
      </c>
      <c r="AL676" s="181">
        <f t="shared" si="154"/>
        <v>83.22147651006712</v>
      </c>
      <c r="AM676" s="243"/>
    </row>
    <row r="677" spans="1:83" ht="28.5" customHeight="1" x14ac:dyDescent="0.25">
      <c r="A677" s="243"/>
      <c r="B677" s="362"/>
      <c r="C677" s="362"/>
      <c r="D677" s="362"/>
      <c r="E677" s="362"/>
      <c r="F677" s="362"/>
      <c r="G677" s="362"/>
      <c r="H677" s="362"/>
      <c r="I677" s="363"/>
      <c r="J677" s="362" t="s">
        <v>502</v>
      </c>
      <c r="K677" s="245"/>
      <c r="L677" s="257"/>
      <c r="M677" s="604" t="s">
        <v>319</v>
      </c>
      <c r="N677" s="592"/>
      <c r="O677" s="179"/>
      <c r="P677" s="180"/>
      <c r="Q677" s="180">
        <v>200200000</v>
      </c>
      <c r="R677" s="181">
        <f>Q677/Q$675*100</f>
        <v>30.82371054657429</v>
      </c>
      <c r="S677" s="181">
        <v>100</v>
      </c>
      <c r="T677" s="180">
        <f t="shared" si="166"/>
        <v>0</v>
      </c>
      <c r="U677" s="180">
        <f t="shared" si="167"/>
        <v>0</v>
      </c>
      <c r="V677" s="182">
        <f t="shared" si="168"/>
        <v>100</v>
      </c>
      <c r="W677" s="180"/>
      <c r="X677" s="180"/>
      <c r="Y677" s="180"/>
      <c r="Z677" s="180"/>
      <c r="AA677" s="180"/>
      <c r="AB677" s="180"/>
      <c r="AC677" s="180"/>
      <c r="AD677" s="180"/>
      <c r="AE677" s="180"/>
      <c r="AF677" s="180"/>
      <c r="AG677" s="180"/>
      <c r="AH677" s="180"/>
      <c r="AI677" s="180">
        <v>0</v>
      </c>
      <c r="AJ677" s="181">
        <f t="shared" si="152"/>
        <v>0</v>
      </c>
      <c r="AK677" s="246">
        <f t="shared" si="158"/>
        <v>200200000</v>
      </c>
      <c r="AL677" s="181">
        <f t="shared" si="154"/>
        <v>100</v>
      </c>
      <c r="AM677" s="243"/>
    </row>
    <row r="678" spans="1:83" ht="28.5" customHeight="1" x14ac:dyDescent="0.25">
      <c r="A678" s="243"/>
      <c r="B678" s="362"/>
      <c r="C678" s="362"/>
      <c r="D678" s="362"/>
      <c r="E678" s="362"/>
      <c r="F678" s="362"/>
      <c r="G678" s="362"/>
      <c r="H678" s="362"/>
      <c r="I678" s="363"/>
      <c r="J678" s="362" t="s">
        <v>625</v>
      </c>
      <c r="K678" s="245"/>
      <c r="L678" s="257"/>
      <c r="M678" s="604" t="s">
        <v>281</v>
      </c>
      <c r="N678" s="592"/>
      <c r="O678" s="179"/>
      <c r="P678" s="180"/>
      <c r="Q678" s="180">
        <v>25200000</v>
      </c>
      <c r="R678" s="181">
        <f>Q678/Q$675*100</f>
        <v>3.8799076212471131</v>
      </c>
      <c r="S678" s="181">
        <v>100</v>
      </c>
      <c r="T678" s="180">
        <f t="shared" si="166"/>
        <v>9.7222222222222232</v>
      </c>
      <c r="U678" s="180">
        <f t="shared" si="167"/>
        <v>0.37721324095458042</v>
      </c>
      <c r="V678" s="182">
        <f t="shared" si="168"/>
        <v>90.277777777777771</v>
      </c>
      <c r="W678" s="180"/>
      <c r="X678" s="180"/>
      <c r="Y678" s="180"/>
      <c r="Z678" s="180"/>
      <c r="AA678" s="180"/>
      <c r="AB678" s="180"/>
      <c r="AC678" s="180"/>
      <c r="AD678" s="180"/>
      <c r="AE678" s="180"/>
      <c r="AF678" s="180"/>
      <c r="AG678" s="180"/>
      <c r="AH678" s="180"/>
      <c r="AI678" s="180">
        <v>2450000</v>
      </c>
      <c r="AJ678" s="181">
        <f t="shared" si="152"/>
        <v>9.7222222222222232</v>
      </c>
      <c r="AK678" s="246">
        <f t="shared" si="158"/>
        <v>22750000</v>
      </c>
      <c r="AL678" s="181">
        <f t="shared" si="154"/>
        <v>90.277777777777786</v>
      </c>
      <c r="AM678" s="243"/>
    </row>
    <row r="679" spans="1:83" ht="28.5" customHeight="1" x14ac:dyDescent="0.25">
      <c r="A679" s="243"/>
      <c r="B679" s="362"/>
      <c r="C679" s="362"/>
      <c r="D679" s="362"/>
      <c r="E679" s="362"/>
      <c r="F679" s="362"/>
      <c r="G679" s="362"/>
      <c r="H679" s="362"/>
      <c r="I679" s="363"/>
      <c r="J679" s="362" t="s">
        <v>538</v>
      </c>
      <c r="K679" s="245"/>
      <c r="L679" s="257"/>
      <c r="M679" s="605" t="s">
        <v>626</v>
      </c>
      <c r="N679" s="606"/>
      <c r="O679" s="179"/>
      <c r="P679" s="180"/>
      <c r="Q679" s="180">
        <v>92000000</v>
      </c>
      <c r="R679" s="181">
        <f t="shared" si="165"/>
        <v>14.164742109314856</v>
      </c>
      <c r="S679" s="181">
        <v>100</v>
      </c>
      <c r="T679" s="180">
        <f t="shared" si="166"/>
        <v>0</v>
      </c>
      <c r="U679" s="180">
        <f t="shared" si="167"/>
        <v>0</v>
      </c>
      <c r="V679" s="182">
        <f t="shared" si="168"/>
        <v>100</v>
      </c>
      <c r="W679" s="180"/>
      <c r="X679" s="180"/>
      <c r="Y679" s="180"/>
      <c r="Z679" s="180"/>
      <c r="AA679" s="180"/>
      <c r="AB679" s="180"/>
      <c r="AC679" s="180"/>
      <c r="AD679" s="180"/>
      <c r="AE679" s="180"/>
      <c r="AF679" s="180"/>
      <c r="AG679" s="180"/>
      <c r="AH679" s="180"/>
      <c r="AI679" s="180">
        <v>0</v>
      </c>
      <c r="AJ679" s="181">
        <f t="shared" si="152"/>
        <v>0</v>
      </c>
      <c r="AK679" s="246">
        <f t="shared" si="158"/>
        <v>92000000</v>
      </c>
      <c r="AL679" s="181">
        <f t="shared" si="154"/>
        <v>100</v>
      </c>
      <c r="AM679" s="243"/>
    </row>
    <row r="680" spans="1:83" ht="28.5" customHeight="1" x14ac:dyDescent="0.25">
      <c r="A680" s="243"/>
      <c r="B680" s="362"/>
      <c r="C680" s="362"/>
      <c r="D680" s="362"/>
      <c r="E680" s="362"/>
      <c r="F680" s="362"/>
      <c r="G680" s="362"/>
      <c r="H680" s="362"/>
      <c r="I680" s="363"/>
      <c r="J680" s="362" t="s">
        <v>629</v>
      </c>
      <c r="K680" s="245"/>
      <c r="L680" s="257"/>
      <c r="M680" s="605" t="s">
        <v>321</v>
      </c>
      <c r="N680" s="606"/>
      <c r="O680" s="179"/>
      <c r="P680" s="180"/>
      <c r="Q680" s="180">
        <v>9200000</v>
      </c>
      <c r="R680" s="181">
        <f t="shared" si="165"/>
        <v>1.4164742109314856</v>
      </c>
      <c r="S680" s="181">
        <v>100</v>
      </c>
      <c r="T680" s="180">
        <f t="shared" si="166"/>
        <v>0</v>
      </c>
      <c r="U680" s="180">
        <f t="shared" si="167"/>
        <v>0</v>
      </c>
      <c r="V680" s="182">
        <f t="shared" si="168"/>
        <v>100</v>
      </c>
      <c r="W680" s="180"/>
      <c r="X680" s="180"/>
      <c r="Y680" s="180"/>
      <c r="Z680" s="180"/>
      <c r="AA680" s="180"/>
      <c r="AB680" s="180"/>
      <c r="AC680" s="180"/>
      <c r="AD680" s="180"/>
      <c r="AE680" s="180"/>
      <c r="AF680" s="180"/>
      <c r="AG680" s="180"/>
      <c r="AH680" s="180"/>
      <c r="AI680" s="180">
        <v>0</v>
      </c>
      <c r="AJ680" s="181">
        <f t="shared" ref="AJ680:AJ682" si="169">AI680/Q680*100</f>
        <v>0</v>
      </c>
      <c r="AK680" s="246">
        <f t="shared" si="158"/>
        <v>9200000</v>
      </c>
      <c r="AL680" s="181">
        <f t="shared" si="154"/>
        <v>100</v>
      </c>
      <c r="AM680" s="243"/>
    </row>
    <row r="681" spans="1:83" ht="28.5" customHeight="1" x14ac:dyDescent="0.25">
      <c r="A681" s="243"/>
      <c r="B681" s="362"/>
      <c r="C681" s="362"/>
      <c r="D681" s="362"/>
      <c r="E681" s="362"/>
      <c r="F681" s="362"/>
      <c r="G681" s="362"/>
      <c r="H681" s="362"/>
      <c r="I681" s="363"/>
      <c r="J681" s="362" t="s">
        <v>628</v>
      </c>
      <c r="K681" s="245"/>
      <c r="L681" s="257"/>
      <c r="M681" s="605" t="s">
        <v>310</v>
      </c>
      <c r="N681" s="606"/>
      <c r="O681" s="179"/>
      <c r="P681" s="180"/>
      <c r="Q681" s="180">
        <v>300000000</v>
      </c>
      <c r="R681" s="181">
        <f t="shared" si="165"/>
        <v>46.189376443418013</v>
      </c>
      <c r="S681" s="181">
        <v>100</v>
      </c>
      <c r="T681" s="180">
        <f t="shared" si="166"/>
        <v>0</v>
      </c>
      <c r="U681" s="180">
        <f t="shared" si="167"/>
        <v>0</v>
      </c>
      <c r="V681" s="182">
        <f t="shared" si="168"/>
        <v>100</v>
      </c>
      <c r="W681" s="180"/>
      <c r="X681" s="180"/>
      <c r="Y681" s="180"/>
      <c r="Z681" s="180"/>
      <c r="AA681" s="180"/>
      <c r="AB681" s="180"/>
      <c r="AC681" s="180"/>
      <c r="AD681" s="180"/>
      <c r="AE681" s="180"/>
      <c r="AF681" s="180"/>
      <c r="AG681" s="180"/>
      <c r="AH681" s="180"/>
      <c r="AI681" s="180">
        <v>0</v>
      </c>
      <c r="AJ681" s="181">
        <f t="shared" si="169"/>
        <v>0</v>
      </c>
      <c r="AK681" s="246">
        <f t="shared" si="158"/>
        <v>300000000</v>
      </c>
      <c r="AL681" s="181">
        <f t="shared" si="154"/>
        <v>100</v>
      </c>
      <c r="AM681" s="243"/>
    </row>
    <row r="682" spans="1:83" ht="24.75" customHeight="1" x14ac:dyDescent="0.25">
      <c r="A682" s="243"/>
      <c r="B682" s="597" t="s">
        <v>158</v>
      </c>
      <c r="C682" s="597"/>
      <c r="D682" s="597"/>
      <c r="E682" s="597"/>
      <c r="F682" s="597"/>
      <c r="G682" s="597"/>
      <c r="H682" s="597"/>
      <c r="I682" s="598"/>
      <c r="J682" s="362" t="s">
        <v>627</v>
      </c>
      <c r="K682" s="314"/>
      <c r="L682" s="315"/>
      <c r="M682" s="599" t="s">
        <v>607</v>
      </c>
      <c r="N682" s="600"/>
      <c r="O682" s="316"/>
      <c r="P682" s="316"/>
      <c r="Q682" s="317">
        <v>8000000</v>
      </c>
      <c r="R682" s="181">
        <f t="shared" si="165"/>
        <v>1.2317167051578137</v>
      </c>
      <c r="S682" s="181">
        <v>100</v>
      </c>
      <c r="T682" s="180">
        <f t="shared" si="166"/>
        <v>0</v>
      </c>
      <c r="U682" s="180">
        <f t="shared" si="167"/>
        <v>0</v>
      </c>
      <c r="V682" s="182">
        <f t="shared" si="168"/>
        <v>100</v>
      </c>
      <c r="W682" s="316"/>
      <c r="X682" s="316"/>
      <c r="Y682" s="316"/>
      <c r="Z682" s="316"/>
      <c r="AA682" s="316"/>
      <c r="AB682" s="316"/>
      <c r="AC682" s="316"/>
      <c r="AD682" s="316"/>
      <c r="AE682" s="316"/>
      <c r="AF682" s="316"/>
      <c r="AG682" s="316"/>
      <c r="AH682" s="316"/>
      <c r="AI682" s="180">
        <v>0</v>
      </c>
      <c r="AJ682" s="181">
        <f t="shared" si="169"/>
        <v>0</v>
      </c>
      <c r="AK682" s="246">
        <f t="shared" si="158"/>
        <v>8000000</v>
      </c>
      <c r="AL682" s="181">
        <f t="shared" si="154"/>
        <v>100</v>
      </c>
      <c r="AM682" s="243"/>
      <c r="AQ682" s="318"/>
      <c r="AR682" s="318"/>
      <c r="AS682" s="318"/>
      <c r="AT682" s="318"/>
      <c r="AU682" s="318"/>
      <c r="AV682" s="318"/>
      <c r="AW682" s="318"/>
      <c r="AX682" s="318"/>
      <c r="AY682" s="318"/>
      <c r="AZ682" s="318"/>
      <c r="BA682" s="318"/>
      <c r="BB682" s="318"/>
      <c r="BC682" s="318"/>
      <c r="BD682" s="318"/>
      <c r="BE682" s="318"/>
      <c r="BF682" s="318"/>
      <c r="BG682" s="318"/>
      <c r="BH682" s="318"/>
      <c r="BI682" s="318"/>
      <c r="BJ682" s="318"/>
      <c r="BK682" s="318"/>
      <c r="BL682" s="318"/>
      <c r="BM682" s="318"/>
      <c r="BN682" s="318"/>
      <c r="BO682" s="318"/>
      <c r="BP682" s="318"/>
      <c r="BQ682" s="318"/>
      <c r="BR682" s="318"/>
      <c r="BS682" s="318"/>
      <c r="BT682" s="318"/>
      <c r="BU682" s="318"/>
      <c r="BV682" s="318"/>
      <c r="BW682" s="318"/>
      <c r="BX682" s="318"/>
      <c r="BY682" s="318"/>
      <c r="BZ682" s="318"/>
      <c r="CA682" s="318"/>
      <c r="CB682" s="318"/>
      <c r="CC682" s="318"/>
      <c r="CD682" s="318"/>
      <c r="CE682" s="318"/>
    </row>
    <row r="683" spans="1:83" s="319" customFormat="1" ht="24" customHeight="1" x14ac:dyDescent="0.25">
      <c r="B683" s="601" t="s">
        <v>166</v>
      </c>
      <c r="C683" s="601"/>
      <c r="D683" s="601"/>
      <c r="E683" s="601"/>
      <c r="F683" s="601"/>
      <c r="G683" s="601"/>
      <c r="H683" s="601"/>
      <c r="I683" s="601"/>
      <c r="J683" s="364"/>
      <c r="L683" s="601"/>
      <c r="M683" s="601"/>
      <c r="N683" s="601"/>
      <c r="O683" s="321" t="e">
        <f>SUM(#REF!)</f>
        <v>#REF!</v>
      </c>
      <c r="P683" s="321" t="e">
        <f>SUM(#REF!)</f>
        <v>#REF!</v>
      </c>
      <c r="Q683" s="321"/>
      <c r="R683" s="322"/>
      <c r="S683" s="322"/>
      <c r="T683" s="321"/>
      <c r="U683" s="321"/>
      <c r="V683" s="323"/>
      <c r="W683" s="321"/>
      <c r="X683" s="321"/>
      <c r="Y683" s="321"/>
      <c r="Z683" s="321"/>
      <c r="AA683" s="321"/>
      <c r="AB683" s="321"/>
      <c r="AC683" s="321"/>
      <c r="AD683" s="321"/>
      <c r="AE683" s="321"/>
      <c r="AF683" s="321"/>
      <c r="AG683" s="321"/>
      <c r="AH683" s="321"/>
      <c r="AI683" s="321"/>
      <c r="AJ683" s="322"/>
      <c r="AK683" s="324"/>
      <c r="AL683" s="322"/>
      <c r="AQ683" s="325"/>
      <c r="AR683" s="325"/>
      <c r="AS683" s="325"/>
      <c r="AT683" s="325"/>
      <c r="AU683" s="325"/>
      <c r="AV683" s="325"/>
      <c r="AW683" s="325"/>
      <c r="AX683" s="325"/>
      <c r="AY683" s="325"/>
      <c r="AZ683" s="325"/>
      <c r="BA683" s="325"/>
      <c r="BB683" s="325"/>
      <c r="BC683" s="325"/>
      <c r="BD683" s="325"/>
      <c r="BE683" s="325"/>
      <c r="BF683" s="325"/>
      <c r="BG683" s="325"/>
      <c r="BH683" s="325"/>
      <c r="BI683" s="325"/>
      <c r="BJ683" s="325"/>
      <c r="BK683" s="325"/>
      <c r="BL683" s="325"/>
      <c r="BM683" s="325"/>
      <c r="BN683" s="325"/>
      <c r="BO683" s="325"/>
      <c r="BP683" s="325"/>
      <c r="BQ683" s="325"/>
      <c r="BR683" s="325"/>
      <c r="BS683" s="325"/>
      <c r="BT683" s="325"/>
      <c r="BU683" s="325"/>
      <c r="BV683" s="325"/>
      <c r="BW683" s="325"/>
      <c r="BX683" s="325"/>
      <c r="BY683" s="325"/>
      <c r="BZ683" s="325"/>
      <c r="CA683" s="325"/>
      <c r="CB683" s="325"/>
      <c r="CC683" s="325"/>
      <c r="CD683" s="325"/>
      <c r="CE683" s="325"/>
    </row>
    <row r="684" spans="1:83" s="325" customFormat="1" ht="24" customHeight="1" x14ac:dyDescent="0.25">
      <c r="B684" s="326"/>
      <c r="C684" s="326"/>
      <c r="D684" s="326"/>
      <c r="E684" s="326"/>
      <c r="F684" s="326"/>
      <c r="G684" s="326"/>
      <c r="H684" s="326"/>
      <c r="I684" s="326"/>
      <c r="J684" s="326"/>
      <c r="L684" s="326"/>
      <c r="M684" s="326"/>
      <c r="N684" s="326"/>
      <c r="O684" s="327"/>
      <c r="P684" s="327"/>
      <c r="Q684" s="327"/>
      <c r="R684" s="328"/>
      <c r="S684" s="328"/>
      <c r="T684" s="327"/>
      <c r="U684" s="327"/>
      <c r="V684" s="329"/>
      <c r="W684" s="327"/>
      <c r="X684" s="327"/>
      <c r="Y684" s="327"/>
      <c r="Z684" s="327"/>
      <c r="AA684" s="327"/>
      <c r="AB684" s="327"/>
      <c r="AC684" s="327"/>
      <c r="AD684" s="327"/>
      <c r="AE684" s="327"/>
      <c r="AF684" s="327"/>
      <c r="AG684" s="327"/>
      <c r="AH684" s="327"/>
      <c r="AI684" s="602" t="s">
        <v>542</v>
      </c>
      <c r="AJ684" s="602"/>
      <c r="AK684" s="602"/>
      <c r="AL684" s="602"/>
    </row>
    <row r="685" spans="1:83" s="325" customFormat="1" ht="24" customHeight="1" x14ac:dyDescent="0.25">
      <c r="B685" s="326"/>
      <c r="C685" s="326"/>
      <c r="D685" s="326"/>
      <c r="E685" s="326"/>
      <c r="F685" s="326"/>
      <c r="G685" s="326"/>
      <c r="H685" s="326"/>
      <c r="I685" s="326"/>
      <c r="J685" s="326"/>
      <c r="L685" s="326"/>
      <c r="M685" s="326"/>
      <c r="N685" s="326"/>
      <c r="O685" s="327"/>
      <c r="P685" s="327"/>
      <c r="Q685" s="327"/>
      <c r="R685" s="328"/>
      <c r="S685" s="328"/>
      <c r="T685" s="327"/>
      <c r="U685" s="327"/>
      <c r="V685" s="329"/>
      <c r="W685" s="327"/>
      <c r="X685" s="327"/>
      <c r="Y685" s="327"/>
      <c r="Z685" s="327"/>
      <c r="AA685" s="327"/>
      <c r="AB685" s="327"/>
      <c r="AC685" s="327"/>
      <c r="AD685" s="327"/>
      <c r="AE685" s="327"/>
      <c r="AF685" s="327"/>
      <c r="AG685" s="327"/>
      <c r="AH685" s="327"/>
      <c r="AI685" s="603" t="s">
        <v>543</v>
      </c>
      <c r="AJ685" s="603"/>
      <c r="AK685" s="603"/>
      <c r="AL685" s="603"/>
    </row>
    <row r="686" spans="1:83" s="325" customFormat="1" ht="24" customHeight="1" x14ac:dyDescent="0.25">
      <c r="B686" s="326"/>
      <c r="C686" s="326"/>
      <c r="D686" s="326"/>
      <c r="E686" s="326"/>
      <c r="F686" s="326"/>
      <c r="G686" s="326"/>
      <c r="H686" s="326"/>
      <c r="I686" s="326"/>
      <c r="J686" s="326"/>
      <c r="L686" s="326"/>
      <c r="M686" s="326"/>
      <c r="N686" s="326"/>
      <c r="O686" s="327"/>
      <c r="P686" s="327"/>
      <c r="Q686" s="327"/>
      <c r="R686" s="328"/>
      <c r="S686" s="328"/>
      <c r="T686" s="327"/>
      <c r="U686" s="327"/>
      <c r="V686" s="329"/>
      <c r="W686" s="327"/>
      <c r="X686" s="327"/>
      <c r="Y686" s="327"/>
      <c r="Z686" s="327"/>
      <c r="AA686" s="327"/>
      <c r="AB686" s="327"/>
      <c r="AC686" s="327"/>
      <c r="AD686" s="327"/>
      <c r="AE686" s="327"/>
      <c r="AF686" s="327"/>
      <c r="AG686" s="327"/>
      <c r="AH686" s="327"/>
      <c r="AI686" s="311"/>
      <c r="AJ686" s="297"/>
      <c r="AK686" s="330"/>
      <c r="AL686" s="328"/>
    </row>
    <row r="687" spans="1:83" ht="13.5" customHeight="1" x14ac:dyDescent="0.25">
      <c r="AI687" s="311"/>
      <c r="AJ687" s="297"/>
      <c r="AK687" s="330"/>
    </row>
    <row r="688" spans="1:83" ht="13.5" customHeight="1" x14ac:dyDescent="0.25">
      <c r="A688" s="204"/>
      <c r="B688" s="204"/>
      <c r="C688" s="204"/>
      <c r="D688" s="204"/>
      <c r="E688" s="204"/>
      <c r="F688" s="204"/>
      <c r="G688" s="204"/>
      <c r="H688" s="204"/>
      <c r="I688" s="204"/>
      <c r="J688" s="204"/>
      <c r="K688" s="204"/>
      <c r="L688" s="204"/>
      <c r="M688" s="204"/>
      <c r="N688" s="332"/>
      <c r="O688" s="204"/>
      <c r="P688" s="204"/>
      <c r="Q688" s="204"/>
      <c r="R688" s="204"/>
      <c r="S688" s="204"/>
      <c r="T688" s="204"/>
      <c r="U688" s="204"/>
      <c r="V688" s="333"/>
      <c r="W688" s="204"/>
      <c r="X688" s="204"/>
      <c r="Y688" s="204"/>
      <c r="Z688" s="204"/>
      <c r="AA688" s="204"/>
      <c r="AB688" s="204"/>
      <c r="AC688" s="204"/>
      <c r="AD688" s="204"/>
      <c r="AE688" s="204"/>
      <c r="AF688" s="204"/>
      <c r="AG688" s="204"/>
      <c r="AH688" s="204"/>
      <c r="AI688" s="311"/>
      <c r="AJ688" s="297"/>
      <c r="AK688" s="330"/>
      <c r="AL688" s="204"/>
      <c r="AM688" s="204"/>
    </row>
    <row r="689" spans="1:39" ht="13.5" customHeight="1" x14ac:dyDescent="0.25">
      <c r="A689" s="204"/>
      <c r="B689" s="204"/>
      <c r="C689" s="204"/>
      <c r="D689" s="204"/>
      <c r="E689" s="204"/>
      <c r="F689" s="204"/>
      <c r="G689" s="204"/>
      <c r="H689" s="204"/>
      <c r="I689" s="204"/>
      <c r="J689" s="204"/>
      <c r="K689" s="204"/>
      <c r="L689" s="204"/>
      <c r="M689" s="204"/>
      <c r="N689" s="204"/>
      <c r="O689" s="204"/>
      <c r="P689" s="204"/>
      <c r="Q689" s="204"/>
      <c r="R689" s="204"/>
      <c r="S689" s="204"/>
      <c r="T689" s="204"/>
      <c r="U689" s="204"/>
      <c r="V689" s="333"/>
      <c r="W689" s="204"/>
      <c r="X689" s="204"/>
      <c r="Y689" s="204"/>
      <c r="Z689" s="204"/>
      <c r="AA689" s="204"/>
      <c r="AB689" s="204"/>
      <c r="AC689" s="204"/>
      <c r="AD689" s="204"/>
      <c r="AE689" s="204"/>
      <c r="AF689" s="204"/>
      <c r="AG689" s="204"/>
      <c r="AH689" s="204"/>
      <c r="AI689" s="311"/>
      <c r="AJ689" s="297"/>
      <c r="AK689" s="330"/>
      <c r="AL689" s="204"/>
      <c r="AM689" s="204"/>
    </row>
    <row r="690" spans="1:39" ht="13.5" customHeight="1" x14ac:dyDescent="0.25">
      <c r="A690" s="204"/>
      <c r="B690" s="204"/>
      <c r="C690" s="204"/>
      <c r="D690" s="204"/>
      <c r="E690" s="204"/>
      <c r="F690" s="204"/>
      <c r="G690" s="204"/>
      <c r="H690" s="204"/>
      <c r="I690" s="204"/>
      <c r="J690" s="204"/>
      <c r="K690" s="204"/>
      <c r="L690" s="204"/>
      <c r="M690" s="204"/>
      <c r="N690" s="204"/>
      <c r="AI690" s="595" t="s">
        <v>216</v>
      </c>
      <c r="AJ690" s="595"/>
      <c r="AK690" s="595"/>
      <c r="AL690" s="595"/>
    </row>
    <row r="691" spans="1:39" ht="13.5" customHeight="1" x14ac:dyDescent="0.25">
      <c r="A691" s="334"/>
      <c r="B691" s="204"/>
      <c r="C691" s="204"/>
      <c r="D691" s="204"/>
      <c r="E691" s="204"/>
      <c r="F691" s="204"/>
      <c r="G691" s="204"/>
      <c r="H691" s="204"/>
      <c r="I691" s="204"/>
      <c r="J691" s="204"/>
      <c r="K691" s="204"/>
      <c r="L691" s="204"/>
      <c r="M691" s="204"/>
      <c r="N691" s="204"/>
      <c r="AI691" s="596" t="s">
        <v>217</v>
      </c>
      <c r="AJ691" s="596"/>
      <c r="AK691" s="596"/>
      <c r="AL691" s="596"/>
    </row>
    <row r="692" spans="1:39" ht="13.5" customHeight="1" x14ac:dyDescent="0.25">
      <c r="A692" s="204"/>
      <c r="B692" s="204"/>
      <c r="C692" s="204"/>
      <c r="D692" s="204"/>
      <c r="E692" s="204"/>
      <c r="F692" s="204"/>
      <c r="G692" s="204"/>
      <c r="H692" s="204"/>
      <c r="I692" s="204"/>
      <c r="J692" s="204"/>
      <c r="K692" s="204"/>
      <c r="L692" s="204"/>
      <c r="M692" s="204"/>
      <c r="N692" s="204"/>
    </row>
    <row r="693" spans="1:39" ht="13.5" customHeight="1" x14ac:dyDescent="0.25">
      <c r="A693" s="204"/>
      <c r="B693" s="204"/>
      <c r="C693" s="204"/>
      <c r="D693" s="204"/>
      <c r="E693" s="204"/>
      <c r="F693" s="204"/>
      <c r="G693" s="204"/>
      <c r="H693" s="204"/>
      <c r="I693" s="204"/>
      <c r="J693" s="204"/>
      <c r="K693" s="204"/>
      <c r="L693" s="204"/>
      <c r="M693" s="204"/>
      <c r="N693" s="204"/>
    </row>
    <row r="694" spans="1:39" ht="13.5" customHeight="1" x14ac:dyDescent="0.25">
      <c r="A694" s="337"/>
      <c r="B694" s="204"/>
      <c r="C694" s="204"/>
      <c r="D694" s="204"/>
      <c r="E694" s="204"/>
      <c r="F694" s="204"/>
      <c r="G694" s="204"/>
      <c r="H694" s="204"/>
      <c r="I694" s="204"/>
      <c r="J694" s="204"/>
      <c r="K694" s="204"/>
      <c r="L694" s="204"/>
      <c r="M694" s="204"/>
      <c r="N694" s="204"/>
    </row>
    <row r="695" spans="1:39" ht="13.5" customHeight="1" x14ac:dyDescent="0.25">
      <c r="A695" s="204"/>
      <c r="B695" s="204"/>
      <c r="C695" s="204"/>
      <c r="D695" s="204"/>
      <c r="E695" s="204"/>
      <c r="F695" s="204"/>
      <c r="G695" s="204"/>
      <c r="H695" s="204"/>
      <c r="I695" s="204"/>
      <c r="J695" s="204"/>
      <c r="K695" s="204"/>
      <c r="L695" s="204"/>
      <c r="M695" s="204"/>
      <c r="N695" s="204"/>
    </row>
    <row r="696" spans="1:39" ht="13.5" customHeight="1" x14ac:dyDescent="0.25">
      <c r="A696" s="204"/>
      <c r="B696" s="204"/>
      <c r="C696" s="204"/>
      <c r="D696" s="204"/>
      <c r="E696" s="204"/>
      <c r="F696" s="204"/>
      <c r="G696" s="204"/>
      <c r="H696" s="204"/>
      <c r="I696" s="204"/>
      <c r="J696" s="204"/>
      <c r="K696" s="204"/>
      <c r="L696" s="204"/>
      <c r="M696" s="204"/>
      <c r="N696" s="204"/>
    </row>
    <row r="697" spans="1:39" ht="13.5" customHeight="1" x14ac:dyDescent="0.25">
      <c r="A697" s="204"/>
      <c r="B697" s="204"/>
      <c r="C697" s="204"/>
      <c r="D697" s="204"/>
      <c r="E697" s="204"/>
      <c r="F697" s="204"/>
      <c r="G697" s="204"/>
      <c r="H697" s="204"/>
      <c r="I697" s="204"/>
      <c r="J697" s="204"/>
      <c r="K697" s="204"/>
      <c r="L697" s="204"/>
      <c r="M697" s="204"/>
      <c r="N697" s="204"/>
    </row>
    <row r="698" spans="1:39" ht="13.5" customHeight="1" x14ac:dyDescent="0.25">
      <c r="A698" s="337"/>
      <c r="B698" s="204"/>
      <c r="C698" s="204"/>
      <c r="D698" s="204"/>
      <c r="E698" s="204"/>
      <c r="F698" s="204"/>
      <c r="G698" s="204"/>
      <c r="H698" s="204"/>
      <c r="I698" s="204"/>
      <c r="J698" s="204"/>
      <c r="K698" s="204"/>
      <c r="L698" s="204"/>
      <c r="M698" s="204"/>
      <c r="N698" s="204"/>
    </row>
    <row r="699" spans="1:39" ht="13.5" customHeight="1" x14ac:dyDescent="0.25">
      <c r="A699" s="204"/>
      <c r="B699" s="204"/>
      <c r="C699" s="204"/>
      <c r="D699" s="204"/>
      <c r="E699" s="204"/>
      <c r="F699" s="204"/>
      <c r="G699" s="204"/>
      <c r="H699" s="204"/>
      <c r="I699" s="204"/>
      <c r="J699" s="204"/>
      <c r="K699" s="204"/>
      <c r="L699" s="204"/>
      <c r="M699" s="204"/>
      <c r="N699" s="204"/>
    </row>
    <row r="700" spans="1:39" ht="13.5" customHeight="1" x14ac:dyDescent="0.25">
      <c r="A700" s="204"/>
      <c r="B700" s="204"/>
      <c r="C700" s="204"/>
      <c r="D700" s="204"/>
      <c r="E700" s="204"/>
      <c r="F700" s="204"/>
      <c r="G700" s="204"/>
      <c r="H700" s="204"/>
      <c r="I700" s="204"/>
      <c r="J700" s="204"/>
      <c r="K700" s="204"/>
      <c r="L700" s="204"/>
      <c r="M700" s="204"/>
      <c r="N700" s="204"/>
    </row>
    <row r="701" spans="1:39" ht="13.5" customHeight="1" x14ac:dyDescent="0.25">
      <c r="A701" s="334"/>
      <c r="B701" s="204"/>
      <c r="C701" s="204"/>
      <c r="D701" s="204"/>
      <c r="E701" s="204"/>
      <c r="F701" s="204"/>
      <c r="G701" s="204"/>
      <c r="H701" s="204"/>
      <c r="I701" s="204"/>
      <c r="J701" s="204"/>
      <c r="K701" s="204"/>
      <c r="L701" s="204"/>
      <c r="M701" s="204"/>
      <c r="N701" s="204"/>
    </row>
    <row r="702" spans="1:39" ht="13.5" customHeight="1" x14ac:dyDescent="0.25">
      <c r="A702" s="333"/>
      <c r="B702" s="338"/>
      <c r="C702" s="338"/>
      <c r="D702" s="338"/>
      <c r="E702" s="338"/>
      <c r="F702" s="338"/>
      <c r="G702" s="338"/>
      <c r="H702" s="338"/>
      <c r="I702" s="338"/>
      <c r="J702" s="338"/>
      <c r="K702" s="333"/>
      <c r="L702" s="204"/>
      <c r="M702" s="204"/>
      <c r="N702" s="204"/>
    </row>
    <row r="703" spans="1:39" ht="13.5" customHeight="1" x14ac:dyDescent="0.25">
      <c r="A703" s="333">
        <v>0</v>
      </c>
      <c r="B703" s="338"/>
      <c r="C703" s="338"/>
      <c r="D703" s="338"/>
      <c r="E703" s="338"/>
      <c r="F703" s="338"/>
      <c r="G703" s="338"/>
      <c r="H703" s="338"/>
      <c r="I703" s="338"/>
      <c r="J703" s="338"/>
      <c r="K703" s="333" t="s">
        <v>190</v>
      </c>
      <c r="L703" s="204"/>
      <c r="M703" s="204"/>
      <c r="N703" s="204"/>
    </row>
    <row r="704" spans="1:39" ht="13.5" customHeight="1" x14ac:dyDescent="0.25">
      <c r="A704" s="333">
        <f>A702-A703</f>
        <v>0</v>
      </c>
      <c r="B704" s="338"/>
      <c r="C704" s="338"/>
      <c r="D704" s="338"/>
      <c r="E704" s="338"/>
      <c r="F704" s="338"/>
      <c r="G704" s="338"/>
      <c r="H704" s="338"/>
      <c r="I704" s="338"/>
      <c r="J704" s="338"/>
      <c r="K704" s="333" t="s">
        <v>191</v>
      </c>
      <c r="L704" s="204"/>
      <c r="M704" s="204"/>
      <c r="N704" s="204"/>
    </row>
    <row r="705" spans="1:37" ht="13.5" customHeight="1" x14ac:dyDescent="0.25">
      <c r="A705" s="204"/>
      <c r="B705" s="204"/>
      <c r="C705" s="204"/>
      <c r="D705" s="204"/>
      <c r="E705" s="204"/>
      <c r="F705" s="204"/>
      <c r="G705" s="204"/>
      <c r="H705" s="204"/>
      <c r="I705" s="204"/>
      <c r="J705" s="204"/>
      <c r="K705" s="204"/>
      <c r="L705" s="204"/>
      <c r="M705" s="204"/>
      <c r="N705" s="204"/>
    </row>
    <row r="706" spans="1:37" ht="13.5" customHeight="1" x14ac:dyDescent="0.25">
      <c r="A706" s="204">
        <v>7</v>
      </c>
      <c r="B706" s="204"/>
      <c r="C706" s="204"/>
      <c r="D706" s="204"/>
      <c r="E706" s="204"/>
      <c r="F706" s="204"/>
      <c r="G706" s="204"/>
      <c r="H706" s="204"/>
      <c r="I706" s="204"/>
      <c r="J706" s="204"/>
      <c r="K706" s="204" t="s">
        <v>168</v>
      </c>
      <c r="L706" s="204"/>
      <c r="M706" s="204"/>
      <c r="N706" s="332" t="s">
        <v>169</v>
      </c>
      <c r="O706" s="204"/>
      <c r="P706" s="204"/>
      <c r="Q706" s="204"/>
      <c r="R706" s="204"/>
      <c r="S706" s="204"/>
      <c r="T706" s="204"/>
      <c r="U706" s="204"/>
    </row>
    <row r="707" spans="1:37" ht="13.5" customHeight="1" x14ac:dyDescent="0.25">
      <c r="A707" s="204" t="e">
        <f>#REF!</f>
        <v>#REF!</v>
      </c>
      <c r="B707" s="204"/>
      <c r="C707" s="204"/>
      <c r="D707" s="204"/>
      <c r="E707" s="204"/>
      <c r="F707" s="204"/>
      <c r="G707" s="204"/>
      <c r="H707" s="204"/>
      <c r="I707" s="204"/>
      <c r="J707" s="204"/>
      <c r="K707" s="204" t="s">
        <v>170</v>
      </c>
      <c r="L707" s="204"/>
      <c r="M707" s="204"/>
      <c r="N707" s="204" t="s">
        <v>171</v>
      </c>
      <c r="O707" s="204"/>
      <c r="P707" s="204"/>
      <c r="Q707" s="204"/>
      <c r="R707" s="204"/>
      <c r="S707" s="204"/>
      <c r="T707" s="204"/>
      <c r="U707" s="204"/>
      <c r="V707" s="205"/>
      <c r="AI707" s="205"/>
      <c r="AK707" s="205"/>
    </row>
    <row r="708" spans="1:37" ht="13.5" customHeight="1" x14ac:dyDescent="0.25">
      <c r="A708" s="204"/>
      <c r="B708" s="204"/>
      <c r="C708" s="204"/>
      <c r="D708" s="204"/>
      <c r="E708" s="204"/>
      <c r="F708" s="204"/>
      <c r="G708" s="204"/>
      <c r="H708" s="204"/>
      <c r="I708" s="204"/>
      <c r="J708" s="204"/>
      <c r="K708" s="204"/>
      <c r="L708" s="204"/>
      <c r="M708" s="204"/>
      <c r="N708" s="204" t="s">
        <v>172</v>
      </c>
      <c r="V708" s="205"/>
      <c r="AI708" s="205"/>
      <c r="AK708" s="205"/>
    </row>
    <row r="709" spans="1:37" ht="13.5" customHeight="1" x14ac:dyDescent="0.25">
      <c r="A709" s="334">
        <f>COUNTIF(T139:T701,"&gt;=95")</f>
        <v>12</v>
      </c>
      <c r="B709" s="204"/>
      <c r="C709" s="204"/>
      <c r="D709" s="204"/>
      <c r="E709" s="204"/>
      <c r="F709" s="204"/>
      <c r="G709" s="204"/>
      <c r="H709" s="204"/>
      <c r="I709" s="204"/>
      <c r="J709" s="204"/>
      <c r="K709" s="204" t="s">
        <v>173</v>
      </c>
      <c r="L709" s="204"/>
      <c r="M709" s="204"/>
      <c r="N709" s="204" t="s">
        <v>174</v>
      </c>
      <c r="V709" s="205"/>
      <c r="AI709" s="205"/>
      <c r="AK709" s="205"/>
    </row>
    <row r="710" spans="1:37" ht="13.5" customHeight="1" x14ac:dyDescent="0.25">
      <c r="A710" s="204" t="e">
        <f>A707-A709</f>
        <v>#REF!</v>
      </c>
      <c r="B710" s="204"/>
      <c r="C710" s="204"/>
      <c r="D710" s="204"/>
      <c r="E710" s="204"/>
      <c r="F710" s="204"/>
      <c r="G710" s="204"/>
      <c r="H710" s="204"/>
      <c r="I710" s="204"/>
      <c r="J710" s="204"/>
      <c r="K710" s="204"/>
      <c r="L710" s="204"/>
      <c r="M710" s="204"/>
      <c r="N710" s="204" t="s">
        <v>175</v>
      </c>
      <c r="V710" s="205"/>
      <c r="AI710" s="205"/>
      <c r="AK710" s="205"/>
    </row>
    <row r="711" spans="1:37" ht="13.5" customHeight="1" x14ac:dyDescent="0.25">
      <c r="A711" s="204"/>
      <c r="B711" s="204"/>
      <c r="C711" s="204"/>
      <c r="D711" s="204"/>
      <c r="E711" s="204"/>
      <c r="F711" s="204"/>
      <c r="G711" s="204"/>
      <c r="H711" s="204"/>
      <c r="I711" s="204"/>
      <c r="J711" s="204"/>
      <c r="K711" s="204"/>
      <c r="L711" s="204"/>
      <c r="M711" s="204"/>
      <c r="N711" s="204" t="s">
        <v>176</v>
      </c>
      <c r="V711" s="205"/>
      <c r="AI711" s="205"/>
      <c r="AK711" s="205"/>
    </row>
    <row r="712" spans="1:37" ht="13.5" customHeight="1" x14ac:dyDescent="0.25">
      <c r="A712" s="337">
        <v>2</v>
      </c>
      <c r="B712" s="204"/>
      <c r="C712" s="204"/>
      <c r="D712" s="204"/>
      <c r="E712" s="204"/>
      <c r="F712" s="204"/>
      <c r="G712" s="204"/>
      <c r="H712" s="204"/>
      <c r="I712" s="204"/>
      <c r="J712" s="204"/>
      <c r="K712" s="204" t="s">
        <v>177</v>
      </c>
      <c r="L712" s="204"/>
      <c r="M712" s="204"/>
      <c r="N712" s="204" t="s">
        <v>178</v>
      </c>
      <c r="V712" s="205"/>
      <c r="AI712" s="205"/>
      <c r="AK712" s="205"/>
    </row>
    <row r="713" spans="1:37" ht="13.5" customHeight="1" x14ac:dyDescent="0.25">
      <c r="A713" s="204">
        <f>A706-A712</f>
        <v>5</v>
      </c>
      <c r="B713" s="204"/>
      <c r="C713" s="204"/>
      <c r="D713" s="204"/>
      <c r="E713" s="204"/>
      <c r="F713" s="204"/>
      <c r="G713" s="204"/>
      <c r="H713" s="204"/>
      <c r="I713" s="204"/>
      <c r="J713" s="204"/>
      <c r="K713" s="204"/>
      <c r="L713" s="204"/>
      <c r="M713" s="204"/>
      <c r="N713" s="204" t="s">
        <v>179</v>
      </c>
      <c r="V713" s="205"/>
      <c r="AI713" s="205"/>
      <c r="AK713" s="205"/>
    </row>
    <row r="714" spans="1:37" ht="13.5" customHeight="1" x14ac:dyDescent="0.25">
      <c r="A714" s="204"/>
      <c r="B714" s="204"/>
      <c r="C714" s="204"/>
      <c r="D714" s="204"/>
      <c r="E714" s="204"/>
      <c r="F714" s="204"/>
      <c r="G714" s="204"/>
      <c r="H714" s="204"/>
      <c r="I714" s="204"/>
      <c r="J714" s="204"/>
      <c r="K714" s="204"/>
      <c r="L714" s="204"/>
      <c r="M714" s="204"/>
      <c r="N714" s="204" t="s">
        <v>180</v>
      </c>
      <c r="V714" s="205"/>
      <c r="AI714" s="205"/>
      <c r="AK714" s="205"/>
    </row>
    <row r="715" spans="1:37" ht="13.5" customHeight="1" x14ac:dyDescent="0.25">
      <c r="A715" s="204">
        <v>7</v>
      </c>
      <c r="B715" s="204"/>
      <c r="C715" s="204"/>
      <c r="D715" s="204"/>
      <c r="E715" s="204"/>
      <c r="F715" s="204"/>
      <c r="G715" s="204"/>
      <c r="H715" s="204"/>
      <c r="I715" s="204"/>
      <c r="J715" s="204"/>
      <c r="K715" s="204" t="s">
        <v>181</v>
      </c>
      <c r="L715" s="204"/>
      <c r="M715" s="204"/>
      <c r="N715" s="204" t="s">
        <v>182</v>
      </c>
      <c r="V715" s="205"/>
      <c r="AI715" s="205"/>
      <c r="AK715" s="205"/>
    </row>
    <row r="716" spans="1:37" ht="13.5" customHeight="1" x14ac:dyDescent="0.25">
      <c r="A716" s="337">
        <v>3</v>
      </c>
      <c r="B716" s="204"/>
      <c r="C716" s="204"/>
      <c r="D716" s="204"/>
      <c r="E716" s="204"/>
      <c r="F716" s="204"/>
      <c r="G716" s="204"/>
      <c r="H716" s="204"/>
      <c r="I716" s="204"/>
      <c r="J716" s="204"/>
      <c r="K716" s="204" t="s">
        <v>183</v>
      </c>
      <c r="L716" s="204"/>
      <c r="M716" s="204"/>
      <c r="N716" s="204" t="s">
        <v>184</v>
      </c>
      <c r="V716" s="205"/>
      <c r="AI716" s="205"/>
      <c r="AK716" s="205"/>
    </row>
    <row r="717" spans="1:37" ht="13.5" customHeight="1" x14ac:dyDescent="0.25">
      <c r="A717" s="204">
        <f>A715-A716</f>
        <v>4</v>
      </c>
      <c r="B717" s="204"/>
      <c r="C717" s="204"/>
      <c r="D717" s="204"/>
      <c r="E717" s="204"/>
      <c r="F717" s="204"/>
      <c r="G717" s="204"/>
      <c r="H717" s="204"/>
      <c r="I717" s="204"/>
      <c r="J717" s="204"/>
      <c r="K717" s="204"/>
      <c r="L717" s="204"/>
      <c r="M717" s="204"/>
      <c r="N717" s="204" t="s">
        <v>185</v>
      </c>
      <c r="V717" s="205"/>
      <c r="AI717" s="205"/>
      <c r="AK717" s="205"/>
    </row>
    <row r="718" spans="1:37" ht="13.5" customHeight="1" x14ac:dyDescent="0.25">
      <c r="A718" s="204"/>
      <c r="B718" s="204"/>
      <c r="C718" s="204"/>
      <c r="D718" s="204"/>
      <c r="E718" s="204"/>
      <c r="F718" s="204"/>
      <c r="G718" s="204"/>
      <c r="H718" s="204"/>
      <c r="I718" s="204"/>
      <c r="J718" s="204"/>
      <c r="K718" s="204"/>
      <c r="L718" s="204"/>
      <c r="M718" s="204"/>
      <c r="N718" s="204" t="s">
        <v>186</v>
      </c>
      <c r="V718" s="205"/>
      <c r="AI718" s="205"/>
      <c r="AK718" s="205"/>
    </row>
    <row r="719" spans="1:37" ht="13.5" customHeight="1" x14ac:dyDescent="0.25">
      <c r="A719" s="334">
        <f>COUNTIF(T139:T701,"0")</f>
        <v>423</v>
      </c>
      <c r="B719" s="204"/>
      <c r="C719" s="204"/>
      <c r="D719" s="204"/>
      <c r="E719" s="204"/>
      <c r="F719" s="204"/>
      <c r="G719" s="204"/>
      <c r="H719" s="204"/>
      <c r="I719" s="204"/>
      <c r="J719" s="204"/>
      <c r="K719" s="204" t="s">
        <v>187</v>
      </c>
      <c r="L719" s="204"/>
      <c r="M719" s="204"/>
      <c r="N719" s="204" t="s">
        <v>188</v>
      </c>
      <c r="V719" s="205"/>
      <c r="AI719" s="205"/>
      <c r="AK719" s="205"/>
    </row>
    <row r="720" spans="1:37" ht="13.5" customHeight="1" x14ac:dyDescent="0.25">
      <c r="A720" s="333" t="e">
        <f>A707-(A709+A719)</f>
        <v>#REF!</v>
      </c>
      <c r="B720" s="338"/>
      <c r="C720" s="338"/>
      <c r="D720" s="338"/>
      <c r="E720" s="338"/>
      <c r="F720" s="338"/>
      <c r="G720" s="338"/>
      <c r="H720" s="338"/>
      <c r="I720" s="338"/>
      <c r="J720" s="338"/>
      <c r="K720" s="333" t="s">
        <v>189</v>
      </c>
      <c r="L720" s="204"/>
      <c r="M720" s="204"/>
      <c r="N720" s="204"/>
      <c r="V720" s="205"/>
      <c r="AI720" s="205"/>
      <c r="AK720" s="205"/>
    </row>
  </sheetData>
  <autoFilter ref="A1:A720" xr:uid="{00000000-0009-0000-0000-000004000000}"/>
  <mergeCells count="795">
    <mergeCell ref="B1:AM1"/>
    <mergeCell ref="A2:AM2"/>
    <mergeCell ref="A3:AO3"/>
    <mergeCell ref="A5:A7"/>
    <mergeCell ref="B5:I7"/>
    <mergeCell ref="J5:J7"/>
    <mergeCell ref="K5:N7"/>
    <mergeCell ref="O5:O7"/>
    <mergeCell ref="P5:P7"/>
    <mergeCell ref="Q5:Q7"/>
    <mergeCell ref="AO5:AO7"/>
    <mergeCell ref="AP5:AP7"/>
    <mergeCell ref="T6:U6"/>
    <mergeCell ref="V6:V7"/>
    <mergeCell ref="W6:W7"/>
    <mergeCell ref="X6:X7"/>
    <mergeCell ref="Y6:Y7"/>
    <mergeCell ref="Z6:Z7"/>
    <mergeCell ref="R5:R7"/>
    <mergeCell ref="S5:S7"/>
    <mergeCell ref="T5:AI5"/>
    <mergeCell ref="AJ5:AJ7"/>
    <mergeCell ref="AK5:AK7"/>
    <mergeCell ref="AL5:AL7"/>
    <mergeCell ref="AA6:AA7"/>
    <mergeCell ref="AB6:AB7"/>
    <mergeCell ref="AC6:AC7"/>
    <mergeCell ref="AD6:AD7"/>
    <mergeCell ref="AE6:AE7"/>
    <mergeCell ref="AF6:AF7"/>
    <mergeCell ref="AG6:AG7"/>
    <mergeCell ref="AH6:AH7"/>
    <mergeCell ref="AI6:AI7"/>
    <mergeCell ref="B8:I8"/>
    <mergeCell ref="K8:N8"/>
    <mergeCell ref="AM5:AM7"/>
    <mergeCell ref="AN5:AN7"/>
    <mergeCell ref="B15:I15"/>
    <mergeCell ref="L15:N15"/>
    <mergeCell ref="B16:I16"/>
    <mergeCell ref="L16:N16"/>
    <mergeCell ref="B17:I17"/>
    <mergeCell ref="L17:N17"/>
    <mergeCell ref="B10:I10"/>
    <mergeCell ref="L10:N10"/>
    <mergeCell ref="B12:I12"/>
    <mergeCell ref="L12:N12"/>
    <mergeCell ref="B14:I14"/>
    <mergeCell ref="L14:N14"/>
    <mergeCell ref="B21:I21"/>
    <mergeCell ref="L21:N21"/>
    <mergeCell ref="B22:I22"/>
    <mergeCell ref="L22:N22"/>
    <mergeCell ref="B23:I23"/>
    <mergeCell ref="L23:N23"/>
    <mergeCell ref="B18:I18"/>
    <mergeCell ref="L18:N18"/>
    <mergeCell ref="B19:I19"/>
    <mergeCell ref="L19:N19"/>
    <mergeCell ref="B20:I20"/>
    <mergeCell ref="L20:N20"/>
    <mergeCell ref="B27:I27"/>
    <mergeCell ref="L27:N27"/>
    <mergeCell ref="B28:I28"/>
    <mergeCell ref="L28:N28"/>
    <mergeCell ref="B29:I29"/>
    <mergeCell ref="L29:N29"/>
    <mergeCell ref="B24:I24"/>
    <mergeCell ref="L24:N24"/>
    <mergeCell ref="B25:I25"/>
    <mergeCell ref="L25:N25"/>
    <mergeCell ref="B26:I26"/>
    <mergeCell ref="L26:N26"/>
    <mergeCell ref="B35:I35"/>
    <mergeCell ref="L35:N35"/>
    <mergeCell ref="L36:N36"/>
    <mergeCell ref="L37:N37"/>
    <mergeCell ref="L38:N38"/>
    <mergeCell ref="L39:N39"/>
    <mergeCell ref="B30:I30"/>
    <mergeCell ref="L30:N30"/>
    <mergeCell ref="L31:N31"/>
    <mergeCell ref="B32:I32"/>
    <mergeCell ref="L32:N32"/>
    <mergeCell ref="L33:N33"/>
    <mergeCell ref="L46:N46"/>
    <mergeCell ref="L47:N47"/>
    <mergeCell ref="L48:N48"/>
    <mergeCell ref="L49:N49"/>
    <mergeCell ref="L50:N50"/>
    <mergeCell ref="L51:N51"/>
    <mergeCell ref="L40:N40"/>
    <mergeCell ref="L41:N41"/>
    <mergeCell ref="L42:N42"/>
    <mergeCell ref="L43:N43"/>
    <mergeCell ref="L44:N44"/>
    <mergeCell ref="L45:N45"/>
    <mergeCell ref="M56:N56"/>
    <mergeCell ref="B57:I57"/>
    <mergeCell ref="M57:N57"/>
    <mergeCell ref="M58:N58"/>
    <mergeCell ref="M59:N59"/>
    <mergeCell ref="M60:N60"/>
    <mergeCell ref="B53:I53"/>
    <mergeCell ref="L53:N53"/>
    <mergeCell ref="B54:I54"/>
    <mergeCell ref="L54:N54"/>
    <mergeCell ref="B55:I55"/>
    <mergeCell ref="M55:N55"/>
    <mergeCell ref="M65:N65"/>
    <mergeCell ref="M66:N66"/>
    <mergeCell ref="B67:I67"/>
    <mergeCell ref="M67:N67"/>
    <mergeCell ref="M68:N68"/>
    <mergeCell ref="M69:N69"/>
    <mergeCell ref="B61:I61"/>
    <mergeCell ref="M61:N61"/>
    <mergeCell ref="M62:N62"/>
    <mergeCell ref="B63:I63"/>
    <mergeCell ref="M63:N63"/>
    <mergeCell ref="M64:N64"/>
    <mergeCell ref="M75:N75"/>
    <mergeCell ref="B76:I76"/>
    <mergeCell ref="M76:N76"/>
    <mergeCell ref="M77:N77"/>
    <mergeCell ref="M78:N78"/>
    <mergeCell ref="M79:N79"/>
    <mergeCell ref="B70:I70"/>
    <mergeCell ref="M70:N70"/>
    <mergeCell ref="M71:N71"/>
    <mergeCell ref="M72:N72"/>
    <mergeCell ref="M73:N73"/>
    <mergeCell ref="M74:N74"/>
    <mergeCell ref="M85:N85"/>
    <mergeCell ref="M86:N86"/>
    <mergeCell ref="B87:I87"/>
    <mergeCell ref="M87:N87"/>
    <mergeCell ref="M88:N88"/>
    <mergeCell ref="B89:I89"/>
    <mergeCell ref="M89:N89"/>
    <mergeCell ref="M80:N80"/>
    <mergeCell ref="B81:I81"/>
    <mergeCell ref="M81:N81"/>
    <mergeCell ref="M82:N82"/>
    <mergeCell ref="M83:N83"/>
    <mergeCell ref="B84:I84"/>
    <mergeCell ref="M84:N84"/>
    <mergeCell ref="B105:I105"/>
    <mergeCell ref="M105:N105"/>
    <mergeCell ref="M95:N95"/>
    <mergeCell ref="M96:N96"/>
    <mergeCell ref="M97:N97"/>
    <mergeCell ref="M98:N98"/>
    <mergeCell ref="M99:N99"/>
    <mergeCell ref="M100:N100"/>
    <mergeCell ref="M90:N90"/>
    <mergeCell ref="B91:I91"/>
    <mergeCell ref="M91:N91"/>
    <mergeCell ref="M92:N92"/>
    <mergeCell ref="M93:N93"/>
    <mergeCell ref="M94:N94"/>
    <mergeCell ref="M106:N106"/>
    <mergeCell ref="M107:N107"/>
    <mergeCell ref="M108:N108"/>
    <mergeCell ref="M109:N109"/>
    <mergeCell ref="M110:N110"/>
    <mergeCell ref="M111:N111"/>
    <mergeCell ref="M101:N101"/>
    <mergeCell ref="M102:N102"/>
    <mergeCell ref="M103:N103"/>
    <mergeCell ref="M104:N104"/>
    <mergeCell ref="M118:N118"/>
    <mergeCell ref="B119:I119"/>
    <mergeCell ref="L119:N119"/>
    <mergeCell ref="B120:I120"/>
    <mergeCell ref="M120:N120"/>
    <mergeCell ref="M121:N121"/>
    <mergeCell ref="M112:N112"/>
    <mergeCell ref="M113:N113"/>
    <mergeCell ref="M114:N114"/>
    <mergeCell ref="M115:N115"/>
    <mergeCell ref="M116:N116"/>
    <mergeCell ref="M117:N117"/>
    <mergeCell ref="M127:N127"/>
    <mergeCell ref="M128:N128"/>
    <mergeCell ref="M129:N129"/>
    <mergeCell ref="M130:N130"/>
    <mergeCell ref="M131:N131"/>
    <mergeCell ref="M132:N132"/>
    <mergeCell ref="B122:I122"/>
    <mergeCell ref="M122:N122"/>
    <mergeCell ref="M123:N123"/>
    <mergeCell ref="M124:N124"/>
    <mergeCell ref="M125:N125"/>
    <mergeCell ref="M126:N126"/>
    <mergeCell ref="M137:N137"/>
    <mergeCell ref="M138:N138"/>
    <mergeCell ref="B139:I139"/>
    <mergeCell ref="M139:N139"/>
    <mergeCell ref="M140:N140"/>
    <mergeCell ref="M141:N141"/>
    <mergeCell ref="M133:N133"/>
    <mergeCell ref="B134:I134"/>
    <mergeCell ref="M134:N134"/>
    <mergeCell ref="M135:N135"/>
    <mergeCell ref="B136:I136"/>
    <mergeCell ref="M136:N136"/>
    <mergeCell ref="M147:N147"/>
    <mergeCell ref="M148:N148"/>
    <mergeCell ref="M149:N149"/>
    <mergeCell ref="B150:I150"/>
    <mergeCell ref="M150:N150"/>
    <mergeCell ref="M151:N151"/>
    <mergeCell ref="M142:N142"/>
    <mergeCell ref="B143:I143"/>
    <mergeCell ref="M143:N143"/>
    <mergeCell ref="M144:N144"/>
    <mergeCell ref="M145:N145"/>
    <mergeCell ref="M146:N146"/>
    <mergeCell ref="M157:N157"/>
    <mergeCell ref="M158:N158"/>
    <mergeCell ref="M159:N159"/>
    <mergeCell ref="B160:I160"/>
    <mergeCell ref="M160:N160"/>
    <mergeCell ref="M161:N161"/>
    <mergeCell ref="M152:N152"/>
    <mergeCell ref="M153:N153"/>
    <mergeCell ref="M154:N154"/>
    <mergeCell ref="M155:N155"/>
    <mergeCell ref="B156:I156"/>
    <mergeCell ref="L156:N156"/>
    <mergeCell ref="B166:I166"/>
    <mergeCell ref="M166:N166"/>
    <mergeCell ref="M167:N167"/>
    <mergeCell ref="M168:N168"/>
    <mergeCell ref="M169:N169"/>
    <mergeCell ref="M170:N170"/>
    <mergeCell ref="M162:N162"/>
    <mergeCell ref="B163:I163"/>
    <mergeCell ref="L163:N163"/>
    <mergeCell ref="B164:I164"/>
    <mergeCell ref="M164:N164"/>
    <mergeCell ref="M165:N165"/>
    <mergeCell ref="B176:I176"/>
    <mergeCell ref="M176:N176"/>
    <mergeCell ref="M177:N177"/>
    <mergeCell ref="M178:N178"/>
    <mergeCell ref="M179:N179"/>
    <mergeCell ref="M180:N180"/>
    <mergeCell ref="M171:N171"/>
    <mergeCell ref="M172:N172"/>
    <mergeCell ref="M173:N173"/>
    <mergeCell ref="M174:N174"/>
    <mergeCell ref="B175:I175"/>
    <mergeCell ref="L175:N175"/>
    <mergeCell ref="M187:N187"/>
    <mergeCell ref="B188:I188"/>
    <mergeCell ref="M188:N188"/>
    <mergeCell ref="M189:N189"/>
    <mergeCell ref="M190:N190"/>
    <mergeCell ref="M191:N191"/>
    <mergeCell ref="M181:N181"/>
    <mergeCell ref="M182:N182"/>
    <mergeCell ref="M183:N183"/>
    <mergeCell ref="M184:N184"/>
    <mergeCell ref="M185:N185"/>
    <mergeCell ref="M186:N186"/>
    <mergeCell ref="M198:N198"/>
    <mergeCell ref="M199:N199"/>
    <mergeCell ref="M200:N200"/>
    <mergeCell ref="M201:N201"/>
    <mergeCell ref="M202:N202"/>
    <mergeCell ref="M203:N203"/>
    <mergeCell ref="M192:N192"/>
    <mergeCell ref="M193:N193"/>
    <mergeCell ref="M194:N194"/>
    <mergeCell ref="M195:N195"/>
    <mergeCell ref="M196:N196"/>
    <mergeCell ref="M197:N197"/>
    <mergeCell ref="M209:N209"/>
    <mergeCell ref="M210:N210"/>
    <mergeCell ref="B211:I211"/>
    <mergeCell ref="M211:N211"/>
    <mergeCell ref="M212:N212"/>
    <mergeCell ref="M213:N213"/>
    <mergeCell ref="B204:I204"/>
    <mergeCell ref="M204:N204"/>
    <mergeCell ref="M205:N205"/>
    <mergeCell ref="M206:N206"/>
    <mergeCell ref="M207:N207"/>
    <mergeCell ref="M208:N208"/>
    <mergeCell ref="M220:N220"/>
    <mergeCell ref="M221:N221"/>
    <mergeCell ref="M222:N222"/>
    <mergeCell ref="M223:N223"/>
    <mergeCell ref="M224:N224"/>
    <mergeCell ref="B225:I225"/>
    <mergeCell ref="M225:N225"/>
    <mergeCell ref="M214:N214"/>
    <mergeCell ref="M215:N215"/>
    <mergeCell ref="M216:N216"/>
    <mergeCell ref="M217:N217"/>
    <mergeCell ref="M218:N218"/>
    <mergeCell ref="M219:N219"/>
    <mergeCell ref="M232:N232"/>
    <mergeCell ref="M233:N233"/>
    <mergeCell ref="M234:N234"/>
    <mergeCell ref="M235:N235"/>
    <mergeCell ref="B236:I236"/>
    <mergeCell ref="M236:N236"/>
    <mergeCell ref="M226:N226"/>
    <mergeCell ref="M227:N227"/>
    <mergeCell ref="M228:N228"/>
    <mergeCell ref="M229:N229"/>
    <mergeCell ref="M230:N230"/>
    <mergeCell ref="M231:N231"/>
    <mergeCell ref="B243:I243"/>
    <mergeCell ref="L243:N243"/>
    <mergeCell ref="B244:I244"/>
    <mergeCell ref="M244:N244"/>
    <mergeCell ref="M245:N245"/>
    <mergeCell ref="M246:N246"/>
    <mergeCell ref="M237:N237"/>
    <mergeCell ref="M238:N238"/>
    <mergeCell ref="M239:N239"/>
    <mergeCell ref="M240:N240"/>
    <mergeCell ref="M241:N241"/>
    <mergeCell ref="M242:N242"/>
    <mergeCell ref="M253:N253"/>
    <mergeCell ref="M254:N254"/>
    <mergeCell ref="M255:N255"/>
    <mergeCell ref="M256:N256"/>
    <mergeCell ref="M257:N257"/>
    <mergeCell ref="M258:N258"/>
    <mergeCell ref="M247:N247"/>
    <mergeCell ref="M248:N248"/>
    <mergeCell ref="M249:N249"/>
    <mergeCell ref="M250:N250"/>
    <mergeCell ref="M251:N251"/>
    <mergeCell ref="M252:N252"/>
    <mergeCell ref="M265:N265"/>
    <mergeCell ref="M266:N266"/>
    <mergeCell ref="M267:N267"/>
    <mergeCell ref="M268:N268"/>
    <mergeCell ref="M269:N269"/>
    <mergeCell ref="B270:I270"/>
    <mergeCell ref="M270:N270"/>
    <mergeCell ref="M259:N259"/>
    <mergeCell ref="M260:N260"/>
    <mergeCell ref="M261:N261"/>
    <mergeCell ref="M262:N262"/>
    <mergeCell ref="M263:N263"/>
    <mergeCell ref="M264:N264"/>
    <mergeCell ref="M277:N277"/>
    <mergeCell ref="M278:N278"/>
    <mergeCell ref="M279:N279"/>
    <mergeCell ref="M280:N280"/>
    <mergeCell ref="M281:N281"/>
    <mergeCell ref="B282:I282"/>
    <mergeCell ref="M282:N282"/>
    <mergeCell ref="M271:N271"/>
    <mergeCell ref="M272:N272"/>
    <mergeCell ref="M273:N273"/>
    <mergeCell ref="M274:N274"/>
    <mergeCell ref="M275:N275"/>
    <mergeCell ref="M276:N276"/>
    <mergeCell ref="M289:N289"/>
    <mergeCell ref="M290:N290"/>
    <mergeCell ref="M291:N291"/>
    <mergeCell ref="B292:I292"/>
    <mergeCell ref="M292:N292"/>
    <mergeCell ref="M293:N293"/>
    <mergeCell ref="M283:N283"/>
    <mergeCell ref="M284:N284"/>
    <mergeCell ref="M285:N285"/>
    <mergeCell ref="M286:N286"/>
    <mergeCell ref="M287:N287"/>
    <mergeCell ref="M288:N288"/>
    <mergeCell ref="M300:N300"/>
    <mergeCell ref="M301:N301"/>
    <mergeCell ref="M302:N302"/>
    <mergeCell ref="M303:N303"/>
    <mergeCell ref="B304:I304"/>
    <mergeCell ref="M304:N304"/>
    <mergeCell ref="M294:N294"/>
    <mergeCell ref="M295:N295"/>
    <mergeCell ref="M296:N296"/>
    <mergeCell ref="M297:N297"/>
    <mergeCell ref="M298:N298"/>
    <mergeCell ref="M299:N299"/>
    <mergeCell ref="B320:I320"/>
    <mergeCell ref="M320:N320"/>
    <mergeCell ref="M311:N311"/>
    <mergeCell ref="B312:I312"/>
    <mergeCell ref="M312:N312"/>
    <mergeCell ref="M313:N313"/>
    <mergeCell ref="M314:N314"/>
    <mergeCell ref="M315:N315"/>
    <mergeCell ref="M305:N305"/>
    <mergeCell ref="M306:N306"/>
    <mergeCell ref="M307:N307"/>
    <mergeCell ref="M308:N308"/>
    <mergeCell ref="M309:N309"/>
    <mergeCell ref="M310:N310"/>
    <mergeCell ref="M321:N321"/>
    <mergeCell ref="M322:N322"/>
    <mergeCell ref="M323:N323"/>
    <mergeCell ref="M324:N324"/>
    <mergeCell ref="M325:N325"/>
    <mergeCell ref="M326:N326"/>
    <mergeCell ref="M316:N316"/>
    <mergeCell ref="M317:N317"/>
    <mergeCell ref="M318:N318"/>
    <mergeCell ref="M319:N319"/>
    <mergeCell ref="M333:N333"/>
    <mergeCell ref="B334:I334"/>
    <mergeCell ref="M334:N334"/>
    <mergeCell ref="M335:N335"/>
    <mergeCell ref="M336:N336"/>
    <mergeCell ref="M337:N337"/>
    <mergeCell ref="M327:N327"/>
    <mergeCell ref="M328:N328"/>
    <mergeCell ref="M329:N329"/>
    <mergeCell ref="M330:N330"/>
    <mergeCell ref="M331:N331"/>
    <mergeCell ref="M332:N332"/>
    <mergeCell ref="M344:N344"/>
    <mergeCell ref="B345:I345"/>
    <mergeCell ref="M345:N345"/>
    <mergeCell ref="M346:N346"/>
    <mergeCell ref="M347:N347"/>
    <mergeCell ref="M348:N348"/>
    <mergeCell ref="M338:N338"/>
    <mergeCell ref="M339:N339"/>
    <mergeCell ref="M340:N340"/>
    <mergeCell ref="M341:N341"/>
    <mergeCell ref="M342:N342"/>
    <mergeCell ref="M343:N343"/>
    <mergeCell ref="M355:N355"/>
    <mergeCell ref="M356:N356"/>
    <mergeCell ref="M357:N357"/>
    <mergeCell ref="M358:N358"/>
    <mergeCell ref="B359:I359"/>
    <mergeCell ref="M359:N359"/>
    <mergeCell ref="M349:N349"/>
    <mergeCell ref="M350:N350"/>
    <mergeCell ref="M351:N351"/>
    <mergeCell ref="M352:N352"/>
    <mergeCell ref="M353:N353"/>
    <mergeCell ref="M354:N354"/>
    <mergeCell ref="M366:N366"/>
    <mergeCell ref="M367:N367"/>
    <mergeCell ref="M368:N368"/>
    <mergeCell ref="M369:N369"/>
    <mergeCell ref="M370:N370"/>
    <mergeCell ref="M371:N371"/>
    <mergeCell ref="M360:N360"/>
    <mergeCell ref="M361:N361"/>
    <mergeCell ref="M362:N362"/>
    <mergeCell ref="M363:N363"/>
    <mergeCell ref="M364:N364"/>
    <mergeCell ref="M365:N365"/>
    <mergeCell ref="M377:N377"/>
    <mergeCell ref="M378:N378"/>
    <mergeCell ref="M379:N379"/>
    <mergeCell ref="M380:N380"/>
    <mergeCell ref="M381:N381"/>
    <mergeCell ref="B382:I382"/>
    <mergeCell ref="M382:N382"/>
    <mergeCell ref="B372:I372"/>
    <mergeCell ref="M372:N372"/>
    <mergeCell ref="M373:N373"/>
    <mergeCell ref="M374:N374"/>
    <mergeCell ref="M375:N375"/>
    <mergeCell ref="M376:N376"/>
    <mergeCell ref="M389:N389"/>
    <mergeCell ref="M390:N390"/>
    <mergeCell ref="M391:N391"/>
    <mergeCell ref="M392:N392"/>
    <mergeCell ref="M393:N393"/>
    <mergeCell ref="M394:N394"/>
    <mergeCell ref="M383:N383"/>
    <mergeCell ref="M384:N384"/>
    <mergeCell ref="M385:N385"/>
    <mergeCell ref="M386:N386"/>
    <mergeCell ref="M387:N387"/>
    <mergeCell ref="M388:N388"/>
    <mergeCell ref="B403:I403"/>
    <mergeCell ref="M403:N403"/>
    <mergeCell ref="M404:N404"/>
    <mergeCell ref="B395:I395"/>
    <mergeCell ref="M395:N395"/>
    <mergeCell ref="M396:N396"/>
    <mergeCell ref="M397:N397"/>
    <mergeCell ref="M398:N398"/>
    <mergeCell ref="M399:N399"/>
    <mergeCell ref="M405:N405"/>
    <mergeCell ref="M406:N406"/>
    <mergeCell ref="M407:N407"/>
    <mergeCell ref="M408:N408"/>
    <mergeCell ref="M409:N409"/>
    <mergeCell ref="M410:N410"/>
    <mergeCell ref="M400:N400"/>
    <mergeCell ref="M401:N401"/>
    <mergeCell ref="M402:N402"/>
    <mergeCell ref="M417:N417"/>
    <mergeCell ref="M418:N418"/>
    <mergeCell ref="M419:N419"/>
    <mergeCell ref="B420:I420"/>
    <mergeCell ref="M420:N420"/>
    <mergeCell ref="M421:N421"/>
    <mergeCell ref="M411:N411"/>
    <mergeCell ref="M412:N412"/>
    <mergeCell ref="M413:N413"/>
    <mergeCell ref="M414:N414"/>
    <mergeCell ref="M415:N415"/>
    <mergeCell ref="M416:N416"/>
    <mergeCell ref="M428:N428"/>
    <mergeCell ref="M429:N429"/>
    <mergeCell ref="M430:N430"/>
    <mergeCell ref="B431:I431"/>
    <mergeCell ref="M431:N431"/>
    <mergeCell ref="M432:N432"/>
    <mergeCell ref="M422:N422"/>
    <mergeCell ref="M423:N423"/>
    <mergeCell ref="M424:N424"/>
    <mergeCell ref="M425:N425"/>
    <mergeCell ref="M426:N426"/>
    <mergeCell ref="M427:N427"/>
    <mergeCell ref="B442:I442"/>
    <mergeCell ref="M442:N442"/>
    <mergeCell ref="M443:N443"/>
    <mergeCell ref="M433:N433"/>
    <mergeCell ref="M434:N434"/>
    <mergeCell ref="M435:N435"/>
    <mergeCell ref="M436:N436"/>
    <mergeCell ref="M437:N437"/>
    <mergeCell ref="M438:N438"/>
    <mergeCell ref="M444:N444"/>
    <mergeCell ref="M445:N445"/>
    <mergeCell ref="M446:N446"/>
    <mergeCell ref="M447:N447"/>
    <mergeCell ref="M448:N448"/>
    <mergeCell ref="M449:N449"/>
    <mergeCell ref="M439:N439"/>
    <mergeCell ref="M440:N440"/>
    <mergeCell ref="M441:N441"/>
    <mergeCell ref="M455:N455"/>
    <mergeCell ref="M456:N456"/>
    <mergeCell ref="M457:N457"/>
    <mergeCell ref="M458:N458"/>
    <mergeCell ref="M459:N459"/>
    <mergeCell ref="M460:N460"/>
    <mergeCell ref="M450:N450"/>
    <mergeCell ref="M451:N451"/>
    <mergeCell ref="B452:I452"/>
    <mergeCell ref="M452:N452"/>
    <mergeCell ref="M453:N453"/>
    <mergeCell ref="M454:N454"/>
    <mergeCell ref="M466:N466"/>
    <mergeCell ref="M467:N467"/>
    <mergeCell ref="M468:N468"/>
    <mergeCell ref="M469:N469"/>
    <mergeCell ref="M470:N470"/>
    <mergeCell ref="M471:N471"/>
    <mergeCell ref="B461:I461"/>
    <mergeCell ref="M461:N461"/>
    <mergeCell ref="M462:N462"/>
    <mergeCell ref="M463:N463"/>
    <mergeCell ref="M464:N464"/>
    <mergeCell ref="M465:N465"/>
    <mergeCell ref="M478:N478"/>
    <mergeCell ref="M479:N479"/>
    <mergeCell ref="M480:N480"/>
    <mergeCell ref="M481:N481"/>
    <mergeCell ref="M482:N482"/>
    <mergeCell ref="M483:N483"/>
    <mergeCell ref="M472:N472"/>
    <mergeCell ref="M473:N473"/>
    <mergeCell ref="M474:N474"/>
    <mergeCell ref="M475:N475"/>
    <mergeCell ref="M476:N476"/>
    <mergeCell ref="M477:N477"/>
    <mergeCell ref="B499:I499"/>
    <mergeCell ref="M499:N499"/>
    <mergeCell ref="B490:I490"/>
    <mergeCell ref="M490:N490"/>
    <mergeCell ref="M491:N491"/>
    <mergeCell ref="M492:N492"/>
    <mergeCell ref="M493:N493"/>
    <mergeCell ref="M494:N494"/>
    <mergeCell ref="M484:N484"/>
    <mergeCell ref="M485:N485"/>
    <mergeCell ref="M486:N486"/>
    <mergeCell ref="M487:N487"/>
    <mergeCell ref="M488:N488"/>
    <mergeCell ref="M489:N489"/>
    <mergeCell ref="M500:N500"/>
    <mergeCell ref="M501:N501"/>
    <mergeCell ref="M502:N502"/>
    <mergeCell ref="M503:N503"/>
    <mergeCell ref="M504:N504"/>
    <mergeCell ref="M505:N505"/>
    <mergeCell ref="M495:N495"/>
    <mergeCell ref="M496:N496"/>
    <mergeCell ref="M497:N497"/>
    <mergeCell ref="M498:N498"/>
    <mergeCell ref="M512:N512"/>
    <mergeCell ref="M513:N513"/>
    <mergeCell ref="M514:N514"/>
    <mergeCell ref="M515:N515"/>
    <mergeCell ref="M516:N516"/>
    <mergeCell ref="M517:N517"/>
    <mergeCell ref="M506:N506"/>
    <mergeCell ref="M507:N507"/>
    <mergeCell ref="M508:N508"/>
    <mergeCell ref="M509:N509"/>
    <mergeCell ref="M510:N510"/>
    <mergeCell ref="M511:N511"/>
    <mergeCell ref="M523:N523"/>
    <mergeCell ref="M524:N524"/>
    <mergeCell ref="B525:I525"/>
    <mergeCell ref="M525:N525"/>
    <mergeCell ref="M526:N526"/>
    <mergeCell ref="M527:N527"/>
    <mergeCell ref="B518:I518"/>
    <mergeCell ref="M518:N518"/>
    <mergeCell ref="M519:N519"/>
    <mergeCell ref="M520:N520"/>
    <mergeCell ref="M521:N521"/>
    <mergeCell ref="M522:N522"/>
    <mergeCell ref="B537:I537"/>
    <mergeCell ref="M537:N537"/>
    <mergeCell ref="M538:N538"/>
    <mergeCell ref="M528:N528"/>
    <mergeCell ref="M529:N529"/>
    <mergeCell ref="M530:N530"/>
    <mergeCell ref="M531:N531"/>
    <mergeCell ref="M532:N532"/>
    <mergeCell ref="M533:N533"/>
    <mergeCell ref="M539:N539"/>
    <mergeCell ref="M540:N540"/>
    <mergeCell ref="M541:N541"/>
    <mergeCell ref="M542:N542"/>
    <mergeCell ref="M543:N543"/>
    <mergeCell ref="M544:N544"/>
    <mergeCell ref="M534:N534"/>
    <mergeCell ref="M535:N535"/>
    <mergeCell ref="M536:N536"/>
    <mergeCell ref="M551:N551"/>
    <mergeCell ref="M552:N552"/>
    <mergeCell ref="M553:N553"/>
    <mergeCell ref="M554:N554"/>
    <mergeCell ref="M555:N555"/>
    <mergeCell ref="M556:N556"/>
    <mergeCell ref="M545:N545"/>
    <mergeCell ref="M546:N546"/>
    <mergeCell ref="M547:N547"/>
    <mergeCell ref="M548:N548"/>
    <mergeCell ref="M549:N549"/>
    <mergeCell ref="M550:N550"/>
    <mergeCell ref="M563:N563"/>
    <mergeCell ref="M564:N564"/>
    <mergeCell ref="M565:N565"/>
    <mergeCell ref="M566:N566"/>
    <mergeCell ref="M567:N567"/>
    <mergeCell ref="M568:N568"/>
    <mergeCell ref="M557:N557"/>
    <mergeCell ref="M558:N558"/>
    <mergeCell ref="M559:N559"/>
    <mergeCell ref="M560:N560"/>
    <mergeCell ref="M561:N561"/>
    <mergeCell ref="M562:N562"/>
    <mergeCell ref="M575:N575"/>
    <mergeCell ref="M576:N576"/>
    <mergeCell ref="M577:N577"/>
    <mergeCell ref="M578:N578"/>
    <mergeCell ref="M579:N579"/>
    <mergeCell ref="M580:N580"/>
    <mergeCell ref="M569:N569"/>
    <mergeCell ref="M570:N570"/>
    <mergeCell ref="M571:N571"/>
    <mergeCell ref="M572:N572"/>
    <mergeCell ref="M573:N573"/>
    <mergeCell ref="M574:N574"/>
    <mergeCell ref="M587:N587"/>
    <mergeCell ref="M588:N588"/>
    <mergeCell ref="M589:N589"/>
    <mergeCell ref="M590:N590"/>
    <mergeCell ref="M591:N591"/>
    <mergeCell ref="M592:N592"/>
    <mergeCell ref="M581:N581"/>
    <mergeCell ref="M582:N582"/>
    <mergeCell ref="M583:N583"/>
    <mergeCell ref="M584:N584"/>
    <mergeCell ref="M585:N585"/>
    <mergeCell ref="M586:N586"/>
    <mergeCell ref="M599:N599"/>
    <mergeCell ref="M600:N600"/>
    <mergeCell ref="M601:N601"/>
    <mergeCell ref="M602:N602"/>
    <mergeCell ref="M603:N603"/>
    <mergeCell ref="M604:N604"/>
    <mergeCell ref="M593:N593"/>
    <mergeCell ref="M594:N594"/>
    <mergeCell ref="M595:N595"/>
    <mergeCell ref="M596:N596"/>
    <mergeCell ref="M597:N597"/>
    <mergeCell ref="M598:N598"/>
    <mergeCell ref="M611:N611"/>
    <mergeCell ref="M612:N612"/>
    <mergeCell ref="M613:N613"/>
    <mergeCell ref="M614:N614"/>
    <mergeCell ref="M615:N615"/>
    <mergeCell ref="M616:N616"/>
    <mergeCell ref="M605:N605"/>
    <mergeCell ref="M606:N606"/>
    <mergeCell ref="M607:N607"/>
    <mergeCell ref="M608:N608"/>
    <mergeCell ref="M609:N609"/>
    <mergeCell ref="M610:N610"/>
    <mergeCell ref="M623:N623"/>
    <mergeCell ref="M624:N624"/>
    <mergeCell ref="M625:N625"/>
    <mergeCell ref="M626:N626"/>
    <mergeCell ref="M627:N627"/>
    <mergeCell ref="M628:N628"/>
    <mergeCell ref="M617:N617"/>
    <mergeCell ref="M618:N618"/>
    <mergeCell ref="M619:N619"/>
    <mergeCell ref="M620:N620"/>
    <mergeCell ref="M621:N621"/>
    <mergeCell ref="M622:N622"/>
    <mergeCell ref="M635:N635"/>
    <mergeCell ref="M636:N636"/>
    <mergeCell ref="M637:N637"/>
    <mergeCell ref="M638:N638"/>
    <mergeCell ref="M639:N639"/>
    <mergeCell ref="M640:N640"/>
    <mergeCell ref="M629:N629"/>
    <mergeCell ref="M630:N630"/>
    <mergeCell ref="M631:N631"/>
    <mergeCell ref="M632:N632"/>
    <mergeCell ref="M633:N633"/>
    <mergeCell ref="M634:N634"/>
    <mergeCell ref="M647:N647"/>
    <mergeCell ref="M648:N648"/>
    <mergeCell ref="M649:N649"/>
    <mergeCell ref="M650:N650"/>
    <mergeCell ref="M651:N651"/>
    <mergeCell ref="M652:N652"/>
    <mergeCell ref="M641:N641"/>
    <mergeCell ref="M642:N642"/>
    <mergeCell ref="M643:N643"/>
    <mergeCell ref="M644:N644"/>
    <mergeCell ref="M645:N645"/>
    <mergeCell ref="M646:N646"/>
    <mergeCell ref="M659:N659"/>
    <mergeCell ref="M660:N660"/>
    <mergeCell ref="M661:N661"/>
    <mergeCell ref="M662:N662"/>
    <mergeCell ref="M663:N663"/>
    <mergeCell ref="M664:N664"/>
    <mergeCell ref="M653:N653"/>
    <mergeCell ref="M654:N654"/>
    <mergeCell ref="M655:N655"/>
    <mergeCell ref="M656:N656"/>
    <mergeCell ref="M657:N657"/>
    <mergeCell ref="M658:N658"/>
    <mergeCell ref="M671:N671"/>
    <mergeCell ref="M672:N672"/>
    <mergeCell ref="M673:N673"/>
    <mergeCell ref="B674:I674"/>
    <mergeCell ref="L674:N674"/>
    <mergeCell ref="M675:N675"/>
    <mergeCell ref="M665:N665"/>
    <mergeCell ref="M666:N666"/>
    <mergeCell ref="M667:N667"/>
    <mergeCell ref="M668:N668"/>
    <mergeCell ref="M669:N669"/>
    <mergeCell ref="M670:N670"/>
    <mergeCell ref="AI690:AL690"/>
    <mergeCell ref="AI691:AL691"/>
    <mergeCell ref="B682:I682"/>
    <mergeCell ref="M682:N682"/>
    <mergeCell ref="B683:I683"/>
    <mergeCell ref="L683:N683"/>
    <mergeCell ref="AI684:AL684"/>
    <mergeCell ref="AI685:AL685"/>
    <mergeCell ref="M676:N676"/>
    <mergeCell ref="M677:N677"/>
    <mergeCell ref="M678:N678"/>
    <mergeCell ref="M679:N679"/>
    <mergeCell ref="M680:N680"/>
    <mergeCell ref="M681:N681"/>
  </mergeCells>
  <printOptions horizontalCentered="1"/>
  <pageMargins left="0.23622047244094491" right="0.11811023622047245" top="0.59055118110236227" bottom="0.39370078740157483" header="0.35433070866141736" footer="0.35433070866141736"/>
  <pageSetup paperSize="257" scale="75" fitToWidth="0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outlinePr summaryBelow="0" summaryRight="0"/>
    <pageSetUpPr autoPageBreaks="0"/>
  </sheetPr>
  <dimension ref="A1:CE722"/>
  <sheetViews>
    <sheetView showOutlineSymbols="0" view="pageBreakPreview" zoomScale="80" zoomScaleNormal="85" zoomScaleSheetLayoutView="80" workbookViewId="0">
      <pane ySplit="8" topLeftCell="A18" activePane="bottomLeft" state="frozen"/>
      <selection activeCell="Q553" sqref="Q553"/>
      <selection pane="bottomLeft" activeCell="AI27" sqref="AI27"/>
    </sheetView>
  </sheetViews>
  <sheetFormatPr defaultRowHeight="13.5" customHeight="1" x14ac:dyDescent="0.25"/>
  <cols>
    <col min="1" max="1" width="5" style="205" customWidth="1"/>
    <col min="2" max="2" width="1.140625" style="205" hidden="1" customWidth="1"/>
    <col min="3" max="3" width="1.7109375" style="205" hidden="1" customWidth="1"/>
    <col min="4" max="5" width="1.140625" style="205" hidden="1" customWidth="1"/>
    <col min="6" max="6" width="1.7109375" style="205" hidden="1" customWidth="1"/>
    <col min="7" max="7" width="2" style="205" hidden="1" customWidth="1"/>
    <col min="8" max="8" width="8.5703125" style="205" hidden="1" customWidth="1"/>
    <col min="9" max="9" width="1.140625" style="205" hidden="1" customWidth="1"/>
    <col min="10" max="10" width="22.5703125" style="205" customWidth="1"/>
    <col min="11" max="11" width="2.28515625" style="205" customWidth="1"/>
    <col min="12" max="12" width="1.7109375" style="205" customWidth="1"/>
    <col min="13" max="13" width="5.85546875" style="205" customWidth="1"/>
    <col min="14" max="14" width="30.7109375" style="205" customWidth="1"/>
    <col min="15" max="16" width="16.42578125" style="205" hidden="1" customWidth="1"/>
    <col min="17" max="17" width="21.85546875" style="205" customWidth="1"/>
    <col min="18" max="18" width="8.28515625" style="205" customWidth="1"/>
    <col min="19" max="19" width="8" style="205" customWidth="1"/>
    <col min="20" max="20" width="11" style="205" bestFit="1" customWidth="1"/>
    <col min="21" max="21" width="11" style="205" customWidth="1"/>
    <col min="22" max="22" width="11" style="331" customWidth="1"/>
    <col min="23" max="31" width="15.85546875" style="205" hidden="1" customWidth="1"/>
    <col min="32" max="32" width="18.28515625" style="205" hidden="1" customWidth="1"/>
    <col min="33" max="34" width="15.85546875" style="205" hidden="1" customWidth="1"/>
    <col min="35" max="35" width="22.42578125" style="335" customWidth="1"/>
    <col min="36" max="36" width="14.7109375" style="205" customWidth="1"/>
    <col min="37" max="37" width="24.28515625" style="407" customWidth="1"/>
    <col min="38" max="38" width="9.5703125" style="205" customWidth="1"/>
    <col min="39" max="39" width="6.85546875" style="205" customWidth="1"/>
    <col min="40" max="42" width="0" style="205" hidden="1" customWidth="1"/>
    <col min="43" max="43" width="9.140625" style="205"/>
    <col min="44" max="44" width="20.140625" style="205" bestFit="1" customWidth="1"/>
    <col min="45" max="45" width="15.85546875" style="205" bestFit="1" customWidth="1"/>
    <col min="46" max="16384" width="9.140625" style="205"/>
  </cols>
  <sheetData>
    <row r="1" spans="1:45" ht="13.5" customHeight="1" x14ac:dyDescent="0.25">
      <c r="A1" s="203"/>
      <c r="B1" s="646" t="s">
        <v>0</v>
      </c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C1" s="646"/>
      <c r="AD1" s="646"/>
      <c r="AE1" s="646"/>
      <c r="AF1" s="646"/>
      <c r="AG1" s="646"/>
      <c r="AH1" s="646"/>
      <c r="AI1" s="646"/>
      <c r="AJ1" s="646"/>
      <c r="AK1" s="646"/>
      <c r="AL1" s="646"/>
      <c r="AM1" s="646"/>
      <c r="AN1" s="204"/>
      <c r="AO1" s="204"/>
      <c r="AP1" s="204"/>
    </row>
    <row r="2" spans="1:45" s="206" customFormat="1" ht="13.5" customHeight="1" x14ac:dyDescent="0.25">
      <c r="A2" s="646" t="s">
        <v>541</v>
      </c>
      <c r="B2" s="646"/>
      <c r="C2" s="646"/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C2" s="646"/>
      <c r="AD2" s="646"/>
      <c r="AE2" s="646"/>
      <c r="AF2" s="646"/>
      <c r="AG2" s="646"/>
      <c r="AH2" s="646"/>
      <c r="AI2" s="646"/>
      <c r="AJ2" s="646"/>
      <c r="AK2" s="646"/>
      <c r="AL2" s="646"/>
      <c r="AM2" s="646"/>
    </row>
    <row r="3" spans="1:45" ht="13.5" customHeight="1" x14ac:dyDescent="0.25">
      <c r="A3" s="646" t="s">
        <v>636</v>
      </c>
      <c r="B3" s="646"/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C3" s="646"/>
      <c r="AD3" s="646"/>
      <c r="AE3" s="646"/>
      <c r="AF3" s="646"/>
      <c r="AG3" s="646"/>
      <c r="AH3" s="646"/>
      <c r="AI3" s="646"/>
      <c r="AJ3" s="646"/>
      <c r="AK3" s="646"/>
      <c r="AL3" s="646"/>
      <c r="AM3" s="646"/>
      <c r="AN3" s="646"/>
      <c r="AO3" s="646"/>
      <c r="AP3" s="204"/>
    </row>
    <row r="4" spans="1:45" ht="13.5" customHeight="1" x14ac:dyDescent="0.25">
      <c r="A4" s="203" t="s">
        <v>426</v>
      </c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3"/>
      <c r="S4" s="203"/>
      <c r="T4" s="204"/>
      <c r="U4" s="204"/>
      <c r="V4" s="208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402"/>
      <c r="AL4" s="204"/>
      <c r="AM4" s="204"/>
      <c r="AN4" s="204"/>
      <c r="AO4" s="204"/>
      <c r="AP4" s="204"/>
    </row>
    <row r="5" spans="1:45" ht="13.5" customHeight="1" x14ac:dyDescent="0.25">
      <c r="A5" s="497" t="s">
        <v>1</v>
      </c>
      <c r="B5" s="497" t="s">
        <v>56</v>
      </c>
      <c r="C5" s="497"/>
      <c r="D5" s="497"/>
      <c r="E5" s="497"/>
      <c r="F5" s="497"/>
      <c r="G5" s="497"/>
      <c r="H5" s="497"/>
      <c r="I5" s="497"/>
      <c r="J5" s="498" t="s">
        <v>192</v>
      </c>
      <c r="K5" s="497" t="s">
        <v>2</v>
      </c>
      <c r="L5" s="497"/>
      <c r="M5" s="497"/>
      <c r="N5" s="497"/>
      <c r="O5" s="497" t="s">
        <v>57</v>
      </c>
      <c r="P5" s="498" t="s">
        <v>58</v>
      </c>
      <c r="Q5" s="497" t="s">
        <v>3</v>
      </c>
      <c r="R5" s="497" t="s">
        <v>4</v>
      </c>
      <c r="S5" s="497" t="s">
        <v>59</v>
      </c>
      <c r="T5" s="505" t="s">
        <v>60</v>
      </c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0"/>
      <c r="AI5" s="506"/>
      <c r="AJ5" s="497" t="s">
        <v>5</v>
      </c>
      <c r="AK5" s="647" t="s">
        <v>61</v>
      </c>
      <c r="AL5" s="497" t="s">
        <v>5</v>
      </c>
      <c r="AM5" s="497" t="s">
        <v>62</v>
      </c>
      <c r="AN5" s="497" t="s">
        <v>63</v>
      </c>
      <c r="AO5" s="497" t="s">
        <v>64</v>
      </c>
      <c r="AP5" s="497" t="s">
        <v>62</v>
      </c>
    </row>
    <row r="6" spans="1:45" ht="13.5" customHeight="1" x14ac:dyDescent="0.25">
      <c r="A6" s="497"/>
      <c r="B6" s="497"/>
      <c r="C6" s="497"/>
      <c r="D6" s="497"/>
      <c r="E6" s="497"/>
      <c r="F6" s="497"/>
      <c r="G6" s="497"/>
      <c r="H6" s="497"/>
      <c r="I6" s="497"/>
      <c r="J6" s="499"/>
      <c r="K6" s="497"/>
      <c r="L6" s="497"/>
      <c r="M6" s="497"/>
      <c r="N6" s="497"/>
      <c r="O6" s="497"/>
      <c r="P6" s="499"/>
      <c r="Q6" s="497"/>
      <c r="R6" s="497"/>
      <c r="S6" s="497"/>
      <c r="T6" s="505" t="s">
        <v>65</v>
      </c>
      <c r="U6" s="506"/>
      <c r="V6" s="507" t="s">
        <v>66</v>
      </c>
      <c r="W6" s="498" t="s">
        <v>67</v>
      </c>
      <c r="X6" s="498" t="s">
        <v>68</v>
      </c>
      <c r="Y6" s="498" t="s">
        <v>69</v>
      </c>
      <c r="Z6" s="498" t="s">
        <v>70</v>
      </c>
      <c r="AA6" s="498" t="s">
        <v>71</v>
      </c>
      <c r="AB6" s="498" t="s">
        <v>72</v>
      </c>
      <c r="AC6" s="498" t="s">
        <v>73</v>
      </c>
      <c r="AD6" s="498" t="s">
        <v>74</v>
      </c>
      <c r="AE6" s="498" t="s">
        <v>75</v>
      </c>
      <c r="AF6" s="498" t="s">
        <v>76</v>
      </c>
      <c r="AG6" s="498" t="s">
        <v>77</v>
      </c>
      <c r="AH6" s="498" t="s">
        <v>78</v>
      </c>
      <c r="AI6" s="498" t="s">
        <v>79</v>
      </c>
      <c r="AJ6" s="497"/>
      <c r="AK6" s="647"/>
      <c r="AL6" s="497"/>
      <c r="AM6" s="497"/>
      <c r="AN6" s="497"/>
      <c r="AO6" s="497"/>
      <c r="AP6" s="497"/>
    </row>
    <row r="7" spans="1:45" ht="34.5" customHeight="1" x14ac:dyDescent="0.25">
      <c r="A7" s="497"/>
      <c r="B7" s="497"/>
      <c r="C7" s="497"/>
      <c r="D7" s="497"/>
      <c r="E7" s="497"/>
      <c r="F7" s="497"/>
      <c r="G7" s="497"/>
      <c r="H7" s="497"/>
      <c r="I7" s="497"/>
      <c r="J7" s="500"/>
      <c r="K7" s="497"/>
      <c r="L7" s="497"/>
      <c r="M7" s="497"/>
      <c r="N7" s="497"/>
      <c r="O7" s="497"/>
      <c r="P7" s="500"/>
      <c r="Q7" s="497"/>
      <c r="R7" s="497"/>
      <c r="S7" s="497"/>
      <c r="T7" s="380" t="s">
        <v>80</v>
      </c>
      <c r="U7" s="380" t="s">
        <v>6</v>
      </c>
      <c r="V7" s="508"/>
      <c r="W7" s="500"/>
      <c r="X7" s="500"/>
      <c r="Y7" s="500"/>
      <c r="Z7" s="500"/>
      <c r="AA7" s="500"/>
      <c r="AB7" s="500"/>
      <c r="AC7" s="500"/>
      <c r="AD7" s="500"/>
      <c r="AE7" s="500"/>
      <c r="AF7" s="500"/>
      <c r="AG7" s="500"/>
      <c r="AH7" s="500"/>
      <c r="AI7" s="500"/>
      <c r="AJ7" s="497"/>
      <c r="AK7" s="647"/>
      <c r="AL7" s="497"/>
      <c r="AM7" s="497"/>
      <c r="AN7" s="497"/>
      <c r="AO7" s="497"/>
      <c r="AP7" s="497"/>
    </row>
    <row r="8" spans="1:45" s="210" customFormat="1" ht="13.5" customHeight="1" x14ac:dyDescent="0.25">
      <c r="A8" s="379">
        <v>1</v>
      </c>
      <c r="B8" s="509">
        <v>2</v>
      </c>
      <c r="C8" s="509"/>
      <c r="D8" s="509"/>
      <c r="E8" s="509"/>
      <c r="F8" s="509"/>
      <c r="G8" s="509"/>
      <c r="H8" s="509"/>
      <c r="I8" s="509"/>
      <c r="J8" s="379"/>
      <c r="K8" s="509">
        <v>2</v>
      </c>
      <c r="L8" s="509"/>
      <c r="M8" s="509"/>
      <c r="N8" s="509"/>
      <c r="O8" s="379">
        <v>3</v>
      </c>
      <c r="P8" s="379">
        <v>3</v>
      </c>
      <c r="Q8" s="379">
        <v>4</v>
      </c>
      <c r="R8" s="379">
        <v>5</v>
      </c>
      <c r="S8" s="379">
        <v>6</v>
      </c>
      <c r="T8" s="379">
        <v>7</v>
      </c>
      <c r="U8" s="379" t="s">
        <v>81</v>
      </c>
      <c r="V8" s="107" t="s">
        <v>82</v>
      </c>
      <c r="W8" s="379"/>
      <c r="X8" s="379"/>
      <c r="Y8" s="379"/>
      <c r="Z8" s="379"/>
      <c r="AA8" s="379"/>
      <c r="AB8" s="379"/>
      <c r="AC8" s="379"/>
      <c r="AD8" s="379"/>
      <c r="AE8" s="379"/>
      <c r="AF8" s="379"/>
      <c r="AG8" s="379"/>
      <c r="AH8" s="379"/>
      <c r="AI8" s="379">
        <v>10</v>
      </c>
      <c r="AJ8" s="379" t="s">
        <v>83</v>
      </c>
      <c r="AK8" s="403" t="s">
        <v>84</v>
      </c>
      <c r="AL8" s="379" t="s">
        <v>85</v>
      </c>
      <c r="AM8" s="379">
        <v>14</v>
      </c>
      <c r="AN8" s="379"/>
      <c r="AO8" s="379"/>
      <c r="AP8" s="379">
        <v>12</v>
      </c>
    </row>
    <row r="9" spans="1:45" ht="13.5" customHeight="1" thickBot="1" x14ac:dyDescent="0.3">
      <c r="A9" s="211" t="s">
        <v>544</v>
      </c>
      <c r="B9" s="212"/>
      <c r="C9" s="212"/>
      <c r="D9" s="212"/>
      <c r="E9" s="212"/>
      <c r="F9" s="212"/>
      <c r="G9" s="212"/>
      <c r="H9" s="212"/>
      <c r="I9" s="213"/>
      <c r="J9" s="212"/>
      <c r="K9" s="214"/>
      <c r="L9" s="212"/>
      <c r="M9" s="212"/>
      <c r="N9" s="213"/>
      <c r="O9" s="211"/>
      <c r="P9" s="211"/>
      <c r="Q9" s="211"/>
      <c r="R9" s="211"/>
      <c r="S9" s="211"/>
      <c r="T9" s="211"/>
      <c r="U9" s="211"/>
      <c r="V9" s="215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 t="s">
        <v>215</v>
      </c>
      <c r="AJ9" s="211"/>
      <c r="AK9" s="404"/>
      <c r="AL9" s="211"/>
      <c r="AM9" s="211"/>
      <c r="AN9" s="217"/>
      <c r="AO9" s="217"/>
      <c r="AP9" s="217"/>
    </row>
    <row r="10" spans="1:45" s="226" customFormat="1" ht="29.25" customHeight="1" thickTop="1" thickBot="1" x14ac:dyDescent="0.3">
      <c r="A10" s="218"/>
      <c r="B10" s="643" t="s">
        <v>86</v>
      </c>
      <c r="C10" s="644"/>
      <c r="D10" s="644"/>
      <c r="E10" s="644"/>
      <c r="F10" s="644"/>
      <c r="G10" s="644"/>
      <c r="H10" s="644"/>
      <c r="I10" s="645"/>
      <c r="J10" s="383" t="s">
        <v>193</v>
      </c>
      <c r="K10" s="220"/>
      <c r="L10" s="644" t="s">
        <v>87</v>
      </c>
      <c r="M10" s="644"/>
      <c r="N10" s="645"/>
      <c r="O10" s="221">
        <f>SUM(O14,O24,O26)</f>
        <v>57230250000</v>
      </c>
      <c r="P10" s="221">
        <f>SUM(P14,P24,P26)</f>
        <v>57230250000</v>
      </c>
      <c r="Q10" s="221">
        <f>SUM(Q14,Q24,Q26)</f>
        <v>124313865783</v>
      </c>
      <c r="R10" s="222">
        <f>Q10/Q10*100</f>
        <v>100</v>
      </c>
      <c r="S10" s="221">
        <f>S14</f>
        <v>100</v>
      </c>
      <c r="T10" s="221">
        <f>SUM(AJ10)</f>
        <v>38.996093899631056</v>
      </c>
      <c r="U10" s="221">
        <f>AJ10</f>
        <v>38.996093899631056</v>
      </c>
      <c r="V10" s="223">
        <f>S10-T10</f>
        <v>61.003906100368944</v>
      </c>
      <c r="W10" s="221">
        <f t="shared" ref="W10:AI10" si="0">SUM(W14,W24,W26)</f>
        <v>0</v>
      </c>
      <c r="X10" s="221" t="e">
        <f t="shared" si="0"/>
        <v>#REF!</v>
      </c>
      <c r="Y10" s="221" t="e">
        <f t="shared" si="0"/>
        <v>#REF!</v>
      </c>
      <c r="Z10" s="221" t="e">
        <f t="shared" si="0"/>
        <v>#REF!</v>
      </c>
      <c r="AA10" s="221" t="e">
        <f t="shared" si="0"/>
        <v>#REF!</v>
      </c>
      <c r="AB10" s="221">
        <f t="shared" si="0"/>
        <v>33313624753</v>
      </c>
      <c r="AC10" s="221" t="e">
        <f t="shared" si="0"/>
        <v>#REF!</v>
      </c>
      <c r="AD10" s="221" t="e">
        <f t="shared" si="0"/>
        <v>#REF!</v>
      </c>
      <c r="AE10" s="221" t="e">
        <f t="shared" si="0"/>
        <v>#REF!</v>
      </c>
      <c r="AF10" s="221" t="e">
        <f t="shared" si="0"/>
        <v>#REF!</v>
      </c>
      <c r="AG10" s="221" t="e">
        <f t="shared" si="0"/>
        <v>#REF!</v>
      </c>
      <c r="AH10" s="221">
        <f t="shared" si="0"/>
        <v>78185513265</v>
      </c>
      <c r="AI10" s="221">
        <f t="shared" si="0"/>
        <v>48477551831</v>
      </c>
      <c r="AJ10" s="224">
        <f>AI10/Q10*100</f>
        <v>38.996093899631056</v>
      </c>
      <c r="AK10" s="221">
        <f>SUM(AK14,AK24,AK26)</f>
        <v>75836313952</v>
      </c>
      <c r="AL10" s="224">
        <f>AK10/Q10*100</f>
        <v>61.003906100368944</v>
      </c>
      <c r="AM10" s="224"/>
    </row>
    <row r="11" spans="1:45" s="235" customFormat="1" ht="13.5" customHeight="1" thickTop="1" thickBot="1" x14ac:dyDescent="0.3">
      <c r="A11" s="227"/>
      <c r="B11" s="393"/>
      <c r="C11" s="393"/>
      <c r="D11" s="393"/>
      <c r="E11" s="393"/>
      <c r="F11" s="393"/>
      <c r="G11" s="393"/>
      <c r="H11" s="393"/>
      <c r="I11" s="394"/>
      <c r="J11" s="393"/>
      <c r="K11" s="230"/>
      <c r="L11" s="393"/>
      <c r="M11" s="393"/>
      <c r="N11" s="394"/>
      <c r="O11" s="231"/>
      <c r="P11" s="231"/>
      <c r="Q11" s="231"/>
      <c r="R11" s="231"/>
      <c r="S11" s="231"/>
      <c r="T11" s="231"/>
      <c r="U11" s="231"/>
      <c r="V11" s="232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3"/>
      <c r="AK11" s="231"/>
      <c r="AL11" s="233"/>
      <c r="AM11" s="233"/>
    </row>
    <row r="12" spans="1:45" s="226" customFormat="1" ht="29.25" customHeight="1" thickTop="1" thickBot="1" x14ac:dyDescent="0.3">
      <c r="A12" s="218"/>
      <c r="B12" s="643" t="s">
        <v>86</v>
      </c>
      <c r="C12" s="644"/>
      <c r="D12" s="644"/>
      <c r="E12" s="644"/>
      <c r="F12" s="644"/>
      <c r="G12" s="644"/>
      <c r="H12" s="644"/>
      <c r="I12" s="645"/>
      <c r="J12" s="383" t="s">
        <v>194</v>
      </c>
      <c r="K12" s="220"/>
      <c r="L12" s="644" t="s">
        <v>195</v>
      </c>
      <c r="M12" s="644"/>
      <c r="N12" s="645"/>
      <c r="O12" s="221" t="e">
        <f>SUM(#REF!,O26,O33)</f>
        <v>#REF!</v>
      </c>
      <c r="P12" s="221" t="e">
        <f>SUM(#REF!,P26,P33)</f>
        <v>#REF!</v>
      </c>
      <c r="Q12" s="221">
        <f>SUM(Q14+Q24+Q26)</f>
        <v>124313865783</v>
      </c>
      <c r="R12" s="222">
        <f>Q12/Q12*100</f>
        <v>100</v>
      </c>
      <c r="S12" s="221">
        <v>100</v>
      </c>
      <c r="T12" s="221">
        <f>SUM(AJ12)</f>
        <v>38.996093899631056</v>
      </c>
      <c r="U12" s="221">
        <f>AJ12</f>
        <v>38.996093899631056</v>
      </c>
      <c r="V12" s="223">
        <f>S12-T12</f>
        <v>61.003906100368944</v>
      </c>
      <c r="W12" s="221">
        <f t="shared" ref="W12:AH12" si="1">SUM(W16,W26,W33)</f>
        <v>0</v>
      </c>
      <c r="X12" s="221" t="e">
        <f t="shared" si="1"/>
        <v>#REF!</v>
      </c>
      <c r="Y12" s="221" t="e">
        <f t="shared" si="1"/>
        <v>#REF!</v>
      </c>
      <c r="Z12" s="221" t="e">
        <f t="shared" si="1"/>
        <v>#REF!</v>
      </c>
      <c r="AA12" s="221" t="e">
        <f t="shared" si="1"/>
        <v>#REF!</v>
      </c>
      <c r="AB12" s="221">
        <f t="shared" si="1"/>
        <v>5549197752</v>
      </c>
      <c r="AC12" s="221" t="e">
        <f t="shared" si="1"/>
        <v>#REF!</v>
      </c>
      <c r="AD12" s="221" t="e">
        <f t="shared" si="1"/>
        <v>#REF!</v>
      </c>
      <c r="AE12" s="221" t="e">
        <f t="shared" si="1"/>
        <v>#REF!</v>
      </c>
      <c r="AF12" s="221" t="e">
        <f t="shared" si="1"/>
        <v>#REF!</v>
      </c>
      <c r="AG12" s="221" t="e">
        <f t="shared" si="1"/>
        <v>#REF!</v>
      </c>
      <c r="AH12" s="221">
        <f t="shared" si="1"/>
        <v>11081028822</v>
      </c>
      <c r="AI12" s="221">
        <f>SUM(AI14+AI24+AI26)</f>
        <v>48477551831</v>
      </c>
      <c r="AJ12" s="224">
        <f>AI12/Q12*100</f>
        <v>38.996093899631056</v>
      </c>
      <c r="AK12" s="221">
        <f>SUM(AK14+AK24+AK26)</f>
        <v>75836313952</v>
      </c>
      <c r="AL12" s="224">
        <f>AK12/Q12*100</f>
        <v>61.003906100368944</v>
      </c>
      <c r="AM12" s="224"/>
    </row>
    <row r="13" spans="1:45" s="235" customFormat="1" ht="13.5" customHeight="1" thickTop="1" x14ac:dyDescent="0.25">
      <c r="A13" s="227"/>
      <c r="B13" s="393"/>
      <c r="C13" s="393"/>
      <c r="D13" s="393"/>
      <c r="E13" s="393"/>
      <c r="F13" s="393"/>
      <c r="G13" s="393"/>
      <c r="H13" s="393"/>
      <c r="I13" s="394"/>
      <c r="J13" s="393"/>
      <c r="K13" s="230"/>
      <c r="L13" s="393"/>
      <c r="M13" s="393"/>
      <c r="N13" s="394"/>
      <c r="O13" s="231"/>
      <c r="P13" s="231"/>
      <c r="Q13" s="231"/>
      <c r="R13" s="231"/>
      <c r="S13" s="231"/>
      <c r="T13" s="231"/>
      <c r="U13" s="231"/>
      <c r="V13" s="232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3"/>
      <c r="AK13" s="231"/>
      <c r="AL13" s="233"/>
      <c r="AM13" s="233"/>
    </row>
    <row r="14" spans="1:45" s="226" customFormat="1" ht="28.5" customHeight="1" x14ac:dyDescent="0.25">
      <c r="A14" s="236" t="s">
        <v>7</v>
      </c>
      <c r="B14" s="642" t="s">
        <v>88</v>
      </c>
      <c r="C14" s="626"/>
      <c r="D14" s="626"/>
      <c r="E14" s="626"/>
      <c r="F14" s="626"/>
      <c r="G14" s="626"/>
      <c r="H14" s="626"/>
      <c r="I14" s="627"/>
      <c r="J14" s="384" t="s">
        <v>213</v>
      </c>
      <c r="K14" s="238"/>
      <c r="L14" s="626" t="s">
        <v>89</v>
      </c>
      <c r="M14" s="626"/>
      <c r="N14" s="627"/>
      <c r="O14" s="239">
        <v>53000250000</v>
      </c>
      <c r="P14" s="239">
        <f>O14</f>
        <v>53000250000</v>
      </c>
      <c r="Q14" s="239">
        <f>SUM(Q15:Q23)</f>
        <v>114000000000</v>
      </c>
      <c r="R14" s="240">
        <f>Q14/Q14*100</f>
        <v>100</v>
      </c>
      <c r="S14" s="240">
        <v>100</v>
      </c>
      <c r="T14" s="239">
        <f>AJ14</f>
        <v>31.955810147368418</v>
      </c>
      <c r="U14" s="239">
        <f>SUM(R14*T14)</f>
        <v>3195.5810147368416</v>
      </c>
      <c r="V14" s="241">
        <f>S14-T14</f>
        <v>68.044189852631575</v>
      </c>
      <c r="W14" s="239"/>
      <c r="X14" s="239" t="e">
        <f>#REF!</f>
        <v>#REF!</v>
      </c>
      <c r="Y14" s="239" t="e">
        <f>#REF!</f>
        <v>#REF!</v>
      </c>
      <c r="Z14" s="239" t="e">
        <f>#REF!</f>
        <v>#REF!</v>
      </c>
      <c r="AA14" s="239" t="e">
        <f>#REF!</f>
        <v>#REF!</v>
      </c>
      <c r="AB14" s="239">
        <v>27766121137</v>
      </c>
      <c r="AC14" s="239" t="e">
        <f>#REF!</f>
        <v>#REF!</v>
      </c>
      <c r="AD14" s="239" t="e">
        <f>#REF!</f>
        <v>#REF!</v>
      </c>
      <c r="AE14" s="239" t="e">
        <f>#REF!</f>
        <v>#REF!</v>
      </c>
      <c r="AF14" s="239" t="e">
        <f>[1]April!$N$12</f>
        <v>#REF!</v>
      </c>
      <c r="AG14" s="239" t="e">
        <f>[2]april!$N$12</f>
        <v>#REF!</v>
      </c>
      <c r="AH14" s="239">
        <f>'[3]DES SKPD'!$N$12</f>
        <v>67029484443</v>
      </c>
      <c r="AI14" s="239">
        <f>SUM(AI15:AI23)</f>
        <v>36429623568</v>
      </c>
      <c r="AJ14" s="240">
        <f t="shared" ref="AJ14:AJ27" si="2">AI14/Q14*100</f>
        <v>31.955810147368418</v>
      </c>
      <c r="AK14" s="239">
        <f>Q14-AI14</f>
        <v>77570376432</v>
      </c>
      <c r="AL14" s="240">
        <f t="shared" ref="AL14:AL27" si="3">AK14/Q14*100</f>
        <v>68.044189852631575</v>
      </c>
      <c r="AM14" s="236"/>
    </row>
    <row r="15" spans="1:45" ht="28.5" customHeight="1" x14ac:dyDescent="0.25">
      <c r="A15" s="243">
        <v>1</v>
      </c>
      <c r="B15" s="639" t="s">
        <v>90</v>
      </c>
      <c r="C15" s="597"/>
      <c r="D15" s="597"/>
      <c r="E15" s="597"/>
      <c r="F15" s="597"/>
      <c r="G15" s="597"/>
      <c r="H15" s="597"/>
      <c r="I15" s="598"/>
      <c r="J15" s="381" t="s">
        <v>355</v>
      </c>
      <c r="K15" s="245"/>
      <c r="L15" s="597" t="s">
        <v>389</v>
      </c>
      <c r="M15" s="597"/>
      <c r="N15" s="598"/>
      <c r="O15" s="180"/>
      <c r="P15" s="180"/>
      <c r="Q15" s="180">
        <v>4000000000</v>
      </c>
      <c r="R15" s="181">
        <f>Q15/Q$10*100</f>
        <v>3.2176619838870804</v>
      </c>
      <c r="S15" s="181">
        <v>100</v>
      </c>
      <c r="T15" s="180">
        <f>AJ15</f>
        <v>36.255209675000003</v>
      </c>
      <c r="U15" s="180">
        <f>R15*T15/100</f>
        <v>1.1665700988910259</v>
      </c>
      <c r="V15" s="182">
        <f t="shared" ref="V15:V26" si="4">S15-T15</f>
        <v>63.744790324999997</v>
      </c>
      <c r="W15" s="180"/>
      <c r="X15" s="180"/>
      <c r="Y15" s="180"/>
      <c r="Z15" s="180"/>
      <c r="AA15" s="180"/>
      <c r="AB15" s="180">
        <v>0</v>
      </c>
      <c r="AC15" s="180"/>
      <c r="AD15" s="180"/>
      <c r="AE15" s="180"/>
      <c r="AF15" s="180"/>
      <c r="AG15" s="180"/>
      <c r="AH15" s="180"/>
      <c r="AI15" s="180">
        <f>(431044330+333208441+275726549+410229067)</f>
        <v>1450208387</v>
      </c>
      <c r="AJ15" s="181">
        <f t="shared" si="2"/>
        <v>36.255209675000003</v>
      </c>
      <c r="AK15" s="180">
        <f>SUM(Q15-AI15)</f>
        <v>2549791613</v>
      </c>
      <c r="AL15" s="181">
        <f t="shared" si="3"/>
        <v>63.744790324999997</v>
      </c>
      <c r="AM15" s="243"/>
      <c r="AR15" s="247">
        <v>114000000000</v>
      </c>
      <c r="AS15" s="248">
        <f>Q14-AR15</f>
        <v>0</v>
      </c>
    </row>
    <row r="16" spans="1:45" ht="28.5" customHeight="1" x14ac:dyDescent="0.25">
      <c r="A16" s="243">
        <v>2</v>
      </c>
      <c r="B16" s="639" t="s">
        <v>91</v>
      </c>
      <c r="C16" s="597"/>
      <c r="D16" s="597"/>
      <c r="E16" s="597"/>
      <c r="F16" s="597"/>
      <c r="G16" s="597"/>
      <c r="H16" s="597"/>
      <c r="I16" s="598"/>
      <c r="J16" s="381" t="s">
        <v>356</v>
      </c>
      <c r="K16" s="245"/>
      <c r="L16" s="597" t="s">
        <v>390</v>
      </c>
      <c r="M16" s="597"/>
      <c r="N16" s="598"/>
      <c r="O16" s="180"/>
      <c r="P16" s="180"/>
      <c r="Q16" s="180">
        <v>16748000000</v>
      </c>
      <c r="R16" s="181">
        <f t="shared" ref="R16:R25" si="5">Q16/Q$10*100</f>
        <v>13.472350726535204</v>
      </c>
      <c r="S16" s="181">
        <v>100</v>
      </c>
      <c r="T16" s="180">
        <f>AJ16</f>
        <v>40.050285938619531</v>
      </c>
      <c r="U16" s="180">
        <f>R16*T16/100</f>
        <v>5.3957149886310356</v>
      </c>
      <c r="V16" s="182">
        <f t="shared" si="4"/>
        <v>59.949714061380469</v>
      </c>
      <c r="W16" s="180"/>
      <c r="X16" s="180"/>
      <c r="Y16" s="180"/>
      <c r="Z16" s="180"/>
      <c r="AA16" s="180"/>
      <c r="AB16" s="180">
        <v>0</v>
      </c>
      <c r="AC16" s="180"/>
      <c r="AD16" s="180"/>
      <c r="AE16" s="180"/>
      <c r="AF16" s="180"/>
      <c r="AG16" s="180"/>
      <c r="AH16" s="180"/>
      <c r="AI16" s="180">
        <f>(1914892402+1775904849+1319972393+1696852245)</f>
        <v>6707621889</v>
      </c>
      <c r="AJ16" s="181">
        <f t="shared" si="2"/>
        <v>40.050285938619531</v>
      </c>
      <c r="AK16" s="180">
        <f t="shared" ref="AK16:AK32" si="6">SUM(Q16-AI16)</f>
        <v>10040378111</v>
      </c>
      <c r="AL16" s="249">
        <f t="shared" si="3"/>
        <v>59.949714061380469</v>
      </c>
      <c r="AM16" s="243"/>
    </row>
    <row r="17" spans="1:39" ht="28.5" customHeight="1" x14ac:dyDescent="0.25">
      <c r="A17" s="243">
        <v>3</v>
      </c>
      <c r="B17" s="639" t="s">
        <v>92</v>
      </c>
      <c r="C17" s="597"/>
      <c r="D17" s="597"/>
      <c r="E17" s="597"/>
      <c r="F17" s="597"/>
      <c r="G17" s="597"/>
      <c r="H17" s="597"/>
      <c r="I17" s="598"/>
      <c r="J17" s="381" t="s">
        <v>357</v>
      </c>
      <c r="K17" s="245"/>
      <c r="L17" s="597" t="s">
        <v>391</v>
      </c>
      <c r="M17" s="597"/>
      <c r="N17" s="598"/>
      <c r="O17" s="180"/>
      <c r="P17" s="180"/>
      <c r="Q17" s="180">
        <v>714500000</v>
      </c>
      <c r="R17" s="181">
        <f t="shared" si="5"/>
        <v>0.57475487187182972</v>
      </c>
      <c r="S17" s="181">
        <v>100</v>
      </c>
      <c r="T17" s="180">
        <f>AJ17</f>
        <v>118.80695605318405</v>
      </c>
      <c r="U17" s="180">
        <f>R17*T17/100</f>
        <v>0.68284876803829908</v>
      </c>
      <c r="V17" s="182">
        <f t="shared" si="4"/>
        <v>-18.806956053184052</v>
      </c>
      <c r="W17" s="180"/>
      <c r="X17" s="180"/>
      <c r="Y17" s="180"/>
      <c r="Z17" s="180"/>
      <c r="AA17" s="180"/>
      <c r="AB17" s="180">
        <v>0</v>
      </c>
      <c r="AC17" s="180"/>
      <c r="AD17" s="180"/>
      <c r="AE17" s="180"/>
      <c r="AF17" s="180"/>
      <c r="AG17" s="180"/>
      <c r="AH17" s="180"/>
      <c r="AI17" s="180">
        <f>(78879037+65981530+49950581+654064553)</f>
        <v>848875701</v>
      </c>
      <c r="AJ17" s="181">
        <f t="shared" si="2"/>
        <v>118.80695605318405</v>
      </c>
      <c r="AK17" s="180">
        <f t="shared" si="6"/>
        <v>-134375701</v>
      </c>
      <c r="AL17" s="181">
        <f t="shared" si="3"/>
        <v>-18.806956053184045</v>
      </c>
      <c r="AM17" s="243"/>
    </row>
    <row r="18" spans="1:39" ht="28.5" customHeight="1" x14ac:dyDescent="0.25">
      <c r="A18" s="243">
        <v>4</v>
      </c>
      <c r="B18" s="639" t="s">
        <v>93</v>
      </c>
      <c r="C18" s="597"/>
      <c r="D18" s="597"/>
      <c r="E18" s="597"/>
      <c r="F18" s="597"/>
      <c r="G18" s="597"/>
      <c r="H18" s="597"/>
      <c r="I18" s="598"/>
      <c r="J18" s="381" t="s">
        <v>358</v>
      </c>
      <c r="K18" s="245"/>
      <c r="L18" s="597" t="s">
        <v>392</v>
      </c>
      <c r="M18" s="597"/>
      <c r="N18" s="598"/>
      <c r="O18" s="180"/>
      <c r="P18" s="180"/>
      <c r="Q18" s="180">
        <v>4296000000</v>
      </c>
      <c r="R18" s="181">
        <f t="shared" si="5"/>
        <v>3.4557689706947241</v>
      </c>
      <c r="S18" s="181">
        <v>100</v>
      </c>
      <c r="T18" s="180">
        <f t="shared" ref="T18:T32" si="7">AJ18</f>
        <v>41.452069669459959</v>
      </c>
      <c r="U18" s="180">
        <f t="shared" ref="U18:U23" si="8">R18*T18/100</f>
        <v>1.4324877613479563</v>
      </c>
      <c r="V18" s="182">
        <f t="shared" si="4"/>
        <v>58.547930330540041</v>
      </c>
      <c r="W18" s="180"/>
      <c r="X18" s="180"/>
      <c r="Y18" s="180"/>
      <c r="Z18" s="180"/>
      <c r="AA18" s="180"/>
      <c r="AB18" s="180">
        <v>0</v>
      </c>
      <c r="AC18" s="180"/>
      <c r="AD18" s="180"/>
      <c r="AE18" s="180"/>
      <c r="AF18" s="180"/>
      <c r="AG18" s="180"/>
      <c r="AH18" s="180"/>
      <c r="AI18" s="180">
        <f>(583660366+480801633+270494857+445824057)</f>
        <v>1780780913</v>
      </c>
      <c r="AJ18" s="181">
        <f t="shared" si="2"/>
        <v>41.452069669459959</v>
      </c>
      <c r="AK18" s="180">
        <f t="shared" si="6"/>
        <v>2515219087</v>
      </c>
      <c r="AL18" s="249">
        <f t="shared" si="3"/>
        <v>58.547930330540034</v>
      </c>
      <c r="AM18" s="243"/>
    </row>
    <row r="19" spans="1:39" ht="28.5" customHeight="1" x14ac:dyDescent="0.25">
      <c r="A19" s="243">
        <v>5</v>
      </c>
      <c r="B19" s="639" t="s">
        <v>94</v>
      </c>
      <c r="C19" s="597"/>
      <c r="D19" s="597"/>
      <c r="E19" s="597"/>
      <c r="F19" s="597"/>
      <c r="G19" s="597"/>
      <c r="H19" s="597"/>
      <c r="I19" s="598"/>
      <c r="J19" s="381" t="s">
        <v>359</v>
      </c>
      <c r="K19" s="245"/>
      <c r="L19" s="597" t="s">
        <v>393</v>
      </c>
      <c r="M19" s="597"/>
      <c r="N19" s="598"/>
      <c r="O19" s="180"/>
      <c r="P19" s="180"/>
      <c r="Q19" s="180">
        <v>29977500000</v>
      </c>
      <c r="R19" s="181">
        <f t="shared" si="5"/>
        <v>24.114365530493735</v>
      </c>
      <c r="S19" s="181">
        <v>100</v>
      </c>
      <c r="T19" s="180">
        <f t="shared" si="7"/>
        <v>33.001575027937619</v>
      </c>
      <c r="U19" s="180">
        <f t="shared" si="8"/>
        <v>7.9581204330570179</v>
      </c>
      <c r="V19" s="182">
        <f t="shared" si="4"/>
        <v>66.998424972062381</v>
      </c>
      <c r="W19" s="180"/>
      <c r="X19" s="180"/>
      <c r="Y19" s="180"/>
      <c r="Z19" s="180"/>
      <c r="AA19" s="180"/>
      <c r="AB19" s="180">
        <v>0</v>
      </c>
      <c r="AC19" s="180"/>
      <c r="AD19" s="180"/>
      <c r="AE19" s="180"/>
      <c r="AF19" s="180"/>
      <c r="AG19" s="180"/>
      <c r="AH19" s="180"/>
      <c r="AI19" s="180">
        <f>(2568866323+2496068783+2393680264+2434431784)</f>
        <v>9893047154</v>
      </c>
      <c r="AJ19" s="181">
        <f t="shared" si="2"/>
        <v>33.001575027937619</v>
      </c>
      <c r="AK19" s="180">
        <f t="shared" si="6"/>
        <v>20084452846</v>
      </c>
      <c r="AL19" s="249">
        <f t="shared" si="3"/>
        <v>66.998424972062381</v>
      </c>
      <c r="AM19" s="243"/>
    </row>
    <row r="20" spans="1:39" ht="28.5" customHeight="1" x14ac:dyDescent="0.25">
      <c r="A20" s="243">
        <v>6</v>
      </c>
      <c r="B20" s="639" t="s">
        <v>95</v>
      </c>
      <c r="C20" s="597"/>
      <c r="D20" s="597"/>
      <c r="E20" s="597"/>
      <c r="F20" s="597"/>
      <c r="G20" s="597"/>
      <c r="H20" s="597"/>
      <c r="I20" s="598"/>
      <c r="J20" s="381" t="s">
        <v>360</v>
      </c>
      <c r="K20" s="245"/>
      <c r="L20" s="597" t="s">
        <v>394</v>
      </c>
      <c r="M20" s="597"/>
      <c r="N20" s="598"/>
      <c r="O20" s="180"/>
      <c r="P20" s="180"/>
      <c r="Q20" s="180">
        <v>900000000</v>
      </c>
      <c r="R20" s="181">
        <f t="shared" si="5"/>
        <v>0.72397394637459311</v>
      </c>
      <c r="S20" s="181">
        <v>100</v>
      </c>
      <c r="T20" s="180">
        <f t="shared" si="7"/>
        <v>43.164534555555555</v>
      </c>
      <c r="U20" s="180">
        <f t="shared" si="8"/>
        <v>0.3124999842560805</v>
      </c>
      <c r="V20" s="182">
        <f t="shared" si="4"/>
        <v>56.835465444444445</v>
      </c>
      <c r="W20" s="180"/>
      <c r="X20" s="180"/>
      <c r="Y20" s="180"/>
      <c r="Z20" s="180"/>
      <c r="AA20" s="180"/>
      <c r="AB20" s="180">
        <v>0</v>
      </c>
      <c r="AC20" s="180"/>
      <c r="AD20" s="180"/>
      <c r="AE20" s="180"/>
      <c r="AF20" s="180"/>
      <c r="AG20" s="180"/>
      <c r="AH20" s="180"/>
      <c r="AI20" s="180">
        <f>(106607217+102146277+80605167+99122150)</f>
        <v>388480811</v>
      </c>
      <c r="AJ20" s="181">
        <f t="shared" si="2"/>
        <v>43.164534555555555</v>
      </c>
      <c r="AK20" s="180">
        <f t="shared" si="6"/>
        <v>511519189</v>
      </c>
      <c r="AL20" s="181">
        <f t="shared" si="3"/>
        <v>56.835465444444445</v>
      </c>
      <c r="AM20" s="243"/>
    </row>
    <row r="21" spans="1:39" ht="28.5" customHeight="1" x14ac:dyDescent="0.25">
      <c r="A21" s="243">
        <v>7</v>
      </c>
      <c r="B21" s="639" t="s">
        <v>96</v>
      </c>
      <c r="C21" s="597"/>
      <c r="D21" s="597"/>
      <c r="E21" s="597"/>
      <c r="F21" s="597"/>
      <c r="G21" s="597"/>
      <c r="H21" s="597"/>
      <c r="I21" s="598"/>
      <c r="J21" s="381" t="s">
        <v>361</v>
      </c>
      <c r="K21" s="245"/>
      <c r="L21" s="597" t="s">
        <v>97</v>
      </c>
      <c r="M21" s="597"/>
      <c r="N21" s="598"/>
      <c r="O21" s="180"/>
      <c r="P21" s="180"/>
      <c r="Q21" s="180">
        <v>300000000</v>
      </c>
      <c r="R21" s="181">
        <f t="shared" si="5"/>
        <v>0.24132464879153101</v>
      </c>
      <c r="S21" s="181">
        <v>100</v>
      </c>
      <c r="T21" s="180">
        <f t="shared" si="7"/>
        <v>38.626485666666667</v>
      </c>
      <c r="U21" s="180">
        <f t="shared" si="8"/>
        <v>9.3215230875594399E-2</v>
      </c>
      <c r="V21" s="182">
        <f t="shared" si="4"/>
        <v>61.373514333333333</v>
      </c>
      <c r="W21" s="180"/>
      <c r="X21" s="180"/>
      <c r="Y21" s="180"/>
      <c r="Z21" s="180"/>
      <c r="AA21" s="180"/>
      <c r="AB21" s="180">
        <v>0</v>
      </c>
      <c r="AC21" s="180"/>
      <c r="AD21" s="180"/>
      <c r="AE21" s="180"/>
      <c r="AF21" s="180"/>
      <c r="AG21" s="180"/>
      <c r="AH21" s="180"/>
      <c r="AI21" s="180">
        <f>(28657603+30376120+28120950+28724784)</f>
        <v>115879457</v>
      </c>
      <c r="AJ21" s="181">
        <f t="shared" si="2"/>
        <v>38.626485666666667</v>
      </c>
      <c r="AK21" s="180">
        <f t="shared" si="6"/>
        <v>184120543</v>
      </c>
      <c r="AL21" s="181">
        <f t="shared" si="3"/>
        <v>61.373514333333333</v>
      </c>
      <c r="AM21" s="243"/>
    </row>
    <row r="22" spans="1:39" ht="28.5" customHeight="1" x14ac:dyDescent="0.25">
      <c r="A22" s="243">
        <v>8</v>
      </c>
      <c r="B22" s="639" t="s">
        <v>98</v>
      </c>
      <c r="C22" s="597"/>
      <c r="D22" s="597"/>
      <c r="E22" s="597"/>
      <c r="F22" s="597"/>
      <c r="G22" s="597"/>
      <c r="H22" s="597"/>
      <c r="I22" s="598"/>
      <c r="J22" s="381" t="s">
        <v>362</v>
      </c>
      <c r="K22" s="245"/>
      <c r="L22" s="597" t="s">
        <v>363</v>
      </c>
      <c r="M22" s="597"/>
      <c r="N22" s="598"/>
      <c r="O22" s="180"/>
      <c r="P22" s="180"/>
      <c r="Q22" s="180">
        <v>22900000000</v>
      </c>
      <c r="R22" s="181">
        <f t="shared" si="5"/>
        <v>18.421114857753533</v>
      </c>
      <c r="S22" s="181">
        <v>100</v>
      </c>
      <c r="T22" s="180">
        <f t="shared" si="7"/>
        <v>11.919087917030566</v>
      </c>
      <c r="U22" s="180">
        <f t="shared" si="8"/>
        <v>2.1956288751928237</v>
      </c>
      <c r="V22" s="182">
        <f t="shared" si="4"/>
        <v>88.080912082969434</v>
      </c>
      <c r="W22" s="180"/>
      <c r="X22" s="180"/>
      <c r="Y22" s="180"/>
      <c r="Z22" s="180"/>
      <c r="AA22" s="180"/>
      <c r="AB22" s="180">
        <v>0</v>
      </c>
      <c r="AC22" s="180"/>
      <c r="AD22" s="180"/>
      <c r="AE22" s="180"/>
      <c r="AF22" s="180"/>
      <c r="AG22" s="180"/>
      <c r="AH22" s="180"/>
      <c r="AI22" s="180">
        <f>(420432023+534056614+411915844+1363066652)</f>
        <v>2729471133</v>
      </c>
      <c r="AJ22" s="181">
        <f t="shared" si="2"/>
        <v>11.919087917030566</v>
      </c>
      <c r="AK22" s="180">
        <f t="shared" si="6"/>
        <v>20170528867</v>
      </c>
      <c r="AL22" s="249">
        <f t="shared" si="3"/>
        <v>88.080912082969434</v>
      </c>
      <c r="AM22" s="243"/>
    </row>
    <row r="23" spans="1:39" ht="32.25" customHeight="1" x14ac:dyDescent="0.25">
      <c r="A23" s="243">
        <v>9</v>
      </c>
      <c r="B23" s="639" t="s">
        <v>99</v>
      </c>
      <c r="C23" s="597"/>
      <c r="D23" s="597"/>
      <c r="E23" s="597"/>
      <c r="F23" s="597"/>
      <c r="G23" s="597"/>
      <c r="H23" s="597"/>
      <c r="I23" s="598"/>
      <c r="J23" s="381" t="s">
        <v>364</v>
      </c>
      <c r="K23" s="245"/>
      <c r="L23" s="597" t="s">
        <v>100</v>
      </c>
      <c r="M23" s="597"/>
      <c r="N23" s="598"/>
      <c r="O23" s="180"/>
      <c r="P23" s="180"/>
      <c r="Q23" s="180">
        <v>34164000000</v>
      </c>
      <c r="R23" s="181">
        <f>Q23/Q$10*100</f>
        <v>27.482051004379553</v>
      </c>
      <c r="S23" s="181">
        <v>100</v>
      </c>
      <c r="T23" s="180">
        <f t="shared" si="7"/>
        <v>36.632882926472313</v>
      </c>
      <c r="U23" s="180">
        <f t="shared" si="8"/>
        <v>10.06746757022777</v>
      </c>
      <c r="V23" s="182">
        <f>S23-T23</f>
        <v>63.367117073527687</v>
      </c>
      <c r="W23" s="180"/>
      <c r="X23" s="180"/>
      <c r="Y23" s="180"/>
      <c r="Z23" s="180"/>
      <c r="AA23" s="180"/>
      <c r="AB23" s="180">
        <v>0</v>
      </c>
      <c r="AC23" s="180"/>
      <c r="AD23" s="180"/>
      <c r="AE23" s="180"/>
      <c r="AF23" s="180"/>
      <c r="AG23" s="180"/>
      <c r="AH23" s="180"/>
      <c r="AI23" s="180">
        <f>(3105790473+2487428016+3324117884+3597921750)</f>
        <v>12515258123</v>
      </c>
      <c r="AJ23" s="181">
        <f t="shared" si="2"/>
        <v>36.632882926472313</v>
      </c>
      <c r="AK23" s="180">
        <f t="shared" si="6"/>
        <v>21648741877</v>
      </c>
      <c r="AL23" s="181">
        <f t="shared" si="3"/>
        <v>63.367117073527687</v>
      </c>
      <c r="AM23" s="243"/>
    </row>
    <row r="24" spans="1:39" s="226" customFormat="1" ht="27.75" customHeight="1" x14ac:dyDescent="0.25">
      <c r="A24" s="236" t="s">
        <v>8</v>
      </c>
      <c r="B24" s="642" t="s">
        <v>101</v>
      </c>
      <c r="C24" s="626"/>
      <c r="D24" s="626"/>
      <c r="E24" s="626"/>
      <c r="F24" s="626"/>
      <c r="G24" s="626"/>
      <c r="H24" s="626"/>
      <c r="I24" s="627"/>
      <c r="J24" s="384" t="s">
        <v>214</v>
      </c>
      <c r="K24" s="238"/>
      <c r="L24" s="626" t="s">
        <v>102</v>
      </c>
      <c r="M24" s="626"/>
      <c r="N24" s="627"/>
      <c r="O24" s="239">
        <v>80000000</v>
      </c>
      <c r="P24" s="239">
        <f>O24</f>
        <v>80000000</v>
      </c>
      <c r="Q24" s="239">
        <f>SUM(Q25)</f>
        <v>161362180</v>
      </c>
      <c r="R24" s="240">
        <f>Q24/Q24*100</f>
        <v>100</v>
      </c>
      <c r="S24" s="240">
        <v>100</v>
      </c>
      <c r="T24" s="239">
        <f t="shared" si="7"/>
        <v>37.183434185135575</v>
      </c>
      <c r="U24" s="239">
        <f>AJ24</f>
        <v>37.183434185135575</v>
      </c>
      <c r="V24" s="241">
        <f t="shared" si="4"/>
        <v>62.816565814864425</v>
      </c>
      <c r="W24" s="239"/>
      <c r="X24" s="239" t="e">
        <f>#REF!</f>
        <v>#REF!</v>
      </c>
      <c r="Y24" s="239" t="e">
        <f>#REF!</f>
        <v>#REF!</v>
      </c>
      <c r="Z24" s="239" t="e">
        <f>#REF!</f>
        <v>#REF!</v>
      </c>
      <c r="AA24" s="239" t="e">
        <f>#REF!</f>
        <v>#REF!</v>
      </c>
      <c r="AB24" s="239">
        <v>15000000</v>
      </c>
      <c r="AC24" s="239" t="e">
        <f>#REF!</f>
        <v>#REF!</v>
      </c>
      <c r="AD24" s="239" t="e">
        <f>#REF!</f>
        <v>#REF!</v>
      </c>
      <c r="AE24" s="239" t="e">
        <f>#REF!</f>
        <v>#REF!</v>
      </c>
      <c r="AF24" s="239" t="e">
        <f>[1]April!$N$13</f>
        <v>#REF!</v>
      </c>
      <c r="AG24" s="239" t="e">
        <f>[2]april!$N$13</f>
        <v>#REF!</v>
      </c>
      <c r="AH24" s="239">
        <f>'[3]DES SKPD'!$N$13</f>
        <v>75000000</v>
      </c>
      <c r="AI24" s="239">
        <f>SUM(AI25)</f>
        <v>60000000</v>
      </c>
      <c r="AJ24" s="240">
        <f t="shared" si="2"/>
        <v>37.183434185135575</v>
      </c>
      <c r="AK24" s="239">
        <f t="shared" si="6"/>
        <v>101362180</v>
      </c>
      <c r="AL24" s="240">
        <f t="shared" si="3"/>
        <v>62.816565814864425</v>
      </c>
      <c r="AM24" s="236"/>
    </row>
    <row r="25" spans="1:39" ht="21" customHeight="1" x14ac:dyDescent="0.25">
      <c r="A25" s="243">
        <v>10</v>
      </c>
      <c r="B25" s="639" t="s">
        <v>103</v>
      </c>
      <c r="C25" s="597"/>
      <c r="D25" s="597"/>
      <c r="E25" s="597"/>
      <c r="F25" s="597"/>
      <c r="G25" s="597"/>
      <c r="H25" s="597"/>
      <c r="I25" s="598"/>
      <c r="J25" s="381" t="s">
        <v>365</v>
      </c>
      <c r="K25" s="245"/>
      <c r="L25" s="597" t="s">
        <v>540</v>
      </c>
      <c r="M25" s="597"/>
      <c r="N25" s="598"/>
      <c r="O25" s="180"/>
      <c r="P25" s="180"/>
      <c r="Q25" s="180">
        <v>161362180</v>
      </c>
      <c r="R25" s="181">
        <f t="shared" si="5"/>
        <v>0.12980223805578603</v>
      </c>
      <c r="S25" s="181">
        <v>100</v>
      </c>
      <c r="T25" s="180">
        <f t="shared" si="7"/>
        <v>37.183434185135575</v>
      </c>
      <c r="U25" s="180">
        <f>R25*T25/100</f>
        <v>4.8264929758306201E-2</v>
      </c>
      <c r="V25" s="182">
        <f>S25-T25</f>
        <v>62.816565814864425</v>
      </c>
      <c r="W25" s="180"/>
      <c r="X25" s="180"/>
      <c r="Y25" s="180"/>
      <c r="Z25" s="180"/>
      <c r="AA25" s="180"/>
      <c r="AB25" s="180">
        <v>0</v>
      </c>
      <c r="AC25" s="231" t="e">
        <f>#REF!</f>
        <v>#REF!</v>
      </c>
      <c r="AD25" s="180"/>
      <c r="AE25" s="180"/>
      <c r="AF25" s="180"/>
      <c r="AG25" s="180"/>
      <c r="AH25" s="180"/>
      <c r="AI25" s="180">
        <f>38400000+7200000+14400000</f>
        <v>60000000</v>
      </c>
      <c r="AJ25" s="181">
        <f t="shared" si="2"/>
        <v>37.183434185135575</v>
      </c>
      <c r="AK25" s="180">
        <f t="shared" si="6"/>
        <v>101362180</v>
      </c>
      <c r="AL25" s="181">
        <f t="shared" si="3"/>
        <v>62.816565814864425</v>
      </c>
      <c r="AM25" s="243"/>
    </row>
    <row r="26" spans="1:39" s="226" customFormat="1" ht="27.75" customHeight="1" x14ac:dyDescent="0.25">
      <c r="A26" s="236" t="s">
        <v>29</v>
      </c>
      <c r="B26" s="642" t="s">
        <v>104</v>
      </c>
      <c r="C26" s="626"/>
      <c r="D26" s="626"/>
      <c r="E26" s="626"/>
      <c r="F26" s="626"/>
      <c r="G26" s="626"/>
      <c r="H26" s="626"/>
      <c r="I26" s="627"/>
      <c r="J26" s="384" t="s">
        <v>366</v>
      </c>
      <c r="K26" s="238"/>
      <c r="L26" s="626" t="s">
        <v>105</v>
      </c>
      <c r="M26" s="626"/>
      <c r="N26" s="627"/>
      <c r="O26" s="239">
        <v>4150000000</v>
      </c>
      <c r="P26" s="239">
        <f>O26</f>
        <v>4150000000</v>
      </c>
      <c r="Q26" s="239">
        <f>SUM(Q27:Q34)</f>
        <v>10152503603</v>
      </c>
      <c r="R26" s="240">
        <f>Q26/Q26*100</f>
        <v>100</v>
      </c>
      <c r="S26" s="240">
        <v>100</v>
      </c>
      <c r="T26" s="239">
        <f t="shared" si="7"/>
        <v>118.07854231598247</v>
      </c>
      <c r="U26" s="239">
        <f>AJ26</f>
        <v>118.07854231598247</v>
      </c>
      <c r="V26" s="241">
        <f t="shared" si="4"/>
        <v>-18.078542315982475</v>
      </c>
      <c r="W26" s="239"/>
      <c r="X26" s="239" t="e">
        <f>#REF!</f>
        <v>#REF!</v>
      </c>
      <c r="Y26" s="239" t="e">
        <f>#REF!</f>
        <v>#REF!</v>
      </c>
      <c r="Z26" s="239" t="e">
        <f>#REF!</f>
        <v>#REF!</v>
      </c>
      <c r="AA26" s="239" t="e">
        <f>#REF!</f>
        <v>#REF!</v>
      </c>
      <c r="AB26" s="239">
        <v>5532503616</v>
      </c>
      <c r="AC26" s="239" t="e">
        <f>#REF!</f>
        <v>#REF!</v>
      </c>
      <c r="AD26" s="239" t="e">
        <f>#REF!</f>
        <v>#REF!</v>
      </c>
      <c r="AE26" s="239" t="e">
        <f>#REF!</f>
        <v>#REF!</v>
      </c>
      <c r="AF26" s="239" t="e">
        <f>[1]April!$N$14</f>
        <v>#REF!</v>
      </c>
      <c r="AG26" s="239" t="e">
        <f>[2]april!$N$14</f>
        <v>#REF!</v>
      </c>
      <c r="AH26" s="239">
        <f>'[3]DES SKPD'!$N$14</f>
        <v>11081028822</v>
      </c>
      <c r="AI26" s="239">
        <f>SUM(AI27:AI34)</f>
        <v>11987928263</v>
      </c>
      <c r="AJ26" s="240">
        <f t="shared" si="2"/>
        <v>118.07854231598247</v>
      </c>
      <c r="AK26" s="405">
        <f>SUM(Q26-AI26)</f>
        <v>-1835424660</v>
      </c>
      <c r="AL26" s="240">
        <f t="shared" si="3"/>
        <v>-18.078542315982471</v>
      </c>
      <c r="AM26" s="236"/>
    </row>
    <row r="27" spans="1:39" ht="24.95" customHeight="1" x14ac:dyDescent="0.25">
      <c r="A27" s="243">
        <v>11</v>
      </c>
      <c r="B27" s="639" t="s">
        <v>106</v>
      </c>
      <c r="C27" s="597"/>
      <c r="D27" s="597"/>
      <c r="E27" s="597"/>
      <c r="F27" s="597"/>
      <c r="G27" s="597"/>
      <c r="H27" s="597"/>
      <c r="I27" s="598"/>
      <c r="J27" s="381" t="s">
        <v>367</v>
      </c>
      <c r="K27" s="245"/>
      <c r="L27" s="597" t="s">
        <v>107</v>
      </c>
      <c r="M27" s="597"/>
      <c r="N27" s="598"/>
      <c r="O27" s="180">
        <v>2869514353</v>
      </c>
      <c r="P27" s="180"/>
      <c r="Q27" s="180">
        <v>9463503603</v>
      </c>
      <c r="R27" s="181">
        <f t="shared" ref="R27" si="9">Q27/Q$10*100</f>
        <v>7.6125889444378787</v>
      </c>
      <c r="S27" s="181">
        <v>100</v>
      </c>
      <c r="T27" s="180">
        <f t="shared" si="7"/>
        <v>15.490745557863766</v>
      </c>
      <c r="U27" s="180">
        <f t="shared" ref="U27:U32" si="10">R27*T27/100</f>
        <v>1.1792467837489389</v>
      </c>
      <c r="V27" s="182">
        <f>S27-T27</f>
        <v>84.509254442136239</v>
      </c>
      <c r="W27" s="180">
        <v>0</v>
      </c>
      <c r="X27" s="180">
        <v>0</v>
      </c>
      <c r="Y27" s="180">
        <f>[4]MARET!$N$14</f>
        <v>1079679809</v>
      </c>
      <c r="Z27" s="180">
        <v>3345735931</v>
      </c>
      <c r="AA27" s="180" t="e">
        <f>[5]maret!$Q$166</f>
        <v>#REF!</v>
      </c>
      <c r="AB27" s="180">
        <f>[6]JUNI!$S$166</f>
        <v>2116323666</v>
      </c>
      <c r="AC27" s="180"/>
      <c r="AD27" s="180"/>
      <c r="AE27" s="180"/>
      <c r="AF27" s="180"/>
      <c r="AG27" s="180"/>
      <c r="AH27" s="180"/>
      <c r="AI27" s="180">
        <f>(290269423+304174322+383891482+487632037)</f>
        <v>1465967264</v>
      </c>
      <c r="AJ27" s="181">
        <f t="shared" si="2"/>
        <v>15.490745557863766</v>
      </c>
      <c r="AK27" s="180">
        <f t="shared" si="6"/>
        <v>7997536339</v>
      </c>
      <c r="AL27" s="181">
        <f t="shared" si="3"/>
        <v>84.509254442136225</v>
      </c>
      <c r="AM27" s="243"/>
    </row>
    <row r="28" spans="1:39" ht="24.95" customHeight="1" x14ac:dyDescent="0.25">
      <c r="A28" s="243">
        <v>12</v>
      </c>
      <c r="B28" s="639" t="s">
        <v>108</v>
      </c>
      <c r="C28" s="597"/>
      <c r="D28" s="597"/>
      <c r="E28" s="597"/>
      <c r="F28" s="597"/>
      <c r="G28" s="597"/>
      <c r="H28" s="597"/>
      <c r="I28" s="598"/>
      <c r="J28" s="381"/>
      <c r="K28" s="245"/>
      <c r="L28" s="597" t="s">
        <v>110</v>
      </c>
      <c r="M28" s="597"/>
      <c r="N28" s="598"/>
      <c r="O28" s="180"/>
      <c r="P28" s="180"/>
      <c r="Q28" s="180">
        <v>0</v>
      </c>
      <c r="R28" s="181">
        <f>AI28/Q$10*100</f>
        <v>8.1338991715136277</v>
      </c>
      <c r="S28" s="181">
        <v>0</v>
      </c>
      <c r="T28" s="180">
        <f>AJ28</f>
        <v>0</v>
      </c>
      <c r="U28" s="180">
        <f>R28*T28/100</f>
        <v>0</v>
      </c>
      <c r="V28" s="182">
        <f>T28-S28</f>
        <v>0</v>
      </c>
      <c r="W28" s="180">
        <v>0</v>
      </c>
      <c r="X28" s="180">
        <v>0</v>
      </c>
      <c r="Y28" s="180" t="e">
        <f>'[7]LRA RINCIAN nBJEK'!$N$334</f>
        <v>#REF!</v>
      </c>
      <c r="Z28" s="180" t="e">
        <f>'[8]DPKD versi ekbang'!$P$334</f>
        <v>#REF!</v>
      </c>
      <c r="AA28" s="180" t="e">
        <f>[5]maret!$Q$224</f>
        <v>#REF!</v>
      </c>
      <c r="AB28" s="180">
        <f>[6]JUNI!$S$224</f>
        <v>1216233073</v>
      </c>
      <c r="AC28" s="180"/>
      <c r="AD28" s="180"/>
      <c r="AE28" s="180"/>
      <c r="AF28" s="180"/>
      <c r="AG28" s="180"/>
      <c r="AH28" s="180"/>
      <c r="AI28" s="180">
        <f xml:space="preserve"> (9193697642 + 221523585+363364923+332978349)</f>
        <v>10111564499</v>
      </c>
      <c r="AJ28" s="181">
        <v>0</v>
      </c>
      <c r="AK28" s="180">
        <f>SUM(Q28-AI28)</f>
        <v>-10111564499</v>
      </c>
      <c r="AL28" s="181">
        <v>0</v>
      </c>
      <c r="AM28" s="243"/>
    </row>
    <row r="29" spans="1:39" ht="24.95" customHeight="1" x14ac:dyDescent="0.25">
      <c r="A29" s="243">
        <v>13</v>
      </c>
      <c r="B29" s="639" t="s">
        <v>108</v>
      </c>
      <c r="C29" s="597"/>
      <c r="D29" s="597"/>
      <c r="E29" s="597"/>
      <c r="F29" s="597"/>
      <c r="G29" s="597"/>
      <c r="H29" s="597"/>
      <c r="I29" s="598"/>
      <c r="J29" s="381" t="s">
        <v>382</v>
      </c>
      <c r="K29" s="245"/>
      <c r="L29" s="597" t="s">
        <v>368</v>
      </c>
      <c r="M29" s="597"/>
      <c r="N29" s="598"/>
      <c r="O29" s="180"/>
      <c r="P29" s="180"/>
      <c r="Q29" s="180">
        <v>689000000</v>
      </c>
      <c r="R29" s="181">
        <f>AI29/Q$10*100</f>
        <v>0.26886175640570137</v>
      </c>
      <c r="S29" s="181">
        <v>0</v>
      </c>
      <c r="T29" s="180">
        <f t="shared" si="7"/>
        <v>48.5097885341074</v>
      </c>
      <c r="U29" s="180">
        <f t="shared" si="10"/>
        <v>0.13042426948149269</v>
      </c>
      <c r="V29" s="182">
        <f t="shared" ref="V29:V32" si="11">T29-S29</f>
        <v>48.5097885341074</v>
      </c>
      <c r="W29" s="180">
        <v>0</v>
      </c>
      <c r="X29" s="180">
        <v>0</v>
      </c>
      <c r="Y29" s="180" t="e">
        <f>'[7]LRA RINCIAN nBJEK'!$N$334</f>
        <v>#REF!</v>
      </c>
      <c r="Z29" s="180" t="e">
        <f>'[8]DPKD versi ekbang'!$P$334</f>
        <v>#REF!</v>
      </c>
      <c r="AA29" s="180" t="e">
        <f>[5]maret!$Q$265</f>
        <v>#REF!</v>
      </c>
      <c r="AB29" s="180">
        <f>[6]JUNI!$S$265</f>
        <v>727292590</v>
      </c>
      <c r="AC29" s="180"/>
      <c r="AD29" s="180"/>
      <c r="AE29" s="180"/>
      <c r="AF29" s="180"/>
      <c r="AG29" s="180"/>
      <c r="AH29" s="180"/>
      <c r="AI29" s="180">
        <f>(79828289+0+177590471+76813683)</f>
        <v>334232443</v>
      </c>
      <c r="AJ29" s="181">
        <f>AI29/Q29*100</f>
        <v>48.5097885341074</v>
      </c>
      <c r="AK29" s="180">
        <f t="shared" si="6"/>
        <v>354767557</v>
      </c>
      <c r="AL29" s="181">
        <f>AK29/Q29*100</f>
        <v>51.4902114658926</v>
      </c>
      <c r="AM29" s="243"/>
    </row>
    <row r="30" spans="1:39" ht="24.95" customHeight="1" x14ac:dyDescent="0.25">
      <c r="A30" s="243">
        <v>14</v>
      </c>
      <c r="B30" s="398"/>
      <c r="C30" s="399"/>
      <c r="D30" s="399"/>
      <c r="E30" s="399"/>
      <c r="F30" s="399"/>
      <c r="G30" s="399"/>
      <c r="H30" s="399"/>
      <c r="I30" s="400"/>
      <c r="J30" s="399"/>
      <c r="K30" s="245"/>
      <c r="L30" s="597" t="s">
        <v>637</v>
      </c>
      <c r="M30" s="597"/>
      <c r="N30" s="598"/>
      <c r="O30" s="180"/>
      <c r="P30" s="180"/>
      <c r="Q30" s="180">
        <v>0</v>
      </c>
      <c r="R30" s="181">
        <f>AI30/Q$10*100</f>
        <v>4.205082005192428E-5</v>
      </c>
      <c r="S30" s="181">
        <v>0</v>
      </c>
      <c r="T30" s="180">
        <f t="shared" ref="T30" si="12">AJ30</f>
        <v>0</v>
      </c>
      <c r="U30" s="180">
        <f t="shared" ref="U30" si="13">R30*T30/100</f>
        <v>0</v>
      </c>
      <c r="V30" s="182">
        <f t="shared" si="11"/>
        <v>0</v>
      </c>
      <c r="W30" s="180">
        <v>0</v>
      </c>
      <c r="X30" s="180">
        <v>0</v>
      </c>
      <c r="Y30" s="180" t="e">
        <f>'[7]LRA RINCIAN nBJEK'!$N$334</f>
        <v>#REF!</v>
      </c>
      <c r="Z30" s="180" t="e">
        <f>'[8]DPKD versi ekbang'!$P$334</f>
        <v>#REF!</v>
      </c>
      <c r="AA30" s="180" t="e">
        <f>[5]maret!$Q$265</f>
        <v>#REF!</v>
      </c>
      <c r="AB30" s="180">
        <f>[6]JUNI!$S$265</f>
        <v>727292590</v>
      </c>
      <c r="AC30" s="180"/>
      <c r="AD30" s="180"/>
      <c r="AE30" s="180"/>
      <c r="AF30" s="180"/>
      <c r="AG30" s="180"/>
      <c r="AH30" s="180"/>
      <c r="AI30" s="180">
        <v>52275</v>
      </c>
      <c r="AJ30" s="181">
        <v>0</v>
      </c>
      <c r="AK30" s="180">
        <f t="shared" ref="AK30" si="14">SUM(Q30-AI30)</f>
        <v>-52275</v>
      </c>
      <c r="AL30" s="181">
        <v>0</v>
      </c>
      <c r="AM30" s="243"/>
    </row>
    <row r="31" spans="1:39" ht="24.95" customHeight="1" thickBot="1" x14ac:dyDescent="0.3">
      <c r="A31" s="243">
        <v>15</v>
      </c>
      <c r="B31" s="636" t="s">
        <v>108</v>
      </c>
      <c r="C31" s="637"/>
      <c r="D31" s="637"/>
      <c r="E31" s="637"/>
      <c r="F31" s="637"/>
      <c r="G31" s="637"/>
      <c r="H31" s="637"/>
      <c r="I31" s="638"/>
      <c r="J31" s="381"/>
      <c r="K31" s="245"/>
      <c r="L31" s="597" t="s">
        <v>385</v>
      </c>
      <c r="M31" s="597"/>
      <c r="N31" s="598"/>
      <c r="O31" s="180"/>
      <c r="P31" s="180"/>
      <c r="Q31" s="180"/>
      <c r="R31" s="181">
        <f>Q31/Q$10*100</f>
        <v>0</v>
      </c>
      <c r="S31" s="181">
        <v>0</v>
      </c>
      <c r="T31" s="180">
        <f t="shared" si="7"/>
        <v>0</v>
      </c>
      <c r="U31" s="180">
        <f t="shared" si="10"/>
        <v>0</v>
      </c>
      <c r="V31" s="182">
        <f t="shared" si="11"/>
        <v>0</v>
      </c>
      <c r="W31" s="180">
        <v>0</v>
      </c>
      <c r="X31" s="180">
        <v>0</v>
      </c>
      <c r="Y31" s="180" t="e">
        <f>'[7]LRA RINCIAN nBJEK'!$N$334</f>
        <v>#REF!</v>
      </c>
      <c r="Z31" s="180" t="e">
        <f>'[8]DPKD versi ekbang'!$P$334</f>
        <v>#REF!</v>
      </c>
      <c r="AA31" s="180" t="e">
        <f>[5]maret!$Q$269</f>
        <v>#REF!</v>
      </c>
      <c r="AB31" s="180">
        <f>[6]JUNI!$S$269</f>
        <v>319903749</v>
      </c>
      <c r="AC31" s="180"/>
      <c r="AD31" s="180"/>
      <c r="AE31" s="180"/>
      <c r="AF31" s="180"/>
      <c r="AG31" s="180"/>
      <c r="AH31" s="180"/>
      <c r="AI31" s="180">
        <f>(0+20+20)</f>
        <v>40</v>
      </c>
      <c r="AJ31" s="181">
        <v>0</v>
      </c>
      <c r="AK31" s="180">
        <f t="shared" si="6"/>
        <v>-40</v>
      </c>
      <c r="AL31" s="181">
        <v>0</v>
      </c>
      <c r="AM31" s="243"/>
    </row>
    <row r="32" spans="1:39" ht="24.95" customHeight="1" thickTop="1" thickBot="1" x14ac:dyDescent="0.3">
      <c r="A32" s="243">
        <v>16</v>
      </c>
      <c r="B32" s="388"/>
      <c r="C32" s="388"/>
      <c r="D32" s="388"/>
      <c r="E32" s="388"/>
      <c r="F32" s="388"/>
      <c r="G32" s="388"/>
      <c r="H32" s="388"/>
      <c r="I32" s="389"/>
      <c r="J32" s="381"/>
      <c r="K32" s="245"/>
      <c r="L32" s="597" t="s">
        <v>384</v>
      </c>
      <c r="M32" s="597"/>
      <c r="N32" s="598"/>
      <c r="O32" s="180">
        <v>599994905</v>
      </c>
      <c r="P32" s="180"/>
      <c r="Q32" s="180"/>
      <c r="R32" s="181">
        <f>Q32/Q$10*100</f>
        <v>0</v>
      </c>
      <c r="S32" s="181">
        <v>0</v>
      </c>
      <c r="T32" s="180">
        <f t="shared" si="7"/>
        <v>0</v>
      </c>
      <c r="U32" s="180">
        <f t="shared" si="10"/>
        <v>0</v>
      </c>
      <c r="V32" s="182">
        <f t="shared" si="11"/>
        <v>0</v>
      </c>
      <c r="W32" s="180">
        <v>0</v>
      </c>
      <c r="X32" s="180">
        <v>0</v>
      </c>
      <c r="Y32" s="180" t="e">
        <f>'[7]LRA RINCIAN nBJEK'!$N$334</f>
        <v>#REF!</v>
      </c>
      <c r="Z32" s="180" t="e">
        <f>'[8]DPKD versi ekbang'!$P$334</f>
        <v>#REF!</v>
      </c>
      <c r="AA32" s="180" t="e">
        <f>[5]maret!$Q$269</f>
        <v>#REF!</v>
      </c>
      <c r="AB32" s="180">
        <f>[6]JUNI!$S$269</f>
        <v>319903749</v>
      </c>
      <c r="AC32" s="180"/>
      <c r="AD32" s="180"/>
      <c r="AE32" s="180"/>
      <c r="AF32" s="180"/>
      <c r="AG32" s="180"/>
      <c r="AH32" s="180"/>
      <c r="AI32" s="180">
        <f>(750000+0+750000+500000)</f>
        <v>2000000</v>
      </c>
      <c r="AJ32" s="181">
        <v>0</v>
      </c>
      <c r="AK32" s="180">
        <f t="shared" si="6"/>
        <v>-2000000</v>
      </c>
      <c r="AL32" s="181">
        <v>0</v>
      </c>
      <c r="AM32" s="243"/>
    </row>
    <row r="33" spans="1:39" ht="24.95" customHeight="1" thickTop="1" thickBot="1" x14ac:dyDescent="0.3">
      <c r="A33" s="243">
        <v>17</v>
      </c>
      <c r="B33" s="639" t="s">
        <v>108</v>
      </c>
      <c r="C33" s="597"/>
      <c r="D33" s="597"/>
      <c r="E33" s="597"/>
      <c r="F33" s="597"/>
      <c r="G33" s="597"/>
      <c r="H33" s="597"/>
      <c r="I33" s="598"/>
      <c r="J33" s="381"/>
      <c r="K33" s="245"/>
      <c r="L33" s="637" t="s">
        <v>109</v>
      </c>
      <c r="M33" s="637"/>
      <c r="N33" s="638"/>
      <c r="O33" s="180"/>
      <c r="P33" s="180"/>
      <c r="Q33" s="180"/>
      <c r="R33" s="181">
        <f>AI33/Q$10*100</f>
        <v>5.9384962035421998E-2</v>
      </c>
      <c r="S33" s="181">
        <v>0</v>
      </c>
      <c r="T33" s="180">
        <f>AJ33</f>
        <v>0</v>
      </c>
      <c r="U33" s="180">
        <f>R33*T33/100</f>
        <v>0</v>
      </c>
      <c r="V33" s="182">
        <f>T33-S33</f>
        <v>0</v>
      </c>
      <c r="W33" s="180">
        <v>0</v>
      </c>
      <c r="X33" s="180">
        <v>0</v>
      </c>
      <c r="Y33" s="180" t="e">
        <f>'[7]LRA RINCIAN nBJEK'!$N$334</f>
        <v>#REF!</v>
      </c>
      <c r="Z33" s="180" t="e">
        <f>'[8]DPKD versi ekbang'!$P$334</f>
        <v>#REF!</v>
      </c>
      <c r="AA33" s="180" t="e">
        <f>[5]maret!$Q$198</f>
        <v>#REF!</v>
      </c>
      <c r="AB33" s="180">
        <f>[6]JUNI!$S$198</f>
        <v>16694136</v>
      </c>
      <c r="AC33" s="180"/>
      <c r="AD33" s="180"/>
      <c r="AE33" s="180"/>
      <c r="AF33" s="180"/>
      <c r="AG33" s="180"/>
      <c r="AH33" s="180"/>
      <c r="AI33" s="180">
        <f>(20455657+28153435+16921231+8293419)</f>
        <v>73823742</v>
      </c>
      <c r="AJ33" s="181">
        <v>0</v>
      </c>
      <c r="AK33" s="180">
        <f>SUM(Q33-AI33)</f>
        <v>-73823742</v>
      </c>
      <c r="AL33" s="181">
        <v>0</v>
      </c>
      <c r="AM33" s="243"/>
    </row>
    <row r="34" spans="1:39" ht="24.95" customHeight="1" thickTop="1" thickBot="1" x14ac:dyDescent="0.3">
      <c r="A34" s="243">
        <v>18</v>
      </c>
      <c r="B34" s="399"/>
      <c r="C34" s="399"/>
      <c r="D34" s="399"/>
      <c r="E34" s="399"/>
      <c r="F34" s="399"/>
      <c r="G34" s="399"/>
      <c r="H34" s="399"/>
      <c r="I34" s="400"/>
      <c r="J34" s="399"/>
      <c r="K34" s="245"/>
      <c r="L34" s="652" t="s">
        <v>638</v>
      </c>
      <c r="M34" s="652"/>
      <c r="N34" s="653"/>
      <c r="O34" s="180"/>
      <c r="P34" s="180"/>
      <c r="Q34" s="180"/>
      <c r="R34" s="181">
        <f>AI34/Q$10*100</f>
        <v>2.316716628398698E-4</v>
      </c>
      <c r="S34" s="181">
        <v>1</v>
      </c>
      <c r="T34" s="180">
        <f>AJ34</f>
        <v>1</v>
      </c>
      <c r="U34" s="180">
        <f>R34*T34/100</f>
        <v>2.3167166283986979E-6</v>
      </c>
      <c r="V34" s="182">
        <f>T34-S34</f>
        <v>0</v>
      </c>
      <c r="W34" s="180">
        <v>0</v>
      </c>
      <c r="X34" s="180">
        <v>0</v>
      </c>
      <c r="Y34" s="180" t="e">
        <f>'[7]LRA RINCIAN nBJEK'!$N$334</f>
        <v>#REF!</v>
      </c>
      <c r="Z34" s="180" t="e">
        <f>'[8]DPKD versi ekbang'!$P$334</f>
        <v>#REF!</v>
      </c>
      <c r="AA34" s="180" t="e">
        <f>[5]maret!$Q$198</f>
        <v>#REF!</v>
      </c>
      <c r="AB34" s="180">
        <f>[6]JUNI!$S$198</f>
        <v>16694136</v>
      </c>
      <c r="AC34" s="180"/>
      <c r="AD34" s="180"/>
      <c r="AE34" s="180"/>
      <c r="AF34" s="180"/>
      <c r="AG34" s="180"/>
      <c r="AH34" s="180"/>
      <c r="AI34" s="180">
        <v>288000</v>
      </c>
      <c r="AJ34" s="181">
        <v>1</v>
      </c>
      <c r="AK34" s="180">
        <f>SUM(Q34-AI34)</f>
        <v>-288000</v>
      </c>
      <c r="AL34" s="181">
        <v>1</v>
      </c>
      <c r="AM34" s="243"/>
    </row>
    <row r="35" spans="1:39" s="256" customFormat="1" ht="27.75" customHeight="1" thickTop="1" thickBot="1" x14ac:dyDescent="0.3">
      <c r="A35" s="218"/>
      <c r="B35" s="254"/>
      <c r="C35" s="254"/>
      <c r="D35" s="254"/>
      <c r="E35" s="254"/>
      <c r="F35" s="254"/>
      <c r="G35" s="254"/>
      <c r="H35" s="254"/>
      <c r="I35" s="255"/>
      <c r="J35" s="254" t="s">
        <v>211</v>
      </c>
      <c r="K35" s="220"/>
      <c r="L35" s="640" t="s">
        <v>9</v>
      </c>
      <c r="M35" s="640"/>
      <c r="N35" s="641"/>
      <c r="O35" s="221" t="e">
        <f>SUM(O37:O55)</f>
        <v>#REF!</v>
      </c>
      <c r="P35" s="221" t="e">
        <f>SUM(P37:P55)</f>
        <v>#REF!</v>
      </c>
      <c r="Q35" s="221">
        <f>SUM(Q37+Q55)</f>
        <v>31786252581</v>
      </c>
      <c r="R35" s="222">
        <f>Q35/Q35*100</f>
        <v>100</v>
      </c>
      <c r="S35" s="221">
        <f>S37</f>
        <v>100</v>
      </c>
      <c r="T35" s="221">
        <f>AJ35</f>
        <v>23.249211655787793</v>
      </c>
      <c r="U35" s="221">
        <f>SUM(R35*T35/100)</f>
        <v>23.249211655787793</v>
      </c>
      <c r="V35" s="223">
        <f>S35-T35</f>
        <v>76.750788344212211</v>
      </c>
      <c r="W35" s="221">
        <f t="shared" ref="W35:AH35" si="15">SUM(W37:W55)</f>
        <v>0</v>
      </c>
      <c r="X35" s="221" t="e">
        <f t="shared" si="15"/>
        <v>#REF!</v>
      </c>
      <c r="Y35" s="221" t="e">
        <f t="shared" si="15"/>
        <v>#REF!</v>
      </c>
      <c r="Z35" s="221" t="e">
        <f t="shared" si="15"/>
        <v>#REF!</v>
      </c>
      <c r="AA35" s="221" t="e">
        <f t="shared" si="15"/>
        <v>#REF!</v>
      </c>
      <c r="AB35" s="221">
        <f t="shared" si="15"/>
        <v>13148060099</v>
      </c>
      <c r="AC35" s="221" t="e">
        <f t="shared" si="15"/>
        <v>#REF!</v>
      </c>
      <c r="AD35" s="221" t="e">
        <f t="shared" si="15"/>
        <v>#REF!</v>
      </c>
      <c r="AE35" s="221" t="e">
        <f t="shared" si="15"/>
        <v>#REF!</v>
      </c>
      <c r="AF35" s="221" t="e">
        <f t="shared" si="15"/>
        <v>#REF!</v>
      </c>
      <c r="AG35" s="221" t="e">
        <f t="shared" si="15"/>
        <v>#REF!</v>
      </c>
      <c r="AH35" s="221" t="e">
        <f t="shared" si="15"/>
        <v>#REF!</v>
      </c>
      <c r="AI35" s="221">
        <f>SUM(AI38+AI55)</f>
        <v>7390053140</v>
      </c>
      <c r="AJ35" s="224">
        <f>AI35/Q35*100</f>
        <v>23.249211655787793</v>
      </c>
      <c r="AK35" s="221">
        <f>SUM(AK38+AK55)</f>
        <v>24396199441</v>
      </c>
      <c r="AL35" s="224">
        <f>AK35/Q35*100</f>
        <v>76.750788344212211</v>
      </c>
      <c r="AM35" s="218"/>
    </row>
    <row r="36" spans="1:39" ht="13.5" customHeight="1" thickTop="1" x14ac:dyDescent="0.25">
      <c r="A36" s="243"/>
      <c r="B36" s="257"/>
      <c r="C36" s="257"/>
      <c r="D36" s="257"/>
      <c r="E36" s="257"/>
      <c r="F36" s="257"/>
      <c r="G36" s="257"/>
      <c r="H36" s="257"/>
      <c r="I36" s="258"/>
      <c r="J36" s="257"/>
      <c r="K36" s="245"/>
      <c r="L36" s="257"/>
      <c r="M36" s="257"/>
      <c r="N36" s="258"/>
      <c r="O36" s="243"/>
      <c r="P36" s="243"/>
      <c r="Q36" s="243"/>
      <c r="R36" s="243"/>
      <c r="S36" s="243"/>
      <c r="T36" s="243"/>
      <c r="U36" s="243"/>
      <c r="V36" s="182"/>
      <c r="W36" s="243"/>
      <c r="X36" s="243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73"/>
      <c r="AL36" s="243"/>
      <c r="AM36" s="243"/>
    </row>
    <row r="37" spans="1:39" s="226" customFormat="1" ht="28.5" customHeight="1" x14ac:dyDescent="0.25">
      <c r="A37" s="260"/>
      <c r="B37" s="633" t="s">
        <v>111</v>
      </c>
      <c r="C37" s="633"/>
      <c r="D37" s="633"/>
      <c r="E37" s="633"/>
      <c r="F37" s="633"/>
      <c r="G37" s="633"/>
      <c r="H37" s="633"/>
      <c r="I37" s="633"/>
      <c r="J37" s="385" t="s">
        <v>212</v>
      </c>
      <c r="K37" s="262"/>
      <c r="L37" s="634" t="s">
        <v>10</v>
      </c>
      <c r="M37" s="633"/>
      <c r="N37" s="633"/>
      <c r="O37" s="263">
        <v>6663803304</v>
      </c>
      <c r="P37" s="263">
        <f>O37</f>
        <v>6663803304</v>
      </c>
      <c r="Q37" s="263">
        <f>SUM(Q38)</f>
        <v>11607289675</v>
      </c>
      <c r="R37" s="222">
        <f>Q37/Q35*100</f>
        <v>36.516697416348386</v>
      </c>
      <c r="S37" s="260">
        <v>100</v>
      </c>
      <c r="T37" s="263">
        <f>AJ37</f>
        <v>40.633407186850448</v>
      </c>
      <c r="U37" s="263">
        <f>R37*T37/100</f>
        <v>14.837978352374938</v>
      </c>
      <c r="V37" s="264">
        <f>S37-T37</f>
        <v>59.366592813149552</v>
      </c>
      <c r="W37" s="263"/>
      <c r="X37" s="263" t="e">
        <f>#REF!</f>
        <v>#REF!</v>
      </c>
      <c r="Y37" s="263" t="e">
        <f>#REF!</f>
        <v>#REF!</v>
      </c>
      <c r="Z37" s="263" t="e">
        <f>#REF!</f>
        <v>#REF!</v>
      </c>
      <c r="AA37" s="263" t="e">
        <f>#REF!</f>
        <v>#REF!</v>
      </c>
      <c r="AB37" s="263">
        <v>2898050817</v>
      </c>
      <c r="AC37" s="263" t="e">
        <f>#REF!</f>
        <v>#REF!</v>
      </c>
      <c r="AD37" s="263" t="e">
        <f>#REF!</f>
        <v>#REF!</v>
      </c>
      <c r="AE37" s="263" t="e">
        <f>#REF!</f>
        <v>#REF!</v>
      </c>
      <c r="AF37" s="263" t="e">
        <f>[1]April!$N$17</f>
        <v>#REF!</v>
      </c>
      <c r="AG37" s="263" t="e">
        <f>[2]april!$N$17</f>
        <v>#REF!</v>
      </c>
      <c r="AH37" s="263">
        <f>'[3]DES SKPD'!$N$17</f>
        <v>8257610364</v>
      </c>
      <c r="AI37" s="263">
        <f>SUM(AI38)</f>
        <v>4716437277</v>
      </c>
      <c r="AJ37" s="260">
        <f>AI37/Q37*100</f>
        <v>40.633407186850448</v>
      </c>
      <c r="AK37" s="263">
        <f>SUM(AK38)</f>
        <v>6890852398</v>
      </c>
      <c r="AL37" s="260">
        <f>AK37/Q37*100</f>
        <v>59.366592813149552</v>
      </c>
      <c r="AM37" s="222"/>
    </row>
    <row r="38" spans="1:39" s="226" customFormat="1" ht="28.5" customHeight="1" x14ac:dyDescent="0.25">
      <c r="A38" s="260"/>
      <c r="B38" s="266"/>
      <c r="C38" s="266"/>
      <c r="D38" s="266"/>
      <c r="E38" s="266"/>
      <c r="F38" s="266"/>
      <c r="G38" s="266"/>
      <c r="H38" s="266"/>
      <c r="I38" s="267"/>
      <c r="J38" s="268" t="s">
        <v>219</v>
      </c>
      <c r="K38" s="262"/>
      <c r="L38" s="635" t="s">
        <v>218</v>
      </c>
      <c r="M38" s="635"/>
      <c r="N38" s="634"/>
      <c r="O38" s="263"/>
      <c r="P38" s="263"/>
      <c r="Q38" s="263">
        <f>SUM(Q39+Q49+Q52)</f>
        <v>11607289675</v>
      </c>
      <c r="R38" s="222">
        <f>Q38/Q35*100</f>
        <v>36.516697416348386</v>
      </c>
      <c r="S38" s="260">
        <v>100</v>
      </c>
      <c r="T38" s="263">
        <f t="shared" ref="T38:T53" si="16">AJ38</f>
        <v>40.633407186850448</v>
      </c>
      <c r="U38" s="263">
        <f>R38*T38/100</f>
        <v>14.837978352374938</v>
      </c>
      <c r="V38" s="264">
        <f t="shared" ref="V38:V53" si="17">S38-T38</f>
        <v>59.366592813149552</v>
      </c>
      <c r="W38" s="263"/>
      <c r="X38" s="263"/>
      <c r="Y38" s="263"/>
      <c r="Z38" s="263"/>
      <c r="AA38" s="263"/>
      <c r="AB38" s="263"/>
      <c r="AC38" s="263"/>
      <c r="AD38" s="263"/>
      <c r="AE38" s="263"/>
      <c r="AF38" s="263"/>
      <c r="AG38" s="263"/>
      <c r="AH38" s="263"/>
      <c r="AI38" s="263">
        <f>SUM(AI39+AI49+AI52)</f>
        <v>4716437277</v>
      </c>
      <c r="AJ38" s="260">
        <f t="shared" ref="AJ38:AJ53" si="18">AI38/Q38*100</f>
        <v>40.633407186850448</v>
      </c>
      <c r="AK38" s="263">
        <f>SUM(AK39+AK49+AK52)</f>
        <v>6890852398</v>
      </c>
      <c r="AL38" s="260">
        <f t="shared" ref="AL38:AL53" si="19">AK38/Q38*100</f>
        <v>59.366592813149552</v>
      </c>
      <c r="AM38" s="222"/>
    </row>
    <row r="39" spans="1:39" s="226" customFormat="1" ht="28.5" customHeight="1" x14ac:dyDescent="0.25">
      <c r="A39" s="269" t="s">
        <v>7</v>
      </c>
      <c r="B39" s="266"/>
      <c r="C39" s="266"/>
      <c r="D39" s="266"/>
      <c r="E39" s="266"/>
      <c r="F39" s="266"/>
      <c r="G39" s="266"/>
      <c r="H39" s="266"/>
      <c r="I39" s="267"/>
      <c r="J39" s="268" t="s">
        <v>220</v>
      </c>
      <c r="K39" s="262"/>
      <c r="L39" s="635" t="s">
        <v>221</v>
      </c>
      <c r="M39" s="635"/>
      <c r="N39" s="634"/>
      <c r="O39" s="263"/>
      <c r="P39" s="263"/>
      <c r="Q39" s="263">
        <f>SUM(Q40:Q48)</f>
        <v>4242771195</v>
      </c>
      <c r="R39" s="222">
        <f>Q39/Q38*100</f>
        <v>36.552643328426285</v>
      </c>
      <c r="S39" s="260">
        <v>100</v>
      </c>
      <c r="T39" s="263">
        <f t="shared" si="16"/>
        <v>28.231395046981788</v>
      </c>
      <c r="U39" s="263">
        <f>R39*T39/100</f>
        <v>10.319321138162257</v>
      </c>
      <c r="V39" s="264">
        <f t="shared" si="17"/>
        <v>71.768604953018212</v>
      </c>
      <c r="W39" s="263"/>
      <c r="X39" s="263"/>
      <c r="Y39" s="263"/>
      <c r="Z39" s="263"/>
      <c r="AA39" s="263"/>
      <c r="AB39" s="263"/>
      <c r="AC39" s="263"/>
      <c r="AD39" s="263"/>
      <c r="AE39" s="263"/>
      <c r="AF39" s="263"/>
      <c r="AG39" s="263"/>
      <c r="AH39" s="263"/>
      <c r="AI39" s="263">
        <f>SUM(AI40:AI48)</f>
        <v>1197793497</v>
      </c>
      <c r="AJ39" s="260">
        <f t="shared" si="18"/>
        <v>28.231395046981788</v>
      </c>
      <c r="AK39" s="263">
        <f t="shared" ref="AK39:AK53" si="20">Q39-AI39</f>
        <v>3044977698</v>
      </c>
      <c r="AL39" s="260">
        <f t="shared" si="19"/>
        <v>71.768604953018212</v>
      </c>
      <c r="AM39" s="222"/>
    </row>
    <row r="40" spans="1:39" s="235" customFormat="1" ht="28.5" customHeight="1" x14ac:dyDescent="0.25">
      <c r="A40" s="259">
        <v>1</v>
      </c>
      <c r="B40" s="386"/>
      <c r="C40" s="386"/>
      <c r="D40" s="386"/>
      <c r="E40" s="386"/>
      <c r="F40" s="386"/>
      <c r="G40" s="386"/>
      <c r="H40" s="386"/>
      <c r="I40" s="387"/>
      <c r="J40" s="386" t="s">
        <v>222</v>
      </c>
      <c r="K40" s="272"/>
      <c r="L40" s="628" t="s">
        <v>223</v>
      </c>
      <c r="M40" s="628"/>
      <c r="N40" s="629"/>
      <c r="O40" s="180"/>
      <c r="P40" s="180"/>
      <c r="Q40" s="180">
        <v>3155998370</v>
      </c>
      <c r="R40" s="181">
        <f>Q40/Q$35*100</f>
        <v>9.9288154901483257</v>
      </c>
      <c r="S40" s="273">
        <v>100</v>
      </c>
      <c r="T40" s="180">
        <f t="shared" si="16"/>
        <v>28.171453079679505</v>
      </c>
      <c r="U40" s="180">
        <f t="shared" ref="U40:U48" si="21">SUM(R40*T40)</f>
        <v>279.70915971750861</v>
      </c>
      <c r="V40" s="274">
        <f t="shared" si="17"/>
        <v>71.828546920320491</v>
      </c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>
        <v>889090600</v>
      </c>
      <c r="AJ40" s="181">
        <f t="shared" si="18"/>
        <v>28.171453079679505</v>
      </c>
      <c r="AK40" s="180">
        <f t="shared" si="20"/>
        <v>2266907770</v>
      </c>
      <c r="AL40" s="181">
        <f t="shared" si="19"/>
        <v>71.828546920320491</v>
      </c>
      <c r="AM40" s="181"/>
    </row>
    <row r="41" spans="1:39" s="235" customFormat="1" ht="28.5" customHeight="1" x14ac:dyDescent="0.25">
      <c r="A41" s="259">
        <v>2</v>
      </c>
      <c r="B41" s="386"/>
      <c r="C41" s="386"/>
      <c r="D41" s="386"/>
      <c r="E41" s="386"/>
      <c r="F41" s="386"/>
      <c r="G41" s="386"/>
      <c r="H41" s="386"/>
      <c r="I41" s="387"/>
      <c r="J41" s="386" t="s">
        <v>224</v>
      </c>
      <c r="K41" s="272"/>
      <c r="L41" s="628" t="s">
        <v>225</v>
      </c>
      <c r="M41" s="628"/>
      <c r="N41" s="629"/>
      <c r="O41" s="180"/>
      <c r="P41" s="180"/>
      <c r="Q41" s="180">
        <v>327556228</v>
      </c>
      <c r="R41" s="181">
        <f t="shared" ref="R41:R53" si="22">Q41/Q$35*100</f>
        <v>1.0304965241350732</v>
      </c>
      <c r="S41" s="273">
        <v>100</v>
      </c>
      <c r="T41" s="180">
        <f>AJ41</f>
        <v>28.950575166593996</v>
      </c>
      <c r="U41" s="180">
        <f t="shared" si="21"/>
        <v>29.83346708088628</v>
      </c>
      <c r="V41" s="275">
        <f t="shared" si="17"/>
        <v>71.049424833406007</v>
      </c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>
        <v>94829412</v>
      </c>
      <c r="AJ41" s="181">
        <f t="shared" si="18"/>
        <v>28.950575166593996</v>
      </c>
      <c r="AK41" s="180">
        <f t="shared" si="20"/>
        <v>232726816</v>
      </c>
      <c r="AL41" s="181">
        <f t="shared" si="19"/>
        <v>71.049424833406007</v>
      </c>
      <c r="AM41" s="181"/>
    </row>
    <row r="42" spans="1:39" s="235" customFormat="1" ht="28.5" customHeight="1" x14ac:dyDescent="0.25">
      <c r="A42" s="259">
        <v>3</v>
      </c>
      <c r="B42" s="386"/>
      <c r="C42" s="386"/>
      <c r="D42" s="386"/>
      <c r="E42" s="386"/>
      <c r="F42" s="386"/>
      <c r="G42" s="386"/>
      <c r="H42" s="386"/>
      <c r="I42" s="387"/>
      <c r="J42" s="386" t="s">
        <v>226</v>
      </c>
      <c r="K42" s="272"/>
      <c r="L42" s="628" t="s">
        <v>227</v>
      </c>
      <c r="M42" s="628"/>
      <c r="N42" s="629"/>
      <c r="O42" s="180"/>
      <c r="P42" s="180"/>
      <c r="Q42" s="180">
        <v>316058750</v>
      </c>
      <c r="R42" s="181">
        <f t="shared" si="22"/>
        <v>0.99432529580074436</v>
      </c>
      <c r="S42" s="273">
        <v>100</v>
      </c>
      <c r="T42" s="180">
        <f t="shared" si="16"/>
        <v>27.874564459930312</v>
      </c>
      <c r="U42" s="180">
        <f t="shared" si="21"/>
        <v>27.716384551937125</v>
      </c>
      <c r="V42" s="275">
        <f t="shared" si="17"/>
        <v>72.125435540069688</v>
      </c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>
        <v>88100000</v>
      </c>
      <c r="AJ42" s="181">
        <f>AI42/Q42*100</f>
        <v>27.874564459930312</v>
      </c>
      <c r="AK42" s="180">
        <f t="shared" si="20"/>
        <v>227958750</v>
      </c>
      <c r="AL42" s="181">
        <f t="shared" si="19"/>
        <v>72.125435540069688</v>
      </c>
      <c r="AM42" s="181"/>
    </row>
    <row r="43" spans="1:39" s="235" customFormat="1" ht="28.5" customHeight="1" x14ac:dyDescent="0.25">
      <c r="A43" s="259">
        <v>4</v>
      </c>
      <c r="B43" s="386"/>
      <c r="C43" s="386"/>
      <c r="D43" s="386"/>
      <c r="E43" s="386"/>
      <c r="F43" s="386"/>
      <c r="G43" s="386"/>
      <c r="H43" s="386"/>
      <c r="I43" s="387"/>
      <c r="J43" s="386" t="s">
        <v>228</v>
      </c>
      <c r="K43" s="272"/>
      <c r="L43" s="628" t="s">
        <v>229</v>
      </c>
      <c r="M43" s="628"/>
      <c r="N43" s="629"/>
      <c r="O43" s="180"/>
      <c r="P43" s="180"/>
      <c r="Q43" s="180">
        <v>100378250</v>
      </c>
      <c r="R43" s="181">
        <f t="shared" si="22"/>
        <v>0.31579139360391406</v>
      </c>
      <c r="S43" s="273">
        <v>100</v>
      </c>
      <c r="T43" s="180">
        <f t="shared" si="16"/>
        <v>27.192145708856252</v>
      </c>
      <c r="U43" s="180">
        <f t="shared" si="21"/>
        <v>8.5870455884804073</v>
      </c>
      <c r="V43" s="275">
        <f t="shared" si="17"/>
        <v>72.807854291143741</v>
      </c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>
        <v>27295000</v>
      </c>
      <c r="AJ43" s="181">
        <f t="shared" si="18"/>
        <v>27.192145708856252</v>
      </c>
      <c r="AK43" s="180">
        <f t="shared" si="20"/>
        <v>73083250</v>
      </c>
      <c r="AL43" s="181">
        <f t="shared" si="19"/>
        <v>72.807854291143741</v>
      </c>
      <c r="AM43" s="181"/>
    </row>
    <row r="44" spans="1:39" s="235" customFormat="1" ht="28.5" customHeight="1" x14ac:dyDescent="0.25">
      <c r="A44" s="259">
        <v>5</v>
      </c>
      <c r="B44" s="386"/>
      <c r="C44" s="386"/>
      <c r="D44" s="386"/>
      <c r="E44" s="386"/>
      <c r="F44" s="386"/>
      <c r="G44" s="386"/>
      <c r="H44" s="386"/>
      <c r="I44" s="387"/>
      <c r="J44" s="386" t="s">
        <v>230</v>
      </c>
      <c r="K44" s="272"/>
      <c r="L44" s="628" t="s">
        <v>231</v>
      </c>
      <c r="M44" s="628"/>
      <c r="N44" s="629"/>
      <c r="O44" s="180"/>
      <c r="P44" s="180"/>
      <c r="Q44" s="180">
        <v>220316124</v>
      </c>
      <c r="R44" s="273">
        <f t="shared" si="22"/>
        <v>0.69311764083726035</v>
      </c>
      <c r="S44" s="273">
        <v>100</v>
      </c>
      <c r="T44" s="180">
        <f t="shared" si="16"/>
        <v>28.104661100519362</v>
      </c>
      <c r="U44" s="180">
        <f t="shared" si="21"/>
        <v>19.4798363985227</v>
      </c>
      <c r="V44" s="275">
        <f t="shared" si="17"/>
        <v>71.895338899480635</v>
      </c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>
        <v>61919100</v>
      </c>
      <c r="AJ44" s="273">
        <f t="shared" si="18"/>
        <v>28.104661100519362</v>
      </c>
      <c r="AK44" s="180">
        <f t="shared" si="20"/>
        <v>158397024</v>
      </c>
      <c r="AL44" s="273">
        <f t="shared" si="19"/>
        <v>71.895338899480649</v>
      </c>
      <c r="AM44" s="181"/>
    </row>
    <row r="45" spans="1:39" s="235" customFormat="1" ht="28.5" customHeight="1" x14ac:dyDescent="0.25">
      <c r="A45" s="259">
        <v>6</v>
      </c>
      <c r="B45" s="386"/>
      <c r="C45" s="386"/>
      <c r="D45" s="386"/>
      <c r="E45" s="386"/>
      <c r="F45" s="386"/>
      <c r="G45" s="386"/>
      <c r="H45" s="386"/>
      <c r="I45" s="387"/>
      <c r="J45" s="386" t="s">
        <v>232</v>
      </c>
      <c r="K45" s="272"/>
      <c r="L45" s="628" t="s">
        <v>234</v>
      </c>
      <c r="M45" s="628"/>
      <c r="N45" s="629"/>
      <c r="O45" s="180"/>
      <c r="P45" s="180"/>
      <c r="Q45" s="180">
        <v>868720</v>
      </c>
      <c r="R45" s="273">
        <f t="shared" si="22"/>
        <v>2.7330054015844291E-3</v>
      </c>
      <c r="S45" s="273">
        <v>100</v>
      </c>
      <c r="T45" s="180">
        <f t="shared" si="16"/>
        <v>41.812551800349937</v>
      </c>
      <c r="U45" s="180">
        <f t="shared" si="21"/>
        <v>0.11427392992438512</v>
      </c>
      <c r="V45" s="275">
        <f t="shared" si="17"/>
        <v>58.187448199650063</v>
      </c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>
        <v>363234</v>
      </c>
      <c r="AJ45" s="273">
        <f t="shared" si="18"/>
        <v>41.812551800349937</v>
      </c>
      <c r="AK45" s="180">
        <f t="shared" si="20"/>
        <v>505486</v>
      </c>
      <c r="AL45" s="273">
        <f t="shared" si="19"/>
        <v>58.187448199650063</v>
      </c>
      <c r="AM45" s="181"/>
    </row>
    <row r="46" spans="1:39" s="235" customFormat="1" ht="28.5" customHeight="1" x14ac:dyDescent="0.25">
      <c r="A46" s="259">
        <v>7</v>
      </c>
      <c r="B46" s="386"/>
      <c r="C46" s="386"/>
      <c r="D46" s="386"/>
      <c r="E46" s="386"/>
      <c r="F46" s="386"/>
      <c r="G46" s="386"/>
      <c r="H46" s="386"/>
      <c r="I46" s="387"/>
      <c r="J46" s="386" t="s">
        <v>233</v>
      </c>
      <c r="K46" s="272"/>
      <c r="L46" s="628" t="s">
        <v>235</v>
      </c>
      <c r="M46" s="628"/>
      <c r="N46" s="629"/>
      <c r="O46" s="180"/>
      <c r="P46" s="180"/>
      <c r="Q46" s="180">
        <v>45647</v>
      </c>
      <c r="R46" s="273">
        <f t="shared" si="22"/>
        <v>1.4360610733737503E-4</v>
      </c>
      <c r="S46" s="273">
        <v>100</v>
      </c>
      <c r="T46" s="180">
        <f t="shared" si="16"/>
        <v>31.960479330514602</v>
      </c>
      <c r="U46" s="180">
        <f t="shared" si="21"/>
        <v>4.5897200252918357E-3</v>
      </c>
      <c r="V46" s="275">
        <f t="shared" si="17"/>
        <v>68.039520669485398</v>
      </c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>
        <v>14589</v>
      </c>
      <c r="AJ46" s="273">
        <f t="shared" si="18"/>
        <v>31.960479330514602</v>
      </c>
      <c r="AK46" s="180">
        <f t="shared" si="20"/>
        <v>31058</v>
      </c>
      <c r="AL46" s="273">
        <f t="shared" si="19"/>
        <v>68.039520669485398</v>
      </c>
      <c r="AM46" s="181"/>
    </row>
    <row r="47" spans="1:39" s="235" customFormat="1" ht="28.5" customHeight="1" x14ac:dyDescent="0.25">
      <c r="A47" s="259">
        <v>8</v>
      </c>
      <c r="B47" s="386"/>
      <c r="C47" s="386"/>
      <c r="D47" s="386"/>
      <c r="E47" s="386"/>
      <c r="F47" s="386"/>
      <c r="G47" s="386"/>
      <c r="H47" s="386"/>
      <c r="I47" s="387"/>
      <c r="J47" s="386" t="s">
        <v>236</v>
      </c>
      <c r="K47" s="272"/>
      <c r="L47" s="628" t="s">
        <v>237</v>
      </c>
      <c r="M47" s="628"/>
      <c r="N47" s="629"/>
      <c r="O47" s="180"/>
      <c r="P47" s="180"/>
      <c r="Q47" s="180">
        <v>104506702</v>
      </c>
      <c r="R47" s="273">
        <f t="shared" si="22"/>
        <v>0.32877956196216762</v>
      </c>
      <c r="S47" s="273">
        <v>100</v>
      </c>
      <c r="T47" s="180">
        <f t="shared" si="16"/>
        <v>28.244710085674697</v>
      </c>
      <c r="U47" s="180">
        <f t="shared" si="21"/>
        <v>9.2862834097165443</v>
      </c>
      <c r="V47" s="275">
        <f t="shared" si="17"/>
        <v>71.755289914325303</v>
      </c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>
        <v>29517615</v>
      </c>
      <c r="AJ47" s="273">
        <f t="shared" si="18"/>
        <v>28.244710085674697</v>
      </c>
      <c r="AK47" s="180">
        <f t="shared" si="20"/>
        <v>74989087</v>
      </c>
      <c r="AL47" s="273">
        <f t="shared" si="19"/>
        <v>71.755289914325303</v>
      </c>
      <c r="AM47" s="181"/>
    </row>
    <row r="48" spans="1:39" s="235" customFormat="1" ht="28.5" customHeight="1" x14ac:dyDescent="0.25">
      <c r="A48" s="259">
        <v>9</v>
      </c>
      <c r="B48" s="386"/>
      <c r="C48" s="386"/>
      <c r="D48" s="386"/>
      <c r="E48" s="386"/>
      <c r="F48" s="386"/>
      <c r="G48" s="386"/>
      <c r="H48" s="386"/>
      <c r="I48" s="387"/>
      <c r="J48" s="386" t="s">
        <v>238</v>
      </c>
      <c r="K48" s="272"/>
      <c r="L48" s="628" t="s">
        <v>239</v>
      </c>
      <c r="M48" s="628"/>
      <c r="N48" s="629"/>
      <c r="O48" s="180"/>
      <c r="P48" s="180"/>
      <c r="Q48" s="180">
        <v>17042404</v>
      </c>
      <c r="R48" s="273">
        <f t="shared" si="22"/>
        <v>5.3615643922073949E-2</v>
      </c>
      <c r="S48" s="273">
        <v>100</v>
      </c>
      <c r="T48" s="180">
        <f t="shared" si="16"/>
        <v>39.102153663297734</v>
      </c>
      <c r="U48" s="180">
        <f t="shared" si="21"/>
        <v>2.0964871473975908</v>
      </c>
      <c r="V48" s="276">
        <f t="shared" si="17"/>
        <v>60.897846336702266</v>
      </c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>
        <v>6663947</v>
      </c>
      <c r="AJ48" s="273">
        <f t="shared" si="18"/>
        <v>39.102153663297734</v>
      </c>
      <c r="AK48" s="180">
        <f t="shared" si="20"/>
        <v>10378457</v>
      </c>
      <c r="AL48" s="273">
        <f t="shared" si="19"/>
        <v>60.897846336702266</v>
      </c>
      <c r="AM48" s="181"/>
    </row>
    <row r="49" spans="1:39" s="235" customFormat="1" ht="28.5" customHeight="1" x14ac:dyDescent="0.25">
      <c r="A49" s="277" t="s">
        <v>8</v>
      </c>
      <c r="B49" s="391"/>
      <c r="C49" s="391"/>
      <c r="D49" s="391"/>
      <c r="E49" s="391"/>
      <c r="F49" s="391"/>
      <c r="G49" s="391"/>
      <c r="H49" s="391"/>
      <c r="I49" s="391"/>
      <c r="J49" s="391" t="s">
        <v>240</v>
      </c>
      <c r="K49" s="279"/>
      <c r="L49" s="630" t="s">
        <v>241</v>
      </c>
      <c r="M49" s="631"/>
      <c r="N49" s="631"/>
      <c r="O49" s="280"/>
      <c r="P49" s="280"/>
      <c r="Q49" s="280">
        <f>SUM(Q50:Q51)</f>
        <v>2764518480</v>
      </c>
      <c r="R49" s="222">
        <f>Q49/Q38*100</f>
        <v>23.817088721015313</v>
      </c>
      <c r="S49" s="281">
        <v>100</v>
      </c>
      <c r="T49" s="280">
        <f t="shared" si="16"/>
        <v>27.264965145033145</v>
      </c>
      <c r="U49" s="280">
        <f>R49*T49/100</f>
        <v>6.4937209383464456</v>
      </c>
      <c r="V49" s="282">
        <f t="shared" si="17"/>
        <v>72.735034854966855</v>
      </c>
      <c r="W49" s="280"/>
      <c r="X49" s="280"/>
      <c r="Y49" s="280"/>
      <c r="Z49" s="280"/>
      <c r="AA49" s="280"/>
      <c r="AB49" s="280"/>
      <c r="AC49" s="280"/>
      <c r="AD49" s="280"/>
      <c r="AE49" s="280"/>
      <c r="AF49" s="280"/>
      <c r="AG49" s="280"/>
      <c r="AH49" s="280"/>
      <c r="AI49" s="280">
        <f>SUM(AI50:AI51)</f>
        <v>753745000</v>
      </c>
      <c r="AJ49" s="281">
        <f t="shared" si="18"/>
        <v>27.264965145033145</v>
      </c>
      <c r="AK49" s="280">
        <f t="shared" si="20"/>
        <v>2010773480</v>
      </c>
      <c r="AL49" s="281">
        <f t="shared" si="19"/>
        <v>72.735034854966869</v>
      </c>
      <c r="AM49" s="284"/>
    </row>
    <row r="50" spans="1:39" s="235" customFormat="1" ht="28.5" customHeight="1" x14ac:dyDescent="0.25">
      <c r="A50" s="259">
        <v>1</v>
      </c>
      <c r="B50" s="386"/>
      <c r="C50" s="386"/>
      <c r="D50" s="386"/>
      <c r="E50" s="386"/>
      <c r="F50" s="386"/>
      <c r="G50" s="386"/>
      <c r="H50" s="386"/>
      <c r="I50" s="387"/>
      <c r="J50" s="386" t="s">
        <v>242</v>
      </c>
      <c r="K50" s="272"/>
      <c r="L50" s="628" t="s">
        <v>243</v>
      </c>
      <c r="M50" s="628"/>
      <c r="N50" s="629"/>
      <c r="O50" s="180"/>
      <c r="P50" s="180"/>
      <c r="Q50" s="180">
        <v>2546193480</v>
      </c>
      <c r="R50" s="273">
        <f t="shared" si="22"/>
        <v>8.0103606850527846</v>
      </c>
      <c r="S50" s="273">
        <v>100</v>
      </c>
      <c r="T50" s="180">
        <f t="shared" si="16"/>
        <v>27.417594361289467</v>
      </c>
      <c r="U50" s="285">
        <f>R50*T50/100</f>
        <v>2.1962481995039806</v>
      </c>
      <c r="V50" s="275">
        <f t="shared" si="17"/>
        <v>72.582405638710526</v>
      </c>
      <c r="W50" s="180"/>
      <c r="X50" s="180"/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>
        <v>698105000</v>
      </c>
      <c r="AJ50" s="273">
        <f t="shared" si="18"/>
        <v>27.417594361289467</v>
      </c>
      <c r="AK50" s="180">
        <f t="shared" si="20"/>
        <v>1848088480</v>
      </c>
      <c r="AL50" s="273">
        <f t="shared" si="19"/>
        <v>72.58240563871054</v>
      </c>
      <c r="AM50" s="181"/>
    </row>
    <row r="51" spans="1:39" s="235" customFormat="1" ht="28.5" customHeight="1" x14ac:dyDescent="0.25">
      <c r="A51" s="259">
        <v>2</v>
      </c>
      <c r="B51" s="386"/>
      <c r="C51" s="386"/>
      <c r="D51" s="386"/>
      <c r="E51" s="386"/>
      <c r="F51" s="386"/>
      <c r="G51" s="386"/>
      <c r="H51" s="386"/>
      <c r="I51" s="387"/>
      <c r="J51" s="386" t="s">
        <v>244</v>
      </c>
      <c r="K51" s="272"/>
      <c r="L51" s="628" t="s">
        <v>245</v>
      </c>
      <c r="M51" s="628"/>
      <c r="N51" s="629"/>
      <c r="O51" s="180"/>
      <c r="P51" s="180"/>
      <c r="Q51" s="180">
        <v>218325000</v>
      </c>
      <c r="R51" s="273">
        <f t="shared" si="22"/>
        <v>0.68685353658361781</v>
      </c>
      <c r="S51" s="273">
        <v>100</v>
      </c>
      <c r="T51" s="180">
        <f t="shared" si="16"/>
        <v>25.484942173365393</v>
      </c>
      <c r="U51" s="286">
        <f>R51*T51/100</f>
        <v>0.17504422661405011</v>
      </c>
      <c r="V51" s="276">
        <f t="shared" si="17"/>
        <v>74.515057826634603</v>
      </c>
      <c r="W51" s="180"/>
      <c r="X51" s="18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>
        <v>55640000</v>
      </c>
      <c r="AJ51" s="273">
        <f t="shared" si="18"/>
        <v>25.484942173365393</v>
      </c>
      <c r="AK51" s="180">
        <f t="shared" si="20"/>
        <v>162685000</v>
      </c>
      <c r="AL51" s="273">
        <f t="shared" si="19"/>
        <v>74.515057826634603</v>
      </c>
      <c r="AM51" s="181"/>
    </row>
    <row r="52" spans="1:39" s="235" customFormat="1" ht="28.5" customHeight="1" x14ac:dyDescent="0.25">
      <c r="A52" s="277" t="s">
        <v>29</v>
      </c>
      <c r="B52" s="392"/>
      <c r="C52" s="392"/>
      <c r="D52" s="392"/>
      <c r="E52" s="392"/>
      <c r="F52" s="392"/>
      <c r="G52" s="392"/>
      <c r="H52" s="392"/>
      <c r="I52" s="390"/>
      <c r="J52" s="392" t="s">
        <v>246</v>
      </c>
      <c r="K52" s="279"/>
      <c r="L52" s="632" t="s">
        <v>247</v>
      </c>
      <c r="M52" s="632"/>
      <c r="N52" s="630"/>
      <c r="O52" s="280"/>
      <c r="P52" s="280"/>
      <c r="Q52" s="280">
        <f>SUM(Q53)</f>
        <v>4600000000</v>
      </c>
      <c r="R52" s="222">
        <f>Q52/Q38*100</f>
        <v>39.630267950558405</v>
      </c>
      <c r="S52" s="281">
        <v>100</v>
      </c>
      <c r="T52" s="280">
        <f t="shared" si="16"/>
        <v>60.106495217391313</v>
      </c>
      <c r="U52" s="280">
        <f>R52*T52/100</f>
        <v>23.820365110341751</v>
      </c>
      <c r="V52" s="282">
        <f t="shared" si="17"/>
        <v>39.893504782608687</v>
      </c>
      <c r="W52" s="280"/>
      <c r="X52" s="280"/>
      <c r="Y52" s="280"/>
      <c r="Z52" s="280"/>
      <c r="AA52" s="280"/>
      <c r="AB52" s="280"/>
      <c r="AC52" s="280"/>
      <c r="AD52" s="280"/>
      <c r="AE52" s="280"/>
      <c r="AF52" s="280"/>
      <c r="AG52" s="280"/>
      <c r="AH52" s="280"/>
      <c r="AI52" s="263">
        <f>SUM(AI53)</f>
        <v>2764898780</v>
      </c>
      <c r="AJ52" s="281">
        <f t="shared" si="18"/>
        <v>60.106495217391313</v>
      </c>
      <c r="AK52" s="280">
        <f t="shared" si="20"/>
        <v>1835101220</v>
      </c>
      <c r="AL52" s="281">
        <f t="shared" si="19"/>
        <v>39.893504782608694</v>
      </c>
      <c r="AM52" s="284"/>
    </row>
    <row r="53" spans="1:39" s="235" customFormat="1" ht="28.5" customHeight="1" x14ac:dyDescent="0.25">
      <c r="A53" s="259">
        <v>1</v>
      </c>
      <c r="B53" s="386"/>
      <c r="C53" s="386"/>
      <c r="D53" s="386"/>
      <c r="E53" s="386"/>
      <c r="F53" s="386"/>
      <c r="G53" s="386"/>
      <c r="H53" s="386"/>
      <c r="I53" s="387"/>
      <c r="J53" s="386" t="s">
        <v>248</v>
      </c>
      <c r="K53" s="272"/>
      <c r="L53" s="628" t="s">
        <v>427</v>
      </c>
      <c r="M53" s="628"/>
      <c r="N53" s="629"/>
      <c r="O53" s="180"/>
      <c r="P53" s="180"/>
      <c r="Q53" s="180">
        <v>4600000000</v>
      </c>
      <c r="R53" s="273">
        <f t="shared" si="22"/>
        <v>14.471665032793505</v>
      </c>
      <c r="S53" s="273">
        <v>100</v>
      </c>
      <c r="T53" s="180">
        <f t="shared" si="16"/>
        <v>60.106495217391313</v>
      </c>
      <c r="U53" s="285">
        <f>R53*T53/100</f>
        <v>8.6984106508129191</v>
      </c>
      <c r="V53" s="274">
        <f t="shared" si="17"/>
        <v>39.893504782608687</v>
      </c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>
        <v>2764898780</v>
      </c>
      <c r="AJ53" s="273">
        <f t="shared" si="18"/>
        <v>60.106495217391313</v>
      </c>
      <c r="AK53" s="180">
        <f t="shared" si="20"/>
        <v>1835101220</v>
      </c>
      <c r="AL53" s="273">
        <f t="shared" si="19"/>
        <v>39.893504782608694</v>
      </c>
      <c r="AM53" s="181"/>
    </row>
    <row r="54" spans="1:39" ht="13.5" customHeight="1" x14ac:dyDescent="0.25">
      <c r="A54" s="243"/>
      <c r="B54" s="257"/>
      <c r="C54" s="257"/>
      <c r="D54" s="257"/>
      <c r="E54" s="257"/>
      <c r="F54" s="257"/>
      <c r="G54" s="257"/>
      <c r="H54" s="257"/>
      <c r="I54" s="258"/>
      <c r="J54" s="257"/>
      <c r="K54" s="245"/>
      <c r="L54" s="257"/>
      <c r="M54" s="257"/>
      <c r="N54" s="258"/>
      <c r="O54" s="243"/>
      <c r="P54" s="243"/>
      <c r="Q54" s="243"/>
      <c r="R54" s="243"/>
      <c r="S54" s="243"/>
      <c r="T54" s="243"/>
      <c r="U54" s="243"/>
      <c r="V54" s="182"/>
      <c r="W54" s="243"/>
      <c r="X54" s="243"/>
      <c r="Y54" s="243"/>
      <c r="Z54" s="243"/>
      <c r="AA54" s="243"/>
      <c r="AB54" s="243"/>
      <c r="AC54" s="243"/>
      <c r="AD54" s="243"/>
      <c r="AE54" s="243"/>
      <c r="AF54" s="243"/>
      <c r="AG54" s="243"/>
      <c r="AH54" s="243"/>
      <c r="AI54" s="243"/>
      <c r="AJ54" s="243"/>
      <c r="AK54" s="273"/>
      <c r="AL54" s="243"/>
      <c r="AM54" s="243"/>
    </row>
    <row r="55" spans="1:39" s="226" customFormat="1" ht="24.75" customHeight="1" x14ac:dyDescent="0.25">
      <c r="A55" s="289"/>
      <c r="B55" s="607" t="s">
        <v>112</v>
      </c>
      <c r="C55" s="607"/>
      <c r="D55" s="607"/>
      <c r="E55" s="607"/>
      <c r="F55" s="607"/>
      <c r="G55" s="607"/>
      <c r="H55" s="607"/>
      <c r="I55" s="608"/>
      <c r="J55" s="395" t="s">
        <v>441</v>
      </c>
      <c r="K55" s="291"/>
      <c r="L55" s="607" t="s">
        <v>11</v>
      </c>
      <c r="M55" s="607"/>
      <c r="N55" s="608"/>
      <c r="O55" s="263" t="e">
        <f>SUM(O56,O121,O158,O165,O177,O245,O685)</f>
        <v>#REF!</v>
      </c>
      <c r="P55" s="263" t="e">
        <f>SUM(P56,P121,P158,P165,P177,P245,P685)</f>
        <v>#REF!</v>
      </c>
      <c r="Q55" s="263">
        <f>SUM(Q56,Q121,Q158,Q165,Q177,Q245+Q676)</f>
        <v>20178962906</v>
      </c>
      <c r="R55" s="222">
        <f>Q55/Q35*100</f>
        <v>63.483302583651614</v>
      </c>
      <c r="S55" s="222">
        <f>S56</f>
        <v>100</v>
      </c>
      <c r="T55" s="263">
        <f t="shared" ref="T55:T140" si="23">AJ55</f>
        <v>13.249520678810647</v>
      </c>
      <c r="U55" s="263">
        <f t="shared" ref="U55:U91" si="24">R55*T55/100</f>
        <v>8.4112333034128532</v>
      </c>
      <c r="V55" s="292">
        <f t="shared" ref="V55:V128" si="25">S55-T55</f>
        <v>86.750479321189346</v>
      </c>
      <c r="W55" s="263">
        <f>SUM(W56:W89)</f>
        <v>0</v>
      </c>
      <c r="X55" s="263" t="e">
        <f t="shared" ref="X55:AH55" si="26">SUM(X56,X121,X158,X165,X177,X245,X685)</f>
        <v>#REF!</v>
      </c>
      <c r="Y55" s="263" t="e">
        <f t="shared" si="26"/>
        <v>#REF!</v>
      </c>
      <c r="Z55" s="263" t="e">
        <f t="shared" si="26"/>
        <v>#REF!</v>
      </c>
      <c r="AA55" s="263" t="e">
        <f t="shared" si="26"/>
        <v>#REF!</v>
      </c>
      <c r="AB55" s="263">
        <f t="shared" si="26"/>
        <v>10250009282</v>
      </c>
      <c r="AC55" s="263" t="e">
        <f t="shared" si="26"/>
        <v>#REF!</v>
      </c>
      <c r="AD55" s="263" t="e">
        <f t="shared" si="26"/>
        <v>#REF!</v>
      </c>
      <c r="AE55" s="263" t="e">
        <f t="shared" si="26"/>
        <v>#REF!</v>
      </c>
      <c r="AF55" s="263" t="e">
        <f t="shared" si="26"/>
        <v>#REF!</v>
      </c>
      <c r="AG55" s="263" t="e">
        <f t="shared" si="26"/>
        <v>#REF!</v>
      </c>
      <c r="AH55" s="263" t="e">
        <f t="shared" si="26"/>
        <v>#REF!</v>
      </c>
      <c r="AI55" s="263">
        <f>SUM(AI56,AI121,AI158,AI165,AI177,AI245,AI676)</f>
        <v>2673615863</v>
      </c>
      <c r="AJ55" s="222">
        <f t="shared" ref="AJ55:AJ140" si="27">AI55/Q55*100</f>
        <v>13.249520678810647</v>
      </c>
      <c r="AK55" s="263">
        <f>SUM(Q55-AI55)</f>
        <v>17505347043</v>
      </c>
      <c r="AL55" s="222">
        <f t="shared" ref="AL55:AL140" si="28">AK55/Q55*100</f>
        <v>86.75047932118936</v>
      </c>
      <c r="AM55" s="240"/>
    </row>
    <row r="56" spans="1:39" s="226" customFormat="1" ht="28.5" customHeight="1" x14ac:dyDescent="0.25">
      <c r="A56" s="236" t="s">
        <v>7</v>
      </c>
      <c r="B56" s="626" t="s">
        <v>113</v>
      </c>
      <c r="C56" s="626"/>
      <c r="D56" s="626"/>
      <c r="E56" s="626"/>
      <c r="F56" s="626"/>
      <c r="G56" s="626"/>
      <c r="H56" s="626"/>
      <c r="I56" s="627"/>
      <c r="J56" s="384" t="s">
        <v>439</v>
      </c>
      <c r="K56" s="238"/>
      <c r="L56" s="626" t="s">
        <v>12</v>
      </c>
      <c r="M56" s="626"/>
      <c r="N56" s="627"/>
      <c r="O56" s="239">
        <f>SUM(O57:O91)</f>
        <v>1502806500</v>
      </c>
      <c r="P56" s="239">
        <f>SUM(P57:P91)</f>
        <v>1794406500</v>
      </c>
      <c r="Q56" s="239">
        <f>SUM(Q57+Q59+Q63+Q65+Q69+Q72+Q78+Q80+Q83+Q86+Q89+Q91+Q93+Q107)</f>
        <v>2525913744</v>
      </c>
      <c r="R56" s="240">
        <f>Q56/Q$55*100</f>
        <v>12.517559776320052</v>
      </c>
      <c r="S56" s="240">
        <f>S57</f>
        <v>100</v>
      </c>
      <c r="T56" s="293">
        <f t="shared" si="23"/>
        <v>6.4389398247005225</v>
      </c>
      <c r="U56" s="293">
        <f t="shared" si="24"/>
        <v>0.8059981415181654</v>
      </c>
      <c r="V56" s="241">
        <f t="shared" si="25"/>
        <v>93.561060175299474</v>
      </c>
      <c r="W56" s="239">
        <f t="shared" ref="W56:AH56" si="29">SUM(W57:W91)</f>
        <v>0</v>
      </c>
      <c r="X56" s="239" t="e">
        <f t="shared" si="29"/>
        <v>#REF!</v>
      </c>
      <c r="Y56" s="239" t="e">
        <f t="shared" si="29"/>
        <v>#REF!</v>
      </c>
      <c r="Z56" s="239" t="e">
        <f t="shared" si="29"/>
        <v>#REF!</v>
      </c>
      <c r="AA56" s="239" t="e">
        <f t="shared" si="29"/>
        <v>#REF!</v>
      </c>
      <c r="AB56" s="239">
        <f t="shared" si="29"/>
        <v>1228213226</v>
      </c>
      <c r="AC56" s="239" t="e">
        <f t="shared" si="29"/>
        <v>#REF!</v>
      </c>
      <c r="AD56" s="239" t="e">
        <f t="shared" si="29"/>
        <v>#REF!</v>
      </c>
      <c r="AE56" s="239" t="e">
        <f t="shared" si="29"/>
        <v>#REF!</v>
      </c>
      <c r="AF56" s="239" t="e">
        <f t="shared" si="29"/>
        <v>#REF!</v>
      </c>
      <c r="AG56" s="239" t="e">
        <f t="shared" si="29"/>
        <v>#REF!</v>
      </c>
      <c r="AH56" s="239">
        <f t="shared" si="29"/>
        <v>3676337600</v>
      </c>
      <c r="AI56" s="239">
        <f>SUM(AI57+AI59+AI63+AI65+AI69+AI72+AI78+AI80+AI83+AI86+AI89+AI91+AI93+AI107)</f>
        <v>162642066</v>
      </c>
      <c r="AJ56" s="240">
        <f t="shared" si="27"/>
        <v>6.4389398247005225</v>
      </c>
      <c r="AK56" s="239">
        <f>SUM(Q56-AI56)</f>
        <v>2363271678</v>
      </c>
      <c r="AL56" s="240">
        <f t="shared" si="28"/>
        <v>93.561060175299488</v>
      </c>
      <c r="AM56" s="236"/>
    </row>
    <row r="57" spans="1:39" s="297" customFormat="1" ht="24.75" customHeight="1" x14ac:dyDescent="0.25">
      <c r="A57" s="227">
        <v>1</v>
      </c>
      <c r="B57" s="615" t="s">
        <v>114</v>
      </c>
      <c r="C57" s="615"/>
      <c r="D57" s="615"/>
      <c r="E57" s="615"/>
      <c r="F57" s="615"/>
      <c r="G57" s="615"/>
      <c r="H57" s="615"/>
      <c r="I57" s="614"/>
      <c r="J57" s="393" t="s">
        <v>442</v>
      </c>
      <c r="K57" s="230"/>
      <c r="L57" s="294"/>
      <c r="M57" s="615" t="s">
        <v>13</v>
      </c>
      <c r="N57" s="614"/>
      <c r="O57" s="295">
        <v>26300000</v>
      </c>
      <c r="P57" s="231">
        <v>28400000</v>
      </c>
      <c r="Q57" s="231">
        <f>SUM(Q58)</f>
        <v>27000000</v>
      </c>
      <c r="R57" s="233">
        <f>Q57/Q$56*100</f>
        <v>1.0689201111532491</v>
      </c>
      <c r="S57" s="233">
        <v>100</v>
      </c>
      <c r="T57" s="231">
        <f t="shared" si="23"/>
        <v>0</v>
      </c>
      <c r="U57" s="231">
        <f t="shared" si="24"/>
        <v>0</v>
      </c>
      <c r="V57" s="296">
        <f t="shared" si="25"/>
        <v>100</v>
      </c>
      <c r="W57" s="231"/>
      <c r="X57" s="231" t="e">
        <f>#REF!</f>
        <v>#REF!</v>
      </c>
      <c r="Y57" s="231" t="e">
        <f>#REF!</f>
        <v>#REF!</v>
      </c>
      <c r="Z57" s="231" t="e">
        <f>#REF!</f>
        <v>#REF!</v>
      </c>
      <c r="AA57" s="231" t="e">
        <f>#REF!</f>
        <v>#REF!</v>
      </c>
      <c r="AB57" s="231">
        <v>5828000</v>
      </c>
      <c r="AC57" s="231" t="e">
        <f>#REF!</f>
        <v>#REF!</v>
      </c>
      <c r="AD57" s="231" t="e">
        <f>#REF!</f>
        <v>#REF!</v>
      </c>
      <c r="AE57" s="231" t="e">
        <f>#REF!</f>
        <v>#REF!</v>
      </c>
      <c r="AF57" s="231" t="e">
        <f>[1]April!N21</f>
        <v>#REF!</v>
      </c>
      <c r="AG57" s="231" t="e">
        <f>[2]april!N21</f>
        <v>#REF!</v>
      </c>
      <c r="AH57" s="231">
        <f>'[3]DES SKPD'!$N21</f>
        <v>14378000</v>
      </c>
      <c r="AI57" s="231">
        <f>SUM(AI58)</f>
        <v>0</v>
      </c>
      <c r="AJ57" s="233">
        <f>AI57/Q57*100</f>
        <v>0</v>
      </c>
      <c r="AK57" s="231">
        <f>Q57-AI57</f>
        <v>27000000</v>
      </c>
      <c r="AL57" s="233">
        <f>AK57/Q57*100</f>
        <v>100</v>
      </c>
      <c r="AM57" s="227"/>
    </row>
    <row r="58" spans="1:39" ht="29.25" customHeight="1" x14ac:dyDescent="0.25">
      <c r="A58" s="243"/>
      <c r="B58" s="381"/>
      <c r="C58" s="381"/>
      <c r="D58" s="381"/>
      <c r="E58" s="381"/>
      <c r="F58" s="381"/>
      <c r="G58" s="381"/>
      <c r="H58" s="381"/>
      <c r="I58" s="382"/>
      <c r="J58" s="381" t="s">
        <v>249</v>
      </c>
      <c r="K58" s="245"/>
      <c r="L58" s="257"/>
      <c r="M58" s="597" t="s">
        <v>250</v>
      </c>
      <c r="N58" s="598"/>
      <c r="O58" s="299"/>
      <c r="P58" s="180"/>
      <c r="Q58" s="180">
        <v>27000000</v>
      </c>
      <c r="R58" s="181">
        <f>Q58/Q$57*100</f>
        <v>100</v>
      </c>
      <c r="S58" s="181">
        <v>100</v>
      </c>
      <c r="T58" s="180">
        <f t="shared" si="23"/>
        <v>0</v>
      </c>
      <c r="U58" s="180">
        <f t="shared" si="24"/>
        <v>0</v>
      </c>
      <c r="V58" s="182">
        <f t="shared" si="25"/>
        <v>100</v>
      </c>
      <c r="W58" s="180"/>
      <c r="X58" s="180" t="e">
        <f>#REF!</f>
        <v>#REF!</v>
      </c>
      <c r="Y58" s="180" t="e">
        <f>#REF!</f>
        <v>#REF!</v>
      </c>
      <c r="Z58" s="180" t="e">
        <f>#REF!</f>
        <v>#REF!</v>
      </c>
      <c r="AA58" s="180" t="e">
        <f>#REF!</f>
        <v>#REF!</v>
      </c>
      <c r="AB58" s="180">
        <v>5828001</v>
      </c>
      <c r="AC58" s="180" t="e">
        <f>#REF!</f>
        <v>#REF!</v>
      </c>
      <c r="AD58" s="180" t="e">
        <f>#REF!</f>
        <v>#REF!</v>
      </c>
      <c r="AE58" s="180" t="e">
        <f>#REF!</f>
        <v>#REF!</v>
      </c>
      <c r="AF58" s="180" t="e">
        <f>[1]April!N22</f>
        <v>#REF!</v>
      </c>
      <c r="AG58" s="180" t="e">
        <f>[2]april!N22</f>
        <v>#REF!</v>
      </c>
      <c r="AH58" s="180">
        <f>'[3]DES SKPD'!$N22</f>
        <v>238296148</v>
      </c>
      <c r="AI58" s="180">
        <v>0</v>
      </c>
      <c r="AJ58" s="181">
        <f>AI58/Q58*100</f>
        <v>0</v>
      </c>
      <c r="AK58" s="180">
        <f>Q58-AI58</f>
        <v>27000000</v>
      </c>
      <c r="AL58" s="181">
        <f>AK58/Q58*100</f>
        <v>100</v>
      </c>
      <c r="AM58" s="243"/>
    </row>
    <row r="59" spans="1:39" s="297" customFormat="1" ht="29.25" customHeight="1" x14ac:dyDescent="0.25">
      <c r="A59" s="227">
        <f>A57+1</f>
        <v>2</v>
      </c>
      <c r="B59" s="615" t="s">
        <v>115</v>
      </c>
      <c r="C59" s="615"/>
      <c r="D59" s="615"/>
      <c r="E59" s="615"/>
      <c r="F59" s="615"/>
      <c r="G59" s="615"/>
      <c r="H59" s="615"/>
      <c r="I59" s="614"/>
      <c r="J59" s="393" t="s">
        <v>443</v>
      </c>
      <c r="K59" s="230"/>
      <c r="L59" s="294"/>
      <c r="M59" s="615" t="s">
        <v>14</v>
      </c>
      <c r="N59" s="614"/>
      <c r="O59" s="295">
        <v>31000000</v>
      </c>
      <c r="P59" s="231">
        <f>[9]Sheet1!$U$35</f>
        <v>320500000</v>
      </c>
      <c r="Q59" s="231">
        <f>SUM(Q60:Q62)</f>
        <v>380000000</v>
      </c>
      <c r="R59" s="233">
        <f>Q59/Q$56*100</f>
        <v>15.044060823638322</v>
      </c>
      <c r="S59" s="233">
        <v>100</v>
      </c>
      <c r="T59" s="231">
        <f t="shared" si="23"/>
        <v>8.9420121052631583</v>
      </c>
      <c r="U59" s="231">
        <f t="shared" si="24"/>
        <v>1.3452417399728913</v>
      </c>
      <c r="V59" s="296">
        <f t="shared" si="25"/>
        <v>91.05798789473684</v>
      </c>
      <c r="W59" s="231"/>
      <c r="X59" s="231" t="e">
        <f>#REF!</f>
        <v>#REF!</v>
      </c>
      <c r="Y59" s="231" t="e">
        <f>#REF!</f>
        <v>#REF!</v>
      </c>
      <c r="Z59" s="231" t="e">
        <f>#REF!</f>
        <v>#REF!</v>
      </c>
      <c r="AA59" s="231" t="e">
        <f>#REF!</f>
        <v>#REF!</v>
      </c>
      <c r="AB59" s="231">
        <v>61516789</v>
      </c>
      <c r="AC59" s="231" t="e">
        <f>#REF!</f>
        <v>#REF!</v>
      </c>
      <c r="AD59" s="231" t="e">
        <f>#REF!</f>
        <v>#REF!</v>
      </c>
      <c r="AE59" s="231" t="e">
        <f>#REF!</f>
        <v>#REF!</v>
      </c>
      <c r="AF59" s="231" t="e">
        <f>[1]April!N22</f>
        <v>#REF!</v>
      </c>
      <c r="AG59" s="231" t="e">
        <f>[2]april!N22</f>
        <v>#REF!</v>
      </c>
      <c r="AH59" s="231">
        <f>'[3]DES SKPD'!$N22</f>
        <v>238296148</v>
      </c>
      <c r="AI59" s="231">
        <f>SUM(AI60:AI62)</f>
        <v>33979646</v>
      </c>
      <c r="AJ59" s="233">
        <f t="shared" si="27"/>
        <v>8.9420121052631583</v>
      </c>
      <c r="AK59" s="231">
        <f t="shared" ref="AK59:AK120" si="30">Q59-AI59</f>
        <v>346020354</v>
      </c>
      <c r="AL59" s="233">
        <f t="shared" si="28"/>
        <v>91.05798789473684</v>
      </c>
      <c r="AM59" s="227"/>
    </row>
    <row r="60" spans="1:39" ht="23.25" customHeight="1" x14ac:dyDescent="0.25">
      <c r="A60" s="243"/>
      <c r="B60" s="381"/>
      <c r="C60" s="381"/>
      <c r="D60" s="381"/>
      <c r="E60" s="381"/>
      <c r="F60" s="381"/>
      <c r="G60" s="381"/>
      <c r="H60" s="381"/>
      <c r="I60" s="382"/>
      <c r="J60" s="381" t="s">
        <v>251</v>
      </c>
      <c r="K60" s="245"/>
      <c r="L60" s="257"/>
      <c r="M60" s="597" t="s">
        <v>252</v>
      </c>
      <c r="N60" s="598"/>
      <c r="O60" s="299"/>
      <c r="P60" s="180"/>
      <c r="Q60" s="180">
        <v>2808000</v>
      </c>
      <c r="R60" s="181">
        <f>Q60/Q$59*100</f>
        <v>0.73894736842105269</v>
      </c>
      <c r="S60" s="181">
        <v>101</v>
      </c>
      <c r="T60" s="180">
        <f t="shared" si="23"/>
        <v>10.43272792022792</v>
      </c>
      <c r="U60" s="180">
        <f t="shared" si="24"/>
        <v>7.7092368421052632E-2</v>
      </c>
      <c r="V60" s="182">
        <f t="shared" si="25"/>
        <v>90.567272079772081</v>
      </c>
      <c r="W60" s="180"/>
      <c r="X60" s="180" t="e">
        <f>#REF!</f>
        <v>#REF!</v>
      </c>
      <c r="Y60" s="180" t="e">
        <f>#REF!</f>
        <v>#REF!</v>
      </c>
      <c r="Z60" s="180" t="e">
        <f>#REF!</f>
        <v>#REF!</v>
      </c>
      <c r="AA60" s="180" t="e">
        <f>#REF!</f>
        <v>#REF!</v>
      </c>
      <c r="AB60" s="180">
        <v>61516790</v>
      </c>
      <c r="AC60" s="180" t="e">
        <f>#REF!</f>
        <v>#REF!</v>
      </c>
      <c r="AD60" s="180" t="e">
        <f>#REF!</f>
        <v>#REF!</v>
      </c>
      <c r="AE60" s="180" t="e">
        <f>#REF!</f>
        <v>#REF!</v>
      </c>
      <c r="AF60" s="180" t="e">
        <f>[1]April!N23</f>
        <v>#REF!</v>
      </c>
      <c r="AG60" s="180" t="e">
        <f>[2]april!N23</f>
        <v>#REF!</v>
      </c>
      <c r="AH60" s="180">
        <f>'[3]DES SKPD'!$N23</f>
        <v>24482700</v>
      </c>
      <c r="AI60" s="180">
        <v>292951</v>
      </c>
      <c r="AJ60" s="181">
        <f t="shared" si="27"/>
        <v>10.43272792022792</v>
      </c>
      <c r="AK60" s="180">
        <f t="shared" si="30"/>
        <v>2515049</v>
      </c>
      <c r="AL60" s="181">
        <f t="shared" si="28"/>
        <v>89.567272079772081</v>
      </c>
      <c r="AM60" s="243"/>
    </row>
    <row r="61" spans="1:39" ht="23.25" customHeight="1" x14ac:dyDescent="0.25">
      <c r="A61" s="243"/>
      <c r="B61" s="381"/>
      <c r="C61" s="381"/>
      <c r="D61" s="381"/>
      <c r="E61" s="381"/>
      <c r="F61" s="381"/>
      <c r="G61" s="381"/>
      <c r="H61" s="381"/>
      <c r="I61" s="382"/>
      <c r="J61" s="381" t="s">
        <v>409</v>
      </c>
      <c r="K61" s="245"/>
      <c r="L61" s="257"/>
      <c r="M61" s="597" t="s">
        <v>410</v>
      </c>
      <c r="N61" s="598"/>
      <c r="O61" s="299"/>
      <c r="P61" s="180"/>
      <c r="Q61" s="180">
        <v>24000000</v>
      </c>
      <c r="R61" s="181">
        <f>Q61/Q$59*100</f>
        <v>6.3157894736842106</v>
      </c>
      <c r="S61" s="181">
        <v>102</v>
      </c>
      <c r="T61" s="180">
        <f t="shared" si="23"/>
        <v>0</v>
      </c>
      <c r="U61" s="180">
        <f t="shared" si="24"/>
        <v>0</v>
      </c>
      <c r="V61" s="182">
        <f t="shared" si="25"/>
        <v>102</v>
      </c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>
        <v>0</v>
      </c>
      <c r="AJ61" s="181">
        <f>AI61/Q61*100</f>
        <v>0</v>
      </c>
      <c r="AK61" s="180">
        <f>Q61-AI61</f>
        <v>24000000</v>
      </c>
      <c r="AL61" s="181">
        <f>AK61/Q61*100</f>
        <v>100</v>
      </c>
      <c r="AM61" s="243"/>
    </row>
    <row r="62" spans="1:39" ht="48.75" customHeight="1" x14ac:dyDescent="0.25">
      <c r="A62" s="243"/>
      <c r="B62" s="381"/>
      <c r="C62" s="381"/>
      <c r="D62" s="381"/>
      <c r="E62" s="381"/>
      <c r="F62" s="381"/>
      <c r="G62" s="381"/>
      <c r="H62" s="381"/>
      <c r="I62" s="382"/>
      <c r="J62" s="381" t="s">
        <v>253</v>
      </c>
      <c r="K62" s="245"/>
      <c r="L62" s="257"/>
      <c r="M62" s="597" t="s">
        <v>254</v>
      </c>
      <c r="N62" s="598"/>
      <c r="O62" s="299"/>
      <c r="P62" s="180"/>
      <c r="Q62" s="180">
        <v>353192000</v>
      </c>
      <c r="R62" s="181">
        <f>Q62/Q$59*100</f>
        <v>92.945263157894743</v>
      </c>
      <c r="S62" s="181">
        <v>102</v>
      </c>
      <c r="T62" s="180">
        <f t="shared" si="23"/>
        <v>9.5377853971777391</v>
      </c>
      <c r="U62" s="180">
        <f t="shared" si="24"/>
        <v>8.864919736842106</v>
      </c>
      <c r="V62" s="182">
        <f t="shared" si="25"/>
        <v>92.462214602822257</v>
      </c>
      <c r="W62" s="180"/>
      <c r="X62" s="180" t="e">
        <f>#REF!</f>
        <v>#REF!</v>
      </c>
      <c r="Y62" s="180" t="e">
        <f>#REF!</f>
        <v>#REF!</v>
      </c>
      <c r="Z62" s="180" t="e">
        <f>#REF!</f>
        <v>#REF!</v>
      </c>
      <c r="AA62" s="180" t="e">
        <f>#REF!</f>
        <v>#REF!</v>
      </c>
      <c r="AB62" s="180">
        <v>61516791</v>
      </c>
      <c r="AC62" s="180" t="e">
        <f>#REF!</f>
        <v>#REF!</v>
      </c>
      <c r="AD62" s="180" t="e">
        <f>#REF!</f>
        <v>#REF!</v>
      </c>
      <c r="AE62" s="180" t="e">
        <f>#REF!</f>
        <v>#REF!</v>
      </c>
      <c r="AF62" s="180" t="e">
        <f>[1]April!N24</f>
        <v>#REF!</v>
      </c>
      <c r="AG62" s="180" t="e">
        <f>[2]april!N24</f>
        <v>#REF!</v>
      </c>
      <c r="AH62" s="180">
        <f>'[3]DES SKPD'!$N24</f>
        <v>201339002</v>
      </c>
      <c r="AI62" s="180">
        <f>117195+33569500</f>
        <v>33686695</v>
      </c>
      <c r="AJ62" s="181">
        <f t="shared" si="27"/>
        <v>9.5377853971777391</v>
      </c>
      <c r="AK62" s="180">
        <f t="shared" si="30"/>
        <v>319505305</v>
      </c>
      <c r="AL62" s="181">
        <f t="shared" si="28"/>
        <v>90.462214602822272</v>
      </c>
      <c r="AM62" s="243"/>
    </row>
    <row r="63" spans="1:39" s="297" customFormat="1" ht="45.75" customHeight="1" x14ac:dyDescent="0.25">
      <c r="A63" s="227">
        <f>A59+1</f>
        <v>3</v>
      </c>
      <c r="B63" s="615" t="s">
        <v>116</v>
      </c>
      <c r="C63" s="615"/>
      <c r="D63" s="615"/>
      <c r="E63" s="615"/>
      <c r="F63" s="615"/>
      <c r="G63" s="615"/>
      <c r="H63" s="615"/>
      <c r="I63" s="614"/>
      <c r="J63" s="393" t="s">
        <v>444</v>
      </c>
      <c r="K63" s="230"/>
      <c r="L63" s="294"/>
      <c r="M63" s="615" t="s">
        <v>117</v>
      </c>
      <c r="N63" s="614"/>
      <c r="O63" s="295">
        <v>32800000</v>
      </c>
      <c r="P63" s="231">
        <f>O63</f>
        <v>32800000</v>
      </c>
      <c r="Q63" s="231">
        <f>SUM(Q64)</f>
        <v>66540000</v>
      </c>
      <c r="R63" s="233">
        <f>Q63/Q$56*100</f>
        <v>2.6342942294865632</v>
      </c>
      <c r="S63" s="233">
        <v>100</v>
      </c>
      <c r="T63" s="231">
        <f t="shared" si="23"/>
        <v>29.04283137962128</v>
      </c>
      <c r="U63" s="231">
        <f t="shared" si="24"/>
        <v>0.76507363111287618</v>
      </c>
      <c r="V63" s="296">
        <f t="shared" si="25"/>
        <v>70.957168620378724</v>
      </c>
      <c r="W63" s="231"/>
      <c r="X63" s="231" t="e">
        <f>#REF!</f>
        <v>#REF!</v>
      </c>
      <c r="Y63" s="231" t="e">
        <f>#REF!</f>
        <v>#REF!</v>
      </c>
      <c r="Z63" s="231" t="e">
        <f>#REF!</f>
        <v>#REF!</v>
      </c>
      <c r="AA63" s="231" t="e">
        <f>#REF!</f>
        <v>#REF!</v>
      </c>
      <c r="AB63" s="231">
        <v>9127800</v>
      </c>
      <c r="AC63" s="231" t="e">
        <f>#REF!</f>
        <v>#REF!</v>
      </c>
      <c r="AD63" s="231" t="e">
        <f>#REF!</f>
        <v>#REF!</v>
      </c>
      <c r="AE63" s="231" t="e">
        <f>#REF!</f>
        <v>#REF!</v>
      </c>
      <c r="AF63" s="231" t="e">
        <f>[1]April!N23</f>
        <v>#REF!</v>
      </c>
      <c r="AG63" s="231" t="e">
        <f>[2]april!N23</f>
        <v>#REF!</v>
      </c>
      <c r="AH63" s="231">
        <f>'[3]DES SKPD'!$N23</f>
        <v>24482700</v>
      </c>
      <c r="AI63" s="231">
        <f>SUM(AI64)</f>
        <v>19325100</v>
      </c>
      <c r="AJ63" s="233">
        <f t="shared" si="27"/>
        <v>29.04283137962128</v>
      </c>
      <c r="AK63" s="231">
        <f t="shared" si="30"/>
        <v>47214900</v>
      </c>
      <c r="AL63" s="233">
        <f t="shared" si="28"/>
        <v>70.957168620378724</v>
      </c>
      <c r="AM63" s="227"/>
    </row>
    <row r="64" spans="1:39" s="297" customFormat="1" ht="28.5" customHeight="1" x14ac:dyDescent="0.25">
      <c r="A64" s="227"/>
      <c r="B64" s="393"/>
      <c r="C64" s="393"/>
      <c r="D64" s="393"/>
      <c r="E64" s="393"/>
      <c r="F64" s="393"/>
      <c r="G64" s="393"/>
      <c r="H64" s="393"/>
      <c r="I64" s="394"/>
      <c r="J64" s="381" t="s">
        <v>255</v>
      </c>
      <c r="K64" s="245"/>
      <c r="L64" s="257"/>
      <c r="M64" s="597" t="s">
        <v>256</v>
      </c>
      <c r="N64" s="598"/>
      <c r="O64" s="299"/>
      <c r="P64" s="180"/>
      <c r="Q64" s="180">
        <v>66540000</v>
      </c>
      <c r="R64" s="181">
        <f>Q64/Q$63*100</f>
        <v>100</v>
      </c>
      <c r="S64" s="181">
        <v>100</v>
      </c>
      <c r="T64" s="180">
        <f t="shared" si="23"/>
        <v>29.04283137962128</v>
      </c>
      <c r="U64" s="180">
        <f t="shared" si="24"/>
        <v>29.04283137962128</v>
      </c>
      <c r="V64" s="182">
        <f t="shared" si="25"/>
        <v>70.957168620378724</v>
      </c>
      <c r="W64" s="180"/>
      <c r="X64" s="180" t="e">
        <f>#REF!</f>
        <v>#REF!</v>
      </c>
      <c r="Y64" s="180" t="e">
        <f>#REF!</f>
        <v>#REF!</v>
      </c>
      <c r="Z64" s="180" t="e">
        <f>#REF!</f>
        <v>#REF!</v>
      </c>
      <c r="AA64" s="180" t="e">
        <f>#REF!</f>
        <v>#REF!</v>
      </c>
      <c r="AB64" s="180">
        <v>9127801</v>
      </c>
      <c r="AC64" s="180" t="e">
        <f>#REF!</f>
        <v>#REF!</v>
      </c>
      <c r="AD64" s="180" t="e">
        <f>#REF!</f>
        <v>#REF!</v>
      </c>
      <c r="AE64" s="180" t="e">
        <f>#REF!</f>
        <v>#REF!</v>
      </c>
      <c r="AF64" s="180" t="e">
        <f>[1]April!N24</f>
        <v>#REF!</v>
      </c>
      <c r="AG64" s="180" t="e">
        <f>[2]april!N24</f>
        <v>#REF!</v>
      </c>
      <c r="AH64" s="180">
        <f>'[3]DES SKPD'!$N24</f>
        <v>201339002</v>
      </c>
      <c r="AI64" s="180">
        <v>19325100</v>
      </c>
      <c r="AJ64" s="181">
        <f t="shared" si="27"/>
        <v>29.04283137962128</v>
      </c>
      <c r="AK64" s="180">
        <f t="shared" si="30"/>
        <v>47214900</v>
      </c>
      <c r="AL64" s="181">
        <f t="shared" si="28"/>
        <v>70.957168620378724</v>
      </c>
      <c r="AM64" s="227"/>
    </row>
    <row r="65" spans="1:39" s="297" customFormat="1" ht="24.75" customHeight="1" x14ac:dyDescent="0.25">
      <c r="A65" s="227">
        <f>A63+1</f>
        <v>4</v>
      </c>
      <c r="B65" s="615" t="s">
        <v>118</v>
      </c>
      <c r="C65" s="615"/>
      <c r="D65" s="615"/>
      <c r="E65" s="615"/>
      <c r="F65" s="615"/>
      <c r="G65" s="615"/>
      <c r="H65" s="615"/>
      <c r="I65" s="614"/>
      <c r="J65" s="393" t="s">
        <v>445</v>
      </c>
      <c r="K65" s="230"/>
      <c r="L65" s="294"/>
      <c r="M65" s="615" t="s">
        <v>15</v>
      </c>
      <c r="N65" s="614"/>
      <c r="O65" s="295">
        <v>218550000</v>
      </c>
      <c r="P65" s="231">
        <f>O65</f>
        <v>218550000</v>
      </c>
      <c r="Q65" s="231">
        <f>SUM(Q66:Q68)</f>
        <v>336900000</v>
      </c>
      <c r="R65" s="233">
        <f>Q65/Q$56*100</f>
        <v>13.337747609167765</v>
      </c>
      <c r="S65" s="233">
        <v>100</v>
      </c>
      <c r="T65" s="231">
        <f t="shared" si="23"/>
        <v>3.7993469872365688</v>
      </c>
      <c r="U65" s="231">
        <f t="shared" si="24"/>
        <v>0.50674731195413303</v>
      </c>
      <c r="V65" s="296">
        <f t="shared" si="25"/>
        <v>96.200653012763425</v>
      </c>
      <c r="W65" s="231"/>
      <c r="X65" s="231" t="e">
        <f>#REF!</f>
        <v>#REF!</v>
      </c>
      <c r="Y65" s="231" t="e">
        <f>#REF!</f>
        <v>#REF!</v>
      </c>
      <c r="Z65" s="231" t="e">
        <f>#REF!</f>
        <v>#REF!</v>
      </c>
      <c r="AA65" s="231" t="e">
        <f>#REF!</f>
        <v>#REF!</v>
      </c>
      <c r="AB65" s="231">
        <v>103406334</v>
      </c>
      <c r="AC65" s="231" t="e">
        <f>#REF!</f>
        <v>#REF!</v>
      </c>
      <c r="AD65" s="231" t="e">
        <f>#REF!</f>
        <v>#REF!</v>
      </c>
      <c r="AE65" s="231" t="e">
        <f>#REF!</f>
        <v>#REF!</v>
      </c>
      <c r="AF65" s="231" t="e">
        <f>[1]April!N24</f>
        <v>#REF!</v>
      </c>
      <c r="AG65" s="231" t="e">
        <f>[2]april!N24</f>
        <v>#REF!</v>
      </c>
      <c r="AH65" s="231">
        <f>'[3]DES SKPD'!$N24</f>
        <v>201339002</v>
      </c>
      <c r="AI65" s="231">
        <f>SUM(AI66:AI68)</f>
        <v>12800000</v>
      </c>
      <c r="AJ65" s="233">
        <f t="shared" si="27"/>
        <v>3.7993469872365688</v>
      </c>
      <c r="AK65" s="231">
        <f t="shared" si="30"/>
        <v>324100000</v>
      </c>
      <c r="AL65" s="233">
        <f t="shared" si="28"/>
        <v>96.200653012763425</v>
      </c>
      <c r="AM65" s="227"/>
    </row>
    <row r="66" spans="1:39" ht="24.75" customHeight="1" x14ac:dyDescent="0.25">
      <c r="A66" s="243"/>
      <c r="B66" s="381"/>
      <c r="C66" s="381"/>
      <c r="D66" s="381"/>
      <c r="E66" s="381"/>
      <c r="F66" s="381"/>
      <c r="G66" s="381"/>
      <c r="H66" s="381"/>
      <c r="I66" s="382"/>
      <c r="J66" s="381" t="s">
        <v>259</v>
      </c>
      <c r="K66" s="245"/>
      <c r="L66" s="257"/>
      <c r="M66" s="597" t="s">
        <v>260</v>
      </c>
      <c r="N66" s="598"/>
      <c r="O66" s="299"/>
      <c r="P66" s="180"/>
      <c r="Q66" s="180">
        <v>1500000</v>
      </c>
      <c r="R66" s="181">
        <f>Q66/Q$65*100</f>
        <v>0.44523597506678536</v>
      </c>
      <c r="S66" s="181">
        <v>100</v>
      </c>
      <c r="T66" s="180">
        <f t="shared" si="23"/>
        <v>0</v>
      </c>
      <c r="U66" s="180">
        <f t="shared" si="24"/>
        <v>0</v>
      </c>
      <c r="V66" s="182">
        <f t="shared" si="25"/>
        <v>100</v>
      </c>
      <c r="W66" s="180"/>
      <c r="X66" s="180" t="e">
        <f>#REF!</f>
        <v>#REF!</v>
      </c>
      <c r="Y66" s="180" t="e">
        <f>#REF!</f>
        <v>#REF!</v>
      </c>
      <c r="Z66" s="180" t="e">
        <f>#REF!</f>
        <v>#REF!</v>
      </c>
      <c r="AA66" s="180" t="e">
        <f>#REF!</f>
        <v>#REF!</v>
      </c>
      <c r="AB66" s="180">
        <v>103406335</v>
      </c>
      <c r="AC66" s="180" t="e">
        <f>#REF!</f>
        <v>#REF!</v>
      </c>
      <c r="AD66" s="180" t="e">
        <f>#REF!</f>
        <v>#REF!</v>
      </c>
      <c r="AE66" s="180" t="e">
        <f>#REF!</f>
        <v>#REF!</v>
      </c>
      <c r="AF66" s="180" t="e">
        <f>[1]April!N26</f>
        <v>#REF!</v>
      </c>
      <c r="AG66" s="180" t="e">
        <f>[2]april!N26</f>
        <v>#REF!</v>
      </c>
      <c r="AH66" s="180">
        <f>'[3]DES SKPD'!$N26</f>
        <v>449102800</v>
      </c>
      <c r="AI66" s="180">
        <v>0</v>
      </c>
      <c r="AJ66" s="181">
        <f t="shared" si="27"/>
        <v>0</v>
      </c>
      <c r="AK66" s="180">
        <f t="shared" si="30"/>
        <v>1500000</v>
      </c>
      <c r="AL66" s="181">
        <f t="shared" si="28"/>
        <v>100</v>
      </c>
      <c r="AM66" s="243"/>
    </row>
    <row r="67" spans="1:39" ht="26.25" customHeight="1" x14ac:dyDescent="0.25">
      <c r="A67" s="243"/>
      <c r="B67" s="381"/>
      <c r="C67" s="381"/>
      <c r="D67" s="381"/>
      <c r="E67" s="381"/>
      <c r="F67" s="381"/>
      <c r="G67" s="381"/>
      <c r="H67" s="381"/>
      <c r="I67" s="382"/>
      <c r="J67" s="381" t="s">
        <v>261</v>
      </c>
      <c r="K67" s="245"/>
      <c r="L67" s="257"/>
      <c r="M67" s="597" t="s">
        <v>262</v>
      </c>
      <c r="N67" s="598"/>
      <c r="O67" s="299"/>
      <c r="P67" s="180"/>
      <c r="Q67" s="180">
        <v>120000000</v>
      </c>
      <c r="R67" s="181">
        <f>Q67/Q$65*100</f>
        <v>35.618878005342829</v>
      </c>
      <c r="S67" s="181">
        <v>100</v>
      </c>
      <c r="T67" s="180">
        <f t="shared" si="23"/>
        <v>0</v>
      </c>
      <c r="U67" s="180">
        <f t="shared" si="24"/>
        <v>0</v>
      </c>
      <c r="V67" s="182">
        <f t="shared" si="25"/>
        <v>100</v>
      </c>
      <c r="W67" s="180"/>
      <c r="X67" s="180"/>
      <c r="Y67" s="180"/>
      <c r="Z67" s="180"/>
      <c r="AA67" s="180"/>
      <c r="AB67" s="180"/>
      <c r="AC67" s="180"/>
      <c r="AD67" s="180"/>
      <c r="AE67" s="180"/>
      <c r="AF67" s="180"/>
      <c r="AG67" s="180"/>
      <c r="AH67" s="180"/>
      <c r="AI67" s="180">
        <v>0</v>
      </c>
      <c r="AJ67" s="181">
        <f t="shared" si="27"/>
        <v>0</v>
      </c>
      <c r="AK67" s="180">
        <f t="shared" si="30"/>
        <v>120000000</v>
      </c>
      <c r="AL67" s="181">
        <f t="shared" si="28"/>
        <v>100</v>
      </c>
      <c r="AM67" s="243"/>
    </row>
    <row r="68" spans="1:39" ht="24.75" customHeight="1" x14ac:dyDescent="0.25">
      <c r="A68" s="243"/>
      <c r="B68" s="381"/>
      <c r="C68" s="381"/>
      <c r="D68" s="381"/>
      <c r="E68" s="381"/>
      <c r="F68" s="381"/>
      <c r="G68" s="381"/>
      <c r="H68" s="381"/>
      <c r="I68" s="382"/>
      <c r="J68" s="381" t="s">
        <v>263</v>
      </c>
      <c r="K68" s="245"/>
      <c r="L68" s="257"/>
      <c r="M68" s="597" t="s">
        <v>264</v>
      </c>
      <c r="N68" s="598"/>
      <c r="O68" s="299"/>
      <c r="P68" s="180"/>
      <c r="Q68" s="180">
        <v>215400000</v>
      </c>
      <c r="R68" s="181">
        <f>Q68/Q$65*100</f>
        <v>63.935886019590384</v>
      </c>
      <c r="S68" s="181">
        <v>100</v>
      </c>
      <c r="T68" s="180">
        <f t="shared" si="23"/>
        <v>5.9424326833797583</v>
      </c>
      <c r="U68" s="180">
        <f t="shared" si="24"/>
        <v>3.7993469872365688</v>
      </c>
      <c r="V68" s="182">
        <f t="shared" si="25"/>
        <v>94.057567316620236</v>
      </c>
      <c r="W68" s="180"/>
      <c r="X68" s="180" t="e">
        <f>#REF!</f>
        <v>#REF!</v>
      </c>
      <c r="Y68" s="180" t="e">
        <f>#REF!</f>
        <v>#REF!</v>
      </c>
      <c r="Z68" s="180" t="e">
        <f>#REF!</f>
        <v>#REF!</v>
      </c>
      <c r="AA68" s="180" t="e">
        <f>#REF!</f>
        <v>#REF!</v>
      </c>
      <c r="AB68" s="180">
        <v>103406335</v>
      </c>
      <c r="AC68" s="180" t="e">
        <f>#REF!</f>
        <v>#REF!</v>
      </c>
      <c r="AD68" s="180" t="e">
        <f>#REF!</f>
        <v>#REF!</v>
      </c>
      <c r="AE68" s="180" t="e">
        <f>#REF!</f>
        <v>#REF!</v>
      </c>
      <c r="AF68" s="180" t="e">
        <f>[1]April!N26</f>
        <v>#REF!</v>
      </c>
      <c r="AG68" s="180" t="e">
        <f>[2]april!N26</f>
        <v>#REF!</v>
      </c>
      <c r="AH68" s="180">
        <f>'[3]DES SKPD'!$N26</f>
        <v>449102800</v>
      </c>
      <c r="AI68" s="180">
        <v>12800000</v>
      </c>
      <c r="AJ68" s="181">
        <f t="shared" si="27"/>
        <v>5.9424326833797583</v>
      </c>
      <c r="AK68" s="180">
        <f t="shared" si="30"/>
        <v>202600000</v>
      </c>
      <c r="AL68" s="181">
        <f t="shared" si="28"/>
        <v>94.057567316620236</v>
      </c>
      <c r="AM68" s="243"/>
    </row>
    <row r="69" spans="1:39" s="297" customFormat="1" ht="24.75" customHeight="1" x14ac:dyDescent="0.25">
      <c r="A69" s="227">
        <f>A65+1</f>
        <v>5</v>
      </c>
      <c r="B69" s="615" t="s">
        <v>119</v>
      </c>
      <c r="C69" s="615"/>
      <c r="D69" s="615"/>
      <c r="E69" s="615"/>
      <c r="F69" s="615"/>
      <c r="G69" s="615"/>
      <c r="H69" s="615"/>
      <c r="I69" s="614"/>
      <c r="J69" s="393" t="s">
        <v>446</v>
      </c>
      <c r="K69" s="230"/>
      <c r="L69" s="294"/>
      <c r="M69" s="615" t="s">
        <v>16</v>
      </c>
      <c r="N69" s="614"/>
      <c r="O69" s="295">
        <v>201527500</v>
      </c>
      <c r="P69" s="231">
        <f>O69</f>
        <v>201527500</v>
      </c>
      <c r="Q69" s="231">
        <f>SUM(Q70:Q71)</f>
        <v>411693900</v>
      </c>
      <c r="R69" s="233">
        <f>Q69/Q$56*100</f>
        <v>16.298810716633877</v>
      </c>
      <c r="S69" s="233">
        <v>100</v>
      </c>
      <c r="T69" s="231">
        <f t="shared" si="23"/>
        <v>0</v>
      </c>
      <c r="U69" s="231">
        <f t="shared" si="24"/>
        <v>0</v>
      </c>
      <c r="V69" s="296">
        <f t="shared" si="25"/>
        <v>100</v>
      </c>
      <c r="W69" s="231"/>
      <c r="X69" s="231" t="e">
        <f>#REF!</f>
        <v>#REF!</v>
      </c>
      <c r="Y69" s="231" t="e">
        <f>#REF!</f>
        <v>#REF!</v>
      </c>
      <c r="Z69" s="231" t="e">
        <f>#REF!</f>
        <v>#REF!</v>
      </c>
      <c r="AA69" s="231" t="e">
        <f>#REF!</f>
        <v>#REF!</v>
      </c>
      <c r="AB69" s="231">
        <v>99905000</v>
      </c>
      <c r="AC69" s="231" t="e">
        <f>#REF!</f>
        <v>#REF!</v>
      </c>
      <c r="AD69" s="231" t="e">
        <f>#REF!</f>
        <v>#REF!</v>
      </c>
      <c r="AE69" s="231" t="e">
        <f>#REF!</f>
        <v>#REF!</v>
      </c>
      <c r="AF69" s="231" t="e">
        <f>[1]April!N25</f>
        <v>#REF!</v>
      </c>
      <c r="AG69" s="231" t="e">
        <f>[2]april!N25</f>
        <v>#REF!</v>
      </c>
      <c r="AH69" s="231">
        <f>'[3]DES SKPD'!$N25</f>
        <v>229473500</v>
      </c>
      <c r="AI69" s="231">
        <f>SUM(AI70:AI71)</f>
        <v>0</v>
      </c>
      <c r="AJ69" s="233">
        <f>AI69/Q69*100</f>
        <v>0</v>
      </c>
      <c r="AK69" s="231">
        <f>Q69-AI69</f>
        <v>411693900</v>
      </c>
      <c r="AL69" s="233">
        <f>AK69/Q69*100</f>
        <v>100</v>
      </c>
      <c r="AM69" s="227"/>
    </row>
    <row r="70" spans="1:39" ht="29.25" customHeight="1" x14ac:dyDescent="0.25">
      <c r="A70" s="243"/>
      <c r="B70" s="381"/>
      <c r="C70" s="381"/>
      <c r="D70" s="381"/>
      <c r="E70" s="381"/>
      <c r="F70" s="381"/>
      <c r="G70" s="381"/>
      <c r="H70" s="381"/>
      <c r="I70" s="382"/>
      <c r="J70" s="381" t="s">
        <v>259</v>
      </c>
      <c r="K70" s="245"/>
      <c r="L70" s="257"/>
      <c r="M70" s="597" t="s">
        <v>260</v>
      </c>
      <c r="N70" s="598"/>
      <c r="O70" s="299"/>
      <c r="P70" s="180"/>
      <c r="Q70" s="180">
        <v>2400000</v>
      </c>
      <c r="R70" s="181">
        <f>Q70/Q$69*100</f>
        <v>0.58295738654374041</v>
      </c>
      <c r="S70" s="181">
        <v>100</v>
      </c>
      <c r="T70" s="180">
        <f t="shared" si="23"/>
        <v>0</v>
      </c>
      <c r="U70" s="180">
        <f t="shared" si="24"/>
        <v>0</v>
      </c>
      <c r="V70" s="182">
        <f t="shared" si="25"/>
        <v>100</v>
      </c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G70" s="180"/>
      <c r="AH70" s="180"/>
      <c r="AI70" s="180">
        <v>0</v>
      </c>
      <c r="AJ70" s="181">
        <f t="shared" si="27"/>
        <v>0</v>
      </c>
      <c r="AK70" s="180">
        <f t="shared" si="30"/>
        <v>2400000</v>
      </c>
      <c r="AL70" s="181">
        <f t="shared" si="28"/>
        <v>100</v>
      </c>
      <c r="AM70" s="243"/>
    </row>
    <row r="71" spans="1:39" ht="24.75" customHeight="1" x14ac:dyDescent="0.25">
      <c r="A71" s="243"/>
      <c r="B71" s="381"/>
      <c r="C71" s="381"/>
      <c r="D71" s="381"/>
      <c r="E71" s="381"/>
      <c r="F71" s="381"/>
      <c r="G71" s="381"/>
      <c r="H71" s="381"/>
      <c r="I71" s="382"/>
      <c r="J71" s="381" t="s">
        <v>265</v>
      </c>
      <c r="K71" s="245"/>
      <c r="L71" s="257"/>
      <c r="M71" s="597" t="s">
        <v>266</v>
      </c>
      <c r="N71" s="598"/>
      <c r="O71" s="299"/>
      <c r="P71" s="180"/>
      <c r="Q71" s="180">
        <v>409293900</v>
      </c>
      <c r="R71" s="181">
        <f>Q71/Q$69*100</f>
        <v>99.41704261345626</v>
      </c>
      <c r="S71" s="181">
        <v>100</v>
      </c>
      <c r="T71" s="180">
        <f t="shared" si="23"/>
        <v>0</v>
      </c>
      <c r="U71" s="180">
        <f t="shared" si="24"/>
        <v>0</v>
      </c>
      <c r="V71" s="182">
        <f t="shared" si="25"/>
        <v>100</v>
      </c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>
        <v>0</v>
      </c>
      <c r="AJ71" s="181">
        <f t="shared" si="27"/>
        <v>0</v>
      </c>
      <c r="AK71" s="180">
        <f t="shared" si="30"/>
        <v>409293900</v>
      </c>
      <c r="AL71" s="181">
        <f t="shared" si="28"/>
        <v>100</v>
      </c>
      <c r="AM71" s="243"/>
    </row>
    <row r="72" spans="1:39" s="297" customFormat="1" ht="27.75" customHeight="1" x14ac:dyDescent="0.25">
      <c r="A72" s="227">
        <f>A69+1</f>
        <v>6</v>
      </c>
      <c r="B72" s="615" t="s">
        <v>120</v>
      </c>
      <c r="C72" s="615"/>
      <c r="D72" s="615"/>
      <c r="E72" s="615"/>
      <c r="F72" s="615"/>
      <c r="G72" s="615"/>
      <c r="H72" s="615"/>
      <c r="I72" s="614"/>
      <c r="J72" s="393" t="s">
        <v>447</v>
      </c>
      <c r="K72" s="230"/>
      <c r="L72" s="294"/>
      <c r="M72" s="615" t="s">
        <v>17</v>
      </c>
      <c r="N72" s="614"/>
      <c r="O72" s="295">
        <v>261210000</v>
      </c>
      <c r="P72" s="231">
        <f>O72</f>
        <v>261210000</v>
      </c>
      <c r="Q72" s="231">
        <f>SUM(Q73:Q77)</f>
        <v>422840000</v>
      </c>
      <c r="R72" s="233">
        <f>Q72/Q$56*100</f>
        <v>16.740080733334811</v>
      </c>
      <c r="S72" s="233">
        <v>100</v>
      </c>
      <c r="T72" s="231">
        <f t="shared" si="23"/>
        <v>0</v>
      </c>
      <c r="U72" s="231">
        <f t="shared" si="24"/>
        <v>0</v>
      </c>
      <c r="V72" s="296">
        <f t="shared" si="25"/>
        <v>100</v>
      </c>
      <c r="W72" s="231"/>
      <c r="X72" s="231" t="e">
        <f>#REF!</f>
        <v>#REF!</v>
      </c>
      <c r="Y72" s="231" t="e">
        <f>#REF!</f>
        <v>#REF!</v>
      </c>
      <c r="Z72" s="231" t="e">
        <f>#REF!</f>
        <v>#REF!</v>
      </c>
      <c r="AA72" s="231" t="e">
        <f>#REF!</f>
        <v>#REF!</v>
      </c>
      <c r="AB72" s="231">
        <v>171140000</v>
      </c>
      <c r="AC72" s="231" t="e">
        <f>#REF!</f>
        <v>#REF!</v>
      </c>
      <c r="AD72" s="231" t="e">
        <f>#REF!</f>
        <v>#REF!</v>
      </c>
      <c r="AE72" s="231" t="e">
        <f>#REF!</f>
        <v>#REF!</v>
      </c>
      <c r="AF72" s="231" t="e">
        <f>[1]April!N26</f>
        <v>#REF!</v>
      </c>
      <c r="AG72" s="231" t="e">
        <f>[2]april!N26</f>
        <v>#REF!</v>
      </c>
      <c r="AH72" s="231">
        <f>'[3]DES SKPD'!$N26</f>
        <v>449102800</v>
      </c>
      <c r="AI72" s="231">
        <f>SUM(AI73:AI77)</f>
        <v>0</v>
      </c>
      <c r="AJ72" s="233">
        <f t="shared" si="27"/>
        <v>0</v>
      </c>
      <c r="AK72" s="231">
        <f t="shared" si="30"/>
        <v>422840000</v>
      </c>
      <c r="AL72" s="233">
        <f t="shared" si="28"/>
        <v>100</v>
      </c>
      <c r="AM72" s="227"/>
    </row>
    <row r="73" spans="1:39" s="297" customFormat="1" ht="27.75" customHeight="1" x14ac:dyDescent="0.25">
      <c r="A73" s="227"/>
      <c r="B73" s="393"/>
      <c r="C73" s="393"/>
      <c r="D73" s="393"/>
      <c r="E73" s="393"/>
      <c r="F73" s="393"/>
      <c r="G73" s="393"/>
      <c r="H73" s="393"/>
      <c r="I73" s="394"/>
      <c r="J73" s="381" t="s">
        <v>259</v>
      </c>
      <c r="K73" s="245"/>
      <c r="L73" s="257"/>
      <c r="M73" s="597" t="s">
        <v>260</v>
      </c>
      <c r="N73" s="598"/>
      <c r="O73" s="299"/>
      <c r="P73" s="180"/>
      <c r="Q73" s="180">
        <v>2400000</v>
      </c>
      <c r="R73" s="181">
        <f>Q73/Q$72*100</f>
        <v>0.56759057799640522</v>
      </c>
      <c r="S73" s="181">
        <v>100</v>
      </c>
      <c r="T73" s="180">
        <f t="shared" si="23"/>
        <v>0</v>
      </c>
      <c r="U73" s="180">
        <f t="shared" si="24"/>
        <v>0</v>
      </c>
      <c r="V73" s="182">
        <f t="shared" si="25"/>
        <v>100</v>
      </c>
      <c r="W73" s="180"/>
      <c r="X73" s="180"/>
      <c r="Y73" s="180"/>
      <c r="Z73" s="180"/>
      <c r="AA73" s="180"/>
      <c r="AB73" s="180"/>
      <c r="AC73" s="180"/>
      <c r="AD73" s="180"/>
      <c r="AE73" s="180"/>
      <c r="AF73" s="180"/>
      <c r="AG73" s="180"/>
      <c r="AH73" s="180"/>
      <c r="AI73" s="180">
        <v>0</v>
      </c>
      <c r="AJ73" s="181">
        <f t="shared" si="27"/>
        <v>0</v>
      </c>
      <c r="AK73" s="180">
        <f t="shared" si="30"/>
        <v>2400000</v>
      </c>
      <c r="AL73" s="181">
        <f t="shared" si="28"/>
        <v>100</v>
      </c>
      <c r="AM73" s="227"/>
    </row>
    <row r="74" spans="1:39" s="297" customFormat="1" ht="27.75" customHeight="1" x14ac:dyDescent="0.25">
      <c r="A74" s="227"/>
      <c r="B74" s="393"/>
      <c r="C74" s="393"/>
      <c r="D74" s="393"/>
      <c r="E74" s="393"/>
      <c r="F74" s="393"/>
      <c r="G74" s="393"/>
      <c r="H74" s="393"/>
      <c r="I74" s="394"/>
      <c r="J74" s="381" t="s">
        <v>267</v>
      </c>
      <c r="K74" s="245"/>
      <c r="L74" s="257"/>
      <c r="M74" s="597" t="s">
        <v>268</v>
      </c>
      <c r="N74" s="598"/>
      <c r="O74" s="299"/>
      <c r="P74" s="180"/>
      <c r="Q74" s="180">
        <v>8000000</v>
      </c>
      <c r="R74" s="181">
        <f>Q74/Q$72*100</f>
        <v>1.8919685933213508</v>
      </c>
      <c r="S74" s="181">
        <v>100</v>
      </c>
      <c r="T74" s="180">
        <f t="shared" si="23"/>
        <v>0</v>
      </c>
      <c r="U74" s="180">
        <f t="shared" si="24"/>
        <v>0</v>
      </c>
      <c r="V74" s="182">
        <f t="shared" si="25"/>
        <v>100</v>
      </c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>
        <v>0</v>
      </c>
      <c r="AJ74" s="181">
        <f t="shared" si="27"/>
        <v>0</v>
      </c>
      <c r="AK74" s="180">
        <f t="shared" si="30"/>
        <v>8000000</v>
      </c>
      <c r="AL74" s="181">
        <f t="shared" si="28"/>
        <v>100</v>
      </c>
      <c r="AM74" s="227"/>
    </row>
    <row r="75" spans="1:39" s="297" customFormat="1" ht="27.75" customHeight="1" x14ac:dyDescent="0.25">
      <c r="A75" s="227"/>
      <c r="B75" s="393"/>
      <c r="C75" s="393"/>
      <c r="D75" s="393"/>
      <c r="E75" s="393"/>
      <c r="F75" s="393"/>
      <c r="G75" s="393"/>
      <c r="H75" s="393"/>
      <c r="I75" s="394"/>
      <c r="J75" s="381" t="s">
        <v>269</v>
      </c>
      <c r="K75" s="245"/>
      <c r="L75" s="257"/>
      <c r="M75" s="597" t="s">
        <v>270</v>
      </c>
      <c r="N75" s="598"/>
      <c r="O75" s="299"/>
      <c r="P75" s="180"/>
      <c r="Q75" s="180">
        <v>383113000</v>
      </c>
      <c r="R75" s="181">
        <f>Q75/Q$72*100</f>
        <v>90.604720461640326</v>
      </c>
      <c r="S75" s="181">
        <v>100</v>
      </c>
      <c r="T75" s="180">
        <f t="shared" si="23"/>
        <v>0</v>
      </c>
      <c r="U75" s="180">
        <f t="shared" si="24"/>
        <v>0</v>
      </c>
      <c r="V75" s="182">
        <f t="shared" si="25"/>
        <v>100</v>
      </c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>
        <v>0</v>
      </c>
      <c r="AJ75" s="181">
        <f t="shared" si="27"/>
        <v>0</v>
      </c>
      <c r="AK75" s="180">
        <f t="shared" si="30"/>
        <v>383113000</v>
      </c>
      <c r="AL75" s="181">
        <f t="shared" si="28"/>
        <v>100</v>
      </c>
      <c r="AM75" s="227"/>
    </row>
    <row r="76" spans="1:39" s="297" customFormat="1" ht="27.75" customHeight="1" x14ac:dyDescent="0.25">
      <c r="A76" s="227"/>
      <c r="B76" s="393"/>
      <c r="C76" s="393"/>
      <c r="D76" s="393"/>
      <c r="E76" s="393"/>
      <c r="F76" s="393"/>
      <c r="G76" s="393"/>
      <c r="H76" s="393"/>
      <c r="I76" s="394"/>
      <c r="J76" s="381" t="s">
        <v>315</v>
      </c>
      <c r="K76" s="245"/>
      <c r="L76" s="257"/>
      <c r="M76" s="597" t="s">
        <v>271</v>
      </c>
      <c r="N76" s="598"/>
      <c r="O76" s="299"/>
      <c r="P76" s="180"/>
      <c r="Q76" s="180">
        <v>19327000</v>
      </c>
      <c r="R76" s="181">
        <f>Q76/Q$72*100</f>
        <v>4.5707596253902185</v>
      </c>
      <c r="S76" s="181">
        <v>100</v>
      </c>
      <c r="T76" s="180">
        <f t="shared" si="23"/>
        <v>0</v>
      </c>
      <c r="U76" s="180">
        <f t="shared" si="24"/>
        <v>0</v>
      </c>
      <c r="V76" s="182">
        <f t="shared" si="25"/>
        <v>100</v>
      </c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>
        <v>0</v>
      </c>
      <c r="AJ76" s="181">
        <f t="shared" si="27"/>
        <v>0</v>
      </c>
      <c r="AK76" s="180">
        <f t="shared" si="30"/>
        <v>19327000</v>
      </c>
      <c r="AL76" s="181">
        <f t="shared" si="28"/>
        <v>100</v>
      </c>
      <c r="AM76" s="227"/>
    </row>
    <row r="77" spans="1:39" s="297" customFormat="1" ht="27.75" customHeight="1" x14ac:dyDescent="0.25">
      <c r="A77" s="227"/>
      <c r="B77" s="393"/>
      <c r="C77" s="393"/>
      <c r="D77" s="393"/>
      <c r="E77" s="393"/>
      <c r="F77" s="393"/>
      <c r="G77" s="393"/>
      <c r="H77" s="393"/>
      <c r="I77" s="394"/>
      <c r="J77" s="381" t="s">
        <v>316</v>
      </c>
      <c r="K77" s="245"/>
      <c r="L77" s="257"/>
      <c r="M77" s="597" t="s">
        <v>317</v>
      </c>
      <c r="N77" s="598"/>
      <c r="O77" s="299"/>
      <c r="P77" s="180"/>
      <c r="Q77" s="180">
        <v>10000000</v>
      </c>
      <c r="R77" s="181">
        <f>Q77/Q$72*100</f>
        <v>2.3649607416516885</v>
      </c>
      <c r="S77" s="181">
        <v>100</v>
      </c>
      <c r="T77" s="180">
        <f t="shared" si="23"/>
        <v>0</v>
      </c>
      <c r="U77" s="180">
        <f t="shared" si="24"/>
        <v>0</v>
      </c>
      <c r="V77" s="182">
        <f t="shared" si="25"/>
        <v>100</v>
      </c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>
        <v>0</v>
      </c>
      <c r="AJ77" s="181">
        <f t="shared" si="27"/>
        <v>0</v>
      </c>
      <c r="AK77" s="180">
        <f t="shared" si="30"/>
        <v>10000000</v>
      </c>
      <c r="AL77" s="181">
        <f t="shared" si="28"/>
        <v>100</v>
      </c>
      <c r="AM77" s="227"/>
    </row>
    <row r="78" spans="1:39" s="297" customFormat="1" ht="28.5" customHeight="1" x14ac:dyDescent="0.25">
      <c r="A78" s="227">
        <f>A72+1</f>
        <v>7</v>
      </c>
      <c r="B78" s="615" t="s">
        <v>121</v>
      </c>
      <c r="C78" s="615"/>
      <c r="D78" s="615"/>
      <c r="E78" s="615"/>
      <c r="F78" s="615"/>
      <c r="G78" s="615"/>
      <c r="H78" s="615"/>
      <c r="I78" s="614"/>
      <c r="J78" s="393" t="s">
        <v>448</v>
      </c>
      <c r="K78" s="230"/>
      <c r="L78" s="294"/>
      <c r="M78" s="615" t="s">
        <v>18</v>
      </c>
      <c r="N78" s="614"/>
      <c r="O78" s="295">
        <v>20900000</v>
      </c>
      <c r="P78" s="231">
        <f>O78</f>
        <v>20900000</v>
      </c>
      <c r="Q78" s="231">
        <f>SUM(Q79:Q79)</f>
        <v>21100000</v>
      </c>
      <c r="R78" s="233">
        <f>Q78/Q$56*100</f>
        <v>0.83534127204939101</v>
      </c>
      <c r="S78" s="233">
        <v>100</v>
      </c>
      <c r="T78" s="231">
        <f t="shared" si="23"/>
        <v>0</v>
      </c>
      <c r="U78" s="231">
        <f t="shared" si="24"/>
        <v>0</v>
      </c>
      <c r="V78" s="296">
        <f t="shared" si="25"/>
        <v>100</v>
      </c>
      <c r="W78" s="231"/>
      <c r="X78" s="231" t="e">
        <f>#REF!</f>
        <v>#REF!</v>
      </c>
      <c r="Y78" s="231" t="e">
        <f>#REF!</f>
        <v>#REF!</v>
      </c>
      <c r="Z78" s="231" t="e">
        <f>#REF!</f>
        <v>#REF!</v>
      </c>
      <c r="AA78" s="231" t="e">
        <f>#REF!</f>
        <v>#REF!</v>
      </c>
      <c r="AB78" s="231">
        <v>12597300</v>
      </c>
      <c r="AC78" s="231" t="e">
        <f>#REF!</f>
        <v>#REF!</v>
      </c>
      <c r="AD78" s="231" t="e">
        <f>#REF!</f>
        <v>#REF!</v>
      </c>
      <c r="AE78" s="231" t="e">
        <f>#REF!</f>
        <v>#REF!</v>
      </c>
      <c r="AF78" s="231" t="e">
        <f>[1]April!N27</f>
        <v>#REF!</v>
      </c>
      <c r="AG78" s="231">
        <v>27808300</v>
      </c>
      <c r="AH78" s="231">
        <f>'[3]DES SKPD'!$N27</f>
        <v>35785800</v>
      </c>
      <c r="AI78" s="231">
        <f>SUM(AI79:AI79)</f>
        <v>0</v>
      </c>
      <c r="AJ78" s="233">
        <f t="shared" si="27"/>
        <v>0</v>
      </c>
      <c r="AK78" s="231">
        <f t="shared" si="30"/>
        <v>21100000</v>
      </c>
      <c r="AL78" s="233">
        <f t="shared" si="28"/>
        <v>100</v>
      </c>
      <c r="AM78" s="227"/>
    </row>
    <row r="79" spans="1:39" ht="36" customHeight="1" x14ac:dyDescent="0.25">
      <c r="A79" s="243"/>
      <c r="B79" s="381"/>
      <c r="C79" s="381"/>
      <c r="D79" s="381"/>
      <c r="E79" s="381"/>
      <c r="F79" s="381"/>
      <c r="G79" s="381"/>
      <c r="H79" s="381"/>
      <c r="I79" s="382"/>
      <c r="J79" s="381" t="s">
        <v>272</v>
      </c>
      <c r="K79" s="245"/>
      <c r="L79" s="257"/>
      <c r="M79" s="597" t="s">
        <v>429</v>
      </c>
      <c r="N79" s="598"/>
      <c r="O79" s="299"/>
      <c r="P79" s="180"/>
      <c r="Q79" s="180">
        <v>21100000</v>
      </c>
      <c r="R79" s="181">
        <f>Q79/Q$78*100</f>
        <v>100</v>
      </c>
      <c r="S79" s="181">
        <v>100</v>
      </c>
      <c r="T79" s="180">
        <f t="shared" si="23"/>
        <v>0</v>
      </c>
      <c r="U79" s="180">
        <f t="shared" si="24"/>
        <v>0</v>
      </c>
      <c r="V79" s="182">
        <f t="shared" si="25"/>
        <v>100</v>
      </c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231"/>
      <c r="AH79" s="180"/>
      <c r="AI79" s="180">
        <v>0</v>
      </c>
      <c r="AJ79" s="181">
        <f t="shared" si="27"/>
        <v>0</v>
      </c>
      <c r="AK79" s="180">
        <f t="shared" si="30"/>
        <v>21100000</v>
      </c>
      <c r="AL79" s="181">
        <f t="shared" si="28"/>
        <v>100</v>
      </c>
      <c r="AM79" s="243"/>
    </row>
    <row r="80" spans="1:39" s="297" customFormat="1" ht="29.25" customHeight="1" x14ac:dyDescent="0.25">
      <c r="A80" s="227">
        <f>A78+1</f>
        <v>8</v>
      </c>
      <c r="B80" s="393"/>
      <c r="C80" s="393"/>
      <c r="D80" s="393"/>
      <c r="E80" s="393"/>
      <c r="F80" s="393"/>
      <c r="G80" s="393"/>
      <c r="H80" s="393"/>
      <c r="I80" s="394"/>
      <c r="J80" s="393" t="s">
        <v>449</v>
      </c>
      <c r="K80" s="230"/>
      <c r="L80" s="294"/>
      <c r="M80" s="615" t="s">
        <v>196</v>
      </c>
      <c r="N80" s="614"/>
      <c r="O80" s="300"/>
      <c r="P80" s="231"/>
      <c r="Q80" s="231">
        <f>SUM(Q81:Q82)</f>
        <v>36200000</v>
      </c>
      <c r="R80" s="233">
        <f>Q80/Q$56*100</f>
        <v>1.4331447416202823</v>
      </c>
      <c r="S80" s="233">
        <v>100</v>
      </c>
      <c r="T80" s="231">
        <f t="shared" si="23"/>
        <v>0</v>
      </c>
      <c r="U80" s="231">
        <f t="shared" si="24"/>
        <v>0</v>
      </c>
      <c r="V80" s="296">
        <f t="shared" si="25"/>
        <v>100</v>
      </c>
      <c r="W80" s="231"/>
      <c r="X80" s="231" t="e">
        <f>#REF!</f>
        <v>#REF!</v>
      </c>
      <c r="Y80" s="231" t="e">
        <f>#REF!</f>
        <v>#REF!</v>
      </c>
      <c r="Z80" s="231" t="e">
        <f>#REF!</f>
        <v>#REF!</v>
      </c>
      <c r="AA80" s="231" t="e">
        <f>#REF!</f>
        <v>#REF!</v>
      </c>
      <c r="AB80" s="231">
        <v>12597300</v>
      </c>
      <c r="AC80" s="231" t="e">
        <f>#REF!</f>
        <v>#REF!</v>
      </c>
      <c r="AD80" s="231" t="e">
        <f>#REF!</f>
        <v>#REF!</v>
      </c>
      <c r="AE80" s="231" t="e">
        <f>#REF!</f>
        <v>#REF!</v>
      </c>
      <c r="AF80" s="231" t="e">
        <f>[1]April!N28</f>
        <v>#REF!</v>
      </c>
      <c r="AG80" s="231">
        <v>27808300</v>
      </c>
      <c r="AH80" s="231">
        <f>'[3]DES SKPD'!$N28</f>
        <v>46904000</v>
      </c>
      <c r="AI80" s="231">
        <f>SUM(AI81:AI82)</f>
        <v>0</v>
      </c>
      <c r="AJ80" s="233">
        <f t="shared" si="27"/>
        <v>0</v>
      </c>
      <c r="AK80" s="231">
        <f t="shared" si="30"/>
        <v>36200000</v>
      </c>
      <c r="AL80" s="233">
        <f t="shared" si="28"/>
        <v>100</v>
      </c>
      <c r="AM80" s="227"/>
    </row>
    <row r="81" spans="1:39" s="297" customFormat="1" ht="24.75" customHeight="1" x14ac:dyDescent="0.25">
      <c r="A81" s="227"/>
      <c r="B81" s="393"/>
      <c r="C81" s="393"/>
      <c r="D81" s="393"/>
      <c r="E81" s="393"/>
      <c r="F81" s="393"/>
      <c r="G81" s="393"/>
      <c r="H81" s="393"/>
      <c r="I81" s="394"/>
      <c r="J81" s="381" t="s">
        <v>411</v>
      </c>
      <c r="K81" s="230"/>
      <c r="L81" s="294"/>
      <c r="M81" s="597" t="s">
        <v>412</v>
      </c>
      <c r="N81" s="598"/>
      <c r="O81" s="300"/>
      <c r="P81" s="231"/>
      <c r="Q81" s="180">
        <v>17000000</v>
      </c>
      <c r="R81" s="181">
        <f>Q81/Q$80*100</f>
        <v>46.961325966850829</v>
      </c>
      <c r="S81" s="181">
        <v>100</v>
      </c>
      <c r="T81" s="180">
        <f t="shared" si="23"/>
        <v>0</v>
      </c>
      <c r="U81" s="180">
        <f t="shared" si="24"/>
        <v>0</v>
      </c>
      <c r="V81" s="182">
        <f t="shared" si="25"/>
        <v>100</v>
      </c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231"/>
      <c r="AH81" s="180"/>
      <c r="AI81" s="180">
        <v>0</v>
      </c>
      <c r="AJ81" s="181">
        <f t="shared" si="27"/>
        <v>0</v>
      </c>
      <c r="AK81" s="180">
        <f t="shared" si="30"/>
        <v>17000000</v>
      </c>
      <c r="AL81" s="181">
        <f t="shared" si="28"/>
        <v>100</v>
      </c>
      <c r="AM81" s="227"/>
    </row>
    <row r="82" spans="1:39" ht="24.75" customHeight="1" x14ac:dyDescent="0.25">
      <c r="A82" s="243"/>
      <c r="B82" s="381"/>
      <c r="C82" s="381"/>
      <c r="D82" s="381"/>
      <c r="E82" s="381"/>
      <c r="F82" s="381"/>
      <c r="G82" s="381"/>
      <c r="H82" s="381"/>
      <c r="I82" s="382"/>
      <c r="J82" s="381" t="s">
        <v>546</v>
      </c>
      <c r="K82" s="245"/>
      <c r="L82" s="257"/>
      <c r="M82" s="597" t="s">
        <v>431</v>
      </c>
      <c r="N82" s="598"/>
      <c r="O82" s="301"/>
      <c r="P82" s="180"/>
      <c r="Q82" s="180">
        <v>19200000</v>
      </c>
      <c r="R82" s="181">
        <f>Q82/Q$80*100</f>
        <v>53.038674033149171</v>
      </c>
      <c r="S82" s="181">
        <v>100</v>
      </c>
      <c r="T82" s="180">
        <f t="shared" si="23"/>
        <v>0</v>
      </c>
      <c r="U82" s="180">
        <f t="shared" si="24"/>
        <v>0</v>
      </c>
      <c r="V82" s="182">
        <f t="shared" si="25"/>
        <v>100</v>
      </c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231"/>
      <c r="AH82" s="180"/>
      <c r="AI82" s="180">
        <v>0</v>
      </c>
      <c r="AJ82" s="181">
        <f t="shared" si="27"/>
        <v>0</v>
      </c>
      <c r="AK82" s="180">
        <f t="shared" si="30"/>
        <v>19200000</v>
      </c>
      <c r="AL82" s="181">
        <f t="shared" si="28"/>
        <v>100</v>
      </c>
      <c r="AM82" s="243"/>
    </row>
    <row r="83" spans="1:39" s="297" customFormat="1" ht="31.5" customHeight="1" x14ac:dyDescent="0.25">
      <c r="A83" s="227">
        <f>A80+1</f>
        <v>9</v>
      </c>
      <c r="B83" s="615" t="s">
        <v>121</v>
      </c>
      <c r="C83" s="615"/>
      <c r="D83" s="615"/>
      <c r="E83" s="615"/>
      <c r="F83" s="615"/>
      <c r="G83" s="615"/>
      <c r="H83" s="615"/>
      <c r="I83" s="614"/>
      <c r="J83" s="393" t="s">
        <v>450</v>
      </c>
      <c r="K83" s="230"/>
      <c r="L83" s="294"/>
      <c r="M83" s="615" t="s">
        <v>19</v>
      </c>
      <c r="N83" s="614"/>
      <c r="O83" s="295">
        <v>50800000</v>
      </c>
      <c r="P83" s="231">
        <f>O83</f>
        <v>50800000</v>
      </c>
      <c r="Q83" s="302">
        <f>SUM(Q84:Q85)</f>
        <v>42270000</v>
      </c>
      <c r="R83" s="233">
        <f>Q83/Q$56*100</f>
        <v>1.6734538184610313</v>
      </c>
      <c r="S83" s="233">
        <v>100</v>
      </c>
      <c r="T83" s="231">
        <f t="shared" si="23"/>
        <v>7.4047788029335235</v>
      </c>
      <c r="U83" s="231">
        <f t="shared" si="24"/>
        <v>0.12391555362628409</v>
      </c>
      <c r="V83" s="296">
        <f t="shared" si="25"/>
        <v>92.595221197066479</v>
      </c>
      <c r="W83" s="231"/>
      <c r="X83" s="231" t="e">
        <f>#REF!</f>
        <v>#REF!</v>
      </c>
      <c r="Y83" s="231" t="e">
        <f>#REF!</f>
        <v>#REF!</v>
      </c>
      <c r="Z83" s="231" t="e">
        <f>#REF!</f>
        <v>#REF!</v>
      </c>
      <c r="AA83" s="231" t="e">
        <f>#REF!</f>
        <v>#REF!</v>
      </c>
      <c r="AB83" s="231">
        <v>23113500</v>
      </c>
      <c r="AC83" s="231" t="e">
        <f>#REF!</f>
        <v>#REF!</v>
      </c>
      <c r="AD83" s="231" t="e">
        <f>#REF!</f>
        <v>#REF!</v>
      </c>
      <c r="AE83" s="231" t="e">
        <f>#REF!</f>
        <v>#REF!</v>
      </c>
      <c r="AF83" s="231" t="e">
        <f>[1]April!N28</f>
        <v>#REF!</v>
      </c>
      <c r="AG83" s="231" t="e">
        <f>[2]april!N28</f>
        <v>#REF!</v>
      </c>
      <c r="AH83" s="231">
        <f>'[3]DES SKPD'!$N28</f>
        <v>46904000</v>
      </c>
      <c r="AI83" s="231">
        <f>SUM(AI84:AI85)</f>
        <v>3130000</v>
      </c>
      <c r="AJ83" s="233">
        <f t="shared" si="27"/>
        <v>7.4047788029335235</v>
      </c>
      <c r="AK83" s="231">
        <f t="shared" si="30"/>
        <v>39140000</v>
      </c>
      <c r="AL83" s="233">
        <f t="shared" si="28"/>
        <v>92.595221197066479</v>
      </c>
      <c r="AM83" s="227"/>
    </row>
    <row r="84" spans="1:39" ht="24.75" customHeight="1" x14ac:dyDescent="0.25">
      <c r="A84" s="243"/>
      <c r="B84" s="381"/>
      <c r="C84" s="381"/>
      <c r="D84" s="381"/>
      <c r="E84" s="381"/>
      <c r="F84" s="381"/>
      <c r="G84" s="381"/>
      <c r="H84" s="381"/>
      <c r="I84" s="382"/>
      <c r="J84" s="381" t="s">
        <v>276</v>
      </c>
      <c r="K84" s="245"/>
      <c r="L84" s="257"/>
      <c r="M84" s="597" t="s">
        <v>277</v>
      </c>
      <c r="N84" s="598"/>
      <c r="O84" s="299"/>
      <c r="P84" s="180"/>
      <c r="Q84" s="180">
        <v>37600000</v>
      </c>
      <c r="R84" s="181">
        <f>Q84/Q$83*100</f>
        <v>88.951975396262128</v>
      </c>
      <c r="S84" s="181">
        <v>100</v>
      </c>
      <c r="T84" s="180">
        <f t="shared" si="23"/>
        <v>8.3244680851063837</v>
      </c>
      <c r="U84" s="180">
        <f t="shared" si="24"/>
        <v>7.4047788029335235</v>
      </c>
      <c r="V84" s="182">
        <f t="shared" si="25"/>
        <v>91.675531914893611</v>
      </c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>
        <v>3130000</v>
      </c>
      <c r="AJ84" s="181">
        <f t="shared" si="27"/>
        <v>8.3244680851063837</v>
      </c>
      <c r="AK84" s="180">
        <f t="shared" si="30"/>
        <v>34470000</v>
      </c>
      <c r="AL84" s="181">
        <f t="shared" si="28"/>
        <v>91.675531914893611</v>
      </c>
      <c r="AM84" s="243"/>
    </row>
    <row r="85" spans="1:39" ht="39.75" customHeight="1" x14ac:dyDescent="0.25">
      <c r="A85" s="243"/>
      <c r="B85" s="381"/>
      <c r="C85" s="381"/>
      <c r="D85" s="381"/>
      <c r="E85" s="381"/>
      <c r="F85" s="381"/>
      <c r="G85" s="381"/>
      <c r="H85" s="381"/>
      <c r="I85" s="382"/>
      <c r="J85" s="381" t="s">
        <v>432</v>
      </c>
      <c r="K85" s="245"/>
      <c r="L85" s="257"/>
      <c r="M85" s="597" t="s">
        <v>433</v>
      </c>
      <c r="N85" s="598"/>
      <c r="O85" s="299"/>
      <c r="P85" s="180"/>
      <c r="Q85" s="180">
        <v>4670000</v>
      </c>
      <c r="R85" s="181">
        <f>Q85/Q$83*100</f>
        <v>11.048024603737876</v>
      </c>
      <c r="S85" s="181">
        <v>100</v>
      </c>
      <c r="T85" s="180">
        <f t="shared" si="23"/>
        <v>0</v>
      </c>
      <c r="U85" s="180">
        <f t="shared" si="24"/>
        <v>0</v>
      </c>
      <c r="V85" s="182">
        <f t="shared" si="25"/>
        <v>100</v>
      </c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>
        <v>0</v>
      </c>
      <c r="AJ85" s="181">
        <f t="shared" si="27"/>
        <v>0</v>
      </c>
      <c r="AK85" s="180">
        <f t="shared" si="30"/>
        <v>4670000</v>
      </c>
      <c r="AL85" s="181">
        <f t="shared" si="28"/>
        <v>100</v>
      </c>
      <c r="AM85" s="243"/>
    </row>
    <row r="86" spans="1:39" s="297" customFormat="1" ht="30.75" customHeight="1" x14ac:dyDescent="0.25">
      <c r="A86" s="227">
        <f>A83+1</f>
        <v>10</v>
      </c>
      <c r="B86" s="615" t="s">
        <v>122</v>
      </c>
      <c r="C86" s="615"/>
      <c r="D86" s="615"/>
      <c r="E86" s="615"/>
      <c r="F86" s="615"/>
      <c r="G86" s="615"/>
      <c r="H86" s="615"/>
      <c r="I86" s="614"/>
      <c r="J86" s="393" t="s">
        <v>451</v>
      </c>
      <c r="K86" s="230"/>
      <c r="L86" s="294"/>
      <c r="M86" s="615" t="s">
        <v>20</v>
      </c>
      <c r="N86" s="614"/>
      <c r="O86" s="295">
        <v>124190000</v>
      </c>
      <c r="P86" s="231">
        <f>O86</f>
        <v>124190000</v>
      </c>
      <c r="Q86" s="231">
        <f>SUM(Q87:Q88)</f>
        <v>118340000</v>
      </c>
      <c r="R86" s="233">
        <f>Q86/Q$56*100</f>
        <v>4.6850372575509454</v>
      </c>
      <c r="S86" s="233">
        <v>100</v>
      </c>
      <c r="T86" s="231">
        <f>AJ86</f>
        <v>19.858036166976508</v>
      </c>
      <c r="U86" s="231">
        <f t="shared" si="24"/>
        <v>0.93035639304079099</v>
      </c>
      <c r="V86" s="296">
        <f t="shared" si="25"/>
        <v>80.141963833023496</v>
      </c>
      <c r="W86" s="231"/>
      <c r="X86" s="231" t="e">
        <f>#REF!</f>
        <v>#REF!</v>
      </c>
      <c r="Y86" s="231" t="e">
        <f>#REF!</f>
        <v>#REF!</v>
      </c>
      <c r="Z86" s="231" t="e">
        <f>#REF!</f>
        <v>#REF!</v>
      </c>
      <c r="AA86" s="231" t="e">
        <f>#REF!</f>
        <v>#REF!</v>
      </c>
      <c r="AB86" s="231">
        <v>53635000</v>
      </c>
      <c r="AC86" s="231" t="e">
        <f>#REF!</f>
        <v>#REF!</v>
      </c>
      <c r="AD86" s="231" t="e">
        <f>#REF!</f>
        <v>#REF!</v>
      </c>
      <c r="AE86" s="231" t="e">
        <f>#REF!</f>
        <v>#REF!</v>
      </c>
      <c r="AF86" s="231" t="e">
        <f>[1]April!N29</f>
        <v>#REF!</v>
      </c>
      <c r="AG86" s="231" t="e">
        <f>[2]april!N29</f>
        <v>#REF!</v>
      </c>
      <c r="AH86" s="231">
        <f>'[3]DES SKPD'!$N29</f>
        <v>138020848</v>
      </c>
      <c r="AI86" s="231">
        <f>SUM(AI87:AI88)</f>
        <v>23500000</v>
      </c>
      <c r="AJ86" s="233">
        <f t="shared" si="27"/>
        <v>19.858036166976508</v>
      </c>
      <c r="AK86" s="231">
        <f t="shared" si="30"/>
        <v>94840000</v>
      </c>
      <c r="AL86" s="233">
        <f t="shared" si="28"/>
        <v>80.141963833023482</v>
      </c>
      <c r="AM86" s="227"/>
    </row>
    <row r="87" spans="1:39" ht="32.25" customHeight="1" x14ac:dyDescent="0.25">
      <c r="A87" s="243"/>
      <c r="B87" s="381"/>
      <c r="C87" s="381"/>
      <c r="D87" s="381"/>
      <c r="E87" s="381"/>
      <c r="F87" s="381"/>
      <c r="G87" s="381"/>
      <c r="H87" s="381"/>
      <c r="I87" s="382"/>
      <c r="J87" s="381" t="s">
        <v>278</v>
      </c>
      <c r="K87" s="245"/>
      <c r="L87" s="257"/>
      <c r="M87" s="597" t="s">
        <v>279</v>
      </c>
      <c r="N87" s="598"/>
      <c r="O87" s="299"/>
      <c r="P87" s="180"/>
      <c r="Q87" s="180">
        <v>54000000</v>
      </c>
      <c r="R87" s="181">
        <f>Q87/Q$86*100</f>
        <v>45.631232043265172</v>
      </c>
      <c r="S87" s="181">
        <v>100</v>
      </c>
      <c r="T87" s="180">
        <f>AJ87</f>
        <v>17.592592592592592</v>
      </c>
      <c r="U87" s="180">
        <f t="shared" si="24"/>
        <v>8.0277167483522049</v>
      </c>
      <c r="V87" s="182">
        <f t="shared" si="25"/>
        <v>82.407407407407405</v>
      </c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>
        <v>9500000</v>
      </c>
      <c r="AJ87" s="181">
        <f t="shared" si="27"/>
        <v>17.592592592592592</v>
      </c>
      <c r="AK87" s="180">
        <f t="shared" si="30"/>
        <v>44500000</v>
      </c>
      <c r="AL87" s="181">
        <f t="shared" si="28"/>
        <v>82.407407407407405</v>
      </c>
      <c r="AM87" s="243"/>
    </row>
    <row r="88" spans="1:39" ht="24.75" customHeight="1" x14ac:dyDescent="0.25">
      <c r="A88" s="243"/>
      <c r="B88" s="381"/>
      <c r="C88" s="381"/>
      <c r="D88" s="381"/>
      <c r="E88" s="381"/>
      <c r="F88" s="381"/>
      <c r="G88" s="381"/>
      <c r="H88" s="381"/>
      <c r="I88" s="382"/>
      <c r="J88" s="381" t="s">
        <v>280</v>
      </c>
      <c r="K88" s="245"/>
      <c r="L88" s="257"/>
      <c r="M88" s="597" t="s">
        <v>281</v>
      </c>
      <c r="N88" s="598"/>
      <c r="O88" s="299"/>
      <c r="P88" s="180"/>
      <c r="Q88" s="180">
        <v>64340000</v>
      </c>
      <c r="R88" s="181">
        <f>Q88/Q$86*100</f>
        <v>54.368767956734828</v>
      </c>
      <c r="S88" s="181">
        <v>100</v>
      </c>
      <c r="T88" s="180">
        <f>AJ88</f>
        <v>21.75940317065589</v>
      </c>
      <c r="U88" s="180">
        <f t="shared" si="24"/>
        <v>11.830319418624301</v>
      </c>
      <c r="V88" s="182">
        <f t="shared" si="25"/>
        <v>78.240596829344113</v>
      </c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>
        <v>14000000</v>
      </c>
      <c r="AJ88" s="181">
        <f t="shared" si="27"/>
        <v>21.75940317065589</v>
      </c>
      <c r="AK88" s="180">
        <f t="shared" si="30"/>
        <v>50340000</v>
      </c>
      <c r="AL88" s="181">
        <f t="shared" si="28"/>
        <v>78.240596829344113</v>
      </c>
      <c r="AM88" s="243"/>
    </row>
    <row r="89" spans="1:39" s="297" customFormat="1" ht="31.5" customHeight="1" x14ac:dyDescent="0.25">
      <c r="A89" s="227">
        <f>A86+1</f>
        <v>11</v>
      </c>
      <c r="B89" s="615" t="s">
        <v>123</v>
      </c>
      <c r="C89" s="615"/>
      <c r="D89" s="615"/>
      <c r="E89" s="615"/>
      <c r="F89" s="615"/>
      <c r="G89" s="615"/>
      <c r="H89" s="615"/>
      <c r="I89" s="614"/>
      <c r="J89" s="393" t="s">
        <v>452</v>
      </c>
      <c r="K89" s="230"/>
      <c r="L89" s="294"/>
      <c r="M89" s="615" t="s">
        <v>21</v>
      </c>
      <c r="N89" s="614"/>
      <c r="O89" s="295">
        <v>517929000</v>
      </c>
      <c r="P89" s="231">
        <f>O89</f>
        <v>517929000</v>
      </c>
      <c r="Q89" s="231">
        <f>SUM(Q90:Q90)</f>
        <v>483349844</v>
      </c>
      <c r="R89" s="233">
        <f>Q89/Q$56*100</f>
        <v>19.135643295347617</v>
      </c>
      <c r="S89" s="233">
        <v>100</v>
      </c>
      <c r="T89" s="231">
        <f t="shared" si="23"/>
        <v>10.46546732722231</v>
      </c>
      <c r="U89" s="231">
        <f>R89*T89/100</f>
        <v>2.0026344969284113</v>
      </c>
      <c r="V89" s="296">
        <f t="shared" si="25"/>
        <v>89.534532672777686</v>
      </c>
      <c r="W89" s="231"/>
      <c r="X89" s="231" t="e">
        <f>#REF!</f>
        <v>#REF!</v>
      </c>
      <c r="Y89" s="231" t="e">
        <f>#REF!</f>
        <v>#REF!</v>
      </c>
      <c r="Z89" s="231" t="e">
        <f>#REF!</f>
        <v>#REF!</v>
      </c>
      <c r="AA89" s="231" t="e">
        <f>#REF!</f>
        <v>#REF!</v>
      </c>
      <c r="AB89" s="231">
        <v>317394150</v>
      </c>
      <c r="AC89" s="231" t="e">
        <f>#REF!</f>
        <v>#REF!</v>
      </c>
      <c r="AD89" s="231" t="e">
        <f>#REF!</f>
        <v>#REF!</v>
      </c>
      <c r="AE89" s="231" t="e">
        <f>#REF!</f>
        <v>#REF!</v>
      </c>
      <c r="AF89" s="231" t="e">
        <f>[1]April!N30</f>
        <v>#REF!</v>
      </c>
      <c r="AG89" s="231" t="e">
        <f>[2]april!N30</f>
        <v>#REF!</v>
      </c>
      <c r="AH89" s="231">
        <f>'[3]DES SKPD'!$N30</f>
        <v>660543350</v>
      </c>
      <c r="AI89" s="231">
        <f>SUM(AI90:AI90)</f>
        <v>50584820</v>
      </c>
      <c r="AJ89" s="233">
        <f t="shared" si="27"/>
        <v>10.46546732722231</v>
      </c>
      <c r="AK89" s="231">
        <f t="shared" si="30"/>
        <v>432765024</v>
      </c>
      <c r="AL89" s="233">
        <f t="shared" si="28"/>
        <v>89.534532672777686</v>
      </c>
      <c r="AM89" s="227"/>
    </row>
    <row r="90" spans="1:39" ht="26.25" customHeight="1" x14ac:dyDescent="0.25">
      <c r="A90" s="243"/>
      <c r="B90" s="381"/>
      <c r="C90" s="381"/>
      <c r="D90" s="381"/>
      <c r="E90" s="381"/>
      <c r="F90" s="381"/>
      <c r="G90" s="381"/>
      <c r="H90" s="381"/>
      <c r="I90" s="382"/>
      <c r="J90" s="381" t="s">
        <v>282</v>
      </c>
      <c r="K90" s="245"/>
      <c r="L90" s="257"/>
      <c r="M90" s="597" t="s">
        <v>283</v>
      </c>
      <c r="N90" s="598"/>
      <c r="O90" s="299"/>
      <c r="P90" s="180"/>
      <c r="Q90" s="180">
        <v>483349844</v>
      </c>
      <c r="R90" s="181">
        <f>Q90/Q$89*100</f>
        <v>100</v>
      </c>
      <c r="S90" s="181">
        <v>100</v>
      </c>
      <c r="T90" s="180">
        <f t="shared" si="23"/>
        <v>10.46546732722231</v>
      </c>
      <c r="U90" s="180">
        <f>R90*T90/100</f>
        <v>10.465467327222308</v>
      </c>
      <c r="V90" s="182">
        <f t="shared" si="25"/>
        <v>89.534532672777686</v>
      </c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>
        <v>50584820</v>
      </c>
      <c r="AJ90" s="181">
        <f t="shared" si="27"/>
        <v>10.46546732722231</v>
      </c>
      <c r="AK90" s="180">
        <f t="shared" si="30"/>
        <v>432765024</v>
      </c>
      <c r="AL90" s="181">
        <f t="shared" si="28"/>
        <v>89.534532672777686</v>
      </c>
      <c r="AM90" s="243"/>
    </row>
    <row r="91" spans="1:39" s="297" customFormat="1" ht="30.75" customHeight="1" x14ac:dyDescent="0.25">
      <c r="A91" s="227">
        <f>A89+1</f>
        <v>12</v>
      </c>
      <c r="B91" s="615" t="s">
        <v>124</v>
      </c>
      <c r="C91" s="615"/>
      <c r="D91" s="615"/>
      <c r="E91" s="615"/>
      <c r="F91" s="615"/>
      <c r="G91" s="615"/>
      <c r="H91" s="615"/>
      <c r="I91" s="614"/>
      <c r="J91" s="393" t="s">
        <v>453</v>
      </c>
      <c r="K91" s="230"/>
      <c r="L91" s="294"/>
      <c r="M91" s="615" t="s">
        <v>22</v>
      </c>
      <c r="N91" s="614"/>
      <c r="O91" s="295">
        <v>17600000</v>
      </c>
      <c r="P91" s="231">
        <f>O91</f>
        <v>17600000</v>
      </c>
      <c r="Q91" s="231">
        <f>SUM(Q92:Q92)</f>
        <v>31400000</v>
      </c>
      <c r="R91" s="233">
        <f>Q91/Q$56*100</f>
        <v>1.2431144996374826</v>
      </c>
      <c r="S91" s="233">
        <v>100</v>
      </c>
      <c r="T91" s="231">
        <f t="shared" si="23"/>
        <v>0</v>
      </c>
      <c r="U91" s="231">
        <f t="shared" si="24"/>
        <v>0</v>
      </c>
      <c r="V91" s="296">
        <f t="shared" si="25"/>
        <v>100</v>
      </c>
      <c r="W91" s="231"/>
      <c r="X91" s="231" t="e">
        <f>#REF!</f>
        <v>#REF!</v>
      </c>
      <c r="Y91" s="231" t="e">
        <f>#REF!</f>
        <v>#REF!</v>
      </c>
      <c r="Z91" s="231" t="e">
        <f>#REF!</f>
        <v>#REF!</v>
      </c>
      <c r="AA91" s="231" t="e">
        <f>#REF!</f>
        <v>#REF!</v>
      </c>
      <c r="AB91" s="231">
        <v>13150000</v>
      </c>
      <c r="AC91" s="231" t="e">
        <f>#REF!</f>
        <v>#REF!</v>
      </c>
      <c r="AD91" s="231" t="e">
        <f>#REF!</f>
        <v>#REF!</v>
      </c>
      <c r="AE91" s="231" t="e">
        <f>#REF!</f>
        <v>#REF!</v>
      </c>
      <c r="AF91" s="231" t="e">
        <f>[1]April!N31</f>
        <v>#REF!</v>
      </c>
      <c r="AG91" s="231" t="e">
        <f>[2]april!N31</f>
        <v>#REF!</v>
      </c>
      <c r="AH91" s="231">
        <f>'[3]DES SKPD'!$N31</f>
        <v>27445000</v>
      </c>
      <c r="AI91" s="231">
        <f>SUM(AI92:AI92)</f>
        <v>0</v>
      </c>
      <c r="AJ91" s="233">
        <f t="shared" si="27"/>
        <v>0</v>
      </c>
      <c r="AK91" s="231">
        <f t="shared" si="30"/>
        <v>31400000</v>
      </c>
      <c r="AL91" s="233">
        <f t="shared" si="28"/>
        <v>100</v>
      </c>
      <c r="AM91" s="227"/>
    </row>
    <row r="92" spans="1:39" ht="26.25" customHeight="1" x14ac:dyDescent="0.25">
      <c r="A92" s="243"/>
      <c r="B92" s="381"/>
      <c r="C92" s="381"/>
      <c r="D92" s="381"/>
      <c r="E92" s="381"/>
      <c r="F92" s="381"/>
      <c r="G92" s="381"/>
      <c r="H92" s="381"/>
      <c r="I92" s="382"/>
      <c r="J92" s="381" t="s">
        <v>284</v>
      </c>
      <c r="K92" s="245"/>
      <c r="L92" s="257"/>
      <c r="M92" s="597" t="s">
        <v>285</v>
      </c>
      <c r="N92" s="598"/>
      <c r="O92" s="299"/>
      <c r="P92" s="180"/>
      <c r="Q92" s="180">
        <v>31400000</v>
      </c>
      <c r="R92" s="181">
        <f>Q92/Q$91*100</f>
        <v>100</v>
      </c>
      <c r="S92" s="181">
        <v>100</v>
      </c>
      <c r="T92" s="180">
        <f t="shared" si="23"/>
        <v>0</v>
      </c>
      <c r="U92" s="180">
        <f>R92*T92/100</f>
        <v>0</v>
      </c>
      <c r="V92" s="182">
        <f t="shared" si="25"/>
        <v>100</v>
      </c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>
        <v>0</v>
      </c>
      <c r="AJ92" s="181">
        <f t="shared" si="27"/>
        <v>0</v>
      </c>
      <c r="AK92" s="180">
        <f t="shared" si="30"/>
        <v>31400000</v>
      </c>
      <c r="AL92" s="181">
        <f t="shared" si="28"/>
        <v>100</v>
      </c>
      <c r="AM92" s="243"/>
    </row>
    <row r="93" spans="1:39" ht="26.25" customHeight="1" x14ac:dyDescent="0.25">
      <c r="A93" s="227">
        <f>A91+1</f>
        <v>13</v>
      </c>
      <c r="B93" s="615" t="s">
        <v>124</v>
      </c>
      <c r="C93" s="615"/>
      <c r="D93" s="615"/>
      <c r="E93" s="615"/>
      <c r="F93" s="615"/>
      <c r="G93" s="615"/>
      <c r="H93" s="615"/>
      <c r="I93" s="614"/>
      <c r="J93" s="393" t="s">
        <v>547</v>
      </c>
      <c r="K93" s="230"/>
      <c r="L93" s="294"/>
      <c r="M93" s="615" t="s">
        <v>548</v>
      </c>
      <c r="N93" s="614"/>
      <c r="O93" s="295">
        <v>17600000</v>
      </c>
      <c r="P93" s="231">
        <f>O93</f>
        <v>17600000</v>
      </c>
      <c r="Q93" s="231">
        <f>SUM(Q94:Q106)</f>
        <v>71640000</v>
      </c>
      <c r="R93" s="233">
        <f>Q93/Q$56*100</f>
        <v>2.8362013615932877</v>
      </c>
      <c r="S93" s="233">
        <v>100</v>
      </c>
      <c r="T93" s="231">
        <f t="shared" si="23"/>
        <v>12.255723059743161</v>
      </c>
      <c r="U93" s="231">
        <f t="shared" ref="U93" si="31">R93*T93/100</f>
        <v>0.34759698429353814</v>
      </c>
      <c r="V93" s="296">
        <f t="shared" si="25"/>
        <v>87.744276940256839</v>
      </c>
      <c r="W93" s="231"/>
      <c r="X93" s="231" t="e">
        <f>#REF!</f>
        <v>#REF!</v>
      </c>
      <c r="Y93" s="231" t="e">
        <f>#REF!</f>
        <v>#REF!</v>
      </c>
      <c r="Z93" s="231" t="e">
        <f>#REF!</f>
        <v>#REF!</v>
      </c>
      <c r="AA93" s="231" t="e">
        <f>#REF!</f>
        <v>#REF!</v>
      </c>
      <c r="AB93" s="231">
        <v>13150000</v>
      </c>
      <c r="AC93" s="231" t="e">
        <f>#REF!</f>
        <v>#REF!</v>
      </c>
      <c r="AD93" s="231" t="e">
        <f>#REF!</f>
        <v>#REF!</v>
      </c>
      <c r="AE93" s="231" t="e">
        <f>#REF!</f>
        <v>#REF!</v>
      </c>
      <c r="AF93" s="231" t="e">
        <f>[1]April!N33</f>
        <v>#REF!</v>
      </c>
      <c r="AG93" s="231" t="e">
        <f>[2]april!N33</f>
        <v>#REF!</v>
      </c>
      <c r="AH93" s="231" t="e">
        <f>'[3]DES SKPD'!$N33</f>
        <v>#REF!</v>
      </c>
      <c r="AI93" s="231">
        <f>SUM(AI94:AI106)</f>
        <v>8780000</v>
      </c>
      <c r="AJ93" s="233">
        <f t="shared" si="27"/>
        <v>12.255723059743161</v>
      </c>
      <c r="AK93" s="231">
        <f t="shared" si="30"/>
        <v>62860000</v>
      </c>
      <c r="AL93" s="233">
        <f t="shared" si="28"/>
        <v>87.744276940256839</v>
      </c>
      <c r="AM93" s="227"/>
    </row>
    <row r="94" spans="1:39" ht="26.25" customHeight="1" x14ac:dyDescent="0.25">
      <c r="A94" s="243"/>
      <c r="B94" s="381"/>
      <c r="C94" s="381"/>
      <c r="D94" s="381"/>
      <c r="E94" s="381"/>
      <c r="F94" s="381"/>
      <c r="G94" s="381"/>
      <c r="H94" s="381"/>
      <c r="I94" s="382"/>
      <c r="J94" s="381" t="s">
        <v>265</v>
      </c>
      <c r="K94" s="245"/>
      <c r="L94" s="257"/>
      <c r="M94" s="597" t="s">
        <v>266</v>
      </c>
      <c r="N94" s="598"/>
      <c r="O94" s="299"/>
      <c r="P94" s="180"/>
      <c r="Q94" s="180">
        <v>12590000</v>
      </c>
      <c r="R94" s="181">
        <f>Q94/Q$91*100</f>
        <v>40.095541401273884</v>
      </c>
      <c r="S94" s="181">
        <v>100</v>
      </c>
      <c r="T94" s="180">
        <f t="shared" si="23"/>
        <v>23.828435266084195</v>
      </c>
      <c r="U94" s="180">
        <f>R94*T94/100</f>
        <v>9.5541401273885356</v>
      </c>
      <c r="V94" s="182">
        <f t="shared" si="25"/>
        <v>76.171564733915801</v>
      </c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>
        <v>3000000</v>
      </c>
      <c r="AJ94" s="181">
        <f t="shared" si="27"/>
        <v>23.828435266084195</v>
      </c>
      <c r="AK94" s="180">
        <f t="shared" si="30"/>
        <v>9590000</v>
      </c>
      <c r="AL94" s="181">
        <f t="shared" si="28"/>
        <v>76.171564733915815</v>
      </c>
      <c r="AM94" s="243"/>
    </row>
    <row r="95" spans="1:39" ht="26.25" customHeight="1" x14ac:dyDescent="0.25">
      <c r="A95" s="243"/>
      <c r="B95" s="381"/>
      <c r="C95" s="381"/>
      <c r="D95" s="381"/>
      <c r="E95" s="381"/>
      <c r="F95" s="381"/>
      <c r="G95" s="381"/>
      <c r="H95" s="381"/>
      <c r="I95" s="382"/>
      <c r="J95" s="381" t="s">
        <v>272</v>
      </c>
      <c r="K95" s="245"/>
      <c r="L95" s="257"/>
      <c r="M95" s="597" t="s">
        <v>429</v>
      </c>
      <c r="N95" s="598"/>
      <c r="O95" s="299"/>
      <c r="P95" s="180"/>
      <c r="Q95" s="180">
        <v>3000000</v>
      </c>
      <c r="R95" s="181">
        <f t="shared" ref="R95:R106" si="32">Q95/Q$91*100</f>
        <v>9.5541401273885356</v>
      </c>
      <c r="S95" s="181">
        <v>100</v>
      </c>
      <c r="T95" s="180">
        <f t="shared" si="23"/>
        <v>25</v>
      </c>
      <c r="U95" s="180">
        <f t="shared" ref="U95:U107" si="33">R95*T95/100</f>
        <v>2.3885350318471339</v>
      </c>
      <c r="V95" s="182">
        <f t="shared" si="25"/>
        <v>75</v>
      </c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>
        <v>750000</v>
      </c>
      <c r="AJ95" s="181">
        <f t="shared" si="27"/>
        <v>25</v>
      </c>
      <c r="AK95" s="180">
        <f t="shared" si="30"/>
        <v>2250000</v>
      </c>
      <c r="AL95" s="181">
        <f t="shared" si="28"/>
        <v>75</v>
      </c>
      <c r="AM95" s="243"/>
    </row>
    <row r="96" spans="1:39" ht="26.25" customHeight="1" x14ac:dyDescent="0.25">
      <c r="A96" s="243"/>
      <c r="B96" s="381"/>
      <c r="C96" s="381"/>
      <c r="D96" s="381"/>
      <c r="E96" s="381"/>
      <c r="F96" s="381"/>
      <c r="G96" s="381"/>
      <c r="H96" s="381"/>
      <c r="I96" s="382"/>
      <c r="J96" s="381" t="s">
        <v>249</v>
      </c>
      <c r="K96" s="245"/>
      <c r="L96" s="257"/>
      <c r="M96" s="597" t="s">
        <v>250</v>
      </c>
      <c r="N96" s="598"/>
      <c r="O96" s="299"/>
      <c r="P96" s="180"/>
      <c r="Q96" s="180">
        <v>390000</v>
      </c>
      <c r="R96" s="181">
        <f t="shared" si="32"/>
        <v>1.2420382165605097</v>
      </c>
      <c r="S96" s="181">
        <v>100</v>
      </c>
      <c r="T96" s="180">
        <f t="shared" si="23"/>
        <v>100</v>
      </c>
      <c r="U96" s="180">
        <f t="shared" si="33"/>
        <v>1.2420382165605097</v>
      </c>
      <c r="V96" s="182">
        <f t="shared" si="25"/>
        <v>0</v>
      </c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>
        <v>390000</v>
      </c>
      <c r="AJ96" s="181">
        <f t="shared" si="27"/>
        <v>100</v>
      </c>
      <c r="AK96" s="180">
        <f t="shared" si="30"/>
        <v>0</v>
      </c>
      <c r="AL96" s="181">
        <f t="shared" si="28"/>
        <v>0</v>
      </c>
      <c r="AM96" s="243"/>
    </row>
    <row r="97" spans="1:39" ht="26.25" customHeight="1" x14ac:dyDescent="0.25">
      <c r="A97" s="243"/>
      <c r="B97" s="381"/>
      <c r="C97" s="381"/>
      <c r="D97" s="381"/>
      <c r="E97" s="381"/>
      <c r="F97" s="381"/>
      <c r="G97" s="381"/>
      <c r="H97" s="381"/>
      <c r="I97" s="382"/>
      <c r="J97" s="381" t="s">
        <v>261</v>
      </c>
      <c r="K97" s="245"/>
      <c r="L97" s="257"/>
      <c r="M97" s="597" t="s">
        <v>262</v>
      </c>
      <c r="N97" s="598"/>
      <c r="O97" s="299"/>
      <c r="P97" s="180"/>
      <c r="Q97" s="180">
        <v>3700000</v>
      </c>
      <c r="R97" s="181">
        <f t="shared" si="32"/>
        <v>11.783439490445859</v>
      </c>
      <c r="S97" s="181">
        <v>100</v>
      </c>
      <c r="T97" s="180">
        <f t="shared" si="23"/>
        <v>27.027027027027028</v>
      </c>
      <c r="U97" s="180">
        <f t="shared" si="33"/>
        <v>3.1847133757961785</v>
      </c>
      <c r="V97" s="182">
        <f t="shared" si="25"/>
        <v>72.972972972972968</v>
      </c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>
        <v>1000000</v>
      </c>
      <c r="AJ97" s="181">
        <f t="shared" si="27"/>
        <v>27.027027027027028</v>
      </c>
      <c r="AK97" s="180">
        <f t="shared" si="30"/>
        <v>2700000</v>
      </c>
      <c r="AL97" s="181">
        <f t="shared" si="28"/>
        <v>72.972972972972968</v>
      </c>
      <c r="AM97" s="243"/>
    </row>
    <row r="98" spans="1:39" ht="26.25" customHeight="1" x14ac:dyDescent="0.25">
      <c r="A98" s="243"/>
      <c r="B98" s="381"/>
      <c r="C98" s="381"/>
      <c r="D98" s="381"/>
      <c r="E98" s="381"/>
      <c r="F98" s="381"/>
      <c r="G98" s="381"/>
      <c r="H98" s="381"/>
      <c r="I98" s="382"/>
      <c r="J98" s="381" t="s">
        <v>315</v>
      </c>
      <c r="K98" s="245"/>
      <c r="L98" s="257"/>
      <c r="M98" s="597" t="s">
        <v>271</v>
      </c>
      <c r="N98" s="598"/>
      <c r="O98" s="299"/>
      <c r="P98" s="180"/>
      <c r="Q98" s="180">
        <v>2000000</v>
      </c>
      <c r="R98" s="181">
        <f t="shared" si="32"/>
        <v>6.369426751592357</v>
      </c>
      <c r="S98" s="181">
        <v>100</v>
      </c>
      <c r="T98" s="180">
        <f t="shared" si="23"/>
        <v>20</v>
      </c>
      <c r="U98" s="180">
        <f t="shared" si="33"/>
        <v>1.2738853503184715</v>
      </c>
      <c r="V98" s="182">
        <f t="shared" si="25"/>
        <v>80</v>
      </c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>
        <v>400000</v>
      </c>
      <c r="AJ98" s="181">
        <f t="shared" si="27"/>
        <v>20</v>
      </c>
      <c r="AK98" s="180">
        <f t="shared" si="30"/>
        <v>1600000</v>
      </c>
      <c r="AL98" s="181">
        <f t="shared" si="28"/>
        <v>80</v>
      </c>
      <c r="AM98" s="243"/>
    </row>
    <row r="99" spans="1:39" ht="26.25" customHeight="1" x14ac:dyDescent="0.25">
      <c r="A99" s="243"/>
      <c r="B99" s="381"/>
      <c r="C99" s="381"/>
      <c r="D99" s="381"/>
      <c r="E99" s="381"/>
      <c r="F99" s="381"/>
      <c r="G99" s="381"/>
      <c r="H99" s="381"/>
      <c r="I99" s="382"/>
      <c r="J99" s="381" t="s">
        <v>278</v>
      </c>
      <c r="K99" s="245"/>
      <c r="L99" s="257"/>
      <c r="M99" s="597" t="s">
        <v>279</v>
      </c>
      <c r="N99" s="598"/>
      <c r="O99" s="299"/>
      <c r="P99" s="180"/>
      <c r="Q99" s="180">
        <v>2160000</v>
      </c>
      <c r="R99" s="181">
        <f t="shared" si="32"/>
        <v>6.8789808917197455</v>
      </c>
      <c r="S99" s="181">
        <v>100</v>
      </c>
      <c r="T99" s="180">
        <f t="shared" si="23"/>
        <v>25</v>
      </c>
      <c r="U99" s="180">
        <f t="shared" si="33"/>
        <v>1.7197452229299364</v>
      </c>
      <c r="V99" s="182">
        <f t="shared" si="25"/>
        <v>75</v>
      </c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>
        <v>540000</v>
      </c>
      <c r="AJ99" s="181">
        <f t="shared" si="27"/>
        <v>25</v>
      </c>
      <c r="AK99" s="180">
        <f t="shared" si="30"/>
        <v>1620000</v>
      </c>
      <c r="AL99" s="181">
        <f t="shared" si="28"/>
        <v>75</v>
      </c>
      <c r="AM99" s="243"/>
    </row>
    <row r="100" spans="1:39" ht="26.25" customHeight="1" x14ac:dyDescent="0.25">
      <c r="A100" s="243"/>
      <c r="B100" s="381"/>
      <c r="C100" s="381"/>
      <c r="D100" s="381"/>
      <c r="E100" s="381"/>
      <c r="F100" s="381"/>
      <c r="G100" s="381"/>
      <c r="H100" s="381"/>
      <c r="I100" s="382"/>
      <c r="J100" s="381" t="s">
        <v>284</v>
      </c>
      <c r="K100" s="245"/>
      <c r="L100" s="257"/>
      <c r="M100" s="597" t="s">
        <v>285</v>
      </c>
      <c r="N100" s="598"/>
      <c r="O100" s="299"/>
      <c r="P100" s="180"/>
      <c r="Q100" s="180">
        <v>15000000</v>
      </c>
      <c r="R100" s="181">
        <f t="shared" si="32"/>
        <v>47.770700636942678</v>
      </c>
      <c r="S100" s="181">
        <v>100</v>
      </c>
      <c r="T100" s="180">
        <f t="shared" si="23"/>
        <v>0</v>
      </c>
      <c r="U100" s="180">
        <f t="shared" si="33"/>
        <v>0</v>
      </c>
      <c r="V100" s="182">
        <f t="shared" si="25"/>
        <v>100</v>
      </c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>
        <v>0</v>
      </c>
      <c r="AJ100" s="181">
        <f t="shared" si="27"/>
        <v>0</v>
      </c>
      <c r="AK100" s="180">
        <f t="shared" si="30"/>
        <v>15000000</v>
      </c>
      <c r="AL100" s="181">
        <f t="shared" si="28"/>
        <v>100</v>
      </c>
      <c r="AM100" s="243"/>
    </row>
    <row r="101" spans="1:39" ht="26.25" customHeight="1" x14ac:dyDescent="0.25">
      <c r="A101" s="243"/>
      <c r="B101" s="381"/>
      <c r="C101" s="381"/>
      <c r="D101" s="381"/>
      <c r="E101" s="381"/>
      <c r="F101" s="381"/>
      <c r="G101" s="381"/>
      <c r="H101" s="381"/>
      <c r="I101" s="382"/>
      <c r="J101" s="381" t="s">
        <v>282</v>
      </c>
      <c r="K101" s="245"/>
      <c r="L101" s="257"/>
      <c r="M101" s="597" t="s">
        <v>503</v>
      </c>
      <c r="N101" s="598"/>
      <c r="O101" s="299"/>
      <c r="P101" s="180"/>
      <c r="Q101" s="180">
        <v>10000000</v>
      </c>
      <c r="R101" s="181">
        <f t="shared" si="32"/>
        <v>31.847133757961782</v>
      </c>
      <c r="S101" s="181">
        <v>100</v>
      </c>
      <c r="T101" s="180">
        <f t="shared" si="23"/>
        <v>0</v>
      </c>
      <c r="U101" s="180">
        <f t="shared" si="33"/>
        <v>0</v>
      </c>
      <c r="V101" s="182">
        <f t="shared" si="25"/>
        <v>100</v>
      </c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>
        <v>0</v>
      </c>
      <c r="AJ101" s="181">
        <f t="shared" si="27"/>
        <v>0</v>
      </c>
      <c r="AK101" s="180">
        <f t="shared" si="30"/>
        <v>10000000</v>
      </c>
      <c r="AL101" s="181">
        <f t="shared" si="28"/>
        <v>100</v>
      </c>
      <c r="AM101" s="243"/>
    </row>
    <row r="102" spans="1:39" ht="26.25" customHeight="1" x14ac:dyDescent="0.25">
      <c r="A102" s="243"/>
      <c r="B102" s="381"/>
      <c r="C102" s="381"/>
      <c r="D102" s="381"/>
      <c r="E102" s="381"/>
      <c r="F102" s="381"/>
      <c r="G102" s="381"/>
      <c r="H102" s="381"/>
      <c r="I102" s="382"/>
      <c r="J102" s="381" t="s">
        <v>304</v>
      </c>
      <c r="K102" s="245"/>
      <c r="L102" s="257"/>
      <c r="M102" s="597" t="s">
        <v>549</v>
      </c>
      <c r="N102" s="598"/>
      <c r="O102" s="299"/>
      <c r="P102" s="180"/>
      <c r="Q102" s="180">
        <v>6000000</v>
      </c>
      <c r="R102" s="181">
        <f t="shared" si="32"/>
        <v>19.108280254777071</v>
      </c>
      <c r="S102" s="181">
        <v>100</v>
      </c>
      <c r="T102" s="180">
        <f t="shared" si="23"/>
        <v>0</v>
      </c>
      <c r="U102" s="180">
        <f t="shared" si="33"/>
        <v>0</v>
      </c>
      <c r="V102" s="182">
        <f t="shared" si="25"/>
        <v>100</v>
      </c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>
        <v>0</v>
      </c>
      <c r="AJ102" s="181">
        <f t="shared" si="27"/>
        <v>0</v>
      </c>
      <c r="AK102" s="180">
        <f t="shared" si="30"/>
        <v>6000000</v>
      </c>
      <c r="AL102" s="181">
        <f t="shared" si="28"/>
        <v>100</v>
      </c>
      <c r="AM102" s="243"/>
    </row>
    <row r="103" spans="1:39" ht="26.25" customHeight="1" x14ac:dyDescent="0.25">
      <c r="A103" s="243"/>
      <c r="B103" s="381"/>
      <c r="C103" s="381"/>
      <c r="D103" s="381"/>
      <c r="E103" s="381"/>
      <c r="F103" s="381"/>
      <c r="G103" s="381"/>
      <c r="H103" s="381"/>
      <c r="I103" s="382"/>
      <c r="J103" s="381" t="s">
        <v>551</v>
      </c>
      <c r="K103" s="245"/>
      <c r="L103" s="257"/>
      <c r="M103" s="597" t="s">
        <v>550</v>
      </c>
      <c r="N103" s="598"/>
      <c r="O103" s="299"/>
      <c r="P103" s="180"/>
      <c r="Q103" s="180">
        <v>10800000</v>
      </c>
      <c r="R103" s="181">
        <f t="shared" si="32"/>
        <v>34.394904458598724</v>
      </c>
      <c r="S103" s="181">
        <v>100</v>
      </c>
      <c r="T103" s="180">
        <f t="shared" si="23"/>
        <v>25</v>
      </c>
      <c r="U103" s="180">
        <f t="shared" si="33"/>
        <v>8.598726114649681</v>
      </c>
      <c r="V103" s="182">
        <f t="shared" si="25"/>
        <v>75</v>
      </c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>
        <f>1800000+900000</f>
        <v>2700000</v>
      </c>
      <c r="AJ103" s="181">
        <f t="shared" si="27"/>
        <v>25</v>
      </c>
      <c r="AK103" s="180">
        <f t="shared" si="30"/>
        <v>8100000</v>
      </c>
      <c r="AL103" s="181">
        <f t="shared" si="28"/>
        <v>75</v>
      </c>
      <c r="AM103" s="243"/>
    </row>
    <row r="104" spans="1:39" ht="26.25" customHeight="1" x14ac:dyDescent="0.25">
      <c r="A104" s="243"/>
      <c r="B104" s="381"/>
      <c r="C104" s="381"/>
      <c r="D104" s="381"/>
      <c r="E104" s="381"/>
      <c r="F104" s="381"/>
      <c r="G104" s="381"/>
      <c r="H104" s="381"/>
      <c r="I104" s="382"/>
      <c r="J104" s="381" t="s">
        <v>553</v>
      </c>
      <c r="K104" s="245"/>
      <c r="L104" s="257"/>
      <c r="M104" s="597" t="s">
        <v>552</v>
      </c>
      <c r="N104" s="598"/>
      <c r="O104" s="299"/>
      <c r="P104" s="180"/>
      <c r="Q104" s="180">
        <v>1500000</v>
      </c>
      <c r="R104" s="181">
        <f t="shared" si="32"/>
        <v>4.7770700636942678</v>
      </c>
      <c r="S104" s="181">
        <v>100</v>
      </c>
      <c r="T104" s="180">
        <f t="shared" si="23"/>
        <v>0</v>
      </c>
      <c r="U104" s="180">
        <f t="shared" si="33"/>
        <v>0</v>
      </c>
      <c r="V104" s="182">
        <f t="shared" si="25"/>
        <v>100</v>
      </c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>
        <v>0</v>
      </c>
      <c r="AJ104" s="181">
        <f t="shared" si="27"/>
        <v>0</v>
      </c>
      <c r="AK104" s="180">
        <f t="shared" si="30"/>
        <v>1500000</v>
      </c>
      <c r="AL104" s="181">
        <f t="shared" si="28"/>
        <v>100</v>
      </c>
      <c r="AM104" s="243"/>
    </row>
    <row r="105" spans="1:39" ht="26.25" customHeight="1" x14ac:dyDescent="0.25">
      <c r="A105" s="243"/>
      <c r="B105" s="381"/>
      <c r="C105" s="381"/>
      <c r="D105" s="381"/>
      <c r="E105" s="381"/>
      <c r="F105" s="381"/>
      <c r="G105" s="381"/>
      <c r="H105" s="381"/>
      <c r="I105" s="382"/>
      <c r="J105" s="381" t="s">
        <v>554</v>
      </c>
      <c r="K105" s="245"/>
      <c r="L105" s="257"/>
      <c r="M105" s="597" t="s">
        <v>431</v>
      </c>
      <c r="N105" s="598"/>
      <c r="O105" s="299"/>
      <c r="P105" s="180"/>
      <c r="Q105" s="180">
        <v>2000000</v>
      </c>
      <c r="R105" s="181">
        <f t="shared" si="32"/>
        <v>6.369426751592357</v>
      </c>
      <c r="S105" s="181">
        <v>100</v>
      </c>
      <c r="T105" s="180">
        <f t="shared" si="23"/>
        <v>0</v>
      </c>
      <c r="U105" s="180">
        <f t="shared" si="33"/>
        <v>0</v>
      </c>
      <c r="V105" s="182">
        <f t="shared" si="25"/>
        <v>100</v>
      </c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>
        <v>0</v>
      </c>
      <c r="AJ105" s="181">
        <f t="shared" si="27"/>
        <v>0</v>
      </c>
      <c r="AK105" s="180">
        <f t="shared" si="30"/>
        <v>2000000</v>
      </c>
      <c r="AL105" s="181">
        <f t="shared" si="28"/>
        <v>100</v>
      </c>
      <c r="AM105" s="243"/>
    </row>
    <row r="106" spans="1:39" ht="26.25" customHeight="1" x14ac:dyDescent="0.25">
      <c r="A106" s="243"/>
      <c r="B106" s="381"/>
      <c r="C106" s="381"/>
      <c r="D106" s="381"/>
      <c r="E106" s="381"/>
      <c r="F106" s="381"/>
      <c r="G106" s="381"/>
      <c r="H106" s="381"/>
      <c r="I106" s="382"/>
      <c r="J106" s="381" t="s">
        <v>274</v>
      </c>
      <c r="K106" s="245"/>
      <c r="L106" s="257"/>
      <c r="M106" s="597" t="s">
        <v>555</v>
      </c>
      <c r="N106" s="598"/>
      <c r="O106" s="299"/>
      <c r="P106" s="180"/>
      <c r="Q106" s="180">
        <v>2500000</v>
      </c>
      <c r="R106" s="181">
        <f t="shared" si="32"/>
        <v>7.9617834394904454</v>
      </c>
      <c r="S106" s="181">
        <v>100</v>
      </c>
      <c r="T106" s="180">
        <f t="shared" si="23"/>
        <v>0</v>
      </c>
      <c r="U106" s="180">
        <f t="shared" si="33"/>
        <v>0</v>
      </c>
      <c r="V106" s="182">
        <f t="shared" si="25"/>
        <v>100</v>
      </c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>
        <v>0</v>
      </c>
      <c r="AJ106" s="181">
        <f t="shared" si="27"/>
        <v>0</v>
      </c>
      <c r="AK106" s="180">
        <f t="shared" si="30"/>
        <v>2500000</v>
      </c>
      <c r="AL106" s="181">
        <f t="shared" si="28"/>
        <v>100</v>
      </c>
      <c r="AM106" s="243"/>
    </row>
    <row r="107" spans="1:39" ht="26.25" customHeight="1" x14ac:dyDescent="0.25">
      <c r="A107" s="227">
        <f>A93+1</f>
        <v>14</v>
      </c>
      <c r="B107" s="615" t="s">
        <v>124</v>
      </c>
      <c r="C107" s="615"/>
      <c r="D107" s="615"/>
      <c r="E107" s="615"/>
      <c r="F107" s="615"/>
      <c r="G107" s="615"/>
      <c r="H107" s="615"/>
      <c r="I107" s="614"/>
      <c r="J107" s="393" t="s">
        <v>547</v>
      </c>
      <c r="K107" s="230"/>
      <c r="L107" s="294"/>
      <c r="M107" s="615" t="s">
        <v>556</v>
      </c>
      <c r="N107" s="614"/>
      <c r="O107" s="295">
        <v>17600000</v>
      </c>
      <c r="P107" s="231">
        <f>O107</f>
        <v>17600000</v>
      </c>
      <c r="Q107" s="231">
        <f>SUM(Q108:Q120)</f>
        <v>76640000</v>
      </c>
      <c r="R107" s="233">
        <f>Q107/Q$56*100</f>
        <v>3.0341495303253714</v>
      </c>
      <c r="S107" s="233">
        <v>100</v>
      </c>
      <c r="T107" s="231">
        <f t="shared" si="23"/>
        <v>13.755871607515658</v>
      </c>
      <c r="U107" s="231">
        <f t="shared" si="33"/>
        <v>0.41737371377159749</v>
      </c>
      <c r="V107" s="296">
        <f t="shared" si="25"/>
        <v>86.244128392484342</v>
      </c>
      <c r="W107" s="231"/>
      <c r="X107" s="231" t="e">
        <f>#REF!</f>
        <v>#REF!</v>
      </c>
      <c r="Y107" s="231" t="e">
        <f>#REF!</f>
        <v>#REF!</v>
      </c>
      <c r="Z107" s="231" t="e">
        <f>#REF!</f>
        <v>#REF!</v>
      </c>
      <c r="AA107" s="231" t="e">
        <f>#REF!</f>
        <v>#REF!</v>
      </c>
      <c r="AB107" s="231">
        <v>13150000</v>
      </c>
      <c r="AC107" s="231" t="e">
        <f>#REF!</f>
        <v>#REF!</v>
      </c>
      <c r="AD107" s="231" t="e">
        <f>#REF!</f>
        <v>#REF!</v>
      </c>
      <c r="AE107" s="231" t="e">
        <f>#REF!</f>
        <v>#REF!</v>
      </c>
      <c r="AF107" s="231" t="e">
        <f>[1]April!N47</f>
        <v>#REF!</v>
      </c>
      <c r="AG107" s="231" t="e">
        <f>[2]april!N47</f>
        <v>#REF!</v>
      </c>
      <c r="AH107" s="231" t="e">
        <f>'[3]DES SKPD'!$N47</f>
        <v>#REF!</v>
      </c>
      <c r="AI107" s="231">
        <f>SUM(AI108:AI120)</f>
        <v>10542500</v>
      </c>
      <c r="AJ107" s="233">
        <f t="shared" si="27"/>
        <v>13.755871607515658</v>
      </c>
      <c r="AK107" s="231">
        <f t="shared" si="30"/>
        <v>66097500</v>
      </c>
      <c r="AL107" s="233">
        <f t="shared" si="28"/>
        <v>86.244128392484342</v>
      </c>
      <c r="AM107" s="243"/>
    </row>
    <row r="108" spans="1:39" ht="26.25" customHeight="1" x14ac:dyDescent="0.25">
      <c r="A108" s="243"/>
      <c r="B108" s="381"/>
      <c r="C108" s="381"/>
      <c r="D108" s="381"/>
      <c r="E108" s="381"/>
      <c r="F108" s="381"/>
      <c r="G108" s="381"/>
      <c r="H108" s="381"/>
      <c r="I108" s="382"/>
      <c r="J108" s="381" t="s">
        <v>265</v>
      </c>
      <c r="K108" s="245"/>
      <c r="L108" s="257"/>
      <c r="M108" s="597" t="s">
        <v>266</v>
      </c>
      <c r="N108" s="598"/>
      <c r="O108" s="299"/>
      <c r="P108" s="180"/>
      <c r="Q108" s="180">
        <v>6530000</v>
      </c>
      <c r="R108" s="181">
        <f t="shared" ref="R108:R120" si="34">Q108/Q$91*100</f>
        <v>20.796178343949045</v>
      </c>
      <c r="S108" s="181">
        <v>100</v>
      </c>
      <c r="T108" s="180">
        <f t="shared" si="23"/>
        <v>24.502297090352222</v>
      </c>
      <c r="U108" s="180">
        <f>R108*T108/100</f>
        <v>5.095541401273886</v>
      </c>
      <c r="V108" s="182">
        <f t="shared" si="25"/>
        <v>75.497702909647785</v>
      </c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>
        <v>1600000</v>
      </c>
      <c r="AJ108" s="181">
        <f t="shared" si="27"/>
        <v>24.502297090352222</v>
      </c>
      <c r="AK108" s="180">
        <f t="shared" si="30"/>
        <v>4930000</v>
      </c>
      <c r="AL108" s="181">
        <f t="shared" si="28"/>
        <v>75.497702909647785</v>
      </c>
      <c r="AM108" s="243"/>
    </row>
    <row r="109" spans="1:39" ht="26.25" customHeight="1" x14ac:dyDescent="0.25">
      <c r="A109" s="243"/>
      <c r="B109" s="381"/>
      <c r="C109" s="381"/>
      <c r="D109" s="381"/>
      <c r="E109" s="381"/>
      <c r="F109" s="381"/>
      <c r="G109" s="381"/>
      <c r="H109" s="381"/>
      <c r="I109" s="382"/>
      <c r="J109" s="381" t="s">
        <v>272</v>
      </c>
      <c r="K109" s="245"/>
      <c r="L109" s="257"/>
      <c r="M109" s="597" t="s">
        <v>429</v>
      </c>
      <c r="N109" s="598"/>
      <c r="O109" s="299"/>
      <c r="P109" s="180"/>
      <c r="Q109" s="180">
        <v>2000000</v>
      </c>
      <c r="R109" s="181">
        <f t="shared" si="34"/>
        <v>6.369426751592357</v>
      </c>
      <c r="S109" s="181">
        <v>100</v>
      </c>
      <c r="T109" s="180">
        <f t="shared" si="23"/>
        <v>25</v>
      </c>
      <c r="U109" s="180">
        <f t="shared" ref="U109:U120" si="35">R109*T109/100</f>
        <v>1.5923566878980893</v>
      </c>
      <c r="V109" s="182">
        <f t="shared" si="25"/>
        <v>75</v>
      </c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>
        <v>500000</v>
      </c>
      <c r="AJ109" s="181">
        <f t="shared" si="27"/>
        <v>25</v>
      </c>
      <c r="AK109" s="180">
        <f t="shared" si="30"/>
        <v>1500000</v>
      </c>
      <c r="AL109" s="181">
        <f t="shared" si="28"/>
        <v>75</v>
      </c>
      <c r="AM109" s="243"/>
    </row>
    <row r="110" spans="1:39" ht="26.25" customHeight="1" x14ac:dyDescent="0.25">
      <c r="A110" s="243"/>
      <c r="B110" s="381"/>
      <c r="C110" s="381"/>
      <c r="D110" s="381"/>
      <c r="E110" s="381"/>
      <c r="F110" s="381"/>
      <c r="G110" s="381"/>
      <c r="H110" s="381"/>
      <c r="I110" s="382"/>
      <c r="J110" s="381" t="s">
        <v>249</v>
      </c>
      <c r="K110" s="245"/>
      <c r="L110" s="257"/>
      <c r="M110" s="597" t="s">
        <v>250</v>
      </c>
      <c r="N110" s="598"/>
      <c r="O110" s="299"/>
      <c r="P110" s="180"/>
      <c r="Q110" s="180">
        <v>240000</v>
      </c>
      <c r="R110" s="181">
        <f t="shared" si="34"/>
        <v>0.76433121019108285</v>
      </c>
      <c r="S110" s="181">
        <v>100</v>
      </c>
      <c r="T110" s="180">
        <f t="shared" si="23"/>
        <v>25</v>
      </c>
      <c r="U110" s="180">
        <f t="shared" si="35"/>
        <v>0.19108280254777071</v>
      </c>
      <c r="V110" s="182">
        <f t="shared" si="25"/>
        <v>75</v>
      </c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>
        <v>60000</v>
      </c>
      <c r="AJ110" s="181">
        <f t="shared" si="27"/>
        <v>25</v>
      </c>
      <c r="AK110" s="180">
        <f t="shared" si="30"/>
        <v>180000</v>
      </c>
      <c r="AL110" s="181">
        <f t="shared" si="28"/>
        <v>75</v>
      </c>
      <c r="AM110" s="243"/>
    </row>
    <row r="111" spans="1:39" ht="26.25" customHeight="1" x14ac:dyDescent="0.25">
      <c r="A111" s="243"/>
      <c r="B111" s="381"/>
      <c r="C111" s="381"/>
      <c r="D111" s="381"/>
      <c r="E111" s="381"/>
      <c r="F111" s="381"/>
      <c r="G111" s="381"/>
      <c r="H111" s="381"/>
      <c r="I111" s="382"/>
      <c r="J111" s="381" t="s">
        <v>261</v>
      </c>
      <c r="K111" s="245"/>
      <c r="L111" s="257"/>
      <c r="M111" s="597" t="s">
        <v>262</v>
      </c>
      <c r="N111" s="598"/>
      <c r="O111" s="299"/>
      <c r="P111" s="180"/>
      <c r="Q111" s="180">
        <v>3300000</v>
      </c>
      <c r="R111" s="181">
        <f t="shared" si="34"/>
        <v>10.509554140127388</v>
      </c>
      <c r="S111" s="181">
        <v>100</v>
      </c>
      <c r="T111" s="180">
        <f t="shared" si="23"/>
        <v>24.242424242424242</v>
      </c>
      <c r="U111" s="180">
        <f t="shared" si="35"/>
        <v>2.5477707006369426</v>
      </c>
      <c r="V111" s="182">
        <f t="shared" si="25"/>
        <v>75.757575757575751</v>
      </c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>
        <v>800000</v>
      </c>
      <c r="AJ111" s="181">
        <f t="shared" si="27"/>
        <v>24.242424242424242</v>
      </c>
      <c r="AK111" s="180">
        <f t="shared" si="30"/>
        <v>2500000</v>
      </c>
      <c r="AL111" s="181">
        <f t="shared" si="28"/>
        <v>75.757575757575751</v>
      </c>
      <c r="AM111" s="243"/>
    </row>
    <row r="112" spans="1:39" ht="26.25" customHeight="1" x14ac:dyDescent="0.25">
      <c r="A112" s="243"/>
      <c r="B112" s="381"/>
      <c r="C112" s="381"/>
      <c r="D112" s="381"/>
      <c r="E112" s="381"/>
      <c r="F112" s="381"/>
      <c r="G112" s="381"/>
      <c r="H112" s="381"/>
      <c r="I112" s="382"/>
      <c r="J112" s="381" t="s">
        <v>409</v>
      </c>
      <c r="K112" s="245"/>
      <c r="L112" s="257"/>
      <c r="M112" s="597" t="s">
        <v>410</v>
      </c>
      <c r="N112" s="598"/>
      <c r="O112" s="299"/>
      <c r="P112" s="180"/>
      <c r="Q112" s="180">
        <v>12000000</v>
      </c>
      <c r="R112" s="181">
        <f t="shared" si="34"/>
        <v>38.216560509554142</v>
      </c>
      <c r="S112" s="181">
        <v>101</v>
      </c>
      <c r="T112" s="180">
        <f t="shared" si="23"/>
        <v>8.1875</v>
      </c>
      <c r="U112" s="180">
        <f t="shared" si="35"/>
        <v>3.1289808917197455</v>
      </c>
      <c r="V112" s="182">
        <f t="shared" si="25"/>
        <v>92.8125</v>
      </c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>
        <v>982500</v>
      </c>
      <c r="AJ112" s="181">
        <f t="shared" si="27"/>
        <v>8.1875</v>
      </c>
      <c r="AK112" s="180">
        <f t="shared" si="30"/>
        <v>11017500</v>
      </c>
      <c r="AL112" s="181">
        <f t="shared" si="28"/>
        <v>91.8125</v>
      </c>
      <c r="AM112" s="243"/>
    </row>
    <row r="113" spans="1:39" ht="26.25" customHeight="1" x14ac:dyDescent="0.25">
      <c r="A113" s="243"/>
      <c r="B113" s="381"/>
      <c r="C113" s="381"/>
      <c r="D113" s="381"/>
      <c r="E113" s="381"/>
      <c r="F113" s="381"/>
      <c r="G113" s="381"/>
      <c r="H113" s="381"/>
      <c r="I113" s="382"/>
      <c r="J113" s="381" t="s">
        <v>315</v>
      </c>
      <c r="K113" s="245"/>
      <c r="L113" s="257"/>
      <c r="M113" s="597" t="s">
        <v>271</v>
      </c>
      <c r="N113" s="598"/>
      <c r="O113" s="299"/>
      <c r="P113" s="180"/>
      <c r="Q113" s="180">
        <v>2000000</v>
      </c>
      <c r="R113" s="181">
        <f t="shared" si="34"/>
        <v>6.369426751592357</v>
      </c>
      <c r="S113" s="181">
        <v>100</v>
      </c>
      <c r="T113" s="180">
        <f t="shared" si="23"/>
        <v>25</v>
      </c>
      <c r="U113" s="180">
        <f t="shared" si="35"/>
        <v>1.5923566878980893</v>
      </c>
      <c r="V113" s="182">
        <f t="shared" si="25"/>
        <v>75</v>
      </c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>
        <v>500000</v>
      </c>
      <c r="AJ113" s="181">
        <f t="shared" si="27"/>
        <v>25</v>
      </c>
      <c r="AK113" s="180">
        <f t="shared" si="30"/>
        <v>1500000</v>
      </c>
      <c r="AL113" s="181">
        <f t="shared" si="28"/>
        <v>75</v>
      </c>
      <c r="AM113" s="243"/>
    </row>
    <row r="114" spans="1:39" ht="26.25" customHeight="1" x14ac:dyDescent="0.25">
      <c r="A114" s="243"/>
      <c r="B114" s="381"/>
      <c r="C114" s="381"/>
      <c r="D114" s="381"/>
      <c r="E114" s="381"/>
      <c r="F114" s="381"/>
      <c r="G114" s="381"/>
      <c r="H114" s="381"/>
      <c r="I114" s="382"/>
      <c r="J114" s="381" t="s">
        <v>278</v>
      </c>
      <c r="K114" s="245"/>
      <c r="L114" s="257"/>
      <c r="M114" s="597" t="s">
        <v>279</v>
      </c>
      <c r="N114" s="598"/>
      <c r="O114" s="299"/>
      <c r="P114" s="180"/>
      <c r="Q114" s="180">
        <v>2160000</v>
      </c>
      <c r="R114" s="181">
        <f t="shared" si="34"/>
        <v>6.8789808917197455</v>
      </c>
      <c r="S114" s="181">
        <v>100</v>
      </c>
      <c r="T114" s="180">
        <f t="shared" si="23"/>
        <v>23.148148148148149</v>
      </c>
      <c r="U114" s="180">
        <f t="shared" si="35"/>
        <v>1.5923566878980893</v>
      </c>
      <c r="V114" s="182">
        <f t="shared" si="25"/>
        <v>76.851851851851848</v>
      </c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>
        <v>500000</v>
      </c>
      <c r="AJ114" s="181">
        <f t="shared" si="27"/>
        <v>23.148148148148149</v>
      </c>
      <c r="AK114" s="180">
        <f t="shared" si="30"/>
        <v>1660000</v>
      </c>
      <c r="AL114" s="181">
        <f t="shared" si="28"/>
        <v>76.851851851851848</v>
      </c>
      <c r="AM114" s="243"/>
    </row>
    <row r="115" spans="1:39" ht="26.25" customHeight="1" x14ac:dyDescent="0.25">
      <c r="A115" s="243"/>
      <c r="B115" s="381"/>
      <c r="C115" s="381"/>
      <c r="D115" s="381"/>
      <c r="E115" s="381"/>
      <c r="F115" s="381"/>
      <c r="G115" s="381"/>
      <c r="H115" s="381"/>
      <c r="I115" s="382"/>
      <c r="J115" s="381" t="s">
        <v>284</v>
      </c>
      <c r="K115" s="245"/>
      <c r="L115" s="257"/>
      <c r="M115" s="597" t="s">
        <v>285</v>
      </c>
      <c r="N115" s="598"/>
      <c r="O115" s="299"/>
      <c r="P115" s="180"/>
      <c r="Q115" s="180">
        <v>18900000</v>
      </c>
      <c r="R115" s="181">
        <f t="shared" si="34"/>
        <v>60.191082802547768</v>
      </c>
      <c r="S115" s="181">
        <v>100</v>
      </c>
      <c r="T115" s="180">
        <f t="shared" si="23"/>
        <v>0</v>
      </c>
      <c r="U115" s="180">
        <f t="shared" si="35"/>
        <v>0</v>
      </c>
      <c r="V115" s="182">
        <f t="shared" si="25"/>
        <v>100</v>
      </c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>
        <v>0</v>
      </c>
      <c r="AJ115" s="181">
        <f t="shared" si="27"/>
        <v>0</v>
      </c>
      <c r="AK115" s="180">
        <f t="shared" si="30"/>
        <v>18900000</v>
      </c>
      <c r="AL115" s="181">
        <f t="shared" si="28"/>
        <v>100</v>
      </c>
      <c r="AM115" s="243"/>
    </row>
    <row r="116" spans="1:39" ht="26.25" customHeight="1" x14ac:dyDescent="0.25">
      <c r="A116" s="243"/>
      <c r="B116" s="381"/>
      <c r="C116" s="381"/>
      <c r="D116" s="381"/>
      <c r="E116" s="381"/>
      <c r="F116" s="381"/>
      <c r="G116" s="381"/>
      <c r="H116" s="381"/>
      <c r="I116" s="382"/>
      <c r="J116" s="381" t="s">
        <v>282</v>
      </c>
      <c r="K116" s="245"/>
      <c r="L116" s="257"/>
      <c r="M116" s="597" t="s">
        <v>503</v>
      </c>
      <c r="N116" s="598"/>
      <c r="O116" s="299"/>
      <c r="P116" s="180"/>
      <c r="Q116" s="180">
        <v>4110000</v>
      </c>
      <c r="R116" s="181">
        <f t="shared" si="34"/>
        <v>13.089171974522293</v>
      </c>
      <c r="S116" s="181">
        <v>100</v>
      </c>
      <c r="T116" s="180">
        <f t="shared" si="23"/>
        <v>0</v>
      </c>
      <c r="U116" s="180">
        <f t="shared" si="35"/>
        <v>0</v>
      </c>
      <c r="V116" s="182">
        <f t="shared" si="25"/>
        <v>100</v>
      </c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>
        <v>0</v>
      </c>
      <c r="AJ116" s="181">
        <f t="shared" si="27"/>
        <v>0</v>
      </c>
      <c r="AK116" s="180">
        <f t="shared" si="30"/>
        <v>4110000</v>
      </c>
      <c r="AL116" s="181">
        <f t="shared" si="28"/>
        <v>100</v>
      </c>
      <c r="AM116" s="243"/>
    </row>
    <row r="117" spans="1:39" ht="26.25" customHeight="1" x14ac:dyDescent="0.25">
      <c r="A117" s="243"/>
      <c r="B117" s="381"/>
      <c r="C117" s="381"/>
      <c r="D117" s="381"/>
      <c r="E117" s="381"/>
      <c r="F117" s="381"/>
      <c r="G117" s="381"/>
      <c r="H117" s="381"/>
      <c r="I117" s="382"/>
      <c r="J117" s="381" t="s">
        <v>304</v>
      </c>
      <c r="K117" s="245"/>
      <c r="L117" s="257"/>
      <c r="M117" s="597" t="s">
        <v>549</v>
      </c>
      <c r="N117" s="598"/>
      <c r="O117" s="299"/>
      <c r="P117" s="180"/>
      <c r="Q117" s="180">
        <v>2000000</v>
      </c>
      <c r="R117" s="181">
        <f t="shared" si="34"/>
        <v>6.369426751592357</v>
      </c>
      <c r="S117" s="181">
        <v>100</v>
      </c>
      <c r="T117" s="180">
        <f t="shared" si="23"/>
        <v>25</v>
      </c>
      <c r="U117" s="180">
        <f t="shared" si="35"/>
        <v>1.5923566878980893</v>
      </c>
      <c r="V117" s="182">
        <f t="shared" si="25"/>
        <v>75</v>
      </c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>
        <v>500000</v>
      </c>
      <c r="AJ117" s="181">
        <f t="shared" si="27"/>
        <v>25</v>
      </c>
      <c r="AK117" s="180">
        <f t="shared" si="30"/>
        <v>1500000</v>
      </c>
      <c r="AL117" s="181">
        <f t="shared" si="28"/>
        <v>75</v>
      </c>
      <c r="AM117" s="243"/>
    </row>
    <row r="118" spans="1:39" ht="26.25" customHeight="1" x14ac:dyDescent="0.25">
      <c r="A118" s="243"/>
      <c r="B118" s="381"/>
      <c r="C118" s="381"/>
      <c r="D118" s="381"/>
      <c r="E118" s="381"/>
      <c r="F118" s="381"/>
      <c r="G118" s="381"/>
      <c r="H118" s="381"/>
      <c r="I118" s="382"/>
      <c r="J118" s="381" t="s">
        <v>551</v>
      </c>
      <c r="K118" s="245"/>
      <c r="L118" s="257"/>
      <c r="M118" s="597" t="s">
        <v>550</v>
      </c>
      <c r="N118" s="598"/>
      <c r="O118" s="299"/>
      <c r="P118" s="180"/>
      <c r="Q118" s="180">
        <v>20400000</v>
      </c>
      <c r="R118" s="181">
        <f t="shared" si="34"/>
        <v>64.968152866242036</v>
      </c>
      <c r="S118" s="181">
        <v>100</v>
      </c>
      <c r="T118" s="180">
        <f t="shared" si="23"/>
        <v>25</v>
      </c>
      <c r="U118" s="180">
        <f t="shared" si="35"/>
        <v>16.242038216560509</v>
      </c>
      <c r="V118" s="182">
        <f t="shared" si="25"/>
        <v>75</v>
      </c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>
        <f>3400000+1700000</f>
        <v>5100000</v>
      </c>
      <c r="AJ118" s="181">
        <f t="shared" si="27"/>
        <v>25</v>
      </c>
      <c r="AK118" s="180">
        <f t="shared" si="30"/>
        <v>15300000</v>
      </c>
      <c r="AL118" s="181">
        <f t="shared" si="28"/>
        <v>75</v>
      </c>
      <c r="AM118" s="243"/>
    </row>
    <row r="119" spans="1:39" ht="26.25" customHeight="1" x14ac:dyDescent="0.25">
      <c r="A119" s="243"/>
      <c r="B119" s="381"/>
      <c r="C119" s="381"/>
      <c r="D119" s="381"/>
      <c r="E119" s="381"/>
      <c r="F119" s="381"/>
      <c r="G119" s="381"/>
      <c r="H119" s="381"/>
      <c r="I119" s="382"/>
      <c r="J119" s="381" t="s">
        <v>554</v>
      </c>
      <c r="K119" s="245"/>
      <c r="L119" s="257"/>
      <c r="M119" s="597" t="s">
        <v>431</v>
      </c>
      <c r="N119" s="598"/>
      <c r="O119" s="299"/>
      <c r="P119" s="180"/>
      <c r="Q119" s="180">
        <v>2000000</v>
      </c>
      <c r="R119" s="181">
        <f t="shared" si="34"/>
        <v>6.369426751592357</v>
      </c>
      <c r="S119" s="181">
        <v>100</v>
      </c>
      <c r="T119" s="180">
        <f t="shared" si="23"/>
        <v>0</v>
      </c>
      <c r="U119" s="180">
        <f t="shared" si="35"/>
        <v>0</v>
      </c>
      <c r="V119" s="182">
        <f t="shared" si="25"/>
        <v>100</v>
      </c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>
        <v>0</v>
      </c>
      <c r="AJ119" s="181">
        <f t="shared" si="27"/>
        <v>0</v>
      </c>
      <c r="AK119" s="180">
        <f t="shared" si="30"/>
        <v>2000000</v>
      </c>
      <c r="AL119" s="181">
        <f t="shared" si="28"/>
        <v>100</v>
      </c>
      <c r="AM119" s="243"/>
    </row>
    <row r="120" spans="1:39" ht="26.25" customHeight="1" x14ac:dyDescent="0.25">
      <c r="A120" s="243"/>
      <c r="B120" s="381"/>
      <c r="C120" s="381"/>
      <c r="D120" s="381"/>
      <c r="E120" s="381"/>
      <c r="F120" s="381"/>
      <c r="G120" s="381"/>
      <c r="H120" s="381"/>
      <c r="I120" s="382"/>
      <c r="J120" s="381" t="s">
        <v>274</v>
      </c>
      <c r="K120" s="245"/>
      <c r="L120" s="257"/>
      <c r="M120" s="597" t="s">
        <v>555</v>
      </c>
      <c r="N120" s="598"/>
      <c r="O120" s="299"/>
      <c r="P120" s="180"/>
      <c r="Q120" s="180">
        <v>1000000</v>
      </c>
      <c r="R120" s="181">
        <f t="shared" si="34"/>
        <v>3.1847133757961785</v>
      </c>
      <c r="S120" s="181">
        <v>100</v>
      </c>
      <c r="T120" s="180">
        <f t="shared" si="23"/>
        <v>0</v>
      </c>
      <c r="U120" s="180">
        <f t="shared" si="35"/>
        <v>0</v>
      </c>
      <c r="V120" s="182">
        <f t="shared" si="25"/>
        <v>100</v>
      </c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>
        <v>0</v>
      </c>
      <c r="AJ120" s="181">
        <f t="shared" si="27"/>
        <v>0</v>
      </c>
      <c r="AK120" s="180">
        <f t="shared" si="30"/>
        <v>1000000</v>
      </c>
      <c r="AL120" s="181">
        <f t="shared" si="28"/>
        <v>100</v>
      </c>
      <c r="AM120" s="243"/>
    </row>
    <row r="121" spans="1:39" s="226" customFormat="1" ht="27" customHeight="1" x14ac:dyDescent="0.25">
      <c r="A121" s="289" t="s">
        <v>8</v>
      </c>
      <c r="B121" s="625" t="s">
        <v>125</v>
      </c>
      <c r="C121" s="625"/>
      <c r="D121" s="625"/>
      <c r="E121" s="625"/>
      <c r="F121" s="625"/>
      <c r="G121" s="625"/>
      <c r="H121" s="625"/>
      <c r="I121" s="625"/>
      <c r="J121" s="396" t="s">
        <v>440</v>
      </c>
      <c r="K121" s="291"/>
      <c r="L121" s="608" t="s">
        <v>23</v>
      </c>
      <c r="M121" s="625"/>
      <c r="N121" s="625"/>
      <c r="O121" s="263">
        <f>SUM(O124:O155)</f>
        <v>2275595000</v>
      </c>
      <c r="P121" s="263">
        <f>SUM(P124:P155)</f>
        <v>1979635000</v>
      </c>
      <c r="Q121" s="263">
        <f>SUM(Q122+Q124+Q136+Q138+Q141+Q145+Q152+Q154+Q156)</f>
        <v>3511736000</v>
      </c>
      <c r="R121" s="222">
        <f>Q121/Q$55*100</f>
        <v>17.402955822649453</v>
      </c>
      <c r="S121" s="222">
        <v>100</v>
      </c>
      <c r="T121" s="263">
        <f t="shared" si="23"/>
        <v>10.109672965165945</v>
      </c>
      <c r="U121" s="263">
        <f>SUM(R121*T121/100)</f>
        <v>1.7593819199421645</v>
      </c>
      <c r="V121" s="292">
        <f>SUM(S121-T121)</f>
        <v>89.890327034834058</v>
      </c>
      <c r="W121" s="263">
        <f t="shared" ref="W121:AH121" si="36">SUM(W124:W155)</f>
        <v>0</v>
      </c>
      <c r="X121" s="263" t="e">
        <f t="shared" si="36"/>
        <v>#REF!</v>
      </c>
      <c r="Y121" s="263" t="e">
        <f t="shared" si="36"/>
        <v>#REF!</v>
      </c>
      <c r="Z121" s="263" t="e">
        <f t="shared" si="36"/>
        <v>#REF!</v>
      </c>
      <c r="AA121" s="263" t="e">
        <f t="shared" si="36"/>
        <v>#REF!</v>
      </c>
      <c r="AB121" s="263">
        <f t="shared" si="36"/>
        <v>3331855358</v>
      </c>
      <c r="AC121" s="263" t="e">
        <f t="shared" si="36"/>
        <v>#REF!</v>
      </c>
      <c r="AD121" s="263" t="e">
        <f t="shared" si="36"/>
        <v>#REF!</v>
      </c>
      <c r="AE121" s="263" t="e">
        <f t="shared" si="36"/>
        <v>#REF!</v>
      </c>
      <c r="AF121" s="263" t="e">
        <f t="shared" si="36"/>
        <v>#REF!</v>
      </c>
      <c r="AG121" s="263" t="e">
        <f t="shared" si="36"/>
        <v>#REF!</v>
      </c>
      <c r="AH121" s="263" t="e">
        <f t="shared" si="36"/>
        <v>#REF!</v>
      </c>
      <c r="AI121" s="263">
        <f>SUM(AI122+AI124+AI136+AI138+AI141+AI145+AI152+AI154+AI156)</f>
        <v>355025025</v>
      </c>
      <c r="AJ121" s="222">
        <f t="shared" si="27"/>
        <v>10.109672965165945</v>
      </c>
      <c r="AK121" s="263">
        <f>SUM(Q121-AI121)</f>
        <v>3156710975</v>
      </c>
      <c r="AL121" s="222">
        <f t="shared" si="28"/>
        <v>89.890327034834044</v>
      </c>
      <c r="AM121" s="236"/>
    </row>
    <row r="122" spans="1:39" s="235" customFormat="1" ht="27" customHeight="1" x14ac:dyDescent="0.25">
      <c r="A122" s="227">
        <f>A107+1</f>
        <v>15</v>
      </c>
      <c r="B122" s="615" t="s">
        <v>126</v>
      </c>
      <c r="C122" s="615"/>
      <c r="D122" s="615"/>
      <c r="E122" s="615"/>
      <c r="F122" s="615"/>
      <c r="G122" s="615"/>
      <c r="H122" s="615"/>
      <c r="I122" s="614"/>
      <c r="J122" s="304" t="s">
        <v>557</v>
      </c>
      <c r="K122" s="230"/>
      <c r="L122" s="294"/>
      <c r="M122" s="615" t="s">
        <v>558</v>
      </c>
      <c r="N122" s="614"/>
      <c r="O122" s="295">
        <v>833155000</v>
      </c>
      <c r="P122" s="231">
        <f>O122</f>
        <v>833155000</v>
      </c>
      <c r="Q122" s="231">
        <f>SUM(Q123)</f>
        <v>318296000</v>
      </c>
      <c r="R122" s="233">
        <f>Q122/Q$56*100</f>
        <v>12.60122206294943</v>
      </c>
      <c r="S122" s="233">
        <v>100</v>
      </c>
      <c r="T122" s="231">
        <f t="shared" si="23"/>
        <v>19.243094478095859</v>
      </c>
      <c r="U122" s="231">
        <f t="shared" ref="U122:U137" si="37">R122*T122/100</f>
        <v>2.4248650669680187</v>
      </c>
      <c r="V122" s="296">
        <f t="shared" ref="V122:V123" si="38">S122-T122</f>
        <v>80.756905521904145</v>
      </c>
      <c r="W122" s="231"/>
      <c r="X122" s="231" t="e">
        <f>#REF!</f>
        <v>#REF!</v>
      </c>
      <c r="Y122" s="231" t="e">
        <f>#REF!</f>
        <v>#REF!</v>
      </c>
      <c r="Z122" s="231" t="e">
        <f>#REF!</f>
        <v>#REF!</v>
      </c>
      <c r="AA122" s="231" t="e">
        <f>#REF!</f>
        <v>#REF!</v>
      </c>
      <c r="AB122" s="231">
        <v>139212000</v>
      </c>
      <c r="AC122" s="231" t="e">
        <f>#REF!</f>
        <v>#REF!</v>
      </c>
      <c r="AD122" s="231" t="e">
        <f>#REF!</f>
        <v>#REF!</v>
      </c>
      <c r="AE122" s="231" t="e">
        <f>#REF!</f>
        <v>#REF!</v>
      </c>
      <c r="AF122" s="231" t="e">
        <f>[1]April!N30</f>
        <v>#REF!</v>
      </c>
      <c r="AG122" s="231" t="e">
        <f>[2]april!N30</f>
        <v>#REF!</v>
      </c>
      <c r="AH122" s="231">
        <f>'[3]DES SKPD'!$N30</f>
        <v>660543350</v>
      </c>
      <c r="AI122" s="231">
        <f>SUM(AI123)</f>
        <v>61250000</v>
      </c>
      <c r="AJ122" s="233">
        <f t="shared" si="27"/>
        <v>19.243094478095859</v>
      </c>
      <c r="AK122" s="231">
        <f t="shared" ref="AK122:AK157" si="39">Q122-AI122</f>
        <v>257046000</v>
      </c>
      <c r="AL122" s="233">
        <f t="shared" si="28"/>
        <v>80.756905521904145</v>
      </c>
      <c r="AM122" s="227"/>
    </row>
    <row r="123" spans="1:39" s="235" customFormat="1" ht="27" customHeight="1" x14ac:dyDescent="0.25">
      <c r="A123" s="243"/>
      <c r="B123" s="381"/>
      <c r="C123" s="381"/>
      <c r="D123" s="381"/>
      <c r="E123" s="381"/>
      <c r="F123" s="381"/>
      <c r="G123" s="381"/>
      <c r="H123" s="381"/>
      <c r="I123" s="382"/>
      <c r="J123" s="381" t="s">
        <v>434</v>
      </c>
      <c r="K123" s="245"/>
      <c r="L123" s="257"/>
      <c r="M123" s="597" t="s">
        <v>559</v>
      </c>
      <c r="N123" s="598"/>
      <c r="O123" s="299"/>
      <c r="P123" s="180"/>
      <c r="Q123" s="180">
        <v>318296000</v>
      </c>
      <c r="R123" s="181">
        <f t="shared" ref="R123" si="40">Q123/Q$91*100</f>
        <v>1013.6815286624204</v>
      </c>
      <c r="S123" s="181">
        <v>100</v>
      </c>
      <c r="T123" s="180">
        <f t="shared" si="23"/>
        <v>19.243094478095859</v>
      </c>
      <c r="U123" s="180">
        <f t="shared" si="37"/>
        <v>195.06369426751593</v>
      </c>
      <c r="V123" s="182">
        <f t="shared" si="38"/>
        <v>80.756905521904145</v>
      </c>
      <c r="W123" s="180"/>
      <c r="X123" s="180" t="e">
        <f>#REF!</f>
        <v>#REF!</v>
      </c>
      <c r="Y123" s="180" t="e">
        <f>#REF!</f>
        <v>#REF!</v>
      </c>
      <c r="Z123" s="180" t="e">
        <f>#REF!</f>
        <v>#REF!</v>
      </c>
      <c r="AA123" s="180" t="e">
        <f>#REF!</f>
        <v>#REF!</v>
      </c>
      <c r="AB123" s="180">
        <v>139212001</v>
      </c>
      <c r="AC123" s="180" t="e">
        <f>#REF!</f>
        <v>#REF!</v>
      </c>
      <c r="AD123" s="180" t="e">
        <f>#REF!</f>
        <v>#REF!</v>
      </c>
      <c r="AE123" s="180" t="e">
        <f>#REF!</f>
        <v>#REF!</v>
      </c>
      <c r="AF123" s="180" t="e">
        <f>[1]April!N32</f>
        <v>#REF!</v>
      </c>
      <c r="AG123" s="180" t="e">
        <f>[2]april!N32</f>
        <v>#REF!</v>
      </c>
      <c r="AH123" s="180" t="e">
        <f>'[3]DES SKPD'!$N32</f>
        <v>#REF!</v>
      </c>
      <c r="AI123" s="180">
        <v>61250000</v>
      </c>
      <c r="AJ123" s="181">
        <f t="shared" si="27"/>
        <v>19.243094478095859</v>
      </c>
      <c r="AK123" s="180">
        <f t="shared" si="39"/>
        <v>257046000</v>
      </c>
      <c r="AL123" s="181">
        <f t="shared" si="28"/>
        <v>80.756905521904145</v>
      </c>
      <c r="AM123" s="227"/>
    </row>
    <row r="124" spans="1:39" s="297" customFormat="1" ht="33" customHeight="1" x14ac:dyDescent="0.25">
      <c r="A124" s="227">
        <f>A122+1</f>
        <v>16</v>
      </c>
      <c r="B124" s="615" t="s">
        <v>126</v>
      </c>
      <c r="C124" s="615"/>
      <c r="D124" s="615"/>
      <c r="E124" s="615"/>
      <c r="F124" s="615"/>
      <c r="G124" s="615"/>
      <c r="H124" s="615"/>
      <c r="I124" s="614"/>
      <c r="J124" s="304" t="s">
        <v>455</v>
      </c>
      <c r="K124" s="230"/>
      <c r="L124" s="294"/>
      <c r="M124" s="615" t="s">
        <v>24</v>
      </c>
      <c r="N124" s="614"/>
      <c r="O124" s="295">
        <v>833155000</v>
      </c>
      <c r="P124" s="231">
        <f>O124</f>
        <v>833155000</v>
      </c>
      <c r="Q124" s="231">
        <f>SUM(Q125:Q135)</f>
        <v>1068800000</v>
      </c>
      <c r="R124" s="233">
        <f>Q124/Q$56*100</f>
        <v>42.313400548170108</v>
      </c>
      <c r="S124" s="233">
        <v>100</v>
      </c>
      <c r="T124" s="231">
        <f t="shared" si="23"/>
        <v>0</v>
      </c>
      <c r="U124" s="231">
        <f t="shared" si="37"/>
        <v>0</v>
      </c>
      <c r="V124" s="296">
        <f t="shared" si="25"/>
        <v>100</v>
      </c>
      <c r="W124" s="231"/>
      <c r="X124" s="231" t="e">
        <f>#REF!</f>
        <v>#REF!</v>
      </c>
      <c r="Y124" s="231" t="e">
        <f>#REF!</f>
        <v>#REF!</v>
      </c>
      <c r="Z124" s="231" t="e">
        <f>#REF!</f>
        <v>#REF!</v>
      </c>
      <c r="AA124" s="231" t="e">
        <f>#REF!</f>
        <v>#REF!</v>
      </c>
      <c r="AB124" s="231">
        <v>139212000</v>
      </c>
      <c r="AC124" s="231" t="e">
        <f>#REF!</f>
        <v>#REF!</v>
      </c>
      <c r="AD124" s="231" t="e">
        <f>#REF!</f>
        <v>#REF!</v>
      </c>
      <c r="AE124" s="231" t="e">
        <f>#REF!</f>
        <v>#REF!</v>
      </c>
      <c r="AF124" s="231" t="e">
        <f>[1]April!N35</f>
        <v>#REF!</v>
      </c>
      <c r="AG124" s="231" t="e">
        <f>[2]april!N35</f>
        <v>#REF!</v>
      </c>
      <c r="AH124" s="231">
        <f>'[3]DES SKPD'!$N35</f>
        <v>979532000</v>
      </c>
      <c r="AI124" s="231">
        <f>SUM(AI125:AI135)</f>
        <v>0</v>
      </c>
      <c r="AJ124" s="233">
        <f t="shared" si="27"/>
        <v>0</v>
      </c>
      <c r="AK124" s="231">
        <f t="shared" si="39"/>
        <v>1068800000</v>
      </c>
      <c r="AL124" s="233">
        <f t="shared" si="28"/>
        <v>100</v>
      </c>
      <c r="AM124" s="227"/>
    </row>
    <row r="125" spans="1:39" ht="24.75" customHeight="1" x14ac:dyDescent="0.25">
      <c r="A125" s="243"/>
      <c r="B125" s="381"/>
      <c r="C125" s="381"/>
      <c r="D125" s="381"/>
      <c r="E125" s="381"/>
      <c r="F125" s="381"/>
      <c r="G125" s="381"/>
      <c r="H125" s="381"/>
      <c r="I125" s="382"/>
      <c r="J125" s="381" t="s">
        <v>561</v>
      </c>
      <c r="K125" s="245"/>
      <c r="L125" s="257"/>
      <c r="M125" s="597" t="s">
        <v>560</v>
      </c>
      <c r="N125" s="598"/>
      <c r="O125" s="299"/>
      <c r="P125" s="180"/>
      <c r="Q125" s="180">
        <v>35000000</v>
      </c>
      <c r="R125" s="181">
        <f t="shared" ref="R125:R135" si="41">Q125/Q$124*100</f>
        <v>3.2747005988023949</v>
      </c>
      <c r="S125" s="181">
        <v>100</v>
      </c>
      <c r="T125" s="180">
        <f t="shared" si="23"/>
        <v>0</v>
      </c>
      <c r="U125" s="180">
        <f t="shared" si="37"/>
        <v>0</v>
      </c>
      <c r="V125" s="182">
        <f t="shared" si="25"/>
        <v>100</v>
      </c>
      <c r="W125" s="180"/>
      <c r="X125" s="180" t="e">
        <f>#REF!</f>
        <v>#REF!</v>
      </c>
      <c r="Y125" s="180" t="e">
        <f>#REF!</f>
        <v>#REF!</v>
      </c>
      <c r="Z125" s="180" t="e">
        <f>#REF!</f>
        <v>#REF!</v>
      </c>
      <c r="AA125" s="180" t="e">
        <f>#REF!</f>
        <v>#REF!</v>
      </c>
      <c r="AB125" s="180">
        <v>139212001</v>
      </c>
      <c r="AC125" s="180" t="e">
        <f>#REF!</f>
        <v>#REF!</v>
      </c>
      <c r="AD125" s="180" t="e">
        <f>#REF!</f>
        <v>#REF!</v>
      </c>
      <c r="AE125" s="180" t="e">
        <f>#REF!</f>
        <v>#REF!</v>
      </c>
      <c r="AF125" s="180" t="e">
        <f>[1]April!N37</f>
        <v>#REF!</v>
      </c>
      <c r="AG125" s="180" t="e">
        <f>[2]april!N37</f>
        <v>#REF!</v>
      </c>
      <c r="AH125" s="180">
        <f>'[3]DES SKPD'!$N37</f>
        <v>0</v>
      </c>
      <c r="AI125" s="180">
        <v>0</v>
      </c>
      <c r="AJ125" s="181">
        <f t="shared" si="27"/>
        <v>0</v>
      </c>
      <c r="AK125" s="180">
        <f t="shared" si="39"/>
        <v>35000000</v>
      </c>
      <c r="AL125" s="181">
        <f t="shared" si="28"/>
        <v>100</v>
      </c>
      <c r="AM125" s="243"/>
    </row>
    <row r="126" spans="1:39" ht="33" customHeight="1" x14ac:dyDescent="0.25">
      <c r="A126" s="243"/>
      <c r="B126" s="381"/>
      <c r="C126" s="381"/>
      <c r="D126" s="381"/>
      <c r="E126" s="381"/>
      <c r="F126" s="381"/>
      <c r="G126" s="381"/>
      <c r="H126" s="381"/>
      <c r="I126" s="382"/>
      <c r="J126" s="381" t="s">
        <v>563</v>
      </c>
      <c r="K126" s="245"/>
      <c r="L126" s="257"/>
      <c r="M126" s="597" t="s">
        <v>562</v>
      </c>
      <c r="N126" s="598"/>
      <c r="O126" s="299"/>
      <c r="P126" s="180"/>
      <c r="Q126" s="180">
        <v>110000000</v>
      </c>
      <c r="R126" s="181">
        <f t="shared" si="41"/>
        <v>10.29191616766467</v>
      </c>
      <c r="S126" s="181">
        <v>100</v>
      </c>
      <c r="T126" s="180">
        <f t="shared" si="23"/>
        <v>0</v>
      </c>
      <c r="U126" s="180">
        <f t="shared" si="37"/>
        <v>0</v>
      </c>
      <c r="V126" s="182">
        <f t="shared" si="25"/>
        <v>100</v>
      </c>
      <c r="W126" s="180"/>
      <c r="X126" s="180" t="e">
        <f>#REF!</f>
        <v>#REF!</v>
      </c>
      <c r="Y126" s="180" t="e">
        <f>#REF!</f>
        <v>#REF!</v>
      </c>
      <c r="Z126" s="180" t="e">
        <f>#REF!</f>
        <v>#REF!</v>
      </c>
      <c r="AA126" s="180" t="e">
        <f>#REF!</f>
        <v>#REF!</v>
      </c>
      <c r="AB126" s="180">
        <v>139212002</v>
      </c>
      <c r="AC126" s="180" t="e">
        <f>#REF!</f>
        <v>#REF!</v>
      </c>
      <c r="AD126" s="180" t="e">
        <f>#REF!</f>
        <v>#REF!</v>
      </c>
      <c r="AE126" s="180" t="e">
        <f>#REF!</f>
        <v>#REF!</v>
      </c>
      <c r="AF126" s="180" t="e">
        <f>[1]April!N37</f>
        <v>#REF!</v>
      </c>
      <c r="AG126" s="180" t="e">
        <f>[2]april!N37</f>
        <v>#REF!</v>
      </c>
      <c r="AH126" s="180">
        <f>'[3]DES SKPD'!$N37</f>
        <v>0</v>
      </c>
      <c r="AI126" s="180">
        <v>0</v>
      </c>
      <c r="AJ126" s="181">
        <f t="shared" si="27"/>
        <v>0</v>
      </c>
      <c r="AK126" s="180">
        <f t="shared" si="39"/>
        <v>110000000</v>
      </c>
      <c r="AL126" s="181">
        <f t="shared" si="28"/>
        <v>100</v>
      </c>
      <c r="AM126" s="243"/>
    </row>
    <row r="127" spans="1:39" ht="27" customHeight="1" x14ac:dyDescent="0.25">
      <c r="A127" s="243"/>
      <c r="B127" s="381"/>
      <c r="C127" s="381"/>
      <c r="D127" s="381"/>
      <c r="E127" s="381"/>
      <c r="F127" s="381"/>
      <c r="G127" s="381"/>
      <c r="H127" s="381"/>
      <c r="I127" s="382"/>
      <c r="J127" s="381" t="s">
        <v>564</v>
      </c>
      <c r="K127" s="245"/>
      <c r="L127" s="257"/>
      <c r="M127" s="597" t="s">
        <v>565</v>
      </c>
      <c r="N127" s="598"/>
      <c r="O127" s="299"/>
      <c r="P127" s="180"/>
      <c r="Q127" s="180">
        <v>25000000</v>
      </c>
      <c r="R127" s="181">
        <f t="shared" si="41"/>
        <v>2.3390718562874251</v>
      </c>
      <c r="S127" s="181">
        <v>100</v>
      </c>
      <c r="T127" s="180">
        <f t="shared" si="23"/>
        <v>0</v>
      </c>
      <c r="U127" s="180">
        <f t="shared" si="37"/>
        <v>0</v>
      </c>
      <c r="V127" s="182">
        <f t="shared" si="25"/>
        <v>100</v>
      </c>
      <c r="W127" s="180"/>
      <c r="X127" s="180" t="e">
        <f>#REF!</f>
        <v>#REF!</v>
      </c>
      <c r="Y127" s="180" t="e">
        <f>#REF!</f>
        <v>#REF!</v>
      </c>
      <c r="Z127" s="180" t="e">
        <f>#REF!</f>
        <v>#REF!</v>
      </c>
      <c r="AA127" s="180" t="e">
        <f>#REF!</f>
        <v>#REF!</v>
      </c>
      <c r="AB127" s="180">
        <v>139212003</v>
      </c>
      <c r="AC127" s="180" t="e">
        <f>#REF!</f>
        <v>#REF!</v>
      </c>
      <c r="AD127" s="180" t="e">
        <f>#REF!</f>
        <v>#REF!</v>
      </c>
      <c r="AE127" s="180" t="e">
        <f>#REF!</f>
        <v>#REF!</v>
      </c>
      <c r="AF127" s="180" t="e">
        <f>[1]April!N38</f>
        <v>#REF!</v>
      </c>
      <c r="AG127" s="180" t="e">
        <f>[2]april!N38</f>
        <v>#REF!</v>
      </c>
      <c r="AH127" s="180">
        <f>'[3]DES SKPD'!$N38</f>
        <v>322038365</v>
      </c>
      <c r="AI127" s="180">
        <v>0</v>
      </c>
      <c r="AJ127" s="181">
        <f t="shared" si="27"/>
        <v>0</v>
      </c>
      <c r="AK127" s="180">
        <f t="shared" si="39"/>
        <v>25000000</v>
      </c>
      <c r="AL127" s="181">
        <f t="shared" si="28"/>
        <v>100</v>
      </c>
      <c r="AM127" s="243"/>
    </row>
    <row r="128" spans="1:39" ht="27.75" customHeight="1" x14ac:dyDescent="0.25">
      <c r="A128" s="243"/>
      <c r="B128" s="381"/>
      <c r="C128" s="381"/>
      <c r="D128" s="381"/>
      <c r="E128" s="381"/>
      <c r="F128" s="381"/>
      <c r="G128" s="381"/>
      <c r="H128" s="381"/>
      <c r="I128" s="382"/>
      <c r="J128" s="381" t="s">
        <v>566</v>
      </c>
      <c r="K128" s="245"/>
      <c r="L128" s="257"/>
      <c r="M128" s="597" t="s">
        <v>567</v>
      </c>
      <c r="N128" s="598"/>
      <c r="O128" s="299"/>
      <c r="P128" s="180"/>
      <c r="Q128" s="180">
        <v>12000000</v>
      </c>
      <c r="R128" s="181">
        <f t="shared" si="41"/>
        <v>1.1227544910179641</v>
      </c>
      <c r="S128" s="181">
        <v>100</v>
      </c>
      <c r="T128" s="180">
        <f t="shared" si="23"/>
        <v>0</v>
      </c>
      <c r="U128" s="180">
        <f t="shared" si="37"/>
        <v>0</v>
      </c>
      <c r="V128" s="182">
        <f t="shared" si="25"/>
        <v>100</v>
      </c>
      <c r="W128" s="180"/>
      <c r="X128" s="180" t="e">
        <f>#REF!</f>
        <v>#REF!</v>
      </c>
      <c r="Y128" s="180" t="e">
        <f>#REF!</f>
        <v>#REF!</v>
      </c>
      <c r="Z128" s="180" t="e">
        <f>#REF!</f>
        <v>#REF!</v>
      </c>
      <c r="AA128" s="180" t="e">
        <f>#REF!</f>
        <v>#REF!</v>
      </c>
      <c r="AB128" s="180">
        <v>139212004</v>
      </c>
      <c r="AC128" s="180" t="e">
        <f>#REF!</f>
        <v>#REF!</v>
      </c>
      <c r="AD128" s="180" t="e">
        <f>#REF!</f>
        <v>#REF!</v>
      </c>
      <c r="AE128" s="180" t="e">
        <f>#REF!</f>
        <v>#REF!</v>
      </c>
      <c r="AF128" s="180" t="e">
        <f>[1]April!N39</f>
        <v>#REF!</v>
      </c>
      <c r="AG128" s="180" t="e">
        <f>[2]april!N39</f>
        <v>#REF!</v>
      </c>
      <c r="AH128" s="180">
        <f>'[3]DES SKPD'!$N39</f>
        <v>676934270</v>
      </c>
      <c r="AI128" s="180">
        <v>0</v>
      </c>
      <c r="AJ128" s="181">
        <f t="shared" si="27"/>
        <v>0</v>
      </c>
      <c r="AK128" s="180">
        <f t="shared" si="39"/>
        <v>12000000</v>
      </c>
      <c r="AL128" s="181">
        <f t="shared" si="28"/>
        <v>100</v>
      </c>
      <c r="AM128" s="243"/>
    </row>
    <row r="129" spans="1:39" ht="27.75" customHeight="1" x14ac:dyDescent="0.25">
      <c r="A129" s="243"/>
      <c r="B129" s="381"/>
      <c r="C129" s="381"/>
      <c r="D129" s="381"/>
      <c r="E129" s="381"/>
      <c r="F129" s="381"/>
      <c r="G129" s="381"/>
      <c r="H129" s="381"/>
      <c r="I129" s="382"/>
      <c r="J129" s="381" t="s">
        <v>435</v>
      </c>
      <c r="K129" s="245"/>
      <c r="L129" s="257"/>
      <c r="M129" s="597" t="s">
        <v>396</v>
      </c>
      <c r="N129" s="598"/>
      <c r="O129" s="299"/>
      <c r="P129" s="180"/>
      <c r="Q129" s="180">
        <v>42500000</v>
      </c>
      <c r="R129" s="181">
        <f t="shared" si="41"/>
        <v>3.9764221556886228</v>
      </c>
      <c r="S129" s="181">
        <v>100</v>
      </c>
      <c r="T129" s="180">
        <f t="shared" si="23"/>
        <v>0</v>
      </c>
      <c r="U129" s="180">
        <f t="shared" si="37"/>
        <v>0</v>
      </c>
      <c r="V129" s="182">
        <f t="shared" ref="V129:V151" si="42">S129-T129</f>
        <v>100</v>
      </c>
      <c r="W129" s="180"/>
      <c r="X129" s="180" t="e">
        <f>#REF!</f>
        <v>#REF!</v>
      </c>
      <c r="Y129" s="180" t="e">
        <f>#REF!</f>
        <v>#REF!</v>
      </c>
      <c r="Z129" s="180" t="e">
        <f>#REF!</f>
        <v>#REF!</v>
      </c>
      <c r="AA129" s="180" t="e">
        <f>#REF!</f>
        <v>#REF!</v>
      </c>
      <c r="AB129" s="180">
        <v>139212004</v>
      </c>
      <c r="AC129" s="180" t="e">
        <f>#REF!</f>
        <v>#REF!</v>
      </c>
      <c r="AD129" s="180" t="e">
        <f>#REF!</f>
        <v>#REF!</v>
      </c>
      <c r="AE129" s="180" t="e">
        <f>#REF!</f>
        <v>#REF!</v>
      </c>
      <c r="AF129" s="180" t="e">
        <f>[1]April!N40</f>
        <v>#REF!</v>
      </c>
      <c r="AG129" s="180" t="e">
        <f>[2]april!N40</f>
        <v>#REF!</v>
      </c>
      <c r="AH129" s="180">
        <f>'[3]DES SKPD'!$N40</f>
        <v>140440000</v>
      </c>
      <c r="AI129" s="180">
        <v>0</v>
      </c>
      <c r="AJ129" s="181">
        <f t="shared" si="27"/>
        <v>0</v>
      </c>
      <c r="AK129" s="180">
        <f t="shared" si="39"/>
        <v>42500000</v>
      </c>
      <c r="AL129" s="181">
        <f t="shared" si="28"/>
        <v>100</v>
      </c>
      <c r="AM129" s="243"/>
    </row>
    <row r="130" spans="1:39" ht="27.75" customHeight="1" x14ac:dyDescent="0.25">
      <c r="A130" s="243"/>
      <c r="B130" s="381"/>
      <c r="C130" s="381"/>
      <c r="D130" s="381"/>
      <c r="E130" s="381"/>
      <c r="F130" s="381"/>
      <c r="G130" s="381"/>
      <c r="H130" s="381"/>
      <c r="I130" s="382"/>
      <c r="J130" s="381" t="s">
        <v>400</v>
      </c>
      <c r="K130" s="245"/>
      <c r="L130" s="257"/>
      <c r="M130" s="597" t="s">
        <v>568</v>
      </c>
      <c r="N130" s="598"/>
      <c r="O130" s="299"/>
      <c r="P130" s="180"/>
      <c r="Q130" s="180">
        <v>493300000</v>
      </c>
      <c r="R130" s="181">
        <f t="shared" si="41"/>
        <v>46.154565868263475</v>
      </c>
      <c r="S130" s="181">
        <v>100</v>
      </c>
      <c r="T130" s="180">
        <f t="shared" si="23"/>
        <v>0</v>
      </c>
      <c r="U130" s="180">
        <f t="shared" si="37"/>
        <v>0</v>
      </c>
      <c r="V130" s="182">
        <f t="shared" si="42"/>
        <v>100</v>
      </c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>
        <v>0</v>
      </c>
      <c r="AJ130" s="181">
        <f t="shared" si="27"/>
        <v>0</v>
      </c>
      <c r="AK130" s="180">
        <f t="shared" si="39"/>
        <v>493300000</v>
      </c>
      <c r="AL130" s="181">
        <f t="shared" si="28"/>
        <v>100</v>
      </c>
      <c r="AM130" s="243"/>
    </row>
    <row r="131" spans="1:39" ht="27.75" customHeight="1" x14ac:dyDescent="0.25">
      <c r="A131" s="243"/>
      <c r="B131" s="381"/>
      <c r="C131" s="381"/>
      <c r="D131" s="381"/>
      <c r="E131" s="381"/>
      <c r="F131" s="381"/>
      <c r="G131" s="381"/>
      <c r="H131" s="381"/>
      <c r="I131" s="382"/>
      <c r="J131" s="381" t="s">
        <v>569</v>
      </c>
      <c r="K131" s="245"/>
      <c r="L131" s="257"/>
      <c r="M131" s="597" t="s">
        <v>570</v>
      </c>
      <c r="N131" s="598"/>
      <c r="O131" s="299"/>
      <c r="P131" s="180"/>
      <c r="Q131" s="180">
        <v>50000000</v>
      </c>
      <c r="R131" s="181">
        <f t="shared" si="41"/>
        <v>4.6781437125748502</v>
      </c>
      <c r="S131" s="181">
        <v>100</v>
      </c>
      <c r="T131" s="180">
        <f t="shared" si="23"/>
        <v>0</v>
      </c>
      <c r="U131" s="180">
        <f t="shared" si="37"/>
        <v>0</v>
      </c>
      <c r="V131" s="182">
        <f t="shared" si="42"/>
        <v>100</v>
      </c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>
        <v>0</v>
      </c>
      <c r="AJ131" s="181">
        <f t="shared" si="27"/>
        <v>0</v>
      </c>
      <c r="AK131" s="180">
        <f t="shared" si="39"/>
        <v>50000000</v>
      </c>
      <c r="AL131" s="181">
        <f t="shared" si="28"/>
        <v>100</v>
      </c>
      <c r="AM131" s="243"/>
    </row>
    <row r="132" spans="1:39" ht="27.75" customHeight="1" x14ac:dyDescent="0.25">
      <c r="A132" s="243"/>
      <c r="B132" s="381"/>
      <c r="C132" s="381"/>
      <c r="D132" s="381"/>
      <c r="E132" s="381"/>
      <c r="F132" s="381"/>
      <c r="G132" s="381"/>
      <c r="H132" s="381"/>
      <c r="I132" s="382"/>
      <c r="J132" s="381" t="s">
        <v>286</v>
      </c>
      <c r="K132" s="245"/>
      <c r="L132" s="257"/>
      <c r="M132" s="597" t="s">
        <v>571</v>
      </c>
      <c r="N132" s="598"/>
      <c r="O132" s="299"/>
      <c r="P132" s="180"/>
      <c r="Q132" s="180">
        <v>50000000</v>
      </c>
      <c r="R132" s="181">
        <f t="shared" si="41"/>
        <v>4.6781437125748502</v>
      </c>
      <c r="S132" s="181">
        <v>100</v>
      </c>
      <c r="T132" s="180">
        <f t="shared" si="23"/>
        <v>0</v>
      </c>
      <c r="U132" s="180">
        <f t="shared" si="37"/>
        <v>0</v>
      </c>
      <c r="V132" s="182">
        <f t="shared" si="42"/>
        <v>100</v>
      </c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>
        <v>0</v>
      </c>
      <c r="AJ132" s="181">
        <f t="shared" si="27"/>
        <v>0</v>
      </c>
      <c r="AK132" s="180">
        <f t="shared" si="39"/>
        <v>50000000</v>
      </c>
      <c r="AL132" s="181">
        <f t="shared" si="28"/>
        <v>100</v>
      </c>
      <c r="AM132" s="243"/>
    </row>
    <row r="133" spans="1:39" ht="27.75" customHeight="1" x14ac:dyDescent="0.25">
      <c r="A133" s="243"/>
      <c r="B133" s="381"/>
      <c r="C133" s="381"/>
      <c r="D133" s="381"/>
      <c r="E133" s="381"/>
      <c r="F133" s="381"/>
      <c r="G133" s="381"/>
      <c r="H133" s="381"/>
      <c r="I133" s="382"/>
      <c r="J133" s="381" t="s">
        <v>402</v>
      </c>
      <c r="K133" s="245"/>
      <c r="L133" s="257"/>
      <c r="M133" s="597" t="s">
        <v>572</v>
      </c>
      <c r="N133" s="598"/>
      <c r="O133" s="299"/>
      <c r="P133" s="180"/>
      <c r="Q133" s="180">
        <v>192000000</v>
      </c>
      <c r="R133" s="181">
        <f t="shared" si="41"/>
        <v>17.964071856287426</v>
      </c>
      <c r="S133" s="181">
        <v>100</v>
      </c>
      <c r="T133" s="180">
        <f t="shared" si="23"/>
        <v>0</v>
      </c>
      <c r="U133" s="180">
        <f t="shared" si="37"/>
        <v>0</v>
      </c>
      <c r="V133" s="182">
        <f t="shared" si="42"/>
        <v>100</v>
      </c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>
        <v>0</v>
      </c>
      <c r="AJ133" s="181">
        <f t="shared" si="27"/>
        <v>0</v>
      </c>
      <c r="AK133" s="180">
        <f t="shared" si="39"/>
        <v>192000000</v>
      </c>
      <c r="AL133" s="181">
        <f t="shared" si="28"/>
        <v>100</v>
      </c>
      <c r="AM133" s="243"/>
    </row>
    <row r="134" spans="1:39" ht="27.75" customHeight="1" x14ac:dyDescent="0.25">
      <c r="A134" s="243"/>
      <c r="B134" s="381"/>
      <c r="C134" s="381"/>
      <c r="D134" s="381"/>
      <c r="E134" s="381"/>
      <c r="F134" s="381"/>
      <c r="G134" s="381"/>
      <c r="H134" s="381"/>
      <c r="I134" s="382"/>
      <c r="J134" s="381" t="s">
        <v>573</v>
      </c>
      <c r="K134" s="245"/>
      <c r="L134" s="257"/>
      <c r="M134" s="597" t="s">
        <v>574</v>
      </c>
      <c r="N134" s="598"/>
      <c r="O134" s="299"/>
      <c r="P134" s="180"/>
      <c r="Q134" s="180">
        <v>15000000</v>
      </c>
      <c r="R134" s="181">
        <f t="shared" si="41"/>
        <v>1.403443113772455</v>
      </c>
      <c r="S134" s="181">
        <v>100</v>
      </c>
      <c r="T134" s="180">
        <f t="shared" si="23"/>
        <v>0</v>
      </c>
      <c r="U134" s="180">
        <f t="shared" si="37"/>
        <v>0</v>
      </c>
      <c r="V134" s="182">
        <f t="shared" si="42"/>
        <v>100</v>
      </c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>
        <v>0</v>
      </c>
      <c r="AJ134" s="181">
        <f t="shared" si="27"/>
        <v>0</v>
      </c>
      <c r="AK134" s="180">
        <f t="shared" si="39"/>
        <v>15000000</v>
      </c>
      <c r="AL134" s="181">
        <f t="shared" si="28"/>
        <v>100</v>
      </c>
      <c r="AM134" s="243"/>
    </row>
    <row r="135" spans="1:39" ht="27.75" customHeight="1" x14ac:dyDescent="0.25">
      <c r="A135" s="243"/>
      <c r="B135" s="381"/>
      <c r="C135" s="381"/>
      <c r="D135" s="381"/>
      <c r="E135" s="381"/>
      <c r="F135" s="381"/>
      <c r="G135" s="381"/>
      <c r="H135" s="381"/>
      <c r="I135" s="382"/>
      <c r="J135" s="381" t="s">
        <v>575</v>
      </c>
      <c r="K135" s="245"/>
      <c r="L135" s="257"/>
      <c r="M135" s="597" t="s">
        <v>576</v>
      </c>
      <c r="N135" s="598"/>
      <c r="O135" s="299"/>
      <c r="P135" s="180"/>
      <c r="Q135" s="180">
        <v>44000000</v>
      </c>
      <c r="R135" s="181">
        <f t="shared" si="41"/>
        <v>4.1167664670658679</v>
      </c>
      <c r="S135" s="181">
        <v>100</v>
      </c>
      <c r="T135" s="180">
        <f t="shared" si="23"/>
        <v>0</v>
      </c>
      <c r="U135" s="180">
        <f t="shared" si="37"/>
        <v>0</v>
      </c>
      <c r="V135" s="182">
        <f t="shared" si="42"/>
        <v>100</v>
      </c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>
        <v>0</v>
      </c>
      <c r="AJ135" s="181">
        <f t="shared" si="27"/>
        <v>0</v>
      </c>
      <c r="AK135" s="180">
        <f t="shared" si="39"/>
        <v>44000000</v>
      </c>
      <c r="AL135" s="181">
        <f t="shared" si="28"/>
        <v>100</v>
      </c>
      <c r="AM135" s="243"/>
    </row>
    <row r="136" spans="1:39" s="297" customFormat="1" ht="24.75" customHeight="1" x14ac:dyDescent="0.25">
      <c r="A136" s="227">
        <f>A124+1</f>
        <v>17</v>
      </c>
      <c r="B136" s="615" t="s">
        <v>127</v>
      </c>
      <c r="C136" s="615"/>
      <c r="D136" s="615"/>
      <c r="E136" s="615"/>
      <c r="F136" s="615"/>
      <c r="G136" s="615"/>
      <c r="H136" s="615"/>
      <c r="I136" s="614"/>
      <c r="J136" s="304" t="s">
        <v>456</v>
      </c>
      <c r="K136" s="230"/>
      <c r="L136" s="294"/>
      <c r="M136" s="615" t="s">
        <v>579</v>
      </c>
      <c r="N136" s="614"/>
      <c r="O136" s="295">
        <v>68210000</v>
      </c>
      <c r="P136" s="231">
        <f>O136</f>
        <v>68210000</v>
      </c>
      <c r="Q136" s="231">
        <f>SUM(Q137:Q137)</f>
        <v>190800000</v>
      </c>
      <c r="R136" s="233">
        <f>Q136/Q$56*100</f>
        <v>7.5537021188162949</v>
      </c>
      <c r="S136" s="233">
        <v>100</v>
      </c>
      <c r="T136" s="231">
        <f t="shared" si="23"/>
        <v>0</v>
      </c>
      <c r="U136" s="231">
        <f t="shared" si="37"/>
        <v>0</v>
      </c>
      <c r="V136" s="296">
        <f t="shared" si="42"/>
        <v>100</v>
      </c>
      <c r="W136" s="231"/>
      <c r="X136" s="231" t="e">
        <f>#REF!</f>
        <v>#REF!</v>
      </c>
      <c r="Y136" s="231" t="e">
        <f>#REF!</f>
        <v>#REF!</v>
      </c>
      <c r="Z136" s="231" t="e">
        <f>#REF!</f>
        <v>#REF!</v>
      </c>
      <c r="AA136" s="231" t="e">
        <f>#REF!</f>
        <v>#REF!</v>
      </c>
      <c r="AB136" s="231">
        <v>139212000</v>
      </c>
      <c r="AC136" s="231" t="e">
        <f>#REF!</f>
        <v>#REF!</v>
      </c>
      <c r="AD136" s="231" t="e">
        <f>#REF!</f>
        <v>#REF!</v>
      </c>
      <c r="AE136" s="231" t="e">
        <f>#REF!</f>
        <v>#REF!</v>
      </c>
      <c r="AF136" s="231" t="e">
        <f>[1]April!N47</f>
        <v>#REF!</v>
      </c>
      <c r="AG136" s="231" t="e">
        <f>[2]april!N47</f>
        <v>#REF!</v>
      </c>
      <c r="AH136" s="231" t="e">
        <f>'[3]DES SKPD'!$N47</f>
        <v>#REF!</v>
      </c>
      <c r="AI136" s="231">
        <f>SUM(AI137)</f>
        <v>0</v>
      </c>
      <c r="AJ136" s="233">
        <f t="shared" si="27"/>
        <v>0</v>
      </c>
      <c r="AK136" s="231">
        <f t="shared" si="39"/>
        <v>190800000</v>
      </c>
      <c r="AL136" s="233">
        <f t="shared" si="28"/>
        <v>100</v>
      </c>
      <c r="AM136" s="227"/>
    </row>
    <row r="137" spans="1:39" ht="29.25" customHeight="1" x14ac:dyDescent="0.25">
      <c r="A137" s="243"/>
      <c r="B137" s="381"/>
      <c r="C137" s="381"/>
      <c r="D137" s="381"/>
      <c r="E137" s="381"/>
      <c r="F137" s="381"/>
      <c r="G137" s="381"/>
      <c r="H137" s="381"/>
      <c r="I137" s="382"/>
      <c r="J137" s="381" t="s">
        <v>577</v>
      </c>
      <c r="K137" s="245"/>
      <c r="L137" s="257"/>
      <c r="M137" s="597" t="s">
        <v>578</v>
      </c>
      <c r="N137" s="598"/>
      <c r="O137" s="299"/>
      <c r="P137" s="180"/>
      <c r="Q137" s="180">
        <v>190800000</v>
      </c>
      <c r="R137" s="181">
        <f t="shared" ref="R137" si="43">Q137/Q$124*100</f>
        <v>17.851796407185631</v>
      </c>
      <c r="S137" s="181">
        <v>100</v>
      </c>
      <c r="T137" s="180">
        <f t="shared" si="23"/>
        <v>0</v>
      </c>
      <c r="U137" s="180">
        <f t="shared" si="37"/>
        <v>0</v>
      </c>
      <c r="V137" s="182">
        <f t="shared" si="42"/>
        <v>100</v>
      </c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>
        <v>0</v>
      </c>
      <c r="AJ137" s="181">
        <f t="shared" si="27"/>
        <v>0</v>
      </c>
      <c r="AK137" s="180">
        <f t="shared" si="39"/>
        <v>190800000</v>
      </c>
      <c r="AL137" s="181">
        <f t="shared" si="28"/>
        <v>100</v>
      </c>
      <c r="AM137" s="243"/>
    </row>
    <row r="138" spans="1:39" s="297" customFormat="1" ht="31.5" customHeight="1" x14ac:dyDescent="0.25">
      <c r="A138" s="227">
        <f>A136+1</f>
        <v>18</v>
      </c>
      <c r="B138" s="615" t="s">
        <v>128</v>
      </c>
      <c r="C138" s="615"/>
      <c r="D138" s="615"/>
      <c r="E138" s="615"/>
      <c r="F138" s="615"/>
      <c r="G138" s="615"/>
      <c r="H138" s="615"/>
      <c r="I138" s="614"/>
      <c r="J138" s="304" t="s">
        <v>457</v>
      </c>
      <c r="K138" s="230"/>
      <c r="L138" s="294"/>
      <c r="M138" s="615" t="s">
        <v>129</v>
      </c>
      <c r="N138" s="614"/>
      <c r="O138" s="295">
        <v>295960000</v>
      </c>
      <c r="P138" s="231">
        <v>0</v>
      </c>
      <c r="Q138" s="231">
        <f>SUM(Q139:Q140)</f>
        <v>326040000</v>
      </c>
      <c r="R138" s="233">
        <f>Q138/Q$56*100</f>
        <v>12.907804186681682</v>
      </c>
      <c r="S138" s="233">
        <v>100</v>
      </c>
      <c r="T138" s="231">
        <f t="shared" si="23"/>
        <v>0</v>
      </c>
      <c r="U138" s="231">
        <f>R138*T138/100</f>
        <v>0</v>
      </c>
      <c r="V138" s="296">
        <f t="shared" si="42"/>
        <v>100</v>
      </c>
      <c r="W138" s="231"/>
      <c r="X138" s="231"/>
      <c r="Y138" s="231"/>
      <c r="Z138" s="231"/>
      <c r="AA138" s="231"/>
      <c r="AB138" s="231"/>
      <c r="AC138" s="231"/>
      <c r="AD138" s="231"/>
      <c r="AE138" s="231"/>
      <c r="AF138" s="231"/>
      <c r="AG138" s="231" t="e">
        <f>[2]april!N37</f>
        <v>#REF!</v>
      </c>
      <c r="AH138" s="231">
        <f>'[3]DES SKPD'!$N37</f>
        <v>0</v>
      </c>
      <c r="AI138" s="231">
        <f>SUM(AI139:AI140)</f>
        <v>0</v>
      </c>
      <c r="AJ138" s="233">
        <f t="shared" si="27"/>
        <v>0</v>
      </c>
      <c r="AK138" s="231">
        <f t="shared" si="39"/>
        <v>326040000</v>
      </c>
      <c r="AL138" s="233">
        <f t="shared" si="28"/>
        <v>100</v>
      </c>
      <c r="AM138" s="227"/>
    </row>
    <row r="139" spans="1:39" ht="24.75" customHeight="1" x14ac:dyDescent="0.25">
      <c r="A139" s="243"/>
      <c r="B139" s="381"/>
      <c r="C139" s="381"/>
      <c r="D139" s="381"/>
      <c r="E139" s="381"/>
      <c r="F139" s="381"/>
      <c r="G139" s="381"/>
      <c r="H139" s="381"/>
      <c r="I139" s="382"/>
      <c r="J139" s="381" t="s">
        <v>259</v>
      </c>
      <c r="K139" s="245"/>
      <c r="L139" s="257"/>
      <c r="M139" s="623" t="s">
        <v>260</v>
      </c>
      <c r="N139" s="624"/>
      <c r="O139" s="299"/>
      <c r="P139" s="180"/>
      <c r="Q139" s="180">
        <v>1040000</v>
      </c>
      <c r="R139" s="181">
        <f>Q139/Q$35*100</f>
        <v>3.271854703066358E-3</v>
      </c>
      <c r="S139" s="181">
        <v>100</v>
      </c>
      <c r="T139" s="180">
        <f t="shared" si="23"/>
        <v>0</v>
      </c>
      <c r="U139" s="180">
        <f>R139*T139/100</f>
        <v>0</v>
      </c>
      <c r="V139" s="182">
        <f t="shared" si="42"/>
        <v>100</v>
      </c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>
        <v>0</v>
      </c>
      <c r="AJ139" s="181">
        <f t="shared" si="27"/>
        <v>0</v>
      </c>
      <c r="AK139" s="180">
        <f t="shared" si="39"/>
        <v>1040000</v>
      </c>
      <c r="AL139" s="181">
        <f t="shared" si="28"/>
        <v>100</v>
      </c>
      <c r="AM139" s="243"/>
    </row>
    <row r="140" spans="1:39" ht="24.75" customHeight="1" x14ac:dyDescent="0.25">
      <c r="A140" s="243"/>
      <c r="B140" s="381"/>
      <c r="C140" s="381"/>
      <c r="D140" s="381"/>
      <c r="E140" s="381"/>
      <c r="F140" s="381"/>
      <c r="G140" s="381"/>
      <c r="H140" s="381"/>
      <c r="I140" s="382"/>
      <c r="J140" s="381" t="s">
        <v>288</v>
      </c>
      <c r="K140" s="245"/>
      <c r="L140" s="257"/>
      <c r="M140" s="597" t="s">
        <v>289</v>
      </c>
      <c r="N140" s="598"/>
      <c r="O140" s="299"/>
      <c r="P140" s="180"/>
      <c r="Q140" s="180">
        <v>325000000</v>
      </c>
      <c r="R140" s="181">
        <f>Q140/Q$138*100</f>
        <v>99.681020733652318</v>
      </c>
      <c r="S140" s="181">
        <v>100</v>
      </c>
      <c r="T140" s="180">
        <f t="shared" si="23"/>
        <v>0</v>
      </c>
      <c r="U140" s="180">
        <f>R140*T140/100</f>
        <v>0</v>
      </c>
      <c r="V140" s="182">
        <f t="shared" si="42"/>
        <v>100</v>
      </c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 t="e">
        <f>[2]april!N39</f>
        <v>#REF!</v>
      </c>
      <c r="AH140" s="180">
        <f>'[3]DES SKPD'!$N39</f>
        <v>676934270</v>
      </c>
      <c r="AI140" s="180">
        <v>0</v>
      </c>
      <c r="AJ140" s="181">
        <f t="shared" si="27"/>
        <v>0</v>
      </c>
      <c r="AK140" s="180">
        <f t="shared" si="39"/>
        <v>325000000</v>
      </c>
      <c r="AL140" s="181">
        <f t="shared" si="28"/>
        <v>100</v>
      </c>
      <c r="AM140" s="243"/>
    </row>
    <row r="141" spans="1:39" s="297" customFormat="1" ht="31.5" customHeight="1" x14ac:dyDescent="0.25">
      <c r="A141" s="227">
        <f>A138+1</f>
        <v>19</v>
      </c>
      <c r="B141" s="615" t="s">
        <v>128</v>
      </c>
      <c r="C141" s="615"/>
      <c r="D141" s="615"/>
      <c r="E141" s="615"/>
      <c r="F141" s="615"/>
      <c r="G141" s="615"/>
      <c r="H141" s="615"/>
      <c r="I141" s="614"/>
      <c r="J141" s="304" t="s">
        <v>458</v>
      </c>
      <c r="K141" s="230"/>
      <c r="L141" s="294"/>
      <c r="M141" s="615" t="s">
        <v>26</v>
      </c>
      <c r="N141" s="614"/>
      <c r="O141" s="295">
        <v>295960000</v>
      </c>
      <c r="P141" s="231">
        <f>O141</f>
        <v>295960000</v>
      </c>
      <c r="Q141" s="231">
        <f>SUM(Q142:Q144)</f>
        <v>151500000</v>
      </c>
      <c r="R141" s="233">
        <f>Q141/Q$56*100</f>
        <v>5.997829512582121</v>
      </c>
      <c r="S141" s="233">
        <v>100</v>
      </c>
      <c r="T141" s="231">
        <f t="shared" ref="T141:T204" si="44">AJ141</f>
        <v>10.297029702970297</v>
      </c>
      <c r="U141" s="231">
        <f>R141*T141/100</f>
        <v>0.61759828644409964</v>
      </c>
      <c r="V141" s="296">
        <f t="shared" si="42"/>
        <v>89.702970297029708</v>
      </c>
      <c r="W141" s="231"/>
      <c r="X141" s="231" t="e">
        <f>#REF!</f>
        <v>#REF!</v>
      </c>
      <c r="Y141" s="231" t="e">
        <f>#REF!</f>
        <v>#REF!</v>
      </c>
      <c r="Z141" s="231" t="e">
        <f>#REF!</f>
        <v>#REF!</v>
      </c>
      <c r="AA141" s="231" t="e">
        <f>#REF!</f>
        <v>#REF!</v>
      </c>
      <c r="AB141" s="231">
        <v>91844000</v>
      </c>
      <c r="AC141" s="231" t="e">
        <f>#REF!</f>
        <v>#REF!</v>
      </c>
      <c r="AD141" s="231" t="e">
        <f>#REF!</f>
        <v>#REF!</v>
      </c>
      <c r="AE141" s="231" t="e">
        <f>#REF!</f>
        <v>#REF!</v>
      </c>
      <c r="AF141" s="231" t="e">
        <f>[1]April!N38</f>
        <v>#REF!</v>
      </c>
      <c r="AG141" s="231" t="e">
        <f>[2]april!N38</f>
        <v>#REF!</v>
      </c>
      <c r="AH141" s="231">
        <f>'[3]DES SKPD'!$N38</f>
        <v>322038365</v>
      </c>
      <c r="AI141" s="231">
        <f>SUM(AI142:AI144)</f>
        <v>15600000</v>
      </c>
      <c r="AJ141" s="233">
        <f t="shared" ref="AJ141:AJ204" si="45">AI141/Q141*100</f>
        <v>10.297029702970297</v>
      </c>
      <c r="AK141" s="231">
        <f t="shared" si="39"/>
        <v>135900000</v>
      </c>
      <c r="AL141" s="233">
        <f t="shared" ref="AL141:AL204" si="46">AK141/Q141*100</f>
        <v>89.702970297029708</v>
      </c>
      <c r="AM141" s="227"/>
    </row>
    <row r="142" spans="1:39" ht="30.75" customHeight="1" x14ac:dyDescent="0.25">
      <c r="A142" s="243"/>
      <c r="B142" s="381"/>
      <c r="C142" s="381"/>
      <c r="D142" s="381"/>
      <c r="E142" s="381"/>
      <c r="F142" s="381"/>
      <c r="G142" s="381"/>
      <c r="H142" s="381"/>
      <c r="I142" s="382"/>
      <c r="J142" s="381" t="s">
        <v>259</v>
      </c>
      <c r="K142" s="245"/>
      <c r="L142" s="257"/>
      <c r="M142" s="597" t="s">
        <v>260</v>
      </c>
      <c r="N142" s="598"/>
      <c r="O142" s="299"/>
      <c r="P142" s="180"/>
      <c r="Q142" s="180">
        <v>800000</v>
      </c>
      <c r="R142" s="181">
        <f>Q142/Q$141*100</f>
        <v>0.528052805280528</v>
      </c>
      <c r="S142" s="181">
        <v>100</v>
      </c>
      <c r="T142" s="180">
        <f t="shared" si="44"/>
        <v>0</v>
      </c>
      <c r="U142" s="180">
        <f t="shared" ref="U142:U157" si="47">R142*T142/100</f>
        <v>0</v>
      </c>
      <c r="V142" s="182">
        <f t="shared" si="42"/>
        <v>100</v>
      </c>
      <c r="W142" s="180"/>
      <c r="X142" s="180" t="e">
        <f>#REF!</f>
        <v>#REF!</v>
      </c>
      <c r="Y142" s="180" t="e">
        <f>#REF!</f>
        <v>#REF!</v>
      </c>
      <c r="Z142" s="180" t="e">
        <f>#REF!</f>
        <v>#REF!</v>
      </c>
      <c r="AA142" s="180" t="e">
        <f>#REF!</f>
        <v>#REF!</v>
      </c>
      <c r="AB142" s="180">
        <v>91844002</v>
      </c>
      <c r="AC142" s="180" t="e">
        <f>#REF!</f>
        <v>#REF!</v>
      </c>
      <c r="AD142" s="180" t="e">
        <f>#REF!</f>
        <v>#REF!</v>
      </c>
      <c r="AE142" s="180" t="e">
        <f>#REF!</f>
        <v>#REF!</v>
      </c>
      <c r="AF142" s="180" t="e">
        <f>[1]April!N40</f>
        <v>#REF!</v>
      </c>
      <c r="AG142" s="180" t="e">
        <f>[2]april!N40</f>
        <v>#REF!</v>
      </c>
      <c r="AH142" s="180">
        <f>'[3]DES SKPD'!$N40</f>
        <v>140440000</v>
      </c>
      <c r="AI142" s="180">
        <v>0</v>
      </c>
      <c r="AJ142" s="181">
        <f t="shared" si="45"/>
        <v>0</v>
      </c>
      <c r="AK142" s="180">
        <f t="shared" si="39"/>
        <v>800000</v>
      </c>
      <c r="AL142" s="181">
        <f t="shared" si="46"/>
        <v>100</v>
      </c>
      <c r="AM142" s="243"/>
    </row>
    <row r="143" spans="1:39" ht="24.75" customHeight="1" x14ac:dyDescent="0.25">
      <c r="A143" s="243"/>
      <c r="B143" s="381"/>
      <c r="C143" s="381"/>
      <c r="D143" s="381"/>
      <c r="E143" s="381"/>
      <c r="F143" s="381"/>
      <c r="G143" s="381"/>
      <c r="H143" s="381"/>
      <c r="I143" s="382"/>
      <c r="J143" s="381" t="s">
        <v>290</v>
      </c>
      <c r="K143" s="245"/>
      <c r="L143" s="257"/>
      <c r="M143" s="597" t="s">
        <v>291</v>
      </c>
      <c r="N143" s="598"/>
      <c r="O143" s="299"/>
      <c r="P143" s="180"/>
      <c r="Q143" s="180">
        <v>95400000</v>
      </c>
      <c r="R143" s="181">
        <f>Q143/Q$141*100</f>
        <v>62.970297029702969</v>
      </c>
      <c r="S143" s="181">
        <v>100</v>
      </c>
      <c r="T143" s="180">
        <f t="shared" si="44"/>
        <v>16.352201257861633</v>
      </c>
      <c r="U143" s="180">
        <f t="shared" si="47"/>
        <v>10.297029702970297</v>
      </c>
      <c r="V143" s="182">
        <f t="shared" si="42"/>
        <v>83.647798742138363</v>
      </c>
      <c r="W143" s="180"/>
      <c r="X143" s="180" t="e">
        <f>#REF!</f>
        <v>#REF!</v>
      </c>
      <c r="Y143" s="180" t="e">
        <f>#REF!</f>
        <v>#REF!</v>
      </c>
      <c r="Z143" s="180" t="e">
        <f>#REF!</f>
        <v>#REF!</v>
      </c>
      <c r="AA143" s="180" t="e">
        <f>#REF!</f>
        <v>#REF!</v>
      </c>
      <c r="AB143" s="180">
        <v>91844003</v>
      </c>
      <c r="AC143" s="180" t="e">
        <f>#REF!</f>
        <v>#REF!</v>
      </c>
      <c r="AD143" s="180" t="e">
        <f>#REF!</f>
        <v>#REF!</v>
      </c>
      <c r="AE143" s="180" t="e">
        <f>#REF!</f>
        <v>#REF!</v>
      </c>
      <c r="AF143" s="180" t="e">
        <f>[1]April!N41</f>
        <v>#REF!</v>
      </c>
      <c r="AG143" s="180" t="e">
        <f>[2]april!N41</f>
        <v>#REF!</v>
      </c>
      <c r="AH143" s="180">
        <f>'[3]DES SKPD'!$N41</f>
        <v>231767600</v>
      </c>
      <c r="AI143" s="180">
        <f>10400000+5200000</f>
        <v>15600000</v>
      </c>
      <c r="AJ143" s="181">
        <f t="shared" si="45"/>
        <v>16.352201257861633</v>
      </c>
      <c r="AK143" s="180">
        <f t="shared" si="39"/>
        <v>79800000</v>
      </c>
      <c r="AL143" s="181">
        <f t="shared" si="46"/>
        <v>83.647798742138363</v>
      </c>
      <c r="AM143" s="243"/>
    </row>
    <row r="144" spans="1:39" ht="36" customHeight="1" x14ac:dyDescent="0.25">
      <c r="A144" s="243"/>
      <c r="B144" s="381"/>
      <c r="C144" s="381"/>
      <c r="D144" s="381"/>
      <c r="E144" s="381"/>
      <c r="F144" s="381"/>
      <c r="G144" s="381"/>
      <c r="H144" s="381"/>
      <c r="I144" s="382"/>
      <c r="J144" s="381" t="s">
        <v>292</v>
      </c>
      <c r="K144" s="245"/>
      <c r="L144" s="257"/>
      <c r="M144" s="597" t="s">
        <v>293</v>
      </c>
      <c r="N144" s="598"/>
      <c r="O144" s="299"/>
      <c r="P144" s="180"/>
      <c r="Q144" s="180">
        <v>55300000</v>
      </c>
      <c r="R144" s="181">
        <f>Q144/Q$141*100</f>
        <v>36.5016501650165</v>
      </c>
      <c r="S144" s="181">
        <v>100</v>
      </c>
      <c r="T144" s="180">
        <f t="shared" si="44"/>
        <v>0</v>
      </c>
      <c r="U144" s="180">
        <f t="shared" si="47"/>
        <v>0</v>
      </c>
      <c r="V144" s="182">
        <f t="shared" si="42"/>
        <v>100</v>
      </c>
      <c r="W144" s="180"/>
      <c r="X144" s="180" t="e">
        <f>#REF!</f>
        <v>#REF!</v>
      </c>
      <c r="Y144" s="180" t="e">
        <f>#REF!</f>
        <v>#REF!</v>
      </c>
      <c r="Z144" s="180" t="e">
        <f>#REF!</f>
        <v>#REF!</v>
      </c>
      <c r="AA144" s="180" t="e">
        <f>#REF!</f>
        <v>#REF!</v>
      </c>
      <c r="AB144" s="180">
        <v>91844004</v>
      </c>
      <c r="AC144" s="180" t="e">
        <f>#REF!</f>
        <v>#REF!</v>
      </c>
      <c r="AD144" s="180" t="e">
        <f>#REF!</f>
        <v>#REF!</v>
      </c>
      <c r="AE144" s="180" t="e">
        <f>#REF!</f>
        <v>#REF!</v>
      </c>
      <c r="AF144" s="180" t="e">
        <f>[1]April!N42</f>
        <v>#REF!</v>
      </c>
      <c r="AG144" s="180" t="e">
        <f>[2]april!N42</f>
        <v>#REF!</v>
      </c>
      <c r="AH144" s="180" t="e">
        <f>'[3]DES SKPD'!$N42</f>
        <v>#REF!</v>
      </c>
      <c r="AI144" s="180">
        <v>0</v>
      </c>
      <c r="AJ144" s="181">
        <f t="shared" si="45"/>
        <v>0</v>
      </c>
      <c r="AK144" s="180">
        <f t="shared" si="39"/>
        <v>55300000</v>
      </c>
      <c r="AL144" s="181">
        <f t="shared" si="46"/>
        <v>100</v>
      </c>
      <c r="AM144" s="243"/>
    </row>
    <row r="145" spans="1:39" s="297" customFormat="1" ht="32.25" customHeight="1" x14ac:dyDescent="0.25">
      <c r="A145" s="227">
        <f>A141+1</f>
        <v>20</v>
      </c>
      <c r="B145" s="615" t="s">
        <v>130</v>
      </c>
      <c r="C145" s="615"/>
      <c r="D145" s="615"/>
      <c r="E145" s="615"/>
      <c r="F145" s="615"/>
      <c r="G145" s="615"/>
      <c r="H145" s="615"/>
      <c r="I145" s="614"/>
      <c r="J145" s="304" t="s">
        <v>459</v>
      </c>
      <c r="K145" s="230"/>
      <c r="L145" s="294"/>
      <c r="M145" s="615" t="s">
        <v>27</v>
      </c>
      <c r="N145" s="614"/>
      <c r="O145" s="295">
        <v>641710000</v>
      </c>
      <c r="P145" s="231">
        <f>O145</f>
        <v>641710000</v>
      </c>
      <c r="Q145" s="231">
        <f>SUM(Q146:Q151)</f>
        <v>1030500000</v>
      </c>
      <c r="R145" s="233">
        <f>Q145/Q$56*100</f>
        <v>40.797117575682343</v>
      </c>
      <c r="S145" s="233">
        <v>100</v>
      </c>
      <c r="T145" s="231">
        <f>AJ145</f>
        <v>17.77365599223678</v>
      </c>
      <c r="U145" s="231">
        <f>R145*T145/100</f>
        <v>7.2511393326501494</v>
      </c>
      <c r="V145" s="296">
        <f>S145-T145</f>
        <v>82.226344007763217</v>
      </c>
      <c r="W145" s="231"/>
      <c r="X145" s="231" t="e">
        <f>#REF!</f>
        <v>#REF!</v>
      </c>
      <c r="Y145" s="231" t="e">
        <f>#REF!</f>
        <v>#REF!</v>
      </c>
      <c r="Z145" s="231" t="e">
        <f>#REF!</f>
        <v>#REF!</v>
      </c>
      <c r="AA145" s="231" t="e">
        <f>#REF!</f>
        <v>#REF!</v>
      </c>
      <c r="AB145" s="231">
        <v>335806263</v>
      </c>
      <c r="AC145" s="231" t="e">
        <f>#REF!</f>
        <v>#REF!</v>
      </c>
      <c r="AD145" s="231" t="e">
        <f>#REF!</f>
        <v>#REF!</v>
      </c>
      <c r="AE145" s="231" t="e">
        <f>#REF!</f>
        <v>#REF!</v>
      </c>
      <c r="AF145" s="231" t="e">
        <f>[1]April!N39</f>
        <v>#REF!</v>
      </c>
      <c r="AG145" s="231" t="e">
        <f>[2]april!N39</f>
        <v>#REF!</v>
      </c>
      <c r="AH145" s="231">
        <f>'[3]DES SKPD'!$N39</f>
        <v>676934270</v>
      </c>
      <c r="AI145" s="231">
        <f>SUM(AI146:AI151)</f>
        <v>183157525</v>
      </c>
      <c r="AJ145" s="233">
        <f>AI145/Q145*100</f>
        <v>17.77365599223678</v>
      </c>
      <c r="AK145" s="231">
        <f>Q145-AI145</f>
        <v>847342475</v>
      </c>
      <c r="AL145" s="233">
        <f>AK145/Q145*100</f>
        <v>82.226344007763217</v>
      </c>
      <c r="AM145" s="227"/>
    </row>
    <row r="146" spans="1:39" s="297" customFormat="1" ht="32.25" customHeight="1" x14ac:dyDescent="0.25">
      <c r="A146" s="227"/>
      <c r="B146" s="393"/>
      <c r="C146" s="393"/>
      <c r="D146" s="393"/>
      <c r="E146" s="393"/>
      <c r="F146" s="393"/>
      <c r="G146" s="393"/>
      <c r="H146" s="393"/>
      <c r="I146" s="394"/>
      <c r="J146" s="381" t="s">
        <v>259</v>
      </c>
      <c r="K146" s="245"/>
      <c r="L146" s="257"/>
      <c r="M146" s="597" t="s">
        <v>260</v>
      </c>
      <c r="N146" s="598"/>
      <c r="O146" s="299"/>
      <c r="P146" s="180"/>
      <c r="Q146" s="180">
        <v>800000</v>
      </c>
      <c r="R146" s="181">
        <f>Q146/Q$141*100</f>
        <v>0.528052805280528</v>
      </c>
      <c r="S146" s="181">
        <v>100</v>
      </c>
      <c r="T146" s="180">
        <f t="shared" ref="T146" si="48">AJ146</f>
        <v>0</v>
      </c>
      <c r="U146" s="180">
        <f t="shared" ref="U146" si="49">R146*T146/100</f>
        <v>0</v>
      </c>
      <c r="V146" s="182">
        <f t="shared" ref="V146" si="50">S146-T146</f>
        <v>100</v>
      </c>
      <c r="W146" s="180"/>
      <c r="X146" s="180" t="e">
        <f>#REF!</f>
        <v>#REF!</v>
      </c>
      <c r="Y146" s="180" t="e">
        <f>#REF!</f>
        <v>#REF!</v>
      </c>
      <c r="Z146" s="180" t="e">
        <f>#REF!</f>
        <v>#REF!</v>
      </c>
      <c r="AA146" s="180" t="e">
        <f>#REF!</f>
        <v>#REF!</v>
      </c>
      <c r="AB146" s="180">
        <v>91844002</v>
      </c>
      <c r="AC146" s="180" t="e">
        <f>#REF!</f>
        <v>#REF!</v>
      </c>
      <c r="AD146" s="180" t="e">
        <f>#REF!</f>
        <v>#REF!</v>
      </c>
      <c r="AE146" s="180" t="e">
        <f>#REF!</f>
        <v>#REF!</v>
      </c>
      <c r="AF146" s="180" t="e">
        <f>[1]April!N44</f>
        <v>#REF!</v>
      </c>
      <c r="AG146" s="180" t="e">
        <f>[2]april!N44</f>
        <v>#REF!</v>
      </c>
      <c r="AH146" s="180" t="e">
        <f>'[3]DES SKPD'!$N44</f>
        <v>#REF!</v>
      </c>
      <c r="AI146" s="180">
        <v>0</v>
      </c>
      <c r="AJ146" s="181">
        <f t="shared" ref="AJ146" si="51">AI146/Q146*100</f>
        <v>0</v>
      </c>
      <c r="AK146" s="180">
        <f t="shared" ref="AK146" si="52">Q146-AI146</f>
        <v>800000</v>
      </c>
      <c r="AL146" s="181">
        <f t="shared" ref="AL146" si="53">AK146/Q146*100</f>
        <v>100</v>
      </c>
      <c r="AM146" s="227"/>
    </row>
    <row r="147" spans="1:39" ht="28.5" customHeight="1" x14ac:dyDescent="0.25">
      <c r="A147" s="243"/>
      <c r="B147" s="381"/>
      <c r="C147" s="381"/>
      <c r="D147" s="381"/>
      <c r="E147" s="381"/>
      <c r="F147" s="381"/>
      <c r="G147" s="381"/>
      <c r="H147" s="381"/>
      <c r="I147" s="382"/>
      <c r="J147" s="381" t="s">
        <v>294</v>
      </c>
      <c r="K147" s="245"/>
      <c r="L147" s="257"/>
      <c r="M147" s="597" t="s">
        <v>295</v>
      </c>
      <c r="N147" s="598"/>
      <c r="O147" s="299"/>
      <c r="P147" s="180"/>
      <c r="Q147" s="180">
        <v>67090000</v>
      </c>
      <c r="R147" s="181">
        <f t="shared" ref="R147:R151" si="54">Q147/Q$145*100</f>
        <v>6.5104318292091223</v>
      </c>
      <c r="S147" s="181">
        <v>100</v>
      </c>
      <c r="T147" s="180">
        <f t="shared" si="44"/>
        <v>99.604710090922637</v>
      </c>
      <c r="U147" s="180">
        <f t="shared" si="47"/>
        <v>6.4846967491508973</v>
      </c>
      <c r="V147" s="182">
        <f t="shared" si="42"/>
        <v>0.39528990907736272</v>
      </c>
      <c r="W147" s="180"/>
      <c r="X147" s="180" t="e">
        <f>#REF!</f>
        <v>#REF!</v>
      </c>
      <c r="Y147" s="180" t="e">
        <f>#REF!</f>
        <v>#REF!</v>
      </c>
      <c r="Z147" s="180" t="e">
        <f>#REF!</f>
        <v>#REF!</v>
      </c>
      <c r="AA147" s="180" t="e">
        <f>#REF!</f>
        <v>#REF!</v>
      </c>
      <c r="AB147" s="180">
        <v>335806265</v>
      </c>
      <c r="AC147" s="180" t="e">
        <f>#REF!</f>
        <v>#REF!</v>
      </c>
      <c r="AD147" s="180" t="e">
        <f>#REF!</f>
        <v>#REF!</v>
      </c>
      <c r="AE147" s="180" t="e">
        <f>#REF!</f>
        <v>#REF!</v>
      </c>
      <c r="AF147" s="180" t="e">
        <f>[1]April!N41</f>
        <v>#REF!</v>
      </c>
      <c r="AG147" s="180" t="e">
        <f>[2]april!N41</f>
        <v>#REF!</v>
      </c>
      <c r="AH147" s="180">
        <f>'[3]DES SKPD'!$N41</f>
        <v>231767600</v>
      </c>
      <c r="AI147" s="180">
        <v>66824800</v>
      </c>
      <c r="AJ147" s="181">
        <f t="shared" si="45"/>
        <v>99.604710090922637</v>
      </c>
      <c r="AK147" s="180">
        <f t="shared" si="39"/>
        <v>265200</v>
      </c>
      <c r="AL147" s="181">
        <f t="shared" si="46"/>
        <v>0.39528990907735878</v>
      </c>
      <c r="AM147" s="243"/>
    </row>
    <row r="148" spans="1:39" ht="28.5" customHeight="1" x14ac:dyDescent="0.25">
      <c r="A148" s="243"/>
      <c r="B148" s="381"/>
      <c r="C148" s="381"/>
      <c r="D148" s="381"/>
      <c r="E148" s="381"/>
      <c r="F148" s="381"/>
      <c r="G148" s="381"/>
      <c r="H148" s="381"/>
      <c r="I148" s="382"/>
      <c r="J148" s="381" t="s">
        <v>296</v>
      </c>
      <c r="K148" s="245"/>
      <c r="L148" s="257"/>
      <c r="M148" s="597" t="s">
        <v>297</v>
      </c>
      <c r="N148" s="598"/>
      <c r="O148" s="299"/>
      <c r="P148" s="180"/>
      <c r="Q148" s="180">
        <v>297450000</v>
      </c>
      <c r="R148" s="181">
        <f t="shared" si="54"/>
        <v>28.864628820960696</v>
      </c>
      <c r="S148" s="181">
        <v>100</v>
      </c>
      <c r="T148" s="180">
        <f t="shared" si="44"/>
        <v>3.0182551689359558</v>
      </c>
      <c r="U148" s="180">
        <f t="shared" si="47"/>
        <v>0.87120815138282381</v>
      </c>
      <c r="V148" s="182">
        <f t="shared" si="42"/>
        <v>96.981744831064049</v>
      </c>
      <c r="W148" s="180"/>
      <c r="X148" s="180" t="e">
        <f>#REF!</f>
        <v>#REF!</v>
      </c>
      <c r="Y148" s="180" t="e">
        <f>#REF!</f>
        <v>#REF!</v>
      </c>
      <c r="Z148" s="180" t="e">
        <f>#REF!</f>
        <v>#REF!</v>
      </c>
      <c r="AA148" s="180" t="e">
        <f>#REF!</f>
        <v>#REF!</v>
      </c>
      <c r="AB148" s="180">
        <v>335806266</v>
      </c>
      <c r="AC148" s="180" t="e">
        <f>#REF!</f>
        <v>#REF!</v>
      </c>
      <c r="AD148" s="180" t="e">
        <f>#REF!</f>
        <v>#REF!</v>
      </c>
      <c r="AE148" s="180" t="e">
        <f>#REF!</f>
        <v>#REF!</v>
      </c>
      <c r="AF148" s="180" t="e">
        <f>[1]April!N42</f>
        <v>#REF!</v>
      </c>
      <c r="AG148" s="180" t="e">
        <f>[2]april!N42</f>
        <v>#REF!</v>
      </c>
      <c r="AH148" s="180" t="e">
        <f>'[3]DES SKPD'!$N42</f>
        <v>#REF!</v>
      </c>
      <c r="AI148" s="180">
        <v>8977800</v>
      </c>
      <c r="AJ148" s="181">
        <f t="shared" si="45"/>
        <v>3.0182551689359558</v>
      </c>
      <c r="AK148" s="180">
        <f t="shared" si="39"/>
        <v>288472200</v>
      </c>
      <c r="AL148" s="181">
        <f t="shared" si="46"/>
        <v>96.981744831064049</v>
      </c>
      <c r="AM148" s="243"/>
    </row>
    <row r="149" spans="1:39" ht="28.5" customHeight="1" x14ac:dyDescent="0.25">
      <c r="A149" s="243"/>
      <c r="B149" s="381"/>
      <c r="C149" s="381"/>
      <c r="D149" s="381"/>
      <c r="E149" s="381"/>
      <c r="F149" s="381"/>
      <c r="G149" s="381"/>
      <c r="H149" s="381"/>
      <c r="I149" s="382"/>
      <c r="J149" s="381" t="s">
        <v>298</v>
      </c>
      <c r="K149" s="245"/>
      <c r="L149" s="257"/>
      <c r="M149" s="597" t="s">
        <v>299</v>
      </c>
      <c r="N149" s="598"/>
      <c r="O149" s="299"/>
      <c r="P149" s="180"/>
      <c r="Q149" s="180">
        <v>241500000</v>
      </c>
      <c r="R149" s="181">
        <f t="shared" si="54"/>
        <v>23.435225618631733</v>
      </c>
      <c r="S149" s="181">
        <v>100</v>
      </c>
      <c r="T149" s="180">
        <f t="shared" si="44"/>
        <v>24.461190476190474</v>
      </c>
      <c r="U149" s="180">
        <f t="shared" si="47"/>
        <v>5.7325351770984954</v>
      </c>
      <c r="V149" s="182">
        <f t="shared" si="42"/>
        <v>75.538809523809533</v>
      </c>
      <c r="W149" s="180"/>
      <c r="X149" s="180" t="e">
        <f>#REF!</f>
        <v>#REF!</v>
      </c>
      <c r="Y149" s="180" t="e">
        <f>#REF!</f>
        <v>#REF!</v>
      </c>
      <c r="Z149" s="180" t="e">
        <f>#REF!</f>
        <v>#REF!</v>
      </c>
      <c r="AA149" s="180" t="e">
        <f>#REF!</f>
        <v>#REF!</v>
      </c>
      <c r="AB149" s="180">
        <v>335806267</v>
      </c>
      <c r="AC149" s="180" t="e">
        <f>#REF!</f>
        <v>#REF!</v>
      </c>
      <c r="AD149" s="180" t="e">
        <f>#REF!</f>
        <v>#REF!</v>
      </c>
      <c r="AE149" s="180" t="e">
        <f>#REF!</f>
        <v>#REF!</v>
      </c>
      <c r="AF149" s="180" t="e">
        <f>[1]April!N43</f>
        <v>#REF!</v>
      </c>
      <c r="AG149" s="180" t="e">
        <f>[2]april!N43</f>
        <v>#REF!</v>
      </c>
      <c r="AH149" s="180">
        <f>'[3]DES SKPD'!$N43</f>
        <v>38085000</v>
      </c>
      <c r="AI149" s="180">
        <v>59073775</v>
      </c>
      <c r="AJ149" s="181">
        <f t="shared" si="45"/>
        <v>24.461190476190474</v>
      </c>
      <c r="AK149" s="180">
        <f t="shared" si="39"/>
        <v>182426225</v>
      </c>
      <c r="AL149" s="181">
        <f t="shared" si="46"/>
        <v>75.538809523809519</v>
      </c>
      <c r="AM149" s="243"/>
    </row>
    <row r="150" spans="1:39" ht="28.5" customHeight="1" x14ac:dyDescent="0.25">
      <c r="A150" s="243"/>
      <c r="B150" s="381"/>
      <c r="C150" s="381"/>
      <c r="D150" s="381"/>
      <c r="E150" s="381"/>
      <c r="F150" s="381"/>
      <c r="G150" s="381"/>
      <c r="H150" s="381"/>
      <c r="I150" s="382"/>
      <c r="J150" s="381" t="s">
        <v>581</v>
      </c>
      <c r="K150" s="245"/>
      <c r="L150" s="257"/>
      <c r="M150" s="597" t="s">
        <v>580</v>
      </c>
      <c r="N150" s="598"/>
      <c r="O150" s="299"/>
      <c r="P150" s="180"/>
      <c r="Q150" s="180">
        <v>411660000</v>
      </c>
      <c r="R150" s="181">
        <f t="shared" si="54"/>
        <v>39.94759825327511</v>
      </c>
      <c r="S150" s="181">
        <v>100</v>
      </c>
      <c r="T150" s="180">
        <f t="shared" si="44"/>
        <v>10.999647767575183</v>
      </c>
      <c r="U150" s="180">
        <f t="shared" si="47"/>
        <v>4.3940950994662789</v>
      </c>
      <c r="V150" s="182">
        <f t="shared" si="42"/>
        <v>89.000352232424817</v>
      </c>
      <c r="W150" s="180"/>
      <c r="X150" s="180" t="e">
        <f>#REF!</f>
        <v>#REF!</v>
      </c>
      <c r="Y150" s="180" t="e">
        <f>#REF!</f>
        <v>#REF!</v>
      </c>
      <c r="Z150" s="180" t="e">
        <f>#REF!</f>
        <v>#REF!</v>
      </c>
      <c r="AA150" s="180" t="e">
        <f>#REF!</f>
        <v>#REF!</v>
      </c>
      <c r="AB150" s="180">
        <v>335806268</v>
      </c>
      <c r="AC150" s="180" t="e">
        <f>#REF!</f>
        <v>#REF!</v>
      </c>
      <c r="AD150" s="180" t="e">
        <f>#REF!</f>
        <v>#REF!</v>
      </c>
      <c r="AE150" s="180" t="e">
        <f>#REF!</f>
        <v>#REF!</v>
      </c>
      <c r="AF150" s="180" t="e">
        <f>[1]April!N44</f>
        <v>#REF!</v>
      </c>
      <c r="AG150" s="180" t="e">
        <f>[2]april!N44</f>
        <v>#REF!</v>
      </c>
      <c r="AH150" s="180" t="e">
        <f>'[3]DES SKPD'!$N44</f>
        <v>#REF!</v>
      </c>
      <c r="AI150" s="180">
        <f>6981150+38300000</f>
        <v>45281150</v>
      </c>
      <c r="AJ150" s="181">
        <f t="shared" si="45"/>
        <v>10.999647767575183</v>
      </c>
      <c r="AK150" s="180">
        <f t="shared" si="39"/>
        <v>366378850</v>
      </c>
      <c r="AL150" s="181">
        <f t="shared" si="46"/>
        <v>89.000352232424817</v>
      </c>
      <c r="AM150" s="243"/>
    </row>
    <row r="151" spans="1:39" ht="32.25" customHeight="1" x14ac:dyDescent="0.25">
      <c r="A151" s="243"/>
      <c r="B151" s="381"/>
      <c r="C151" s="381"/>
      <c r="D151" s="381"/>
      <c r="E151" s="381"/>
      <c r="F151" s="381"/>
      <c r="G151" s="381"/>
      <c r="H151" s="381"/>
      <c r="I151" s="382"/>
      <c r="J151" s="381" t="s">
        <v>551</v>
      </c>
      <c r="K151" s="245"/>
      <c r="L151" s="257"/>
      <c r="M151" s="597" t="s">
        <v>550</v>
      </c>
      <c r="N151" s="598"/>
      <c r="O151" s="299"/>
      <c r="P151" s="180"/>
      <c r="Q151" s="180">
        <v>12000000</v>
      </c>
      <c r="R151" s="181">
        <f t="shared" si="54"/>
        <v>1.1644832605531297</v>
      </c>
      <c r="S151" s="181"/>
      <c r="T151" s="180">
        <f t="shared" si="44"/>
        <v>25</v>
      </c>
      <c r="U151" s="180">
        <f t="shared" si="47"/>
        <v>0.29112081513828242</v>
      </c>
      <c r="V151" s="182">
        <f t="shared" si="42"/>
        <v>-25</v>
      </c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>
        <f>2000000+1000000</f>
        <v>3000000</v>
      </c>
      <c r="AJ151" s="181">
        <f t="shared" si="45"/>
        <v>25</v>
      </c>
      <c r="AK151" s="180">
        <f t="shared" si="39"/>
        <v>9000000</v>
      </c>
      <c r="AL151" s="181">
        <f t="shared" si="46"/>
        <v>75</v>
      </c>
      <c r="AM151" s="243"/>
    </row>
    <row r="152" spans="1:39" s="297" customFormat="1" ht="33.75" customHeight="1" x14ac:dyDescent="0.25">
      <c r="A152" s="227">
        <f>A145+1</f>
        <v>21</v>
      </c>
      <c r="B152" s="615" t="s">
        <v>131</v>
      </c>
      <c r="C152" s="615"/>
      <c r="D152" s="615"/>
      <c r="E152" s="615"/>
      <c r="F152" s="615"/>
      <c r="G152" s="615"/>
      <c r="H152" s="615"/>
      <c r="I152" s="614"/>
      <c r="J152" s="304" t="s">
        <v>460</v>
      </c>
      <c r="K152" s="230"/>
      <c r="L152" s="294"/>
      <c r="M152" s="615" t="s">
        <v>28</v>
      </c>
      <c r="N152" s="614"/>
      <c r="O152" s="295">
        <v>140600000</v>
      </c>
      <c r="P152" s="231">
        <f>O152</f>
        <v>140600000</v>
      </c>
      <c r="Q152" s="231">
        <f>SUM(Q153:Q153)</f>
        <v>96500000</v>
      </c>
      <c r="R152" s="233">
        <f>Q152/Q$121*100</f>
        <v>2.7479286597853601</v>
      </c>
      <c r="S152" s="233">
        <v>100</v>
      </c>
      <c r="T152" s="231">
        <f t="shared" si="44"/>
        <v>0</v>
      </c>
      <c r="U152" s="231">
        <f t="shared" si="47"/>
        <v>0</v>
      </c>
      <c r="V152" s="296">
        <f>S152-T152</f>
        <v>100</v>
      </c>
      <c r="W152" s="231"/>
      <c r="X152" s="231" t="e">
        <f>#REF!</f>
        <v>#REF!</v>
      </c>
      <c r="Y152" s="231" t="e">
        <f>#REF!</f>
        <v>#REF!</v>
      </c>
      <c r="Z152" s="231" t="e">
        <f>#REF!</f>
        <v>#REF!</v>
      </c>
      <c r="AA152" s="231" t="e">
        <f>#REF!</f>
        <v>#REF!</v>
      </c>
      <c r="AB152" s="231">
        <v>54780000</v>
      </c>
      <c r="AC152" s="231" t="e">
        <f>#REF!</f>
        <v>#REF!</v>
      </c>
      <c r="AD152" s="231" t="e">
        <f>#REF!</f>
        <v>#REF!</v>
      </c>
      <c r="AE152" s="231" t="e">
        <f>#REF!</f>
        <v>#REF!</v>
      </c>
      <c r="AF152" s="231" t="e">
        <f>[1]April!N40</f>
        <v>#REF!</v>
      </c>
      <c r="AG152" s="231">
        <v>140440000</v>
      </c>
      <c r="AH152" s="231">
        <f>'[3]DES SKPD'!$N40</f>
        <v>140440000</v>
      </c>
      <c r="AI152" s="231">
        <f>SUM(AI153:AI153)</f>
        <v>0</v>
      </c>
      <c r="AJ152" s="233">
        <f t="shared" si="45"/>
        <v>0</v>
      </c>
      <c r="AK152" s="231">
        <f t="shared" si="39"/>
        <v>96500000</v>
      </c>
      <c r="AL152" s="233">
        <f t="shared" si="46"/>
        <v>100</v>
      </c>
      <c r="AM152" s="227"/>
    </row>
    <row r="153" spans="1:39" ht="29.25" customHeight="1" x14ac:dyDescent="0.25">
      <c r="A153" s="243"/>
      <c r="B153" s="381"/>
      <c r="C153" s="381"/>
      <c r="D153" s="381"/>
      <c r="E153" s="381"/>
      <c r="F153" s="381"/>
      <c r="G153" s="381"/>
      <c r="H153" s="381"/>
      <c r="I153" s="382"/>
      <c r="J153" s="381" t="s">
        <v>302</v>
      </c>
      <c r="K153" s="245"/>
      <c r="L153" s="257"/>
      <c r="M153" s="597" t="s">
        <v>303</v>
      </c>
      <c r="N153" s="598"/>
      <c r="O153" s="299"/>
      <c r="P153" s="180"/>
      <c r="Q153" s="180">
        <v>96500000</v>
      </c>
      <c r="R153" s="181">
        <f>Q153/Q$152*100</f>
        <v>100</v>
      </c>
      <c r="S153" s="181">
        <v>100</v>
      </c>
      <c r="T153" s="180">
        <f t="shared" si="44"/>
        <v>0</v>
      </c>
      <c r="U153" s="180">
        <f t="shared" si="47"/>
        <v>0</v>
      </c>
      <c r="V153" s="182">
        <f t="shared" ref="V153:V216" si="55">S153-T153</f>
        <v>100</v>
      </c>
      <c r="W153" s="180"/>
      <c r="X153" s="180" t="e">
        <f>#REF!</f>
        <v>#REF!</v>
      </c>
      <c r="Y153" s="180" t="e">
        <f>#REF!</f>
        <v>#REF!</v>
      </c>
      <c r="Z153" s="180" t="e">
        <f>#REF!</f>
        <v>#REF!</v>
      </c>
      <c r="AA153" s="180" t="e">
        <f>#REF!</f>
        <v>#REF!</v>
      </c>
      <c r="AB153" s="180">
        <v>54780002</v>
      </c>
      <c r="AC153" s="180" t="e">
        <f>#REF!</f>
        <v>#REF!</v>
      </c>
      <c r="AD153" s="180" t="e">
        <f>#REF!</f>
        <v>#REF!</v>
      </c>
      <c r="AE153" s="180" t="e">
        <f>#REF!</f>
        <v>#REF!</v>
      </c>
      <c r="AF153" s="180" t="e">
        <f>[1]April!N42</f>
        <v>#REF!</v>
      </c>
      <c r="AG153" s="231">
        <v>140440002</v>
      </c>
      <c r="AH153" s="180" t="e">
        <f>'[3]DES SKPD'!$N42</f>
        <v>#REF!</v>
      </c>
      <c r="AI153" s="180">
        <v>0</v>
      </c>
      <c r="AJ153" s="181">
        <f t="shared" si="45"/>
        <v>0</v>
      </c>
      <c r="AK153" s="180">
        <f t="shared" si="39"/>
        <v>96500000</v>
      </c>
      <c r="AL153" s="181">
        <f t="shared" si="46"/>
        <v>100</v>
      </c>
      <c r="AM153" s="243"/>
    </row>
    <row r="154" spans="1:39" s="297" customFormat="1" ht="33" customHeight="1" x14ac:dyDescent="0.25">
      <c r="A154" s="227">
        <f>SUM(A152+1)</f>
        <v>22</v>
      </c>
      <c r="B154" s="393"/>
      <c r="C154" s="393"/>
      <c r="D154" s="393"/>
      <c r="E154" s="393"/>
      <c r="F154" s="393"/>
      <c r="G154" s="393"/>
      <c r="H154" s="393"/>
      <c r="I154" s="394"/>
      <c r="J154" s="304" t="s">
        <v>461</v>
      </c>
      <c r="K154" s="230"/>
      <c r="L154" s="294"/>
      <c r="M154" s="615" t="s">
        <v>197</v>
      </c>
      <c r="N154" s="614"/>
      <c r="O154" s="295"/>
      <c r="P154" s="231"/>
      <c r="Q154" s="231">
        <f>SUM(Q155:Q155)</f>
        <v>230100000</v>
      </c>
      <c r="R154" s="233">
        <f>Q154/Q$121*100</f>
        <v>6.552314866493381</v>
      </c>
      <c r="S154" s="233">
        <v>100</v>
      </c>
      <c r="T154" s="231">
        <f t="shared" si="44"/>
        <v>41.294002607561929</v>
      </c>
      <c r="U154" s="231">
        <f t="shared" si="47"/>
        <v>2.7057130718254445</v>
      </c>
      <c r="V154" s="296">
        <f t="shared" si="55"/>
        <v>58.705997392438071</v>
      </c>
      <c r="W154" s="231"/>
      <c r="X154" s="231" t="e">
        <f>#REF!</f>
        <v>#REF!</v>
      </c>
      <c r="Y154" s="231" t="e">
        <f>#REF!</f>
        <v>#REF!</v>
      </c>
      <c r="Z154" s="231" t="e">
        <f>#REF!</f>
        <v>#REF!</v>
      </c>
      <c r="AA154" s="231" t="e">
        <f>#REF!</f>
        <v>#REF!</v>
      </c>
      <c r="AB154" s="231">
        <v>54780000</v>
      </c>
      <c r="AC154" s="231" t="e">
        <f>#REF!</f>
        <v>#REF!</v>
      </c>
      <c r="AD154" s="231" t="e">
        <f>#REF!</f>
        <v>#REF!</v>
      </c>
      <c r="AE154" s="231" t="e">
        <f>#REF!</f>
        <v>#REF!</v>
      </c>
      <c r="AF154" s="231" t="e">
        <f>[1]April!N41</f>
        <v>#REF!</v>
      </c>
      <c r="AG154" s="231">
        <v>140440000</v>
      </c>
      <c r="AH154" s="231">
        <f>'[3]DES SKPD'!$N41</f>
        <v>231767600</v>
      </c>
      <c r="AI154" s="231">
        <f>SUM(AI155:AI155)</f>
        <v>95017500</v>
      </c>
      <c r="AJ154" s="233">
        <f t="shared" si="45"/>
        <v>41.294002607561929</v>
      </c>
      <c r="AK154" s="231">
        <f t="shared" si="39"/>
        <v>135082500</v>
      </c>
      <c r="AL154" s="233">
        <f t="shared" si="46"/>
        <v>58.705997392438071</v>
      </c>
      <c r="AM154" s="227"/>
    </row>
    <row r="155" spans="1:39" ht="28.5" customHeight="1" x14ac:dyDescent="0.25">
      <c r="A155" s="243"/>
      <c r="B155" s="381"/>
      <c r="C155" s="381"/>
      <c r="D155" s="381"/>
      <c r="E155" s="381"/>
      <c r="F155" s="381"/>
      <c r="G155" s="381"/>
      <c r="H155" s="381"/>
      <c r="I155" s="382"/>
      <c r="J155" s="381" t="s">
        <v>304</v>
      </c>
      <c r="K155" s="245"/>
      <c r="L155" s="257"/>
      <c r="M155" s="597" t="s">
        <v>305</v>
      </c>
      <c r="N155" s="598"/>
      <c r="O155" s="299"/>
      <c r="P155" s="180"/>
      <c r="Q155" s="180">
        <v>230100000</v>
      </c>
      <c r="R155" s="181">
        <f>Q155/Q$154*100</f>
        <v>100</v>
      </c>
      <c r="S155" s="181">
        <v>100</v>
      </c>
      <c r="T155" s="180">
        <f t="shared" si="44"/>
        <v>41.294002607561929</v>
      </c>
      <c r="U155" s="180">
        <f t="shared" si="47"/>
        <v>41.294002607561922</v>
      </c>
      <c r="V155" s="182">
        <f t="shared" si="55"/>
        <v>58.705997392438071</v>
      </c>
      <c r="W155" s="180"/>
      <c r="X155" s="180" t="e">
        <f>#REF!</f>
        <v>#REF!</v>
      </c>
      <c r="Y155" s="180" t="e">
        <f>#REF!</f>
        <v>#REF!</v>
      </c>
      <c r="Z155" s="180" t="e">
        <f>#REF!</f>
        <v>#REF!</v>
      </c>
      <c r="AA155" s="180" t="e">
        <f>#REF!</f>
        <v>#REF!</v>
      </c>
      <c r="AB155" s="180">
        <v>54780002</v>
      </c>
      <c r="AC155" s="180" t="e">
        <f>#REF!</f>
        <v>#REF!</v>
      </c>
      <c r="AD155" s="180" t="e">
        <f>#REF!</f>
        <v>#REF!</v>
      </c>
      <c r="AE155" s="180" t="e">
        <f>#REF!</f>
        <v>#REF!</v>
      </c>
      <c r="AF155" s="180" t="e">
        <f>[1]April!N43</f>
        <v>#REF!</v>
      </c>
      <c r="AG155" s="231">
        <v>140440002</v>
      </c>
      <c r="AH155" s="180">
        <f>'[3]DES SKPD'!$N43</f>
        <v>38085000</v>
      </c>
      <c r="AI155" s="180">
        <f>42345000+52672500</f>
        <v>95017500</v>
      </c>
      <c r="AJ155" s="181">
        <f t="shared" si="45"/>
        <v>41.294002607561929</v>
      </c>
      <c r="AK155" s="180">
        <f t="shared" si="39"/>
        <v>135082500</v>
      </c>
      <c r="AL155" s="181">
        <f t="shared" si="46"/>
        <v>58.705997392438071</v>
      </c>
      <c r="AM155" s="243"/>
    </row>
    <row r="156" spans="1:39" ht="28.5" customHeight="1" x14ac:dyDescent="0.25">
      <c r="A156" s="227">
        <f>SUM(A154+1)</f>
        <v>23</v>
      </c>
      <c r="B156" s="393"/>
      <c r="C156" s="393"/>
      <c r="D156" s="393"/>
      <c r="E156" s="393"/>
      <c r="F156" s="393"/>
      <c r="G156" s="393"/>
      <c r="H156" s="393"/>
      <c r="I156" s="394"/>
      <c r="J156" s="304" t="s">
        <v>582</v>
      </c>
      <c r="K156" s="230"/>
      <c r="L156" s="294"/>
      <c r="M156" s="615" t="s">
        <v>583</v>
      </c>
      <c r="N156" s="614"/>
      <c r="O156" s="295"/>
      <c r="P156" s="231"/>
      <c r="Q156" s="231">
        <f>SUM(Q157:Q157)</f>
        <v>99200000</v>
      </c>
      <c r="R156" s="233">
        <f>Q156/Q$121*100</f>
        <v>2.8248137103700275</v>
      </c>
      <c r="S156" s="233">
        <v>100</v>
      </c>
      <c r="T156" s="231">
        <f t="shared" si="44"/>
        <v>0</v>
      </c>
      <c r="U156" s="231">
        <f t="shared" si="47"/>
        <v>0</v>
      </c>
      <c r="V156" s="296">
        <f t="shared" si="55"/>
        <v>100</v>
      </c>
      <c r="W156" s="231"/>
      <c r="X156" s="231" t="e">
        <f>#REF!</f>
        <v>#REF!</v>
      </c>
      <c r="Y156" s="231" t="e">
        <f>#REF!</f>
        <v>#REF!</v>
      </c>
      <c r="Z156" s="231" t="e">
        <f>#REF!</f>
        <v>#REF!</v>
      </c>
      <c r="AA156" s="231" t="e">
        <f>#REF!</f>
        <v>#REF!</v>
      </c>
      <c r="AB156" s="231">
        <v>54780000</v>
      </c>
      <c r="AC156" s="231" t="e">
        <f>#REF!</f>
        <v>#REF!</v>
      </c>
      <c r="AD156" s="231" t="e">
        <f>#REF!</f>
        <v>#REF!</v>
      </c>
      <c r="AE156" s="231" t="e">
        <f>#REF!</f>
        <v>#REF!</v>
      </c>
      <c r="AF156" s="231" t="e">
        <f>[1]April!N43</f>
        <v>#REF!</v>
      </c>
      <c r="AG156" s="231">
        <v>140440000</v>
      </c>
      <c r="AH156" s="231">
        <f>'[3]DES SKPD'!$N43</f>
        <v>38085000</v>
      </c>
      <c r="AI156" s="231">
        <f>SUM(AI157)</f>
        <v>0</v>
      </c>
      <c r="AJ156" s="233">
        <f t="shared" si="45"/>
        <v>0</v>
      </c>
      <c r="AK156" s="231">
        <f t="shared" si="39"/>
        <v>99200000</v>
      </c>
      <c r="AL156" s="233">
        <f t="shared" si="46"/>
        <v>100</v>
      </c>
      <c r="AM156" s="243"/>
    </row>
    <row r="157" spans="1:39" ht="28.5" customHeight="1" x14ac:dyDescent="0.25">
      <c r="A157" s="243"/>
      <c r="B157" s="381"/>
      <c r="C157" s="381"/>
      <c r="D157" s="381"/>
      <c r="E157" s="381"/>
      <c r="F157" s="381"/>
      <c r="G157" s="381"/>
      <c r="H157" s="381"/>
      <c r="I157" s="382"/>
      <c r="J157" s="381" t="s">
        <v>292</v>
      </c>
      <c r="K157" s="245"/>
      <c r="L157" s="257"/>
      <c r="M157" s="597" t="s">
        <v>584</v>
      </c>
      <c r="N157" s="598"/>
      <c r="O157" s="299"/>
      <c r="P157" s="180"/>
      <c r="Q157" s="180">
        <v>99200000</v>
      </c>
      <c r="R157" s="181">
        <f>Q157/Q$154*100</f>
        <v>43.111690569317688</v>
      </c>
      <c r="S157" s="181">
        <v>100</v>
      </c>
      <c r="T157" s="180">
        <f t="shared" si="44"/>
        <v>0</v>
      </c>
      <c r="U157" s="180">
        <f t="shared" si="47"/>
        <v>0</v>
      </c>
      <c r="V157" s="182">
        <f t="shared" si="55"/>
        <v>100</v>
      </c>
      <c r="W157" s="180"/>
      <c r="X157" s="180" t="e">
        <f>#REF!</f>
        <v>#REF!</v>
      </c>
      <c r="Y157" s="180" t="e">
        <f>#REF!</f>
        <v>#REF!</v>
      </c>
      <c r="Z157" s="180" t="e">
        <f>#REF!</f>
        <v>#REF!</v>
      </c>
      <c r="AA157" s="180" t="e">
        <f>#REF!</f>
        <v>#REF!</v>
      </c>
      <c r="AB157" s="180">
        <v>54780002</v>
      </c>
      <c r="AC157" s="180" t="e">
        <f>#REF!</f>
        <v>#REF!</v>
      </c>
      <c r="AD157" s="180" t="e">
        <f>#REF!</f>
        <v>#REF!</v>
      </c>
      <c r="AE157" s="180" t="e">
        <f>#REF!</f>
        <v>#REF!</v>
      </c>
      <c r="AF157" s="180" t="e">
        <f>[1]April!N45</f>
        <v>#REF!</v>
      </c>
      <c r="AG157" s="231">
        <v>140440002</v>
      </c>
      <c r="AH157" s="180">
        <f>'[3]DES SKPD'!$N45</f>
        <v>320566100</v>
      </c>
      <c r="AI157" s="180">
        <v>0</v>
      </c>
      <c r="AJ157" s="181">
        <f t="shared" si="45"/>
        <v>0</v>
      </c>
      <c r="AK157" s="180">
        <f t="shared" si="39"/>
        <v>99200000</v>
      </c>
      <c r="AL157" s="181">
        <f t="shared" si="46"/>
        <v>100</v>
      </c>
      <c r="AM157" s="243"/>
    </row>
    <row r="158" spans="1:39" s="226" customFormat="1" ht="29.25" customHeight="1" x14ac:dyDescent="0.25">
      <c r="A158" s="289" t="s">
        <v>29</v>
      </c>
      <c r="B158" s="607" t="s">
        <v>132</v>
      </c>
      <c r="C158" s="607"/>
      <c r="D158" s="607"/>
      <c r="E158" s="607"/>
      <c r="F158" s="607"/>
      <c r="G158" s="607"/>
      <c r="H158" s="607"/>
      <c r="I158" s="608"/>
      <c r="J158" s="396" t="s">
        <v>454</v>
      </c>
      <c r="K158" s="291"/>
      <c r="L158" s="607" t="s">
        <v>383</v>
      </c>
      <c r="M158" s="607"/>
      <c r="N158" s="608"/>
      <c r="O158" s="263">
        <f>SUM(O162)</f>
        <v>39710000</v>
      </c>
      <c r="P158" s="263">
        <f>SUM(P162)</f>
        <v>39710000</v>
      </c>
      <c r="Q158" s="263">
        <f>SUM(Q159+Q162)</f>
        <v>103000000</v>
      </c>
      <c r="R158" s="222">
        <f>Q158/Q$35*100</f>
        <v>0.32403945616907198</v>
      </c>
      <c r="S158" s="222">
        <v>100</v>
      </c>
      <c r="T158" s="263">
        <f t="shared" si="44"/>
        <v>0</v>
      </c>
      <c r="U158" s="263">
        <f>SUM(R158*T158/100)</f>
        <v>0</v>
      </c>
      <c r="V158" s="292">
        <f t="shared" si="55"/>
        <v>100</v>
      </c>
      <c r="W158" s="263">
        <f>SUM(W162)</f>
        <v>0</v>
      </c>
      <c r="X158" s="263" t="e">
        <f>SUM(X162)</f>
        <v>#REF!</v>
      </c>
      <c r="Y158" s="263" t="e">
        <f t="shared" ref="Y158:AH158" si="56">SUM(Y162)</f>
        <v>#REF!</v>
      </c>
      <c r="Z158" s="263" t="e">
        <f t="shared" si="56"/>
        <v>#REF!</v>
      </c>
      <c r="AA158" s="263" t="e">
        <f t="shared" si="56"/>
        <v>#REF!</v>
      </c>
      <c r="AB158" s="263">
        <f t="shared" si="56"/>
        <v>38085000</v>
      </c>
      <c r="AC158" s="263" t="e">
        <f t="shared" si="56"/>
        <v>#REF!</v>
      </c>
      <c r="AD158" s="263" t="e">
        <f t="shared" si="56"/>
        <v>#REF!</v>
      </c>
      <c r="AE158" s="263" t="e">
        <f t="shared" si="56"/>
        <v>#REF!</v>
      </c>
      <c r="AF158" s="263" t="e">
        <f t="shared" si="56"/>
        <v>#REF!</v>
      </c>
      <c r="AG158" s="263" t="e">
        <f t="shared" si="56"/>
        <v>#REF!</v>
      </c>
      <c r="AH158" s="263">
        <f t="shared" si="56"/>
        <v>38085000</v>
      </c>
      <c r="AI158" s="263">
        <f>SUM(AI159+AI162)</f>
        <v>0</v>
      </c>
      <c r="AJ158" s="222">
        <f t="shared" si="45"/>
        <v>0</v>
      </c>
      <c r="AK158" s="263">
        <f>SUM(Q158-AI158)</f>
        <v>103000000</v>
      </c>
      <c r="AL158" s="222">
        <f t="shared" si="46"/>
        <v>100</v>
      </c>
      <c r="AM158" s="289"/>
    </row>
    <row r="159" spans="1:39" s="235" customFormat="1" ht="29.25" customHeight="1" x14ac:dyDescent="0.25">
      <c r="A159" s="227">
        <f>A156+1</f>
        <v>24</v>
      </c>
      <c r="B159" s="393"/>
      <c r="C159" s="393"/>
      <c r="D159" s="393"/>
      <c r="E159" s="393"/>
      <c r="F159" s="393"/>
      <c r="G159" s="393"/>
      <c r="H159" s="393"/>
      <c r="I159" s="394"/>
      <c r="J159" s="304" t="s">
        <v>462</v>
      </c>
      <c r="K159" s="230"/>
      <c r="L159" s="393"/>
      <c r="M159" s="615" t="s">
        <v>386</v>
      </c>
      <c r="N159" s="614"/>
      <c r="O159" s="231"/>
      <c r="P159" s="231"/>
      <c r="Q159" s="231">
        <f>SUM(Q160:Q161)</f>
        <v>71000000</v>
      </c>
      <c r="R159" s="233">
        <f>Q159/Q$35*100</f>
        <v>0.2233670037670302</v>
      </c>
      <c r="S159" s="233">
        <v>100</v>
      </c>
      <c r="T159" s="231">
        <f t="shared" si="44"/>
        <v>0</v>
      </c>
      <c r="U159" s="231">
        <f t="shared" ref="U159:U164" si="57">R159*T159/100</f>
        <v>0</v>
      </c>
      <c r="V159" s="296">
        <f t="shared" si="55"/>
        <v>100</v>
      </c>
      <c r="W159" s="231"/>
      <c r="X159" s="231" t="e">
        <f>#REF!</f>
        <v>#REF!</v>
      </c>
      <c r="Y159" s="231" t="e">
        <f>#REF!</f>
        <v>#REF!</v>
      </c>
      <c r="Z159" s="231" t="e">
        <f>#REF!</f>
        <v>#REF!</v>
      </c>
      <c r="AA159" s="231" t="e">
        <f>#REF!</f>
        <v>#REF!</v>
      </c>
      <c r="AB159" s="231">
        <v>38085000</v>
      </c>
      <c r="AC159" s="231" t="e">
        <f>#REF!</f>
        <v>#REF!</v>
      </c>
      <c r="AD159" s="231" t="e">
        <f>#REF!</f>
        <v>#REF!</v>
      </c>
      <c r="AE159" s="231" t="e">
        <f>#REF!</f>
        <v>#REF!</v>
      </c>
      <c r="AF159" s="231" t="e">
        <f>[1]April!$N$43</f>
        <v>#REF!</v>
      </c>
      <c r="AG159" s="231" t="e">
        <f>[2]april!$N$43</f>
        <v>#REF!</v>
      </c>
      <c r="AH159" s="231">
        <f>'[3]DES SKPD'!$N39</f>
        <v>676934270</v>
      </c>
      <c r="AI159" s="231">
        <f>SUM(AI160:AI161)</f>
        <v>0</v>
      </c>
      <c r="AJ159" s="233">
        <f t="shared" si="45"/>
        <v>0</v>
      </c>
      <c r="AK159" s="231">
        <f t="shared" ref="AK159:AK164" si="58">Q159-AI159</f>
        <v>71000000</v>
      </c>
      <c r="AL159" s="233">
        <f t="shared" si="46"/>
        <v>100</v>
      </c>
      <c r="AM159" s="227"/>
    </row>
    <row r="160" spans="1:39" s="235" customFormat="1" ht="29.25" customHeight="1" x14ac:dyDescent="0.25">
      <c r="A160" s="227"/>
      <c r="B160" s="393"/>
      <c r="C160" s="393"/>
      <c r="D160" s="393"/>
      <c r="E160" s="393"/>
      <c r="F160" s="393"/>
      <c r="G160" s="393"/>
      <c r="H160" s="393"/>
      <c r="I160" s="394"/>
      <c r="J160" s="381" t="s">
        <v>259</v>
      </c>
      <c r="K160" s="245"/>
      <c r="L160" s="257"/>
      <c r="M160" s="597" t="s">
        <v>260</v>
      </c>
      <c r="N160" s="598"/>
      <c r="O160" s="231"/>
      <c r="P160" s="231"/>
      <c r="Q160" s="180">
        <v>800000</v>
      </c>
      <c r="R160" s="181">
        <f>Q160/Q$159*100</f>
        <v>1.1267605633802817</v>
      </c>
      <c r="S160" s="181">
        <v>100</v>
      </c>
      <c r="T160" s="180">
        <f t="shared" si="44"/>
        <v>0</v>
      </c>
      <c r="U160" s="180">
        <f t="shared" si="57"/>
        <v>0</v>
      </c>
      <c r="V160" s="182">
        <f t="shared" si="55"/>
        <v>100</v>
      </c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>
        <v>0</v>
      </c>
      <c r="AJ160" s="181">
        <f t="shared" si="45"/>
        <v>0</v>
      </c>
      <c r="AK160" s="180">
        <f t="shared" si="58"/>
        <v>800000</v>
      </c>
      <c r="AL160" s="181">
        <f t="shared" si="46"/>
        <v>100</v>
      </c>
      <c r="AM160" s="243"/>
    </row>
    <row r="161" spans="1:39" s="235" customFormat="1" ht="29.25" customHeight="1" x14ac:dyDescent="0.25">
      <c r="A161" s="227"/>
      <c r="B161" s="393"/>
      <c r="C161" s="393"/>
      <c r="D161" s="393"/>
      <c r="E161" s="393"/>
      <c r="F161" s="393"/>
      <c r="G161" s="393"/>
      <c r="H161" s="393"/>
      <c r="I161" s="394"/>
      <c r="J161" s="381" t="s">
        <v>387</v>
      </c>
      <c r="K161" s="230"/>
      <c r="L161" s="393"/>
      <c r="M161" s="597" t="s">
        <v>388</v>
      </c>
      <c r="N161" s="598"/>
      <c r="O161" s="231"/>
      <c r="P161" s="231"/>
      <c r="Q161" s="180">
        <v>70200000</v>
      </c>
      <c r="R161" s="181">
        <f>Q161/Q$159*100</f>
        <v>98.873239436619713</v>
      </c>
      <c r="S161" s="181">
        <v>100</v>
      </c>
      <c r="T161" s="180">
        <f t="shared" si="44"/>
        <v>0</v>
      </c>
      <c r="U161" s="180">
        <f t="shared" si="57"/>
        <v>0</v>
      </c>
      <c r="V161" s="182">
        <f t="shared" si="55"/>
        <v>100</v>
      </c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>
        <v>0</v>
      </c>
      <c r="AJ161" s="181">
        <f t="shared" si="45"/>
        <v>0</v>
      </c>
      <c r="AK161" s="180">
        <f t="shared" si="58"/>
        <v>70200000</v>
      </c>
      <c r="AL161" s="181">
        <f t="shared" si="46"/>
        <v>100</v>
      </c>
      <c r="AM161" s="243"/>
    </row>
    <row r="162" spans="1:39" s="297" customFormat="1" ht="28.5" customHeight="1" x14ac:dyDescent="0.25">
      <c r="A162" s="227">
        <f>A159+1</f>
        <v>25</v>
      </c>
      <c r="B162" s="615" t="s">
        <v>133</v>
      </c>
      <c r="C162" s="615"/>
      <c r="D162" s="615"/>
      <c r="E162" s="615"/>
      <c r="F162" s="615"/>
      <c r="G162" s="615"/>
      <c r="H162" s="615"/>
      <c r="I162" s="614"/>
      <c r="J162" s="304" t="s">
        <v>463</v>
      </c>
      <c r="K162" s="230"/>
      <c r="L162" s="294"/>
      <c r="M162" s="615" t="s">
        <v>134</v>
      </c>
      <c r="N162" s="614"/>
      <c r="O162" s="231">
        <v>39710000</v>
      </c>
      <c r="P162" s="231">
        <f>O162</f>
        <v>39710000</v>
      </c>
      <c r="Q162" s="231">
        <f>SUM(Q163:Q164)</f>
        <v>32000000</v>
      </c>
      <c r="R162" s="233">
        <f>Q162/Q$35*100</f>
        <v>0.10067245240204178</v>
      </c>
      <c r="S162" s="233">
        <v>100</v>
      </c>
      <c r="T162" s="231">
        <f t="shared" si="44"/>
        <v>0</v>
      </c>
      <c r="U162" s="231">
        <f t="shared" si="57"/>
        <v>0</v>
      </c>
      <c r="V162" s="296">
        <f t="shared" si="55"/>
        <v>100</v>
      </c>
      <c r="W162" s="231"/>
      <c r="X162" s="231" t="e">
        <f>#REF!</f>
        <v>#REF!</v>
      </c>
      <c r="Y162" s="231" t="e">
        <f>#REF!</f>
        <v>#REF!</v>
      </c>
      <c r="Z162" s="231" t="e">
        <f>#REF!</f>
        <v>#REF!</v>
      </c>
      <c r="AA162" s="231" t="e">
        <f>#REF!</f>
        <v>#REF!</v>
      </c>
      <c r="AB162" s="231">
        <v>38085000</v>
      </c>
      <c r="AC162" s="231" t="e">
        <f>#REF!</f>
        <v>#REF!</v>
      </c>
      <c r="AD162" s="231" t="e">
        <f>#REF!</f>
        <v>#REF!</v>
      </c>
      <c r="AE162" s="231" t="e">
        <f>#REF!</f>
        <v>#REF!</v>
      </c>
      <c r="AF162" s="231" t="e">
        <f>[1]April!$N$43</f>
        <v>#REF!</v>
      </c>
      <c r="AG162" s="231" t="e">
        <f>[2]april!$N$43</f>
        <v>#REF!</v>
      </c>
      <c r="AH162" s="231">
        <f>'[3]DES SKPD'!$N43</f>
        <v>38085000</v>
      </c>
      <c r="AI162" s="231">
        <f>SUM(AI163:AI164)</f>
        <v>0</v>
      </c>
      <c r="AJ162" s="233">
        <f t="shared" si="45"/>
        <v>0</v>
      </c>
      <c r="AK162" s="231">
        <f t="shared" si="58"/>
        <v>32000000</v>
      </c>
      <c r="AL162" s="233">
        <f t="shared" si="46"/>
        <v>100</v>
      </c>
      <c r="AM162" s="227"/>
    </row>
    <row r="163" spans="1:39" ht="24.75" customHeight="1" x14ac:dyDescent="0.25">
      <c r="A163" s="243"/>
      <c r="B163" s="381"/>
      <c r="C163" s="381"/>
      <c r="D163" s="381"/>
      <c r="E163" s="381"/>
      <c r="F163" s="381"/>
      <c r="G163" s="381"/>
      <c r="H163" s="381"/>
      <c r="I163" s="382"/>
      <c r="J163" s="381" t="s">
        <v>259</v>
      </c>
      <c r="K163" s="245"/>
      <c r="L163" s="257"/>
      <c r="M163" s="597" t="s">
        <v>260</v>
      </c>
      <c r="N163" s="598"/>
      <c r="O163" s="180"/>
      <c r="P163" s="180"/>
      <c r="Q163" s="180">
        <v>800000</v>
      </c>
      <c r="R163" s="181">
        <f>Q163/Q$162*100</f>
        <v>2.5</v>
      </c>
      <c r="S163" s="181">
        <v>100</v>
      </c>
      <c r="T163" s="180">
        <f t="shared" si="44"/>
        <v>0</v>
      </c>
      <c r="U163" s="180">
        <f t="shared" si="57"/>
        <v>0</v>
      </c>
      <c r="V163" s="182">
        <f t="shared" si="55"/>
        <v>100</v>
      </c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>
        <v>0</v>
      </c>
      <c r="AJ163" s="181">
        <f t="shared" si="45"/>
        <v>0</v>
      </c>
      <c r="AK163" s="180">
        <f t="shared" si="58"/>
        <v>800000</v>
      </c>
      <c r="AL163" s="181">
        <f t="shared" si="46"/>
        <v>100</v>
      </c>
      <c r="AM163" s="243"/>
    </row>
    <row r="164" spans="1:39" ht="24.75" customHeight="1" x14ac:dyDescent="0.25">
      <c r="A164" s="243"/>
      <c r="B164" s="381"/>
      <c r="C164" s="381"/>
      <c r="D164" s="381"/>
      <c r="E164" s="381"/>
      <c r="F164" s="381"/>
      <c r="G164" s="381"/>
      <c r="H164" s="381"/>
      <c r="I164" s="382"/>
      <c r="J164" s="381" t="s">
        <v>311</v>
      </c>
      <c r="K164" s="245"/>
      <c r="L164" s="257"/>
      <c r="M164" s="597" t="s">
        <v>312</v>
      </c>
      <c r="N164" s="598"/>
      <c r="O164" s="180"/>
      <c r="P164" s="180"/>
      <c r="Q164" s="180">
        <v>31200000</v>
      </c>
      <c r="R164" s="181">
        <f>Q164/Q$162*100</f>
        <v>97.5</v>
      </c>
      <c r="S164" s="181">
        <v>100</v>
      </c>
      <c r="T164" s="180">
        <f t="shared" si="44"/>
        <v>0</v>
      </c>
      <c r="U164" s="180">
        <f t="shared" si="57"/>
        <v>0</v>
      </c>
      <c r="V164" s="182">
        <f t="shared" si="55"/>
        <v>100</v>
      </c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>
        <v>0</v>
      </c>
      <c r="AJ164" s="181">
        <f t="shared" si="45"/>
        <v>0</v>
      </c>
      <c r="AK164" s="180">
        <f t="shared" si="58"/>
        <v>31200000</v>
      </c>
      <c r="AL164" s="181">
        <f t="shared" si="46"/>
        <v>100</v>
      </c>
      <c r="AM164" s="243"/>
    </row>
    <row r="165" spans="1:39" s="226" customFormat="1" ht="28.5" customHeight="1" x14ac:dyDescent="0.25">
      <c r="A165" s="289" t="s">
        <v>30</v>
      </c>
      <c r="B165" s="607" t="s">
        <v>135</v>
      </c>
      <c r="C165" s="607"/>
      <c r="D165" s="607"/>
      <c r="E165" s="607"/>
      <c r="F165" s="607"/>
      <c r="G165" s="607"/>
      <c r="H165" s="607"/>
      <c r="I165" s="608"/>
      <c r="J165" s="396" t="s">
        <v>464</v>
      </c>
      <c r="K165" s="291"/>
      <c r="L165" s="607" t="s">
        <v>31</v>
      </c>
      <c r="M165" s="607"/>
      <c r="N165" s="608"/>
      <c r="O165" s="263">
        <f>SUM(O166:O168)</f>
        <v>789320000</v>
      </c>
      <c r="P165" s="263">
        <f>SUM(P166:P168)</f>
        <v>789320000</v>
      </c>
      <c r="Q165" s="263">
        <f>SUM(Q166+Q168)</f>
        <v>102870000</v>
      </c>
      <c r="R165" s="222">
        <f>Q165/Q$55*100</f>
        <v>0.50978833986266314</v>
      </c>
      <c r="S165" s="305">
        <v>100</v>
      </c>
      <c r="T165" s="306">
        <f t="shared" si="44"/>
        <v>0</v>
      </c>
      <c r="U165" s="263">
        <f>SUM(R165*T165/100)</f>
        <v>0</v>
      </c>
      <c r="V165" s="307">
        <f t="shared" si="55"/>
        <v>100</v>
      </c>
      <c r="W165" s="263">
        <f t="shared" ref="W165:AH165" si="59">SUM(W166:W168)</f>
        <v>0</v>
      </c>
      <c r="X165" s="263" t="e">
        <f t="shared" si="59"/>
        <v>#REF!</v>
      </c>
      <c r="Y165" s="263" t="e">
        <f t="shared" si="59"/>
        <v>#REF!</v>
      </c>
      <c r="Z165" s="263" t="e">
        <f t="shared" si="59"/>
        <v>#REF!</v>
      </c>
      <c r="AA165" s="263" t="e">
        <f t="shared" si="59"/>
        <v>#REF!</v>
      </c>
      <c r="AB165" s="263">
        <f t="shared" si="59"/>
        <v>189087374</v>
      </c>
      <c r="AC165" s="263" t="e">
        <f t="shared" si="59"/>
        <v>#REF!</v>
      </c>
      <c r="AD165" s="263" t="e">
        <f t="shared" si="59"/>
        <v>#REF!</v>
      </c>
      <c r="AE165" s="263" t="e">
        <f t="shared" si="59"/>
        <v>#REF!</v>
      </c>
      <c r="AF165" s="263" t="e">
        <f t="shared" si="59"/>
        <v>#REF!</v>
      </c>
      <c r="AG165" s="263" t="e">
        <f t="shared" si="59"/>
        <v>#REF!</v>
      </c>
      <c r="AH165" s="263">
        <f t="shared" si="59"/>
        <v>663965174</v>
      </c>
      <c r="AI165" s="263">
        <f>SUM(AI166+AI168)</f>
        <v>0</v>
      </c>
      <c r="AJ165" s="222">
        <f t="shared" si="45"/>
        <v>0</v>
      </c>
      <c r="AK165" s="263">
        <f>SUM(Q165-AI165)</f>
        <v>102870000</v>
      </c>
      <c r="AL165" s="222">
        <f t="shared" si="46"/>
        <v>100</v>
      </c>
      <c r="AM165" s="289"/>
    </row>
    <row r="166" spans="1:39" s="297" customFormat="1" ht="29.25" customHeight="1" x14ac:dyDescent="0.25">
      <c r="A166" s="227">
        <f>A162+1</f>
        <v>26</v>
      </c>
      <c r="B166" s="615" t="s">
        <v>136</v>
      </c>
      <c r="C166" s="615"/>
      <c r="D166" s="615"/>
      <c r="E166" s="615"/>
      <c r="F166" s="615"/>
      <c r="G166" s="615"/>
      <c r="H166" s="615"/>
      <c r="I166" s="614"/>
      <c r="J166" s="304" t="s">
        <v>465</v>
      </c>
      <c r="K166" s="230"/>
      <c r="L166" s="294"/>
      <c r="M166" s="615" t="s">
        <v>32</v>
      </c>
      <c r="N166" s="614"/>
      <c r="O166" s="295">
        <v>350000000</v>
      </c>
      <c r="P166" s="231">
        <f>O166</f>
        <v>350000000</v>
      </c>
      <c r="Q166" s="231">
        <f>SUM(Q167:Q167)</f>
        <v>37300000</v>
      </c>
      <c r="R166" s="233">
        <f>Q166/Q$165*100</f>
        <v>36.259356469330221</v>
      </c>
      <c r="S166" s="233">
        <v>100</v>
      </c>
      <c r="T166" s="231">
        <f t="shared" si="44"/>
        <v>0</v>
      </c>
      <c r="U166" s="231">
        <f>R166*T166/100</f>
        <v>0</v>
      </c>
      <c r="V166" s="296">
        <f t="shared" si="55"/>
        <v>100</v>
      </c>
      <c r="W166" s="231"/>
      <c r="X166" s="231" t="e">
        <f>#REF!</f>
        <v>#REF!</v>
      </c>
      <c r="Y166" s="231" t="e">
        <f>#REF!</f>
        <v>#REF!</v>
      </c>
      <c r="Z166" s="231" t="e">
        <f>#REF!</f>
        <v>#REF!</v>
      </c>
      <c r="AA166" s="231" t="e">
        <f>#REF!</f>
        <v>#REF!</v>
      </c>
      <c r="AB166" s="231">
        <v>112882300</v>
      </c>
      <c r="AC166" s="231" t="e">
        <f>#REF!</f>
        <v>#REF!</v>
      </c>
      <c r="AD166" s="231" t="e">
        <f>#REF!</f>
        <v>#REF!</v>
      </c>
      <c r="AE166" s="231" t="e">
        <f>#REF!</f>
        <v>#REF!</v>
      </c>
      <c r="AF166" s="231" t="e">
        <f>[1]April!N45</f>
        <v>#REF!</v>
      </c>
      <c r="AG166" s="231" t="e">
        <f>[2]april!N45</f>
        <v>#REF!</v>
      </c>
      <c r="AH166" s="231">
        <f>'[3]DES SKPD'!$N45</f>
        <v>320566100</v>
      </c>
      <c r="AI166" s="231">
        <f>SUM(AI167:AI167)</f>
        <v>0</v>
      </c>
      <c r="AJ166" s="233">
        <f t="shared" si="45"/>
        <v>0</v>
      </c>
      <c r="AK166" s="231">
        <f t="shared" ref="AK166:AK176" si="60">Q166-AI166</f>
        <v>37300000</v>
      </c>
      <c r="AL166" s="233">
        <f t="shared" si="46"/>
        <v>100</v>
      </c>
      <c r="AM166" s="227"/>
    </row>
    <row r="167" spans="1:39" ht="29.25" customHeight="1" x14ac:dyDescent="0.25">
      <c r="A167" s="243"/>
      <c r="B167" s="381"/>
      <c r="C167" s="381"/>
      <c r="D167" s="381"/>
      <c r="E167" s="381"/>
      <c r="F167" s="381"/>
      <c r="G167" s="381"/>
      <c r="H167" s="381"/>
      <c r="I167" s="382"/>
      <c r="J167" s="381" t="s">
        <v>313</v>
      </c>
      <c r="K167" s="245"/>
      <c r="L167" s="257"/>
      <c r="M167" s="597" t="s">
        <v>314</v>
      </c>
      <c r="N167" s="598"/>
      <c r="O167" s="299"/>
      <c r="P167" s="180"/>
      <c r="Q167" s="180">
        <v>37300000</v>
      </c>
      <c r="R167" s="181">
        <f>Q167/Q$166*100</f>
        <v>100</v>
      </c>
      <c r="S167" s="181">
        <v>100</v>
      </c>
      <c r="T167" s="180">
        <f t="shared" si="44"/>
        <v>0</v>
      </c>
      <c r="U167" s="180">
        <f>R167*T167/100</f>
        <v>0</v>
      </c>
      <c r="V167" s="182">
        <f t="shared" si="55"/>
        <v>100</v>
      </c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>
        <v>0</v>
      </c>
      <c r="AJ167" s="181">
        <f t="shared" si="45"/>
        <v>0</v>
      </c>
      <c r="AK167" s="180">
        <f t="shared" si="60"/>
        <v>37300000</v>
      </c>
      <c r="AL167" s="181">
        <f t="shared" si="46"/>
        <v>100</v>
      </c>
      <c r="AM167" s="243"/>
    </row>
    <row r="168" spans="1:39" s="297" customFormat="1" ht="33.75" customHeight="1" x14ac:dyDescent="0.25">
      <c r="A168" s="227">
        <f>A166+1</f>
        <v>27</v>
      </c>
      <c r="B168" s="615" t="s">
        <v>137</v>
      </c>
      <c r="C168" s="615"/>
      <c r="D168" s="615"/>
      <c r="E168" s="615"/>
      <c r="F168" s="615"/>
      <c r="G168" s="615"/>
      <c r="H168" s="615"/>
      <c r="I168" s="614"/>
      <c r="J168" s="304" t="s">
        <v>466</v>
      </c>
      <c r="K168" s="230"/>
      <c r="L168" s="294"/>
      <c r="M168" s="615" t="s">
        <v>33</v>
      </c>
      <c r="N168" s="614"/>
      <c r="O168" s="295">
        <v>439320000</v>
      </c>
      <c r="P168" s="231">
        <f>O168</f>
        <v>439320000</v>
      </c>
      <c r="Q168" s="231">
        <f>SUM(Q169:Q176)</f>
        <v>65570000</v>
      </c>
      <c r="R168" s="233">
        <f>Q168/Q$165*100</f>
        <v>63.740643530669786</v>
      </c>
      <c r="S168" s="233">
        <v>100</v>
      </c>
      <c r="T168" s="231">
        <f t="shared" si="44"/>
        <v>0</v>
      </c>
      <c r="U168" s="231">
        <f>R168*T168/100</f>
        <v>0</v>
      </c>
      <c r="V168" s="296">
        <f t="shared" si="55"/>
        <v>100</v>
      </c>
      <c r="W168" s="231"/>
      <c r="X168" s="231" t="e">
        <f>#REF!</f>
        <v>#REF!</v>
      </c>
      <c r="Y168" s="231" t="e">
        <f>#REF!</f>
        <v>#REF!</v>
      </c>
      <c r="Z168" s="231" t="e">
        <f>#REF!</f>
        <v>#REF!</v>
      </c>
      <c r="AA168" s="231" t="e">
        <f>#REF!</f>
        <v>#REF!</v>
      </c>
      <c r="AB168" s="231">
        <v>76205074</v>
      </c>
      <c r="AC168" s="231" t="e">
        <f>#REF!</f>
        <v>#REF!</v>
      </c>
      <c r="AD168" s="231" t="e">
        <f>#REF!</f>
        <v>#REF!</v>
      </c>
      <c r="AE168" s="231" t="e">
        <f>#REF!</f>
        <v>#REF!</v>
      </c>
      <c r="AF168" s="231" t="e">
        <f>[1]April!N46</f>
        <v>#REF!</v>
      </c>
      <c r="AG168" s="231" t="e">
        <f>[2]april!N46</f>
        <v>#REF!</v>
      </c>
      <c r="AH168" s="231">
        <f>'[3]DES SKPD'!$N46</f>
        <v>343399074</v>
      </c>
      <c r="AI168" s="231">
        <f>SUM(AI169:AI176)</f>
        <v>0</v>
      </c>
      <c r="AJ168" s="233">
        <f t="shared" si="45"/>
        <v>0</v>
      </c>
      <c r="AK168" s="231">
        <f t="shared" si="60"/>
        <v>65570000</v>
      </c>
      <c r="AL168" s="233">
        <f t="shared" si="46"/>
        <v>100</v>
      </c>
      <c r="AM168" s="227"/>
    </row>
    <row r="169" spans="1:39" ht="28.5" customHeight="1" x14ac:dyDescent="0.25">
      <c r="A169" s="243"/>
      <c r="B169" s="381"/>
      <c r="C169" s="381"/>
      <c r="D169" s="381"/>
      <c r="E169" s="381"/>
      <c r="F169" s="381"/>
      <c r="G169" s="381"/>
      <c r="H169" s="381"/>
      <c r="I169" s="382"/>
      <c r="J169" s="381" t="s">
        <v>259</v>
      </c>
      <c r="K169" s="245"/>
      <c r="L169" s="257"/>
      <c r="M169" s="597" t="s">
        <v>260</v>
      </c>
      <c r="N169" s="598"/>
      <c r="O169" s="299"/>
      <c r="P169" s="180"/>
      <c r="Q169" s="180">
        <v>770000</v>
      </c>
      <c r="R169" s="181">
        <f t="shared" ref="R169:R176" si="61">Q169/Q$168*100</f>
        <v>1.1743175232575873</v>
      </c>
      <c r="S169" s="181">
        <v>100</v>
      </c>
      <c r="T169" s="180">
        <f t="shared" si="44"/>
        <v>0</v>
      </c>
      <c r="U169" s="180">
        <f t="shared" ref="U169:U177" si="62">R169*T169/100</f>
        <v>0</v>
      </c>
      <c r="V169" s="182">
        <f t="shared" si="55"/>
        <v>100</v>
      </c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>
        <v>0</v>
      </c>
      <c r="AJ169" s="181">
        <f t="shared" si="45"/>
        <v>0</v>
      </c>
      <c r="AK169" s="180">
        <f t="shared" si="60"/>
        <v>770000</v>
      </c>
      <c r="AL169" s="181">
        <f t="shared" si="46"/>
        <v>100</v>
      </c>
      <c r="AM169" s="243"/>
    </row>
    <row r="170" spans="1:39" ht="32.25" customHeight="1" x14ac:dyDescent="0.25">
      <c r="A170" s="243"/>
      <c r="B170" s="381"/>
      <c r="C170" s="381"/>
      <c r="D170" s="381"/>
      <c r="E170" s="381"/>
      <c r="F170" s="381"/>
      <c r="G170" s="381"/>
      <c r="H170" s="381"/>
      <c r="I170" s="382"/>
      <c r="J170" s="381" t="s">
        <v>315</v>
      </c>
      <c r="K170" s="245"/>
      <c r="L170" s="257"/>
      <c r="M170" s="597" t="s">
        <v>428</v>
      </c>
      <c r="N170" s="598"/>
      <c r="O170" s="299"/>
      <c r="P170" s="180"/>
      <c r="Q170" s="180">
        <v>1500000</v>
      </c>
      <c r="R170" s="181">
        <f t="shared" si="61"/>
        <v>2.2876315388134816</v>
      </c>
      <c r="S170" s="181">
        <v>100</v>
      </c>
      <c r="T170" s="180">
        <f t="shared" si="44"/>
        <v>0</v>
      </c>
      <c r="U170" s="180">
        <f t="shared" si="62"/>
        <v>0</v>
      </c>
      <c r="V170" s="182">
        <f t="shared" si="55"/>
        <v>100</v>
      </c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>
        <v>0</v>
      </c>
      <c r="AJ170" s="181">
        <f t="shared" si="45"/>
        <v>0</v>
      </c>
      <c r="AK170" s="180">
        <f t="shared" si="60"/>
        <v>1500000</v>
      </c>
      <c r="AL170" s="181">
        <f t="shared" si="46"/>
        <v>100</v>
      </c>
      <c r="AM170" s="243"/>
    </row>
    <row r="171" spans="1:39" ht="32.25" customHeight="1" x14ac:dyDescent="0.25">
      <c r="A171" s="243"/>
      <c r="B171" s="381"/>
      <c r="C171" s="381"/>
      <c r="D171" s="381"/>
      <c r="E171" s="381"/>
      <c r="F171" s="381"/>
      <c r="G171" s="381"/>
      <c r="H171" s="381"/>
      <c r="I171" s="382"/>
      <c r="J171" s="381" t="s">
        <v>316</v>
      </c>
      <c r="K171" s="245"/>
      <c r="L171" s="257"/>
      <c r="M171" s="597" t="s">
        <v>317</v>
      </c>
      <c r="N171" s="598"/>
      <c r="O171" s="299"/>
      <c r="P171" s="180"/>
      <c r="Q171" s="180">
        <v>300000</v>
      </c>
      <c r="R171" s="181">
        <f t="shared" si="61"/>
        <v>0.45752630776269632</v>
      </c>
      <c r="S171" s="181">
        <v>100</v>
      </c>
      <c r="T171" s="180">
        <f t="shared" si="44"/>
        <v>0</v>
      </c>
      <c r="U171" s="180">
        <f t="shared" si="62"/>
        <v>0</v>
      </c>
      <c r="V171" s="182">
        <f t="shared" si="55"/>
        <v>100</v>
      </c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>
        <v>0</v>
      </c>
      <c r="AJ171" s="181">
        <f t="shared" si="45"/>
        <v>0</v>
      </c>
      <c r="AK171" s="180">
        <f t="shared" si="60"/>
        <v>300000</v>
      </c>
      <c r="AL171" s="181">
        <f t="shared" si="46"/>
        <v>100</v>
      </c>
      <c r="AM171" s="243"/>
    </row>
    <row r="172" spans="1:39" ht="30.75" customHeight="1" x14ac:dyDescent="0.25">
      <c r="A172" s="243"/>
      <c r="B172" s="381"/>
      <c r="C172" s="381"/>
      <c r="D172" s="381"/>
      <c r="E172" s="381"/>
      <c r="F172" s="381"/>
      <c r="G172" s="381"/>
      <c r="H172" s="381"/>
      <c r="I172" s="382"/>
      <c r="J172" s="381" t="s">
        <v>318</v>
      </c>
      <c r="K172" s="245"/>
      <c r="L172" s="257"/>
      <c r="M172" s="597" t="s">
        <v>319</v>
      </c>
      <c r="N172" s="598"/>
      <c r="O172" s="299"/>
      <c r="P172" s="180"/>
      <c r="Q172" s="180">
        <v>26250000</v>
      </c>
      <c r="R172" s="181">
        <f t="shared" si="61"/>
        <v>40.033551929235934</v>
      </c>
      <c r="S172" s="181">
        <v>100</v>
      </c>
      <c r="T172" s="180">
        <f t="shared" si="44"/>
        <v>0</v>
      </c>
      <c r="U172" s="180">
        <f t="shared" si="62"/>
        <v>0</v>
      </c>
      <c r="V172" s="182">
        <f t="shared" si="55"/>
        <v>100</v>
      </c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>
        <v>0</v>
      </c>
      <c r="AJ172" s="181">
        <f t="shared" si="45"/>
        <v>0</v>
      </c>
      <c r="AK172" s="180">
        <f t="shared" si="60"/>
        <v>26250000</v>
      </c>
      <c r="AL172" s="181">
        <f t="shared" si="46"/>
        <v>100</v>
      </c>
      <c r="AM172" s="243"/>
    </row>
    <row r="173" spans="1:39" ht="24.75" customHeight="1" x14ac:dyDescent="0.25">
      <c r="A173" s="243"/>
      <c r="B173" s="381"/>
      <c r="C173" s="381"/>
      <c r="D173" s="381"/>
      <c r="E173" s="381"/>
      <c r="F173" s="381"/>
      <c r="G173" s="381"/>
      <c r="H173" s="381"/>
      <c r="I173" s="382"/>
      <c r="J173" s="381" t="s">
        <v>284</v>
      </c>
      <c r="K173" s="245"/>
      <c r="L173" s="257"/>
      <c r="M173" s="597" t="s">
        <v>585</v>
      </c>
      <c r="N173" s="598"/>
      <c r="O173" s="299"/>
      <c r="P173" s="180"/>
      <c r="Q173" s="180">
        <v>12900000</v>
      </c>
      <c r="R173" s="181">
        <f t="shared" si="61"/>
        <v>19.673631233795945</v>
      </c>
      <c r="S173" s="181">
        <v>100</v>
      </c>
      <c r="T173" s="180">
        <f t="shared" si="44"/>
        <v>0</v>
      </c>
      <c r="U173" s="180">
        <f t="shared" si="62"/>
        <v>0</v>
      </c>
      <c r="V173" s="182">
        <f t="shared" si="55"/>
        <v>100</v>
      </c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>
        <v>0</v>
      </c>
      <c r="AJ173" s="181">
        <f t="shared" si="45"/>
        <v>0</v>
      </c>
      <c r="AK173" s="180">
        <f t="shared" si="60"/>
        <v>12900000</v>
      </c>
      <c r="AL173" s="181">
        <f t="shared" si="46"/>
        <v>100</v>
      </c>
      <c r="AM173" s="243"/>
    </row>
    <row r="174" spans="1:39" ht="24.75" customHeight="1" x14ac:dyDescent="0.25">
      <c r="A174" s="243"/>
      <c r="B174" s="381"/>
      <c r="C174" s="381"/>
      <c r="D174" s="381"/>
      <c r="E174" s="381"/>
      <c r="F174" s="381"/>
      <c r="G174" s="381"/>
      <c r="H174" s="381"/>
      <c r="I174" s="382"/>
      <c r="J174" s="381" t="s">
        <v>282</v>
      </c>
      <c r="K174" s="245"/>
      <c r="L174" s="257"/>
      <c r="M174" s="597" t="s">
        <v>586</v>
      </c>
      <c r="N174" s="598"/>
      <c r="O174" s="299"/>
      <c r="P174" s="180"/>
      <c r="Q174" s="180">
        <v>5000000</v>
      </c>
      <c r="R174" s="181">
        <f t="shared" si="61"/>
        <v>7.6254384627116059</v>
      </c>
      <c r="S174" s="181">
        <v>100</v>
      </c>
      <c r="T174" s="180">
        <f t="shared" si="44"/>
        <v>0</v>
      </c>
      <c r="U174" s="180">
        <f t="shared" si="62"/>
        <v>0</v>
      </c>
      <c r="V174" s="182">
        <f>S174-T174</f>
        <v>100</v>
      </c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>
        <v>0</v>
      </c>
      <c r="AJ174" s="181">
        <f t="shared" si="45"/>
        <v>0</v>
      </c>
      <c r="AK174" s="180">
        <f t="shared" si="60"/>
        <v>5000000</v>
      </c>
      <c r="AL174" s="181">
        <f t="shared" si="46"/>
        <v>100</v>
      </c>
      <c r="AM174" s="243"/>
    </row>
    <row r="175" spans="1:39" ht="24.75" customHeight="1" x14ac:dyDescent="0.25">
      <c r="A175" s="243"/>
      <c r="B175" s="381"/>
      <c r="C175" s="381"/>
      <c r="D175" s="381"/>
      <c r="E175" s="381"/>
      <c r="F175" s="381"/>
      <c r="G175" s="381"/>
      <c r="H175" s="381"/>
      <c r="I175" s="382"/>
      <c r="J175" s="381" t="s">
        <v>320</v>
      </c>
      <c r="K175" s="245"/>
      <c r="L175" s="257"/>
      <c r="M175" s="597" t="s">
        <v>321</v>
      </c>
      <c r="N175" s="598"/>
      <c r="O175" s="299"/>
      <c r="P175" s="180"/>
      <c r="Q175" s="180">
        <v>18400000</v>
      </c>
      <c r="R175" s="181">
        <f t="shared" si="61"/>
        <v>28.061613542778709</v>
      </c>
      <c r="S175" s="181">
        <v>100</v>
      </c>
      <c r="T175" s="180">
        <f t="shared" si="44"/>
        <v>0</v>
      </c>
      <c r="U175" s="180">
        <f t="shared" si="62"/>
        <v>0</v>
      </c>
      <c r="V175" s="182">
        <f t="shared" ref="V175:V176" si="63">S175-T175</f>
        <v>100</v>
      </c>
      <c r="W175" s="180"/>
      <c r="X175" s="180"/>
      <c r="Y175" s="180"/>
      <c r="Z175" s="180"/>
      <c r="AA175" s="180"/>
      <c r="AB175" s="180"/>
      <c r="AC175" s="180"/>
      <c r="AD175" s="180"/>
      <c r="AE175" s="180"/>
      <c r="AF175" s="180"/>
      <c r="AG175" s="180"/>
      <c r="AH175" s="180"/>
      <c r="AI175" s="180">
        <v>0</v>
      </c>
      <c r="AJ175" s="181">
        <f t="shared" si="45"/>
        <v>0</v>
      </c>
      <c r="AK175" s="180">
        <f t="shared" si="60"/>
        <v>18400000</v>
      </c>
      <c r="AL175" s="181">
        <f t="shared" si="46"/>
        <v>100</v>
      </c>
      <c r="AM175" s="243"/>
    </row>
    <row r="176" spans="1:39" ht="24.75" customHeight="1" x14ac:dyDescent="0.25">
      <c r="A176" s="243"/>
      <c r="B176" s="381"/>
      <c r="C176" s="381"/>
      <c r="D176" s="381"/>
      <c r="E176" s="381"/>
      <c r="F176" s="381"/>
      <c r="G176" s="381"/>
      <c r="H176" s="381"/>
      <c r="I176" s="382"/>
      <c r="J176" s="381" t="s">
        <v>407</v>
      </c>
      <c r="K176" s="245"/>
      <c r="L176" s="257"/>
      <c r="M176" s="597" t="s">
        <v>414</v>
      </c>
      <c r="N176" s="598"/>
      <c r="O176" s="299"/>
      <c r="P176" s="180"/>
      <c r="Q176" s="180">
        <v>450000</v>
      </c>
      <c r="R176" s="181">
        <f t="shared" si="61"/>
        <v>0.68628946164404447</v>
      </c>
      <c r="S176" s="181">
        <v>100</v>
      </c>
      <c r="T176" s="180">
        <f t="shared" si="44"/>
        <v>0</v>
      </c>
      <c r="U176" s="180">
        <f t="shared" si="62"/>
        <v>0</v>
      </c>
      <c r="V176" s="182">
        <f t="shared" si="63"/>
        <v>100</v>
      </c>
      <c r="W176" s="180"/>
      <c r="X176" s="180"/>
      <c r="Y176" s="180"/>
      <c r="Z176" s="180"/>
      <c r="AA176" s="180"/>
      <c r="AB176" s="180"/>
      <c r="AC176" s="180"/>
      <c r="AD176" s="180"/>
      <c r="AE176" s="180"/>
      <c r="AF176" s="180"/>
      <c r="AG176" s="180"/>
      <c r="AH176" s="180"/>
      <c r="AI176" s="180">
        <v>0</v>
      </c>
      <c r="AJ176" s="181">
        <f t="shared" si="45"/>
        <v>0</v>
      </c>
      <c r="AK176" s="180">
        <f t="shared" si="60"/>
        <v>450000</v>
      </c>
      <c r="AL176" s="181">
        <f t="shared" si="46"/>
        <v>100</v>
      </c>
      <c r="AM176" s="243"/>
    </row>
    <row r="177" spans="1:44" s="226" customFormat="1" ht="36.75" customHeight="1" x14ac:dyDescent="0.25">
      <c r="A177" s="289" t="s">
        <v>34</v>
      </c>
      <c r="B177" s="607" t="s">
        <v>138</v>
      </c>
      <c r="C177" s="607"/>
      <c r="D177" s="607"/>
      <c r="E177" s="607"/>
      <c r="F177" s="607"/>
      <c r="G177" s="607"/>
      <c r="H177" s="607"/>
      <c r="I177" s="608"/>
      <c r="J177" s="396" t="s">
        <v>467</v>
      </c>
      <c r="K177" s="291"/>
      <c r="L177" s="607" t="s">
        <v>35</v>
      </c>
      <c r="M177" s="607"/>
      <c r="N177" s="608"/>
      <c r="O177" s="263">
        <f>SUM(O178:O227)</f>
        <v>2212865000</v>
      </c>
      <c r="P177" s="263">
        <f>SUM(P178:P227)</f>
        <v>1923365000</v>
      </c>
      <c r="Q177" s="263">
        <f>SUM(Q178+Q190+Q198+Q206+Q213+Q219+Q227+Q238)</f>
        <v>1358098427</v>
      </c>
      <c r="R177" s="222">
        <f>Q177/Q$55*100</f>
        <v>6.7302687126511538</v>
      </c>
      <c r="S177" s="222">
        <f>S178</f>
        <v>100</v>
      </c>
      <c r="T177" s="263">
        <f t="shared" si="44"/>
        <v>10.759676699043846</v>
      </c>
      <c r="U177" s="263">
        <f t="shared" si="62"/>
        <v>0.72415515445816436</v>
      </c>
      <c r="V177" s="292">
        <f t="shared" si="55"/>
        <v>89.240323300956149</v>
      </c>
      <c r="W177" s="263">
        <f t="shared" ref="W177:AH177" si="64">SUM(W178:W227)</f>
        <v>0</v>
      </c>
      <c r="X177" s="263" t="e">
        <f t="shared" si="64"/>
        <v>#REF!</v>
      </c>
      <c r="Y177" s="263" t="e">
        <f t="shared" si="64"/>
        <v>#REF!</v>
      </c>
      <c r="Z177" s="263" t="e">
        <f t="shared" si="64"/>
        <v>#REF!</v>
      </c>
      <c r="AA177" s="263" t="e">
        <f t="shared" si="64"/>
        <v>#REF!</v>
      </c>
      <c r="AB177" s="263">
        <f t="shared" si="64"/>
        <v>1160108089</v>
      </c>
      <c r="AC177" s="263" t="e">
        <f t="shared" si="64"/>
        <v>#REF!</v>
      </c>
      <c r="AD177" s="263" t="e">
        <f t="shared" si="64"/>
        <v>#REF!</v>
      </c>
      <c r="AE177" s="263" t="e">
        <f t="shared" si="64"/>
        <v>#REF!</v>
      </c>
      <c r="AF177" s="263" t="e">
        <f t="shared" si="64"/>
        <v>#REF!</v>
      </c>
      <c r="AG177" s="263" t="e">
        <f t="shared" si="64"/>
        <v>#REF!</v>
      </c>
      <c r="AH177" s="263" t="e">
        <f t="shared" si="64"/>
        <v>#REF!</v>
      </c>
      <c r="AI177" s="263">
        <f>SUM(AI178+AI190+AI198+AI206+AI213+AI219+AI227+AI238)</f>
        <v>146127000</v>
      </c>
      <c r="AJ177" s="222">
        <f t="shared" si="45"/>
        <v>10.759676699043846</v>
      </c>
      <c r="AK177" s="263">
        <f>SUM(Q177-AI177)</f>
        <v>1211971427</v>
      </c>
      <c r="AL177" s="222">
        <f t="shared" si="46"/>
        <v>89.240323300956163</v>
      </c>
      <c r="AM177" s="289"/>
    </row>
    <row r="178" spans="1:44" s="297" customFormat="1" ht="28.5" customHeight="1" x14ac:dyDescent="0.25">
      <c r="A178" s="227">
        <f>A168+1</f>
        <v>28</v>
      </c>
      <c r="B178" s="615" t="s">
        <v>139</v>
      </c>
      <c r="C178" s="615"/>
      <c r="D178" s="615"/>
      <c r="E178" s="615"/>
      <c r="F178" s="615"/>
      <c r="G178" s="615"/>
      <c r="H178" s="615"/>
      <c r="I178" s="614"/>
      <c r="J178" s="304" t="s">
        <v>468</v>
      </c>
      <c r="K178" s="230"/>
      <c r="L178" s="294"/>
      <c r="M178" s="615" t="s">
        <v>36</v>
      </c>
      <c r="N178" s="614"/>
      <c r="O178" s="300">
        <v>1093890000</v>
      </c>
      <c r="P178" s="231">
        <f>[9]Sheet1!$U$80</f>
        <v>804390000</v>
      </c>
      <c r="Q178" s="231">
        <f>SUM(Q179:Q189)</f>
        <v>496093427</v>
      </c>
      <c r="R178" s="233">
        <f>Q178/Q$177*100</f>
        <v>36.528532626008264</v>
      </c>
      <c r="S178" s="233">
        <v>100</v>
      </c>
      <c r="T178" s="231">
        <f t="shared" si="44"/>
        <v>9.9174867721035138</v>
      </c>
      <c r="U178" s="231">
        <f>R178*T178/100</f>
        <v>3.622712391227886</v>
      </c>
      <c r="V178" s="296">
        <f t="shared" si="55"/>
        <v>90.082513227896484</v>
      </c>
      <c r="W178" s="231"/>
      <c r="X178" s="231" t="e">
        <f>#REF!</f>
        <v>#REF!</v>
      </c>
      <c r="Y178" s="231" t="e">
        <f>#REF!</f>
        <v>#REF!</v>
      </c>
      <c r="Z178" s="231" t="e">
        <f>#REF!</f>
        <v>#REF!</v>
      </c>
      <c r="AA178" s="231" t="e">
        <f>#REF!</f>
        <v>#REF!</v>
      </c>
      <c r="AB178" s="231">
        <v>258208050</v>
      </c>
      <c r="AC178" s="231" t="e">
        <f>#REF!</f>
        <v>#REF!</v>
      </c>
      <c r="AD178" s="231" t="e">
        <f>#REF!</f>
        <v>#REF!</v>
      </c>
      <c r="AE178" s="231" t="e">
        <f>#REF!</f>
        <v>#REF!</v>
      </c>
      <c r="AF178" s="231" t="e">
        <f>[1]April!N48</f>
        <v>#REF!</v>
      </c>
      <c r="AG178" s="231" t="e">
        <f>[2]april!N48</f>
        <v>#REF!</v>
      </c>
      <c r="AH178" s="231">
        <f>'[3]DES SKPD'!$N48</f>
        <v>531334050</v>
      </c>
      <c r="AI178" s="231">
        <f>SUM(AI179:AI189)</f>
        <v>49200000</v>
      </c>
      <c r="AJ178" s="233">
        <f t="shared" si="45"/>
        <v>9.9174867721035138</v>
      </c>
      <c r="AK178" s="231">
        <f>Q178-AI178</f>
        <v>446893427</v>
      </c>
      <c r="AL178" s="233">
        <f t="shared" si="46"/>
        <v>90.082513227896484</v>
      </c>
      <c r="AM178" s="227"/>
    </row>
    <row r="179" spans="1:44" ht="28.5" customHeight="1" x14ac:dyDescent="0.25">
      <c r="A179" s="243"/>
      <c r="B179" s="381"/>
      <c r="C179" s="381"/>
      <c r="D179" s="381"/>
      <c r="E179" s="381"/>
      <c r="F179" s="381"/>
      <c r="G179" s="381"/>
      <c r="H179" s="381"/>
      <c r="I179" s="382"/>
      <c r="J179" s="381" t="s">
        <v>259</v>
      </c>
      <c r="K179" s="245"/>
      <c r="L179" s="257"/>
      <c r="M179" s="597" t="s">
        <v>260</v>
      </c>
      <c r="N179" s="598"/>
      <c r="O179" s="301"/>
      <c r="P179" s="180"/>
      <c r="Q179" s="180">
        <v>1096000</v>
      </c>
      <c r="R179" s="181">
        <f t="shared" ref="R179:R189" si="65">Q179/Q$178*100</f>
        <v>0.22092612809401324</v>
      </c>
      <c r="S179" s="181">
        <v>100</v>
      </c>
      <c r="T179" s="180">
        <f t="shared" si="44"/>
        <v>0</v>
      </c>
      <c r="U179" s="180">
        <f t="shared" ref="U179:U187" si="66">R179*T179/100</f>
        <v>0</v>
      </c>
      <c r="V179" s="182">
        <f t="shared" si="55"/>
        <v>100</v>
      </c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>
        <v>0</v>
      </c>
      <c r="AJ179" s="181">
        <f t="shared" si="45"/>
        <v>0</v>
      </c>
      <c r="AK179" s="180">
        <f t="shared" ref="AK179:AK242" si="67">Q179-AI179</f>
        <v>1096000</v>
      </c>
      <c r="AL179" s="181">
        <f t="shared" si="46"/>
        <v>100</v>
      </c>
      <c r="AM179" s="243"/>
      <c r="AR179" s="205">
        <f>SUM(69300000-48250000)</f>
        <v>21050000</v>
      </c>
    </row>
    <row r="180" spans="1:44" ht="28.5" customHeight="1" x14ac:dyDescent="0.25">
      <c r="A180" s="243"/>
      <c r="B180" s="381"/>
      <c r="C180" s="381"/>
      <c r="D180" s="381"/>
      <c r="E180" s="381"/>
      <c r="F180" s="381"/>
      <c r="G180" s="381"/>
      <c r="H180" s="381"/>
      <c r="I180" s="382"/>
      <c r="J180" s="381" t="s">
        <v>273</v>
      </c>
      <c r="K180" s="245"/>
      <c r="L180" s="257"/>
      <c r="M180" s="597" t="s">
        <v>322</v>
      </c>
      <c r="N180" s="598"/>
      <c r="O180" s="301"/>
      <c r="P180" s="180"/>
      <c r="Q180" s="180">
        <v>6900000</v>
      </c>
      <c r="R180" s="181">
        <f t="shared" si="65"/>
        <v>1.3908670473072002</v>
      </c>
      <c r="S180" s="181">
        <v>100</v>
      </c>
      <c r="T180" s="180">
        <f>AJ180</f>
        <v>0</v>
      </c>
      <c r="U180" s="180">
        <f t="shared" si="66"/>
        <v>0</v>
      </c>
      <c r="V180" s="182">
        <f t="shared" si="55"/>
        <v>100</v>
      </c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0">
        <v>0</v>
      </c>
      <c r="AJ180" s="181">
        <f>AI180/Q180*100</f>
        <v>0</v>
      </c>
      <c r="AK180" s="180">
        <f t="shared" si="67"/>
        <v>6900000</v>
      </c>
      <c r="AL180" s="181">
        <f t="shared" si="46"/>
        <v>100</v>
      </c>
      <c r="AM180" s="243"/>
    </row>
    <row r="181" spans="1:44" ht="28.5" customHeight="1" x14ac:dyDescent="0.25">
      <c r="A181" s="243"/>
      <c r="B181" s="381"/>
      <c r="C181" s="381"/>
      <c r="D181" s="381"/>
      <c r="E181" s="381"/>
      <c r="F181" s="381"/>
      <c r="G181" s="381"/>
      <c r="H181" s="381"/>
      <c r="I181" s="382"/>
      <c r="J181" s="381" t="s">
        <v>587</v>
      </c>
      <c r="K181" s="245"/>
      <c r="L181" s="257"/>
      <c r="M181" s="597" t="s">
        <v>588</v>
      </c>
      <c r="N181" s="598"/>
      <c r="O181" s="301"/>
      <c r="P181" s="180"/>
      <c r="Q181" s="180">
        <v>80900000</v>
      </c>
      <c r="R181" s="181">
        <f t="shared" si="65"/>
        <v>16.307412192340941</v>
      </c>
      <c r="S181" s="181">
        <v>100</v>
      </c>
      <c r="T181" s="180">
        <f>AJ181</f>
        <v>0</v>
      </c>
      <c r="U181" s="180">
        <f t="shared" si="66"/>
        <v>0</v>
      </c>
      <c r="V181" s="182">
        <f t="shared" si="55"/>
        <v>100</v>
      </c>
      <c r="W181" s="180"/>
      <c r="X181" s="180"/>
      <c r="Y181" s="180"/>
      <c r="Z181" s="180"/>
      <c r="AA181" s="180"/>
      <c r="AB181" s="180"/>
      <c r="AC181" s="180"/>
      <c r="AD181" s="180"/>
      <c r="AE181" s="180"/>
      <c r="AF181" s="180"/>
      <c r="AG181" s="180"/>
      <c r="AH181" s="180"/>
      <c r="AI181" s="180">
        <v>0</v>
      </c>
      <c r="AJ181" s="181">
        <f>AI181/Q181*100</f>
        <v>0</v>
      </c>
      <c r="AK181" s="180">
        <f t="shared" si="67"/>
        <v>80900000</v>
      </c>
      <c r="AL181" s="181"/>
      <c r="AM181" s="243"/>
    </row>
    <row r="182" spans="1:44" ht="28.5" customHeight="1" x14ac:dyDescent="0.25">
      <c r="A182" s="243"/>
      <c r="B182" s="381"/>
      <c r="C182" s="381"/>
      <c r="D182" s="381"/>
      <c r="E182" s="381"/>
      <c r="F182" s="381"/>
      <c r="G182" s="381"/>
      <c r="H182" s="381"/>
      <c r="I182" s="382"/>
      <c r="J182" s="381" t="s">
        <v>323</v>
      </c>
      <c r="K182" s="245"/>
      <c r="L182" s="257"/>
      <c r="M182" s="597" t="s">
        <v>324</v>
      </c>
      <c r="N182" s="598"/>
      <c r="O182" s="301"/>
      <c r="P182" s="180"/>
      <c r="Q182" s="180">
        <v>23150000</v>
      </c>
      <c r="R182" s="181">
        <f t="shared" si="65"/>
        <v>4.6664597311828526</v>
      </c>
      <c r="S182" s="181">
        <v>100</v>
      </c>
      <c r="T182" s="180">
        <f t="shared" si="44"/>
        <v>0</v>
      </c>
      <c r="U182" s="180">
        <f t="shared" si="66"/>
        <v>0</v>
      </c>
      <c r="V182" s="182">
        <f t="shared" si="55"/>
        <v>100</v>
      </c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>
        <v>0</v>
      </c>
      <c r="AJ182" s="181">
        <f t="shared" si="45"/>
        <v>0</v>
      </c>
      <c r="AK182" s="180">
        <f t="shared" si="67"/>
        <v>23150000</v>
      </c>
      <c r="AL182" s="181">
        <f t="shared" si="46"/>
        <v>100</v>
      </c>
      <c r="AM182" s="243"/>
    </row>
    <row r="183" spans="1:44" ht="28.5" customHeight="1" x14ac:dyDescent="0.25">
      <c r="A183" s="243"/>
      <c r="B183" s="381"/>
      <c r="C183" s="381"/>
      <c r="D183" s="381"/>
      <c r="E183" s="381"/>
      <c r="F183" s="381"/>
      <c r="G183" s="381"/>
      <c r="H183" s="381"/>
      <c r="I183" s="382"/>
      <c r="J183" s="381" t="s">
        <v>269</v>
      </c>
      <c r="K183" s="245"/>
      <c r="L183" s="257"/>
      <c r="M183" s="597" t="s">
        <v>589</v>
      </c>
      <c r="N183" s="598"/>
      <c r="O183" s="301"/>
      <c r="P183" s="180"/>
      <c r="Q183" s="180">
        <v>23500000</v>
      </c>
      <c r="R183" s="181">
        <f t="shared" si="65"/>
        <v>4.737010958220174</v>
      </c>
      <c r="S183" s="181">
        <v>100</v>
      </c>
      <c r="T183" s="180">
        <f t="shared" si="44"/>
        <v>0</v>
      </c>
      <c r="U183" s="180">
        <f t="shared" si="66"/>
        <v>0</v>
      </c>
      <c r="V183" s="182">
        <f t="shared" si="55"/>
        <v>100</v>
      </c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>
        <v>0</v>
      </c>
      <c r="AJ183" s="181">
        <f t="shared" si="45"/>
        <v>0</v>
      </c>
      <c r="AK183" s="180">
        <f t="shared" si="67"/>
        <v>23500000</v>
      </c>
      <c r="AL183" s="181">
        <f t="shared" si="46"/>
        <v>100</v>
      </c>
      <c r="AM183" s="243"/>
    </row>
    <row r="184" spans="1:44" ht="28.5" customHeight="1" x14ac:dyDescent="0.25">
      <c r="A184" s="243"/>
      <c r="B184" s="381"/>
      <c r="C184" s="381"/>
      <c r="D184" s="381"/>
      <c r="E184" s="381"/>
      <c r="F184" s="381"/>
      <c r="G184" s="381"/>
      <c r="H184" s="381"/>
      <c r="I184" s="382"/>
      <c r="J184" s="381" t="s">
        <v>315</v>
      </c>
      <c r="K184" s="245"/>
      <c r="L184" s="257"/>
      <c r="M184" s="597" t="s">
        <v>271</v>
      </c>
      <c r="N184" s="598"/>
      <c r="O184" s="301"/>
      <c r="P184" s="180"/>
      <c r="Q184" s="180">
        <v>5200000</v>
      </c>
      <c r="R184" s="181">
        <f t="shared" si="65"/>
        <v>1.0481896588402086</v>
      </c>
      <c r="S184" s="181">
        <v>100</v>
      </c>
      <c r="T184" s="180">
        <f t="shared" si="44"/>
        <v>0</v>
      </c>
      <c r="U184" s="180">
        <f t="shared" si="66"/>
        <v>0</v>
      </c>
      <c r="V184" s="182">
        <f t="shared" si="55"/>
        <v>100</v>
      </c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>
        <v>0</v>
      </c>
      <c r="AJ184" s="181">
        <f t="shared" si="45"/>
        <v>0</v>
      </c>
      <c r="AK184" s="180">
        <f t="shared" si="67"/>
        <v>5200000</v>
      </c>
      <c r="AL184" s="181">
        <f t="shared" si="46"/>
        <v>100</v>
      </c>
      <c r="AM184" s="243"/>
    </row>
    <row r="185" spans="1:44" ht="28.5" customHeight="1" x14ac:dyDescent="0.25">
      <c r="A185" s="243"/>
      <c r="B185" s="381"/>
      <c r="C185" s="381"/>
      <c r="D185" s="381"/>
      <c r="E185" s="381"/>
      <c r="F185" s="381"/>
      <c r="G185" s="381"/>
      <c r="H185" s="381"/>
      <c r="I185" s="382"/>
      <c r="J185" s="381" t="s">
        <v>328</v>
      </c>
      <c r="K185" s="245"/>
      <c r="L185" s="257"/>
      <c r="M185" s="597" t="s">
        <v>329</v>
      </c>
      <c r="N185" s="598"/>
      <c r="O185" s="301"/>
      <c r="P185" s="180"/>
      <c r="Q185" s="180">
        <v>36000000</v>
      </c>
      <c r="R185" s="181">
        <f t="shared" si="65"/>
        <v>7.2566976381245221</v>
      </c>
      <c r="S185" s="181">
        <v>100</v>
      </c>
      <c r="T185" s="180">
        <f t="shared" si="44"/>
        <v>0</v>
      </c>
      <c r="U185" s="180">
        <f t="shared" si="66"/>
        <v>0</v>
      </c>
      <c r="V185" s="182">
        <f t="shared" si="55"/>
        <v>100</v>
      </c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>
        <v>0</v>
      </c>
      <c r="AJ185" s="181">
        <f t="shared" si="45"/>
        <v>0</v>
      </c>
      <c r="AK185" s="180">
        <f t="shared" si="67"/>
        <v>36000000</v>
      </c>
      <c r="AL185" s="181">
        <f t="shared" si="46"/>
        <v>100</v>
      </c>
      <c r="AM185" s="243"/>
    </row>
    <row r="186" spans="1:44" ht="28.5" customHeight="1" x14ac:dyDescent="0.25">
      <c r="A186" s="243"/>
      <c r="B186" s="381"/>
      <c r="C186" s="381"/>
      <c r="D186" s="381"/>
      <c r="E186" s="381"/>
      <c r="F186" s="381"/>
      <c r="G186" s="381"/>
      <c r="H186" s="381"/>
      <c r="I186" s="382"/>
      <c r="J186" s="381" t="s">
        <v>280</v>
      </c>
      <c r="K186" s="245"/>
      <c r="L186" s="257"/>
      <c r="M186" s="597" t="s">
        <v>425</v>
      </c>
      <c r="N186" s="598"/>
      <c r="O186" s="301"/>
      <c r="P186" s="180"/>
      <c r="Q186" s="180">
        <v>40500000</v>
      </c>
      <c r="R186" s="181">
        <f t="shared" si="65"/>
        <v>8.1637848428900881</v>
      </c>
      <c r="S186" s="181">
        <v>100</v>
      </c>
      <c r="T186" s="180">
        <f t="shared" si="44"/>
        <v>0</v>
      </c>
      <c r="U186" s="180">
        <f t="shared" si="66"/>
        <v>0</v>
      </c>
      <c r="V186" s="182">
        <f t="shared" si="55"/>
        <v>100</v>
      </c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>
        <v>0</v>
      </c>
      <c r="AJ186" s="181">
        <f t="shared" si="45"/>
        <v>0</v>
      </c>
      <c r="AK186" s="180">
        <f t="shared" si="67"/>
        <v>40500000</v>
      </c>
      <c r="AL186" s="181">
        <f t="shared" si="46"/>
        <v>100</v>
      </c>
      <c r="AM186" s="243"/>
    </row>
    <row r="187" spans="1:44" ht="28.5" customHeight="1" x14ac:dyDescent="0.25">
      <c r="A187" s="243"/>
      <c r="B187" s="381"/>
      <c r="C187" s="381"/>
      <c r="D187" s="381"/>
      <c r="E187" s="381"/>
      <c r="F187" s="381"/>
      <c r="G187" s="381"/>
      <c r="H187" s="381"/>
      <c r="I187" s="382"/>
      <c r="J187" s="381" t="s">
        <v>282</v>
      </c>
      <c r="K187" s="245"/>
      <c r="L187" s="257"/>
      <c r="M187" s="597" t="s">
        <v>590</v>
      </c>
      <c r="N187" s="598"/>
      <c r="O187" s="301"/>
      <c r="P187" s="180"/>
      <c r="Q187" s="180">
        <v>40047427</v>
      </c>
      <c r="R187" s="181">
        <f t="shared" si="65"/>
        <v>8.0725574701073395</v>
      </c>
      <c r="S187" s="181">
        <v>100</v>
      </c>
      <c r="T187" s="180">
        <f t="shared" si="44"/>
        <v>0</v>
      </c>
      <c r="U187" s="180">
        <f t="shared" si="66"/>
        <v>0</v>
      </c>
      <c r="V187" s="182">
        <f t="shared" si="55"/>
        <v>100</v>
      </c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>
        <v>0</v>
      </c>
      <c r="AJ187" s="181">
        <f t="shared" si="45"/>
        <v>0</v>
      </c>
      <c r="AK187" s="180">
        <f t="shared" si="67"/>
        <v>40047427</v>
      </c>
      <c r="AL187" s="181">
        <f t="shared" si="46"/>
        <v>100</v>
      </c>
      <c r="AM187" s="243"/>
    </row>
    <row r="188" spans="1:44" ht="28.5" customHeight="1" x14ac:dyDescent="0.25">
      <c r="A188" s="243"/>
      <c r="B188" s="381"/>
      <c r="C188" s="381"/>
      <c r="D188" s="381"/>
      <c r="E188" s="381"/>
      <c r="F188" s="381"/>
      <c r="G188" s="381"/>
      <c r="H188" s="381"/>
      <c r="I188" s="382"/>
      <c r="J188" s="381" t="s">
        <v>306</v>
      </c>
      <c r="K188" s="245"/>
      <c r="L188" s="257"/>
      <c r="M188" s="597" t="s">
        <v>591</v>
      </c>
      <c r="N188" s="598"/>
      <c r="O188" s="301"/>
      <c r="P188" s="180"/>
      <c r="Q188" s="180">
        <v>40000000</v>
      </c>
      <c r="R188" s="181">
        <f t="shared" si="65"/>
        <v>8.0629973756939126</v>
      </c>
      <c r="S188" s="181">
        <v>100</v>
      </c>
      <c r="T188" s="180">
        <f>AJ189</f>
        <v>0</v>
      </c>
      <c r="U188" s="180">
        <f>R188*T188/100</f>
        <v>0</v>
      </c>
      <c r="V188" s="182">
        <f>S188-T188</f>
        <v>100</v>
      </c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>
        <v>0</v>
      </c>
      <c r="AJ188" s="181">
        <f>AI188/Q188*100</f>
        <v>0</v>
      </c>
      <c r="AK188" s="180">
        <f t="shared" si="67"/>
        <v>40000000</v>
      </c>
      <c r="AL188" s="181">
        <f t="shared" si="46"/>
        <v>100</v>
      </c>
      <c r="AM188" s="243"/>
    </row>
    <row r="189" spans="1:44" ht="28.5" customHeight="1" x14ac:dyDescent="0.25">
      <c r="A189" s="243"/>
      <c r="B189" s="381"/>
      <c r="C189" s="381"/>
      <c r="D189" s="381"/>
      <c r="E189" s="381"/>
      <c r="F189" s="381"/>
      <c r="G189" s="381"/>
      <c r="H189" s="381"/>
      <c r="I189" s="382"/>
      <c r="J189" s="381" t="s">
        <v>551</v>
      </c>
      <c r="K189" s="245"/>
      <c r="L189" s="257"/>
      <c r="M189" s="597" t="s">
        <v>550</v>
      </c>
      <c r="N189" s="598"/>
      <c r="O189" s="301"/>
      <c r="P189" s="180"/>
      <c r="Q189" s="180">
        <v>198800000</v>
      </c>
      <c r="R189" s="181">
        <f t="shared" si="65"/>
        <v>40.07309695719875</v>
      </c>
      <c r="S189" s="181">
        <v>100</v>
      </c>
      <c r="T189" s="180">
        <f>AJ190</f>
        <v>0</v>
      </c>
      <c r="U189" s="180">
        <f>R189*T189/100</f>
        <v>0</v>
      </c>
      <c r="V189" s="182">
        <f>S189-T189</f>
        <v>100</v>
      </c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>
        <f>32800000+16400000</f>
        <v>49200000</v>
      </c>
      <c r="AJ189" s="181">
        <f>AI188/Q188*100</f>
        <v>0</v>
      </c>
      <c r="AK189" s="180">
        <f t="shared" si="67"/>
        <v>149600000</v>
      </c>
      <c r="AL189" s="181">
        <f t="shared" si="46"/>
        <v>75.251509054325965</v>
      </c>
      <c r="AM189" s="243"/>
    </row>
    <row r="190" spans="1:44" s="297" customFormat="1" ht="28.5" customHeight="1" x14ac:dyDescent="0.25">
      <c r="A190" s="227">
        <f>A178+1</f>
        <v>29</v>
      </c>
      <c r="B190" s="615" t="s">
        <v>140</v>
      </c>
      <c r="C190" s="615"/>
      <c r="D190" s="615"/>
      <c r="E190" s="615"/>
      <c r="F190" s="615"/>
      <c r="G190" s="615"/>
      <c r="H190" s="615"/>
      <c r="I190" s="614"/>
      <c r="J190" s="304" t="s">
        <v>469</v>
      </c>
      <c r="K190" s="230"/>
      <c r="L190" s="294"/>
      <c r="M190" s="615" t="s">
        <v>37</v>
      </c>
      <c r="N190" s="614"/>
      <c r="O190" s="295">
        <v>144225000</v>
      </c>
      <c r="P190" s="231">
        <f>O190</f>
        <v>144225000</v>
      </c>
      <c r="Q190" s="231">
        <f>SUM(Q191:Q197)</f>
        <v>131070000</v>
      </c>
      <c r="R190" s="233">
        <f>Q190/Q$177*100</f>
        <v>9.6509941690698966</v>
      </c>
      <c r="S190" s="233">
        <v>100</v>
      </c>
      <c r="T190" s="231">
        <f t="shared" si="44"/>
        <v>0</v>
      </c>
      <c r="U190" s="231">
        <f>R190*T190/100</f>
        <v>0</v>
      </c>
      <c r="V190" s="296">
        <f t="shared" si="55"/>
        <v>100</v>
      </c>
      <c r="W190" s="231"/>
      <c r="X190" s="231" t="e">
        <f>#REF!</f>
        <v>#REF!</v>
      </c>
      <c r="Y190" s="231" t="e">
        <f>#REF!</f>
        <v>#REF!</v>
      </c>
      <c r="Z190" s="231" t="e">
        <f>#REF!</f>
        <v>#REF!</v>
      </c>
      <c r="AA190" s="231" t="e">
        <f>#REF!</f>
        <v>#REF!</v>
      </c>
      <c r="AB190" s="231">
        <v>0</v>
      </c>
      <c r="AC190" s="231" t="e">
        <f>#REF!</f>
        <v>#REF!</v>
      </c>
      <c r="AD190" s="231" t="e">
        <f>#REF!</f>
        <v>#REF!</v>
      </c>
      <c r="AE190" s="231" t="e">
        <f>#REF!</f>
        <v>#REF!</v>
      </c>
      <c r="AF190" s="231" t="e">
        <f>[1]April!N49</f>
        <v>#REF!</v>
      </c>
      <c r="AG190" s="231" t="e">
        <f>[2]april!N49</f>
        <v>#REF!</v>
      </c>
      <c r="AH190" s="231">
        <f>'[3]DES SKPD'!$N49</f>
        <v>143100490</v>
      </c>
      <c r="AI190" s="231">
        <f>SUM(AI191:AI197)</f>
        <v>0</v>
      </c>
      <c r="AJ190" s="233">
        <f t="shared" si="45"/>
        <v>0</v>
      </c>
      <c r="AK190" s="231">
        <f t="shared" si="67"/>
        <v>131070000</v>
      </c>
      <c r="AL190" s="233">
        <f t="shared" si="46"/>
        <v>100</v>
      </c>
      <c r="AM190" s="227"/>
    </row>
    <row r="191" spans="1:44" ht="28.5" customHeight="1" x14ac:dyDescent="0.25">
      <c r="A191" s="243"/>
      <c r="B191" s="381"/>
      <c r="C191" s="381"/>
      <c r="D191" s="381"/>
      <c r="E191" s="381"/>
      <c r="F191" s="381"/>
      <c r="G191" s="381"/>
      <c r="H191" s="381"/>
      <c r="I191" s="382"/>
      <c r="J191" s="381" t="s">
        <v>326</v>
      </c>
      <c r="K191" s="245"/>
      <c r="L191" s="257"/>
      <c r="M191" s="597" t="s">
        <v>327</v>
      </c>
      <c r="N191" s="598"/>
      <c r="O191" s="299"/>
      <c r="P191" s="180"/>
      <c r="Q191" s="180">
        <v>16750000</v>
      </c>
      <c r="R191" s="181">
        <f t="shared" ref="R191:R197" si="68">Q191/Q$190*100</f>
        <v>12.779430838483252</v>
      </c>
      <c r="S191" s="181">
        <v>100</v>
      </c>
      <c r="T191" s="180">
        <f t="shared" si="44"/>
        <v>0</v>
      </c>
      <c r="U191" s="180">
        <f t="shared" ref="U191:U197" si="69">R191*T191/100</f>
        <v>0</v>
      </c>
      <c r="V191" s="182">
        <f t="shared" si="55"/>
        <v>100</v>
      </c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>
        <v>0</v>
      </c>
      <c r="AJ191" s="181">
        <f t="shared" si="45"/>
        <v>0</v>
      </c>
      <c r="AK191" s="180">
        <f t="shared" si="67"/>
        <v>16750000</v>
      </c>
      <c r="AL191" s="181">
        <f t="shared" si="46"/>
        <v>100</v>
      </c>
      <c r="AM191" s="243"/>
    </row>
    <row r="192" spans="1:44" ht="28.5" customHeight="1" x14ac:dyDescent="0.25">
      <c r="A192" s="243"/>
      <c r="B192" s="381"/>
      <c r="C192" s="381"/>
      <c r="D192" s="381"/>
      <c r="E192" s="381"/>
      <c r="F192" s="381"/>
      <c r="G192" s="381"/>
      <c r="H192" s="381"/>
      <c r="I192" s="382"/>
      <c r="J192" s="381" t="s">
        <v>323</v>
      </c>
      <c r="K192" s="245"/>
      <c r="L192" s="257"/>
      <c r="M192" s="597" t="s">
        <v>324</v>
      </c>
      <c r="N192" s="598"/>
      <c r="O192" s="299"/>
      <c r="P192" s="180"/>
      <c r="Q192" s="180">
        <v>9132000</v>
      </c>
      <c r="R192" s="181">
        <f t="shared" si="68"/>
        <v>6.9672693980315863</v>
      </c>
      <c r="S192" s="181">
        <v>100</v>
      </c>
      <c r="T192" s="180">
        <f t="shared" si="44"/>
        <v>0</v>
      </c>
      <c r="U192" s="180">
        <f t="shared" si="69"/>
        <v>0</v>
      </c>
      <c r="V192" s="182">
        <f t="shared" si="55"/>
        <v>100</v>
      </c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>
        <v>0</v>
      </c>
      <c r="AJ192" s="181">
        <f t="shared" si="45"/>
        <v>0</v>
      </c>
      <c r="AK192" s="180">
        <f t="shared" si="67"/>
        <v>9132000</v>
      </c>
      <c r="AL192" s="181">
        <f t="shared" si="46"/>
        <v>100</v>
      </c>
      <c r="AM192" s="243"/>
    </row>
    <row r="193" spans="1:39" ht="28.5" customHeight="1" x14ac:dyDescent="0.25">
      <c r="A193" s="243"/>
      <c r="B193" s="381"/>
      <c r="C193" s="381"/>
      <c r="D193" s="381"/>
      <c r="E193" s="381"/>
      <c r="F193" s="381"/>
      <c r="G193" s="381"/>
      <c r="H193" s="381"/>
      <c r="I193" s="382"/>
      <c r="J193" s="381" t="s">
        <v>269</v>
      </c>
      <c r="K193" s="245"/>
      <c r="L193" s="257"/>
      <c r="M193" s="597" t="s">
        <v>270</v>
      </c>
      <c r="N193" s="598"/>
      <c r="O193" s="299"/>
      <c r="P193" s="180"/>
      <c r="Q193" s="180">
        <v>13650000</v>
      </c>
      <c r="R193" s="181">
        <f t="shared" si="68"/>
        <v>10.414282444495308</v>
      </c>
      <c r="S193" s="181">
        <v>100</v>
      </c>
      <c r="T193" s="180">
        <f t="shared" si="44"/>
        <v>0</v>
      </c>
      <c r="U193" s="180">
        <f t="shared" si="69"/>
        <v>0</v>
      </c>
      <c r="V193" s="182">
        <f t="shared" si="55"/>
        <v>100</v>
      </c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>
        <v>0</v>
      </c>
      <c r="AJ193" s="181">
        <f t="shared" si="45"/>
        <v>0</v>
      </c>
      <c r="AK193" s="180">
        <f t="shared" si="67"/>
        <v>13650000</v>
      </c>
      <c r="AL193" s="181">
        <f t="shared" si="46"/>
        <v>100</v>
      </c>
      <c r="AM193" s="243"/>
    </row>
    <row r="194" spans="1:39" ht="28.5" customHeight="1" x14ac:dyDescent="0.25">
      <c r="A194" s="243"/>
      <c r="B194" s="381"/>
      <c r="C194" s="381"/>
      <c r="D194" s="381"/>
      <c r="E194" s="381"/>
      <c r="F194" s="381"/>
      <c r="G194" s="381"/>
      <c r="H194" s="381"/>
      <c r="I194" s="382"/>
      <c r="J194" s="381" t="s">
        <v>315</v>
      </c>
      <c r="K194" s="245"/>
      <c r="L194" s="257"/>
      <c r="M194" s="597" t="s">
        <v>271</v>
      </c>
      <c r="N194" s="598"/>
      <c r="O194" s="299"/>
      <c r="P194" s="180"/>
      <c r="Q194" s="180">
        <v>1418000</v>
      </c>
      <c r="R194" s="181">
        <f t="shared" si="68"/>
        <v>1.0818646524757762</v>
      </c>
      <c r="S194" s="181">
        <v>100</v>
      </c>
      <c r="T194" s="180">
        <f t="shared" si="44"/>
        <v>0</v>
      </c>
      <c r="U194" s="180">
        <f t="shared" si="69"/>
        <v>0</v>
      </c>
      <c r="V194" s="182">
        <f t="shared" si="55"/>
        <v>100</v>
      </c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>
        <v>0</v>
      </c>
      <c r="AJ194" s="181">
        <f t="shared" si="45"/>
        <v>0</v>
      </c>
      <c r="AK194" s="180">
        <f t="shared" si="67"/>
        <v>1418000</v>
      </c>
      <c r="AL194" s="181">
        <f t="shared" si="46"/>
        <v>100</v>
      </c>
      <c r="AM194" s="243"/>
    </row>
    <row r="195" spans="1:39" ht="28.5" customHeight="1" x14ac:dyDescent="0.25">
      <c r="A195" s="243"/>
      <c r="B195" s="381"/>
      <c r="C195" s="381"/>
      <c r="D195" s="381"/>
      <c r="E195" s="381"/>
      <c r="F195" s="381"/>
      <c r="G195" s="381"/>
      <c r="H195" s="381"/>
      <c r="I195" s="382"/>
      <c r="J195" s="381" t="s">
        <v>328</v>
      </c>
      <c r="K195" s="245"/>
      <c r="L195" s="257"/>
      <c r="M195" s="597" t="s">
        <v>329</v>
      </c>
      <c r="N195" s="598"/>
      <c r="O195" s="299"/>
      <c r="P195" s="180"/>
      <c r="Q195" s="180">
        <v>82500000</v>
      </c>
      <c r="R195" s="181">
        <f t="shared" si="68"/>
        <v>62.943465323872736</v>
      </c>
      <c r="S195" s="181">
        <v>100</v>
      </c>
      <c r="T195" s="180">
        <f t="shared" si="44"/>
        <v>0</v>
      </c>
      <c r="U195" s="180">
        <f t="shared" si="69"/>
        <v>0</v>
      </c>
      <c r="V195" s="182">
        <f t="shared" si="55"/>
        <v>100</v>
      </c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>
        <v>0</v>
      </c>
      <c r="AJ195" s="181">
        <f t="shared" si="45"/>
        <v>0</v>
      </c>
      <c r="AK195" s="180">
        <f t="shared" si="67"/>
        <v>82500000</v>
      </c>
      <c r="AL195" s="181">
        <f t="shared" si="46"/>
        <v>100</v>
      </c>
      <c r="AM195" s="243"/>
    </row>
    <row r="196" spans="1:39" ht="28.5" customHeight="1" x14ac:dyDescent="0.25">
      <c r="A196" s="243"/>
      <c r="B196" s="381"/>
      <c r="C196" s="381"/>
      <c r="D196" s="381"/>
      <c r="E196" s="381"/>
      <c r="F196" s="381"/>
      <c r="G196" s="381"/>
      <c r="H196" s="381"/>
      <c r="I196" s="382"/>
      <c r="J196" s="381" t="s">
        <v>284</v>
      </c>
      <c r="K196" s="245"/>
      <c r="L196" s="257"/>
      <c r="M196" s="597" t="s">
        <v>285</v>
      </c>
      <c r="N196" s="598"/>
      <c r="O196" s="299"/>
      <c r="P196" s="180"/>
      <c r="Q196" s="180">
        <v>2120000</v>
      </c>
      <c r="R196" s="181">
        <f t="shared" si="68"/>
        <v>1.617456321049821</v>
      </c>
      <c r="S196" s="181">
        <v>100</v>
      </c>
      <c r="T196" s="180">
        <f t="shared" si="44"/>
        <v>0</v>
      </c>
      <c r="U196" s="180">
        <f t="shared" si="69"/>
        <v>0</v>
      </c>
      <c r="V196" s="182">
        <f t="shared" si="55"/>
        <v>100</v>
      </c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>
        <v>0</v>
      </c>
      <c r="AJ196" s="181">
        <f t="shared" si="45"/>
        <v>0</v>
      </c>
      <c r="AK196" s="180">
        <f t="shared" si="67"/>
        <v>2120000</v>
      </c>
      <c r="AL196" s="181">
        <f t="shared" si="46"/>
        <v>100</v>
      </c>
      <c r="AM196" s="243"/>
    </row>
    <row r="197" spans="1:39" ht="28.5" customHeight="1" x14ac:dyDescent="0.25">
      <c r="A197" s="243"/>
      <c r="B197" s="381"/>
      <c r="C197" s="381"/>
      <c r="D197" s="381"/>
      <c r="E197" s="381"/>
      <c r="F197" s="381"/>
      <c r="G197" s="381"/>
      <c r="H197" s="381"/>
      <c r="I197" s="382"/>
      <c r="J197" s="381" t="s">
        <v>282</v>
      </c>
      <c r="K197" s="245"/>
      <c r="L197" s="257"/>
      <c r="M197" s="597" t="s">
        <v>283</v>
      </c>
      <c r="N197" s="598"/>
      <c r="O197" s="299"/>
      <c r="P197" s="180"/>
      <c r="Q197" s="180">
        <v>5500000</v>
      </c>
      <c r="R197" s="181">
        <f t="shared" si="68"/>
        <v>4.1962310215915153</v>
      </c>
      <c r="S197" s="181">
        <v>100</v>
      </c>
      <c r="T197" s="180">
        <f t="shared" si="44"/>
        <v>0</v>
      </c>
      <c r="U197" s="180">
        <f t="shared" si="69"/>
        <v>0</v>
      </c>
      <c r="V197" s="182">
        <f t="shared" si="55"/>
        <v>100</v>
      </c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>
        <v>0</v>
      </c>
      <c r="AJ197" s="181">
        <f t="shared" si="45"/>
        <v>0</v>
      </c>
      <c r="AK197" s="180">
        <f t="shared" si="67"/>
        <v>5500000</v>
      </c>
      <c r="AL197" s="181">
        <f t="shared" si="46"/>
        <v>100</v>
      </c>
      <c r="AM197" s="243"/>
    </row>
    <row r="198" spans="1:39" ht="28.5" customHeight="1" x14ac:dyDescent="0.25">
      <c r="A198" s="227">
        <v>30</v>
      </c>
      <c r="B198" s="381"/>
      <c r="C198" s="381"/>
      <c r="D198" s="381"/>
      <c r="E198" s="381"/>
      <c r="F198" s="381"/>
      <c r="G198" s="381"/>
      <c r="H198" s="381"/>
      <c r="I198" s="382"/>
      <c r="J198" s="304" t="s">
        <v>474</v>
      </c>
      <c r="K198" s="230"/>
      <c r="L198" s="294"/>
      <c r="M198" s="615" t="s">
        <v>470</v>
      </c>
      <c r="N198" s="614"/>
      <c r="O198" s="295">
        <v>144225000</v>
      </c>
      <c r="P198" s="231">
        <f>O198</f>
        <v>144225000</v>
      </c>
      <c r="Q198" s="231">
        <f>SUM(Q199:Q205)</f>
        <v>168774000</v>
      </c>
      <c r="R198" s="233">
        <f>Q198/Q$177*100</f>
        <v>12.427228884493804</v>
      </c>
      <c r="S198" s="233">
        <v>100</v>
      </c>
      <c r="T198" s="231">
        <f t="shared" si="44"/>
        <v>10.962589024375792</v>
      </c>
      <c r="U198" s="231">
        <f>R198*T198/100</f>
        <v>1.3623460297255758</v>
      </c>
      <c r="V198" s="296">
        <f t="shared" si="55"/>
        <v>89.037410975624212</v>
      </c>
      <c r="W198" s="231"/>
      <c r="X198" s="231" t="e">
        <f>#REF!</f>
        <v>#REF!</v>
      </c>
      <c r="Y198" s="231" t="e">
        <f>#REF!</f>
        <v>#REF!</v>
      </c>
      <c r="Z198" s="231" t="e">
        <f>#REF!</f>
        <v>#REF!</v>
      </c>
      <c r="AA198" s="231" t="e">
        <f>#REF!</f>
        <v>#REF!</v>
      </c>
      <c r="AB198" s="231">
        <v>0</v>
      </c>
      <c r="AC198" s="231" t="e">
        <f>#REF!</f>
        <v>#REF!</v>
      </c>
      <c r="AD198" s="231" t="e">
        <f>#REF!</f>
        <v>#REF!</v>
      </c>
      <c r="AE198" s="231" t="e">
        <f>#REF!</f>
        <v>#REF!</v>
      </c>
      <c r="AF198" s="231" t="e">
        <f>[1]April!N58</f>
        <v>#REF!</v>
      </c>
      <c r="AG198" s="231" t="e">
        <f>[2]april!N58</f>
        <v>#REF!</v>
      </c>
      <c r="AH198" s="231">
        <f>'[3]DES SKPD'!$N58</f>
        <v>133587000</v>
      </c>
      <c r="AI198" s="231">
        <f>SUM(AI199:AI205)</f>
        <v>18502000</v>
      </c>
      <c r="AJ198" s="233">
        <f t="shared" si="45"/>
        <v>10.962589024375792</v>
      </c>
      <c r="AK198" s="231">
        <f t="shared" si="67"/>
        <v>150272000</v>
      </c>
      <c r="AL198" s="233">
        <f t="shared" si="46"/>
        <v>89.037410975624212</v>
      </c>
      <c r="AM198" s="243"/>
    </row>
    <row r="199" spans="1:39" ht="28.5" customHeight="1" x14ac:dyDescent="0.25">
      <c r="A199" s="243"/>
      <c r="B199" s="381"/>
      <c r="C199" s="381"/>
      <c r="D199" s="381"/>
      <c r="E199" s="381"/>
      <c r="F199" s="381"/>
      <c r="G199" s="381"/>
      <c r="H199" s="381"/>
      <c r="I199" s="382"/>
      <c r="J199" s="381" t="s">
        <v>273</v>
      </c>
      <c r="K199" s="245"/>
      <c r="L199" s="257"/>
      <c r="M199" s="597" t="s">
        <v>322</v>
      </c>
      <c r="N199" s="598"/>
      <c r="O199" s="299"/>
      <c r="P199" s="180"/>
      <c r="Q199" s="180">
        <v>34600000</v>
      </c>
      <c r="R199" s="181">
        <f t="shared" ref="R199:R205" si="70">Q199/Q$198*100</f>
        <v>20.500788036071906</v>
      </c>
      <c r="S199" s="181">
        <v>100</v>
      </c>
      <c r="T199" s="180">
        <f t="shared" si="44"/>
        <v>0</v>
      </c>
      <c r="U199" s="180">
        <f t="shared" ref="U199:U205" si="71">R199*T199/100</f>
        <v>0</v>
      </c>
      <c r="V199" s="182">
        <f t="shared" si="55"/>
        <v>100</v>
      </c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>
        <v>0</v>
      </c>
      <c r="AJ199" s="181">
        <f t="shared" si="45"/>
        <v>0</v>
      </c>
      <c r="AK199" s="180">
        <f t="shared" si="67"/>
        <v>34600000</v>
      </c>
      <c r="AL199" s="181">
        <f t="shared" si="46"/>
        <v>100</v>
      </c>
      <c r="AM199" s="243"/>
    </row>
    <row r="200" spans="1:39" ht="28.5" customHeight="1" x14ac:dyDescent="0.25">
      <c r="A200" s="243"/>
      <c r="B200" s="381"/>
      <c r="C200" s="381"/>
      <c r="D200" s="381"/>
      <c r="E200" s="381"/>
      <c r="F200" s="381"/>
      <c r="G200" s="381"/>
      <c r="H200" s="381"/>
      <c r="I200" s="382"/>
      <c r="J200" s="381" t="s">
        <v>323</v>
      </c>
      <c r="K200" s="245"/>
      <c r="L200" s="257"/>
      <c r="M200" s="597" t="s">
        <v>324</v>
      </c>
      <c r="N200" s="598"/>
      <c r="O200" s="299"/>
      <c r="P200" s="180"/>
      <c r="Q200" s="180">
        <v>100464000</v>
      </c>
      <c r="R200" s="181">
        <f t="shared" si="70"/>
        <v>59.525756336876533</v>
      </c>
      <c r="S200" s="181">
        <v>100</v>
      </c>
      <c r="T200" s="180">
        <f t="shared" si="44"/>
        <v>18.416547220895048</v>
      </c>
      <c r="U200" s="180">
        <f t="shared" si="71"/>
        <v>10.962589024375793</v>
      </c>
      <c r="V200" s="182">
        <f t="shared" si="55"/>
        <v>81.58345277910496</v>
      </c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>
        <v>18502000</v>
      </c>
      <c r="AJ200" s="181">
        <f t="shared" si="45"/>
        <v>18.416547220895048</v>
      </c>
      <c r="AK200" s="180">
        <f t="shared" si="67"/>
        <v>81962000</v>
      </c>
      <c r="AL200" s="181">
        <f t="shared" si="46"/>
        <v>81.583452779104945</v>
      </c>
      <c r="AM200" s="243"/>
    </row>
    <row r="201" spans="1:39" ht="28.5" customHeight="1" x14ac:dyDescent="0.25">
      <c r="A201" s="243"/>
      <c r="B201" s="381"/>
      <c r="C201" s="381"/>
      <c r="D201" s="381"/>
      <c r="E201" s="381"/>
      <c r="F201" s="381"/>
      <c r="G201" s="381"/>
      <c r="H201" s="381"/>
      <c r="I201" s="382"/>
      <c r="J201" s="381" t="s">
        <v>269</v>
      </c>
      <c r="K201" s="245"/>
      <c r="L201" s="257"/>
      <c r="M201" s="597" t="s">
        <v>270</v>
      </c>
      <c r="N201" s="598"/>
      <c r="O201" s="299"/>
      <c r="P201" s="180"/>
      <c r="Q201" s="180">
        <v>9000000</v>
      </c>
      <c r="R201" s="181">
        <f t="shared" si="70"/>
        <v>5.3325749226776642</v>
      </c>
      <c r="S201" s="181">
        <v>100</v>
      </c>
      <c r="T201" s="180">
        <f t="shared" si="44"/>
        <v>0</v>
      </c>
      <c r="U201" s="180">
        <f t="shared" si="71"/>
        <v>0</v>
      </c>
      <c r="V201" s="182">
        <f t="shared" si="55"/>
        <v>100</v>
      </c>
      <c r="W201" s="180"/>
      <c r="X201" s="180"/>
      <c r="Y201" s="180"/>
      <c r="Z201" s="180"/>
      <c r="AA201" s="180"/>
      <c r="AB201" s="180"/>
      <c r="AC201" s="180"/>
      <c r="AD201" s="180"/>
      <c r="AE201" s="180"/>
      <c r="AF201" s="180"/>
      <c r="AG201" s="180"/>
      <c r="AH201" s="180"/>
      <c r="AI201" s="180">
        <v>0</v>
      </c>
      <c r="AJ201" s="181">
        <f t="shared" si="45"/>
        <v>0</v>
      </c>
      <c r="AK201" s="180">
        <f t="shared" si="67"/>
        <v>9000000</v>
      </c>
      <c r="AL201" s="181">
        <f t="shared" si="46"/>
        <v>100</v>
      </c>
      <c r="AM201" s="243"/>
    </row>
    <row r="202" spans="1:39" ht="28.5" customHeight="1" x14ac:dyDescent="0.25">
      <c r="A202" s="243"/>
      <c r="B202" s="381"/>
      <c r="C202" s="381"/>
      <c r="D202" s="381"/>
      <c r="E202" s="381"/>
      <c r="F202" s="381"/>
      <c r="G202" s="381"/>
      <c r="H202" s="381"/>
      <c r="I202" s="382"/>
      <c r="J202" s="381" t="s">
        <v>315</v>
      </c>
      <c r="K202" s="245"/>
      <c r="L202" s="257"/>
      <c r="M202" s="597" t="s">
        <v>271</v>
      </c>
      <c r="N202" s="598"/>
      <c r="O202" s="299"/>
      <c r="P202" s="180"/>
      <c r="Q202" s="180">
        <v>360000</v>
      </c>
      <c r="R202" s="181">
        <f t="shared" si="70"/>
        <v>0.21330299690710655</v>
      </c>
      <c r="S202" s="181">
        <v>100</v>
      </c>
      <c r="T202" s="180">
        <f t="shared" si="44"/>
        <v>0</v>
      </c>
      <c r="U202" s="180">
        <f t="shared" si="71"/>
        <v>0</v>
      </c>
      <c r="V202" s="182">
        <f t="shared" si="55"/>
        <v>100</v>
      </c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>
        <v>0</v>
      </c>
      <c r="AJ202" s="181">
        <f t="shared" si="45"/>
        <v>0</v>
      </c>
      <c r="AK202" s="180">
        <f t="shared" si="67"/>
        <v>360000</v>
      </c>
      <c r="AL202" s="181">
        <f t="shared" si="46"/>
        <v>100</v>
      </c>
      <c r="AM202" s="243"/>
    </row>
    <row r="203" spans="1:39" ht="28.5" customHeight="1" x14ac:dyDescent="0.25">
      <c r="A203" s="243"/>
      <c r="B203" s="381"/>
      <c r="C203" s="381"/>
      <c r="D203" s="381"/>
      <c r="E203" s="381"/>
      <c r="F203" s="381"/>
      <c r="G203" s="381"/>
      <c r="H203" s="381"/>
      <c r="I203" s="382"/>
      <c r="J203" s="381" t="s">
        <v>280</v>
      </c>
      <c r="K203" s="245"/>
      <c r="L203" s="257"/>
      <c r="M203" s="597" t="s">
        <v>425</v>
      </c>
      <c r="N203" s="598"/>
      <c r="O203" s="299"/>
      <c r="P203" s="180"/>
      <c r="Q203" s="180">
        <v>3500000</v>
      </c>
      <c r="R203" s="181">
        <f t="shared" si="70"/>
        <v>2.073779136596869</v>
      </c>
      <c r="S203" s="181">
        <v>100</v>
      </c>
      <c r="T203" s="180">
        <f t="shared" si="44"/>
        <v>0</v>
      </c>
      <c r="U203" s="180">
        <f t="shared" si="71"/>
        <v>0</v>
      </c>
      <c r="V203" s="182">
        <f t="shared" si="55"/>
        <v>100</v>
      </c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>
        <v>0</v>
      </c>
      <c r="AJ203" s="181">
        <f t="shared" si="45"/>
        <v>0</v>
      </c>
      <c r="AK203" s="180">
        <f t="shared" si="67"/>
        <v>3500000</v>
      </c>
      <c r="AL203" s="181">
        <f t="shared" si="46"/>
        <v>100</v>
      </c>
      <c r="AM203" s="243"/>
    </row>
    <row r="204" spans="1:39" ht="28.5" customHeight="1" x14ac:dyDescent="0.25">
      <c r="A204" s="243"/>
      <c r="B204" s="381"/>
      <c r="C204" s="381"/>
      <c r="D204" s="381"/>
      <c r="E204" s="381"/>
      <c r="F204" s="381"/>
      <c r="G204" s="381"/>
      <c r="H204" s="381"/>
      <c r="I204" s="382"/>
      <c r="J204" s="381" t="s">
        <v>284</v>
      </c>
      <c r="K204" s="245"/>
      <c r="L204" s="257"/>
      <c r="M204" s="597" t="s">
        <v>285</v>
      </c>
      <c r="N204" s="598"/>
      <c r="O204" s="299"/>
      <c r="P204" s="180"/>
      <c r="Q204" s="180">
        <v>5250000</v>
      </c>
      <c r="R204" s="181">
        <f t="shared" si="70"/>
        <v>3.1106687048953039</v>
      </c>
      <c r="S204" s="181">
        <v>100</v>
      </c>
      <c r="T204" s="180">
        <f t="shared" si="44"/>
        <v>0</v>
      </c>
      <c r="U204" s="180">
        <f t="shared" si="71"/>
        <v>0</v>
      </c>
      <c r="V204" s="182">
        <f t="shared" si="55"/>
        <v>100</v>
      </c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>
        <v>0</v>
      </c>
      <c r="AJ204" s="181">
        <f t="shared" si="45"/>
        <v>0</v>
      </c>
      <c r="AK204" s="180">
        <f t="shared" si="67"/>
        <v>5250000</v>
      </c>
      <c r="AL204" s="181">
        <f t="shared" si="46"/>
        <v>100</v>
      </c>
      <c r="AM204" s="243"/>
    </row>
    <row r="205" spans="1:39" ht="28.5" customHeight="1" x14ac:dyDescent="0.25">
      <c r="A205" s="243"/>
      <c r="B205" s="381"/>
      <c r="C205" s="381"/>
      <c r="D205" s="381"/>
      <c r="E205" s="381"/>
      <c r="F205" s="381"/>
      <c r="G205" s="381"/>
      <c r="H205" s="381"/>
      <c r="I205" s="382"/>
      <c r="J205" s="381" t="s">
        <v>282</v>
      </c>
      <c r="K205" s="245"/>
      <c r="L205" s="257"/>
      <c r="M205" s="597" t="s">
        <v>283</v>
      </c>
      <c r="N205" s="598"/>
      <c r="O205" s="299"/>
      <c r="P205" s="180"/>
      <c r="Q205" s="180">
        <v>15600000</v>
      </c>
      <c r="R205" s="181">
        <f t="shared" si="70"/>
        <v>9.2431298659746162</v>
      </c>
      <c r="S205" s="181">
        <v>100</v>
      </c>
      <c r="T205" s="180">
        <f t="shared" ref="T205:T277" si="72">AJ205</f>
        <v>0</v>
      </c>
      <c r="U205" s="180">
        <f t="shared" si="71"/>
        <v>0</v>
      </c>
      <c r="V205" s="182">
        <f t="shared" si="55"/>
        <v>100</v>
      </c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>
        <v>0</v>
      </c>
      <c r="AJ205" s="181">
        <f t="shared" ref="AJ205:AJ277" si="73">AI205/Q205*100</f>
        <v>0</v>
      </c>
      <c r="AK205" s="180">
        <f t="shared" si="67"/>
        <v>15600000</v>
      </c>
      <c r="AL205" s="181">
        <f t="shared" ref="AL205:AL277" si="74">AK205/Q205*100</f>
        <v>100</v>
      </c>
      <c r="AM205" s="243"/>
    </row>
    <row r="206" spans="1:39" s="297" customFormat="1" ht="28.5" customHeight="1" x14ac:dyDescent="0.25">
      <c r="A206" s="227">
        <f>A198+1</f>
        <v>31</v>
      </c>
      <c r="B206" s="615" t="s">
        <v>141</v>
      </c>
      <c r="C206" s="615"/>
      <c r="D206" s="615"/>
      <c r="E206" s="615"/>
      <c r="F206" s="615"/>
      <c r="G206" s="615"/>
      <c r="H206" s="615"/>
      <c r="I206" s="614"/>
      <c r="J206" s="304" t="s">
        <v>475</v>
      </c>
      <c r="K206" s="230"/>
      <c r="L206" s="294"/>
      <c r="M206" s="615" t="s">
        <v>142</v>
      </c>
      <c r="N206" s="614"/>
      <c r="O206" s="295">
        <v>299485000</v>
      </c>
      <c r="P206" s="231">
        <f>O206</f>
        <v>299485000</v>
      </c>
      <c r="Q206" s="231">
        <f>SUM(Q207:Q212)</f>
        <v>142716000</v>
      </c>
      <c r="R206" s="233">
        <f>Q206/Q$177*100</f>
        <v>10.508516699725181</v>
      </c>
      <c r="S206" s="233">
        <v>100</v>
      </c>
      <c r="T206" s="231">
        <f t="shared" si="72"/>
        <v>0</v>
      </c>
      <c r="U206" s="231">
        <f>R206*T206/100</f>
        <v>0</v>
      </c>
      <c r="V206" s="296">
        <f t="shared" si="55"/>
        <v>100</v>
      </c>
      <c r="W206" s="231"/>
      <c r="X206" s="231" t="e">
        <f>#REF!</f>
        <v>#REF!</v>
      </c>
      <c r="Y206" s="231" t="e">
        <f>#REF!</f>
        <v>#REF!</v>
      </c>
      <c r="Z206" s="231" t="e">
        <f>#REF!</f>
        <v>#REF!</v>
      </c>
      <c r="AA206" s="231" t="e">
        <f>#REF!</f>
        <v>#REF!</v>
      </c>
      <c r="AB206" s="231">
        <v>4600000</v>
      </c>
      <c r="AC206" s="231" t="e">
        <f>#REF!</f>
        <v>#REF!</v>
      </c>
      <c r="AD206" s="231" t="e">
        <f>#REF!</f>
        <v>#REF!</v>
      </c>
      <c r="AE206" s="231" t="e">
        <f>#REF!</f>
        <v>#REF!</v>
      </c>
      <c r="AF206" s="231" t="e">
        <f>[1]April!N50</f>
        <v>#REF!</v>
      </c>
      <c r="AG206" s="231" t="e">
        <f>[2]april!N50</f>
        <v>#REF!</v>
      </c>
      <c r="AH206" s="231">
        <f>'[3]DES SKPD'!$N50</f>
        <v>221288650</v>
      </c>
      <c r="AI206" s="231">
        <f>SUM(AI207:AI212)</f>
        <v>0</v>
      </c>
      <c r="AJ206" s="233">
        <f t="shared" si="73"/>
        <v>0</v>
      </c>
      <c r="AK206" s="231">
        <f t="shared" si="67"/>
        <v>142716000</v>
      </c>
      <c r="AL206" s="233">
        <f t="shared" si="74"/>
        <v>100</v>
      </c>
      <c r="AM206" s="227"/>
    </row>
    <row r="207" spans="1:39" ht="28.5" customHeight="1" x14ac:dyDescent="0.25">
      <c r="A207" s="243"/>
      <c r="B207" s="381"/>
      <c r="C207" s="381"/>
      <c r="D207" s="381"/>
      <c r="E207" s="381"/>
      <c r="F207" s="381"/>
      <c r="G207" s="381"/>
      <c r="H207" s="381"/>
      <c r="I207" s="382"/>
      <c r="J207" s="381" t="s">
        <v>323</v>
      </c>
      <c r="K207" s="245"/>
      <c r="L207" s="257"/>
      <c r="M207" s="597" t="s">
        <v>324</v>
      </c>
      <c r="N207" s="598"/>
      <c r="O207" s="299"/>
      <c r="P207" s="180"/>
      <c r="Q207" s="180">
        <v>27408000</v>
      </c>
      <c r="R207" s="181">
        <f t="shared" ref="R207:R212" si="75">Q207/Q$206*100</f>
        <v>19.2045741192298</v>
      </c>
      <c r="S207" s="181">
        <v>100</v>
      </c>
      <c r="T207" s="180">
        <f t="shared" si="72"/>
        <v>0</v>
      </c>
      <c r="U207" s="180">
        <f t="shared" ref="U207:U226" si="76">R207*T207/100</f>
        <v>0</v>
      </c>
      <c r="V207" s="182">
        <f t="shared" si="55"/>
        <v>100</v>
      </c>
      <c r="W207" s="180"/>
      <c r="X207" s="180" t="e">
        <f>#REF!</f>
        <v>#REF!</v>
      </c>
      <c r="Y207" s="180" t="e">
        <f>#REF!</f>
        <v>#REF!</v>
      </c>
      <c r="Z207" s="180" t="e">
        <f>#REF!</f>
        <v>#REF!</v>
      </c>
      <c r="AA207" s="180" t="e">
        <f>#REF!</f>
        <v>#REF!</v>
      </c>
      <c r="AB207" s="180">
        <v>4600002</v>
      </c>
      <c r="AC207" s="180" t="e">
        <f>#REF!</f>
        <v>#REF!</v>
      </c>
      <c r="AD207" s="180" t="e">
        <f>#REF!</f>
        <v>#REF!</v>
      </c>
      <c r="AE207" s="180" t="e">
        <f>#REF!</f>
        <v>#REF!</v>
      </c>
      <c r="AF207" s="180" t="e">
        <f>[1]April!N52</f>
        <v>#REF!</v>
      </c>
      <c r="AG207" s="180" t="e">
        <f>[2]april!N52</f>
        <v>#REF!</v>
      </c>
      <c r="AH207" s="180">
        <f>'[3]DES SKPD'!$N52</f>
        <v>73668000</v>
      </c>
      <c r="AI207" s="180">
        <v>0</v>
      </c>
      <c r="AJ207" s="181">
        <f t="shared" si="73"/>
        <v>0</v>
      </c>
      <c r="AK207" s="180">
        <f t="shared" si="67"/>
        <v>27408000</v>
      </c>
      <c r="AL207" s="181">
        <f t="shared" si="74"/>
        <v>100</v>
      </c>
      <c r="AM207" s="243"/>
    </row>
    <row r="208" spans="1:39" ht="28.5" customHeight="1" x14ac:dyDescent="0.25">
      <c r="A208" s="243"/>
      <c r="B208" s="381"/>
      <c r="C208" s="381"/>
      <c r="D208" s="381"/>
      <c r="E208" s="381"/>
      <c r="F208" s="381"/>
      <c r="G208" s="381"/>
      <c r="H208" s="381"/>
      <c r="I208" s="382"/>
      <c r="J208" s="381" t="s">
        <v>269</v>
      </c>
      <c r="K208" s="245"/>
      <c r="L208" s="257"/>
      <c r="M208" s="597" t="s">
        <v>270</v>
      </c>
      <c r="N208" s="598"/>
      <c r="O208" s="299"/>
      <c r="P208" s="180"/>
      <c r="Q208" s="180">
        <v>17800000</v>
      </c>
      <c r="R208" s="181">
        <f t="shared" si="75"/>
        <v>12.472322654782927</v>
      </c>
      <c r="S208" s="181">
        <v>100</v>
      </c>
      <c r="T208" s="180">
        <f t="shared" si="72"/>
        <v>0</v>
      </c>
      <c r="U208" s="180">
        <f t="shared" si="76"/>
        <v>0</v>
      </c>
      <c r="V208" s="182">
        <f t="shared" si="55"/>
        <v>100</v>
      </c>
      <c r="W208" s="180"/>
      <c r="X208" s="180" t="e">
        <f>#REF!</f>
        <v>#REF!</v>
      </c>
      <c r="Y208" s="180" t="e">
        <f>#REF!</f>
        <v>#REF!</v>
      </c>
      <c r="Z208" s="180" t="e">
        <f>#REF!</f>
        <v>#REF!</v>
      </c>
      <c r="AA208" s="180" t="e">
        <f>#REF!</f>
        <v>#REF!</v>
      </c>
      <c r="AB208" s="180">
        <v>4600003</v>
      </c>
      <c r="AC208" s="180" t="e">
        <f>#REF!</f>
        <v>#REF!</v>
      </c>
      <c r="AD208" s="180" t="e">
        <f>#REF!</f>
        <v>#REF!</v>
      </c>
      <c r="AE208" s="180" t="e">
        <f>#REF!</f>
        <v>#REF!</v>
      </c>
      <c r="AF208" s="180" t="e">
        <f>[1]April!N53</f>
        <v>#REF!</v>
      </c>
      <c r="AG208" s="180" t="e">
        <f>[2]april!N53</f>
        <v>#REF!</v>
      </c>
      <c r="AH208" s="180" t="e">
        <f>'[3]DES SKPD'!$N53</f>
        <v>#REF!</v>
      </c>
      <c r="AI208" s="180">
        <v>0</v>
      </c>
      <c r="AJ208" s="181">
        <f t="shared" si="73"/>
        <v>0</v>
      </c>
      <c r="AK208" s="180">
        <f t="shared" si="67"/>
        <v>17800000</v>
      </c>
      <c r="AL208" s="181">
        <f t="shared" si="74"/>
        <v>100</v>
      </c>
      <c r="AM208" s="243"/>
    </row>
    <row r="209" spans="1:39" ht="28.5" customHeight="1" x14ac:dyDescent="0.25">
      <c r="A209" s="243"/>
      <c r="B209" s="381"/>
      <c r="C209" s="381"/>
      <c r="D209" s="381"/>
      <c r="E209" s="381"/>
      <c r="F209" s="381"/>
      <c r="G209" s="381"/>
      <c r="H209" s="381"/>
      <c r="I209" s="382"/>
      <c r="J209" s="381" t="s">
        <v>315</v>
      </c>
      <c r="K209" s="245"/>
      <c r="L209" s="257"/>
      <c r="M209" s="597" t="s">
        <v>271</v>
      </c>
      <c r="N209" s="598"/>
      <c r="O209" s="299"/>
      <c r="P209" s="180"/>
      <c r="Q209" s="180">
        <v>3648000</v>
      </c>
      <c r="R209" s="181">
        <f t="shared" si="75"/>
        <v>2.5561254519465235</v>
      </c>
      <c r="S209" s="181">
        <v>100</v>
      </c>
      <c r="T209" s="180">
        <f t="shared" si="72"/>
        <v>0</v>
      </c>
      <c r="U209" s="180">
        <f t="shared" si="76"/>
        <v>0</v>
      </c>
      <c r="V209" s="182">
        <f t="shared" si="55"/>
        <v>100</v>
      </c>
      <c r="W209" s="180"/>
      <c r="X209" s="180" t="e">
        <f>#REF!</f>
        <v>#REF!</v>
      </c>
      <c r="Y209" s="180" t="e">
        <f>#REF!</f>
        <v>#REF!</v>
      </c>
      <c r="Z209" s="180" t="e">
        <f>#REF!</f>
        <v>#REF!</v>
      </c>
      <c r="AA209" s="180" t="e">
        <f>#REF!</f>
        <v>#REF!</v>
      </c>
      <c r="AB209" s="180">
        <v>4600004</v>
      </c>
      <c r="AC209" s="180" t="e">
        <f>#REF!</f>
        <v>#REF!</v>
      </c>
      <c r="AD209" s="180" t="e">
        <f>#REF!</f>
        <v>#REF!</v>
      </c>
      <c r="AE209" s="180" t="e">
        <f>#REF!</f>
        <v>#REF!</v>
      </c>
      <c r="AF209" s="180" t="e">
        <f>[1]April!N54</f>
        <v>#REF!</v>
      </c>
      <c r="AG209" s="180" t="e">
        <f>[2]april!N54</f>
        <v>#REF!</v>
      </c>
      <c r="AH209" s="180">
        <f>'[3]DES SKPD'!$N54</f>
        <v>508172500</v>
      </c>
      <c r="AI209" s="180">
        <v>0</v>
      </c>
      <c r="AJ209" s="181">
        <f t="shared" si="73"/>
        <v>0</v>
      </c>
      <c r="AK209" s="180">
        <f t="shared" si="67"/>
        <v>3648000</v>
      </c>
      <c r="AL209" s="181">
        <f t="shared" si="74"/>
        <v>100</v>
      </c>
      <c r="AM209" s="243"/>
    </row>
    <row r="210" spans="1:39" ht="28.5" customHeight="1" x14ac:dyDescent="0.25">
      <c r="A210" s="243"/>
      <c r="B210" s="381"/>
      <c r="C210" s="381"/>
      <c r="D210" s="381"/>
      <c r="E210" s="381"/>
      <c r="F210" s="381"/>
      <c r="G210" s="381"/>
      <c r="H210" s="381"/>
      <c r="I210" s="382"/>
      <c r="J210" s="381" t="s">
        <v>328</v>
      </c>
      <c r="K210" s="245"/>
      <c r="L210" s="257"/>
      <c r="M210" s="597" t="s">
        <v>329</v>
      </c>
      <c r="N210" s="598"/>
      <c r="O210" s="299"/>
      <c r="P210" s="180"/>
      <c r="Q210" s="180">
        <v>36000000</v>
      </c>
      <c r="R210" s="181">
        <f t="shared" si="75"/>
        <v>25.224922223156476</v>
      </c>
      <c r="S210" s="181">
        <v>100</v>
      </c>
      <c r="T210" s="180">
        <f t="shared" si="72"/>
        <v>0</v>
      </c>
      <c r="U210" s="180">
        <f t="shared" si="76"/>
        <v>0</v>
      </c>
      <c r="V210" s="182">
        <f t="shared" si="55"/>
        <v>100</v>
      </c>
      <c r="W210" s="180"/>
      <c r="X210" s="180" t="e">
        <f>#REF!</f>
        <v>#REF!</v>
      </c>
      <c r="Y210" s="180" t="e">
        <f>#REF!</f>
        <v>#REF!</v>
      </c>
      <c r="Z210" s="180" t="e">
        <f>#REF!</f>
        <v>#REF!</v>
      </c>
      <c r="AA210" s="180" t="e">
        <f>#REF!</f>
        <v>#REF!</v>
      </c>
      <c r="AB210" s="180">
        <v>4600004</v>
      </c>
      <c r="AC210" s="180" t="e">
        <f>#REF!</f>
        <v>#REF!</v>
      </c>
      <c r="AD210" s="180" t="e">
        <f>#REF!</f>
        <v>#REF!</v>
      </c>
      <c r="AE210" s="180" t="e">
        <f>#REF!</f>
        <v>#REF!</v>
      </c>
      <c r="AF210" s="180" t="e">
        <f>[1]April!N55</f>
        <v>#REF!</v>
      </c>
      <c r="AG210" s="180" t="e">
        <f>[2]april!N55</f>
        <v>#REF!</v>
      </c>
      <c r="AH210" s="180" t="e">
        <f>'[3]DES SKPD'!$N55</f>
        <v>#REF!</v>
      </c>
      <c r="AI210" s="180">
        <v>0</v>
      </c>
      <c r="AJ210" s="181">
        <f t="shared" si="73"/>
        <v>0</v>
      </c>
      <c r="AK210" s="180">
        <f t="shared" si="67"/>
        <v>36000000</v>
      </c>
      <c r="AL210" s="181">
        <f t="shared" si="74"/>
        <v>100</v>
      </c>
      <c r="AM210" s="243"/>
    </row>
    <row r="211" spans="1:39" ht="28.5" customHeight="1" x14ac:dyDescent="0.25">
      <c r="A211" s="243"/>
      <c r="B211" s="381"/>
      <c r="C211" s="381"/>
      <c r="D211" s="381"/>
      <c r="E211" s="381"/>
      <c r="F211" s="381"/>
      <c r="G211" s="381"/>
      <c r="H211" s="381"/>
      <c r="I211" s="382"/>
      <c r="J211" s="381" t="s">
        <v>280</v>
      </c>
      <c r="K211" s="245"/>
      <c r="L211" s="257"/>
      <c r="M211" s="597" t="s">
        <v>281</v>
      </c>
      <c r="N211" s="598"/>
      <c r="O211" s="299"/>
      <c r="P211" s="180"/>
      <c r="Q211" s="180">
        <v>15750000</v>
      </c>
      <c r="R211" s="181">
        <f t="shared" si="75"/>
        <v>11.035903472630959</v>
      </c>
      <c r="S211" s="181">
        <v>100</v>
      </c>
      <c r="T211" s="180">
        <f t="shared" si="72"/>
        <v>0</v>
      </c>
      <c r="U211" s="180">
        <f t="shared" si="76"/>
        <v>0</v>
      </c>
      <c r="V211" s="182">
        <f t="shared" si="55"/>
        <v>100</v>
      </c>
      <c r="W211" s="180"/>
      <c r="X211" s="180" t="e">
        <f>#REF!</f>
        <v>#REF!</v>
      </c>
      <c r="Y211" s="180" t="e">
        <f>#REF!</f>
        <v>#REF!</v>
      </c>
      <c r="Z211" s="180" t="e">
        <f>#REF!</f>
        <v>#REF!</v>
      </c>
      <c r="AA211" s="180" t="e">
        <f>#REF!</f>
        <v>#REF!</v>
      </c>
      <c r="AB211" s="180">
        <v>4600005</v>
      </c>
      <c r="AC211" s="180" t="e">
        <f>#REF!</f>
        <v>#REF!</v>
      </c>
      <c r="AD211" s="180" t="e">
        <f>#REF!</f>
        <v>#REF!</v>
      </c>
      <c r="AE211" s="180" t="e">
        <f>#REF!</f>
        <v>#REF!</v>
      </c>
      <c r="AF211" s="180" t="e">
        <f>[1]April!N55</f>
        <v>#REF!</v>
      </c>
      <c r="AG211" s="180" t="e">
        <f>[2]april!N55</f>
        <v>#REF!</v>
      </c>
      <c r="AH211" s="180" t="e">
        <f>'[3]DES SKPD'!$N55</f>
        <v>#REF!</v>
      </c>
      <c r="AI211" s="180">
        <v>0</v>
      </c>
      <c r="AJ211" s="181">
        <f t="shared" si="73"/>
        <v>0</v>
      </c>
      <c r="AK211" s="180">
        <f t="shared" si="67"/>
        <v>15750000</v>
      </c>
      <c r="AL211" s="181">
        <f t="shared" si="74"/>
        <v>100</v>
      </c>
      <c r="AM211" s="243"/>
    </row>
    <row r="212" spans="1:39" ht="28.5" customHeight="1" x14ac:dyDescent="0.25">
      <c r="A212" s="243"/>
      <c r="B212" s="381"/>
      <c r="C212" s="381"/>
      <c r="D212" s="381"/>
      <c r="E212" s="381"/>
      <c r="F212" s="381"/>
      <c r="G212" s="381"/>
      <c r="H212" s="381"/>
      <c r="I212" s="382"/>
      <c r="J212" s="381" t="s">
        <v>282</v>
      </c>
      <c r="K212" s="245"/>
      <c r="L212" s="257"/>
      <c r="M212" s="597" t="s">
        <v>283</v>
      </c>
      <c r="N212" s="598"/>
      <c r="O212" s="299"/>
      <c r="P212" s="180"/>
      <c r="Q212" s="180">
        <v>42110000</v>
      </c>
      <c r="R212" s="181">
        <f t="shared" si="75"/>
        <v>29.506152078253312</v>
      </c>
      <c r="S212" s="181">
        <v>100</v>
      </c>
      <c r="T212" s="180">
        <f t="shared" si="72"/>
        <v>0</v>
      </c>
      <c r="U212" s="180">
        <f t="shared" si="76"/>
        <v>0</v>
      </c>
      <c r="V212" s="182">
        <f t="shared" si="55"/>
        <v>100</v>
      </c>
      <c r="W212" s="180"/>
      <c r="X212" s="180" t="e">
        <f>#REF!</f>
        <v>#REF!</v>
      </c>
      <c r="Y212" s="180" t="e">
        <f>#REF!</f>
        <v>#REF!</v>
      </c>
      <c r="Z212" s="180" t="e">
        <f>#REF!</f>
        <v>#REF!</v>
      </c>
      <c r="AA212" s="180" t="e">
        <f>#REF!</f>
        <v>#REF!</v>
      </c>
      <c r="AB212" s="180">
        <v>4600006</v>
      </c>
      <c r="AC212" s="180" t="e">
        <f>#REF!</f>
        <v>#REF!</v>
      </c>
      <c r="AD212" s="180" t="e">
        <f>#REF!</f>
        <v>#REF!</v>
      </c>
      <c r="AE212" s="180" t="e">
        <f>#REF!</f>
        <v>#REF!</v>
      </c>
      <c r="AF212" s="180" t="e">
        <f>[1]April!N56</f>
        <v>#REF!</v>
      </c>
      <c r="AG212" s="180" t="e">
        <f>[2]april!N56</f>
        <v>#REF!</v>
      </c>
      <c r="AH212" s="180">
        <f>'[3]DES SKPD'!$N56</f>
        <v>260098500</v>
      </c>
      <c r="AI212" s="180">
        <v>0</v>
      </c>
      <c r="AJ212" s="181">
        <f t="shared" si="73"/>
        <v>0</v>
      </c>
      <c r="AK212" s="180">
        <f t="shared" si="67"/>
        <v>42110000</v>
      </c>
      <c r="AL212" s="181">
        <f t="shared" si="74"/>
        <v>100</v>
      </c>
      <c r="AM212" s="243"/>
    </row>
    <row r="213" spans="1:39" s="297" customFormat="1" ht="32.25" customHeight="1" x14ac:dyDescent="0.25">
      <c r="A213" s="227">
        <f>A206+1</f>
        <v>32</v>
      </c>
      <c r="B213" s="615" t="s">
        <v>141</v>
      </c>
      <c r="C213" s="615"/>
      <c r="D213" s="615"/>
      <c r="E213" s="615"/>
      <c r="F213" s="615"/>
      <c r="G213" s="615"/>
      <c r="H213" s="615"/>
      <c r="I213" s="614"/>
      <c r="J213" s="304" t="s">
        <v>476</v>
      </c>
      <c r="K213" s="230"/>
      <c r="L213" s="294"/>
      <c r="M213" s="615" t="s">
        <v>143</v>
      </c>
      <c r="N213" s="614"/>
      <c r="O213" s="295">
        <v>359210000</v>
      </c>
      <c r="P213" s="231">
        <f>O213</f>
        <v>359210000</v>
      </c>
      <c r="Q213" s="231">
        <f>SUM(Q214:Q218)</f>
        <v>138060000</v>
      </c>
      <c r="R213" s="233">
        <f>Q213/Q$177*100</f>
        <v>10.16568440514069</v>
      </c>
      <c r="S213" s="233">
        <v>100</v>
      </c>
      <c r="T213" s="231">
        <f t="shared" si="72"/>
        <v>24.228596262494566</v>
      </c>
      <c r="U213" s="231">
        <f t="shared" si="76"/>
        <v>2.4630026318409102</v>
      </c>
      <c r="V213" s="296">
        <f t="shared" si="55"/>
        <v>75.771403737505437</v>
      </c>
      <c r="W213" s="231"/>
      <c r="X213" s="231" t="e">
        <f>#REF!</f>
        <v>#REF!</v>
      </c>
      <c r="Y213" s="231" t="e">
        <f>#REF!</f>
        <v>#REF!</v>
      </c>
      <c r="Z213" s="231" t="e">
        <f>#REF!</f>
        <v>#REF!</v>
      </c>
      <c r="AA213" s="231" t="e">
        <f>#REF!</f>
        <v>#REF!</v>
      </c>
      <c r="AB213" s="231">
        <v>173940000</v>
      </c>
      <c r="AC213" s="231" t="e">
        <f>#REF!</f>
        <v>#REF!</v>
      </c>
      <c r="AD213" s="231" t="e">
        <f>#REF!</f>
        <v>#REF!</v>
      </c>
      <c r="AE213" s="231" t="e">
        <f>#REF!</f>
        <v>#REF!</v>
      </c>
      <c r="AF213" s="231" t="e">
        <f>[1]April!N51</f>
        <v>#REF!</v>
      </c>
      <c r="AG213" s="231" t="e">
        <f>[2]april!N51</f>
        <v>#REF!</v>
      </c>
      <c r="AH213" s="231">
        <f>'[3]DES SKPD'!$N51</f>
        <v>317812000</v>
      </c>
      <c r="AI213" s="231">
        <f>SUM(AI214:AI218)</f>
        <v>33450000</v>
      </c>
      <c r="AJ213" s="233">
        <f t="shared" si="73"/>
        <v>24.228596262494566</v>
      </c>
      <c r="AK213" s="231">
        <f t="shared" si="67"/>
        <v>104610000</v>
      </c>
      <c r="AL213" s="233">
        <f t="shared" si="74"/>
        <v>75.771403737505423</v>
      </c>
      <c r="AM213" s="227"/>
    </row>
    <row r="214" spans="1:39" ht="28.5" customHeight="1" x14ac:dyDescent="0.25">
      <c r="A214" s="243"/>
      <c r="B214" s="381"/>
      <c r="C214" s="381"/>
      <c r="D214" s="381"/>
      <c r="E214" s="381"/>
      <c r="F214" s="381"/>
      <c r="G214" s="381"/>
      <c r="H214" s="381"/>
      <c r="I214" s="382"/>
      <c r="J214" s="381" t="s">
        <v>332</v>
      </c>
      <c r="K214" s="245"/>
      <c r="L214" s="257"/>
      <c r="M214" s="597" t="s">
        <v>335</v>
      </c>
      <c r="N214" s="598"/>
      <c r="O214" s="299"/>
      <c r="P214" s="180"/>
      <c r="Q214" s="180">
        <v>1000000</v>
      </c>
      <c r="R214" s="181">
        <f>Q214/Q$213*100</f>
        <v>0.72432275822106329</v>
      </c>
      <c r="S214" s="181">
        <v>100</v>
      </c>
      <c r="T214" s="180">
        <f t="shared" si="72"/>
        <v>25</v>
      </c>
      <c r="U214" s="180">
        <f t="shared" si="76"/>
        <v>0.18108068955526582</v>
      </c>
      <c r="V214" s="182">
        <f t="shared" si="55"/>
        <v>75</v>
      </c>
      <c r="W214" s="180"/>
      <c r="X214" s="180" t="e">
        <f>#REF!</f>
        <v>#REF!</v>
      </c>
      <c r="Y214" s="180" t="e">
        <f>#REF!</f>
        <v>#REF!</v>
      </c>
      <c r="Z214" s="180" t="e">
        <f>#REF!</f>
        <v>#REF!</v>
      </c>
      <c r="AA214" s="180" t="e">
        <f>#REF!</f>
        <v>#REF!</v>
      </c>
      <c r="AB214" s="180">
        <v>173940002</v>
      </c>
      <c r="AC214" s="180" t="e">
        <f>#REF!</f>
        <v>#REF!</v>
      </c>
      <c r="AD214" s="180" t="e">
        <f>#REF!</f>
        <v>#REF!</v>
      </c>
      <c r="AE214" s="180" t="e">
        <f>#REF!</f>
        <v>#REF!</v>
      </c>
      <c r="AF214" s="180" t="e">
        <f>[1]April!N53</f>
        <v>#REF!</v>
      </c>
      <c r="AG214" s="180" t="e">
        <f>[2]april!N53</f>
        <v>#REF!</v>
      </c>
      <c r="AH214" s="180" t="e">
        <f>'[3]DES SKPD'!$N53</f>
        <v>#REF!</v>
      </c>
      <c r="AI214" s="180">
        <v>250000</v>
      </c>
      <c r="AJ214" s="181">
        <f t="shared" si="73"/>
        <v>25</v>
      </c>
      <c r="AK214" s="180">
        <f t="shared" si="67"/>
        <v>750000</v>
      </c>
      <c r="AL214" s="181">
        <f t="shared" si="74"/>
        <v>75</v>
      </c>
      <c r="AM214" s="243"/>
    </row>
    <row r="215" spans="1:39" ht="28.5" customHeight="1" x14ac:dyDescent="0.25">
      <c r="A215" s="243"/>
      <c r="B215" s="381"/>
      <c r="C215" s="381"/>
      <c r="D215" s="381"/>
      <c r="E215" s="381"/>
      <c r="F215" s="381"/>
      <c r="G215" s="381"/>
      <c r="H215" s="381"/>
      <c r="I215" s="382"/>
      <c r="J215" s="381" t="s">
        <v>333</v>
      </c>
      <c r="K215" s="245"/>
      <c r="L215" s="257"/>
      <c r="M215" s="597" t="s">
        <v>334</v>
      </c>
      <c r="N215" s="598"/>
      <c r="O215" s="299"/>
      <c r="P215" s="180"/>
      <c r="Q215" s="180">
        <v>20000000</v>
      </c>
      <c r="R215" s="181">
        <f>Q215/Q$213*100</f>
        <v>14.486455164421267</v>
      </c>
      <c r="S215" s="181">
        <v>100</v>
      </c>
      <c r="T215" s="180">
        <f t="shared" si="72"/>
        <v>25</v>
      </c>
      <c r="U215" s="180">
        <f t="shared" si="76"/>
        <v>3.6216137911053168</v>
      </c>
      <c r="V215" s="182">
        <f t="shared" si="55"/>
        <v>75</v>
      </c>
      <c r="W215" s="180"/>
      <c r="X215" s="180" t="e">
        <f>#REF!</f>
        <v>#REF!</v>
      </c>
      <c r="Y215" s="180" t="e">
        <f>#REF!</f>
        <v>#REF!</v>
      </c>
      <c r="Z215" s="180" t="e">
        <f>#REF!</f>
        <v>#REF!</v>
      </c>
      <c r="AA215" s="180" t="e">
        <f>#REF!</f>
        <v>#REF!</v>
      </c>
      <c r="AB215" s="180">
        <v>173940003</v>
      </c>
      <c r="AC215" s="180" t="e">
        <f>#REF!</f>
        <v>#REF!</v>
      </c>
      <c r="AD215" s="180" t="e">
        <f>#REF!</f>
        <v>#REF!</v>
      </c>
      <c r="AE215" s="180" t="e">
        <f>#REF!</f>
        <v>#REF!</v>
      </c>
      <c r="AF215" s="180" t="e">
        <f>[1]April!N54</f>
        <v>#REF!</v>
      </c>
      <c r="AG215" s="180" t="e">
        <f>[2]april!N54</f>
        <v>#REF!</v>
      </c>
      <c r="AH215" s="180">
        <f>'[3]DES SKPD'!$N54</f>
        <v>508172500</v>
      </c>
      <c r="AI215" s="180">
        <v>5000000</v>
      </c>
      <c r="AJ215" s="181">
        <f t="shared" si="73"/>
        <v>25</v>
      </c>
      <c r="AK215" s="180">
        <f t="shared" si="67"/>
        <v>15000000</v>
      </c>
      <c r="AL215" s="181">
        <f t="shared" si="74"/>
        <v>75</v>
      </c>
      <c r="AM215" s="243"/>
    </row>
    <row r="216" spans="1:39" ht="28.5" customHeight="1" x14ac:dyDescent="0.25">
      <c r="A216" s="243"/>
      <c r="B216" s="381"/>
      <c r="C216" s="381"/>
      <c r="D216" s="381"/>
      <c r="E216" s="381"/>
      <c r="F216" s="381"/>
      <c r="G216" s="381"/>
      <c r="H216" s="381"/>
      <c r="I216" s="382"/>
      <c r="J216" s="381" t="s">
        <v>336</v>
      </c>
      <c r="K216" s="245"/>
      <c r="L216" s="257"/>
      <c r="M216" s="597" t="s">
        <v>337</v>
      </c>
      <c r="N216" s="598"/>
      <c r="O216" s="299"/>
      <c r="P216" s="180"/>
      <c r="Q216" s="180">
        <v>92100000</v>
      </c>
      <c r="R216" s="181">
        <f>Q216/Q$213*100</f>
        <v>66.710126032159934</v>
      </c>
      <c r="S216" s="181">
        <v>100</v>
      </c>
      <c r="T216" s="180">
        <f t="shared" si="72"/>
        <v>27.687296416938111</v>
      </c>
      <c r="U216" s="180">
        <f t="shared" si="76"/>
        <v>18.470230334637115</v>
      </c>
      <c r="V216" s="182">
        <f t="shared" si="55"/>
        <v>72.312703583061889</v>
      </c>
      <c r="W216" s="180"/>
      <c r="X216" s="180" t="e">
        <f>#REF!</f>
        <v>#REF!</v>
      </c>
      <c r="Y216" s="180" t="e">
        <f>#REF!</f>
        <v>#REF!</v>
      </c>
      <c r="Z216" s="180" t="e">
        <f>#REF!</f>
        <v>#REF!</v>
      </c>
      <c r="AA216" s="180" t="e">
        <f>#REF!</f>
        <v>#REF!</v>
      </c>
      <c r="AB216" s="180">
        <v>173940004</v>
      </c>
      <c r="AC216" s="180" t="e">
        <f>#REF!</f>
        <v>#REF!</v>
      </c>
      <c r="AD216" s="180" t="e">
        <f>#REF!</f>
        <v>#REF!</v>
      </c>
      <c r="AE216" s="180" t="e">
        <f>#REF!</f>
        <v>#REF!</v>
      </c>
      <c r="AF216" s="180" t="e">
        <f>[1]April!N55</f>
        <v>#REF!</v>
      </c>
      <c r="AG216" s="180" t="e">
        <f>[2]april!N55</f>
        <v>#REF!</v>
      </c>
      <c r="AH216" s="180" t="e">
        <f>'[3]DES SKPD'!$N55</f>
        <v>#REF!</v>
      </c>
      <c r="AI216" s="180">
        <v>25500000</v>
      </c>
      <c r="AJ216" s="181">
        <f t="shared" si="73"/>
        <v>27.687296416938111</v>
      </c>
      <c r="AK216" s="180">
        <f t="shared" si="67"/>
        <v>66600000</v>
      </c>
      <c r="AL216" s="181">
        <f t="shared" si="74"/>
        <v>72.312703583061889</v>
      </c>
      <c r="AM216" s="243"/>
    </row>
    <row r="217" spans="1:39" ht="28.5" customHeight="1" x14ac:dyDescent="0.25">
      <c r="A217" s="243"/>
      <c r="B217" s="381"/>
      <c r="C217" s="381"/>
      <c r="D217" s="381"/>
      <c r="E217" s="381"/>
      <c r="F217" s="381"/>
      <c r="G217" s="381"/>
      <c r="H217" s="381"/>
      <c r="I217" s="382"/>
      <c r="J217" s="381" t="s">
        <v>309</v>
      </c>
      <c r="K217" s="245"/>
      <c r="L217" s="257"/>
      <c r="M217" s="597" t="s">
        <v>310</v>
      </c>
      <c r="N217" s="598"/>
      <c r="O217" s="299"/>
      <c r="P217" s="180"/>
      <c r="Q217" s="180">
        <v>21600000</v>
      </c>
      <c r="R217" s="181">
        <f>Q217/Q$213*100</f>
        <v>15.645371577574968</v>
      </c>
      <c r="S217" s="181">
        <v>100</v>
      </c>
      <c r="T217" s="180">
        <f t="shared" si="72"/>
        <v>0</v>
      </c>
      <c r="U217" s="180">
        <f t="shared" si="76"/>
        <v>0</v>
      </c>
      <c r="V217" s="182">
        <f t="shared" ref="V217:V294" si="77">S217-T217</f>
        <v>100</v>
      </c>
      <c r="W217" s="180"/>
      <c r="X217" s="180" t="e">
        <f>#REF!</f>
        <v>#REF!</v>
      </c>
      <c r="Y217" s="180" t="e">
        <f>#REF!</f>
        <v>#REF!</v>
      </c>
      <c r="Z217" s="180" t="e">
        <f>#REF!</f>
        <v>#REF!</v>
      </c>
      <c r="AA217" s="180" t="e">
        <f>#REF!</f>
        <v>#REF!</v>
      </c>
      <c r="AB217" s="180">
        <v>173940006</v>
      </c>
      <c r="AC217" s="180" t="e">
        <f>#REF!</f>
        <v>#REF!</v>
      </c>
      <c r="AD217" s="180" t="e">
        <f>#REF!</f>
        <v>#REF!</v>
      </c>
      <c r="AE217" s="180" t="e">
        <f>#REF!</f>
        <v>#REF!</v>
      </c>
      <c r="AF217" s="180" t="e">
        <f>[1]April!N57</f>
        <v>#REF!</v>
      </c>
      <c r="AG217" s="180" t="e">
        <f>[2]april!N57</f>
        <v>#REF!</v>
      </c>
      <c r="AH217" s="180">
        <f>'[3]DES SKPD'!$N57</f>
        <v>371775000</v>
      </c>
      <c r="AI217" s="180">
        <v>0</v>
      </c>
      <c r="AJ217" s="181">
        <f>AI217/Q217*100</f>
        <v>0</v>
      </c>
      <c r="AK217" s="180">
        <f>Q217-AI217</f>
        <v>21600000</v>
      </c>
      <c r="AL217" s="181">
        <f t="shared" si="74"/>
        <v>100</v>
      </c>
      <c r="AM217" s="243"/>
    </row>
    <row r="218" spans="1:39" ht="28.5" customHeight="1" x14ac:dyDescent="0.25">
      <c r="A218" s="243"/>
      <c r="B218" s="381"/>
      <c r="C218" s="381"/>
      <c r="D218" s="381"/>
      <c r="E218" s="381"/>
      <c r="F218" s="381"/>
      <c r="G218" s="381"/>
      <c r="H218" s="381"/>
      <c r="I218" s="382"/>
      <c r="J218" s="381" t="s">
        <v>551</v>
      </c>
      <c r="K218" s="245"/>
      <c r="L218" s="257"/>
      <c r="M218" s="597" t="s">
        <v>550</v>
      </c>
      <c r="N218" s="598"/>
      <c r="O218" s="299"/>
      <c r="P218" s="180"/>
      <c r="Q218" s="180">
        <v>3360000</v>
      </c>
      <c r="R218" s="181">
        <f>Q218/Q$213*100</f>
        <v>2.4337244676227727</v>
      </c>
      <c r="S218" s="181">
        <v>100</v>
      </c>
      <c r="T218" s="180">
        <f t="shared" si="72"/>
        <v>80.357142857142861</v>
      </c>
      <c r="U218" s="180">
        <f t="shared" si="76"/>
        <v>1.955671447196871</v>
      </c>
      <c r="V218" s="182">
        <f t="shared" si="77"/>
        <v>19.642857142857139</v>
      </c>
      <c r="W218" s="180"/>
      <c r="X218" s="180"/>
      <c r="Y218" s="180"/>
      <c r="Z218" s="180"/>
      <c r="AA218" s="180"/>
      <c r="AB218" s="180"/>
      <c r="AC218" s="180"/>
      <c r="AD218" s="180"/>
      <c r="AE218" s="180"/>
      <c r="AF218" s="180"/>
      <c r="AG218" s="180"/>
      <c r="AH218" s="180"/>
      <c r="AI218" s="180">
        <f>1800000+900000</f>
        <v>2700000</v>
      </c>
      <c r="AJ218" s="181">
        <f>AI218/Q218*100</f>
        <v>80.357142857142861</v>
      </c>
      <c r="AK218" s="180">
        <f>Q218-AI218</f>
        <v>660000</v>
      </c>
      <c r="AL218" s="181">
        <f t="shared" si="74"/>
        <v>19.642857142857142</v>
      </c>
      <c r="AM218" s="243"/>
    </row>
    <row r="219" spans="1:39" ht="28.5" customHeight="1" x14ac:dyDescent="0.25">
      <c r="A219" s="227">
        <v>33</v>
      </c>
      <c r="B219" s="381"/>
      <c r="C219" s="381"/>
      <c r="D219" s="381"/>
      <c r="E219" s="381"/>
      <c r="F219" s="381"/>
      <c r="G219" s="381"/>
      <c r="H219" s="381"/>
      <c r="I219" s="382"/>
      <c r="J219" s="304" t="s">
        <v>477</v>
      </c>
      <c r="K219" s="230"/>
      <c r="L219" s="294"/>
      <c r="M219" s="615" t="s">
        <v>472</v>
      </c>
      <c r="N219" s="614"/>
      <c r="O219" s="295">
        <v>85915000</v>
      </c>
      <c r="P219" s="231">
        <f>O219</f>
        <v>85915000</v>
      </c>
      <c r="Q219" s="231">
        <f>SUM(Q220:Q226)</f>
        <v>102020000</v>
      </c>
      <c r="R219" s="233">
        <f>Q219/Q$177*100</f>
        <v>7.5119739462005866</v>
      </c>
      <c r="S219" s="233">
        <v>100</v>
      </c>
      <c r="T219" s="231">
        <f t="shared" si="72"/>
        <v>0</v>
      </c>
      <c r="U219" s="231">
        <f t="shared" si="76"/>
        <v>0</v>
      </c>
      <c r="V219" s="296">
        <f t="shared" si="77"/>
        <v>100</v>
      </c>
      <c r="W219" s="231"/>
      <c r="X219" s="231" t="e">
        <f>#REF!</f>
        <v>#REF!</v>
      </c>
      <c r="Y219" s="231" t="e">
        <f>#REF!</f>
        <v>#REF!</v>
      </c>
      <c r="Z219" s="231" t="e">
        <f>#REF!</f>
        <v>#REF!</v>
      </c>
      <c r="AA219" s="231" t="e">
        <f>#REF!</f>
        <v>#REF!</v>
      </c>
      <c r="AB219" s="231">
        <v>0</v>
      </c>
      <c r="AC219" s="231" t="e">
        <f>#REF!</f>
        <v>#REF!</v>
      </c>
      <c r="AD219" s="231" t="e">
        <f>#REF!</f>
        <v>#REF!</v>
      </c>
      <c r="AE219" s="231" t="e">
        <f>#REF!</f>
        <v>#REF!</v>
      </c>
      <c r="AF219" s="231" t="e">
        <f>[1]April!N45</f>
        <v>#REF!</v>
      </c>
      <c r="AG219" s="231" t="e">
        <f>[2]april!N45</f>
        <v>#REF!</v>
      </c>
      <c r="AH219" s="231">
        <f>'[3]DES SKPD'!$N45</f>
        <v>320566100</v>
      </c>
      <c r="AI219" s="231">
        <f>SUM(AI220:AI226)</f>
        <v>0</v>
      </c>
      <c r="AJ219" s="233">
        <f t="shared" si="73"/>
        <v>0</v>
      </c>
      <c r="AK219" s="231">
        <f t="shared" si="67"/>
        <v>102020000</v>
      </c>
      <c r="AL219" s="233">
        <f t="shared" si="74"/>
        <v>100</v>
      </c>
      <c r="AM219" s="243"/>
    </row>
    <row r="220" spans="1:39" ht="28.5" customHeight="1" x14ac:dyDescent="0.25">
      <c r="A220" s="243"/>
      <c r="B220" s="381"/>
      <c r="C220" s="381"/>
      <c r="D220" s="381"/>
      <c r="E220" s="381"/>
      <c r="F220" s="381"/>
      <c r="G220" s="381"/>
      <c r="H220" s="381"/>
      <c r="I220" s="382"/>
      <c r="J220" s="381" t="s">
        <v>257</v>
      </c>
      <c r="K220" s="245"/>
      <c r="L220" s="257"/>
      <c r="M220" s="597" t="s">
        <v>592</v>
      </c>
      <c r="N220" s="598"/>
      <c r="O220" s="299"/>
      <c r="P220" s="180"/>
      <c r="Q220" s="180">
        <v>1600000</v>
      </c>
      <c r="R220" s="181">
        <f t="shared" ref="R220:R226" si="78">Q220/Q$219*100</f>
        <v>1.5683199372672023</v>
      </c>
      <c r="S220" s="181">
        <v>100</v>
      </c>
      <c r="T220" s="180">
        <f t="shared" si="72"/>
        <v>0</v>
      </c>
      <c r="U220" s="180">
        <f t="shared" si="76"/>
        <v>0</v>
      </c>
      <c r="V220" s="182">
        <f t="shared" si="77"/>
        <v>100</v>
      </c>
      <c r="W220" s="180"/>
      <c r="X220" s="180"/>
      <c r="Y220" s="180"/>
      <c r="Z220" s="180"/>
      <c r="AA220" s="180"/>
      <c r="AB220" s="180"/>
      <c r="AC220" s="180"/>
      <c r="AD220" s="180"/>
      <c r="AE220" s="180"/>
      <c r="AF220" s="180"/>
      <c r="AG220" s="180"/>
      <c r="AH220" s="180"/>
      <c r="AI220" s="180">
        <v>0</v>
      </c>
      <c r="AJ220" s="181">
        <f t="shared" si="73"/>
        <v>0</v>
      </c>
      <c r="AK220" s="180">
        <f t="shared" si="67"/>
        <v>1600000</v>
      </c>
      <c r="AL220" s="181">
        <f t="shared" si="74"/>
        <v>100</v>
      </c>
      <c r="AM220" s="243"/>
    </row>
    <row r="221" spans="1:39" ht="28.5" customHeight="1" x14ac:dyDescent="0.25">
      <c r="A221" s="243"/>
      <c r="B221" s="381"/>
      <c r="C221" s="381"/>
      <c r="D221" s="381"/>
      <c r="E221" s="381"/>
      <c r="F221" s="381"/>
      <c r="G221" s="381"/>
      <c r="H221" s="381"/>
      <c r="I221" s="382"/>
      <c r="J221" s="381" t="s">
        <v>593</v>
      </c>
      <c r="K221" s="245"/>
      <c r="L221" s="257"/>
      <c r="M221" s="597" t="s">
        <v>270</v>
      </c>
      <c r="N221" s="598"/>
      <c r="O221" s="299"/>
      <c r="P221" s="180"/>
      <c r="Q221" s="180">
        <v>2000000</v>
      </c>
      <c r="R221" s="181">
        <f t="shared" si="78"/>
        <v>1.9603999215840031</v>
      </c>
      <c r="S221" s="181">
        <v>100</v>
      </c>
      <c r="T221" s="180">
        <f t="shared" si="72"/>
        <v>0</v>
      </c>
      <c r="U221" s="180">
        <f t="shared" si="76"/>
        <v>0</v>
      </c>
      <c r="V221" s="182">
        <f t="shared" si="77"/>
        <v>100</v>
      </c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>
        <v>0</v>
      </c>
      <c r="AJ221" s="181">
        <f t="shared" si="73"/>
        <v>0</v>
      </c>
      <c r="AK221" s="180">
        <f t="shared" si="67"/>
        <v>2000000</v>
      </c>
      <c r="AL221" s="181">
        <f t="shared" si="74"/>
        <v>100</v>
      </c>
      <c r="AM221" s="243"/>
    </row>
    <row r="222" spans="1:39" ht="28.5" customHeight="1" x14ac:dyDescent="0.25">
      <c r="A222" s="243"/>
      <c r="B222" s="381"/>
      <c r="C222" s="381"/>
      <c r="D222" s="381"/>
      <c r="E222" s="381"/>
      <c r="F222" s="381"/>
      <c r="G222" s="381"/>
      <c r="H222" s="381"/>
      <c r="I222" s="382"/>
      <c r="J222" s="381" t="s">
        <v>593</v>
      </c>
      <c r="K222" s="245"/>
      <c r="L222" s="257"/>
      <c r="M222" s="597" t="s">
        <v>428</v>
      </c>
      <c r="N222" s="598"/>
      <c r="O222" s="299"/>
      <c r="P222" s="180"/>
      <c r="Q222" s="180">
        <v>1500000</v>
      </c>
      <c r="R222" s="181">
        <f t="shared" si="78"/>
        <v>1.4702999411880022</v>
      </c>
      <c r="S222" s="181">
        <v>100</v>
      </c>
      <c r="T222" s="180">
        <f t="shared" si="72"/>
        <v>0</v>
      </c>
      <c r="U222" s="180">
        <f t="shared" si="76"/>
        <v>0</v>
      </c>
      <c r="V222" s="182">
        <f t="shared" si="77"/>
        <v>100</v>
      </c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180"/>
      <c r="AI222" s="180">
        <v>0</v>
      </c>
      <c r="AJ222" s="181">
        <f t="shared" si="73"/>
        <v>0</v>
      </c>
      <c r="AK222" s="180">
        <f t="shared" si="67"/>
        <v>1500000</v>
      </c>
      <c r="AL222" s="181">
        <f t="shared" si="74"/>
        <v>100</v>
      </c>
      <c r="AM222" s="243"/>
    </row>
    <row r="223" spans="1:39" ht="28.5" customHeight="1" x14ac:dyDescent="0.25">
      <c r="A223" s="243"/>
      <c r="B223" s="381"/>
      <c r="C223" s="381"/>
      <c r="D223" s="381"/>
      <c r="E223" s="381"/>
      <c r="F223" s="381"/>
      <c r="G223" s="381"/>
      <c r="H223" s="381"/>
      <c r="I223" s="382"/>
      <c r="J223" s="381" t="s">
        <v>318</v>
      </c>
      <c r="K223" s="245"/>
      <c r="L223" s="257"/>
      <c r="M223" s="597" t="s">
        <v>319</v>
      </c>
      <c r="N223" s="598"/>
      <c r="O223" s="299"/>
      <c r="P223" s="180"/>
      <c r="Q223" s="180">
        <v>22750000</v>
      </c>
      <c r="R223" s="181">
        <f t="shared" si="78"/>
        <v>22.299549108018034</v>
      </c>
      <c r="S223" s="181">
        <v>100</v>
      </c>
      <c r="T223" s="180">
        <f t="shared" si="72"/>
        <v>0</v>
      </c>
      <c r="U223" s="180">
        <f t="shared" si="76"/>
        <v>0</v>
      </c>
      <c r="V223" s="182">
        <f t="shared" si="77"/>
        <v>100</v>
      </c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>
        <v>0</v>
      </c>
      <c r="AJ223" s="181">
        <f t="shared" si="73"/>
        <v>0</v>
      </c>
      <c r="AK223" s="180">
        <f t="shared" si="67"/>
        <v>22750000</v>
      </c>
      <c r="AL223" s="181">
        <f t="shared" si="74"/>
        <v>100</v>
      </c>
      <c r="AM223" s="243"/>
    </row>
    <row r="224" spans="1:39" ht="28.5" customHeight="1" x14ac:dyDescent="0.25">
      <c r="A224" s="243"/>
      <c r="B224" s="381"/>
      <c r="C224" s="381"/>
      <c r="D224" s="381"/>
      <c r="E224" s="381"/>
      <c r="F224" s="381"/>
      <c r="G224" s="381"/>
      <c r="H224" s="381"/>
      <c r="I224" s="382"/>
      <c r="J224" s="381" t="s">
        <v>280</v>
      </c>
      <c r="K224" s="245"/>
      <c r="L224" s="257"/>
      <c r="M224" s="597" t="s">
        <v>425</v>
      </c>
      <c r="N224" s="598"/>
      <c r="O224" s="299"/>
      <c r="P224" s="180"/>
      <c r="Q224" s="180">
        <v>7000000</v>
      </c>
      <c r="R224" s="181">
        <f t="shared" si="78"/>
        <v>6.8613997255440111</v>
      </c>
      <c r="S224" s="181">
        <v>100</v>
      </c>
      <c r="T224" s="180">
        <f t="shared" si="72"/>
        <v>0</v>
      </c>
      <c r="U224" s="180">
        <f t="shared" si="76"/>
        <v>0</v>
      </c>
      <c r="V224" s="182">
        <f t="shared" si="77"/>
        <v>100</v>
      </c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>
        <v>0</v>
      </c>
      <c r="AJ224" s="181">
        <f t="shared" si="73"/>
        <v>0</v>
      </c>
      <c r="AK224" s="180">
        <f t="shared" si="67"/>
        <v>7000000</v>
      </c>
      <c r="AL224" s="181">
        <f t="shared" si="74"/>
        <v>100</v>
      </c>
      <c r="AM224" s="243"/>
    </row>
    <row r="225" spans="1:39" ht="28.5" customHeight="1" x14ac:dyDescent="0.25">
      <c r="A225" s="243"/>
      <c r="B225" s="381"/>
      <c r="C225" s="381"/>
      <c r="D225" s="381"/>
      <c r="E225" s="381"/>
      <c r="F225" s="381"/>
      <c r="G225" s="381"/>
      <c r="H225" s="381"/>
      <c r="I225" s="382"/>
      <c r="J225" s="381" t="s">
        <v>282</v>
      </c>
      <c r="K225" s="245"/>
      <c r="L225" s="257"/>
      <c r="M225" s="597" t="s">
        <v>590</v>
      </c>
      <c r="N225" s="598"/>
      <c r="O225" s="299"/>
      <c r="P225" s="180"/>
      <c r="Q225" s="180">
        <v>27170000</v>
      </c>
      <c r="R225" s="181">
        <f t="shared" si="78"/>
        <v>26.63203293471868</v>
      </c>
      <c r="S225" s="181">
        <v>100</v>
      </c>
      <c r="T225" s="180">
        <f t="shared" si="72"/>
        <v>0</v>
      </c>
      <c r="U225" s="180">
        <f t="shared" si="76"/>
        <v>0</v>
      </c>
      <c r="V225" s="182">
        <f>S225-T225</f>
        <v>100</v>
      </c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>
        <v>0</v>
      </c>
      <c r="AJ225" s="181">
        <f t="shared" si="73"/>
        <v>0</v>
      </c>
      <c r="AK225" s="180">
        <f t="shared" si="67"/>
        <v>27170000</v>
      </c>
      <c r="AL225" s="181">
        <f t="shared" si="74"/>
        <v>100</v>
      </c>
      <c r="AM225" s="243"/>
    </row>
    <row r="226" spans="1:39" ht="28.5" customHeight="1" x14ac:dyDescent="0.25">
      <c r="A226" s="243"/>
      <c r="B226" s="381"/>
      <c r="C226" s="381"/>
      <c r="D226" s="381"/>
      <c r="E226" s="381"/>
      <c r="F226" s="381"/>
      <c r="G226" s="381"/>
      <c r="H226" s="381"/>
      <c r="I226" s="382"/>
      <c r="J226" s="381" t="s">
        <v>594</v>
      </c>
      <c r="K226" s="245"/>
      <c r="L226" s="257"/>
      <c r="M226" s="597" t="s">
        <v>591</v>
      </c>
      <c r="N226" s="598"/>
      <c r="O226" s="299"/>
      <c r="P226" s="180"/>
      <c r="Q226" s="180">
        <v>40000000</v>
      </c>
      <c r="R226" s="181">
        <f t="shared" si="78"/>
        <v>39.20799843168006</v>
      </c>
      <c r="S226" s="181">
        <v>100</v>
      </c>
      <c r="T226" s="180">
        <f t="shared" si="72"/>
        <v>0</v>
      </c>
      <c r="U226" s="180">
        <f t="shared" si="76"/>
        <v>0</v>
      </c>
      <c r="V226" s="182">
        <f>S226-T226</f>
        <v>100</v>
      </c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>
        <v>0</v>
      </c>
      <c r="AJ226" s="181">
        <f t="shared" si="73"/>
        <v>0</v>
      </c>
      <c r="AK226" s="180">
        <f t="shared" si="67"/>
        <v>40000000</v>
      </c>
      <c r="AL226" s="181">
        <f t="shared" si="74"/>
        <v>100</v>
      </c>
      <c r="AM226" s="243"/>
    </row>
    <row r="227" spans="1:39" s="297" customFormat="1" ht="24.75" customHeight="1" x14ac:dyDescent="0.25">
      <c r="A227" s="227">
        <f>A219+1</f>
        <v>34</v>
      </c>
      <c r="B227" s="615" t="s">
        <v>144</v>
      </c>
      <c r="C227" s="615"/>
      <c r="D227" s="615"/>
      <c r="E227" s="615"/>
      <c r="F227" s="615"/>
      <c r="G227" s="615"/>
      <c r="H227" s="615"/>
      <c r="I227" s="614"/>
      <c r="J227" s="304" t="s">
        <v>478</v>
      </c>
      <c r="K227" s="230"/>
      <c r="L227" s="294"/>
      <c r="M227" s="615" t="s">
        <v>167</v>
      </c>
      <c r="N227" s="614"/>
      <c r="O227" s="295">
        <v>85915000</v>
      </c>
      <c r="P227" s="231">
        <f>O227</f>
        <v>85915000</v>
      </c>
      <c r="Q227" s="231">
        <f>SUM(Q228:Q237)</f>
        <v>131325000</v>
      </c>
      <c r="R227" s="233">
        <f>Q227/Q$177*100</f>
        <v>9.6697704223171161</v>
      </c>
      <c r="S227" s="233">
        <v>100</v>
      </c>
      <c r="T227" s="231">
        <f t="shared" si="72"/>
        <v>31.962687987816484</v>
      </c>
      <c r="U227" s="231">
        <f>R227*T227/100</f>
        <v>3.090718549223384</v>
      </c>
      <c r="V227" s="296">
        <f t="shared" si="77"/>
        <v>68.03731201218352</v>
      </c>
      <c r="W227" s="231"/>
      <c r="X227" s="231" t="e">
        <f>#REF!</f>
        <v>#REF!</v>
      </c>
      <c r="Y227" s="231" t="e">
        <f>#REF!</f>
        <v>#REF!</v>
      </c>
      <c r="Z227" s="231" t="e">
        <f>#REF!</f>
        <v>#REF!</v>
      </c>
      <c r="AA227" s="231" t="e">
        <f>#REF!</f>
        <v>#REF!</v>
      </c>
      <c r="AB227" s="231">
        <v>0</v>
      </c>
      <c r="AC227" s="231" t="e">
        <f>#REF!</f>
        <v>#REF!</v>
      </c>
      <c r="AD227" s="231" t="e">
        <f>#REF!</f>
        <v>#REF!</v>
      </c>
      <c r="AE227" s="231" t="e">
        <f>#REF!</f>
        <v>#REF!</v>
      </c>
      <c r="AF227" s="231" t="e">
        <f>[1]April!N52</f>
        <v>#REF!</v>
      </c>
      <c r="AG227" s="231" t="e">
        <f>[2]april!N52</f>
        <v>#REF!</v>
      </c>
      <c r="AH227" s="231">
        <f>'[3]DES SKPD'!$N52</f>
        <v>73668000</v>
      </c>
      <c r="AI227" s="231">
        <f>SUM(AI228:AI237)</f>
        <v>41975000</v>
      </c>
      <c r="AJ227" s="233">
        <f t="shared" si="73"/>
        <v>31.962687987816484</v>
      </c>
      <c r="AK227" s="231">
        <f t="shared" si="67"/>
        <v>89350000</v>
      </c>
      <c r="AL227" s="233">
        <f t="shared" si="74"/>
        <v>68.03731201218352</v>
      </c>
      <c r="AM227" s="227"/>
    </row>
    <row r="228" spans="1:39" ht="24.75" customHeight="1" x14ac:dyDescent="0.25">
      <c r="A228" s="243"/>
      <c r="B228" s="381"/>
      <c r="C228" s="381"/>
      <c r="D228" s="381"/>
      <c r="E228" s="381"/>
      <c r="F228" s="381"/>
      <c r="G228" s="381"/>
      <c r="H228" s="381"/>
      <c r="I228" s="382"/>
      <c r="J228" s="381" t="s">
        <v>273</v>
      </c>
      <c r="K228" s="245"/>
      <c r="L228" s="257"/>
      <c r="M228" s="597" t="s">
        <v>322</v>
      </c>
      <c r="N228" s="598"/>
      <c r="O228" s="299"/>
      <c r="P228" s="180"/>
      <c r="Q228" s="180">
        <v>4600000</v>
      </c>
      <c r="R228" s="181">
        <f t="shared" ref="R228:R237" si="79">Q228/Q$227*100</f>
        <v>3.5027603274319441</v>
      </c>
      <c r="S228" s="181">
        <v>100</v>
      </c>
      <c r="T228" s="180">
        <f t="shared" si="72"/>
        <v>0</v>
      </c>
      <c r="U228" s="180">
        <f t="shared" ref="U228:U298" si="80">R228*T228/100</f>
        <v>0</v>
      </c>
      <c r="V228" s="182">
        <f t="shared" si="77"/>
        <v>100</v>
      </c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>
        <v>0</v>
      </c>
      <c r="AJ228" s="181">
        <f t="shared" si="73"/>
        <v>0</v>
      </c>
      <c r="AK228" s="180">
        <f t="shared" si="67"/>
        <v>4600000</v>
      </c>
      <c r="AL228" s="181">
        <f t="shared" si="74"/>
        <v>100</v>
      </c>
      <c r="AM228" s="243"/>
    </row>
    <row r="229" spans="1:39" ht="24.75" customHeight="1" x14ac:dyDescent="0.25">
      <c r="A229" s="243"/>
      <c r="B229" s="381"/>
      <c r="C229" s="381"/>
      <c r="D229" s="381"/>
      <c r="E229" s="381"/>
      <c r="F229" s="381"/>
      <c r="G229" s="381"/>
      <c r="H229" s="381"/>
      <c r="I229" s="382"/>
      <c r="J229" s="381" t="s">
        <v>323</v>
      </c>
      <c r="K229" s="245"/>
      <c r="L229" s="257"/>
      <c r="M229" s="597" t="s">
        <v>324</v>
      </c>
      <c r="N229" s="598"/>
      <c r="O229" s="299"/>
      <c r="P229" s="180"/>
      <c r="Q229" s="180">
        <v>13776000</v>
      </c>
      <c r="R229" s="181">
        <f t="shared" si="79"/>
        <v>10.490005711022272</v>
      </c>
      <c r="S229" s="181">
        <v>100</v>
      </c>
      <c r="T229" s="180">
        <f t="shared" si="72"/>
        <v>0</v>
      </c>
      <c r="U229" s="180">
        <f t="shared" si="80"/>
        <v>0</v>
      </c>
      <c r="V229" s="182">
        <f t="shared" si="77"/>
        <v>100</v>
      </c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>
        <v>0</v>
      </c>
      <c r="AJ229" s="181">
        <f t="shared" si="73"/>
        <v>0</v>
      </c>
      <c r="AK229" s="180">
        <f t="shared" si="67"/>
        <v>13776000</v>
      </c>
      <c r="AL229" s="181">
        <f t="shared" si="74"/>
        <v>100</v>
      </c>
      <c r="AM229" s="243"/>
    </row>
    <row r="230" spans="1:39" ht="24.75" customHeight="1" x14ac:dyDescent="0.25">
      <c r="A230" s="243"/>
      <c r="B230" s="381"/>
      <c r="C230" s="381"/>
      <c r="D230" s="381"/>
      <c r="E230" s="381"/>
      <c r="F230" s="381"/>
      <c r="G230" s="381"/>
      <c r="H230" s="381"/>
      <c r="I230" s="382"/>
      <c r="J230" s="381" t="s">
        <v>269</v>
      </c>
      <c r="K230" s="245"/>
      <c r="L230" s="257"/>
      <c r="M230" s="597" t="s">
        <v>270</v>
      </c>
      <c r="N230" s="598"/>
      <c r="O230" s="299"/>
      <c r="P230" s="180"/>
      <c r="Q230" s="180">
        <v>4000000</v>
      </c>
      <c r="R230" s="181">
        <f t="shared" si="79"/>
        <v>3.0458785455929944</v>
      </c>
      <c r="S230" s="181">
        <v>100</v>
      </c>
      <c r="T230" s="180">
        <f t="shared" si="72"/>
        <v>0</v>
      </c>
      <c r="U230" s="180">
        <f t="shared" si="80"/>
        <v>0</v>
      </c>
      <c r="V230" s="182">
        <f t="shared" si="77"/>
        <v>100</v>
      </c>
      <c r="W230" s="180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>
        <v>0</v>
      </c>
      <c r="AJ230" s="181">
        <f t="shared" si="73"/>
        <v>0</v>
      </c>
      <c r="AK230" s="180">
        <f t="shared" si="67"/>
        <v>4000000</v>
      </c>
      <c r="AL230" s="181">
        <f t="shared" si="74"/>
        <v>100</v>
      </c>
      <c r="AM230" s="243"/>
    </row>
    <row r="231" spans="1:39" ht="24.75" customHeight="1" x14ac:dyDescent="0.25">
      <c r="A231" s="243"/>
      <c r="B231" s="381"/>
      <c r="C231" s="381"/>
      <c r="D231" s="381"/>
      <c r="E231" s="381"/>
      <c r="F231" s="381"/>
      <c r="G231" s="381"/>
      <c r="H231" s="381"/>
      <c r="I231" s="382"/>
      <c r="J231" s="381" t="s">
        <v>315</v>
      </c>
      <c r="K231" s="245"/>
      <c r="L231" s="257"/>
      <c r="M231" s="597" t="s">
        <v>271</v>
      </c>
      <c r="N231" s="598"/>
      <c r="O231" s="299"/>
      <c r="P231" s="180"/>
      <c r="Q231" s="180">
        <v>2889000</v>
      </c>
      <c r="R231" s="181">
        <f t="shared" si="79"/>
        <v>2.1998857795545406</v>
      </c>
      <c r="S231" s="181">
        <v>100</v>
      </c>
      <c r="T231" s="180">
        <f t="shared" si="72"/>
        <v>18.172377985462099</v>
      </c>
      <c r="U231" s="180">
        <f t="shared" si="80"/>
        <v>0.39977155910908058</v>
      </c>
      <c r="V231" s="182">
        <f t="shared" si="77"/>
        <v>81.827622014537894</v>
      </c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>
        <v>525000</v>
      </c>
      <c r="AJ231" s="181">
        <f t="shared" si="73"/>
        <v>18.172377985462099</v>
      </c>
      <c r="AK231" s="180">
        <f t="shared" si="67"/>
        <v>2364000</v>
      </c>
      <c r="AL231" s="181">
        <f t="shared" si="74"/>
        <v>81.827622014537909</v>
      </c>
      <c r="AM231" s="243"/>
    </row>
    <row r="232" spans="1:39" ht="24.75" customHeight="1" x14ac:dyDescent="0.25">
      <c r="A232" s="243"/>
      <c r="B232" s="381"/>
      <c r="C232" s="381"/>
      <c r="D232" s="381"/>
      <c r="E232" s="381"/>
      <c r="F232" s="381"/>
      <c r="G232" s="381"/>
      <c r="H232" s="381"/>
      <c r="I232" s="382"/>
      <c r="J232" s="381" t="s">
        <v>328</v>
      </c>
      <c r="K232" s="245"/>
      <c r="L232" s="257"/>
      <c r="M232" s="597" t="s">
        <v>329</v>
      </c>
      <c r="N232" s="598"/>
      <c r="O232" s="299"/>
      <c r="P232" s="180"/>
      <c r="Q232" s="180">
        <v>47750000</v>
      </c>
      <c r="R232" s="181">
        <f t="shared" si="79"/>
        <v>36.360175138016373</v>
      </c>
      <c r="S232" s="181">
        <v>100</v>
      </c>
      <c r="T232" s="180">
        <f t="shared" si="72"/>
        <v>58.638743455497377</v>
      </c>
      <c r="U232" s="180">
        <f t="shared" si="80"/>
        <v>21.321149819150961</v>
      </c>
      <c r="V232" s="182">
        <f t="shared" si="77"/>
        <v>41.361256544502623</v>
      </c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>
        <v>28000000</v>
      </c>
      <c r="AJ232" s="181">
        <f t="shared" si="73"/>
        <v>58.638743455497377</v>
      </c>
      <c r="AK232" s="180">
        <f t="shared" si="67"/>
        <v>19750000</v>
      </c>
      <c r="AL232" s="181">
        <f t="shared" si="74"/>
        <v>41.361256544502616</v>
      </c>
      <c r="AM232" s="243"/>
    </row>
    <row r="233" spans="1:39" ht="24.75" customHeight="1" x14ac:dyDescent="0.25">
      <c r="A233" s="243"/>
      <c r="B233" s="381"/>
      <c r="C233" s="381"/>
      <c r="D233" s="381"/>
      <c r="E233" s="381"/>
      <c r="F233" s="381"/>
      <c r="G233" s="381"/>
      <c r="H233" s="381"/>
      <c r="I233" s="382"/>
      <c r="J233" s="381" t="s">
        <v>280</v>
      </c>
      <c r="K233" s="245"/>
      <c r="L233" s="257"/>
      <c r="M233" s="597" t="s">
        <v>281</v>
      </c>
      <c r="N233" s="598"/>
      <c r="O233" s="299"/>
      <c r="P233" s="180"/>
      <c r="Q233" s="180">
        <v>15750000</v>
      </c>
      <c r="R233" s="181">
        <f t="shared" si="79"/>
        <v>11.993146773272416</v>
      </c>
      <c r="S233" s="181">
        <v>100</v>
      </c>
      <c r="T233" s="180">
        <f t="shared" si="72"/>
        <v>14.285714285714285</v>
      </c>
      <c r="U233" s="180">
        <f t="shared" si="80"/>
        <v>1.7133066818960594</v>
      </c>
      <c r="V233" s="182">
        <f t="shared" si="77"/>
        <v>85.714285714285722</v>
      </c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>
        <v>2250000</v>
      </c>
      <c r="AJ233" s="181">
        <f t="shared" si="73"/>
        <v>14.285714285714285</v>
      </c>
      <c r="AK233" s="180">
        <f t="shared" si="67"/>
        <v>13500000</v>
      </c>
      <c r="AL233" s="181">
        <f t="shared" si="74"/>
        <v>85.714285714285708</v>
      </c>
      <c r="AM233" s="243"/>
    </row>
    <row r="234" spans="1:39" ht="24.75" customHeight="1" x14ac:dyDescent="0.25">
      <c r="A234" s="243"/>
      <c r="B234" s="381"/>
      <c r="C234" s="381"/>
      <c r="D234" s="381"/>
      <c r="E234" s="381"/>
      <c r="F234" s="381"/>
      <c r="G234" s="381"/>
      <c r="H234" s="381"/>
      <c r="I234" s="382"/>
      <c r="J234" s="381" t="s">
        <v>284</v>
      </c>
      <c r="K234" s="245"/>
      <c r="L234" s="257"/>
      <c r="M234" s="597" t="s">
        <v>585</v>
      </c>
      <c r="N234" s="598"/>
      <c r="O234" s="299"/>
      <c r="P234" s="180"/>
      <c r="Q234" s="180">
        <v>5550000</v>
      </c>
      <c r="R234" s="181">
        <f t="shared" si="79"/>
        <v>4.2261564820102802</v>
      </c>
      <c r="S234" s="181">
        <v>100</v>
      </c>
      <c r="T234" s="180">
        <f t="shared" si="72"/>
        <v>49.549549549549546</v>
      </c>
      <c r="U234" s="180">
        <f t="shared" si="80"/>
        <v>2.0940415000951837</v>
      </c>
      <c r="V234" s="182">
        <f t="shared" si="77"/>
        <v>50.450450450450454</v>
      </c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>
        <v>2750000</v>
      </c>
      <c r="AJ234" s="181">
        <f t="shared" si="73"/>
        <v>49.549549549549546</v>
      </c>
      <c r="AK234" s="180">
        <f t="shared" si="67"/>
        <v>2800000</v>
      </c>
      <c r="AL234" s="181">
        <f t="shared" si="74"/>
        <v>50.450450450450447</v>
      </c>
      <c r="AM234" s="243"/>
    </row>
    <row r="235" spans="1:39" ht="24.75" customHeight="1" x14ac:dyDescent="0.25">
      <c r="A235" s="243"/>
      <c r="B235" s="381"/>
      <c r="C235" s="381"/>
      <c r="D235" s="381"/>
      <c r="E235" s="381"/>
      <c r="F235" s="381"/>
      <c r="G235" s="381"/>
      <c r="H235" s="381"/>
      <c r="I235" s="382"/>
      <c r="J235" s="381" t="s">
        <v>282</v>
      </c>
      <c r="K235" s="245"/>
      <c r="L235" s="257"/>
      <c r="M235" s="597" t="s">
        <v>503</v>
      </c>
      <c r="N235" s="598"/>
      <c r="O235" s="299"/>
      <c r="P235" s="180"/>
      <c r="Q235" s="180">
        <v>21160000</v>
      </c>
      <c r="R235" s="181">
        <f t="shared" si="79"/>
        <v>16.11269750618694</v>
      </c>
      <c r="S235" s="181">
        <v>100</v>
      </c>
      <c r="T235" s="180">
        <f t="shared" si="72"/>
        <v>0</v>
      </c>
      <c r="U235" s="180">
        <f t="shared" si="80"/>
        <v>0</v>
      </c>
      <c r="V235" s="182">
        <f t="shared" si="77"/>
        <v>100</v>
      </c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>
        <v>0</v>
      </c>
      <c r="AJ235" s="181">
        <f t="shared" si="73"/>
        <v>0</v>
      </c>
      <c r="AK235" s="180">
        <f t="shared" si="67"/>
        <v>21160000</v>
      </c>
      <c r="AL235" s="181">
        <f t="shared" si="74"/>
        <v>100</v>
      </c>
      <c r="AM235" s="243"/>
    </row>
    <row r="236" spans="1:39" ht="24.75" customHeight="1" x14ac:dyDescent="0.25">
      <c r="A236" s="243"/>
      <c r="B236" s="381"/>
      <c r="C236" s="381"/>
      <c r="D236" s="381"/>
      <c r="E236" s="381"/>
      <c r="F236" s="381"/>
      <c r="G236" s="381"/>
      <c r="H236" s="381"/>
      <c r="I236" s="382"/>
      <c r="J236" s="381" t="s">
        <v>320</v>
      </c>
      <c r="K236" s="245"/>
      <c r="L236" s="257"/>
      <c r="M236" s="597" t="s">
        <v>321</v>
      </c>
      <c r="N236" s="598"/>
      <c r="O236" s="299"/>
      <c r="P236" s="180"/>
      <c r="Q236" s="180">
        <v>11200000</v>
      </c>
      <c r="R236" s="181">
        <f t="shared" si="79"/>
        <v>8.5284599276603839</v>
      </c>
      <c r="S236" s="181">
        <v>100</v>
      </c>
      <c r="T236" s="180">
        <f t="shared" si="72"/>
        <v>33.928571428571431</v>
      </c>
      <c r="U236" s="180">
        <f t="shared" si="80"/>
        <v>2.8935846183133447</v>
      </c>
      <c r="V236" s="182">
        <f t="shared" si="77"/>
        <v>66.071428571428569</v>
      </c>
      <c r="W236" s="180"/>
      <c r="X236" s="180"/>
      <c r="Y236" s="180"/>
      <c r="Z236" s="180"/>
      <c r="AA236" s="180"/>
      <c r="AB236" s="180"/>
      <c r="AC236" s="180"/>
      <c r="AD236" s="180"/>
      <c r="AE236" s="180"/>
      <c r="AF236" s="180"/>
      <c r="AG236" s="180"/>
      <c r="AH236" s="180"/>
      <c r="AI236" s="180">
        <v>3800000</v>
      </c>
      <c r="AJ236" s="181">
        <f t="shared" si="73"/>
        <v>33.928571428571431</v>
      </c>
      <c r="AK236" s="180">
        <f t="shared" si="67"/>
        <v>7400000</v>
      </c>
      <c r="AL236" s="181">
        <f t="shared" si="74"/>
        <v>66.071428571428569</v>
      </c>
      <c r="AM236" s="243"/>
    </row>
    <row r="237" spans="1:39" ht="24.75" customHeight="1" x14ac:dyDescent="0.25">
      <c r="A237" s="243"/>
      <c r="B237" s="381"/>
      <c r="C237" s="381"/>
      <c r="D237" s="381"/>
      <c r="E237" s="381"/>
      <c r="F237" s="381"/>
      <c r="G237" s="381"/>
      <c r="H237" s="381"/>
      <c r="I237" s="382"/>
      <c r="J237" s="381" t="s">
        <v>407</v>
      </c>
      <c r="K237" s="245"/>
      <c r="L237" s="257"/>
      <c r="M237" s="597" t="s">
        <v>595</v>
      </c>
      <c r="N237" s="598"/>
      <c r="O237" s="299"/>
      <c r="P237" s="180"/>
      <c r="Q237" s="180">
        <v>4650000</v>
      </c>
      <c r="R237" s="181">
        <f t="shared" si="79"/>
        <v>3.5408338092518559</v>
      </c>
      <c r="S237" s="181">
        <v>100</v>
      </c>
      <c r="T237" s="180">
        <f t="shared" si="72"/>
        <v>100</v>
      </c>
      <c r="U237" s="180">
        <f t="shared" si="80"/>
        <v>3.5408338092518559</v>
      </c>
      <c r="V237" s="182">
        <f t="shared" si="77"/>
        <v>0</v>
      </c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>
        <v>4650000</v>
      </c>
      <c r="AJ237" s="181">
        <f t="shared" si="73"/>
        <v>100</v>
      </c>
      <c r="AK237" s="180">
        <f t="shared" si="67"/>
        <v>0</v>
      </c>
      <c r="AL237" s="181">
        <f t="shared" si="74"/>
        <v>0</v>
      </c>
      <c r="AM237" s="243"/>
    </row>
    <row r="238" spans="1:39" s="297" customFormat="1" ht="24.75" customHeight="1" x14ac:dyDescent="0.25">
      <c r="A238" s="227">
        <f>A227+1</f>
        <v>35</v>
      </c>
      <c r="B238" s="618" t="s">
        <v>144</v>
      </c>
      <c r="C238" s="615"/>
      <c r="D238" s="615"/>
      <c r="E238" s="615"/>
      <c r="F238" s="615"/>
      <c r="G238" s="615"/>
      <c r="H238" s="615"/>
      <c r="I238" s="614"/>
      <c r="J238" s="304" t="s">
        <v>596</v>
      </c>
      <c r="K238" s="230"/>
      <c r="L238" s="294"/>
      <c r="M238" s="615" t="s">
        <v>639</v>
      </c>
      <c r="N238" s="614"/>
      <c r="O238" s="295">
        <v>85915000</v>
      </c>
      <c r="P238" s="231">
        <f>O238</f>
        <v>85915000</v>
      </c>
      <c r="Q238" s="231">
        <f>SUM(Q239:Q244)</f>
        <v>48040000</v>
      </c>
      <c r="R238" s="233">
        <f>Q238/Q$177*100</f>
        <v>3.5372988470444637</v>
      </c>
      <c r="S238" s="233">
        <v>100</v>
      </c>
      <c r="T238" s="231">
        <f>AJ238</f>
        <v>6.2447960033305581</v>
      </c>
      <c r="U238" s="231">
        <f>R238*T238/100</f>
        <v>0.22089709702609059</v>
      </c>
      <c r="V238" s="296">
        <f t="shared" si="77"/>
        <v>93.755203996669437</v>
      </c>
      <c r="W238" s="231"/>
      <c r="X238" s="231" t="e">
        <f>#REF!</f>
        <v>#REF!</v>
      </c>
      <c r="Y238" s="231" t="e">
        <f>#REF!</f>
        <v>#REF!</v>
      </c>
      <c r="Z238" s="231" t="e">
        <f>#REF!</f>
        <v>#REF!</v>
      </c>
      <c r="AA238" s="231" t="e">
        <f>#REF!</f>
        <v>#REF!</v>
      </c>
      <c r="AB238" s="231">
        <v>0</v>
      </c>
      <c r="AC238" s="231" t="e">
        <f>#REF!</f>
        <v>#REF!</v>
      </c>
      <c r="AD238" s="231" t="e">
        <f>#REF!</f>
        <v>#REF!</v>
      </c>
      <c r="AE238" s="231" t="e">
        <f>#REF!</f>
        <v>#REF!</v>
      </c>
      <c r="AF238" s="231" t="e">
        <f>[1]April!N63</f>
        <v>#REF!</v>
      </c>
      <c r="AG238" s="231" t="e">
        <f>[2]april!N63</f>
        <v>#REF!</v>
      </c>
      <c r="AH238" s="231">
        <f>'[3]DES SKPD'!$N63</f>
        <v>174573000</v>
      </c>
      <c r="AI238" s="231">
        <f>SUM(AI239:AI244)</f>
        <v>3000000</v>
      </c>
      <c r="AJ238" s="233">
        <f>AI238/Q238*100</f>
        <v>6.2447960033305581</v>
      </c>
      <c r="AK238" s="231">
        <f t="shared" si="67"/>
        <v>45040000</v>
      </c>
      <c r="AL238" s="233">
        <f t="shared" si="74"/>
        <v>93.755203996669451</v>
      </c>
      <c r="AM238" s="227"/>
    </row>
    <row r="239" spans="1:39" ht="24.75" customHeight="1" x14ac:dyDescent="0.25">
      <c r="A239" s="243"/>
      <c r="B239" s="381"/>
      <c r="C239" s="381"/>
      <c r="D239" s="381"/>
      <c r="E239" s="381"/>
      <c r="F239" s="381"/>
      <c r="G239" s="381"/>
      <c r="H239" s="381"/>
      <c r="I239" s="382"/>
      <c r="J239" s="381" t="s">
        <v>273</v>
      </c>
      <c r="K239" s="245"/>
      <c r="L239" s="257"/>
      <c r="M239" s="597" t="s">
        <v>322</v>
      </c>
      <c r="N239" s="598"/>
      <c r="O239" s="299"/>
      <c r="P239" s="180"/>
      <c r="Q239" s="180">
        <v>12400000</v>
      </c>
      <c r="R239" s="181">
        <f t="shared" ref="R239:R244" si="81">Q239/Q$227*100</f>
        <v>9.4422234913382841</v>
      </c>
      <c r="S239" s="181">
        <v>100</v>
      </c>
      <c r="T239" s="180">
        <f t="shared" ref="T239:T244" si="82">AJ239</f>
        <v>0</v>
      </c>
      <c r="U239" s="180">
        <f t="shared" ref="U239:U244" si="83">R239*T239/100</f>
        <v>0</v>
      </c>
      <c r="V239" s="182">
        <f t="shared" si="77"/>
        <v>100</v>
      </c>
      <c r="W239" s="180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80"/>
      <c r="AH239" s="180"/>
      <c r="AI239" s="180">
        <v>0</v>
      </c>
      <c r="AJ239" s="181">
        <f t="shared" ref="AJ239:AJ244" si="84">AI239/Q239*100</f>
        <v>0</v>
      </c>
      <c r="AK239" s="180">
        <f t="shared" si="67"/>
        <v>12400000</v>
      </c>
      <c r="AL239" s="181">
        <f t="shared" si="74"/>
        <v>100</v>
      </c>
      <c r="AM239" s="243"/>
    </row>
    <row r="240" spans="1:39" ht="24.75" customHeight="1" x14ac:dyDescent="0.25">
      <c r="A240" s="243"/>
      <c r="B240" s="381"/>
      <c r="C240" s="381"/>
      <c r="D240" s="381"/>
      <c r="E240" s="381"/>
      <c r="F240" s="381"/>
      <c r="G240" s="381"/>
      <c r="H240" s="381"/>
      <c r="I240" s="382"/>
      <c r="J240" s="381" t="s">
        <v>315</v>
      </c>
      <c r="K240" s="245"/>
      <c r="L240" s="257"/>
      <c r="M240" s="597" t="s">
        <v>599</v>
      </c>
      <c r="N240" s="598"/>
      <c r="O240" s="299"/>
      <c r="P240" s="180"/>
      <c r="Q240" s="180">
        <v>1000000</v>
      </c>
      <c r="R240" s="181">
        <f t="shared" si="81"/>
        <v>0.76146963639824861</v>
      </c>
      <c r="S240" s="181">
        <v>100</v>
      </c>
      <c r="T240" s="180">
        <f t="shared" si="82"/>
        <v>0</v>
      </c>
      <c r="U240" s="180">
        <f t="shared" si="83"/>
        <v>0</v>
      </c>
      <c r="V240" s="182">
        <f t="shared" si="77"/>
        <v>100</v>
      </c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180"/>
      <c r="AI240" s="180">
        <v>0</v>
      </c>
      <c r="AJ240" s="181">
        <f t="shared" si="84"/>
        <v>0</v>
      </c>
      <c r="AK240" s="180">
        <f t="shared" si="67"/>
        <v>1000000</v>
      </c>
      <c r="AL240" s="181">
        <f t="shared" si="74"/>
        <v>100</v>
      </c>
      <c r="AM240" s="243"/>
    </row>
    <row r="241" spans="1:39" ht="24.75" customHeight="1" x14ac:dyDescent="0.25">
      <c r="A241" s="243"/>
      <c r="B241" s="381"/>
      <c r="C241" s="381"/>
      <c r="D241" s="381"/>
      <c r="E241" s="381"/>
      <c r="F241" s="381"/>
      <c r="G241" s="381"/>
      <c r="H241" s="381"/>
      <c r="I241" s="382"/>
      <c r="J241" s="381" t="s">
        <v>318</v>
      </c>
      <c r="K241" s="245"/>
      <c r="L241" s="257"/>
      <c r="M241" s="597" t="s">
        <v>319</v>
      </c>
      <c r="N241" s="598"/>
      <c r="O241" s="299"/>
      <c r="P241" s="180"/>
      <c r="Q241" s="180">
        <v>14000000</v>
      </c>
      <c r="R241" s="181">
        <f t="shared" si="81"/>
        <v>10.66057490957548</v>
      </c>
      <c r="S241" s="181">
        <v>100</v>
      </c>
      <c r="T241" s="180">
        <f t="shared" si="82"/>
        <v>0</v>
      </c>
      <c r="U241" s="180">
        <f>R241*T241/100</f>
        <v>0</v>
      </c>
      <c r="V241" s="182">
        <f t="shared" si="77"/>
        <v>100</v>
      </c>
      <c r="W241" s="180"/>
      <c r="X241" s="180"/>
      <c r="Y241" s="180"/>
      <c r="Z241" s="180"/>
      <c r="AA241" s="180"/>
      <c r="AB241" s="180"/>
      <c r="AC241" s="180"/>
      <c r="AD241" s="180"/>
      <c r="AE241" s="180"/>
      <c r="AF241" s="180"/>
      <c r="AG241" s="180"/>
      <c r="AH241" s="180"/>
      <c r="AI241" s="180">
        <v>0</v>
      </c>
      <c r="AJ241" s="181">
        <f t="shared" si="84"/>
        <v>0</v>
      </c>
      <c r="AK241" s="180">
        <f t="shared" si="67"/>
        <v>14000000</v>
      </c>
      <c r="AL241" s="181">
        <f t="shared" si="74"/>
        <v>100</v>
      </c>
      <c r="AM241" s="243"/>
    </row>
    <row r="242" spans="1:39" ht="24.75" customHeight="1" x14ac:dyDescent="0.25">
      <c r="A242" s="243"/>
      <c r="B242" s="381"/>
      <c r="C242" s="381"/>
      <c r="D242" s="381"/>
      <c r="E242" s="381"/>
      <c r="F242" s="381"/>
      <c r="G242" s="381"/>
      <c r="H242" s="381"/>
      <c r="I242" s="382"/>
      <c r="J242" s="381" t="s">
        <v>537</v>
      </c>
      <c r="K242" s="245"/>
      <c r="L242" s="257"/>
      <c r="M242" s="597" t="s">
        <v>600</v>
      </c>
      <c r="N242" s="598"/>
      <c r="O242" s="299"/>
      <c r="P242" s="180"/>
      <c r="Q242" s="180">
        <v>2640000</v>
      </c>
      <c r="R242" s="181">
        <f t="shared" si="81"/>
        <v>2.0102798400913762</v>
      </c>
      <c r="S242" s="181">
        <v>100</v>
      </c>
      <c r="T242" s="180">
        <f t="shared" si="82"/>
        <v>0</v>
      </c>
      <c r="U242" s="180">
        <f t="shared" si="83"/>
        <v>0</v>
      </c>
      <c r="V242" s="182">
        <f t="shared" si="77"/>
        <v>100</v>
      </c>
      <c r="W242" s="180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180"/>
      <c r="AI242" s="180">
        <v>0</v>
      </c>
      <c r="AJ242" s="181">
        <f t="shared" si="84"/>
        <v>0</v>
      </c>
      <c r="AK242" s="180">
        <f t="shared" si="67"/>
        <v>2640000</v>
      </c>
      <c r="AL242" s="181">
        <f t="shared" si="74"/>
        <v>100</v>
      </c>
      <c r="AM242" s="243"/>
    </row>
    <row r="243" spans="1:39" ht="24.75" customHeight="1" x14ac:dyDescent="0.25">
      <c r="A243" s="243"/>
      <c r="B243" s="381"/>
      <c r="C243" s="381"/>
      <c r="D243" s="381"/>
      <c r="E243" s="381"/>
      <c r="F243" s="381"/>
      <c r="G243" s="381"/>
      <c r="H243" s="381"/>
      <c r="I243" s="382"/>
      <c r="J243" s="381" t="s">
        <v>320</v>
      </c>
      <c r="K243" s="245"/>
      <c r="L243" s="257"/>
      <c r="M243" s="597" t="s">
        <v>321</v>
      </c>
      <c r="N243" s="598"/>
      <c r="O243" s="299"/>
      <c r="P243" s="180"/>
      <c r="Q243" s="180">
        <v>6000000</v>
      </c>
      <c r="R243" s="181">
        <f t="shared" si="81"/>
        <v>4.5688178183894914</v>
      </c>
      <c r="S243" s="181">
        <v>100</v>
      </c>
      <c r="T243" s="180">
        <f t="shared" si="82"/>
        <v>0</v>
      </c>
      <c r="U243" s="180">
        <f t="shared" si="83"/>
        <v>0</v>
      </c>
      <c r="V243" s="182">
        <f t="shared" si="77"/>
        <v>100</v>
      </c>
      <c r="W243" s="180"/>
      <c r="X243" s="180"/>
      <c r="Y243" s="180"/>
      <c r="Z243" s="180"/>
      <c r="AA243" s="180"/>
      <c r="AB243" s="180"/>
      <c r="AC243" s="180"/>
      <c r="AD243" s="180"/>
      <c r="AE243" s="180"/>
      <c r="AF243" s="180"/>
      <c r="AG243" s="180"/>
      <c r="AH243" s="180"/>
      <c r="AI243" s="180">
        <v>0</v>
      </c>
      <c r="AJ243" s="181">
        <f t="shared" si="84"/>
        <v>0</v>
      </c>
      <c r="AK243" s="180">
        <f t="shared" ref="AK243:AK244" si="85">Q243-AI243</f>
        <v>6000000</v>
      </c>
      <c r="AL243" s="181">
        <f t="shared" si="74"/>
        <v>100</v>
      </c>
      <c r="AM243" s="243"/>
    </row>
    <row r="244" spans="1:39" ht="24.75" customHeight="1" x14ac:dyDescent="0.25">
      <c r="A244" s="243"/>
      <c r="B244" s="381"/>
      <c r="C244" s="381"/>
      <c r="D244" s="381"/>
      <c r="E244" s="381"/>
      <c r="F244" s="381"/>
      <c r="G244" s="381"/>
      <c r="H244" s="381"/>
      <c r="I244" s="382"/>
      <c r="J244" s="381" t="s">
        <v>598</v>
      </c>
      <c r="K244" s="245"/>
      <c r="L244" s="257"/>
      <c r="M244" s="621" t="s">
        <v>550</v>
      </c>
      <c r="N244" s="622"/>
      <c r="O244" s="299"/>
      <c r="P244" s="180"/>
      <c r="Q244" s="180">
        <v>12000000</v>
      </c>
      <c r="R244" s="181">
        <f t="shared" si="81"/>
        <v>9.1376356367789828</v>
      </c>
      <c r="S244" s="181">
        <v>100</v>
      </c>
      <c r="T244" s="180">
        <f t="shared" si="82"/>
        <v>25</v>
      </c>
      <c r="U244" s="180">
        <f t="shared" si="83"/>
        <v>2.2844089091947457</v>
      </c>
      <c r="V244" s="182">
        <f t="shared" si="77"/>
        <v>75</v>
      </c>
      <c r="W244" s="180"/>
      <c r="X244" s="180"/>
      <c r="Y244" s="180"/>
      <c r="Z244" s="180"/>
      <c r="AA244" s="180"/>
      <c r="AB244" s="180"/>
      <c r="AC244" s="180"/>
      <c r="AD244" s="180"/>
      <c r="AE244" s="180"/>
      <c r="AF244" s="180"/>
      <c r="AG244" s="180"/>
      <c r="AH244" s="180"/>
      <c r="AI244" s="180">
        <f>2000000+1000000</f>
        <v>3000000</v>
      </c>
      <c r="AJ244" s="181">
        <f t="shared" si="84"/>
        <v>25</v>
      </c>
      <c r="AK244" s="180">
        <f t="shared" si="85"/>
        <v>9000000</v>
      </c>
      <c r="AL244" s="181">
        <f t="shared" si="74"/>
        <v>75</v>
      </c>
      <c r="AM244" s="243"/>
    </row>
    <row r="245" spans="1:39" s="226" customFormat="1" ht="27.75" customHeight="1" x14ac:dyDescent="0.25">
      <c r="A245" s="289" t="s">
        <v>38</v>
      </c>
      <c r="B245" s="607" t="s">
        <v>145</v>
      </c>
      <c r="C245" s="607"/>
      <c r="D245" s="607"/>
      <c r="E245" s="607"/>
      <c r="F245" s="607"/>
      <c r="G245" s="607"/>
      <c r="H245" s="607"/>
      <c r="I245" s="608"/>
      <c r="J245" s="396" t="s">
        <v>473</v>
      </c>
      <c r="K245" s="291"/>
      <c r="L245" s="607" t="s">
        <v>39</v>
      </c>
      <c r="M245" s="607"/>
      <c r="N245" s="608"/>
      <c r="O245" s="263" t="e">
        <f>SUM(O246:O677)</f>
        <v>#REF!</v>
      </c>
      <c r="P245" s="263" t="e">
        <f>SUM(P246:P677)</f>
        <v>#REF!</v>
      </c>
      <c r="Q245" s="263">
        <f>SUM(Q246+Q261+Q272+Q284+Q294+Q306+Q314+Q322+Q329+Q336+Q347+Q353+Q361+Q374+Q384+Q397+Q405+Q419+Q422+Q433+Q444+Q454+Q463+Q473+Q480+Q487+Q492+Q501+Q508+Q520+Q527+Q539+Q550+Q559+Q569+Q582+Q591+Q605+Q615+Q624+Q634+Q641+Q656+Q670)</f>
        <v>11927844735</v>
      </c>
      <c r="R245" s="222">
        <f>Q245/Q$35*100</f>
        <v>37.525168166976002</v>
      </c>
      <c r="S245" s="222">
        <f>S246</f>
        <v>100</v>
      </c>
      <c r="T245" s="263">
        <f>AJ245</f>
        <v>15.975574920157609</v>
      </c>
      <c r="U245" s="308">
        <f t="shared" si="80"/>
        <v>5.9948613544303848</v>
      </c>
      <c r="V245" s="292">
        <f t="shared" si="77"/>
        <v>84.024425079842388</v>
      </c>
      <c r="W245" s="263">
        <f t="shared" ref="W245:AH245" si="86">SUM(W246:W677)</f>
        <v>0</v>
      </c>
      <c r="X245" s="263" t="e">
        <f t="shared" si="86"/>
        <v>#REF!</v>
      </c>
      <c r="Y245" s="263" t="e">
        <f t="shared" si="86"/>
        <v>#REF!</v>
      </c>
      <c r="Z245" s="263" t="e">
        <f t="shared" si="86"/>
        <v>#REF!</v>
      </c>
      <c r="AA245" s="263" t="e">
        <f t="shared" si="86"/>
        <v>#REF!</v>
      </c>
      <c r="AB245" s="263">
        <f t="shared" si="86"/>
        <v>4302660235</v>
      </c>
      <c r="AC245" s="263" t="e">
        <f t="shared" si="86"/>
        <v>#REF!</v>
      </c>
      <c r="AD245" s="263" t="e">
        <f t="shared" si="86"/>
        <v>#REF!</v>
      </c>
      <c r="AE245" s="263" t="e">
        <f t="shared" si="86"/>
        <v>#REF!</v>
      </c>
      <c r="AF245" s="263" t="e">
        <f t="shared" si="86"/>
        <v>#REF!</v>
      </c>
      <c r="AG245" s="263" t="e">
        <f t="shared" si="86"/>
        <v>#REF!</v>
      </c>
      <c r="AH245" s="263" t="e">
        <f t="shared" si="86"/>
        <v>#REF!</v>
      </c>
      <c r="AI245" s="263">
        <f>SUM(AI246+AI261+AI272+AI284+AI294+AI306+AI314+AI322+AI329+AI336+AI347+AI353+AI361+AI374+AI384+AI397+AI405+AI419+AI422+AI433+AI444+AI454+AI463+AI473+AI480+AI487+AI492+AI501+AI508+AI520+AI527+AI539+AI550+AI559+AI569+AI582+AI591+AI605+AI615+AI624+AI634+AI641+AI656+AI670)</f>
        <v>1905541772</v>
      </c>
      <c r="AJ245" s="222">
        <f>AI245/Q245*100</f>
        <v>15.975574920157609</v>
      </c>
      <c r="AK245" s="263">
        <f>SUM(Q245-AI245)</f>
        <v>10022302963</v>
      </c>
      <c r="AL245" s="222">
        <f t="shared" si="74"/>
        <v>84.024425079842388</v>
      </c>
      <c r="AM245" s="289"/>
    </row>
    <row r="246" spans="1:39" s="297" customFormat="1" ht="24.75" customHeight="1" x14ac:dyDescent="0.25">
      <c r="A246" s="227">
        <f>A238+1</f>
        <v>36</v>
      </c>
      <c r="B246" s="615" t="s">
        <v>146</v>
      </c>
      <c r="C246" s="615"/>
      <c r="D246" s="615"/>
      <c r="E246" s="615"/>
      <c r="F246" s="615"/>
      <c r="G246" s="615"/>
      <c r="H246" s="615"/>
      <c r="I246" s="614"/>
      <c r="J246" s="304" t="s">
        <v>479</v>
      </c>
      <c r="K246" s="230"/>
      <c r="L246" s="294"/>
      <c r="M246" s="609" t="s">
        <v>40</v>
      </c>
      <c r="N246" s="609"/>
      <c r="O246" s="309">
        <v>628725000</v>
      </c>
      <c r="P246" s="231">
        <f>O246</f>
        <v>628725000</v>
      </c>
      <c r="Q246" s="231">
        <f>SUM(Q247:Q260)</f>
        <v>462073720</v>
      </c>
      <c r="R246" s="233">
        <f>Q246/Q$245*100</f>
        <v>3.8739079042849394</v>
      </c>
      <c r="S246" s="233">
        <v>100</v>
      </c>
      <c r="T246" s="231">
        <f t="shared" si="72"/>
        <v>33.045268187941957</v>
      </c>
      <c r="U246" s="231">
        <f t="shared" si="80"/>
        <v>1.2801432563248401</v>
      </c>
      <c r="V246" s="296">
        <f t="shared" si="77"/>
        <v>66.954731812058043</v>
      </c>
      <c r="W246" s="231"/>
      <c r="X246" s="231" t="e">
        <f>#REF!</f>
        <v>#REF!</v>
      </c>
      <c r="Y246" s="231" t="e">
        <f>#REF!</f>
        <v>#REF!</v>
      </c>
      <c r="Z246" s="231" t="e">
        <f>#REF!</f>
        <v>#REF!</v>
      </c>
      <c r="AA246" s="231" t="e">
        <f>#REF!</f>
        <v>#REF!</v>
      </c>
      <c r="AB246" s="231">
        <v>391775000</v>
      </c>
      <c r="AC246" s="231" t="e">
        <f>#REF!</f>
        <v>#REF!</v>
      </c>
      <c r="AD246" s="231" t="e">
        <f>#REF!</f>
        <v>#REF!</v>
      </c>
      <c r="AE246" s="231" t="e">
        <f>#REF!</f>
        <v>#REF!</v>
      </c>
      <c r="AF246" s="231" t="e">
        <f>[1]April!N54</f>
        <v>#REF!</v>
      </c>
      <c r="AG246" s="231" t="e">
        <f>[2]april!N54</f>
        <v>#REF!</v>
      </c>
      <c r="AH246" s="231">
        <f>'[3]DES SKPD'!$N54</f>
        <v>508172500</v>
      </c>
      <c r="AI246" s="231">
        <f>SUM(AI247:AI260)</f>
        <v>152693500</v>
      </c>
      <c r="AJ246" s="233">
        <f t="shared" si="73"/>
        <v>33.045268187941957</v>
      </c>
      <c r="AK246" s="231">
        <f t="shared" ref="AK246:AK309" si="87">Q246-AI246</f>
        <v>309380220</v>
      </c>
      <c r="AL246" s="233">
        <f t="shared" si="74"/>
        <v>66.954731812058043</v>
      </c>
      <c r="AM246" s="227"/>
    </row>
    <row r="247" spans="1:39" ht="28.5" customHeight="1" x14ac:dyDescent="0.25">
      <c r="A247" s="243"/>
      <c r="B247" s="381"/>
      <c r="C247" s="381"/>
      <c r="D247" s="381"/>
      <c r="E247" s="381"/>
      <c r="F247" s="381"/>
      <c r="G247" s="381"/>
      <c r="H247" s="381"/>
      <c r="I247" s="382"/>
      <c r="J247" s="381" t="s">
        <v>259</v>
      </c>
      <c r="K247" s="245"/>
      <c r="L247" s="257"/>
      <c r="M247" s="591" t="s">
        <v>260</v>
      </c>
      <c r="N247" s="592"/>
      <c r="O247" s="179"/>
      <c r="P247" s="180"/>
      <c r="Q247" s="180">
        <v>3080000</v>
      </c>
      <c r="R247" s="181">
        <f t="shared" ref="R247:R258" si="88">Q247/Q$246*100</f>
        <v>0.66656030557202006</v>
      </c>
      <c r="S247" s="181">
        <v>100</v>
      </c>
      <c r="T247" s="180">
        <f>AJ247</f>
        <v>24.350649350649352</v>
      </c>
      <c r="U247" s="180">
        <f t="shared" si="80"/>
        <v>0.16231176272045944</v>
      </c>
      <c r="V247" s="182">
        <f t="shared" si="77"/>
        <v>75.649350649350652</v>
      </c>
      <c r="W247" s="180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>
        <v>750000</v>
      </c>
      <c r="AJ247" s="181">
        <f t="shared" si="73"/>
        <v>24.350649350649352</v>
      </c>
      <c r="AK247" s="180">
        <f t="shared" si="87"/>
        <v>2330000</v>
      </c>
      <c r="AL247" s="181">
        <f t="shared" si="74"/>
        <v>75.649350649350637</v>
      </c>
      <c r="AM247" s="243"/>
    </row>
    <row r="248" spans="1:39" ht="24.75" customHeight="1" x14ac:dyDescent="0.25">
      <c r="A248" s="243"/>
      <c r="B248" s="381"/>
      <c r="C248" s="381"/>
      <c r="D248" s="381"/>
      <c r="E248" s="381"/>
      <c r="F248" s="381"/>
      <c r="G248" s="381"/>
      <c r="H248" s="381"/>
      <c r="I248" s="382"/>
      <c r="J248" s="381" t="s">
        <v>326</v>
      </c>
      <c r="K248" s="245"/>
      <c r="L248" s="257"/>
      <c r="M248" s="591" t="s">
        <v>327</v>
      </c>
      <c r="N248" s="592"/>
      <c r="O248" s="179"/>
      <c r="P248" s="180"/>
      <c r="Q248" s="180">
        <v>128800000</v>
      </c>
      <c r="R248" s="181">
        <f t="shared" si="88"/>
        <v>27.874340051193563</v>
      </c>
      <c r="S248" s="181">
        <v>100</v>
      </c>
      <c r="T248" s="180">
        <f t="shared" si="72"/>
        <v>50</v>
      </c>
      <c r="U248" s="180">
        <f t="shared" si="80"/>
        <v>13.937170025596782</v>
      </c>
      <c r="V248" s="182">
        <f t="shared" si="77"/>
        <v>50</v>
      </c>
      <c r="W248" s="180"/>
      <c r="X248" s="180"/>
      <c r="Y248" s="180"/>
      <c r="Z248" s="180"/>
      <c r="AA248" s="180"/>
      <c r="AB248" s="180"/>
      <c r="AC248" s="180"/>
      <c r="AD248" s="180"/>
      <c r="AE248" s="180"/>
      <c r="AF248" s="180"/>
      <c r="AG248" s="180"/>
      <c r="AH248" s="180"/>
      <c r="AI248" s="180">
        <v>64400000</v>
      </c>
      <c r="AJ248" s="181">
        <f t="shared" si="73"/>
        <v>50</v>
      </c>
      <c r="AK248" s="180">
        <f t="shared" si="87"/>
        <v>64400000</v>
      </c>
      <c r="AL248" s="181">
        <f t="shared" si="74"/>
        <v>50</v>
      </c>
      <c r="AM248" s="243"/>
    </row>
    <row r="249" spans="1:39" ht="24.75" customHeight="1" x14ac:dyDescent="0.25">
      <c r="A249" s="243"/>
      <c r="B249" s="381"/>
      <c r="C249" s="381"/>
      <c r="D249" s="381"/>
      <c r="E249" s="381"/>
      <c r="F249" s="381"/>
      <c r="G249" s="381"/>
      <c r="H249" s="381"/>
      <c r="I249" s="382"/>
      <c r="J249" s="381" t="s">
        <v>323</v>
      </c>
      <c r="K249" s="245"/>
      <c r="L249" s="257"/>
      <c r="M249" s="591" t="s">
        <v>324</v>
      </c>
      <c r="N249" s="592"/>
      <c r="O249" s="179"/>
      <c r="P249" s="180"/>
      <c r="Q249" s="180">
        <v>3000000</v>
      </c>
      <c r="R249" s="181">
        <f t="shared" si="88"/>
        <v>0.64924705088183765</v>
      </c>
      <c r="S249" s="181">
        <v>100</v>
      </c>
      <c r="T249" s="180">
        <f t="shared" si="72"/>
        <v>0</v>
      </c>
      <c r="U249" s="180">
        <f t="shared" si="80"/>
        <v>0</v>
      </c>
      <c r="V249" s="182">
        <f t="shared" si="77"/>
        <v>100</v>
      </c>
      <c r="W249" s="180"/>
      <c r="X249" s="180"/>
      <c r="Y249" s="180"/>
      <c r="Z249" s="180"/>
      <c r="AA249" s="180"/>
      <c r="AB249" s="180"/>
      <c r="AC249" s="180"/>
      <c r="AD249" s="180"/>
      <c r="AE249" s="180"/>
      <c r="AF249" s="180"/>
      <c r="AG249" s="180"/>
      <c r="AH249" s="180"/>
      <c r="AI249" s="180">
        <v>0</v>
      </c>
      <c r="AJ249" s="181">
        <f t="shared" si="73"/>
        <v>0</v>
      </c>
      <c r="AK249" s="180">
        <f t="shared" si="87"/>
        <v>3000000</v>
      </c>
      <c r="AL249" s="181">
        <f t="shared" si="74"/>
        <v>100</v>
      </c>
      <c r="AM249" s="243"/>
    </row>
    <row r="250" spans="1:39" ht="24.75" customHeight="1" x14ac:dyDescent="0.25">
      <c r="A250" s="243"/>
      <c r="B250" s="381"/>
      <c r="C250" s="381"/>
      <c r="D250" s="381"/>
      <c r="E250" s="381"/>
      <c r="F250" s="381"/>
      <c r="G250" s="381"/>
      <c r="H250" s="381"/>
      <c r="I250" s="382"/>
      <c r="J250" s="381" t="s">
        <v>269</v>
      </c>
      <c r="K250" s="245"/>
      <c r="L250" s="257"/>
      <c r="M250" s="591" t="s">
        <v>270</v>
      </c>
      <c r="N250" s="592"/>
      <c r="O250" s="179"/>
      <c r="P250" s="180"/>
      <c r="Q250" s="180">
        <v>52000000</v>
      </c>
      <c r="R250" s="181">
        <f t="shared" si="88"/>
        <v>11.253615548618519</v>
      </c>
      <c r="S250" s="181">
        <v>100</v>
      </c>
      <c r="T250" s="180">
        <f t="shared" si="72"/>
        <v>9.6153846153846168</v>
      </c>
      <c r="U250" s="180">
        <f t="shared" si="80"/>
        <v>1.0820784181363963</v>
      </c>
      <c r="V250" s="182">
        <f t="shared" si="77"/>
        <v>90.384615384615387</v>
      </c>
      <c r="W250" s="180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180"/>
      <c r="AI250" s="180">
        <v>5000000</v>
      </c>
      <c r="AJ250" s="181">
        <f t="shared" si="73"/>
        <v>9.6153846153846168</v>
      </c>
      <c r="AK250" s="180">
        <f t="shared" si="87"/>
        <v>47000000</v>
      </c>
      <c r="AL250" s="181">
        <f t="shared" si="74"/>
        <v>90.384615384615387</v>
      </c>
      <c r="AM250" s="243"/>
    </row>
    <row r="251" spans="1:39" ht="24.75" customHeight="1" x14ac:dyDescent="0.25">
      <c r="A251" s="243"/>
      <c r="B251" s="381"/>
      <c r="C251" s="381"/>
      <c r="D251" s="381"/>
      <c r="E251" s="381"/>
      <c r="F251" s="381"/>
      <c r="G251" s="381"/>
      <c r="H251" s="381"/>
      <c r="I251" s="382"/>
      <c r="J251" s="381" t="s">
        <v>315</v>
      </c>
      <c r="K251" s="245"/>
      <c r="L251" s="257"/>
      <c r="M251" s="591" t="s">
        <v>271</v>
      </c>
      <c r="N251" s="592"/>
      <c r="O251" s="179"/>
      <c r="P251" s="180"/>
      <c r="Q251" s="180">
        <v>4000000</v>
      </c>
      <c r="R251" s="181">
        <f t="shared" si="88"/>
        <v>0.8656627345091169</v>
      </c>
      <c r="S251" s="181">
        <v>100</v>
      </c>
      <c r="T251" s="180">
        <f t="shared" si="72"/>
        <v>50</v>
      </c>
      <c r="U251" s="180">
        <f t="shared" si="80"/>
        <v>0.43283136725455845</v>
      </c>
      <c r="V251" s="182">
        <f t="shared" si="77"/>
        <v>50</v>
      </c>
      <c r="W251" s="180"/>
      <c r="X251" s="180"/>
      <c r="Y251" s="180"/>
      <c r="Z251" s="180"/>
      <c r="AA251" s="180"/>
      <c r="AB251" s="180"/>
      <c r="AC251" s="180"/>
      <c r="AD251" s="180"/>
      <c r="AE251" s="180"/>
      <c r="AF251" s="180"/>
      <c r="AG251" s="180"/>
      <c r="AH251" s="180"/>
      <c r="AI251" s="180">
        <v>2000000</v>
      </c>
      <c r="AJ251" s="181">
        <f t="shared" si="73"/>
        <v>50</v>
      </c>
      <c r="AK251" s="180">
        <f t="shared" si="87"/>
        <v>2000000</v>
      </c>
      <c r="AL251" s="181">
        <f t="shared" si="74"/>
        <v>50</v>
      </c>
      <c r="AM251" s="243"/>
    </row>
    <row r="252" spans="1:39" ht="24.75" customHeight="1" x14ac:dyDescent="0.25">
      <c r="A252" s="243"/>
      <c r="B252" s="381"/>
      <c r="C252" s="381"/>
      <c r="D252" s="381"/>
      <c r="E252" s="381"/>
      <c r="F252" s="381"/>
      <c r="G252" s="381"/>
      <c r="H252" s="381"/>
      <c r="I252" s="382"/>
      <c r="J252" s="381" t="s">
        <v>328</v>
      </c>
      <c r="K252" s="245"/>
      <c r="L252" s="257"/>
      <c r="M252" s="591" t="s">
        <v>329</v>
      </c>
      <c r="N252" s="592"/>
      <c r="O252" s="179"/>
      <c r="P252" s="180"/>
      <c r="Q252" s="180">
        <v>20000000</v>
      </c>
      <c r="R252" s="181">
        <f t="shared" si="88"/>
        <v>4.3283136725455842</v>
      </c>
      <c r="S252" s="181">
        <v>100</v>
      </c>
      <c r="T252" s="180">
        <f t="shared" si="72"/>
        <v>50</v>
      </c>
      <c r="U252" s="180">
        <f t="shared" si="80"/>
        <v>2.1641568362727921</v>
      </c>
      <c r="V252" s="182">
        <f t="shared" si="77"/>
        <v>50</v>
      </c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180"/>
      <c r="AI252" s="180">
        <v>10000000</v>
      </c>
      <c r="AJ252" s="181">
        <f t="shared" si="73"/>
        <v>50</v>
      </c>
      <c r="AK252" s="180">
        <f t="shared" si="87"/>
        <v>10000000</v>
      </c>
      <c r="AL252" s="181">
        <f t="shared" si="74"/>
        <v>50</v>
      </c>
      <c r="AM252" s="243"/>
    </row>
    <row r="253" spans="1:39" ht="31.5" customHeight="1" x14ac:dyDescent="0.25">
      <c r="A253" s="243"/>
      <c r="B253" s="381"/>
      <c r="C253" s="381"/>
      <c r="D253" s="381"/>
      <c r="E253" s="381"/>
      <c r="F253" s="381"/>
      <c r="G253" s="381"/>
      <c r="H253" s="381"/>
      <c r="I253" s="382"/>
      <c r="J253" s="381" t="s">
        <v>318</v>
      </c>
      <c r="K253" s="245"/>
      <c r="L253" s="257"/>
      <c r="M253" s="591" t="s">
        <v>319</v>
      </c>
      <c r="N253" s="592"/>
      <c r="O253" s="179"/>
      <c r="P253" s="180"/>
      <c r="Q253" s="180">
        <v>61500000</v>
      </c>
      <c r="R253" s="181">
        <f t="shared" si="88"/>
        <v>13.30956454307767</v>
      </c>
      <c r="S253" s="181">
        <v>100</v>
      </c>
      <c r="T253" s="180">
        <f t="shared" si="72"/>
        <v>78.455284552845526</v>
      </c>
      <c r="U253" s="180">
        <f t="shared" si="80"/>
        <v>10.442056735016219</v>
      </c>
      <c r="V253" s="182">
        <f t="shared" si="77"/>
        <v>21.544715447154474</v>
      </c>
      <c r="W253" s="180"/>
      <c r="X253" s="180"/>
      <c r="Y253" s="180"/>
      <c r="Z253" s="180"/>
      <c r="AA253" s="180"/>
      <c r="AB253" s="180"/>
      <c r="AC253" s="180"/>
      <c r="AD253" s="180"/>
      <c r="AE253" s="180"/>
      <c r="AF253" s="180"/>
      <c r="AG253" s="180"/>
      <c r="AH253" s="180"/>
      <c r="AI253" s="180">
        <v>48250000</v>
      </c>
      <c r="AJ253" s="181">
        <f t="shared" si="73"/>
        <v>78.455284552845526</v>
      </c>
      <c r="AK253" s="180">
        <f t="shared" si="87"/>
        <v>13250000</v>
      </c>
      <c r="AL253" s="181">
        <f t="shared" si="74"/>
        <v>21.544715447154474</v>
      </c>
      <c r="AM253" s="243"/>
    </row>
    <row r="254" spans="1:39" ht="24.75" customHeight="1" x14ac:dyDescent="0.25">
      <c r="A254" s="243"/>
      <c r="B254" s="381"/>
      <c r="C254" s="381"/>
      <c r="D254" s="381"/>
      <c r="E254" s="381"/>
      <c r="F254" s="381"/>
      <c r="G254" s="381"/>
      <c r="H254" s="381"/>
      <c r="I254" s="382"/>
      <c r="J254" s="381" t="s">
        <v>280</v>
      </c>
      <c r="K254" s="245"/>
      <c r="L254" s="257"/>
      <c r="M254" s="591" t="s">
        <v>281</v>
      </c>
      <c r="N254" s="592"/>
      <c r="O254" s="179"/>
      <c r="P254" s="180"/>
      <c r="Q254" s="180">
        <v>15000000</v>
      </c>
      <c r="R254" s="181">
        <f t="shared" si="88"/>
        <v>3.2462352544091884</v>
      </c>
      <c r="S254" s="181">
        <v>100</v>
      </c>
      <c r="T254" s="180">
        <f t="shared" si="72"/>
        <v>0</v>
      </c>
      <c r="U254" s="180">
        <f t="shared" si="80"/>
        <v>0</v>
      </c>
      <c r="V254" s="182">
        <f t="shared" si="77"/>
        <v>100</v>
      </c>
      <c r="W254" s="180"/>
      <c r="X254" s="180"/>
      <c r="Y254" s="180"/>
      <c r="Z254" s="180"/>
      <c r="AA254" s="180"/>
      <c r="AB254" s="180"/>
      <c r="AC254" s="180"/>
      <c r="AD254" s="180"/>
      <c r="AE254" s="180"/>
      <c r="AF254" s="180"/>
      <c r="AG254" s="180"/>
      <c r="AH254" s="180"/>
      <c r="AI254" s="180">
        <v>0</v>
      </c>
      <c r="AJ254" s="181">
        <f t="shared" si="73"/>
        <v>0</v>
      </c>
      <c r="AK254" s="180">
        <f t="shared" si="87"/>
        <v>15000000</v>
      </c>
      <c r="AL254" s="181">
        <f t="shared" si="74"/>
        <v>100</v>
      </c>
      <c r="AM254" s="243"/>
    </row>
    <row r="255" spans="1:39" ht="24.75" customHeight="1" x14ac:dyDescent="0.25">
      <c r="A255" s="243"/>
      <c r="B255" s="381"/>
      <c r="C255" s="381"/>
      <c r="D255" s="381"/>
      <c r="E255" s="381"/>
      <c r="F255" s="381"/>
      <c r="G255" s="381"/>
      <c r="H255" s="381"/>
      <c r="I255" s="382"/>
      <c r="J255" s="381" t="s">
        <v>284</v>
      </c>
      <c r="K255" s="245"/>
      <c r="L255" s="257"/>
      <c r="M255" s="591" t="s">
        <v>285</v>
      </c>
      <c r="N255" s="592"/>
      <c r="O255" s="179"/>
      <c r="P255" s="180"/>
      <c r="Q255" s="180">
        <v>6600000</v>
      </c>
      <c r="R255" s="181">
        <f t="shared" si="88"/>
        <v>1.4283435119400427</v>
      </c>
      <c r="S255" s="181">
        <v>100</v>
      </c>
      <c r="T255" s="180">
        <f t="shared" si="72"/>
        <v>0</v>
      </c>
      <c r="U255" s="180">
        <f t="shared" si="80"/>
        <v>0</v>
      </c>
      <c r="V255" s="182">
        <f t="shared" si="77"/>
        <v>100</v>
      </c>
      <c r="W255" s="180"/>
      <c r="X255" s="180"/>
      <c r="Y255" s="180"/>
      <c r="Z255" s="180"/>
      <c r="AA255" s="180"/>
      <c r="AB255" s="180"/>
      <c r="AC255" s="180"/>
      <c r="AD255" s="180"/>
      <c r="AE255" s="180"/>
      <c r="AF255" s="180"/>
      <c r="AG255" s="180"/>
      <c r="AH255" s="180"/>
      <c r="AI255" s="180">
        <v>0</v>
      </c>
      <c r="AJ255" s="181">
        <f t="shared" si="73"/>
        <v>0</v>
      </c>
      <c r="AK255" s="180">
        <f t="shared" si="87"/>
        <v>6600000</v>
      </c>
      <c r="AL255" s="181">
        <f t="shared" si="74"/>
        <v>100</v>
      </c>
      <c r="AM255" s="243"/>
    </row>
    <row r="256" spans="1:39" ht="24.75" customHeight="1" x14ac:dyDescent="0.25">
      <c r="A256" s="243"/>
      <c r="B256" s="381"/>
      <c r="C256" s="381"/>
      <c r="D256" s="381"/>
      <c r="E256" s="381"/>
      <c r="F256" s="381"/>
      <c r="G256" s="381"/>
      <c r="H256" s="381"/>
      <c r="I256" s="382"/>
      <c r="J256" s="381" t="s">
        <v>282</v>
      </c>
      <c r="K256" s="245"/>
      <c r="L256" s="257"/>
      <c r="M256" s="591" t="s">
        <v>283</v>
      </c>
      <c r="N256" s="592"/>
      <c r="O256" s="179"/>
      <c r="P256" s="180"/>
      <c r="Q256" s="180">
        <v>33250000</v>
      </c>
      <c r="R256" s="181">
        <f t="shared" si="88"/>
        <v>7.1958214806070337</v>
      </c>
      <c r="S256" s="181">
        <v>100</v>
      </c>
      <c r="T256" s="180">
        <f t="shared" si="72"/>
        <v>46.145864661654137</v>
      </c>
      <c r="U256" s="180">
        <f t="shared" si="80"/>
        <v>3.3205740417351586</v>
      </c>
      <c r="V256" s="182">
        <f t="shared" si="77"/>
        <v>53.854135338345863</v>
      </c>
      <c r="W256" s="180"/>
      <c r="X256" s="180"/>
      <c r="Y256" s="180"/>
      <c r="Z256" s="180"/>
      <c r="AA256" s="180"/>
      <c r="AB256" s="180"/>
      <c r="AC256" s="180"/>
      <c r="AD256" s="180"/>
      <c r="AE256" s="180"/>
      <c r="AF256" s="180"/>
      <c r="AG256" s="180"/>
      <c r="AH256" s="180"/>
      <c r="AI256" s="180">
        <v>15343500</v>
      </c>
      <c r="AJ256" s="181">
        <f t="shared" si="73"/>
        <v>46.145864661654137</v>
      </c>
      <c r="AK256" s="180">
        <f t="shared" si="87"/>
        <v>17906500</v>
      </c>
      <c r="AL256" s="181">
        <f t="shared" si="74"/>
        <v>53.854135338345863</v>
      </c>
      <c r="AM256" s="243"/>
    </row>
    <row r="257" spans="1:39" ht="24.75" customHeight="1" x14ac:dyDescent="0.25">
      <c r="A257" s="243"/>
      <c r="B257" s="381"/>
      <c r="C257" s="381"/>
      <c r="D257" s="381"/>
      <c r="E257" s="381"/>
      <c r="F257" s="381"/>
      <c r="G257" s="381"/>
      <c r="H257" s="381"/>
      <c r="I257" s="382"/>
      <c r="J257" s="381" t="s">
        <v>306</v>
      </c>
      <c r="K257" s="245"/>
      <c r="L257" s="257"/>
      <c r="M257" s="591" t="s">
        <v>325</v>
      </c>
      <c r="N257" s="592"/>
      <c r="O257" s="179"/>
      <c r="P257" s="180"/>
      <c r="Q257" s="180">
        <v>45000000</v>
      </c>
      <c r="R257" s="181">
        <f t="shared" si="88"/>
        <v>9.7387057632275642</v>
      </c>
      <c r="S257" s="181">
        <v>100</v>
      </c>
      <c r="T257" s="180">
        <f t="shared" si="72"/>
        <v>0</v>
      </c>
      <c r="U257" s="180">
        <f t="shared" si="80"/>
        <v>0</v>
      </c>
      <c r="V257" s="182">
        <f t="shared" si="77"/>
        <v>100</v>
      </c>
      <c r="W257" s="180"/>
      <c r="X257" s="180"/>
      <c r="Y257" s="180"/>
      <c r="Z257" s="180"/>
      <c r="AA257" s="180"/>
      <c r="AB257" s="180"/>
      <c r="AC257" s="180"/>
      <c r="AD257" s="180"/>
      <c r="AE257" s="180"/>
      <c r="AF257" s="180"/>
      <c r="AG257" s="180"/>
      <c r="AH257" s="180"/>
      <c r="AI257" s="180">
        <v>0</v>
      </c>
      <c r="AJ257" s="181">
        <f t="shared" si="73"/>
        <v>0</v>
      </c>
      <c r="AK257" s="180">
        <f t="shared" si="87"/>
        <v>45000000</v>
      </c>
      <c r="AL257" s="181">
        <f t="shared" si="74"/>
        <v>100</v>
      </c>
      <c r="AM257" s="243"/>
    </row>
    <row r="258" spans="1:39" ht="24.75" customHeight="1" x14ac:dyDescent="0.25">
      <c r="A258" s="243"/>
      <c r="B258" s="381"/>
      <c r="C258" s="381"/>
      <c r="D258" s="381"/>
      <c r="E258" s="381"/>
      <c r="F258" s="381"/>
      <c r="G258" s="381"/>
      <c r="H258" s="381"/>
      <c r="I258" s="382"/>
      <c r="J258" s="381" t="s">
        <v>379</v>
      </c>
      <c r="K258" s="245"/>
      <c r="L258" s="257"/>
      <c r="M258" s="591" t="s">
        <v>601</v>
      </c>
      <c r="N258" s="592"/>
      <c r="O258" s="179"/>
      <c r="P258" s="180"/>
      <c r="Q258" s="180">
        <v>31843720</v>
      </c>
      <c r="R258" s="181">
        <f t="shared" si="88"/>
        <v>6.8914804330356638</v>
      </c>
      <c r="S258" s="181">
        <v>100</v>
      </c>
      <c r="T258" s="180">
        <f t="shared" si="72"/>
        <v>0</v>
      </c>
      <c r="U258" s="180">
        <f t="shared" si="80"/>
        <v>0</v>
      </c>
      <c r="V258" s="182">
        <f t="shared" si="77"/>
        <v>100</v>
      </c>
      <c r="W258" s="180"/>
      <c r="X258" s="180"/>
      <c r="Y258" s="180"/>
      <c r="Z258" s="180"/>
      <c r="AA258" s="180"/>
      <c r="AB258" s="180"/>
      <c r="AC258" s="180"/>
      <c r="AD258" s="180"/>
      <c r="AE258" s="180"/>
      <c r="AF258" s="180"/>
      <c r="AG258" s="180"/>
      <c r="AH258" s="180"/>
      <c r="AI258" s="180">
        <v>0</v>
      </c>
      <c r="AJ258" s="181">
        <f t="shared" si="73"/>
        <v>0</v>
      </c>
      <c r="AK258" s="180">
        <f t="shared" si="87"/>
        <v>31843720</v>
      </c>
      <c r="AL258" s="181">
        <f t="shared" si="74"/>
        <v>100</v>
      </c>
      <c r="AM258" s="243"/>
    </row>
    <row r="259" spans="1:39" ht="24.75" customHeight="1" x14ac:dyDescent="0.25">
      <c r="A259" s="243"/>
      <c r="B259" s="381"/>
      <c r="C259" s="381"/>
      <c r="D259" s="381"/>
      <c r="E259" s="381"/>
      <c r="F259" s="381"/>
      <c r="G259" s="381"/>
      <c r="H259" s="381"/>
      <c r="I259" s="382"/>
      <c r="J259" s="381" t="s">
        <v>380</v>
      </c>
      <c r="K259" s="245"/>
      <c r="L259" s="257"/>
      <c r="M259" s="591" t="s">
        <v>321</v>
      </c>
      <c r="N259" s="592"/>
      <c r="O259" s="179"/>
      <c r="P259" s="180"/>
      <c r="Q259" s="180">
        <v>40000000</v>
      </c>
      <c r="R259" s="181">
        <f>Q259/Q$246*100</f>
        <v>8.6566273450911684</v>
      </c>
      <c r="S259" s="181">
        <v>100</v>
      </c>
      <c r="T259" s="180">
        <f t="shared" si="72"/>
        <v>13.5</v>
      </c>
      <c r="U259" s="180">
        <f t="shared" si="80"/>
        <v>1.1686446915873077</v>
      </c>
      <c r="V259" s="182">
        <f t="shared" si="77"/>
        <v>86.5</v>
      </c>
      <c r="W259" s="180"/>
      <c r="X259" s="180"/>
      <c r="Y259" s="180"/>
      <c r="Z259" s="180"/>
      <c r="AA259" s="180"/>
      <c r="AB259" s="180"/>
      <c r="AC259" s="180"/>
      <c r="AD259" s="180"/>
      <c r="AE259" s="180"/>
      <c r="AF259" s="180"/>
      <c r="AG259" s="180"/>
      <c r="AH259" s="180"/>
      <c r="AI259" s="180">
        <v>5400000</v>
      </c>
      <c r="AJ259" s="181">
        <f t="shared" si="73"/>
        <v>13.5</v>
      </c>
      <c r="AK259" s="180">
        <f t="shared" si="87"/>
        <v>34600000</v>
      </c>
      <c r="AL259" s="181">
        <f t="shared" si="74"/>
        <v>86.5</v>
      </c>
      <c r="AM259" s="243"/>
    </row>
    <row r="260" spans="1:39" ht="24.75" customHeight="1" x14ac:dyDescent="0.25">
      <c r="A260" s="243"/>
      <c r="B260" s="381"/>
      <c r="C260" s="381"/>
      <c r="D260" s="381"/>
      <c r="E260" s="381"/>
      <c r="F260" s="381"/>
      <c r="G260" s="381"/>
      <c r="H260" s="381"/>
      <c r="I260" s="382"/>
      <c r="J260" s="381" t="s">
        <v>413</v>
      </c>
      <c r="K260" s="245"/>
      <c r="L260" s="257"/>
      <c r="M260" s="591" t="s">
        <v>414</v>
      </c>
      <c r="N260" s="592"/>
      <c r="O260" s="179"/>
      <c r="P260" s="180"/>
      <c r="Q260" s="180">
        <v>18000000</v>
      </c>
      <c r="R260" s="181">
        <f>Q260/Q$246*100</f>
        <v>3.8954823052910257</v>
      </c>
      <c r="S260" s="181">
        <v>100</v>
      </c>
      <c r="T260" s="180">
        <f t="shared" si="72"/>
        <v>8.6111111111111107</v>
      </c>
      <c r="U260" s="180">
        <f t="shared" si="80"/>
        <v>0.33544430962228278</v>
      </c>
      <c r="V260" s="182">
        <f t="shared" si="77"/>
        <v>91.388888888888886</v>
      </c>
      <c r="W260" s="180"/>
      <c r="X260" s="180"/>
      <c r="Y260" s="180"/>
      <c r="Z260" s="180"/>
      <c r="AA260" s="180"/>
      <c r="AB260" s="180"/>
      <c r="AC260" s="180"/>
      <c r="AD260" s="180"/>
      <c r="AE260" s="180"/>
      <c r="AF260" s="180"/>
      <c r="AG260" s="180"/>
      <c r="AH260" s="180"/>
      <c r="AI260" s="180">
        <v>1550000</v>
      </c>
      <c r="AJ260" s="181">
        <f t="shared" si="73"/>
        <v>8.6111111111111107</v>
      </c>
      <c r="AK260" s="180">
        <f t="shared" si="87"/>
        <v>16450000</v>
      </c>
      <c r="AL260" s="181">
        <f t="shared" si="74"/>
        <v>91.388888888888886</v>
      </c>
      <c r="AM260" s="243"/>
    </row>
    <row r="261" spans="1:39" s="297" customFormat="1" ht="30.75" customHeight="1" x14ac:dyDescent="0.25">
      <c r="A261" s="227">
        <f>SUM(A246+1)</f>
        <v>37</v>
      </c>
      <c r="B261" s="393"/>
      <c r="C261" s="393"/>
      <c r="D261" s="393"/>
      <c r="E261" s="393"/>
      <c r="F261" s="393"/>
      <c r="G261" s="393"/>
      <c r="H261" s="393"/>
      <c r="I261" s="394"/>
      <c r="J261" s="304" t="s">
        <v>480</v>
      </c>
      <c r="K261" s="230"/>
      <c r="L261" s="294"/>
      <c r="M261" s="610" t="s">
        <v>338</v>
      </c>
      <c r="N261" s="612"/>
      <c r="O261" s="309"/>
      <c r="P261" s="231"/>
      <c r="Q261" s="231">
        <f>SUM(Q262:Q271)</f>
        <v>64057069</v>
      </c>
      <c r="R261" s="233">
        <f>Q261/Q$245*100</f>
        <v>0.53703808544754672</v>
      </c>
      <c r="S261" s="233">
        <v>100</v>
      </c>
      <c r="T261" s="231">
        <f t="shared" si="72"/>
        <v>0</v>
      </c>
      <c r="U261" s="231">
        <f>R261*T261/100</f>
        <v>0</v>
      </c>
      <c r="V261" s="296">
        <f t="shared" si="77"/>
        <v>100</v>
      </c>
      <c r="W261" s="231"/>
      <c r="X261" s="231" t="e">
        <f>#REF!</f>
        <v>#REF!</v>
      </c>
      <c r="Y261" s="231" t="e">
        <f>#REF!</f>
        <v>#REF!</v>
      </c>
      <c r="Z261" s="231" t="e">
        <f>#REF!</f>
        <v>#REF!</v>
      </c>
      <c r="AA261" s="231" t="e">
        <f>#REF!</f>
        <v>#REF!</v>
      </c>
      <c r="AB261" s="231">
        <v>391775001</v>
      </c>
      <c r="AC261" s="231" t="e">
        <f>#REF!</f>
        <v>#REF!</v>
      </c>
      <c r="AD261" s="231" t="e">
        <f>#REF!</f>
        <v>#REF!</v>
      </c>
      <c r="AE261" s="231" t="e">
        <f>#REF!</f>
        <v>#REF!</v>
      </c>
      <c r="AF261" s="231" t="e">
        <f>[1]April!N55</f>
        <v>#REF!</v>
      </c>
      <c r="AG261" s="231" t="e">
        <f>[2]april!N55</f>
        <v>#REF!</v>
      </c>
      <c r="AH261" s="231" t="e">
        <f>'[3]DES SKPD'!$N55</f>
        <v>#REF!</v>
      </c>
      <c r="AI261" s="231">
        <f>SUM(AI262:AI271)</f>
        <v>0</v>
      </c>
      <c r="AJ261" s="233">
        <f t="shared" si="73"/>
        <v>0</v>
      </c>
      <c r="AK261" s="231">
        <f t="shared" si="87"/>
        <v>64057069</v>
      </c>
      <c r="AL261" s="233">
        <f t="shared" si="74"/>
        <v>100</v>
      </c>
      <c r="AM261" s="227"/>
    </row>
    <row r="262" spans="1:39" ht="24.75" customHeight="1" x14ac:dyDescent="0.25">
      <c r="A262" s="243"/>
      <c r="B262" s="381"/>
      <c r="C262" s="381"/>
      <c r="D262" s="381"/>
      <c r="E262" s="381"/>
      <c r="F262" s="381"/>
      <c r="G262" s="381"/>
      <c r="H262" s="381"/>
      <c r="I262" s="382"/>
      <c r="J262" s="381" t="s">
        <v>326</v>
      </c>
      <c r="K262" s="245"/>
      <c r="L262" s="257"/>
      <c r="M262" s="591" t="s">
        <v>327</v>
      </c>
      <c r="N262" s="592"/>
      <c r="O262" s="179"/>
      <c r="P262" s="180"/>
      <c r="Q262" s="180">
        <v>15750000</v>
      </c>
      <c r="R262" s="181">
        <f>Q262/Q$261*100</f>
        <v>24.587450293737291</v>
      </c>
      <c r="S262" s="181">
        <v>100</v>
      </c>
      <c r="T262" s="180">
        <f t="shared" si="72"/>
        <v>0</v>
      </c>
      <c r="U262" s="180">
        <f t="shared" si="80"/>
        <v>0</v>
      </c>
      <c r="V262" s="182">
        <f t="shared" si="77"/>
        <v>100</v>
      </c>
      <c r="W262" s="180"/>
      <c r="X262" s="180"/>
      <c r="Y262" s="180"/>
      <c r="Z262" s="180"/>
      <c r="AA262" s="180"/>
      <c r="AB262" s="180"/>
      <c r="AC262" s="180"/>
      <c r="AD262" s="180"/>
      <c r="AE262" s="180"/>
      <c r="AF262" s="180"/>
      <c r="AG262" s="180"/>
      <c r="AH262" s="180"/>
      <c r="AI262" s="180">
        <v>0</v>
      </c>
      <c r="AJ262" s="181">
        <f t="shared" si="73"/>
        <v>0</v>
      </c>
      <c r="AK262" s="180">
        <f t="shared" si="87"/>
        <v>15750000</v>
      </c>
      <c r="AL262" s="181">
        <f t="shared" si="74"/>
        <v>100</v>
      </c>
      <c r="AM262" s="243"/>
    </row>
    <row r="263" spans="1:39" ht="24.75" customHeight="1" x14ac:dyDescent="0.25">
      <c r="A263" s="243"/>
      <c r="B263" s="381"/>
      <c r="C263" s="381"/>
      <c r="D263" s="381"/>
      <c r="E263" s="381"/>
      <c r="F263" s="381"/>
      <c r="G263" s="381"/>
      <c r="H263" s="381"/>
      <c r="I263" s="382"/>
      <c r="J263" s="381" t="s">
        <v>323</v>
      </c>
      <c r="K263" s="245"/>
      <c r="L263" s="257"/>
      <c r="M263" s="591" t="s">
        <v>324</v>
      </c>
      <c r="N263" s="592"/>
      <c r="O263" s="179"/>
      <c r="P263" s="180"/>
      <c r="Q263" s="180">
        <v>2468000</v>
      </c>
      <c r="R263" s="181">
        <f t="shared" ref="R263:R271" si="89">Q263/Q$261*100</f>
        <v>3.8528144333297552</v>
      </c>
      <c r="S263" s="181">
        <v>100</v>
      </c>
      <c r="T263" s="180">
        <f t="shared" si="72"/>
        <v>0</v>
      </c>
      <c r="U263" s="180">
        <f t="shared" si="80"/>
        <v>0</v>
      </c>
      <c r="V263" s="182">
        <f t="shared" si="77"/>
        <v>100</v>
      </c>
      <c r="W263" s="180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180"/>
      <c r="AI263" s="180">
        <v>0</v>
      </c>
      <c r="AJ263" s="181">
        <f t="shared" si="73"/>
        <v>0</v>
      </c>
      <c r="AK263" s="180">
        <f t="shared" si="87"/>
        <v>2468000</v>
      </c>
      <c r="AL263" s="181">
        <f t="shared" si="74"/>
        <v>100</v>
      </c>
      <c r="AM263" s="243"/>
    </row>
    <row r="264" spans="1:39" ht="24.75" customHeight="1" x14ac:dyDescent="0.25">
      <c r="A264" s="243"/>
      <c r="B264" s="381"/>
      <c r="C264" s="381"/>
      <c r="D264" s="381"/>
      <c r="E264" s="381"/>
      <c r="F264" s="381"/>
      <c r="G264" s="381"/>
      <c r="H264" s="381"/>
      <c r="I264" s="382"/>
      <c r="J264" s="381" t="s">
        <v>269</v>
      </c>
      <c r="K264" s="245"/>
      <c r="L264" s="257"/>
      <c r="M264" s="591" t="s">
        <v>352</v>
      </c>
      <c r="N264" s="592"/>
      <c r="O264" s="179"/>
      <c r="P264" s="180"/>
      <c r="Q264" s="180">
        <v>3000000</v>
      </c>
      <c r="R264" s="181">
        <f t="shared" si="89"/>
        <v>4.6833238654737697</v>
      </c>
      <c r="S264" s="181">
        <v>100</v>
      </c>
      <c r="T264" s="180">
        <f t="shared" si="72"/>
        <v>0</v>
      </c>
      <c r="U264" s="180">
        <f t="shared" si="80"/>
        <v>0</v>
      </c>
      <c r="V264" s="182">
        <f t="shared" si="77"/>
        <v>100</v>
      </c>
      <c r="W264" s="180"/>
      <c r="X264" s="180"/>
      <c r="Y264" s="180"/>
      <c r="Z264" s="180"/>
      <c r="AA264" s="180"/>
      <c r="AB264" s="180"/>
      <c r="AC264" s="180"/>
      <c r="AD264" s="180"/>
      <c r="AE264" s="180"/>
      <c r="AF264" s="180"/>
      <c r="AG264" s="180"/>
      <c r="AH264" s="180"/>
      <c r="AI264" s="180">
        <v>0</v>
      </c>
      <c r="AJ264" s="181">
        <f t="shared" si="73"/>
        <v>0</v>
      </c>
      <c r="AK264" s="180">
        <f t="shared" si="87"/>
        <v>3000000</v>
      </c>
      <c r="AL264" s="181">
        <f t="shared" si="74"/>
        <v>100</v>
      </c>
      <c r="AM264" s="243"/>
    </row>
    <row r="265" spans="1:39" ht="29.25" customHeight="1" x14ac:dyDescent="0.25">
      <c r="A265" s="243"/>
      <c r="B265" s="381"/>
      <c r="C265" s="381"/>
      <c r="D265" s="381"/>
      <c r="E265" s="381"/>
      <c r="F265" s="381"/>
      <c r="G265" s="381"/>
      <c r="H265" s="381"/>
      <c r="I265" s="382"/>
      <c r="J265" s="381" t="s">
        <v>315</v>
      </c>
      <c r="K265" s="245"/>
      <c r="L265" s="257"/>
      <c r="M265" s="591" t="s">
        <v>428</v>
      </c>
      <c r="N265" s="592"/>
      <c r="O265" s="179"/>
      <c r="P265" s="180"/>
      <c r="Q265" s="180">
        <v>2820000</v>
      </c>
      <c r="R265" s="181">
        <f t="shared" si="89"/>
        <v>4.4023244335453438</v>
      </c>
      <c r="S265" s="181">
        <v>100</v>
      </c>
      <c r="T265" s="180">
        <f t="shared" si="72"/>
        <v>0</v>
      </c>
      <c r="U265" s="180">
        <f t="shared" si="80"/>
        <v>0</v>
      </c>
      <c r="V265" s="182">
        <f t="shared" si="77"/>
        <v>100</v>
      </c>
      <c r="W265" s="180"/>
      <c r="X265" s="180"/>
      <c r="Y265" s="180"/>
      <c r="Z265" s="180"/>
      <c r="AA265" s="180"/>
      <c r="AB265" s="180"/>
      <c r="AC265" s="180"/>
      <c r="AD265" s="180"/>
      <c r="AE265" s="180"/>
      <c r="AF265" s="180"/>
      <c r="AG265" s="180"/>
      <c r="AH265" s="180"/>
      <c r="AI265" s="180">
        <v>0</v>
      </c>
      <c r="AJ265" s="181">
        <f t="shared" si="73"/>
        <v>0</v>
      </c>
      <c r="AK265" s="180">
        <f t="shared" si="87"/>
        <v>2820000</v>
      </c>
      <c r="AL265" s="181">
        <f t="shared" si="74"/>
        <v>100</v>
      </c>
      <c r="AM265" s="243"/>
    </row>
    <row r="266" spans="1:39" ht="29.25" customHeight="1" x14ac:dyDescent="0.25">
      <c r="A266" s="243"/>
      <c r="B266" s="381"/>
      <c r="C266" s="381"/>
      <c r="D266" s="381"/>
      <c r="E266" s="381"/>
      <c r="F266" s="381"/>
      <c r="G266" s="381"/>
      <c r="H266" s="381"/>
      <c r="I266" s="382"/>
      <c r="J266" s="381" t="s">
        <v>318</v>
      </c>
      <c r="K266" s="245"/>
      <c r="L266" s="257"/>
      <c r="M266" s="591" t="s">
        <v>602</v>
      </c>
      <c r="N266" s="592"/>
      <c r="O266" s="179"/>
      <c r="P266" s="180"/>
      <c r="Q266" s="180">
        <v>20000000</v>
      </c>
      <c r="R266" s="181">
        <f t="shared" si="89"/>
        <v>31.222159103158464</v>
      </c>
      <c r="S266" s="181">
        <v>100</v>
      </c>
      <c r="T266" s="180">
        <f t="shared" si="72"/>
        <v>0</v>
      </c>
      <c r="U266" s="180">
        <f t="shared" si="80"/>
        <v>0</v>
      </c>
      <c r="V266" s="182">
        <f t="shared" si="77"/>
        <v>100</v>
      </c>
      <c r="W266" s="180"/>
      <c r="X266" s="180"/>
      <c r="Y266" s="180"/>
      <c r="Z266" s="180"/>
      <c r="AA266" s="180"/>
      <c r="AB266" s="180"/>
      <c r="AC266" s="180"/>
      <c r="AD266" s="180"/>
      <c r="AE266" s="180"/>
      <c r="AF266" s="180"/>
      <c r="AG266" s="180"/>
      <c r="AH266" s="180"/>
      <c r="AI266" s="180">
        <v>0</v>
      </c>
      <c r="AJ266" s="181">
        <f t="shared" si="73"/>
        <v>0</v>
      </c>
      <c r="AK266" s="180">
        <f t="shared" si="87"/>
        <v>20000000</v>
      </c>
      <c r="AL266" s="181">
        <f t="shared" si="74"/>
        <v>100</v>
      </c>
      <c r="AM266" s="243"/>
    </row>
    <row r="267" spans="1:39" ht="29.25" customHeight="1" x14ac:dyDescent="0.25">
      <c r="A267" s="243"/>
      <c r="B267" s="381"/>
      <c r="C267" s="381"/>
      <c r="D267" s="381"/>
      <c r="E267" s="381"/>
      <c r="F267" s="381"/>
      <c r="G267" s="381"/>
      <c r="H267" s="381"/>
      <c r="I267" s="382"/>
      <c r="J267" s="381" t="s">
        <v>339</v>
      </c>
      <c r="K267" s="245"/>
      <c r="L267" s="257"/>
      <c r="M267" s="591" t="s">
        <v>340</v>
      </c>
      <c r="N267" s="592"/>
      <c r="O267" s="179"/>
      <c r="P267" s="180"/>
      <c r="Q267" s="180">
        <v>2000000</v>
      </c>
      <c r="R267" s="181">
        <f t="shared" si="89"/>
        <v>3.1222159103158469</v>
      </c>
      <c r="S267" s="181">
        <v>100</v>
      </c>
      <c r="T267" s="180">
        <f t="shared" si="72"/>
        <v>0</v>
      </c>
      <c r="U267" s="180">
        <f t="shared" si="80"/>
        <v>0</v>
      </c>
      <c r="V267" s="182">
        <f t="shared" si="77"/>
        <v>100</v>
      </c>
      <c r="W267" s="180"/>
      <c r="X267" s="180"/>
      <c r="Y267" s="180"/>
      <c r="Z267" s="180"/>
      <c r="AA267" s="180"/>
      <c r="AB267" s="180"/>
      <c r="AC267" s="180"/>
      <c r="AD267" s="180"/>
      <c r="AE267" s="180"/>
      <c r="AF267" s="180"/>
      <c r="AG267" s="180"/>
      <c r="AH267" s="180"/>
      <c r="AI267" s="180">
        <v>0</v>
      </c>
      <c r="AJ267" s="181">
        <f t="shared" si="73"/>
        <v>0</v>
      </c>
      <c r="AK267" s="180">
        <f t="shared" si="87"/>
        <v>2000000</v>
      </c>
      <c r="AL267" s="181">
        <f t="shared" si="74"/>
        <v>100</v>
      </c>
      <c r="AM267" s="243"/>
    </row>
    <row r="268" spans="1:39" ht="29.25" customHeight="1" x14ac:dyDescent="0.25">
      <c r="A268" s="243"/>
      <c r="B268" s="381"/>
      <c r="C268" s="381"/>
      <c r="D268" s="381"/>
      <c r="E268" s="381"/>
      <c r="F268" s="381"/>
      <c r="G268" s="381"/>
      <c r="H268" s="381"/>
      <c r="I268" s="382"/>
      <c r="J268" s="381" t="s">
        <v>284</v>
      </c>
      <c r="K268" s="245"/>
      <c r="L268" s="257"/>
      <c r="M268" s="591" t="s">
        <v>603</v>
      </c>
      <c r="N268" s="592"/>
      <c r="O268" s="179"/>
      <c r="P268" s="180"/>
      <c r="Q268" s="180">
        <v>1119069</v>
      </c>
      <c r="R268" s="181">
        <f t="shared" si="89"/>
        <v>1.746987518270622</v>
      </c>
      <c r="S268" s="181">
        <v>100</v>
      </c>
      <c r="T268" s="180">
        <f t="shared" si="72"/>
        <v>0</v>
      </c>
      <c r="U268" s="180">
        <f t="shared" si="80"/>
        <v>0</v>
      </c>
      <c r="V268" s="182">
        <f t="shared" si="77"/>
        <v>100</v>
      </c>
      <c r="W268" s="180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180"/>
      <c r="AI268" s="180">
        <v>0</v>
      </c>
      <c r="AJ268" s="181">
        <f t="shared" si="73"/>
        <v>0</v>
      </c>
      <c r="AK268" s="180">
        <f t="shared" si="87"/>
        <v>1119069</v>
      </c>
      <c r="AL268" s="181">
        <f t="shared" si="74"/>
        <v>100</v>
      </c>
      <c r="AM268" s="243"/>
    </row>
    <row r="269" spans="1:39" ht="29.25" customHeight="1" x14ac:dyDescent="0.25">
      <c r="A269" s="243"/>
      <c r="B269" s="381"/>
      <c r="C269" s="381"/>
      <c r="D269" s="381"/>
      <c r="E269" s="381"/>
      <c r="F269" s="381"/>
      <c r="G269" s="381"/>
      <c r="H269" s="381"/>
      <c r="I269" s="382"/>
      <c r="J269" s="381" t="s">
        <v>282</v>
      </c>
      <c r="K269" s="245"/>
      <c r="L269" s="257"/>
      <c r="M269" s="591" t="s">
        <v>283</v>
      </c>
      <c r="N269" s="592"/>
      <c r="O269" s="179"/>
      <c r="P269" s="180"/>
      <c r="Q269" s="180">
        <v>6900000</v>
      </c>
      <c r="R269" s="181">
        <f t="shared" si="89"/>
        <v>10.771644890589672</v>
      </c>
      <c r="S269" s="181">
        <v>100</v>
      </c>
      <c r="T269" s="180">
        <f t="shared" si="72"/>
        <v>0</v>
      </c>
      <c r="U269" s="180">
        <f t="shared" si="80"/>
        <v>0</v>
      </c>
      <c r="V269" s="182">
        <f t="shared" si="77"/>
        <v>100</v>
      </c>
      <c r="W269" s="180"/>
      <c r="X269" s="180"/>
      <c r="Y269" s="180"/>
      <c r="Z269" s="180"/>
      <c r="AA269" s="180"/>
      <c r="AB269" s="180"/>
      <c r="AC269" s="180"/>
      <c r="AD269" s="180"/>
      <c r="AE269" s="180"/>
      <c r="AF269" s="180"/>
      <c r="AG269" s="180"/>
      <c r="AH269" s="180"/>
      <c r="AI269" s="180">
        <v>0</v>
      </c>
      <c r="AJ269" s="181">
        <f t="shared" si="73"/>
        <v>0</v>
      </c>
      <c r="AK269" s="180">
        <f t="shared" si="87"/>
        <v>6900000</v>
      </c>
      <c r="AL269" s="181">
        <f t="shared" si="74"/>
        <v>100</v>
      </c>
      <c r="AM269" s="243"/>
    </row>
    <row r="270" spans="1:39" ht="29.25" customHeight="1" x14ac:dyDescent="0.25">
      <c r="A270" s="243"/>
      <c r="B270" s="381"/>
      <c r="C270" s="381"/>
      <c r="D270" s="381"/>
      <c r="E270" s="381"/>
      <c r="F270" s="381"/>
      <c r="G270" s="381"/>
      <c r="H270" s="381"/>
      <c r="I270" s="382"/>
      <c r="J270" s="381" t="s">
        <v>320</v>
      </c>
      <c r="K270" s="245"/>
      <c r="L270" s="257"/>
      <c r="M270" s="591" t="s">
        <v>321</v>
      </c>
      <c r="N270" s="592"/>
      <c r="O270" s="179"/>
      <c r="P270" s="180"/>
      <c r="Q270" s="180">
        <v>7200000</v>
      </c>
      <c r="R270" s="181">
        <f t="shared" si="89"/>
        <v>11.239977277137047</v>
      </c>
      <c r="S270" s="181">
        <v>100</v>
      </c>
      <c r="T270" s="180">
        <f t="shared" si="72"/>
        <v>0</v>
      </c>
      <c r="U270" s="180">
        <f t="shared" si="80"/>
        <v>0</v>
      </c>
      <c r="V270" s="182">
        <f t="shared" si="77"/>
        <v>100</v>
      </c>
      <c r="W270" s="180"/>
      <c r="X270" s="180"/>
      <c r="Y270" s="180"/>
      <c r="Z270" s="180"/>
      <c r="AA270" s="180"/>
      <c r="AB270" s="180"/>
      <c r="AC270" s="180"/>
      <c r="AD270" s="180"/>
      <c r="AE270" s="180"/>
      <c r="AF270" s="180"/>
      <c r="AG270" s="180"/>
      <c r="AH270" s="180"/>
      <c r="AI270" s="180">
        <v>0</v>
      </c>
      <c r="AJ270" s="181">
        <f t="shared" si="73"/>
        <v>0</v>
      </c>
      <c r="AK270" s="180">
        <f t="shared" si="87"/>
        <v>7200000</v>
      </c>
      <c r="AL270" s="181">
        <f t="shared" si="74"/>
        <v>100</v>
      </c>
      <c r="AM270" s="243"/>
    </row>
    <row r="271" spans="1:39" ht="24.75" customHeight="1" x14ac:dyDescent="0.25">
      <c r="A271" s="243"/>
      <c r="B271" s="381"/>
      <c r="C271" s="381"/>
      <c r="D271" s="381"/>
      <c r="E271" s="381"/>
      <c r="F271" s="381"/>
      <c r="G271" s="381"/>
      <c r="H271" s="381"/>
      <c r="I271" s="382"/>
      <c r="J271" s="381" t="s">
        <v>407</v>
      </c>
      <c r="K271" s="245"/>
      <c r="L271" s="257"/>
      <c r="M271" s="591" t="s">
        <v>414</v>
      </c>
      <c r="N271" s="592"/>
      <c r="O271" s="179"/>
      <c r="P271" s="180"/>
      <c r="Q271" s="180">
        <v>2800000</v>
      </c>
      <c r="R271" s="181">
        <f t="shared" si="89"/>
        <v>4.371102274442185</v>
      </c>
      <c r="S271" s="181">
        <v>100</v>
      </c>
      <c r="T271" s="180">
        <f t="shared" si="72"/>
        <v>0</v>
      </c>
      <c r="U271" s="180">
        <f t="shared" si="80"/>
        <v>0</v>
      </c>
      <c r="V271" s="182">
        <f t="shared" si="77"/>
        <v>100</v>
      </c>
      <c r="W271" s="180"/>
      <c r="X271" s="180"/>
      <c r="Y271" s="180"/>
      <c r="Z271" s="180"/>
      <c r="AA271" s="180"/>
      <c r="AB271" s="180"/>
      <c r="AC271" s="180"/>
      <c r="AD271" s="180"/>
      <c r="AE271" s="180"/>
      <c r="AF271" s="180"/>
      <c r="AG271" s="180"/>
      <c r="AH271" s="180"/>
      <c r="AI271" s="180">
        <v>0</v>
      </c>
      <c r="AJ271" s="181">
        <f t="shared" si="73"/>
        <v>0</v>
      </c>
      <c r="AK271" s="180">
        <f t="shared" si="87"/>
        <v>2800000</v>
      </c>
      <c r="AL271" s="181">
        <f t="shared" si="74"/>
        <v>100</v>
      </c>
      <c r="AM271" s="243"/>
    </row>
    <row r="272" spans="1:39" s="311" customFormat="1" ht="34.5" customHeight="1" x14ac:dyDescent="0.25">
      <c r="A272" s="227">
        <f>(A261+1)</f>
        <v>38</v>
      </c>
      <c r="B272" s="615" t="s">
        <v>150</v>
      </c>
      <c r="C272" s="615"/>
      <c r="D272" s="615"/>
      <c r="E272" s="615"/>
      <c r="F272" s="615"/>
      <c r="G272" s="615"/>
      <c r="H272" s="615"/>
      <c r="I272" s="614"/>
      <c r="J272" s="304" t="s">
        <v>482</v>
      </c>
      <c r="K272" s="230"/>
      <c r="L272" s="294"/>
      <c r="M272" s="609" t="s">
        <v>41</v>
      </c>
      <c r="N272" s="609"/>
      <c r="O272" s="310">
        <v>461840000</v>
      </c>
      <c r="P272" s="231">
        <f>O272</f>
        <v>461840000</v>
      </c>
      <c r="Q272" s="231">
        <f>SUM(Q273:Q283)</f>
        <v>300818900</v>
      </c>
      <c r="R272" s="233">
        <f>Q272/Q$245*100</f>
        <v>2.5219887304309383</v>
      </c>
      <c r="S272" s="233">
        <v>100</v>
      </c>
      <c r="T272" s="231">
        <f t="shared" si="72"/>
        <v>9.3689259551178452</v>
      </c>
      <c r="U272" s="231">
        <f t="shared" si="80"/>
        <v>0.23628325675049119</v>
      </c>
      <c r="V272" s="296">
        <f t="shared" si="77"/>
        <v>90.631074044882155</v>
      </c>
      <c r="W272" s="231"/>
      <c r="X272" s="231" t="e">
        <f>#REF!</f>
        <v>#REF!</v>
      </c>
      <c r="Y272" s="231" t="e">
        <f>#REF!</f>
        <v>#REF!</v>
      </c>
      <c r="Z272" s="231" t="e">
        <f>#REF!</f>
        <v>#REF!</v>
      </c>
      <c r="AA272" s="231" t="e">
        <f>#REF!</f>
        <v>#REF!</v>
      </c>
      <c r="AB272" s="231">
        <v>26033000</v>
      </c>
      <c r="AC272" s="231" t="e">
        <f>#REF!</f>
        <v>#REF!</v>
      </c>
      <c r="AD272" s="231" t="e">
        <f>#REF!</f>
        <v>#REF!</v>
      </c>
      <c r="AE272" s="231" t="e">
        <f>#REF!</f>
        <v>#REF!</v>
      </c>
      <c r="AF272" s="231" t="e">
        <f>[1]April!N57</f>
        <v>#REF!</v>
      </c>
      <c r="AG272" s="231" t="e">
        <f>[2]april!N57</f>
        <v>#REF!</v>
      </c>
      <c r="AH272" s="231">
        <f>'[3]DES SKPD'!$N57</f>
        <v>371775000</v>
      </c>
      <c r="AI272" s="231">
        <f>SUM(AI273:AI283)</f>
        <v>28183500</v>
      </c>
      <c r="AJ272" s="233">
        <f t="shared" si="73"/>
        <v>9.3689259551178452</v>
      </c>
      <c r="AK272" s="231">
        <f t="shared" si="87"/>
        <v>272635400</v>
      </c>
      <c r="AL272" s="233">
        <f t="shared" si="74"/>
        <v>90.631074044882155</v>
      </c>
      <c r="AM272" s="227"/>
    </row>
    <row r="273" spans="1:39" ht="28.5" customHeight="1" x14ac:dyDescent="0.25">
      <c r="A273" s="243"/>
      <c r="B273" s="381"/>
      <c r="C273" s="381"/>
      <c r="D273" s="381"/>
      <c r="E273" s="381"/>
      <c r="F273" s="381"/>
      <c r="G273" s="381"/>
      <c r="H273" s="381"/>
      <c r="I273" s="382"/>
      <c r="J273" s="381" t="s">
        <v>257</v>
      </c>
      <c r="K273" s="245"/>
      <c r="L273" s="257"/>
      <c r="M273" s="591" t="s">
        <v>260</v>
      </c>
      <c r="N273" s="592"/>
      <c r="O273" s="179"/>
      <c r="P273" s="180"/>
      <c r="Q273" s="180">
        <v>1540000</v>
      </c>
      <c r="R273" s="181">
        <f>Q273/Q$272*100</f>
        <v>0.51193591891998813</v>
      </c>
      <c r="S273" s="181">
        <v>100</v>
      </c>
      <c r="T273" s="180">
        <f t="shared" si="72"/>
        <v>0</v>
      </c>
      <c r="U273" s="180">
        <f t="shared" si="80"/>
        <v>0</v>
      </c>
      <c r="V273" s="182">
        <f t="shared" si="77"/>
        <v>100</v>
      </c>
      <c r="W273" s="180"/>
      <c r="X273" s="180"/>
      <c r="Y273" s="180"/>
      <c r="Z273" s="180"/>
      <c r="AA273" s="180"/>
      <c r="AB273" s="180"/>
      <c r="AC273" s="180"/>
      <c r="AD273" s="180"/>
      <c r="AE273" s="180"/>
      <c r="AF273" s="180"/>
      <c r="AG273" s="180"/>
      <c r="AH273" s="180"/>
      <c r="AI273" s="180">
        <v>0</v>
      </c>
      <c r="AJ273" s="181">
        <f t="shared" si="73"/>
        <v>0</v>
      </c>
      <c r="AK273" s="180">
        <f t="shared" si="87"/>
        <v>1540000</v>
      </c>
      <c r="AL273" s="181">
        <f t="shared" si="74"/>
        <v>100</v>
      </c>
      <c r="AM273" s="243"/>
    </row>
    <row r="274" spans="1:39" ht="28.5" customHeight="1" x14ac:dyDescent="0.25">
      <c r="A274" s="243"/>
      <c r="B274" s="381"/>
      <c r="C274" s="381"/>
      <c r="D274" s="381"/>
      <c r="E274" s="381"/>
      <c r="F274" s="381"/>
      <c r="G274" s="381"/>
      <c r="H274" s="381"/>
      <c r="I274" s="382"/>
      <c r="J274" s="381" t="s">
        <v>326</v>
      </c>
      <c r="K274" s="245"/>
      <c r="L274" s="257"/>
      <c r="M274" s="591" t="s">
        <v>327</v>
      </c>
      <c r="N274" s="592"/>
      <c r="O274" s="179"/>
      <c r="P274" s="180"/>
      <c r="Q274" s="180">
        <v>140400000</v>
      </c>
      <c r="R274" s="181">
        <f t="shared" ref="R274:R283" si="90">Q274/Q$272*100</f>
        <v>46.672599361276838</v>
      </c>
      <c r="S274" s="181">
        <v>100</v>
      </c>
      <c r="T274" s="180">
        <f t="shared" si="72"/>
        <v>0</v>
      </c>
      <c r="U274" s="180">
        <f t="shared" si="80"/>
        <v>0</v>
      </c>
      <c r="V274" s="182">
        <f t="shared" si="77"/>
        <v>100</v>
      </c>
      <c r="W274" s="180"/>
      <c r="X274" s="180"/>
      <c r="Y274" s="180"/>
      <c r="Z274" s="180"/>
      <c r="AA274" s="180"/>
      <c r="AB274" s="180"/>
      <c r="AC274" s="180"/>
      <c r="AD274" s="180"/>
      <c r="AE274" s="180"/>
      <c r="AF274" s="180"/>
      <c r="AG274" s="180"/>
      <c r="AH274" s="180"/>
      <c r="AI274" s="180">
        <v>0</v>
      </c>
      <c r="AJ274" s="181">
        <f t="shared" si="73"/>
        <v>0</v>
      </c>
      <c r="AK274" s="180">
        <f t="shared" si="87"/>
        <v>140400000</v>
      </c>
      <c r="AL274" s="181">
        <f t="shared" si="74"/>
        <v>100</v>
      </c>
      <c r="AM274" s="243"/>
    </row>
    <row r="275" spans="1:39" ht="28.5" customHeight="1" x14ac:dyDescent="0.25">
      <c r="A275" s="243"/>
      <c r="B275" s="381"/>
      <c r="C275" s="381"/>
      <c r="D275" s="381"/>
      <c r="E275" s="381"/>
      <c r="F275" s="381"/>
      <c r="G275" s="381"/>
      <c r="H275" s="381"/>
      <c r="I275" s="382"/>
      <c r="J275" s="381" t="s">
        <v>323</v>
      </c>
      <c r="K275" s="245"/>
      <c r="L275" s="257"/>
      <c r="M275" s="591" t="s">
        <v>324</v>
      </c>
      <c r="N275" s="592"/>
      <c r="O275" s="179"/>
      <c r="P275" s="180"/>
      <c r="Q275" s="180">
        <v>10250000</v>
      </c>
      <c r="R275" s="181">
        <f t="shared" si="90"/>
        <v>3.4073656941103101</v>
      </c>
      <c r="S275" s="181">
        <v>100</v>
      </c>
      <c r="T275" s="180">
        <f t="shared" si="72"/>
        <v>0</v>
      </c>
      <c r="U275" s="180">
        <f t="shared" si="80"/>
        <v>0</v>
      </c>
      <c r="V275" s="182">
        <f t="shared" si="77"/>
        <v>100</v>
      </c>
      <c r="W275" s="180"/>
      <c r="X275" s="180"/>
      <c r="Y275" s="180"/>
      <c r="Z275" s="180"/>
      <c r="AA275" s="180"/>
      <c r="AB275" s="180"/>
      <c r="AC275" s="180"/>
      <c r="AD275" s="180"/>
      <c r="AE275" s="180"/>
      <c r="AF275" s="180"/>
      <c r="AG275" s="180"/>
      <c r="AH275" s="180"/>
      <c r="AI275" s="180">
        <v>0</v>
      </c>
      <c r="AJ275" s="181">
        <f t="shared" si="73"/>
        <v>0</v>
      </c>
      <c r="AK275" s="180">
        <f t="shared" si="87"/>
        <v>10250000</v>
      </c>
      <c r="AL275" s="181">
        <f t="shared" si="74"/>
        <v>100</v>
      </c>
      <c r="AM275" s="243"/>
    </row>
    <row r="276" spans="1:39" ht="28.5" customHeight="1" x14ac:dyDescent="0.25">
      <c r="A276" s="243"/>
      <c r="B276" s="381"/>
      <c r="C276" s="381"/>
      <c r="D276" s="381"/>
      <c r="E276" s="381"/>
      <c r="F276" s="381"/>
      <c r="G276" s="381"/>
      <c r="H276" s="381"/>
      <c r="I276" s="382"/>
      <c r="J276" s="381" t="s">
        <v>336</v>
      </c>
      <c r="K276" s="245"/>
      <c r="L276" s="257"/>
      <c r="M276" s="591" t="s">
        <v>337</v>
      </c>
      <c r="N276" s="592"/>
      <c r="O276" s="179"/>
      <c r="P276" s="180"/>
      <c r="Q276" s="180">
        <v>10000000</v>
      </c>
      <c r="R276" s="181">
        <f t="shared" si="90"/>
        <v>3.3242592137661564</v>
      </c>
      <c r="S276" s="181">
        <v>100</v>
      </c>
      <c r="T276" s="180">
        <f t="shared" si="72"/>
        <v>0</v>
      </c>
      <c r="U276" s="180">
        <f t="shared" si="80"/>
        <v>0</v>
      </c>
      <c r="V276" s="182">
        <f t="shared" si="77"/>
        <v>100</v>
      </c>
      <c r="W276" s="180"/>
      <c r="X276" s="180"/>
      <c r="Y276" s="180"/>
      <c r="Z276" s="180"/>
      <c r="AA276" s="180"/>
      <c r="AB276" s="180"/>
      <c r="AC276" s="180"/>
      <c r="AD276" s="180"/>
      <c r="AE276" s="180"/>
      <c r="AF276" s="180"/>
      <c r="AG276" s="180"/>
      <c r="AH276" s="180"/>
      <c r="AI276" s="180">
        <v>0</v>
      </c>
      <c r="AJ276" s="181">
        <f t="shared" si="73"/>
        <v>0</v>
      </c>
      <c r="AK276" s="180">
        <f t="shared" si="87"/>
        <v>10000000</v>
      </c>
      <c r="AL276" s="181">
        <f t="shared" si="74"/>
        <v>100</v>
      </c>
      <c r="AM276" s="243"/>
    </row>
    <row r="277" spans="1:39" ht="28.5" customHeight="1" x14ac:dyDescent="0.25">
      <c r="A277" s="243"/>
      <c r="B277" s="381"/>
      <c r="C277" s="381"/>
      <c r="D277" s="381"/>
      <c r="E277" s="381"/>
      <c r="F277" s="381"/>
      <c r="G277" s="381"/>
      <c r="H277" s="381"/>
      <c r="I277" s="382"/>
      <c r="J277" s="381" t="s">
        <v>269</v>
      </c>
      <c r="K277" s="245"/>
      <c r="L277" s="257"/>
      <c r="M277" s="591" t="s">
        <v>270</v>
      </c>
      <c r="N277" s="592"/>
      <c r="O277" s="179"/>
      <c r="P277" s="180"/>
      <c r="Q277" s="180">
        <v>23000000</v>
      </c>
      <c r="R277" s="181">
        <f t="shared" si="90"/>
        <v>7.6457961916621588</v>
      </c>
      <c r="S277" s="181">
        <v>100</v>
      </c>
      <c r="T277" s="180">
        <f t="shared" si="72"/>
        <v>67.391304347826093</v>
      </c>
      <c r="U277" s="180">
        <f t="shared" si="80"/>
        <v>5.1526017813375429</v>
      </c>
      <c r="V277" s="182">
        <f t="shared" si="77"/>
        <v>32.608695652173907</v>
      </c>
      <c r="W277" s="180"/>
      <c r="X277" s="180"/>
      <c r="Y277" s="180"/>
      <c r="Z277" s="180"/>
      <c r="AA277" s="180"/>
      <c r="AB277" s="180"/>
      <c r="AC277" s="180"/>
      <c r="AD277" s="180"/>
      <c r="AE277" s="180"/>
      <c r="AF277" s="180"/>
      <c r="AG277" s="180"/>
      <c r="AH277" s="180"/>
      <c r="AI277" s="180">
        <v>15500000</v>
      </c>
      <c r="AJ277" s="181">
        <f t="shared" si="73"/>
        <v>67.391304347826093</v>
      </c>
      <c r="AK277" s="180">
        <f t="shared" si="87"/>
        <v>7500000</v>
      </c>
      <c r="AL277" s="181">
        <f t="shared" si="74"/>
        <v>32.608695652173914</v>
      </c>
      <c r="AM277" s="243"/>
    </row>
    <row r="278" spans="1:39" ht="28.5" customHeight="1" x14ac:dyDescent="0.25">
      <c r="A278" s="243"/>
      <c r="B278" s="381"/>
      <c r="C278" s="381"/>
      <c r="D278" s="381"/>
      <c r="E278" s="381"/>
      <c r="F278" s="381"/>
      <c r="G278" s="381"/>
      <c r="H278" s="381"/>
      <c r="I278" s="382"/>
      <c r="J278" s="381" t="s">
        <v>315</v>
      </c>
      <c r="K278" s="245"/>
      <c r="L278" s="257"/>
      <c r="M278" s="591" t="s">
        <v>271</v>
      </c>
      <c r="N278" s="592"/>
      <c r="O278" s="179"/>
      <c r="P278" s="180"/>
      <c r="Q278" s="180">
        <v>17250000</v>
      </c>
      <c r="R278" s="181">
        <f t="shared" si="90"/>
        <v>5.7343471437466196</v>
      </c>
      <c r="S278" s="181">
        <v>100</v>
      </c>
      <c r="T278" s="180">
        <f t="shared" ref="T278:T341" si="91">AJ278</f>
        <v>0</v>
      </c>
      <c r="U278" s="180">
        <f t="shared" si="80"/>
        <v>0</v>
      </c>
      <c r="V278" s="182">
        <f t="shared" si="77"/>
        <v>100</v>
      </c>
      <c r="W278" s="180"/>
      <c r="X278" s="180"/>
      <c r="Y278" s="180"/>
      <c r="Z278" s="180"/>
      <c r="AA278" s="180"/>
      <c r="AB278" s="180"/>
      <c r="AC278" s="180"/>
      <c r="AD278" s="180"/>
      <c r="AE278" s="180"/>
      <c r="AF278" s="180"/>
      <c r="AG278" s="180"/>
      <c r="AH278" s="180"/>
      <c r="AI278" s="180">
        <v>0</v>
      </c>
      <c r="AJ278" s="181">
        <f t="shared" ref="AJ278:AJ341" si="92">AI278/Q278*100</f>
        <v>0</v>
      </c>
      <c r="AK278" s="180">
        <f t="shared" si="87"/>
        <v>17250000</v>
      </c>
      <c r="AL278" s="181">
        <f t="shared" ref="AL278:AL341" si="93">AK278/Q278*100</f>
        <v>100</v>
      </c>
      <c r="AM278" s="243"/>
    </row>
    <row r="279" spans="1:39" ht="28.5" customHeight="1" x14ac:dyDescent="0.25">
      <c r="A279" s="243"/>
      <c r="B279" s="381"/>
      <c r="C279" s="381"/>
      <c r="D279" s="381"/>
      <c r="E279" s="381"/>
      <c r="F279" s="381"/>
      <c r="G279" s="381"/>
      <c r="H279" s="381"/>
      <c r="I279" s="382"/>
      <c r="J279" s="381" t="s">
        <v>318</v>
      </c>
      <c r="K279" s="245"/>
      <c r="L279" s="257"/>
      <c r="M279" s="591" t="s">
        <v>319</v>
      </c>
      <c r="N279" s="592"/>
      <c r="O279" s="179"/>
      <c r="P279" s="180"/>
      <c r="Q279" s="180">
        <v>32500000</v>
      </c>
      <c r="R279" s="181">
        <f t="shared" si="90"/>
        <v>10.803842444740008</v>
      </c>
      <c r="S279" s="181">
        <v>100</v>
      </c>
      <c r="T279" s="180">
        <f t="shared" si="91"/>
        <v>0</v>
      </c>
      <c r="U279" s="180">
        <f t="shared" si="80"/>
        <v>0</v>
      </c>
      <c r="V279" s="182">
        <f t="shared" si="77"/>
        <v>100</v>
      </c>
      <c r="W279" s="180"/>
      <c r="X279" s="180"/>
      <c r="Y279" s="180"/>
      <c r="Z279" s="180"/>
      <c r="AA279" s="180"/>
      <c r="AB279" s="180"/>
      <c r="AC279" s="180"/>
      <c r="AD279" s="180"/>
      <c r="AE279" s="180"/>
      <c r="AF279" s="180"/>
      <c r="AG279" s="180"/>
      <c r="AH279" s="180"/>
      <c r="AI279" s="180">
        <v>0</v>
      </c>
      <c r="AJ279" s="181">
        <f t="shared" si="92"/>
        <v>0</v>
      </c>
      <c r="AK279" s="180">
        <f t="shared" si="87"/>
        <v>32500000</v>
      </c>
      <c r="AL279" s="181">
        <f t="shared" si="93"/>
        <v>100</v>
      </c>
      <c r="AM279" s="243"/>
    </row>
    <row r="280" spans="1:39" ht="28.5" customHeight="1" x14ac:dyDescent="0.25">
      <c r="A280" s="243"/>
      <c r="B280" s="381"/>
      <c r="C280" s="381"/>
      <c r="D280" s="381"/>
      <c r="E280" s="381"/>
      <c r="F280" s="381"/>
      <c r="G280" s="381"/>
      <c r="H280" s="381"/>
      <c r="I280" s="382"/>
      <c r="J280" s="381" t="s">
        <v>280</v>
      </c>
      <c r="K280" s="245"/>
      <c r="L280" s="257"/>
      <c r="M280" s="591" t="s">
        <v>281</v>
      </c>
      <c r="N280" s="592"/>
      <c r="O280" s="179"/>
      <c r="P280" s="180"/>
      <c r="Q280" s="180">
        <v>6500000</v>
      </c>
      <c r="R280" s="181">
        <f t="shared" si="90"/>
        <v>2.1607684889480017</v>
      </c>
      <c r="S280" s="181">
        <v>100</v>
      </c>
      <c r="T280" s="180">
        <f t="shared" si="91"/>
        <v>0</v>
      </c>
      <c r="U280" s="180">
        <f t="shared" si="80"/>
        <v>0</v>
      </c>
      <c r="V280" s="182">
        <f t="shared" si="77"/>
        <v>100</v>
      </c>
      <c r="W280" s="180"/>
      <c r="X280" s="180"/>
      <c r="Y280" s="180"/>
      <c r="Z280" s="180"/>
      <c r="AA280" s="180"/>
      <c r="AB280" s="180"/>
      <c r="AC280" s="180"/>
      <c r="AD280" s="180"/>
      <c r="AE280" s="180"/>
      <c r="AF280" s="180"/>
      <c r="AG280" s="180"/>
      <c r="AH280" s="180"/>
      <c r="AI280" s="180">
        <v>0</v>
      </c>
      <c r="AJ280" s="181">
        <f t="shared" si="92"/>
        <v>0</v>
      </c>
      <c r="AK280" s="180">
        <f t="shared" si="87"/>
        <v>6500000</v>
      </c>
      <c r="AL280" s="181">
        <f t="shared" si="93"/>
        <v>100</v>
      </c>
      <c r="AM280" s="243"/>
    </row>
    <row r="281" spans="1:39" ht="28.5" customHeight="1" x14ac:dyDescent="0.25">
      <c r="A281" s="243"/>
      <c r="B281" s="381"/>
      <c r="C281" s="381"/>
      <c r="D281" s="381"/>
      <c r="E281" s="381"/>
      <c r="F281" s="381"/>
      <c r="G281" s="381"/>
      <c r="H281" s="381"/>
      <c r="I281" s="382"/>
      <c r="J281" s="381" t="s">
        <v>284</v>
      </c>
      <c r="K281" s="245"/>
      <c r="L281" s="257"/>
      <c r="M281" s="591" t="s">
        <v>285</v>
      </c>
      <c r="N281" s="592"/>
      <c r="O281" s="179"/>
      <c r="P281" s="180"/>
      <c r="Q281" s="180">
        <v>2700000</v>
      </c>
      <c r="R281" s="181">
        <f t="shared" si="90"/>
        <v>0.89754998771686223</v>
      </c>
      <c r="S281" s="181">
        <v>100</v>
      </c>
      <c r="T281" s="180">
        <f t="shared" si="91"/>
        <v>16.296296296296298</v>
      </c>
      <c r="U281" s="180">
        <f t="shared" si="80"/>
        <v>0.1462674054057109</v>
      </c>
      <c r="V281" s="182">
        <f t="shared" si="77"/>
        <v>83.703703703703695</v>
      </c>
      <c r="W281" s="180"/>
      <c r="X281" s="180"/>
      <c r="Y281" s="180"/>
      <c r="Z281" s="180"/>
      <c r="AA281" s="180"/>
      <c r="AB281" s="180"/>
      <c r="AC281" s="180"/>
      <c r="AD281" s="180"/>
      <c r="AE281" s="180"/>
      <c r="AF281" s="180"/>
      <c r="AG281" s="180"/>
      <c r="AH281" s="180"/>
      <c r="AI281" s="180">
        <v>440000</v>
      </c>
      <c r="AJ281" s="181">
        <f t="shared" si="92"/>
        <v>16.296296296296298</v>
      </c>
      <c r="AK281" s="180">
        <f t="shared" si="87"/>
        <v>2260000</v>
      </c>
      <c r="AL281" s="181">
        <f t="shared" si="93"/>
        <v>83.703703703703695</v>
      </c>
      <c r="AM281" s="243"/>
    </row>
    <row r="282" spans="1:39" ht="28.5" customHeight="1" x14ac:dyDescent="0.25">
      <c r="A282" s="243"/>
      <c r="B282" s="381"/>
      <c r="C282" s="381"/>
      <c r="D282" s="381"/>
      <c r="E282" s="381"/>
      <c r="F282" s="381"/>
      <c r="G282" s="381"/>
      <c r="H282" s="381"/>
      <c r="I282" s="382"/>
      <c r="J282" s="381" t="s">
        <v>282</v>
      </c>
      <c r="K282" s="245"/>
      <c r="L282" s="257"/>
      <c r="M282" s="591" t="s">
        <v>283</v>
      </c>
      <c r="N282" s="592"/>
      <c r="O282" s="179"/>
      <c r="P282" s="180"/>
      <c r="Q282" s="180">
        <v>55878900</v>
      </c>
      <c r="R282" s="181">
        <f t="shared" si="90"/>
        <v>18.575594818011769</v>
      </c>
      <c r="S282" s="181">
        <v>100</v>
      </c>
      <c r="T282" s="180">
        <f t="shared" si="91"/>
        <v>21.910774907881152</v>
      </c>
      <c r="U282" s="180">
        <f t="shared" si="80"/>
        <v>4.0700567683745943</v>
      </c>
      <c r="V282" s="182">
        <f t="shared" si="77"/>
        <v>78.089225092118852</v>
      </c>
      <c r="W282" s="180"/>
      <c r="X282" s="180"/>
      <c r="Y282" s="180"/>
      <c r="Z282" s="180"/>
      <c r="AA282" s="180"/>
      <c r="AB282" s="180"/>
      <c r="AC282" s="180"/>
      <c r="AD282" s="180"/>
      <c r="AE282" s="180"/>
      <c r="AF282" s="180"/>
      <c r="AG282" s="180"/>
      <c r="AH282" s="180"/>
      <c r="AI282" s="180">
        <v>12243500</v>
      </c>
      <c r="AJ282" s="181">
        <f t="shared" si="92"/>
        <v>21.910774907881152</v>
      </c>
      <c r="AK282" s="180">
        <f t="shared" si="87"/>
        <v>43635400</v>
      </c>
      <c r="AL282" s="181">
        <f t="shared" si="93"/>
        <v>78.089225092118852</v>
      </c>
      <c r="AM282" s="243"/>
    </row>
    <row r="283" spans="1:39" ht="28.5" customHeight="1" x14ac:dyDescent="0.25">
      <c r="A283" s="243"/>
      <c r="B283" s="381"/>
      <c r="C283" s="381"/>
      <c r="D283" s="381"/>
      <c r="E283" s="381"/>
      <c r="F283" s="381"/>
      <c r="G283" s="381"/>
      <c r="H283" s="381"/>
      <c r="I283" s="382"/>
      <c r="J283" s="381" t="s">
        <v>320</v>
      </c>
      <c r="K283" s="245"/>
      <c r="L283" s="257"/>
      <c r="M283" s="591" t="s">
        <v>414</v>
      </c>
      <c r="N283" s="592"/>
      <c r="O283" s="179"/>
      <c r="P283" s="180"/>
      <c r="Q283" s="180">
        <v>800000</v>
      </c>
      <c r="R283" s="181">
        <f t="shared" si="90"/>
        <v>0.26594073710129251</v>
      </c>
      <c r="S283" s="181">
        <v>100</v>
      </c>
      <c r="T283" s="180">
        <f t="shared" si="91"/>
        <v>0</v>
      </c>
      <c r="U283" s="180">
        <f t="shared" si="80"/>
        <v>0</v>
      </c>
      <c r="V283" s="182">
        <f t="shared" si="77"/>
        <v>100</v>
      </c>
      <c r="W283" s="180"/>
      <c r="X283" s="180"/>
      <c r="Y283" s="180"/>
      <c r="Z283" s="180"/>
      <c r="AA283" s="180"/>
      <c r="AB283" s="180"/>
      <c r="AC283" s="180"/>
      <c r="AD283" s="180"/>
      <c r="AE283" s="180"/>
      <c r="AF283" s="180"/>
      <c r="AG283" s="180"/>
      <c r="AH283" s="180"/>
      <c r="AI283" s="180">
        <v>0</v>
      </c>
      <c r="AJ283" s="181">
        <f t="shared" si="92"/>
        <v>0</v>
      </c>
      <c r="AK283" s="180">
        <f t="shared" si="87"/>
        <v>800000</v>
      </c>
      <c r="AL283" s="181">
        <f t="shared" si="93"/>
        <v>100</v>
      </c>
      <c r="AM283" s="243"/>
    </row>
    <row r="284" spans="1:39" s="297" customFormat="1" ht="28.5" customHeight="1" x14ac:dyDescent="0.25">
      <c r="A284" s="227">
        <f>A272+1</f>
        <v>39</v>
      </c>
      <c r="B284" s="615" t="s">
        <v>151</v>
      </c>
      <c r="C284" s="615"/>
      <c r="D284" s="615"/>
      <c r="E284" s="615"/>
      <c r="F284" s="615"/>
      <c r="G284" s="615"/>
      <c r="H284" s="615"/>
      <c r="I284" s="614"/>
      <c r="J284" s="304" t="s">
        <v>483</v>
      </c>
      <c r="K284" s="230"/>
      <c r="L284" s="294"/>
      <c r="M284" s="610" t="s">
        <v>42</v>
      </c>
      <c r="N284" s="610"/>
      <c r="O284" s="309">
        <v>128761142</v>
      </c>
      <c r="P284" s="231">
        <f>O284</f>
        <v>128761142</v>
      </c>
      <c r="Q284" s="231">
        <f>SUM(Q285:Q293)</f>
        <v>412682320</v>
      </c>
      <c r="R284" s="233">
        <f>Q284/Q$245*100</f>
        <v>3.4598230373427139</v>
      </c>
      <c r="S284" s="233">
        <v>100</v>
      </c>
      <c r="T284" s="231">
        <f t="shared" si="91"/>
        <v>6.0579285296254035</v>
      </c>
      <c r="U284" s="231">
        <f t="shared" si="80"/>
        <v>0.20959360685373646</v>
      </c>
      <c r="V284" s="296">
        <f t="shared" si="77"/>
        <v>93.9420714703746</v>
      </c>
      <c r="W284" s="231"/>
      <c r="X284" s="231" t="e">
        <f>#REF!</f>
        <v>#REF!</v>
      </c>
      <c r="Y284" s="231" t="e">
        <f>#REF!</f>
        <v>#REF!</v>
      </c>
      <c r="Z284" s="231" t="e">
        <f>#REF!</f>
        <v>#REF!</v>
      </c>
      <c r="AA284" s="231" t="e">
        <f>#REF!</f>
        <v>#REF!</v>
      </c>
      <c r="AB284" s="231">
        <v>11060000</v>
      </c>
      <c r="AC284" s="231" t="e">
        <f>#REF!</f>
        <v>#REF!</v>
      </c>
      <c r="AD284" s="231" t="e">
        <f>#REF!</f>
        <v>#REF!</v>
      </c>
      <c r="AE284" s="231" t="e">
        <f>#REF!</f>
        <v>#REF!</v>
      </c>
      <c r="AF284" s="231" t="e">
        <f>[1]April!N58</f>
        <v>#REF!</v>
      </c>
      <c r="AG284" s="231">
        <v>137440000</v>
      </c>
      <c r="AH284" s="231">
        <f>'[3]DES SKPD'!$N58</f>
        <v>133587000</v>
      </c>
      <c r="AI284" s="231">
        <f>SUM(AI285:AI293)</f>
        <v>25000000</v>
      </c>
      <c r="AJ284" s="233">
        <f t="shared" si="92"/>
        <v>6.0579285296254035</v>
      </c>
      <c r="AK284" s="231">
        <f t="shared" si="87"/>
        <v>387682320</v>
      </c>
      <c r="AL284" s="233">
        <f t="shared" si="93"/>
        <v>93.9420714703746</v>
      </c>
      <c r="AM284" s="227"/>
    </row>
    <row r="285" spans="1:39" ht="28.5" customHeight="1" x14ac:dyDescent="0.25">
      <c r="A285" s="243"/>
      <c r="B285" s="381"/>
      <c r="C285" s="381"/>
      <c r="D285" s="381"/>
      <c r="E285" s="381"/>
      <c r="F285" s="381"/>
      <c r="G285" s="381"/>
      <c r="H285" s="381"/>
      <c r="I285" s="382"/>
      <c r="J285" s="381" t="s">
        <v>257</v>
      </c>
      <c r="K285" s="245"/>
      <c r="L285" s="257"/>
      <c r="M285" s="591" t="s">
        <v>260</v>
      </c>
      <c r="N285" s="592"/>
      <c r="O285" s="179"/>
      <c r="P285" s="180"/>
      <c r="Q285" s="180">
        <v>1540000</v>
      </c>
      <c r="R285" s="181">
        <f>Q285/Q$294*100</f>
        <v>0.51971035259647624</v>
      </c>
      <c r="S285" s="181">
        <v>100</v>
      </c>
      <c r="T285" s="180">
        <f t="shared" si="91"/>
        <v>0</v>
      </c>
      <c r="U285" s="180">
        <f t="shared" si="80"/>
        <v>0</v>
      </c>
      <c r="V285" s="182">
        <f t="shared" si="77"/>
        <v>100</v>
      </c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  <c r="AG285" s="180"/>
      <c r="AH285" s="180"/>
      <c r="AI285" s="180">
        <v>0</v>
      </c>
      <c r="AJ285" s="181">
        <f t="shared" si="92"/>
        <v>0</v>
      </c>
      <c r="AK285" s="180">
        <f t="shared" si="87"/>
        <v>1540000</v>
      </c>
      <c r="AL285" s="181">
        <f t="shared" si="93"/>
        <v>100</v>
      </c>
      <c r="AM285" s="243"/>
    </row>
    <row r="286" spans="1:39" ht="28.5" customHeight="1" x14ac:dyDescent="0.25">
      <c r="A286" s="243"/>
      <c r="B286" s="381"/>
      <c r="C286" s="381"/>
      <c r="D286" s="381"/>
      <c r="E286" s="381"/>
      <c r="F286" s="381"/>
      <c r="G286" s="381"/>
      <c r="H286" s="381"/>
      <c r="I286" s="382"/>
      <c r="J286" s="381" t="s">
        <v>326</v>
      </c>
      <c r="K286" s="245"/>
      <c r="L286" s="257"/>
      <c r="M286" s="591" t="s">
        <v>327</v>
      </c>
      <c r="N286" s="592"/>
      <c r="O286" s="179"/>
      <c r="P286" s="180"/>
      <c r="Q286" s="180">
        <v>255600000</v>
      </c>
      <c r="R286" s="181">
        <f>Q286/Q$294*100</f>
        <v>86.258419560817757</v>
      </c>
      <c r="S286" s="181">
        <v>100</v>
      </c>
      <c r="T286" s="180">
        <f>AJ286</f>
        <v>0</v>
      </c>
      <c r="U286" s="180">
        <f>R286*T286/100</f>
        <v>0</v>
      </c>
      <c r="V286" s="182">
        <f>S286-T286</f>
        <v>100</v>
      </c>
      <c r="W286" s="180"/>
      <c r="X286" s="180"/>
      <c r="Y286" s="180"/>
      <c r="Z286" s="180"/>
      <c r="AA286" s="180"/>
      <c r="AB286" s="180"/>
      <c r="AC286" s="180"/>
      <c r="AD286" s="180"/>
      <c r="AE286" s="180"/>
      <c r="AF286" s="180"/>
      <c r="AG286" s="180"/>
      <c r="AH286" s="180"/>
      <c r="AI286" s="180">
        <v>0</v>
      </c>
      <c r="AJ286" s="181">
        <f t="shared" si="92"/>
        <v>0</v>
      </c>
      <c r="AK286" s="180">
        <f t="shared" si="87"/>
        <v>255600000</v>
      </c>
      <c r="AL286" s="181">
        <f t="shared" si="93"/>
        <v>100</v>
      </c>
      <c r="AM286" s="243"/>
    </row>
    <row r="287" spans="1:39" ht="28.5" customHeight="1" x14ac:dyDescent="0.25">
      <c r="A287" s="243"/>
      <c r="B287" s="381"/>
      <c r="C287" s="381"/>
      <c r="D287" s="381"/>
      <c r="E287" s="381"/>
      <c r="F287" s="381"/>
      <c r="G287" s="381"/>
      <c r="H287" s="381"/>
      <c r="I287" s="382"/>
      <c r="J287" s="381" t="s">
        <v>604</v>
      </c>
      <c r="K287" s="245"/>
      <c r="L287" s="257"/>
      <c r="M287" s="591" t="s">
        <v>324</v>
      </c>
      <c r="N287" s="592"/>
      <c r="O287" s="179"/>
      <c r="P287" s="180"/>
      <c r="Q287" s="180">
        <v>10000000</v>
      </c>
      <c r="R287" s="181"/>
      <c r="S287" s="181">
        <v>100</v>
      </c>
      <c r="T287" s="180">
        <f>AJ287</f>
        <v>0</v>
      </c>
      <c r="U287" s="180"/>
      <c r="V287" s="182">
        <f>S287-T287</f>
        <v>100</v>
      </c>
      <c r="W287" s="180"/>
      <c r="X287" s="180"/>
      <c r="Y287" s="180"/>
      <c r="Z287" s="180"/>
      <c r="AA287" s="180"/>
      <c r="AB287" s="180"/>
      <c r="AC287" s="180"/>
      <c r="AD287" s="180"/>
      <c r="AE287" s="180"/>
      <c r="AF287" s="180"/>
      <c r="AG287" s="180"/>
      <c r="AH287" s="180"/>
      <c r="AI287" s="180">
        <v>0</v>
      </c>
      <c r="AJ287" s="181">
        <f t="shared" si="92"/>
        <v>0</v>
      </c>
      <c r="AK287" s="180">
        <f t="shared" si="87"/>
        <v>10000000</v>
      </c>
      <c r="AL287" s="181">
        <f t="shared" si="93"/>
        <v>100</v>
      </c>
      <c r="AM287" s="243"/>
    </row>
    <row r="288" spans="1:39" ht="28.5" customHeight="1" x14ac:dyDescent="0.25">
      <c r="A288" s="243"/>
      <c r="B288" s="381"/>
      <c r="C288" s="381"/>
      <c r="D288" s="381"/>
      <c r="E288" s="381"/>
      <c r="F288" s="381"/>
      <c r="G288" s="381"/>
      <c r="H288" s="381"/>
      <c r="I288" s="382"/>
      <c r="J288" s="381" t="s">
        <v>269</v>
      </c>
      <c r="K288" s="245"/>
      <c r="L288" s="257"/>
      <c r="M288" s="591" t="s">
        <v>270</v>
      </c>
      <c r="N288" s="592"/>
      <c r="O288" s="179"/>
      <c r="P288" s="180"/>
      <c r="Q288" s="180">
        <v>25000000</v>
      </c>
      <c r="R288" s="181">
        <f t="shared" ref="R288:R293" si="94">Q288/Q$294*100</f>
        <v>8.4368563733194204</v>
      </c>
      <c r="S288" s="181">
        <v>100</v>
      </c>
      <c r="T288" s="180">
        <f t="shared" si="91"/>
        <v>100</v>
      </c>
      <c r="U288" s="180">
        <f t="shared" si="80"/>
        <v>8.4368563733194204</v>
      </c>
      <c r="V288" s="182">
        <f t="shared" si="77"/>
        <v>0</v>
      </c>
      <c r="W288" s="180"/>
      <c r="X288" s="180"/>
      <c r="Y288" s="180"/>
      <c r="Z288" s="180"/>
      <c r="AA288" s="180"/>
      <c r="AB288" s="180"/>
      <c r="AC288" s="180"/>
      <c r="AD288" s="180"/>
      <c r="AE288" s="180"/>
      <c r="AF288" s="180"/>
      <c r="AG288" s="180"/>
      <c r="AH288" s="180"/>
      <c r="AI288" s="180">
        <v>25000000</v>
      </c>
      <c r="AJ288" s="181">
        <f t="shared" si="92"/>
        <v>100</v>
      </c>
      <c r="AK288" s="180">
        <f t="shared" si="87"/>
        <v>0</v>
      </c>
      <c r="AL288" s="181">
        <f t="shared" si="93"/>
        <v>0</v>
      </c>
      <c r="AM288" s="243"/>
    </row>
    <row r="289" spans="1:39" ht="28.5" customHeight="1" x14ac:dyDescent="0.25">
      <c r="A289" s="243"/>
      <c r="B289" s="381"/>
      <c r="C289" s="381"/>
      <c r="D289" s="381"/>
      <c r="E289" s="381"/>
      <c r="F289" s="381"/>
      <c r="G289" s="381"/>
      <c r="H289" s="381"/>
      <c r="I289" s="382"/>
      <c r="J289" s="381" t="s">
        <v>315</v>
      </c>
      <c r="K289" s="245"/>
      <c r="L289" s="257"/>
      <c r="M289" s="591" t="s">
        <v>271</v>
      </c>
      <c r="N289" s="592"/>
      <c r="O289" s="179"/>
      <c r="P289" s="180"/>
      <c r="Q289" s="180">
        <v>1000000</v>
      </c>
      <c r="R289" s="181">
        <f t="shared" si="94"/>
        <v>0.33747425493277683</v>
      </c>
      <c r="S289" s="181">
        <v>100</v>
      </c>
      <c r="T289" s="180">
        <f t="shared" si="91"/>
        <v>0</v>
      </c>
      <c r="U289" s="180">
        <f t="shared" si="80"/>
        <v>0</v>
      </c>
      <c r="V289" s="182">
        <f t="shared" si="77"/>
        <v>100</v>
      </c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  <c r="AG289" s="180"/>
      <c r="AH289" s="180"/>
      <c r="AI289" s="180">
        <v>0</v>
      </c>
      <c r="AJ289" s="181">
        <f t="shared" si="92"/>
        <v>0</v>
      </c>
      <c r="AK289" s="180">
        <f t="shared" si="87"/>
        <v>1000000</v>
      </c>
      <c r="AL289" s="181">
        <f t="shared" si="93"/>
        <v>100</v>
      </c>
      <c r="AM289" s="243"/>
    </row>
    <row r="290" spans="1:39" ht="28.5" customHeight="1" x14ac:dyDescent="0.25">
      <c r="A290" s="243"/>
      <c r="B290" s="381"/>
      <c r="C290" s="381"/>
      <c r="D290" s="381"/>
      <c r="E290" s="381"/>
      <c r="F290" s="381"/>
      <c r="G290" s="381"/>
      <c r="H290" s="381"/>
      <c r="I290" s="382"/>
      <c r="J290" s="381" t="s">
        <v>318</v>
      </c>
      <c r="K290" s="245"/>
      <c r="L290" s="257"/>
      <c r="M290" s="591" t="s">
        <v>319</v>
      </c>
      <c r="N290" s="592"/>
      <c r="O290" s="179"/>
      <c r="P290" s="180"/>
      <c r="Q290" s="180">
        <v>105482320</v>
      </c>
      <c r="R290" s="181">
        <f t="shared" si="94"/>
        <v>35.597567350580746</v>
      </c>
      <c r="S290" s="181">
        <v>100</v>
      </c>
      <c r="T290" s="180">
        <f t="shared" si="91"/>
        <v>0</v>
      </c>
      <c r="U290" s="180"/>
      <c r="V290" s="182">
        <f t="shared" si="77"/>
        <v>100</v>
      </c>
      <c r="W290" s="180"/>
      <c r="X290" s="180"/>
      <c r="Y290" s="180"/>
      <c r="Z290" s="180"/>
      <c r="AA290" s="180"/>
      <c r="AB290" s="180"/>
      <c r="AC290" s="180"/>
      <c r="AD290" s="180"/>
      <c r="AE290" s="180"/>
      <c r="AF290" s="180"/>
      <c r="AG290" s="180"/>
      <c r="AH290" s="180"/>
      <c r="AI290" s="180">
        <v>0</v>
      </c>
      <c r="AJ290" s="181">
        <f t="shared" si="92"/>
        <v>0</v>
      </c>
      <c r="AK290" s="180">
        <f t="shared" si="87"/>
        <v>105482320</v>
      </c>
      <c r="AL290" s="181">
        <f t="shared" si="93"/>
        <v>100</v>
      </c>
      <c r="AM290" s="243"/>
    </row>
    <row r="291" spans="1:39" ht="28.5" customHeight="1" x14ac:dyDescent="0.25">
      <c r="A291" s="243"/>
      <c r="B291" s="381"/>
      <c r="C291" s="381"/>
      <c r="D291" s="381"/>
      <c r="E291" s="381"/>
      <c r="F291" s="381"/>
      <c r="G291" s="381"/>
      <c r="H291" s="381"/>
      <c r="I291" s="382"/>
      <c r="J291" s="381" t="s">
        <v>280</v>
      </c>
      <c r="K291" s="245"/>
      <c r="L291" s="257"/>
      <c r="M291" s="591" t="s">
        <v>281</v>
      </c>
      <c r="N291" s="592"/>
      <c r="O291" s="179"/>
      <c r="P291" s="180"/>
      <c r="Q291" s="180">
        <v>13000000</v>
      </c>
      <c r="R291" s="181">
        <f t="shared" si="94"/>
        <v>4.3871653141260989</v>
      </c>
      <c r="S291" s="181">
        <v>100</v>
      </c>
      <c r="T291" s="180">
        <f t="shared" si="91"/>
        <v>0</v>
      </c>
      <c r="U291" s="180">
        <f t="shared" si="80"/>
        <v>0</v>
      </c>
      <c r="V291" s="182">
        <f t="shared" si="77"/>
        <v>100</v>
      </c>
      <c r="W291" s="180"/>
      <c r="X291" s="180"/>
      <c r="Y291" s="180"/>
      <c r="Z291" s="180"/>
      <c r="AA291" s="180"/>
      <c r="AB291" s="180"/>
      <c r="AC291" s="180"/>
      <c r="AD291" s="180"/>
      <c r="AE291" s="180"/>
      <c r="AF291" s="180"/>
      <c r="AG291" s="180"/>
      <c r="AH291" s="180"/>
      <c r="AI291" s="180">
        <v>0</v>
      </c>
      <c r="AJ291" s="181">
        <f t="shared" si="92"/>
        <v>0</v>
      </c>
      <c r="AK291" s="180">
        <f t="shared" si="87"/>
        <v>13000000</v>
      </c>
      <c r="AL291" s="181">
        <f t="shared" si="93"/>
        <v>100</v>
      </c>
      <c r="AM291" s="243"/>
    </row>
    <row r="292" spans="1:39" ht="28.5" customHeight="1" x14ac:dyDescent="0.25">
      <c r="A292" s="243"/>
      <c r="B292" s="381"/>
      <c r="C292" s="381"/>
      <c r="D292" s="381"/>
      <c r="E292" s="381"/>
      <c r="F292" s="381"/>
      <c r="G292" s="381"/>
      <c r="H292" s="381"/>
      <c r="I292" s="382"/>
      <c r="J292" s="381" t="s">
        <v>284</v>
      </c>
      <c r="K292" s="245"/>
      <c r="L292" s="257"/>
      <c r="M292" s="591" t="s">
        <v>600</v>
      </c>
      <c r="N292" s="592"/>
      <c r="O292" s="179"/>
      <c r="P292" s="180"/>
      <c r="Q292" s="180">
        <v>660000</v>
      </c>
      <c r="R292" s="181">
        <f t="shared" si="94"/>
        <v>0.22273300825563269</v>
      </c>
      <c r="S292" s="181">
        <v>100</v>
      </c>
      <c r="T292" s="180">
        <f t="shared" si="91"/>
        <v>0</v>
      </c>
      <c r="U292" s="180"/>
      <c r="V292" s="182">
        <f t="shared" si="77"/>
        <v>100</v>
      </c>
      <c r="W292" s="180"/>
      <c r="X292" s="180"/>
      <c r="Y292" s="180"/>
      <c r="Z292" s="180"/>
      <c r="AA292" s="180"/>
      <c r="AB292" s="180"/>
      <c r="AC292" s="180"/>
      <c r="AD292" s="180"/>
      <c r="AE292" s="180"/>
      <c r="AF292" s="180"/>
      <c r="AG292" s="180"/>
      <c r="AH292" s="180"/>
      <c r="AI292" s="180">
        <v>0</v>
      </c>
      <c r="AJ292" s="181">
        <f t="shared" si="92"/>
        <v>0</v>
      </c>
      <c r="AK292" s="180">
        <f t="shared" si="87"/>
        <v>660000</v>
      </c>
      <c r="AL292" s="181">
        <f t="shared" si="93"/>
        <v>100</v>
      </c>
      <c r="AM292" s="243"/>
    </row>
    <row r="293" spans="1:39" ht="28.5" customHeight="1" x14ac:dyDescent="0.25">
      <c r="A293" s="243"/>
      <c r="B293" s="381"/>
      <c r="C293" s="381"/>
      <c r="D293" s="381"/>
      <c r="E293" s="381"/>
      <c r="F293" s="381"/>
      <c r="G293" s="381"/>
      <c r="H293" s="381"/>
      <c r="I293" s="382"/>
      <c r="J293" s="381" t="s">
        <v>407</v>
      </c>
      <c r="K293" s="245"/>
      <c r="L293" s="257"/>
      <c r="M293" s="591" t="s">
        <v>414</v>
      </c>
      <c r="N293" s="592"/>
      <c r="O293" s="179"/>
      <c r="P293" s="180"/>
      <c r="Q293" s="180">
        <v>400000</v>
      </c>
      <c r="R293" s="181">
        <f t="shared" si="94"/>
        <v>0.13498970197311072</v>
      </c>
      <c r="S293" s="181">
        <v>100</v>
      </c>
      <c r="T293" s="180">
        <f t="shared" si="91"/>
        <v>0</v>
      </c>
      <c r="U293" s="180">
        <f t="shared" si="80"/>
        <v>0</v>
      </c>
      <c r="V293" s="182">
        <f t="shared" si="77"/>
        <v>100</v>
      </c>
      <c r="W293" s="180"/>
      <c r="X293" s="180"/>
      <c r="Y293" s="180"/>
      <c r="Z293" s="180"/>
      <c r="AA293" s="180"/>
      <c r="AB293" s="180"/>
      <c r="AC293" s="180"/>
      <c r="AD293" s="180"/>
      <c r="AE293" s="180"/>
      <c r="AF293" s="180"/>
      <c r="AG293" s="180"/>
      <c r="AH293" s="180"/>
      <c r="AI293" s="180">
        <v>0</v>
      </c>
      <c r="AJ293" s="181">
        <f t="shared" si="92"/>
        <v>0</v>
      </c>
      <c r="AK293" s="180">
        <f t="shared" si="87"/>
        <v>400000</v>
      </c>
      <c r="AL293" s="181">
        <f t="shared" si="93"/>
        <v>100</v>
      </c>
      <c r="AM293" s="243"/>
    </row>
    <row r="294" spans="1:39" s="311" customFormat="1" ht="33" customHeight="1" x14ac:dyDescent="0.25">
      <c r="A294" s="227">
        <f>A284+1</f>
        <v>40</v>
      </c>
      <c r="B294" s="615" t="s">
        <v>147</v>
      </c>
      <c r="C294" s="615"/>
      <c r="D294" s="615"/>
      <c r="E294" s="615"/>
      <c r="F294" s="615"/>
      <c r="G294" s="615"/>
      <c r="H294" s="615"/>
      <c r="I294" s="614"/>
      <c r="J294" s="304" t="s">
        <v>484</v>
      </c>
      <c r="K294" s="230"/>
      <c r="L294" s="294"/>
      <c r="M294" s="609" t="s">
        <v>43</v>
      </c>
      <c r="N294" s="609"/>
      <c r="O294" s="310">
        <v>450820000</v>
      </c>
      <c r="P294" s="231">
        <f>O294</f>
        <v>450820000</v>
      </c>
      <c r="Q294" s="231">
        <f>SUM(Q295:Q305)</f>
        <v>296318900</v>
      </c>
      <c r="R294" s="233">
        <f>Q294/Q$245*100</f>
        <v>2.4842618811972654</v>
      </c>
      <c r="S294" s="233">
        <v>100</v>
      </c>
      <c r="T294" s="231">
        <f t="shared" si="91"/>
        <v>0</v>
      </c>
      <c r="U294" s="231">
        <f t="shared" si="80"/>
        <v>0</v>
      </c>
      <c r="V294" s="296">
        <f t="shared" si="77"/>
        <v>100</v>
      </c>
      <c r="W294" s="231"/>
      <c r="X294" s="231" t="e">
        <f>#REF!</f>
        <v>#REF!</v>
      </c>
      <c r="Y294" s="231" t="e">
        <f>#REF!</f>
        <v>#REF!</v>
      </c>
      <c r="Z294" s="231" t="e">
        <f>#REF!</f>
        <v>#REF!</v>
      </c>
      <c r="AA294" s="231" t="e">
        <f>#REF!</f>
        <v>#REF!</v>
      </c>
      <c r="AB294" s="231">
        <v>0</v>
      </c>
      <c r="AC294" s="231" t="e">
        <f>#REF!</f>
        <v>#REF!</v>
      </c>
      <c r="AD294" s="231" t="e">
        <f>#REF!</f>
        <v>#REF!</v>
      </c>
      <c r="AE294" s="231" t="e">
        <f>#REF!</f>
        <v>#REF!</v>
      </c>
      <c r="AF294" s="231" t="e">
        <f>[1]April!N59</f>
        <v>#REF!</v>
      </c>
      <c r="AG294" s="231" t="e">
        <f>[2]april!N59</f>
        <v>#REF!</v>
      </c>
      <c r="AH294" s="231">
        <f>'[3]DES SKPD'!$N59</f>
        <v>395224250</v>
      </c>
      <c r="AI294" s="231">
        <f>SUM(AI295:AI305)</f>
        <v>0</v>
      </c>
      <c r="AJ294" s="233">
        <f t="shared" si="92"/>
        <v>0</v>
      </c>
      <c r="AK294" s="231">
        <f t="shared" si="87"/>
        <v>296318900</v>
      </c>
      <c r="AL294" s="233">
        <f t="shared" si="93"/>
        <v>100</v>
      </c>
      <c r="AM294" s="227"/>
    </row>
    <row r="295" spans="1:39" ht="28.5" customHeight="1" x14ac:dyDescent="0.25">
      <c r="A295" s="243"/>
      <c r="B295" s="381"/>
      <c r="C295" s="381"/>
      <c r="D295" s="381"/>
      <c r="E295" s="381"/>
      <c r="F295" s="381"/>
      <c r="G295" s="381"/>
      <c r="H295" s="381"/>
      <c r="I295" s="382"/>
      <c r="J295" s="381" t="s">
        <v>257</v>
      </c>
      <c r="K295" s="245"/>
      <c r="L295" s="257"/>
      <c r="M295" s="591" t="s">
        <v>260</v>
      </c>
      <c r="N295" s="592"/>
      <c r="O295" s="179"/>
      <c r="P295" s="180"/>
      <c r="Q295" s="180">
        <v>1540000</v>
      </c>
      <c r="R295" s="181">
        <f>Q295/Q$294*100</f>
        <v>0.51971035259647624</v>
      </c>
      <c r="S295" s="181">
        <v>100</v>
      </c>
      <c r="T295" s="180">
        <f t="shared" si="91"/>
        <v>0</v>
      </c>
      <c r="U295" s="180">
        <f t="shared" si="80"/>
        <v>0</v>
      </c>
      <c r="V295" s="182">
        <f t="shared" ref="V295:V534" si="95">S295-T295</f>
        <v>100</v>
      </c>
      <c r="W295" s="180"/>
      <c r="X295" s="180"/>
      <c r="Y295" s="180"/>
      <c r="Z295" s="180"/>
      <c r="AA295" s="180"/>
      <c r="AB295" s="180"/>
      <c r="AC295" s="180"/>
      <c r="AD295" s="180"/>
      <c r="AE295" s="180"/>
      <c r="AF295" s="180"/>
      <c r="AG295" s="180"/>
      <c r="AH295" s="180"/>
      <c r="AI295" s="180">
        <v>0</v>
      </c>
      <c r="AJ295" s="181">
        <f t="shared" si="92"/>
        <v>0</v>
      </c>
      <c r="AK295" s="180">
        <f t="shared" si="87"/>
        <v>1540000</v>
      </c>
      <c r="AL295" s="181">
        <f t="shared" si="93"/>
        <v>100</v>
      </c>
      <c r="AM295" s="243"/>
    </row>
    <row r="296" spans="1:39" ht="28.5" customHeight="1" x14ac:dyDescent="0.25">
      <c r="A296" s="243"/>
      <c r="B296" s="381"/>
      <c r="C296" s="381"/>
      <c r="D296" s="381"/>
      <c r="E296" s="381"/>
      <c r="F296" s="381"/>
      <c r="G296" s="381"/>
      <c r="H296" s="381"/>
      <c r="I296" s="382"/>
      <c r="J296" s="381" t="s">
        <v>326</v>
      </c>
      <c r="K296" s="245"/>
      <c r="L296" s="257"/>
      <c r="M296" s="591" t="s">
        <v>327</v>
      </c>
      <c r="N296" s="592"/>
      <c r="O296" s="179"/>
      <c r="P296" s="180"/>
      <c r="Q296" s="180">
        <v>140400000</v>
      </c>
      <c r="R296" s="181">
        <f t="shared" ref="R296:R305" si="96">Q296/Q$294*100</f>
        <v>47.381385392561867</v>
      </c>
      <c r="S296" s="181">
        <v>100</v>
      </c>
      <c r="T296" s="180">
        <f t="shared" si="91"/>
        <v>0</v>
      </c>
      <c r="U296" s="180">
        <f t="shared" si="80"/>
        <v>0</v>
      </c>
      <c r="V296" s="182">
        <f t="shared" si="95"/>
        <v>100</v>
      </c>
      <c r="W296" s="180"/>
      <c r="X296" s="180"/>
      <c r="Y296" s="180"/>
      <c r="Z296" s="180"/>
      <c r="AA296" s="180"/>
      <c r="AB296" s="180"/>
      <c r="AC296" s="180"/>
      <c r="AD296" s="180"/>
      <c r="AE296" s="180"/>
      <c r="AF296" s="180"/>
      <c r="AG296" s="180"/>
      <c r="AH296" s="180"/>
      <c r="AI296" s="180">
        <v>0</v>
      </c>
      <c r="AJ296" s="181">
        <f t="shared" si="92"/>
        <v>0</v>
      </c>
      <c r="AK296" s="180">
        <f t="shared" si="87"/>
        <v>140400000</v>
      </c>
      <c r="AL296" s="181">
        <f t="shared" si="93"/>
        <v>100</v>
      </c>
      <c r="AM296" s="243"/>
    </row>
    <row r="297" spans="1:39" ht="28.5" customHeight="1" x14ac:dyDescent="0.25">
      <c r="A297" s="243"/>
      <c r="B297" s="381"/>
      <c r="C297" s="381"/>
      <c r="D297" s="381"/>
      <c r="E297" s="381"/>
      <c r="F297" s="381"/>
      <c r="G297" s="381"/>
      <c r="H297" s="381"/>
      <c r="I297" s="382"/>
      <c r="J297" s="381" t="s">
        <v>323</v>
      </c>
      <c r="K297" s="245"/>
      <c r="L297" s="257"/>
      <c r="M297" s="591" t="s">
        <v>324</v>
      </c>
      <c r="N297" s="592"/>
      <c r="O297" s="179"/>
      <c r="P297" s="180"/>
      <c r="Q297" s="180">
        <v>10000000</v>
      </c>
      <c r="R297" s="181">
        <f t="shared" si="96"/>
        <v>3.3747425493277681</v>
      </c>
      <c r="S297" s="181">
        <v>100</v>
      </c>
      <c r="T297" s="180">
        <f t="shared" si="91"/>
        <v>0</v>
      </c>
      <c r="U297" s="180">
        <f t="shared" si="80"/>
        <v>0</v>
      </c>
      <c r="V297" s="182">
        <f t="shared" si="95"/>
        <v>100</v>
      </c>
      <c r="W297" s="180"/>
      <c r="X297" s="180"/>
      <c r="Y297" s="180"/>
      <c r="Z297" s="180"/>
      <c r="AA297" s="180"/>
      <c r="AB297" s="180"/>
      <c r="AC297" s="180"/>
      <c r="AD297" s="180"/>
      <c r="AE297" s="180"/>
      <c r="AF297" s="180"/>
      <c r="AG297" s="180"/>
      <c r="AH297" s="180"/>
      <c r="AI297" s="180">
        <v>0</v>
      </c>
      <c r="AJ297" s="181">
        <f t="shared" si="92"/>
        <v>0</v>
      </c>
      <c r="AK297" s="180">
        <f t="shared" si="87"/>
        <v>10000000</v>
      </c>
      <c r="AL297" s="181">
        <f t="shared" si="93"/>
        <v>100</v>
      </c>
      <c r="AM297" s="243"/>
    </row>
    <row r="298" spans="1:39" ht="28.5" customHeight="1" x14ac:dyDescent="0.25">
      <c r="A298" s="243"/>
      <c r="B298" s="381"/>
      <c r="C298" s="381"/>
      <c r="D298" s="381"/>
      <c r="E298" s="381"/>
      <c r="F298" s="381"/>
      <c r="G298" s="381"/>
      <c r="H298" s="381"/>
      <c r="I298" s="382"/>
      <c r="J298" s="381" t="s">
        <v>341</v>
      </c>
      <c r="K298" s="245"/>
      <c r="L298" s="257"/>
      <c r="M298" s="591" t="s">
        <v>337</v>
      </c>
      <c r="N298" s="592"/>
      <c r="O298" s="179"/>
      <c r="P298" s="180"/>
      <c r="Q298" s="180">
        <v>10000000</v>
      </c>
      <c r="R298" s="181">
        <f t="shared" si="96"/>
        <v>3.3747425493277681</v>
      </c>
      <c r="S298" s="181">
        <v>100</v>
      </c>
      <c r="T298" s="180">
        <f t="shared" si="91"/>
        <v>0</v>
      </c>
      <c r="U298" s="180">
        <f t="shared" si="80"/>
        <v>0</v>
      </c>
      <c r="V298" s="182">
        <f t="shared" si="95"/>
        <v>100</v>
      </c>
      <c r="W298" s="180"/>
      <c r="X298" s="180"/>
      <c r="Y298" s="180"/>
      <c r="Z298" s="180"/>
      <c r="AA298" s="180"/>
      <c r="AB298" s="180"/>
      <c r="AC298" s="180"/>
      <c r="AD298" s="180"/>
      <c r="AE298" s="180"/>
      <c r="AF298" s="180"/>
      <c r="AG298" s="180"/>
      <c r="AH298" s="180"/>
      <c r="AI298" s="180">
        <v>0</v>
      </c>
      <c r="AJ298" s="181">
        <f t="shared" si="92"/>
        <v>0</v>
      </c>
      <c r="AK298" s="180">
        <f t="shared" si="87"/>
        <v>10000000</v>
      </c>
      <c r="AL298" s="181">
        <f t="shared" si="93"/>
        <v>100</v>
      </c>
      <c r="AM298" s="243"/>
    </row>
    <row r="299" spans="1:39" ht="28.5" customHeight="1" x14ac:dyDescent="0.25">
      <c r="A299" s="243"/>
      <c r="B299" s="381"/>
      <c r="C299" s="381"/>
      <c r="D299" s="381"/>
      <c r="E299" s="381"/>
      <c r="F299" s="381"/>
      <c r="G299" s="381"/>
      <c r="H299" s="381"/>
      <c r="I299" s="382"/>
      <c r="J299" s="381" t="s">
        <v>269</v>
      </c>
      <c r="K299" s="245"/>
      <c r="L299" s="257"/>
      <c r="M299" s="591" t="s">
        <v>270</v>
      </c>
      <c r="N299" s="592"/>
      <c r="O299" s="179"/>
      <c r="P299" s="180"/>
      <c r="Q299" s="180">
        <v>23000000</v>
      </c>
      <c r="R299" s="181">
        <f t="shared" si="96"/>
        <v>7.7619078634538665</v>
      </c>
      <c r="S299" s="181">
        <v>100</v>
      </c>
      <c r="T299" s="180">
        <f t="shared" si="91"/>
        <v>0</v>
      </c>
      <c r="U299" s="180">
        <f t="shared" ref="U299:U362" si="97">R299*T299/100</f>
        <v>0</v>
      </c>
      <c r="V299" s="182">
        <f t="shared" si="95"/>
        <v>100</v>
      </c>
      <c r="W299" s="180"/>
      <c r="X299" s="180"/>
      <c r="Y299" s="180"/>
      <c r="Z299" s="180"/>
      <c r="AA299" s="180"/>
      <c r="AB299" s="180"/>
      <c r="AC299" s="180"/>
      <c r="AD299" s="180"/>
      <c r="AE299" s="180"/>
      <c r="AF299" s="180"/>
      <c r="AG299" s="180"/>
      <c r="AH299" s="180"/>
      <c r="AI299" s="180">
        <v>0</v>
      </c>
      <c r="AJ299" s="181">
        <f t="shared" si="92"/>
        <v>0</v>
      </c>
      <c r="AK299" s="180">
        <f t="shared" si="87"/>
        <v>23000000</v>
      </c>
      <c r="AL299" s="181">
        <f t="shared" si="93"/>
        <v>100</v>
      </c>
      <c r="AM299" s="243"/>
    </row>
    <row r="300" spans="1:39" ht="28.5" customHeight="1" x14ac:dyDescent="0.25">
      <c r="A300" s="243"/>
      <c r="B300" s="381"/>
      <c r="C300" s="381"/>
      <c r="D300" s="381"/>
      <c r="E300" s="381"/>
      <c r="F300" s="381"/>
      <c r="G300" s="381"/>
      <c r="H300" s="381"/>
      <c r="I300" s="382"/>
      <c r="J300" s="381" t="s">
        <v>315</v>
      </c>
      <c r="K300" s="245"/>
      <c r="L300" s="257"/>
      <c r="M300" s="591" t="s">
        <v>271</v>
      </c>
      <c r="N300" s="592"/>
      <c r="O300" s="179"/>
      <c r="P300" s="180"/>
      <c r="Q300" s="180">
        <v>17000000</v>
      </c>
      <c r="R300" s="181">
        <f t="shared" si="96"/>
        <v>5.7370623338572058</v>
      </c>
      <c r="S300" s="181">
        <v>100</v>
      </c>
      <c r="T300" s="180">
        <f t="shared" si="91"/>
        <v>0</v>
      </c>
      <c r="U300" s="180">
        <f t="shared" si="97"/>
        <v>0</v>
      </c>
      <c r="V300" s="182">
        <f t="shared" si="95"/>
        <v>100</v>
      </c>
      <c r="W300" s="180"/>
      <c r="X300" s="180"/>
      <c r="Y300" s="180"/>
      <c r="Z300" s="180"/>
      <c r="AA300" s="180"/>
      <c r="AB300" s="180"/>
      <c r="AC300" s="180"/>
      <c r="AD300" s="180"/>
      <c r="AE300" s="180"/>
      <c r="AF300" s="180"/>
      <c r="AG300" s="180"/>
      <c r="AH300" s="180"/>
      <c r="AI300" s="180">
        <v>0</v>
      </c>
      <c r="AJ300" s="181">
        <f t="shared" si="92"/>
        <v>0</v>
      </c>
      <c r="AK300" s="180">
        <f t="shared" si="87"/>
        <v>17000000</v>
      </c>
      <c r="AL300" s="181">
        <f t="shared" si="93"/>
        <v>100</v>
      </c>
      <c r="AM300" s="243"/>
    </row>
    <row r="301" spans="1:39" ht="28.5" customHeight="1" x14ac:dyDescent="0.25">
      <c r="A301" s="243"/>
      <c r="B301" s="381"/>
      <c r="C301" s="381"/>
      <c r="D301" s="381"/>
      <c r="E301" s="381"/>
      <c r="F301" s="381"/>
      <c r="G301" s="381"/>
      <c r="H301" s="381"/>
      <c r="I301" s="382"/>
      <c r="J301" s="381" t="s">
        <v>343</v>
      </c>
      <c r="K301" s="245"/>
      <c r="L301" s="257"/>
      <c r="M301" s="591" t="s">
        <v>319</v>
      </c>
      <c r="N301" s="592"/>
      <c r="O301" s="179"/>
      <c r="P301" s="180"/>
      <c r="Q301" s="180">
        <v>32500000</v>
      </c>
      <c r="R301" s="181">
        <f t="shared" si="96"/>
        <v>10.967913285315246</v>
      </c>
      <c r="S301" s="181">
        <v>100</v>
      </c>
      <c r="T301" s="180">
        <f t="shared" si="91"/>
        <v>0</v>
      </c>
      <c r="U301" s="180">
        <f t="shared" si="97"/>
        <v>0</v>
      </c>
      <c r="V301" s="182">
        <f t="shared" si="95"/>
        <v>100</v>
      </c>
      <c r="W301" s="180"/>
      <c r="X301" s="180"/>
      <c r="Y301" s="180"/>
      <c r="Z301" s="180"/>
      <c r="AA301" s="180"/>
      <c r="AB301" s="180"/>
      <c r="AC301" s="180"/>
      <c r="AD301" s="180"/>
      <c r="AE301" s="180"/>
      <c r="AF301" s="180"/>
      <c r="AG301" s="180"/>
      <c r="AH301" s="180"/>
      <c r="AI301" s="180">
        <v>0</v>
      </c>
      <c r="AJ301" s="181">
        <f t="shared" si="92"/>
        <v>0</v>
      </c>
      <c r="AK301" s="180">
        <f t="shared" si="87"/>
        <v>32500000</v>
      </c>
      <c r="AL301" s="181">
        <f t="shared" si="93"/>
        <v>100</v>
      </c>
      <c r="AM301" s="243"/>
    </row>
    <row r="302" spans="1:39" ht="28.5" customHeight="1" x14ac:dyDescent="0.25">
      <c r="A302" s="243"/>
      <c r="B302" s="381"/>
      <c r="C302" s="381"/>
      <c r="D302" s="381"/>
      <c r="E302" s="381"/>
      <c r="F302" s="381"/>
      <c r="G302" s="381"/>
      <c r="H302" s="381"/>
      <c r="I302" s="382"/>
      <c r="J302" s="381" t="s">
        <v>280</v>
      </c>
      <c r="K302" s="245"/>
      <c r="L302" s="257"/>
      <c r="M302" s="591" t="s">
        <v>281</v>
      </c>
      <c r="N302" s="592"/>
      <c r="O302" s="179"/>
      <c r="P302" s="180"/>
      <c r="Q302" s="180">
        <v>6500000</v>
      </c>
      <c r="R302" s="181">
        <f t="shared" si="96"/>
        <v>2.1935826570630494</v>
      </c>
      <c r="S302" s="181">
        <v>100</v>
      </c>
      <c r="T302" s="180">
        <f t="shared" si="91"/>
        <v>0</v>
      </c>
      <c r="U302" s="180">
        <f t="shared" si="97"/>
        <v>0</v>
      </c>
      <c r="V302" s="182">
        <f t="shared" si="95"/>
        <v>100</v>
      </c>
      <c r="W302" s="180"/>
      <c r="X302" s="180"/>
      <c r="Y302" s="180"/>
      <c r="Z302" s="180"/>
      <c r="AA302" s="180"/>
      <c r="AB302" s="180"/>
      <c r="AC302" s="180"/>
      <c r="AD302" s="180"/>
      <c r="AE302" s="180"/>
      <c r="AF302" s="180"/>
      <c r="AG302" s="180"/>
      <c r="AH302" s="180"/>
      <c r="AI302" s="180">
        <v>0</v>
      </c>
      <c r="AJ302" s="181">
        <f t="shared" si="92"/>
        <v>0</v>
      </c>
      <c r="AK302" s="180">
        <f t="shared" si="87"/>
        <v>6500000</v>
      </c>
      <c r="AL302" s="181">
        <f t="shared" si="93"/>
        <v>100</v>
      </c>
      <c r="AM302" s="243"/>
    </row>
    <row r="303" spans="1:39" ht="28.5" customHeight="1" x14ac:dyDescent="0.25">
      <c r="A303" s="243"/>
      <c r="B303" s="381"/>
      <c r="C303" s="381"/>
      <c r="D303" s="381"/>
      <c r="E303" s="381"/>
      <c r="F303" s="381"/>
      <c r="G303" s="381"/>
      <c r="H303" s="381"/>
      <c r="I303" s="382"/>
      <c r="J303" s="381"/>
      <c r="K303" s="245"/>
      <c r="L303" s="257"/>
      <c r="M303" s="591" t="s">
        <v>285</v>
      </c>
      <c r="N303" s="592"/>
      <c r="O303" s="179"/>
      <c r="P303" s="180"/>
      <c r="Q303" s="180">
        <v>660000</v>
      </c>
      <c r="R303" s="181">
        <f t="shared" si="96"/>
        <v>0.22273300825563269</v>
      </c>
      <c r="S303" s="181"/>
      <c r="T303" s="180">
        <f t="shared" si="91"/>
        <v>0</v>
      </c>
      <c r="U303" s="180">
        <f t="shared" si="97"/>
        <v>0</v>
      </c>
      <c r="V303" s="182">
        <f t="shared" si="95"/>
        <v>0</v>
      </c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>
        <v>0</v>
      </c>
      <c r="AJ303" s="181">
        <f t="shared" si="92"/>
        <v>0</v>
      </c>
      <c r="AK303" s="180">
        <f t="shared" si="87"/>
        <v>660000</v>
      </c>
      <c r="AL303" s="181">
        <f t="shared" si="93"/>
        <v>100</v>
      </c>
      <c r="AM303" s="243"/>
    </row>
    <row r="304" spans="1:39" ht="28.5" customHeight="1" x14ac:dyDescent="0.25">
      <c r="A304" s="243"/>
      <c r="B304" s="381"/>
      <c r="C304" s="381"/>
      <c r="D304" s="381"/>
      <c r="E304" s="381"/>
      <c r="F304" s="381"/>
      <c r="G304" s="381"/>
      <c r="H304" s="381"/>
      <c r="I304" s="382"/>
      <c r="J304" s="381" t="s">
        <v>282</v>
      </c>
      <c r="K304" s="245"/>
      <c r="L304" s="257"/>
      <c r="M304" s="591" t="s">
        <v>283</v>
      </c>
      <c r="N304" s="592"/>
      <c r="O304" s="179"/>
      <c r="P304" s="180"/>
      <c r="Q304" s="180">
        <v>53918900</v>
      </c>
      <c r="R304" s="181">
        <f t="shared" si="96"/>
        <v>18.1962406042949</v>
      </c>
      <c r="S304" s="181">
        <v>100</v>
      </c>
      <c r="T304" s="180">
        <f t="shared" si="91"/>
        <v>0</v>
      </c>
      <c r="U304" s="180">
        <f t="shared" si="97"/>
        <v>0</v>
      </c>
      <c r="V304" s="182">
        <f t="shared" si="95"/>
        <v>100</v>
      </c>
      <c r="W304" s="180"/>
      <c r="X304" s="180"/>
      <c r="Y304" s="180"/>
      <c r="Z304" s="180"/>
      <c r="AA304" s="180"/>
      <c r="AB304" s="180"/>
      <c r="AC304" s="180"/>
      <c r="AD304" s="180"/>
      <c r="AE304" s="180"/>
      <c r="AF304" s="180"/>
      <c r="AG304" s="180"/>
      <c r="AH304" s="180"/>
      <c r="AI304" s="180">
        <v>0</v>
      </c>
      <c r="AJ304" s="181">
        <f t="shared" si="92"/>
        <v>0</v>
      </c>
      <c r="AK304" s="180">
        <f t="shared" si="87"/>
        <v>53918900</v>
      </c>
      <c r="AL304" s="181">
        <f t="shared" si="93"/>
        <v>100</v>
      </c>
      <c r="AM304" s="243"/>
    </row>
    <row r="305" spans="1:39" ht="28.5" customHeight="1" x14ac:dyDescent="0.25">
      <c r="A305" s="243"/>
      <c r="B305" s="381"/>
      <c r="C305" s="381"/>
      <c r="D305" s="381"/>
      <c r="E305" s="381"/>
      <c r="F305" s="381"/>
      <c r="G305" s="381"/>
      <c r="H305" s="381"/>
      <c r="I305" s="382"/>
      <c r="J305" s="381" t="s">
        <v>407</v>
      </c>
      <c r="K305" s="245"/>
      <c r="L305" s="257"/>
      <c r="M305" s="591" t="s">
        <v>414</v>
      </c>
      <c r="N305" s="592"/>
      <c r="O305" s="179"/>
      <c r="P305" s="180"/>
      <c r="Q305" s="180">
        <v>800000</v>
      </c>
      <c r="R305" s="181">
        <f t="shared" si="96"/>
        <v>0.26997940394622144</v>
      </c>
      <c r="S305" s="181">
        <v>100</v>
      </c>
      <c r="T305" s="180">
        <f t="shared" si="91"/>
        <v>0</v>
      </c>
      <c r="U305" s="180">
        <f t="shared" si="97"/>
        <v>0</v>
      </c>
      <c r="V305" s="182">
        <f t="shared" si="95"/>
        <v>100</v>
      </c>
      <c r="W305" s="180"/>
      <c r="X305" s="180"/>
      <c r="Y305" s="180"/>
      <c r="Z305" s="180"/>
      <c r="AA305" s="180"/>
      <c r="AB305" s="180"/>
      <c r="AC305" s="180"/>
      <c r="AD305" s="180"/>
      <c r="AE305" s="180"/>
      <c r="AF305" s="180"/>
      <c r="AG305" s="180"/>
      <c r="AH305" s="180"/>
      <c r="AI305" s="180">
        <v>0</v>
      </c>
      <c r="AJ305" s="181">
        <f t="shared" si="92"/>
        <v>0</v>
      </c>
      <c r="AK305" s="180">
        <f t="shared" si="87"/>
        <v>800000</v>
      </c>
      <c r="AL305" s="181">
        <f t="shared" si="93"/>
        <v>100</v>
      </c>
      <c r="AM305" s="243"/>
    </row>
    <row r="306" spans="1:39" s="311" customFormat="1" ht="39.75" customHeight="1" x14ac:dyDescent="0.25">
      <c r="A306" s="227">
        <f>A294+1</f>
        <v>41</v>
      </c>
      <c r="B306" s="615" t="s">
        <v>148</v>
      </c>
      <c r="C306" s="615"/>
      <c r="D306" s="615"/>
      <c r="E306" s="615"/>
      <c r="F306" s="615"/>
      <c r="G306" s="615"/>
      <c r="H306" s="615"/>
      <c r="I306" s="614"/>
      <c r="J306" s="304" t="s">
        <v>485</v>
      </c>
      <c r="K306" s="230"/>
      <c r="L306" s="294"/>
      <c r="M306" s="609" t="s">
        <v>44</v>
      </c>
      <c r="N306" s="609"/>
      <c r="O306" s="310">
        <v>100275000</v>
      </c>
      <c r="P306" s="231">
        <f>O306</f>
        <v>100275000</v>
      </c>
      <c r="Q306" s="231">
        <f>SUM(Q307:Q313)</f>
        <v>331985880</v>
      </c>
      <c r="R306" s="233">
        <f>Q306/Q$245*100</f>
        <v>2.783284720548469</v>
      </c>
      <c r="S306" s="233">
        <v>100</v>
      </c>
      <c r="T306" s="231">
        <f t="shared" si="91"/>
        <v>0</v>
      </c>
      <c r="U306" s="231">
        <f t="shared" si="97"/>
        <v>0</v>
      </c>
      <c r="V306" s="296">
        <f t="shared" si="95"/>
        <v>100</v>
      </c>
      <c r="W306" s="231"/>
      <c r="X306" s="231" t="e">
        <f>#REF!</f>
        <v>#REF!</v>
      </c>
      <c r="Y306" s="231" t="e">
        <f>#REF!</f>
        <v>#REF!</v>
      </c>
      <c r="Z306" s="231" t="e">
        <f>#REF!</f>
        <v>#REF!</v>
      </c>
      <c r="AA306" s="231" t="e">
        <f>#REF!</f>
        <v>#REF!</v>
      </c>
      <c r="AB306" s="231">
        <v>0</v>
      </c>
      <c r="AC306" s="231" t="e">
        <f>#REF!</f>
        <v>#REF!</v>
      </c>
      <c r="AD306" s="231" t="e">
        <f>#REF!</f>
        <v>#REF!</v>
      </c>
      <c r="AE306" s="231" t="e">
        <f>#REF!</f>
        <v>#REF!</v>
      </c>
      <c r="AF306" s="231" t="e">
        <f>[1]April!N60</f>
        <v>#REF!</v>
      </c>
      <c r="AG306" s="231" t="e">
        <f>[2]april!N60</f>
        <v>#REF!</v>
      </c>
      <c r="AH306" s="231">
        <f>'[3]DES SKPD'!$N60</f>
        <v>90196500</v>
      </c>
      <c r="AI306" s="231">
        <f>SUM(AI307:AI313)</f>
        <v>0</v>
      </c>
      <c r="AJ306" s="233">
        <f t="shared" si="92"/>
        <v>0</v>
      </c>
      <c r="AK306" s="231">
        <f t="shared" si="87"/>
        <v>331985880</v>
      </c>
      <c r="AL306" s="233">
        <f t="shared" si="93"/>
        <v>100</v>
      </c>
      <c r="AM306" s="227"/>
    </row>
    <row r="307" spans="1:39" ht="28.5" customHeight="1" x14ac:dyDescent="0.25">
      <c r="A307" s="243"/>
      <c r="B307" s="381"/>
      <c r="C307" s="381"/>
      <c r="D307" s="381"/>
      <c r="E307" s="381"/>
      <c r="F307" s="381"/>
      <c r="G307" s="381"/>
      <c r="H307" s="381"/>
      <c r="I307" s="382"/>
      <c r="J307" s="381" t="s">
        <v>326</v>
      </c>
      <c r="K307" s="245"/>
      <c r="L307" s="257"/>
      <c r="M307" s="591" t="s">
        <v>327</v>
      </c>
      <c r="N307" s="592"/>
      <c r="O307" s="179"/>
      <c r="P307" s="180"/>
      <c r="Q307" s="180">
        <v>280800000</v>
      </c>
      <c r="R307" s="181">
        <f t="shared" ref="R307:R313" si="98">Q307/Q$306*100</f>
        <v>84.581910531857559</v>
      </c>
      <c r="S307" s="181">
        <v>100</v>
      </c>
      <c r="T307" s="180">
        <f t="shared" si="91"/>
        <v>0</v>
      </c>
      <c r="U307" s="180">
        <f t="shared" si="97"/>
        <v>0</v>
      </c>
      <c r="V307" s="182">
        <f t="shared" si="95"/>
        <v>100</v>
      </c>
      <c r="W307" s="180"/>
      <c r="X307" s="180"/>
      <c r="Y307" s="180"/>
      <c r="Z307" s="180"/>
      <c r="AA307" s="180"/>
      <c r="AB307" s="180"/>
      <c r="AC307" s="180"/>
      <c r="AD307" s="180"/>
      <c r="AE307" s="180"/>
      <c r="AF307" s="180"/>
      <c r="AG307" s="180"/>
      <c r="AH307" s="180"/>
      <c r="AI307" s="180">
        <v>0</v>
      </c>
      <c r="AJ307" s="181">
        <f t="shared" si="92"/>
        <v>0</v>
      </c>
      <c r="AK307" s="180">
        <f t="shared" si="87"/>
        <v>280800000</v>
      </c>
      <c r="AL307" s="181">
        <f t="shared" si="93"/>
        <v>100</v>
      </c>
      <c r="AM307" s="243"/>
    </row>
    <row r="308" spans="1:39" ht="28.5" customHeight="1" x14ac:dyDescent="0.25">
      <c r="A308" s="243"/>
      <c r="B308" s="381"/>
      <c r="C308" s="381"/>
      <c r="D308" s="381"/>
      <c r="E308" s="381"/>
      <c r="F308" s="381"/>
      <c r="G308" s="381"/>
      <c r="H308" s="381"/>
      <c r="I308" s="382"/>
      <c r="J308" s="381" t="s">
        <v>323</v>
      </c>
      <c r="K308" s="245"/>
      <c r="L308" s="257"/>
      <c r="M308" s="591" t="s">
        <v>324</v>
      </c>
      <c r="N308" s="592"/>
      <c r="O308" s="179"/>
      <c r="P308" s="180"/>
      <c r="Q308" s="180">
        <v>4000000</v>
      </c>
      <c r="R308" s="181">
        <f t="shared" si="98"/>
        <v>1.2048705203968313</v>
      </c>
      <c r="S308" s="181">
        <v>100</v>
      </c>
      <c r="T308" s="180">
        <f t="shared" si="91"/>
        <v>0</v>
      </c>
      <c r="U308" s="180">
        <f t="shared" si="97"/>
        <v>0</v>
      </c>
      <c r="V308" s="182">
        <f t="shared" si="95"/>
        <v>100</v>
      </c>
      <c r="W308" s="180"/>
      <c r="X308" s="180"/>
      <c r="Y308" s="180"/>
      <c r="Z308" s="180"/>
      <c r="AA308" s="180"/>
      <c r="AB308" s="180"/>
      <c r="AC308" s="180"/>
      <c r="AD308" s="180"/>
      <c r="AE308" s="180"/>
      <c r="AF308" s="180"/>
      <c r="AG308" s="180"/>
      <c r="AH308" s="180"/>
      <c r="AI308" s="180">
        <v>0</v>
      </c>
      <c r="AJ308" s="181">
        <f t="shared" si="92"/>
        <v>0</v>
      </c>
      <c r="AK308" s="180">
        <f t="shared" si="87"/>
        <v>4000000</v>
      </c>
      <c r="AL308" s="181">
        <f t="shared" si="93"/>
        <v>100</v>
      </c>
      <c r="AM308" s="243"/>
    </row>
    <row r="309" spans="1:39" ht="28.5" customHeight="1" x14ac:dyDescent="0.25">
      <c r="A309" s="243"/>
      <c r="B309" s="381"/>
      <c r="C309" s="381"/>
      <c r="D309" s="381"/>
      <c r="E309" s="381"/>
      <c r="F309" s="381"/>
      <c r="G309" s="381"/>
      <c r="H309" s="381"/>
      <c r="I309" s="382"/>
      <c r="J309" s="381" t="s">
        <v>269</v>
      </c>
      <c r="K309" s="245"/>
      <c r="L309" s="257"/>
      <c r="M309" s="591" t="s">
        <v>270</v>
      </c>
      <c r="N309" s="592"/>
      <c r="O309" s="179"/>
      <c r="P309" s="180"/>
      <c r="Q309" s="180">
        <v>27680000</v>
      </c>
      <c r="R309" s="181">
        <f t="shared" si="98"/>
        <v>8.3377040011460739</v>
      </c>
      <c r="S309" s="181">
        <v>100</v>
      </c>
      <c r="T309" s="180">
        <f t="shared" si="91"/>
        <v>0</v>
      </c>
      <c r="U309" s="180">
        <f t="shared" si="97"/>
        <v>0</v>
      </c>
      <c r="V309" s="182">
        <f t="shared" si="95"/>
        <v>100</v>
      </c>
      <c r="W309" s="180"/>
      <c r="X309" s="180"/>
      <c r="Y309" s="180"/>
      <c r="Z309" s="180"/>
      <c r="AA309" s="180"/>
      <c r="AB309" s="180"/>
      <c r="AC309" s="180"/>
      <c r="AD309" s="180"/>
      <c r="AE309" s="180"/>
      <c r="AF309" s="180"/>
      <c r="AG309" s="180"/>
      <c r="AH309" s="180"/>
      <c r="AI309" s="180">
        <v>0</v>
      </c>
      <c r="AJ309" s="181">
        <f t="shared" si="92"/>
        <v>0</v>
      </c>
      <c r="AK309" s="180">
        <f t="shared" si="87"/>
        <v>27680000</v>
      </c>
      <c r="AL309" s="181">
        <f t="shared" si="93"/>
        <v>100</v>
      </c>
      <c r="AM309" s="243"/>
    </row>
    <row r="310" spans="1:39" ht="28.5" customHeight="1" x14ac:dyDescent="0.25">
      <c r="A310" s="243"/>
      <c r="B310" s="381"/>
      <c r="C310" s="381"/>
      <c r="D310" s="381"/>
      <c r="E310" s="381"/>
      <c r="F310" s="381"/>
      <c r="G310" s="381"/>
      <c r="H310" s="381"/>
      <c r="I310" s="382"/>
      <c r="J310" s="381" t="s">
        <v>315</v>
      </c>
      <c r="K310" s="245"/>
      <c r="L310" s="257"/>
      <c r="M310" s="591" t="s">
        <v>271</v>
      </c>
      <c r="N310" s="592"/>
      <c r="O310" s="179"/>
      <c r="P310" s="180"/>
      <c r="Q310" s="180">
        <v>1000000</v>
      </c>
      <c r="R310" s="181">
        <f t="shared" si="98"/>
        <v>0.30121763009920782</v>
      </c>
      <c r="S310" s="181">
        <v>100</v>
      </c>
      <c r="T310" s="180">
        <f t="shared" si="91"/>
        <v>0</v>
      </c>
      <c r="U310" s="180">
        <f t="shared" si="97"/>
        <v>0</v>
      </c>
      <c r="V310" s="182">
        <f t="shared" si="95"/>
        <v>100</v>
      </c>
      <c r="W310" s="180"/>
      <c r="X310" s="180"/>
      <c r="Y310" s="180"/>
      <c r="Z310" s="180"/>
      <c r="AA310" s="180"/>
      <c r="AB310" s="180"/>
      <c r="AC310" s="180"/>
      <c r="AD310" s="180"/>
      <c r="AE310" s="180"/>
      <c r="AF310" s="180"/>
      <c r="AG310" s="180"/>
      <c r="AH310" s="180"/>
      <c r="AI310" s="180">
        <v>0</v>
      </c>
      <c r="AJ310" s="181">
        <f t="shared" si="92"/>
        <v>0</v>
      </c>
      <c r="AK310" s="180">
        <f t="shared" ref="AK310:AK356" si="99">Q310-AI310</f>
        <v>1000000</v>
      </c>
      <c r="AL310" s="181">
        <f t="shared" si="93"/>
        <v>100</v>
      </c>
      <c r="AM310" s="243"/>
    </row>
    <row r="311" spans="1:39" ht="28.5" customHeight="1" x14ac:dyDescent="0.25">
      <c r="A311" s="243"/>
      <c r="B311" s="381"/>
      <c r="C311" s="381"/>
      <c r="D311" s="381"/>
      <c r="E311" s="381"/>
      <c r="F311" s="381"/>
      <c r="G311" s="381"/>
      <c r="H311" s="381"/>
      <c r="I311" s="382"/>
      <c r="J311" s="381" t="s">
        <v>328</v>
      </c>
      <c r="K311" s="245"/>
      <c r="L311" s="257"/>
      <c r="M311" s="591" t="s">
        <v>329</v>
      </c>
      <c r="N311" s="592"/>
      <c r="O311" s="179"/>
      <c r="P311" s="180"/>
      <c r="Q311" s="180">
        <v>5105880</v>
      </c>
      <c r="R311" s="181">
        <f t="shared" si="98"/>
        <v>1.5379810731709433</v>
      </c>
      <c r="S311" s="181">
        <v>100</v>
      </c>
      <c r="T311" s="180">
        <f t="shared" si="91"/>
        <v>0</v>
      </c>
      <c r="U311" s="180">
        <f t="shared" si="97"/>
        <v>0</v>
      </c>
      <c r="V311" s="182">
        <f t="shared" si="95"/>
        <v>100</v>
      </c>
      <c r="W311" s="180"/>
      <c r="X311" s="180"/>
      <c r="Y311" s="180"/>
      <c r="Z311" s="180"/>
      <c r="AA311" s="180"/>
      <c r="AB311" s="180"/>
      <c r="AC311" s="180"/>
      <c r="AD311" s="180"/>
      <c r="AE311" s="180"/>
      <c r="AF311" s="180"/>
      <c r="AG311" s="180"/>
      <c r="AH311" s="180"/>
      <c r="AI311" s="180">
        <v>0</v>
      </c>
      <c r="AJ311" s="181">
        <f t="shared" si="92"/>
        <v>0</v>
      </c>
      <c r="AK311" s="180">
        <f t="shared" si="99"/>
        <v>5105880</v>
      </c>
      <c r="AL311" s="181">
        <f t="shared" si="93"/>
        <v>100</v>
      </c>
      <c r="AM311" s="243"/>
    </row>
    <row r="312" spans="1:39" ht="28.5" customHeight="1" x14ac:dyDescent="0.25">
      <c r="A312" s="243"/>
      <c r="B312" s="381"/>
      <c r="C312" s="381"/>
      <c r="D312" s="381"/>
      <c r="E312" s="381"/>
      <c r="F312" s="381"/>
      <c r="G312" s="381"/>
      <c r="H312" s="381"/>
      <c r="I312" s="382"/>
      <c r="J312" s="381" t="s">
        <v>280</v>
      </c>
      <c r="K312" s="245"/>
      <c r="L312" s="257"/>
      <c r="M312" s="591" t="s">
        <v>281</v>
      </c>
      <c r="N312" s="592"/>
      <c r="O312" s="179"/>
      <c r="P312" s="180"/>
      <c r="Q312" s="180">
        <v>13000000</v>
      </c>
      <c r="R312" s="181">
        <f t="shared" si="98"/>
        <v>3.9158291912897019</v>
      </c>
      <c r="S312" s="181">
        <v>100</v>
      </c>
      <c r="T312" s="180">
        <f t="shared" si="91"/>
        <v>0</v>
      </c>
      <c r="U312" s="180">
        <f t="shared" si="97"/>
        <v>0</v>
      </c>
      <c r="V312" s="182">
        <f t="shared" si="95"/>
        <v>100</v>
      </c>
      <c r="W312" s="180"/>
      <c r="X312" s="180"/>
      <c r="Y312" s="180"/>
      <c r="Z312" s="180"/>
      <c r="AA312" s="180"/>
      <c r="AB312" s="180"/>
      <c r="AC312" s="180"/>
      <c r="AD312" s="180"/>
      <c r="AE312" s="180"/>
      <c r="AF312" s="180"/>
      <c r="AG312" s="180"/>
      <c r="AH312" s="180"/>
      <c r="AI312" s="180">
        <v>0</v>
      </c>
      <c r="AJ312" s="181">
        <f t="shared" si="92"/>
        <v>0</v>
      </c>
      <c r="AK312" s="180">
        <f t="shared" si="99"/>
        <v>13000000</v>
      </c>
      <c r="AL312" s="181">
        <f t="shared" si="93"/>
        <v>100</v>
      </c>
      <c r="AM312" s="243"/>
    </row>
    <row r="313" spans="1:39" ht="28.5" customHeight="1" x14ac:dyDescent="0.25">
      <c r="A313" s="243"/>
      <c r="B313" s="381"/>
      <c r="C313" s="381"/>
      <c r="D313" s="381"/>
      <c r="E313" s="381"/>
      <c r="F313" s="381"/>
      <c r="G313" s="381"/>
      <c r="H313" s="381"/>
      <c r="I313" s="382"/>
      <c r="J313" s="381" t="s">
        <v>407</v>
      </c>
      <c r="K313" s="245"/>
      <c r="L313" s="257"/>
      <c r="M313" s="591" t="s">
        <v>414</v>
      </c>
      <c r="N313" s="592"/>
      <c r="O313" s="179"/>
      <c r="P313" s="180"/>
      <c r="Q313" s="180">
        <v>400000</v>
      </c>
      <c r="R313" s="181">
        <f t="shared" si="98"/>
        <v>0.12048705203968313</v>
      </c>
      <c r="S313" s="181">
        <v>100</v>
      </c>
      <c r="T313" s="180">
        <f t="shared" si="91"/>
        <v>0</v>
      </c>
      <c r="U313" s="180">
        <f t="shared" si="97"/>
        <v>0</v>
      </c>
      <c r="V313" s="182">
        <f t="shared" si="95"/>
        <v>100</v>
      </c>
      <c r="W313" s="180"/>
      <c r="X313" s="180"/>
      <c r="Y313" s="180"/>
      <c r="Z313" s="180"/>
      <c r="AA313" s="180"/>
      <c r="AB313" s="180"/>
      <c r="AC313" s="180"/>
      <c r="AD313" s="180"/>
      <c r="AE313" s="180"/>
      <c r="AF313" s="180"/>
      <c r="AG313" s="180"/>
      <c r="AH313" s="180"/>
      <c r="AI313" s="180">
        <v>0</v>
      </c>
      <c r="AJ313" s="181">
        <f t="shared" si="92"/>
        <v>0</v>
      </c>
      <c r="AK313" s="180">
        <f t="shared" si="99"/>
        <v>400000</v>
      </c>
      <c r="AL313" s="181">
        <f t="shared" si="93"/>
        <v>100</v>
      </c>
      <c r="AM313" s="243"/>
    </row>
    <row r="314" spans="1:39" s="297" customFormat="1" ht="28.5" customHeight="1" x14ac:dyDescent="0.25">
      <c r="A314" s="227">
        <f>A306+1</f>
        <v>42</v>
      </c>
      <c r="B314" s="615" t="s">
        <v>150</v>
      </c>
      <c r="C314" s="615"/>
      <c r="D314" s="615"/>
      <c r="E314" s="615"/>
      <c r="F314" s="615"/>
      <c r="G314" s="615"/>
      <c r="H314" s="615"/>
      <c r="I314" s="614"/>
      <c r="J314" s="304" t="s">
        <v>486</v>
      </c>
      <c r="K314" s="230"/>
      <c r="L314" s="294"/>
      <c r="M314" s="610" t="s">
        <v>45</v>
      </c>
      <c r="N314" s="610"/>
      <c r="O314" s="309">
        <v>803450000</v>
      </c>
      <c r="P314" s="231">
        <f>O314</f>
        <v>803450000</v>
      </c>
      <c r="Q314" s="231">
        <f>SUM(Q315:Q321)</f>
        <v>77953471</v>
      </c>
      <c r="R314" s="233">
        <f>Q314/Q$245*100</f>
        <v>0.65354196614632576</v>
      </c>
      <c r="S314" s="233">
        <v>100</v>
      </c>
      <c r="T314" s="231">
        <f t="shared" si="91"/>
        <v>0</v>
      </c>
      <c r="U314" s="231">
        <f t="shared" si="97"/>
        <v>0</v>
      </c>
      <c r="V314" s="296">
        <f t="shared" si="95"/>
        <v>100</v>
      </c>
      <c r="W314" s="231"/>
      <c r="X314" s="231" t="e">
        <f>#REF!</f>
        <v>#REF!</v>
      </c>
      <c r="Y314" s="231" t="e">
        <f>#REF!</f>
        <v>#REF!</v>
      </c>
      <c r="Z314" s="231" t="e">
        <f>#REF!</f>
        <v>#REF!</v>
      </c>
      <c r="AA314" s="231" t="e">
        <f>#REF!</f>
        <v>#REF!</v>
      </c>
      <c r="AB314" s="231">
        <v>323021990</v>
      </c>
      <c r="AC314" s="231" t="e">
        <f>#REF!</f>
        <v>#REF!</v>
      </c>
      <c r="AD314" s="231" t="e">
        <f>#REF!</f>
        <v>#REF!</v>
      </c>
      <c r="AE314" s="231" t="e">
        <f>#REF!</f>
        <v>#REF!</v>
      </c>
      <c r="AF314" s="231" t="e">
        <f>[1]April!N61</f>
        <v>#REF!</v>
      </c>
      <c r="AG314" s="231" t="e">
        <f>[2]april!N61</f>
        <v>#REF!</v>
      </c>
      <c r="AH314" s="231">
        <f>'[3]DES SKPD'!$N61</f>
        <v>541082490</v>
      </c>
      <c r="AI314" s="231">
        <f>SUM(AI315:AI321)</f>
        <v>0</v>
      </c>
      <c r="AJ314" s="233">
        <f t="shared" si="92"/>
        <v>0</v>
      </c>
      <c r="AK314" s="231">
        <f t="shared" si="99"/>
        <v>77953471</v>
      </c>
      <c r="AL314" s="233">
        <f t="shared" si="93"/>
        <v>100</v>
      </c>
      <c r="AM314" s="227"/>
    </row>
    <row r="315" spans="1:39" ht="28.5" customHeight="1" x14ac:dyDescent="0.25">
      <c r="A315" s="243"/>
      <c r="B315" s="381"/>
      <c r="C315" s="381"/>
      <c r="D315" s="381"/>
      <c r="E315" s="381"/>
      <c r="F315" s="381"/>
      <c r="G315" s="381"/>
      <c r="H315" s="381"/>
      <c r="I315" s="382"/>
      <c r="J315" s="381" t="s">
        <v>326</v>
      </c>
      <c r="K315" s="245"/>
      <c r="L315" s="257"/>
      <c r="M315" s="591" t="s">
        <v>327</v>
      </c>
      <c r="N315" s="592"/>
      <c r="O315" s="179"/>
      <c r="P315" s="180"/>
      <c r="Q315" s="180">
        <v>33500000</v>
      </c>
      <c r="R315" s="181">
        <f t="shared" ref="R315:R321" si="100">Q315/Q$314*100</f>
        <v>42.974353252339462</v>
      </c>
      <c r="S315" s="181">
        <v>100</v>
      </c>
      <c r="T315" s="180">
        <f t="shared" si="91"/>
        <v>0</v>
      </c>
      <c r="U315" s="180">
        <f t="shared" si="97"/>
        <v>0</v>
      </c>
      <c r="V315" s="182">
        <f t="shared" si="95"/>
        <v>100</v>
      </c>
      <c r="W315" s="180"/>
      <c r="X315" s="180"/>
      <c r="Y315" s="180"/>
      <c r="Z315" s="180"/>
      <c r="AA315" s="180"/>
      <c r="AB315" s="180"/>
      <c r="AC315" s="180"/>
      <c r="AD315" s="180"/>
      <c r="AE315" s="180"/>
      <c r="AF315" s="180"/>
      <c r="AG315" s="180"/>
      <c r="AH315" s="180"/>
      <c r="AI315" s="180">
        <v>0</v>
      </c>
      <c r="AJ315" s="181">
        <f t="shared" si="92"/>
        <v>0</v>
      </c>
      <c r="AK315" s="180">
        <f t="shared" si="99"/>
        <v>33500000</v>
      </c>
      <c r="AL315" s="181">
        <f t="shared" si="93"/>
        <v>100</v>
      </c>
      <c r="AM315" s="243"/>
    </row>
    <row r="316" spans="1:39" ht="28.5" customHeight="1" x14ac:dyDescent="0.25">
      <c r="A316" s="243"/>
      <c r="B316" s="381"/>
      <c r="C316" s="381"/>
      <c r="D316" s="381"/>
      <c r="E316" s="381"/>
      <c r="F316" s="381"/>
      <c r="G316" s="381"/>
      <c r="H316" s="381"/>
      <c r="I316" s="382"/>
      <c r="J316" s="381" t="s">
        <v>323</v>
      </c>
      <c r="K316" s="245"/>
      <c r="L316" s="257"/>
      <c r="M316" s="591" t="s">
        <v>324</v>
      </c>
      <c r="N316" s="592"/>
      <c r="O316" s="179"/>
      <c r="P316" s="180"/>
      <c r="Q316" s="180">
        <v>9642000</v>
      </c>
      <c r="R316" s="181">
        <f t="shared" si="100"/>
        <v>12.368916837583795</v>
      </c>
      <c r="S316" s="181">
        <v>100</v>
      </c>
      <c r="T316" s="180">
        <f t="shared" si="91"/>
        <v>0</v>
      </c>
      <c r="U316" s="180">
        <f t="shared" si="97"/>
        <v>0</v>
      </c>
      <c r="V316" s="182">
        <f t="shared" si="95"/>
        <v>100</v>
      </c>
      <c r="W316" s="180"/>
      <c r="X316" s="180"/>
      <c r="Y316" s="180"/>
      <c r="Z316" s="180"/>
      <c r="AA316" s="180"/>
      <c r="AB316" s="180"/>
      <c r="AC316" s="180"/>
      <c r="AD316" s="180"/>
      <c r="AE316" s="180"/>
      <c r="AF316" s="180"/>
      <c r="AG316" s="180"/>
      <c r="AH316" s="180"/>
      <c r="AI316" s="180">
        <v>0</v>
      </c>
      <c r="AJ316" s="181">
        <f t="shared" si="92"/>
        <v>0</v>
      </c>
      <c r="AK316" s="180">
        <f t="shared" si="99"/>
        <v>9642000</v>
      </c>
      <c r="AL316" s="181">
        <f t="shared" si="93"/>
        <v>100</v>
      </c>
      <c r="AM316" s="243"/>
    </row>
    <row r="317" spans="1:39" ht="28.5" customHeight="1" x14ac:dyDescent="0.25">
      <c r="A317" s="243"/>
      <c r="B317" s="381"/>
      <c r="C317" s="381"/>
      <c r="D317" s="381"/>
      <c r="E317" s="381"/>
      <c r="F317" s="381"/>
      <c r="G317" s="381"/>
      <c r="H317" s="381"/>
      <c r="I317" s="382"/>
      <c r="J317" s="381" t="s">
        <v>269</v>
      </c>
      <c r="K317" s="245"/>
      <c r="L317" s="257"/>
      <c r="M317" s="591" t="s">
        <v>270</v>
      </c>
      <c r="N317" s="592"/>
      <c r="O317" s="179"/>
      <c r="P317" s="180"/>
      <c r="Q317" s="180">
        <v>1250000</v>
      </c>
      <c r="R317" s="181">
        <f t="shared" si="100"/>
        <v>1.6035206437440097</v>
      </c>
      <c r="S317" s="181">
        <v>100</v>
      </c>
      <c r="T317" s="180">
        <f t="shared" si="91"/>
        <v>0</v>
      </c>
      <c r="U317" s="180">
        <f t="shared" si="97"/>
        <v>0</v>
      </c>
      <c r="V317" s="182">
        <f t="shared" si="95"/>
        <v>100</v>
      </c>
      <c r="W317" s="180"/>
      <c r="X317" s="180"/>
      <c r="Y317" s="180"/>
      <c r="Z317" s="180"/>
      <c r="AA317" s="180"/>
      <c r="AB317" s="180"/>
      <c r="AC317" s="180"/>
      <c r="AD317" s="180"/>
      <c r="AE317" s="180"/>
      <c r="AF317" s="180"/>
      <c r="AG317" s="180"/>
      <c r="AH317" s="180"/>
      <c r="AI317" s="180">
        <v>0</v>
      </c>
      <c r="AJ317" s="181">
        <f t="shared" si="92"/>
        <v>0</v>
      </c>
      <c r="AK317" s="180">
        <f t="shared" si="99"/>
        <v>1250000</v>
      </c>
      <c r="AL317" s="181">
        <f t="shared" si="93"/>
        <v>100</v>
      </c>
      <c r="AM317" s="243"/>
    </row>
    <row r="318" spans="1:39" ht="28.5" customHeight="1" x14ac:dyDescent="0.25">
      <c r="A318" s="243"/>
      <c r="B318" s="381"/>
      <c r="C318" s="381"/>
      <c r="D318" s="381"/>
      <c r="E318" s="381"/>
      <c r="F318" s="381"/>
      <c r="G318" s="381"/>
      <c r="H318" s="381"/>
      <c r="I318" s="382"/>
      <c r="J318" s="381" t="s">
        <v>315</v>
      </c>
      <c r="K318" s="245"/>
      <c r="L318" s="257"/>
      <c r="M318" s="591" t="s">
        <v>271</v>
      </c>
      <c r="N318" s="592"/>
      <c r="O318" s="179"/>
      <c r="P318" s="180"/>
      <c r="Q318" s="180">
        <v>17421471</v>
      </c>
      <c r="R318" s="181">
        <f t="shared" si="100"/>
        <v>22.348550714310079</v>
      </c>
      <c r="S318" s="181">
        <v>100</v>
      </c>
      <c r="T318" s="180">
        <f t="shared" si="91"/>
        <v>0</v>
      </c>
      <c r="U318" s="180">
        <f t="shared" si="97"/>
        <v>0</v>
      </c>
      <c r="V318" s="182">
        <f t="shared" si="95"/>
        <v>100</v>
      </c>
      <c r="W318" s="180"/>
      <c r="X318" s="180"/>
      <c r="Y318" s="180"/>
      <c r="Z318" s="180"/>
      <c r="AA318" s="180"/>
      <c r="AB318" s="180"/>
      <c r="AC318" s="180"/>
      <c r="AD318" s="180"/>
      <c r="AE318" s="180"/>
      <c r="AF318" s="180"/>
      <c r="AG318" s="180"/>
      <c r="AH318" s="180"/>
      <c r="AI318" s="180">
        <v>0</v>
      </c>
      <c r="AJ318" s="181">
        <f t="shared" si="92"/>
        <v>0</v>
      </c>
      <c r="AK318" s="180">
        <f t="shared" si="99"/>
        <v>17421471</v>
      </c>
      <c r="AL318" s="181">
        <f t="shared" si="93"/>
        <v>100</v>
      </c>
      <c r="AM318" s="243"/>
    </row>
    <row r="319" spans="1:39" ht="28.5" customHeight="1" x14ac:dyDescent="0.25">
      <c r="A319" s="243"/>
      <c r="B319" s="381"/>
      <c r="C319" s="381"/>
      <c r="D319" s="381"/>
      <c r="E319" s="381"/>
      <c r="F319" s="381"/>
      <c r="G319" s="381"/>
      <c r="H319" s="381"/>
      <c r="I319" s="382"/>
      <c r="J319" s="381" t="s">
        <v>318</v>
      </c>
      <c r="K319" s="245"/>
      <c r="L319" s="257"/>
      <c r="M319" s="591" t="s">
        <v>281</v>
      </c>
      <c r="N319" s="592"/>
      <c r="O319" s="179"/>
      <c r="P319" s="180"/>
      <c r="Q319" s="180">
        <v>2250000</v>
      </c>
      <c r="R319" s="181">
        <f t="shared" si="100"/>
        <v>2.8863371587392175</v>
      </c>
      <c r="S319" s="181">
        <v>100</v>
      </c>
      <c r="T319" s="180">
        <f t="shared" si="91"/>
        <v>0</v>
      </c>
      <c r="U319" s="180">
        <f t="shared" si="97"/>
        <v>0</v>
      </c>
      <c r="V319" s="182">
        <f t="shared" si="95"/>
        <v>100</v>
      </c>
      <c r="W319" s="180"/>
      <c r="X319" s="180"/>
      <c r="Y319" s="180"/>
      <c r="Z319" s="180"/>
      <c r="AA319" s="180"/>
      <c r="AB319" s="180"/>
      <c r="AC319" s="180"/>
      <c r="AD319" s="180"/>
      <c r="AE319" s="180"/>
      <c r="AF319" s="180"/>
      <c r="AG319" s="180"/>
      <c r="AH319" s="180"/>
      <c r="AI319" s="180">
        <v>0</v>
      </c>
      <c r="AJ319" s="181">
        <f t="shared" si="92"/>
        <v>0</v>
      </c>
      <c r="AK319" s="180">
        <f t="shared" si="99"/>
        <v>2250000</v>
      </c>
      <c r="AL319" s="181">
        <f t="shared" si="93"/>
        <v>100</v>
      </c>
      <c r="AM319" s="243"/>
    </row>
    <row r="320" spans="1:39" ht="28.5" customHeight="1" x14ac:dyDescent="0.25">
      <c r="A320" s="243"/>
      <c r="B320" s="381"/>
      <c r="C320" s="381"/>
      <c r="D320" s="381"/>
      <c r="E320" s="381"/>
      <c r="F320" s="381"/>
      <c r="G320" s="381"/>
      <c r="H320" s="381"/>
      <c r="I320" s="382"/>
      <c r="J320" s="381" t="s">
        <v>284</v>
      </c>
      <c r="K320" s="245"/>
      <c r="L320" s="257"/>
      <c r="M320" s="591" t="s">
        <v>285</v>
      </c>
      <c r="N320" s="592"/>
      <c r="O320" s="179"/>
      <c r="P320" s="180"/>
      <c r="Q320" s="180">
        <v>2640000</v>
      </c>
      <c r="R320" s="181">
        <f t="shared" si="100"/>
        <v>3.3866355995873487</v>
      </c>
      <c r="S320" s="181">
        <v>100</v>
      </c>
      <c r="T320" s="180">
        <f t="shared" si="91"/>
        <v>0</v>
      </c>
      <c r="U320" s="180">
        <f t="shared" si="97"/>
        <v>0</v>
      </c>
      <c r="V320" s="182">
        <f t="shared" si="95"/>
        <v>100</v>
      </c>
      <c r="W320" s="180"/>
      <c r="X320" s="180"/>
      <c r="Y320" s="180"/>
      <c r="Z320" s="180"/>
      <c r="AA320" s="180"/>
      <c r="AB320" s="180"/>
      <c r="AC320" s="180"/>
      <c r="AD320" s="180"/>
      <c r="AE320" s="180"/>
      <c r="AF320" s="180"/>
      <c r="AG320" s="180"/>
      <c r="AH320" s="180"/>
      <c r="AI320" s="180">
        <v>0</v>
      </c>
      <c r="AJ320" s="181">
        <f t="shared" si="92"/>
        <v>0</v>
      </c>
      <c r="AK320" s="180">
        <f t="shared" si="99"/>
        <v>2640000</v>
      </c>
      <c r="AL320" s="181">
        <f t="shared" si="93"/>
        <v>100</v>
      </c>
      <c r="AM320" s="243"/>
    </row>
    <row r="321" spans="1:39" ht="28.5" customHeight="1" x14ac:dyDescent="0.25">
      <c r="A321" s="243"/>
      <c r="B321" s="381"/>
      <c r="C321" s="381"/>
      <c r="D321" s="381"/>
      <c r="E321" s="381"/>
      <c r="F321" s="381"/>
      <c r="G321" s="381"/>
      <c r="H321" s="381"/>
      <c r="I321" s="382"/>
      <c r="J321" s="381" t="s">
        <v>282</v>
      </c>
      <c r="K321" s="245"/>
      <c r="L321" s="257"/>
      <c r="M321" s="591" t="s">
        <v>283</v>
      </c>
      <c r="N321" s="592"/>
      <c r="O321" s="179"/>
      <c r="P321" s="180"/>
      <c r="Q321" s="180">
        <v>11250000</v>
      </c>
      <c r="R321" s="181">
        <f t="shared" si="100"/>
        <v>14.431685793696088</v>
      </c>
      <c r="S321" s="181">
        <v>100</v>
      </c>
      <c r="T321" s="180">
        <f t="shared" si="91"/>
        <v>0</v>
      </c>
      <c r="U321" s="180">
        <f t="shared" si="97"/>
        <v>0</v>
      </c>
      <c r="V321" s="182">
        <f t="shared" si="95"/>
        <v>100</v>
      </c>
      <c r="W321" s="180"/>
      <c r="X321" s="180"/>
      <c r="Y321" s="180"/>
      <c r="Z321" s="180"/>
      <c r="AA321" s="180"/>
      <c r="AB321" s="180"/>
      <c r="AC321" s="180"/>
      <c r="AD321" s="180"/>
      <c r="AE321" s="180"/>
      <c r="AF321" s="180"/>
      <c r="AG321" s="180"/>
      <c r="AH321" s="180"/>
      <c r="AI321" s="180">
        <v>0</v>
      </c>
      <c r="AJ321" s="181">
        <f t="shared" si="92"/>
        <v>0</v>
      </c>
      <c r="AK321" s="180">
        <f t="shared" si="99"/>
        <v>11250000</v>
      </c>
      <c r="AL321" s="181">
        <f t="shared" si="93"/>
        <v>100</v>
      </c>
      <c r="AM321" s="243"/>
    </row>
    <row r="322" spans="1:39" s="297" customFormat="1" ht="47.25" customHeight="1" x14ac:dyDescent="0.25">
      <c r="A322" s="227">
        <f>A314+1</f>
        <v>43</v>
      </c>
      <c r="B322" s="615" t="s">
        <v>151</v>
      </c>
      <c r="C322" s="615"/>
      <c r="D322" s="615"/>
      <c r="E322" s="615"/>
      <c r="F322" s="615"/>
      <c r="G322" s="615"/>
      <c r="H322" s="615"/>
      <c r="I322" s="614"/>
      <c r="J322" s="304" t="s">
        <v>487</v>
      </c>
      <c r="K322" s="230"/>
      <c r="L322" s="294"/>
      <c r="M322" s="610" t="s">
        <v>46</v>
      </c>
      <c r="N322" s="610"/>
      <c r="O322" s="309">
        <v>66400000</v>
      </c>
      <c r="P322" s="231">
        <f>O322</f>
        <v>66400000</v>
      </c>
      <c r="Q322" s="231">
        <f>SUM(Q323:Q328)</f>
        <v>38384665</v>
      </c>
      <c r="R322" s="233">
        <f>Q322/Q$245*100</f>
        <v>0.32180721540889506</v>
      </c>
      <c r="S322" s="233">
        <v>100</v>
      </c>
      <c r="T322" s="231">
        <f t="shared" si="91"/>
        <v>0</v>
      </c>
      <c r="U322" s="231">
        <f t="shared" si="97"/>
        <v>0</v>
      </c>
      <c r="V322" s="296">
        <f t="shared" si="95"/>
        <v>100</v>
      </c>
      <c r="W322" s="231"/>
      <c r="X322" s="231" t="e">
        <f>#REF!</f>
        <v>#REF!</v>
      </c>
      <c r="Y322" s="231" t="e">
        <f>#REF!</f>
        <v>#REF!</v>
      </c>
      <c r="Z322" s="231" t="e">
        <f>#REF!</f>
        <v>#REF!</v>
      </c>
      <c r="AA322" s="231" t="e">
        <f>#REF!</f>
        <v>#REF!</v>
      </c>
      <c r="AB322" s="231">
        <v>323021990</v>
      </c>
      <c r="AC322" s="231" t="e">
        <f>#REF!</f>
        <v>#REF!</v>
      </c>
      <c r="AD322" s="231" t="e">
        <f>#REF!</f>
        <v>#REF!</v>
      </c>
      <c r="AE322" s="231" t="e">
        <f>#REF!</f>
        <v>#REF!</v>
      </c>
      <c r="AF322" s="231" t="e">
        <f>[1]April!N62</f>
        <v>#REF!</v>
      </c>
      <c r="AG322" s="231" t="e">
        <f>[2]april!N62</f>
        <v>#REF!</v>
      </c>
      <c r="AH322" s="231">
        <f>'[3]DES SKPD'!$N62</f>
        <v>58437000</v>
      </c>
      <c r="AI322" s="231">
        <f>SUM(AI323:AI328)</f>
        <v>0</v>
      </c>
      <c r="AJ322" s="233">
        <f t="shared" si="92"/>
        <v>0</v>
      </c>
      <c r="AK322" s="231">
        <f t="shared" si="99"/>
        <v>38384665</v>
      </c>
      <c r="AL322" s="233">
        <f t="shared" si="93"/>
        <v>100</v>
      </c>
      <c r="AM322" s="227"/>
    </row>
    <row r="323" spans="1:39" ht="28.5" customHeight="1" x14ac:dyDescent="0.25">
      <c r="A323" s="243"/>
      <c r="B323" s="381"/>
      <c r="C323" s="381"/>
      <c r="D323" s="381"/>
      <c r="E323" s="381"/>
      <c r="F323" s="381"/>
      <c r="G323" s="381"/>
      <c r="H323" s="381"/>
      <c r="I323" s="382"/>
      <c r="J323" s="381" t="s">
        <v>326</v>
      </c>
      <c r="K323" s="245"/>
      <c r="L323" s="257"/>
      <c r="M323" s="591" t="s">
        <v>327</v>
      </c>
      <c r="N323" s="592"/>
      <c r="O323" s="179"/>
      <c r="P323" s="180"/>
      <c r="Q323" s="180">
        <v>16750000</v>
      </c>
      <c r="R323" s="181">
        <f t="shared" ref="R323:R328" si="101">Q323/Q$322*100</f>
        <v>43.637218144277142</v>
      </c>
      <c r="S323" s="181">
        <v>100</v>
      </c>
      <c r="T323" s="180">
        <f t="shared" si="91"/>
        <v>0</v>
      </c>
      <c r="U323" s="180">
        <f t="shared" si="97"/>
        <v>0</v>
      </c>
      <c r="V323" s="182">
        <f t="shared" si="95"/>
        <v>100</v>
      </c>
      <c r="W323" s="180"/>
      <c r="X323" s="180"/>
      <c r="Y323" s="180"/>
      <c r="Z323" s="180"/>
      <c r="AA323" s="180"/>
      <c r="AB323" s="180"/>
      <c r="AC323" s="180"/>
      <c r="AD323" s="180"/>
      <c r="AE323" s="180"/>
      <c r="AF323" s="180"/>
      <c r="AG323" s="180"/>
      <c r="AH323" s="180"/>
      <c r="AI323" s="180">
        <v>0</v>
      </c>
      <c r="AJ323" s="181">
        <f t="shared" si="92"/>
        <v>0</v>
      </c>
      <c r="AK323" s="180">
        <f t="shared" si="99"/>
        <v>16750000</v>
      </c>
      <c r="AL323" s="181">
        <f t="shared" si="93"/>
        <v>100</v>
      </c>
      <c r="AM323" s="243"/>
    </row>
    <row r="324" spans="1:39" ht="28.5" customHeight="1" x14ac:dyDescent="0.25">
      <c r="A324" s="243"/>
      <c r="B324" s="381"/>
      <c r="C324" s="381"/>
      <c r="D324" s="381"/>
      <c r="E324" s="381"/>
      <c r="F324" s="381"/>
      <c r="G324" s="381"/>
      <c r="H324" s="381"/>
      <c r="I324" s="382"/>
      <c r="J324" s="381" t="s">
        <v>323</v>
      </c>
      <c r="K324" s="245"/>
      <c r="L324" s="257"/>
      <c r="M324" s="591" t="s">
        <v>324</v>
      </c>
      <c r="N324" s="592"/>
      <c r="O324" s="179"/>
      <c r="P324" s="180"/>
      <c r="Q324" s="180">
        <v>5934000</v>
      </c>
      <c r="R324" s="181">
        <f t="shared" si="101"/>
        <v>15.459298654814363</v>
      </c>
      <c r="S324" s="181">
        <v>100</v>
      </c>
      <c r="T324" s="180">
        <f t="shared" si="91"/>
        <v>0</v>
      </c>
      <c r="U324" s="180">
        <f t="shared" si="97"/>
        <v>0</v>
      </c>
      <c r="V324" s="182">
        <f t="shared" si="95"/>
        <v>100</v>
      </c>
      <c r="W324" s="180"/>
      <c r="X324" s="180"/>
      <c r="Y324" s="180"/>
      <c r="Z324" s="180"/>
      <c r="AA324" s="180"/>
      <c r="AB324" s="180"/>
      <c r="AC324" s="180"/>
      <c r="AD324" s="180"/>
      <c r="AE324" s="180"/>
      <c r="AF324" s="180"/>
      <c r="AG324" s="180"/>
      <c r="AH324" s="180"/>
      <c r="AI324" s="180">
        <v>0</v>
      </c>
      <c r="AJ324" s="181">
        <f t="shared" si="92"/>
        <v>0</v>
      </c>
      <c r="AK324" s="180">
        <f t="shared" si="99"/>
        <v>5934000</v>
      </c>
      <c r="AL324" s="181">
        <f t="shared" si="93"/>
        <v>100</v>
      </c>
      <c r="AM324" s="243"/>
    </row>
    <row r="325" spans="1:39" ht="28.5" customHeight="1" x14ac:dyDescent="0.25">
      <c r="A325" s="243"/>
      <c r="B325" s="381"/>
      <c r="C325" s="381"/>
      <c r="D325" s="381"/>
      <c r="E325" s="381"/>
      <c r="F325" s="381"/>
      <c r="G325" s="381"/>
      <c r="H325" s="381"/>
      <c r="I325" s="382"/>
      <c r="J325" s="381" t="s">
        <v>269</v>
      </c>
      <c r="K325" s="245"/>
      <c r="L325" s="257"/>
      <c r="M325" s="591" t="s">
        <v>270</v>
      </c>
      <c r="N325" s="592"/>
      <c r="O325" s="179"/>
      <c r="P325" s="180"/>
      <c r="Q325" s="180">
        <v>4000000</v>
      </c>
      <c r="R325" s="181">
        <f t="shared" si="101"/>
        <v>10.420828213558723</v>
      </c>
      <c r="S325" s="181">
        <v>100</v>
      </c>
      <c r="T325" s="180">
        <f t="shared" si="91"/>
        <v>0</v>
      </c>
      <c r="U325" s="180">
        <f t="shared" si="97"/>
        <v>0</v>
      </c>
      <c r="V325" s="182">
        <f t="shared" si="95"/>
        <v>100</v>
      </c>
      <c r="W325" s="180"/>
      <c r="X325" s="180"/>
      <c r="Y325" s="180"/>
      <c r="Z325" s="180"/>
      <c r="AA325" s="180"/>
      <c r="AB325" s="180"/>
      <c r="AC325" s="180"/>
      <c r="AD325" s="180"/>
      <c r="AE325" s="180"/>
      <c r="AF325" s="180"/>
      <c r="AG325" s="180"/>
      <c r="AH325" s="180"/>
      <c r="AI325" s="180">
        <v>0</v>
      </c>
      <c r="AJ325" s="181">
        <f t="shared" si="92"/>
        <v>0</v>
      </c>
      <c r="AK325" s="180">
        <f t="shared" si="99"/>
        <v>4000000</v>
      </c>
      <c r="AL325" s="181">
        <f t="shared" si="93"/>
        <v>100</v>
      </c>
      <c r="AM325" s="243"/>
    </row>
    <row r="326" spans="1:39" ht="28.5" customHeight="1" x14ac:dyDescent="0.25">
      <c r="A326" s="243"/>
      <c r="B326" s="381"/>
      <c r="C326" s="381"/>
      <c r="D326" s="381"/>
      <c r="E326" s="381"/>
      <c r="F326" s="381"/>
      <c r="G326" s="381"/>
      <c r="H326" s="381"/>
      <c r="I326" s="382"/>
      <c r="J326" s="381" t="s">
        <v>315</v>
      </c>
      <c r="K326" s="245"/>
      <c r="L326" s="257"/>
      <c r="M326" s="591" t="s">
        <v>271</v>
      </c>
      <c r="N326" s="592"/>
      <c r="O326" s="179"/>
      <c r="P326" s="180"/>
      <c r="Q326" s="180">
        <v>6000000</v>
      </c>
      <c r="R326" s="181">
        <f t="shared" si="101"/>
        <v>15.631242320338082</v>
      </c>
      <c r="S326" s="181">
        <v>100</v>
      </c>
      <c r="T326" s="180">
        <f t="shared" si="91"/>
        <v>0</v>
      </c>
      <c r="U326" s="180">
        <f t="shared" si="97"/>
        <v>0</v>
      </c>
      <c r="V326" s="182">
        <f t="shared" si="95"/>
        <v>100</v>
      </c>
      <c r="W326" s="180"/>
      <c r="X326" s="180"/>
      <c r="Y326" s="180"/>
      <c r="Z326" s="180"/>
      <c r="AA326" s="180"/>
      <c r="AB326" s="180"/>
      <c r="AC326" s="180"/>
      <c r="AD326" s="180"/>
      <c r="AE326" s="180"/>
      <c r="AF326" s="180"/>
      <c r="AG326" s="180"/>
      <c r="AH326" s="180"/>
      <c r="AI326" s="180">
        <v>0</v>
      </c>
      <c r="AJ326" s="181">
        <f t="shared" si="92"/>
        <v>0</v>
      </c>
      <c r="AK326" s="180">
        <f t="shared" si="99"/>
        <v>6000000</v>
      </c>
      <c r="AL326" s="181">
        <f t="shared" si="93"/>
        <v>100</v>
      </c>
      <c r="AM326" s="243"/>
    </row>
    <row r="327" spans="1:39" ht="28.5" customHeight="1" x14ac:dyDescent="0.25">
      <c r="A327" s="243"/>
      <c r="B327" s="381"/>
      <c r="C327" s="381"/>
      <c r="D327" s="381"/>
      <c r="E327" s="381"/>
      <c r="F327" s="381"/>
      <c r="G327" s="381"/>
      <c r="H327" s="381"/>
      <c r="I327" s="382"/>
      <c r="J327" s="381" t="s">
        <v>339</v>
      </c>
      <c r="K327" s="245"/>
      <c r="L327" s="257"/>
      <c r="M327" s="591" t="s">
        <v>340</v>
      </c>
      <c r="N327" s="592"/>
      <c r="O327" s="179"/>
      <c r="P327" s="180"/>
      <c r="Q327" s="180">
        <v>1500000</v>
      </c>
      <c r="R327" s="181">
        <f t="shared" si="101"/>
        <v>3.9078105800845204</v>
      </c>
      <c r="S327" s="181">
        <v>100</v>
      </c>
      <c r="T327" s="180">
        <f t="shared" si="91"/>
        <v>0</v>
      </c>
      <c r="U327" s="180">
        <f t="shared" si="97"/>
        <v>0</v>
      </c>
      <c r="V327" s="182">
        <f t="shared" si="95"/>
        <v>100</v>
      </c>
      <c r="W327" s="180"/>
      <c r="X327" s="180"/>
      <c r="Y327" s="180"/>
      <c r="Z327" s="180"/>
      <c r="AA327" s="180"/>
      <c r="AB327" s="180"/>
      <c r="AC327" s="180"/>
      <c r="AD327" s="180"/>
      <c r="AE327" s="180"/>
      <c r="AF327" s="180"/>
      <c r="AG327" s="180"/>
      <c r="AH327" s="180"/>
      <c r="AI327" s="180">
        <v>0</v>
      </c>
      <c r="AJ327" s="181">
        <f t="shared" si="92"/>
        <v>0</v>
      </c>
      <c r="AK327" s="180">
        <f t="shared" si="99"/>
        <v>1500000</v>
      </c>
      <c r="AL327" s="181">
        <f t="shared" si="93"/>
        <v>100</v>
      </c>
      <c r="AM327" s="243"/>
    </row>
    <row r="328" spans="1:39" ht="28.5" customHeight="1" x14ac:dyDescent="0.25">
      <c r="A328" s="243"/>
      <c r="B328" s="381"/>
      <c r="C328" s="381"/>
      <c r="D328" s="381"/>
      <c r="E328" s="381"/>
      <c r="F328" s="381"/>
      <c r="G328" s="381"/>
      <c r="H328" s="381"/>
      <c r="I328" s="382"/>
      <c r="J328" s="381" t="s">
        <v>282</v>
      </c>
      <c r="K328" s="245"/>
      <c r="L328" s="257"/>
      <c r="M328" s="591" t="s">
        <v>590</v>
      </c>
      <c r="N328" s="592"/>
      <c r="O328" s="179"/>
      <c r="P328" s="180"/>
      <c r="Q328" s="180">
        <v>4200665</v>
      </c>
      <c r="R328" s="181">
        <f t="shared" si="101"/>
        <v>10.943602086927163</v>
      </c>
      <c r="S328" s="181">
        <v>100</v>
      </c>
      <c r="T328" s="180">
        <f t="shared" si="91"/>
        <v>0</v>
      </c>
      <c r="U328" s="180">
        <f t="shared" si="97"/>
        <v>0</v>
      </c>
      <c r="V328" s="182">
        <f t="shared" si="95"/>
        <v>100</v>
      </c>
      <c r="W328" s="180"/>
      <c r="X328" s="180"/>
      <c r="Y328" s="180"/>
      <c r="Z328" s="180"/>
      <c r="AA328" s="180"/>
      <c r="AB328" s="180"/>
      <c r="AC328" s="180"/>
      <c r="AD328" s="180"/>
      <c r="AE328" s="180"/>
      <c r="AF328" s="180"/>
      <c r="AG328" s="180"/>
      <c r="AH328" s="180"/>
      <c r="AI328" s="180">
        <v>0</v>
      </c>
      <c r="AJ328" s="181">
        <f t="shared" si="92"/>
        <v>0</v>
      </c>
      <c r="AK328" s="180">
        <f t="shared" si="99"/>
        <v>4200665</v>
      </c>
      <c r="AL328" s="181">
        <f t="shared" si="93"/>
        <v>100</v>
      </c>
      <c r="AM328" s="243"/>
    </row>
    <row r="329" spans="1:39" s="311" customFormat="1" ht="27.75" customHeight="1" x14ac:dyDescent="0.25">
      <c r="A329" s="227">
        <f>SUM(A322+1)</f>
        <v>44</v>
      </c>
      <c r="B329" s="393"/>
      <c r="C329" s="393"/>
      <c r="D329" s="393"/>
      <c r="E329" s="393"/>
      <c r="F329" s="393"/>
      <c r="G329" s="393"/>
      <c r="H329" s="393"/>
      <c r="I329" s="394"/>
      <c r="J329" s="304" t="s">
        <v>488</v>
      </c>
      <c r="K329" s="230"/>
      <c r="L329" s="294"/>
      <c r="M329" s="609" t="s">
        <v>198</v>
      </c>
      <c r="N329" s="614"/>
      <c r="O329" s="310"/>
      <c r="P329" s="231"/>
      <c r="Q329" s="231">
        <f>SUM(Q330:Q335)</f>
        <v>139532300</v>
      </c>
      <c r="R329" s="233">
        <f>Q329/Q$245*100</f>
        <v>1.1698031211839044</v>
      </c>
      <c r="S329" s="233">
        <v>100</v>
      </c>
      <c r="T329" s="231">
        <f t="shared" si="91"/>
        <v>0</v>
      </c>
      <c r="U329" s="231">
        <f t="shared" si="97"/>
        <v>0</v>
      </c>
      <c r="V329" s="296">
        <f t="shared" si="95"/>
        <v>100</v>
      </c>
      <c r="W329" s="231"/>
      <c r="X329" s="231" t="e">
        <f>#REF!</f>
        <v>#REF!</v>
      </c>
      <c r="Y329" s="231" t="e">
        <f>#REF!</f>
        <v>#REF!</v>
      </c>
      <c r="Z329" s="231" t="e">
        <f>#REF!</f>
        <v>#REF!</v>
      </c>
      <c r="AA329" s="231" t="e">
        <f>#REF!</f>
        <v>#REF!</v>
      </c>
      <c r="AB329" s="231">
        <v>323021990</v>
      </c>
      <c r="AC329" s="231" t="e">
        <f>#REF!</f>
        <v>#REF!</v>
      </c>
      <c r="AD329" s="231" t="e">
        <f>#REF!</f>
        <v>#REF!</v>
      </c>
      <c r="AE329" s="231" t="e">
        <f>#REF!</f>
        <v>#REF!</v>
      </c>
      <c r="AF329" s="231" t="e">
        <f>[1]April!N63</f>
        <v>#REF!</v>
      </c>
      <c r="AG329" s="231" t="e">
        <f>[2]april!N63</f>
        <v>#REF!</v>
      </c>
      <c r="AH329" s="231">
        <f>'[3]DES SKPD'!$N63</f>
        <v>174573000</v>
      </c>
      <c r="AI329" s="231">
        <f>SUM(AI330:AI335)</f>
        <v>0</v>
      </c>
      <c r="AJ329" s="233">
        <f t="shared" si="92"/>
        <v>0</v>
      </c>
      <c r="AK329" s="231">
        <f t="shared" si="99"/>
        <v>139532300</v>
      </c>
      <c r="AL329" s="233">
        <f t="shared" si="93"/>
        <v>100</v>
      </c>
      <c r="AM329" s="227"/>
    </row>
    <row r="330" spans="1:39" ht="27.75" customHeight="1" x14ac:dyDescent="0.25">
      <c r="A330" s="243"/>
      <c r="B330" s="381"/>
      <c r="C330" s="381"/>
      <c r="D330" s="381"/>
      <c r="E330" s="381"/>
      <c r="F330" s="381"/>
      <c r="G330" s="381"/>
      <c r="H330" s="381"/>
      <c r="I330" s="382"/>
      <c r="J330" s="381" t="s">
        <v>257</v>
      </c>
      <c r="K330" s="245"/>
      <c r="L330" s="257"/>
      <c r="M330" s="591" t="s">
        <v>428</v>
      </c>
      <c r="N330" s="592"/>
      <c r="O330" s="179"/>
      <c r="P330" s="180"/>
      <c r="Q330" s="180">
        <v>2000000</v>
      </c>
      <c r="R330" s="181">
        <f t="shared" ref="R330:R335" si="102">Q330/Q$329*100</f>
        <v>1.4333598743803406</v>
      </c>
      <c r="S330" s="181">
        <v>100</v>
      </c>
      <c r="T330" s="180">
        <f t="shared" si="91"/>
        <v>0</v>
      </c>
      <c r="U330" s="180">
        <f t="shared" si="97"/>
        <v>0</v>
      </c>
      <c r="V330" s="182">
        <f t="shared" si="95"/>
        <v>100</v>
      </c>
      <c r="W330" s="180"/>
      <c r="X330" s="180"/>
      <c r="Y330" s="180"/>
      <c r="Z330" s="180"/>
      <c r="AA330" s="180"/>
      <c r="AB330" s="180"/>
      <c r="AC330" s="180"/>
      <c r="AD330" s="180"/>
      <c r="AE330" s="180"/>
      <c r="AF330" s="180"/>
      <c r="AG330" s="180"/>
      <c r="AH330" s="180"/>
      <c r="AI330" s="180">
        <v>0</v>
      </c>
      <c r="AJ330" s="181">
        <f t="shared" si="92"/>
        <v>0</v>
      </c>
      <c r="AK330" s="180">
        <f t="shared" si="99"/>
        <v>2000000</v>
      </c>
      <c r="AL330" s="181">
        <f t="shared" si="93"/>
        <v>100</v>
      </c>
      <c r="AM330" s="243"/>
    </row>
    <row r="331" spans="1:39" ht="27.75" customHeight="1" x14ac:dyDescent="0.25">
      <c r="A331" s="243"/>
      <c r="B331" s="381"/>
      <c r="C331" s="381"/>
      <c r="D331" s="381"/>
      <c r="E331" s="381"/>
      <c r="F331" s="381"/>
      <c r="G331" s="381"/>
      <c r="H331" s="381"/>
      <c r="I331" s="382"/>
      <c r="J331" s="381" t="s">
        <v>259</v>
      </c>
      <c r="K331" s="245"/>
      <c r="L331" s="257"/>
      <c r="M331" s="591" t="s">
        <v>340</v>
      </c>
      <c r="N331" s="592"/>
      <c r="O331" s="179"/>
      <c r="P331" s="180"/>
      <c r="Q331" s="180">
        <v>7500000</v>
      </c>
      <c r="R331" s="181">
        <f t="shared" si="102"/>
        <v>5.3750995289262775</v>
      </c>
      <c r="S331" s="181">
        <v>100</v>
      </c>
      <c r="T331" s="180">
        <f t="shared" si="91"/>
        <v>0</v>
      </c>
      <c r="U331" s="180">
        <f t="shared" si="97"/>
        <v>0</v>
      </c>
      <c r="V331" s="182">
        <f t="shared" si="95"/>
        <v>100</v>
      </c>
      <c r="W331" s="180"/>
      <c r="X331" s="180"/>
      <c r="Y331" s="180"/>
      <c r="Z331" s="180"/>
      <c r="AA331" s="180"/>
      <c r="AB331" s="180"/>
      <c r="AC331" s="180"/>
      <c r="AD331" s="180"/>
      <c r="AE331" s="180"/>
      <c r="AF331" s="180"/>
      <c r="AG331" s="180"/>
      <c r="AH331" s="180"/>
      <c r="AI331" s="180">
        <v>0</v>
      </c>
      <c r="AJ331" s="181">
        <f t="shared" si="92"/>
        <v>0</v>
      </c>
      <c r="AK331" s="180">
        <f t="shared" si="99"/>
        <v>7500000</v>
      </c>
      <c r="AL331" s="181">
        <f t="shared" si="93"/>
        <v>100</v>
      </c>
      <c r="AM331" s="243"/>
    </row>
    <row r="332" spans="1:39" ht="27.75" customHeight="1" x14ac:dyDescent="0.25">
      <c r="A332" s="243"/>
      <c r="B332" s="381"/>
      <c r="C332" s="381"/>
      <c r="D332" s="381"/>
      <c r="E332" s="381"/>
      <c r="F332" s="381"/>
      <c r="G332" s="381"/>
      <c r="H332" s="381"/>
      <c r="I332" s="382"/>
      <c r="J332" s="381" t="s">
        <v>323</v>
      </c>
      <c r="K332" s="245"/>
      <c r="L332" s="257"/>
      <c r="M332" s="591" t="s">
        <v>605</v>
      </c>
      <c r="N332" s="592"/>
      <c r="O332" s="179"/>
      <c r="P332" s="180"/>
      <c r="Q332" s="180">
        <v>24232300</v>
      </c>
      <c r="R332" s="181">
        <f t="shared" si="102"/>
        <v>17.366803241973365</v>
      </c>
      <c r="S332" s="181">
        <v>100</v>
      </c>
      <c r="T332" s="180">
        <f t="shared" si="91"/>
        <v>0</v>
      </c>
      <c r="U332" s="180">
        <f t="shared" si="97"/>
        <v>0</v>
      </c>
      <c r="V332" s="182">
        <f t="shared" si="95"/>
        <v>100</v>
      </c>
      <c r="W332" s="180"/>
      <c r="X332" s="180"/>
      <c r="Y332" s="180"/>
      <c r="Z332" s="180"/>
      <c r="AA332" s="180"/>
      <c r="AB332" s="180"/>
      <c r="AC332" s="180"/>
      <c r="AD332" s="180"/>
      <c r="AE332" s="180"/>
      <c r="AF332" s="180"/>
      <c r="AG332" s="180"/>
      <c r="AH332" s="180"/>
      <c r="AI332" s="180">
        <v>0</v>
      </c>
      <c r="AJ332" s="181">
        <f t="shared" si="92"/>
        <v>0</v>
      </c>
      <c r="AK332" s="180">
        <f t="shared" si="99"/>
        <v>24232300</v>
      </c>
      <c r="AL332" s="181">
        <f t="shared" si="93"/>
        <v>100</v>
      </c>
      <c r="AM332" s="243"/>
    </row>
    <row r="333" spans="1:39" ht="27.75" customHeight="1" x14ac:dyDescent="0.25">
      <c r="A333" s="243"/>
      <c r="B333" s="381"/>
      <c r="C333" s="381"/>
      <c r="D333" s="381"/>
      <c r="E333" s="381"/>
      <c r="F333" s="381"/>
      <c r="G333" s="381"/>
      <c r="H333" s="381"/>
      <c r="I333" s="382"/>
      <c r="J333" s="381" t="s">
        <v>315</v>
      </c>
      <c r="K333" s="245"/>
      <c r="L333" s="257"/>
      <c r="M333" s="591" t="s">
        <v>321</v>
      </c>
      <c r="N333" s="592"/>
      <c r="O333" s="179"/>
      <c r="P333" s="180"/>
      <c r="Q333" s="180">
        <v>3800000</v>
      </c>
      <c r="R333" s="181">
        <f t="shared" si="102"/>
        <v>2.7233837613226468</v>
      </c>
      <c r="S333" s="181">
        <v>100</v>
      </c>
      <c r="T333" s="180">
        <f t="shared" si="91"/>
        <v>0</v>
      </c>
      <c r="U333" s="180">
        <f t="shared" si="97"/>
        <v>0</v>
      </c>
      <c r="V333" s="182">
        <f t="shared" si="95"/>
        <v>100</v>
      </c>
      <c r="W333" s="180"/>
      <c r="X333" s="180"/>
      <c r="Y333" s="180"/>
      <c r="Z333" s="180"/>
      <c r="AA333" s="180"/>
      <c r="AB333" s="180"/>
      <c r="AC333" s="180"/>
      <c r="AD333" s="180"/>
      <c r="AE333" s="180"/>
      <c r="AF333" s="180"/>
      <c r="AG333" s="180"/>
      <c r="AH333" s="180"/>
      <c r="AI333" s="180">
        <v>0</v>
      </c>
      <c r="AJ333" s="181">
        <f t="shared" si="92"/>
        <v>0</v>
      </c>
      <c r="AK333" s="180">
        <f t="shared" si="99"/>
        <v>3800000</v>
      </c>
      <c r="AL333" s="181">
        <f t="shared" si="93"/>
        <v>100</v>
      </c>
      <c r="AM333" s="243"/>
    </row>
    <row r="334" spans="1:39" ht="27.75" customHeight="1" x14ac:dyDescent="0.25">
      <c r="A334" s="243"/>
      <c r="B334" s="381"/>
      <c r="C334" s="381"/>
      <c r="D334" s="381"/>
      <c r="E334" s="381"/>
      <c r="F334" s="381"/>
      <c r="G334" s="381"/>
      <c r="H334" s="381"/>
      <c r="I334" s="382"/>
      <c r="J334" s="381" t="s">
        <v>282</v>
      </c>
      <c r="K334" s="245"/>
      <c r="L334" s="257"/>
      <c r="M334" s="591" t="s">
        <v>606</v>
      </c>
      <c r="N334" s="592"/>
      <c r="O334" s="179"/>
      <c r="P334" s="180"/>
      <c r="Q334" s="180">
        <v>100000000</v>
      </c>
      <c r="R334" s="181">
        <f t="shared" si="102"/>
        <v>71.667993719017034</v>
      </c>
      <c r="S334" s="181">
        <v>100</v>
      </c>
      <c r="T334" s="180">
        <f t="shared" si="91"/>
        <v>0</v>
      </c>
      <c r="U334" s="180">
        <f t="shared" si="97"/>
        <v>0</v>
      </c>
      <c r="V334" s="182">
        <f t="shared" si="95"/>
        <v>100</v>
      </c>
      <c r="W334" s="180"/>
      <c r="X334" s="180"/>
      <c r="Y334" s="180"/>
      <c r="Z334" s="180"/>
      <c r="AA334" s="180"/>
      <c r="AB334" s="180"/>
      <c r="AC334" s="180"/>
      <c r="AD334" s="180"/>
      <c r="AE334" s="180"/>
      <c r="AF334" s="180"/>
      <c r="AG334" s="180"/>
      <c r="AH334" s="180"/>
      <c r="AI334" s="180">
        <v>0</v>
      </c>
      <c r="AJ334" s="181">
        <f t="shared" si="92"/>
        <v>0</v>
      </c>
      <c r="AK334" s="180">
        <f t="shared" si="99"/>
        <v>100000000</v>
      </c>
      <c r="AL334" s="181">
        <f t="shared" si="93"/>
        <v>100</v>
      </c>
      <c r="AM334" s="243"/>
    </row>
    <row r="335" spans="1:39" ht="27.75" customHeight="1" x14ac:dyDescent="0.25">
      <c r="A335" s="243"/>
      <c r="B335" s="381"/>
      <c r="C335" s="381"/>
      <c r="D335" s="381"/>
      <c r="E335" s="381"/>
      <c r="F335" s="381"/>
      <c r="G335" s="381"/>
      <c r="H335" s="381"/>
      <c r="I335" s="382"/>
      <c r="J335" s="381" t="s">
        <v>308</v>
      </c>
      <c r="K335" s="245"/>
      <c r="L335" s="257"/>
      <c r="M335" s="591" t="s">
        <v>607</v>
      </c>
      <c r="N335" s="592"/>
      <c r="O335" s="179"/>
      <c r="P335" s="180"/>
      <c r="Q335" s="180">
        <v>2000000</v>
      </c>
      <c r="R335" s="181">
        <f t="shared" si="102"/>
        <v>1.4333598743803406</v>
      </c>
      <c r="S335" s="181">
        <v>100</v>
      </c>
      <c r="T335" s="180">
        <f t="shared" si="91"/>
        <v>0</v>
      </c>
      <c r="U335" s="180">
        <f t="shared" si="97"/>
        <v>0</v>
      </c>
      <c r="V335" s="182">
        <f t="shared" si="95"/>
        <v>100</v>
      </c>
      <c r="W335" s="180"/>
      <c r="X335" s="180"/>
      <c r="Y335" s="180"/>
      <c r="Z335" s="180"/>
      <c r="AA335" s="180"/>
      <c r="AB335" s="180"/>
      <c r="AC335" s="180"/>
      <c r="AD335" s="180"/>
      <c r="AE335" s="180"/>
      <c r="AF335" s="180"/>
      <c r="AG335" s="180"/>
      <c r="AH335" s="180"/>
      <c r="AI335" s="180">
        <v>0</v>
      </c>
      <c r="AJ335" s="181">
        <f t="shared" si="92"/>
        <v>0</v>
      </c>
      <c r="AK335" s="180">
        <f t="shared" si="99"/>
        <v>2000000</v>
      </c>
      <c r="AL335" s="181">
        <f t="shared" si="93"/>
        <v>100</v>
      </c>
      <c r="AM335" s="243"/>
    </row>
    <row r="336" spans="1:39" s="297" customFormat="1" ht="36" customHeight="1" x14ac:dyDescent="0.25">
      <c r="A336" s="227">
        <f>SUM(A329+1)</f>
        <v>45</v>
      </c>
      <c r="B336" s="615" t="s">
        <v>152</v>
      </c>
      <c r="C336" s="615"/>
      <c r="D336" s="615"/>
      <c r="E336" s="615"/>
      <c r="F336" s="615"/>
      <c r="G336" s="615"/>
      <c r="H336" s="615"/>
      <c r="I336" s="614"/>
      <c r="J336" s="304" t="s">
        <v>489</v>
      </c>
      <c r="K336" s="230"/>
      <c r="L336" s="294"/>
      <c r="M336" s="610" t="s">
        <v>47</v>
      </c>
      <c r="N336" s="610"/>
      <c r="O336" s="309">
        <v>136000000</v>
      </c>
      <c r="P336" s="231">
        <f>O336</f>
        <v>136000000</v>
      </c>
      <c r="Q336" s="231">
        <f>SUM(Q337:Q346)</f>
        <v>341340000</v>
      </c>
      <c r="R336" s="233">
        <f>Q336/Q$245*100</f>
        <v>2.8617072705381759</v>
      </c>
      <c r="S336" s="233">
        <v>100</v>
      </c>
      <c r="T336" s="231">
        <f t="shared" si="91"/>
        <v>27.223483916329762</v>
      </c>
      <c r="U336" s="231">
        <f t="shared" si="97"/>
        <v>0.77905641852739971</v>
      </c>
      <c r="V336" s="296">
        <f t="shared" si="95"/>
        <v>72.776516083670231</v>
      </c>
      <c r="W336" s="231"/>
      <c r="X336" s="231" t="e">
        <f>#REF!</f>
        <v>#REF!</v>
      </c>
      <c r="Y336" s="231" t="e">
        <f>#REF!</f>
        <v>#REF!</v>
      </c>
      <c r="Z336" s="231" t="e">
        <f>#REF!</f>
        <v>#REF!</v>
      </c>
      <c r="AA336" s="231" t="e">
        <f>#REF!</f>
        <v>#REF!</v>
      </c>
      <c r="AB336" s="231">
        <v>88014000</v>
      </c>
      <c r="AC336" s="231" t="e">
        <f>#REF!</f>
        <v>#REF!</v>
      </c>
      <c r="AD336" s="231" t="e">
        <f>#REF!</f>
        <v>#REF!</v>
      </c>
      <c r="AE336" s="231" t="e">
        <f>#REF!</f>
        <v>#REF!</v>
      </c>
      <c r="AF336" s="231" t="e">
        <f>[1]April!N63</f>
        <v>#REF!</v>
      </c>
      <c r="AG336" s="231" t="e">
        <f>[2]april!N63</f>
        <v>#REF!</v>
      </c>
      <c r="AH336" s="231">
        <f>'[3]DES SKPD'!$N63</f>
        <v>174573000</v>
      </c>
      <c r="AI336" s="231">
        <f>SUM(AI337:AI346)</f>
        <v>92924640</v>
      </c>
      <c r="AJ336" s="233">
        <f t="shared" si="92"/>
        <v>27.223483916329762</v>
      </c>
      <c r="AK336" s="231">
        <f t="shared" si="99"/>
        <v>248415360</v>
      </c>
      <c r="AL336" s="233">
        <f t="shared" si="93"/>
        <v>72.776516083670245</v>
      </c>
      <c r="AM336" s="227"/>
    </row>
    <row r="337" spans="1:39" ht="29.25" customHeight="1" x14ac:dyDescent="0.25">
      <c r="A337" s="243"/>
      <c r="B337" s="381"/>
      <c r="C337" s="381"/>
      <c r="D337" s="381"/>
      <c r="E337" s="381"/>
      <c r="F337" s="381"/>
      <c r="G337" s="381"/>
      <c r="H337" s="381"/>
      <c r="I337" s="382"/>
      <c r="J337" s="381" t="s">
        <v>259</v>
      </c>
      <c r="K337" s="245"/>
      <c r="L337" s="257"/>
      <c r="M337" s="591" t="s">
        <v>260</v>
      </c>
      <c r="N337" s="592"/>
      <c r="O337" s="179"/>
      <c r="P337" s="180"/>
      <c r="Q337" s="180">
        <v>1600000</v>
      </c>
      <c r="R337" s="181">
        <f t="shared" ref="R337:R346" si="103">Q337/Q$336*100</f>
        <v>0.46874084490537299</v>
      </c>
      <c r="S337" s="181">
        <v>100</v>
      </c>
      <c r="T337" s="180">
        <f t="shared" si="91"/>
        <v>50</v>
      </c>
      <c r="U337" s="180">
        <f t="shared" si="97"/>
        <v>0.23437042245268649</v>
      </c>
      <c r="V337" s="182">
        <f t="shared" si="95"/>
        <v>50</v>
      </c>
      <c r="W337" s="180"/>
      <c r="X337" s="180"/>
      <c r="Y337" s="180"/>
      <c r="Z337" s="180"/>
      <c r="AA337" s="180"/>
      <c r="AB337" s="180"/>
      <c r="AC337" s="180"/>
      <c r="AD337" s="180"/>
      <c r="AE337" s="180"/>
      <c r="AF337" s="180"/>
      <c r="AG337" s="180"/>
      <c r="AH337" s="180"/>
      <c r="AI337" s="180">
        <v>800000</v>
      </c>
      <c r="AJ337" s="181">
        <f t="shared" si="92"/>
        <v>50</v>
      </c>
      <c r="AK337" s="180">
        <f t="shared" si="99"/>
        <v>800000</v>
      </c>
      <c r="AL337" s="181">
        <f t="shared" si="93"/>
        <v>50</v>
      </c>
      <c r="AM337" s="243"/>
    </row>
    <row r="338" spans="1:39" ht="29.25" customHeight="1" x14ac:dyDescent="0.25">
      <c r="A338" s="243"/>
      <c r="B338" s="381"/>
      <c r="C338" s="381"/>
      <c r="D338" s="381"/>
      <c r="E338" s="381"/>
      <c r="F338" s="381"/>
      <c r="G338" s="381"/>
      <c r="H338" s="381"/>
      <c r="I338" s="382"/>
      <c r="J338" s="381" t="s">
        <v>323</v>
      </c>
      <c r="K338" s="245"/>
      <c r="L338" s="257"/>
      <c r="M338" s="591" t="s">
        <v>324</v>
      </c>
      <c r="N338" s="592"/>
      <c r="O338" s="179"/>
      <c r="P338" s="180"/>
      <c r="Q338" s="180">
        <v>52980000</v>
      </c>
      <c r="R338" s="181">
        <f t="shared" si="103"/>
        <v>15.521181226929162</v>
      </c>
      <c r="S338" s="181">
        <v>100</v>
      </c>
      <c r="T338" s="180">
        <f t="shared" si="91"/>
        <v>22.246130615326535</v>
      </c>
      <c r="U338" s="180">
        <f t="shared" si="97"/>
        <v>3.4528622487842027</v>
      </c>
      <c r="V338" s="182">
        <f t="shared" si="95"/>
        <v>77.753869384673465</v>
      </c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0"/>
      <c r="AG338" s="180"/>
      <c r="AH338" s="180"/>
      <c r="AI338" s="180">
        <f>3803000+7983000</f>
        <v>11786000</v>
      </c>
      <c r="AJ338" s="181">
        <f t="shared" si="92"/>
        <v>22.246130615326535</v>
      </c>
      <c r="AK338" s="180">
        <f t="shared" si="99"/>
        <v>41194000</v>
      </c>
      <c r="AL338" s="181">
        <f t="shared" si="93"/>
        <v>77.753869384673465</v>
      </c>
      <c r="AM338" s="243"/>
    </row>
    <row r="339" spans="1:39" ht="39.75" customHeight="1" x14ac:dyDescent="0.25">
      <c r="A339" s="243"/>
      <c r="B339" s="381"/>
      <c r="C339" s="381"/>
      <c r="D339" s="381"/>
      <c r="E339" s="381"/>
      <c r="F339" s="381"/>
      <c r="G339" s="381"/>
      <c r="H339" s="381"/>
      <c r="I339" s="382"/>
      <c r="J339" s="381" t="s">
        <v>315</v>
      </c>
      <c r="K339" s="245"/>
      <c r="L339" s="257"/>
      <c r="M339" s="591" t="s">
        <v>271</v>
      </c>
      <c r="N339" s="592"/>
      <c r="O339" s="179"/>
      <c r="P339" s="180"/>
      <c r="Q339" s="180">
        <v>1800000</v>
      </c>
      <c r="R339" s="181">
        <f t="shared" si="103"/>
        <v>0.52733345051854452</v>
      </c>
      <c r="S339" s="181">
        <v>100</v>
      </c>
      <c r="T339" s="180">
        <f t="shared" si="91"/>
        <v>44.444444444444443</v>
      </c>
      <c r="U339" s="180">
        <f t="shared" si="97"/>
        <v>0.23437042245268647</v>
      </c>
      <c r="V339" s="182">
        <f t="shared" si="95"/>
        <v>55.555555555555557</v>
      </c>
      <c r="W339" s="180"/>
      <c r="X339" s="180"/>
      <c r="Y339" s="180"/>
      <c r="Z339" s="180"/>
      <c r="AA339" s="180"/>
      <c r="AB339" s="180"/>
      <c r="AC339" s="180"/>
      <c r="AD339" s="180"/>
      <c r="AE339" s="180"/>
      <c r="AF339" s="180"/>
      <c r="AG339" s="180"/>
      <c r="AH339" s="180"/>
      <c r="AI339" s="180">
        <v>800000</v>
      </c>
      <c r="AJ339" s="181">
        <f t="shared" si="92"/>
        <v>44.444444444444443</v>
      </c>
      <c r="AK339" s="180">
        <f t="shared" si="99"/>
        <v>1000000</v>
      </c>
      <c r="AL339" s="181">
        <f t="shared" si="93"/>
        <v>55.555555555555557</v>
      </c>
      <c r="AM339" s="243"/>
    </row>
    <row r="340" spans="1:39" ht="29.25" customHeight="1" x14ac:dyDescent="0.25">
      <c r="A340" s="243"/>
      <c r="B340" s="381"/>
      <c r="C340" s="381"/>
      <c r="D340" s="381"/>
      <c r="E340" s="381"/>
      <c r="F340" s="381"/>
      <c r="G340" s="381"/>
      <c r="H340" s="381"/>
      <c r="I340" s="382"/>
      <c r="J340" s="381" t="s">
        <v>316</v>
      </c>
      <c r="K340" s="245"/>
      <c r="L340" s="257"/>
      <c r="M340" s="591" t="s">
        <v>317</v>
      </c>
      <c r="N340" s="592"/>
      <c r="O340" s="179"/>
      <c r="P340" s="180"/>
      <c r="Q340" s="180">
        <v>600000</v>
      </c>
      <c r="R340" s="181">
        <f t="shared" si="103"/>
        <v>0.17577781683951485</v>
      </c>
      <c r="S340" s="181">
        <v>100</v>
      </c>
      <c r="T340" s="180">
        <f t="shared" si="91"/>
        <v>50</v>
      </c>
      <c r="U340" s="180">
        <f t="shared" si="97"/>
        <v>8.7888908419757425E-2</v>
      </c>
      <c r="V340" s="182">
        <f t="shared" si="95"/>
        <v>50</v>
      </c>
      <c r="W340" s="180"/>
      <c r="X340" s="180"/>
      <c r="Y340" s="180"/>
      <c r="Z340" s="180"/>
      <c r="AA340" s="180"/>
      <c r="AB340" s="180"/>
      <c r="AC340" s="180"/>
      <c r="AD340" s="180"/>
      <c r="AE340" s="180"/>
      <c r="AF340" s="180"/>
      <c r="AG340" s="180"/>
      <c r="AH340" s="180"/>
      <c r="AI340" s="180">
        <v>300000</v>
      </c>
      <c r="AJ340" s="181">
        <f t="shared" si="92"/>
        <v>50</v>
      </c>
      <c r="AK340" s="180">
        <f t="shared" si="99"/>
        <v>300000</v>
      </c>
      <c r="AL340" s="181">
        <f t="shared" si="93"/>
        <v>50</v>
      </c>
      <c r="AM340" s="243"/>
    </row>
    <row r="341" spans="1:39" ht="29.25" customHeight="1" x14ac:dyDescent="0.25">
      <c r="A341" s="243"/>
      <c r="B341" s="381"/>
      <c r="C341" s="381"/>
      <c r="D341" s="381"/>
      <c r="E341" s="381"/>
      <c r="F341" s="381"/>
      <c r="G341" s="381"/>
      <c r="H341" s="381"/>
      <c r="I341" s="382"/>
      <c r="J341" s="381" t="s">
        <v>318</v>
      </c>
      <c r="K341" s="245"/>
      <c r="L341" s="257"/>
      <c r="M341" s="591" t="s">
        <v>319</v>
      </c>
      <c r="N341" s="592"/>
      <c r="O341" s="179"/>
      <c r="P341" s="180"/>
      <c r="Q341" s="180">
        <v>97400000</v>
      </c>
      <c r="R341" s="181">
        <f t="shared" si="103"/>
        <v>28.534598933614578</v>
      </c>
      <c r="S341" s="181">
        <v>100</v>
      </c>
      <c r="T341" s="180">
        <f t="shared" si="91"/>
        <v>38.809034907597535</v>
      </c>
      <c r="U341" s="180">
        <f t="shared" si="97"/>
        <v>11.074002460889435</v>
      </c>
      <c r="V341" s="182">
        <f t="shared" si="95"/>
        <v>61.190965092402465</v>
      </c>
      <c r="W341" s="180"/>
      <c r="X341" s="180"/>
      <c r="Y341" s="180"/>
      <c r="Z341" s="180"/>
      <c r="AA341" s="180"/>
      <c r="AB341" s="180"/>
      <c r="AC341" s="180"/>
      <c r="AD341" s="180"/>
      <c r="AE341" s="180"/>
      <c r="AF341" s="180"/>
      <c r="AG341" s="180"/>
      <c r="AH341" s="180"/>
      <c r="AI341" s="180">
        <v>37800000</v>
      </c>
      <c r="AJ341" s="181">
        <f t="shared" si="92"/>
        <v>38.809034907597535</v>
      </c>
      <c r="AK341" s="180">
        <f t="shared" si="99"/>
        <v>59600000</v>
      </c>
      <c r="AL341" s="181">
        <f t="shared" si="93"/>
        <v>61.190965092402458</v>
      </c>
      <c r="AM341" s="243"/>
    </row>
    <row r="342" spans="1:39" ht="29.25" customHeight="1" x14ac:dyDescent="0.25">
      <c r="A342" s="243"/>
      <c r="B342" s="381"/>
      <c r="C342" s="381"/>
      <c r="D342" s="381"/>
      <c r="E342" s="381"/>
      <c r="F342" s="381"/>
      <c r="G342" s="381"/>
      <c r="H342" s="381"/>
      <c r="I342" s="382"/>
      <c r="J342" s="381" t="s">
        <v>280</v>
      </c>
      <c r="K342" s="245"/>
      <c r="L342" s="257"/>
      <c r="M342" s="591" t="s">
        <v>281</v>
      </c>
      <c r="N342" s="592"/>
      <c r="O342" s="179"/>
      <c r="P342" s="180"/>
      <c r="Q342" s="180">
        <v>2000000</v>
      </c>
      <c r="R342" s="181">
        <f t="shared" si="103"/>
        <v>0.58592605613171622</v>
      </c>
      <c r="S342" s="181">
        <v>100</v>
      </c>
      <c r="T342" s="180">
        <f t="shared" ref="T342:T410" si="104">AJ342</f>
        <v>0</v>
      </c>
      <c r="U342" s="180">
        <f t="shared" si="97"/>
        <v>0</v>
      </c>
      <c r="V342" s="182">
        <f t="shared" si="95"/>
        <v>100</v>
      </c>
      <c r="W342" s="180"/>
      <c r="X342" s="180"/>
      <c r="Y342" s="180"/>
      <c r="Z342" s="180"/>
      <c r="AA342" s="180"/>
      <c r="AB342" s="180"/>
      <c r="AC342" s="180"/>
      <c r="AD342" s="180"/>
      <c r="AE342" s="180"/>
      <c r="AF342" s="180"/>
      <c r="AG342" s="180"/>
      <c r="AH342" s="180"/>
      <c r="AI342" s="180">
        <v>0</v>
      </c>
      <c r="AJ342" s="181">
        <f t="shared" ref="AJ342:AJ405" si="105">AI342/Q342*100</f>
        <v>0</v>
      </c>
      <c r="AK342" s="180">
        <f t="shared" si="99"/>
        <v>2000000</v>
      </c>
      <c r="AL342" s="181">
        <f t="shared" ref="AL342:AL405" si="106">AK342/Q342*100</f>
        <v>100</v>
      </c>
      <c r="AM342" s="243"/>
    </row>
    <row r="343" spans="1:39" ht="29.25" customHeight="1" x14ac:dyDescent="0.25">
      <c r="A343" s="243"/>
      <c r="B343" s="381"/>
      <c r="C343" s="381"/>
      <c r="D343" s="381"/>
      <c r="E343" s="381"/>
      <c r="F343" s="381"/>
      <c r="G343" s="381"/>
      <c r="H343" s="381"/>
      <c r="I343" s="382"/>
      <c r="J343" s="381" t="s">
        <v>284</v>
      </c>
      <c r="K343" s="245"/>
      <c r="L343" s="257"/>
      <c r="M343" s="591" t="s">
        <v>285</v>
      </c>
      <c r="N343" s="592"/>
      <c r="O343" s="179"/>
      <c r="P343" s="180"/>
      <c r="Q343" s="180">
        <v>2200000</v>
      </c>
      <c r="R343" s="181">
        <f t="shared" si="103"/>
        <v>0.64451866174488781</v>
      </c>
      <c r="S343" s="181">
        <v>100</v>
      </c>
      <c r="T343" s="180">
        <f t="shared" si="104"/>
        <v>10</v>
      </c>
      <c r="U343" s="180">
        <f t="shared" si="97"/>
        <v>6.4451866174488781E-2</v>
      </c>
      <c r="V343" s="182">
        <f t="shared" si="95"/>
        <v>90</v>
      </c>
      <c r="W343" s="180"/>
      <c r="X343" s="180"/>
      <c r="Y343" s="180"/>
      <c r="Z343" s="180"/>
      <c r="AA343" s="180"/>
      <c r="AB343" s="180"/>
      <c r="AC343" s="180"/>
      <c r="AD343" s="180"/>
      <c r="AE343" s="180"/>
      <c r="AF343" s="180"/>
      <c r="AG343" s="180"/>
      <c r="AH343" s="180"/>
      <c r="AI343" s="180">
        <v>220000</v>
      </c>
      <c r="AJ343" s="181">
        <f t="shared" si="105"/>
        <v>10</v>
      </c>
      <c r="AK343" s="180">
        <f t="shared" si="99"/>
        <v>1980000</v>
      </c>
      <c r="AL343" s="181">
        <f t="shared" si="106"/>
        <v>90</v>
      </c>
      <c r="AM343" s="243"/>
    </row>
    <row r="344" spans="1:39" ht="29.25" customHeight="1" x14ac:dyDescent="0.25">
      <c r="A344" s="243"/>
      <c r="B344" s="381"/>
      <c r="C344" s="381"/>
      <c r="D344" s="381"/>
      <c r="E344" s="381"/>
      <c r="F344" s="381"/>
      <c r="G344" s="381"/>
      <c r="H344" s="381"/>
      <c r="I344" s="382"/>
      <c r="J344" s="381" t="s">
        <v>282</v>
      </c>
      <c r="K344" s="245"/>
      <c r="L344" s="257"/>
      <c r="M344" s="591" t="s">
        <v>283</v>
      </c>
      <c r="N344" s="592"/>
      <c r="O344" s="179"/>
      <c r="P344" s="180"/>
      <c r="Q344" s="180">
        <v>159060000</v>
      </c>
      <c r="R344" s="181">
        <f t="shared" si="103"/>
        <v>46.598699244155391</v>
      </c>
      <c r="S344" s="181">
        <v>100</v>
      </c>
      <c r="T344" s="180">
        <f t="shared" si="104"/>
        <v>18.463875267194769</v>
      </c>
      <c r="U344" s="180">
        <f t="shared" si="97"/>
        <v>8.6039257045760831</v>
      </c>
      <c r="V344" s="182">
        <f t="shared" si="95"/>
        <v>81.536124732805234</v>
      </c>
      <c r="W344" s="180"/>
      <c r="X344" s="180"/>
      <c r="Y344" s="180"/>
      <c r="Z344" s="180"/>
      <c r="AA344" s="180"/>
      <c r="AB344" s="180"/>
      <c r="AC344" s="180"/>
      <c r="AD344" s="180"/>
      <c r="AE344" s="180"/>
      <c r="AF344" s="180"/>
      <c r="AG344" s="180"/>
      <c r="AH344" s="180"/>
      <c r="AI344" s="180">
        <f>7205640+22163000</f>
        <v>29368640</v>
      </c>
      <c r="AJ344" s="181">
        <f t="shared" si="105"/>
        <v>18.463875267194769</v>
      </c>
      <c r="AK344" s="180">
        <f t="shared" si="99"/>
        <v>129691360</v>
      </c>
      <c r="AL344" s="181">
        <f t="shared" si="106"/>
        <v>81.53612473280522</v>
      </c>
      <c r="AM344" s="243"/>
    </row>
    <row r="345" spans="1:39" ht="29.25" customHeight="1" x14ac:dyDescent="0.25">
      <c r="A345" s="243"/>
      <c r="B345" s="381"/>
      <c r="C345" s="381"/>
      <c r="D345" s="381"/>
      <c r="E345" s="381"/>
      <c r="F345" s="381"/>
      <c r="G345" s="381"/>
      <c r="H345" s="381"/>
      <c r="I345" s="382"/>
      <c r="J345" s="381" t="s">
        <v>320</v>
      </c>
      <c r="K345" s="245"/>
      <c r="L345" s="257"/>
      <c r="M345" s="591" t="s">
        <v>321</v>
      </c>
      <c r="N345" s="592"/>
      <c r="O345" s="179"/>
      <c r="P345" s="180"/>
      <c r="Q345" s="180">
        <v>14400000</v>
      </c>
      <c r="R345" s="181">
        <f t="shared" si="103"/>
        <v>4.2186676041483562</v>
      </c>
      <c r="S345" s="181">
        <v>100</v>
      </c>
      <c r="T345" s="180">
        <f t="shared" si="104"/>
        <v>50</v>
      </c>
      <c r="U345" s="180">
        <f t="shared" si="97"/>
        <v>2.1093338020741781</v>
      </c>
      <c r="V345" s="182">
        <f t="shared" si="95"/>
        <v>50</v>
      </c>
      <c r="W345" s="180"/>
      <c r="X345" s="180"/>
      <c r="Y345" s="180"/>
      <c r="Z345" s="180"/>
      <c r="AA345" s="180"/>
      <c r="AB345" s="180"/>
      <c r="AC345" s="180"/>
      <c r="AD345" s="180"/>
      <c r="AE345" s="180"/>
      <c r="AF345" s="180"/>
      <c r="AG345" s="180"/>
      <c r="AH345" s="180"/>
      <c r="AI345" s="180">
        <v>7200000</v>
      </c>
      <c r="AJ345" s="181">
        <f t="shared" si="105"/>
        <v>50</v>
      </c>
      <c r="AK345" s="180">
        <f t="shared" si="99"/>
        <v>7200000</v>
      </c>
      <c r="AL345" s="181">
        <f t="shared" si="106"/>
        <v>50</v>
      </c>
      <c r="AM345" s="243"/>
    </row>
    <row r="346" spans="1:39" ht="29.25" customHeight="1" x14ac:dyDescent="0.25">
      <c r="A346" s="243"/>
      <c r="B346" s="381"/>
      <c r="C346" s="381"/>
      <c r="D346" s="381"/>
      <c r="E346" s="381"/>
      <c r="F346" s="381"/>
      <c r="G346" s="381"/>
      <c r="H346" s="381"/>
      <c r="I346" s="382"/>
      <c r="J346" s="381" t="s">
        <v>407</v>
      </c>
      <c r="K346" s="245"/>
      <c r="L346" s="257"/>
      <c r="M346" s="591" t="s">
        <v>414</v>
      </c>
      <c r="N346" s="592"/>
      <c r="O346" s="179"/>
      <c r="P346" s="180"/>
      <c r="Q346" s="180">
        <v>9300000</v>
      </c>
      <c r="R346" s="181">
        <f t="shared" si="103"/>
        <v>2.7245561610124804</v>
      </c>
      <c r="S346" s="181"/>
      <c r="T346" s="180">
        <f t="shared" si="104"/>
        <v>50</v>
      </c>
      <c r="U346" s="180">
        <f t="shared" si="97"/>
        <v>1.3622780805062402</v>
      </c>
      <c r="V346" s="182"/>
      <c r="W346" s="180"/>
      <c r="X346" s="180"/>
      <c r="Y346" s="180"/>
      <c r="Z346" s="180"/>
      <c r="AA346" s="180"/>
      <c r="AB346" s="180"/>
      <c r="AC346" s="180"/>
      <c r="AD346" s="180"/>
      <c r="AE346" s="180"/>
      <c r="AF346" s="180"/>
      <c r="AG346" s="180"/>
      <c r="AH346" s="180"/>
      <c r="AI346" s="180">
        <v>4650000</v>
      </c>
      <c r="AJ346" s="181">
        <f t="shared" si="105"/>
        <v>50</v>
      </c>
      <c r="AK346" s="180">
        <f t="shared" si="99"/>
        <v>4650000</v>
      </c>
      <c r="AL346" s="181">
        <f t="shared" si="106"/>
        <v>50</v>
      </c>
      <c r="AM346" s="243"/>
    </row>
    <row r="347" spans="1:39" s="297" customFormat="1" ht="45" customHeight="1" x14ac:dyDescent="0.25">
      <c r="A347" s="227">
        <f>A336+1</f>
        <v>46</v>
      </c>
      <c r="B347" s="615" t="s">
        <v>147</v>
      </c>
      <c r="C347" s="615"/>
      <c r="D347" s="615"/>
      <c r="E347" s="615"/>
      <c r="F347" s="615"/>
      <c r="G347" s="615"/>
      <c r="H347" s="615"/>
      <c r="I347" s="614"/>
      <c r="J347" s="304" t="s">
        <v>490</v>
      </c>
      <c r="K347" s="230"/>
      <c r="L347" s="294"/>
      <c r="M347" s="610" t="s">
        <v>48</v>
      </c>
      <c r="N347" s="610"/>
      <c r="O347" s="309">
        <v>606500000</v>
      </c>
      <c r="P347" s="231">
        <f>O347</f>
        <v>606500000</v>
      </c>
      <c r="Q347" s="231">
        <f>SUM(Q348:Q352)</f>
        <v>189188876</v>
      </c>
      <c r="R347" s="233">
        <f>Q347/Q$245*100</f>
        <v>1.5861111558977716</v>
      </c>
      <c r="S347" s="233">
        <v>100</v>
      </c>
      <c r="T347" s="231">
        <f t="shared" si="104"/>
        <v>0</v>
      </c>
      <c r="U347" s="231">
        <f t="shared" si="97"/>
        <v>0</v>
      </c>
      <c r="V347" s="296">
        <f t="shared" si="95"/>
        <v>100</v>
      </c>
      <c r="W347" s="231"/>
      <c r="X347" s="231" t="e">
        <f>#REF!</f>
        <v>#REF!</v>
      </c>
      <c r="Y347" s="231" t="e">
        <f>#REF!</f>
        <v>#REF!</v>
      </c>
      <c r="Z347" s="231" t="e">
        <f>#REF!</f>
        <v>#REF!</v>
      </c>
      <c r="AA347" s="231" t="e">
        <f>#REF!</f>
        <v>#REF!</v>
      </c>
      <c r="AB347" s="231">
        <v>143751020</v>
      </c>
      <c r="AC347" s="231" t="e">
        <f>#REF!</f>
        <v>#REF!</v>
      </c>
      <c r="AD347" s="231" t="e">
        <f>#REF!</f>
        <v>#REF!</v>
      </c>
      <c r="AE347" s="231" t="e">
        <f>#REF!</f>
        <v>#REF!</v>
      </c>
      <c r="AF347" s="231" t="e">
        <f>[1]April!N64</f>
        <v>#REF!</v>
      </c>
      <c r="AG347" s="231" t="e">
        <f>[2]april!N64</f>
        <v>#REF!</v>
      </c>
      <c r="AH347" s="231">
        <f>'[3]DES SKPD'!$N64</f>
        <v>571546340</v>
      </c>
      <c r="AI347" s="231">
        <f>SUM(AI348:AI352)</f>
        <v>0</v>
      </c>
      <c r="AJ347" s="233">
        <f t="shared" si="105"/>
        <v>0</v>
      </c>
      <c r="AK347" s="231">
        <f t="shared" si="99"/>
        <v>189188876</v>
      </c>
      <c r="AL347" s="233">
        <f t="shared" si="106"/>
        <v>100</v>
      </c>
      <c r="AM347" s="227"/>
    </row>
    <row r="348" spans="1:39" ht="28.5" customHeight="1" x14ac:dyDescent="0.25">
      <c r="A348" s="243"/>
      <c r="B348" s="381"/>
      <c r="C348" s="381"/>
      <c r="D348" s="381"/>
      <c r="E348" s="381"/>
      <c r="F348" s="381"/>
      <c r="G348" s="381"/>
      <c r="H348" s="381"/>
      <c r="I348" s="382"/>
      <c r="J348" s="381" t="s">
        <v>257</v>
      </c>
      <c r="K348" s="245"/>
      <c r="L348" s="257"/>
      <c r="M348" s="591" t="s">
        <v>428</v>
      </c>
      <c r="N348" s="592"/>
      <c r="O348" s="179"/>
      <c r="P348" s="180"/>
      <c r="Q348" s="180">
        <v>10000000</v>
      </c>
      <c r="R348" s="181">
        <f>Q348/Q$347*100</f>
        <v>5.2857230358512197</v>
      </c>
      <c r="S348" s="181">
        <v>100</v>
      </c>
      <c r="T348" s="180">
        <f t="shared" si="104"/>
        <v>0</v>
      </c>
      <c r="U348" s="180">
        <f t="shared" si="97"/>
        <v>0</v>
      </c>
      <c r="V348" s="182">
        <f t="shared" si="95"/>
        <v>100</v>
      </c>
      <c r="W348" s="180"/>
      <c r="X348" s="180"/>
      <c r="Y348" s="180"/>
      <c r="Z348" s="180"/>
      <c r="AA348" s="180"/>
      <c r="AB348" s="180"/>
      <c r="AC348" s="180"/>
      <c r="AD348" s="180"/>
      <c r="AE348" s="180"/>
      <c r="AF348" s="180"/>
      <c r="AG348" s="180"/>
      <c r="AH348" s="180"/>
      <c r="AI348" s="180">
        <v>0</v>
      </c>
      <c r="AJ348" s="181">
        <f t="shared" si="105"/>
        <v>0</v>
      </c>
      <c r="AK348" s="180">
        <f t="shared" si="99"/>
        <v>10000000</v>
      </c>
      <c r="AL348" s="181">
        <f t="shared" si="106"/>
        <v>100</v>
      </c>
      <c r="AM348" s="243"/>
    </row>
    <row r="349" spans="1:39" ht="28.5" customHeight="1" x14ac:dyDescent="0.25">
      <c r="A349" s="243"/>
      <c r="B349" s="381"/>
      <c r="C349" s="381"/>
      <c r="D349" s="381"/>
      <c r="E349" s="381"/>
      <c r="F349" s="381"/>
      <c r="G349" s="381"/>
      <c r="H349" s="381"/>
      <c r="I349" s="382"/>
      <c r="J349" s="381" t="s">
        <v>318</v>
      </c>
      <c r="K349" s="245"/>
      <c r="L349" s="257"/>
      <c r="M349" s="611" t="s">
        <v>319</v>
      </c>
      <c r="N349" s="598"/>
      <c r="O349" s="179"/>
      <c r="P349" s="180"/>
      <c r="Q349" s="180">
        <v>100000000</v>
      </c>
      <c r="R349" s="181">
        <f>Q349/Q$347*100</f>
        <v>52.857230358512197</v>
      </c>
      <c r="S349" s="181">
        <v>100</v>
      </c>
      <c r="T349" s="180">
        <f t="shared" si="104"/>
        <v>0</v>
      </c>
      <c r="U349" s="180">
        <f t="shared" si="97"/>
        <v>0</v>
      </c>
      <c r="V349" s="182">
        <f t="shared" si="95"/>
        <v>100</v>
      </c>
      <c r="W349" s="180"/>
      <c r="X349" s="180"/>
      <c r="Y349" s="180"/>
      <c r="Z349" s="180"/>
      <c r="AA349" s="180"/>
      <c r="AB349" s="180"/>
      <c r="AC349" s="180"/>
      <c r="AD349" s="180"/>
      <c r="AE349" s="180"/>
      <c r="AF349" s="180"/>
      <c r="AG349" s="180"/>
      <c r="AH349" s="180"/>
      <c r="AI349" s="180">
        <v>0</v>
      </c>
      <c r="AJ349" s="181">
        <f t="shared" si="105"/>
        <v>0</v>
      </c>
      <c r="AK349" s="180">
        <f t="shared" si="99"/>
        <v>100000000</v>
      </c>
      <c r="AL349" s="181">
        <f t="shared" si="106"/>
        <v>100</v>
      </c>
      <c r="AM349" s="243"/>
    </row>
    <row r="350" spans="1:39" ht="28.5" customHeight="1" x14ac:dyDescent="0.25">
      <c r="A350" s="243"/>
      <c r="B350" s="381"/>
      <c r="C350" s="381"/>
      <c r="D350" s="381"/>
      <c r="E350" s="381"/>
      <c r="F350" s="381"/>
      <c r="G350" s="381"/>
      <c r="H350" s="381"/>
      <c r="I350" s="382"/>
      <c r="J350" s="381" t="s">
        <v>282</v>
      </c>
      <c r="K350" s="245"/>
      <c r="L350" s="257"/>
      <c r="M350" s="591" t="s">
        <v>603</v>
      </c>
      <c r="N350" s="592"/>
      <c r="O350" s="179"/>
      <c r="P350" s="180"/>
      <c r="Q350" s="180">
        <v>12388876</v>
      </c>
      <c r="R350" s="181">
        <f>Q350/Q$347*100</f>
        <v>6.5484167261504318</v>
      </c>
      <c r="S350" s="181">
        <v>100</v>
      </c>
      <c r="T350" s="180">
        <f t="shared" si="104"/>
        <v>0</v>
      </c>
      <c r="U350" s="180">
        <f t="shared" si="97"/>
        <v>0</v>
      </c>
      <c r="V350" s="182">
        <f t="shared" si="95"/>
        <v>100</v>
      </c>
      <c r="W350" s="180"/>
      <c r="X350" s="180"/>
      <c r="Y350" s="180"/>
      <c r="Z350" s="180"/>
      <c r="AA350" s="180"/>
      <c r="AB350" s="180"/>
      <c r="AC350" s="180"/>
      <c r="AD350" s="180"/>
      <c r="AE350" s="180"/>
      <c r="AF350" s="180"/>
      <c r="AG350" s="180"/>
      <c r="AH350" s="180"/>
      <c r="AI350" s="180">
        <v>0</v>
      </c>
      <c r="AJ350" s="181">
        <f t="shared" si="105"/>
        <v>0</v>
      </c>
      <c r="AK350" s="180">
        <f t="shared" si="99"/>
        <v>12388876</v>
      </c>
      <c r="AL350" s="181">
        <f t="shared" si="106"/>
        <v>100</v>
      </c>
      <c r="AM350" s="243"/>
    </row>
    <row r="351" spans="1:39" ht="28.5" customHeight="1" x14ac:dyDescent="0.25">
      <c r="A351" s="243"/>
      <c r="B351" s="381"/>
      <c r="C351" s="381"/>
      <c r="D351" s="381"/>
      <c r="E351" s="381"/>
      <c r="F351" s="381"/>
      <c r="G351" s="381"/>
      <c r="H351" s="381"/>
      <c r="I351" s="382"/>
      <c r="J351" s="381" t="s">
        <v>320</v>
      </c>
      <c r="K351" s="245"/>
      <c r="L351" s="257"/>
      <c r="M351" s="591" t="s">
        <v>321</v>
      </c>
      <c r="N351" s="592"/>
      <c r="O351" s="179"/>
      <c r="P351" s="180"/>
      <c r="Q351" s="180">
        <v>57600000</v>
      </c>
      <c r="R351" s="181">
        <f>Q351/Q$347*100</f>
        <v>30.445764686503026</v>
      </c>
      <c r="S351" s="181">
        <v>100</v>
      </c>
      <c r="T351" s="180">
        <f t="shared" si="104"/>
        <v>0</v>
      </c>
      <c r="U351" s="180">
        <f t="shared" si="97"/>
        <v>0</v>
      </c>
      <c r="V351" s="182">
        <f t="shared" si="95"/>
        <v>100</v>
      </c>
      <c r="W351" s="180"/>
      <c r="X351" s="180"/>
      <c r="Y351" s="180"/>
      <c r="Z351" s="180"/>
      <c r="AA351" s="180"/>
      <c r="AB351" s="180"/>
      <c r="AC351" s="180"/>
      <c r="AD351" s="180"/>
      <c r="AE351" s="180"/>
      <c r="AF351" s="180"/>
      <c r="AG351" s="180"/>
      <c r="AH351" s="180"/>
      <c r="AI351" s="180">
        <v>0</v>
      </c>
      <c r="AJ351" s="181">
        <f t="shared" si="105"/>
        <v>0</v>
      </c>
      <c r="AK351" s="180">
        <f t="shared" si="99"/>
        <v>57600000</v>
      </c>
      <c r="AL351" s="181">
        <f t="shared" si="106"/>
        <v>100</v>
      </c>
      <c r="AM351" s="243"/>
    </row>
    <row r="352" spans="1:39" ht="28.5" customHeight="1" x14ac:dyDescent="0.25">
      <c r="A352" s="243"/>
      <c r="B352" s="381"/>
      <c r="C352" s="381"/>
      <c r="D352" s="381"/>
      <c r="E352" s="381"/>
      <c r="F352" s="381"/>
      <c r="G352" s="381"/>
      <c r="H352" s="381"/>
      <c r="I352" s="382"/>
      <c r="J352" s="381" t="s">
        <v>309</v>
      </c>
      <c r="K352" s="245"/>
      <c r="L352" s="257"/>
      <c r="M352" s="591" t="s">
        <v>607</v>
      </c>
      <c r="N352" s="592"/>
      <c r="O352" s="179"/>
      <c r="P352" s="180"/>
      <c r="Q352" s="180">
        <v>9200000</v>
      </c>
      <c r="R352" s="181">
        <f>Q352/Q$347*100</f>
        <v>4.8628651929831221</v>
      </c>
      <c r="S352" s="181">
        <v>100</v>
      </c>
      <c r="T352" s="180">
        <f t="shared" si="104"/>
        <v>0</v>
      </c>
      <c r="U352" s="180">
        <f t="shared" si="97"/>
        <v>0</v>
      </c>
      <c r="V352" s="182">
        <f t="shared" si="95"/>
        <v>100</v>
      </c>
      <c r="W352" s="180"/>
      <c r="X352" s="180"/>
      <c r="Y352" s="180"/>
      <c r="Z352" s="180"/>
      <c r="AA352" s="180"/>
      <c r="AB352" s="180"/>
      <c r="AC352" s="180"/>
      <c r="AD352" s="180"/>
      <c r="AE352" s="180"/>
      <c r="AF352" s="180"/>
      <c r="AG352" s="180"/>
      <c r="AH352" s="180"/>
      <c r="AI352" s="180">
        <v>0</v>
      </c>
      <c r="AJ352" s="181">
        <f t="shared" si="105"/>
        <v>0</v>
      </c>
      <c r="AK352" s="180">
        <f t="shared" si="99"/>
        <v>9200000</v>
      </c>
      <c r="AL352" s="181">
        <f t="shared" si="106"/>
        <v>100</v>
      </c>
      <c r="AM352" s="243"/>
    </row>
    <row r="353" spans="1:39" ht="28.5" customHeight="1" x14ac:dyDescent="0.25">
      <c r="A353" s="227">
        <v>47</v>
      </c>
      <c r="B353" s="381"/>
      <c r="C353" s="381"/>
      <c r="D353" s="381"/>
      <c r="E353" s="381"/>
      <c r="F353" s="381"/>
      <c r="G353" s="381"/>
      <c r="H353" s="381"/>
      <c r="I353" s="382"/>
      <c r="J353" s="304" t="s">
        <v>492</v>
      </c>
      <c r="K353" s="230"/>
      <c r="L353" s="294"/>
      <c r="M353" s="609" t="s">
        <v>493</v>
      </c>
      <c r="N353" s="609"/>
      <c r="O353" s="309">
        <v>558720000</v>
      </c>
      <c r="P353" s="231">
        <f>O353</f>
        <v>558720000</v>
      </c>
      <c r="Q353" s="231">
        <f>SUM(Q354:Q360)</f>
        <v>541894073</v>
      </c>
      <c r="R353" s="233">
        <f>Q353/Q$245*100</f>
        <v>4.5431013317092779</v>
      </c>
      <c r="S353" s="233">
        <v>100</v>
      </c>
      <c r="T353" s="231">
        <f t="shared" si="104"/>
        <v>11.894391027967565</v>
      </c>
      <c r="U353" s="231">
        <f t="shared" si="97"/>
        <v>0.54037423719030331</v>
      </c>
      <c r="V353" s="296">
        <f t="shared" si="95"/>
        <v>88.105608972032428</v>
      </c>
      <c r="W353" s="231"/>
      <c r="X353" s="231" t="e">
        <f>#REF!</f>
        <v>#REF!</v>
      </c>
      <c r="Y353" s="231" t="e">
        <f>#REF!</f>
        <v>#REF!</v>
      </c>
      <c r="Z353" s="231" t="e">
        <f>#REF!</f>
        <v>#REF!</v>
      </c>
      <c r="AA353" s="231" t="e">
        <f>#REF!</f>
        <v>#REF!</v>
      </c>
      <c r="AB353" s="231">
        <v>192786500</v>
      </c>
      <c r="AC353" s="231" t="e">
        <f>#REF!</f>
        <v>#REF!</v>
      </c>
      <c r="AD353" s="231" t="e">
        <f>#REF!</f>
        <v>#REF!</v>
      </c>
      <c r="AE353" s="231" t="e">
        <f>#REF!</f>
        <v>#REF!</v>
      </c>
      <c r="AF353" s="231" t="e">
        <f>[1]April!N54</f>
        <v>#REF!</v>
      </c>
      <c r="AG353" s="231" t="e">
        <f>[2]april!N54</f>
        <v>#REF!</v>
      </c>
      <c r="AH353" s="231">
        <f>'[3]DES SKPD'!$N54</f>
        <v>508172500</v>
      </c>
      <c r="AI353" s="231">
        <f>SUM(AI354:AI360)</f>
        <v>64455000</v>
      </c>
      <c r="AJ353" s="233">
        <f t="shared" si="105"/>
        <v>11.894391027967565</v>
      </c>
      <c r="AK353" s="231">
        <f t="shared" si="99"/>
        <v>477439073</v>
      </c>
      <c r="AL353" s="233">
        <f t="shared" si="106"/>
        <v>88.105608972032428</v>
      </c>
      <c r="AM353" s="243"/>
    </row>
    <row r="354" spans="1:39" ht="28.5" customHeight="1" x14ac:dyDescent="0.25">
      <c r="A354" s="243"/>
      <c r="B354" s="381"/>
      <c r="C354" s="381"/>
      <c r="D354" s="381"/>
      <c r="E354" s="381"/>
      <c r="F354" s="381"/>
      <c r="G354" s="381"/>
      <c r="H354" s="381"/>
      <c r="I354" s="382"/>
      <c r="J354" s="381" t="s">
        <v>315</v>
      </c>
      <c r="K354" s="245"/>
      <c r="L354" s="257"/>
      <c r="M354" s="591" t="s">
        <v>271</v>
      </c>
      <c r="N354" s="592"/>
      <c r="O354" s="179"/>
      <c r="P354" s="180"/>
      <c r="Q354" s="180">
        <v>20304000</v>
      </c>
      <c r="R354" s="181">
        <f t="shared" ref="R354:R360" si="107">Q354/Q$353*100</f>
        <v>3.74685773689944</v>
      </c>
      <c r="S354" s="181">
        <v>100</v>
      </c>
      <c r="T354" s="180">
        <f t="shared" si="104"/>
        <v>9.8502758077226158</v>
      </c>
      <c r="U354" s="180">
        <f t="shared" si="97"/>
        <v>0.36907582120758858</v>
      </c>
      <c r="V354" s="182">
        <f t="shared" si="95"/>
        <v>90.14972419227739</v>
      </c>
      <c r="W354" s="180"/>
      <c r="X354" s="180"/>
      <c r="Y354" s="180"/>
      <c r="Z354" s="180"/>
      <c r="AA354" s="180"/>
      <c r="AB354" s="180"/>
      <c r="AC354" s="180"/>
      <c r="AD354" s="180"/>
      <c r="AE354" s="180"/>
      <c r="AF354" s="180"/>
      <c r="AG354" s="180"/>
      <c r="AH354" s="180"/>
      <c r="AI354" s="180">
        <v>2000000</v>
      </c>
      <c r="AJ354" s="181">
        <f t="shared" si="105"/>
        <v>9.8502758077226158</v>
      </c>
      <c r="AK354" s="180">
        <f t="shared" si="99"/>
        <v>18304000</v>
      </c>
      <c r="AL354" s="181">
        <f t="shared" si="106"/>
        <v>90.149724192277375</v>
      </c>
      <c r="AM354" s="243"/>
    </row>
    <row r="355" spans="1:39" ht="28.5" customHeight="1" x14ac:dyDescent="0.25">
      <c r="A355" s="243"/>
      <c r="B355" s="381"/>
      <c r="C355" s="381"/>
      <c r="D355" s="381"/>
      <c r="E355" s="381"/>
      <c r="F355" s="381"/>
      <c r="G355" s="381"/>
      <c r="H355" s="381"/>
      <c r="I355" s="382"/>
      <c r="J355" s="381" t="s">
        <v>328</v>
      </c>
      <c r="K355" s="245"/>
      <c r="L355" s="257"/>
      <c r="M355" s="591" t="s">
        <v>319</v>
      </c>
      <c r="N355" s="592"/>
      <c r="O355" s="179"/>
      <c r="P355" s="180"/>
      <c r="Q355" s="180">
        <v>231000000</v>
      </c>
      <c r="R355" s="181">
        <f t="shared" si="107"/>
        <v>42.628257349476492</v>
      </c>
      <c r="S355" s="181">
        <v>100</v>
      </c>
      <c r="T355" s="180">
        <f t="shared" si="104"/>
        <v>0</v>
      </c>
      <c r="U355" s="180">
        <f t="shared" si="97"/>
        <v>0</v>
      </c>
      <c r="V355" s="182">
        <f t="shared" si="95"/>
        <v>100</v>
      </c>
      <c r="W355" s="180"/>
      <c r="X355" s="180"/>
      <c r="Y355" s="180"/>
      <c r="Z355" s="180"/>
      <c r="AA355" s="180"/>
      <c r="AB355" s="180"/>
      <c r="AC355" s="180"/>
      <c r="AD355" s="180"/>
      <c r="AE355" s="180"/>
      <c r="AF355" s="180"/>
      <c r="AG355" s="180"/>
      <c r="AH355" s="180"/>
      <c r="AI355" s="180">
        <v>0</v>
      </c>
      <c r="AJ355" s="181">
        <f t="shared" si="105"/>
        <v>0</v>
      </c>
      <c r="AK355" s="180">
        <f t="shared" si="99"/>
        <v>231000000</v>
      </c>
      <c r="AL355" s="181">
        <f t="shared" si="106"/>
        <v>100</v>
      </c>
      <c r="AM355" s="243"/>
    </row>
    <row r="356" spans="1:39" ht="28.5" customHeight="1" x14ac:dyDescent="0.25">
      <c r="A356" s="243"/>
      <c r="B356" s="381"/>
      <c r="C356" s="381"/>
      <c r="D356" s="381"/>
      <c r="E356" s="381"/>
      <c r="F356" s="381"/>
      <c r="G356" s="381"/>
      <c r="H356" s="381"/>
      <c r="I356" s="382"/>
      <c r="J356" s="312" t="s">
        <v>339</v>
      </c>
      <c r="M356" s="619" t="s">
        <v>608</v>
      </c>
      <c r="N356" s="620"/>
      <c r="O356" s="179"/>
      <c r="P356" s="180"/>
      <c r="Q356" s="180">
        <v>25200000</v>
      </c>
      <c r="R356" s="181">
        <f t="shared" si="107"/>
        <v>4.6503553472156174</v>
      </c>
      <c r="S356" s="181">
        <v>100</v>
      </c>
      <c r="T356" s="180">
        <f t="shared" si="104"/>
        <v>3.4722222222222223</v>
      </c>
      <c r="U356" s="180">
        <f t="shared" si="97"/>
        <v>0.16147067177832006</v>
      </c>
      <c r="V356" s="182">
        <f t="shared" si="95"/>
        <v>96.527777777777771</v>
      </c>
      <c r="W356" s="180"/>
      <c r="X356" s="180"/>
      <c r="Y356" s="180"/>
      <c r="Z356" s="180"/>
      <c r="AA356" s="180"/>
      <c r="AB356" s="180"/>
      <c r="AC356" s="180"/>
      <c r="AD356" s="180"/>
      <c r="AE356" s="180"/>
      <c r="AF356" s="180"/>
      <c r="AG356" s="180"/>
      <c r="AH356" s="180"/>
      <c r="AI356" s="180">
        <v>875000</v>
      </c>
      <c r="AJ356" s="181">
        <f t="shared" si="105"/>
        <v>3.4722222222222223</v>
      </c>
      <c r="AK356" s="180">
        <f t="shared" si="99"/>
        <v>24325000</v>
      </c>
      <c r="AL356" s="181">
        <f t="shared" si="106"/>
        <v>96.527777777777786</v>
      </c>
      <c r="AM356" s="243"/>
    </row>
    <row r="357" spans="1:39" ht="28.5" customHeight="1" x14ac:dyDescent="0.25">
      <c r="A357" s="243"/>
      <c r="B357" s="381"/>
      <c r="C357" s="381"/>
      <c r="D357" s="381"/>
      <c r="E357" s="381"/>
      <c r="F357" s="381"/>
      <c r="G357" s="381"/>
      <c r="H357" s="381"/>
      <c r="I357" s="382"/>
      <c r="J357" s="381" t="s">
        <v>284</v>
      </c>
      <c r="K357" s="245"/>
      <c r="L357" s="257"/>
      <c r="M357" s="591" t="s">
        <v>503</v>
      </c>
      <c r="N357" s="592"/>
      <c r="O357" s="179"/>
      <c r="P357" s="180"/>
      <c r="Q357" s="180">
        <v>152190073</v>
      </c>
      <c r="R357" s="181">
        <f t="shared" si="107"/>
        <v>28.084838086058934</v>
      </c>
      <c r="S357" s="181">
        <v>100</v>
      </c>
      <c r="T357" s="180">
        <f t="shared" si="104"/>
        <v>19.764758244120166</v>
      </c>
      <c r="U357" s="180">
        <f t="shared" si="97"/>
        <v>5.5509003509621335</v>
      </c>
      <c r="V357" s="182">
        <f t="shared" si="95"/>
        <v>80.235241755879827</v>
      </c>
      <c r="W357" s="180"/>
      <c r="X357" s="180"/>
      <c r="Y357" s="180"/>
      <c r="Z357" s="180"/>
      <c r="AA357" s="180"/>
      <c r="AB357" s="180"/>
      <c r="AC357" s="180"/>
      <c r="AD357" s="180"/>
      <c r="AE357" s="180"/>
      <c r="AF357" s="180"/>
      <c r="AG357" s="180"/>
      <c r="AH357" s="180"/>
      <c r="AI357" s="180">
        <v>30080000</v>
      </c>
      <c r="AJ357" s="181">
        <f>AI357/Q357*100</f>
        <v>19.764758244120166</v>
      </c>
      <c r="AK357" s="180">
        <f>Q357-AI357</f>
        <v>122110073</v>
      </c>
      <c r="AL357" s="181">
        <f>AK357/Q357*100</f>
        <v>80.235241755879841</v>
      </c>
      <c r="AM357" s="243"/>
    </row>
    <row r="358" spans="1:39" ht="28.5" customHeight="1" x14ac:dyDescent="0.25">
      <c r="A358" s="243"/>
      <c r="B358" s="381"/>
      <c r="C358" s="381"/>
      <c r="D358" s="381"/>
      <c r="E358" s="381"/>
      <c r="F358" s="381"/>
      <c r="G358" s="381"/>
      <c r="H358" s="381"/>
      <c r="I358" s="382"/>
      <c r="J358" s="381" t="s">
        <v>320</v>
      </c>
      <c r="K358" s="245"/>
      <c r="L358" s="257"/>
      <c r="M358" s="591" t="s">
        <v>321</v>
      </c>
      <c r="N358" s="592"/>
      <c r="O358" s="179"/>
      <c r="P358" s="180"/>
      <c r="Q358" s="180">
        <v>9200000</v>
      </c>
      <c r="R358" s="181">
        <f t="shared" si="107"/>
        <v>1.6977487775549078</v>
      </c>
      <c r="S358" s="181">
        <v>100</v>
      </c>
      <c r="T358" s="180">
        <f t="shared" si="104"/>
        <v>65.217391304347828</v>
      </c>
      <c r="U358" s="180">
        <f t="shared" si="97"/>
        <v>1.1072274636227659</v>
      </c>
      <c r="V358" s="182">
        <f t="shared" si="95"/>
        <v>34.782608695652172</v>
      </c>
      <c r="W358" s="180"/>
      <c r="X358" s="180"/>
      <c r="Y358" s="180"/>
      <c r="Z358" s="180"/>
      <c r="AA358" s="180"/>
      <c r="AB358" s="180"/>
      <c r="AC358" s="180"/>
      <c r="AD358" s="180"/>
      <c r="AE358" s="180"/>
      <c r="AF358" s="180"/>
      <c r="AG358" s="180"/>
      <c r="AH358" s="180"/>
      <c r="AI358" s="180">
        <v>6000000</v>
      </c>
      <c r="AJ358" s="181">
        <f t="shared" si="105"/>
        <v>65.217391304347828</v>
      </c>
      <c r="AK358" s="180">
        <f t="shared" ref="AK358:AK421" si="108">Q358-AI358</f>
        <v>3200000</v>
      </c>
      <c r="AL358" s="181">
        <f t="shared" si="106"/>
        <v>34.782608695652172</v>
      </c>
      <c r="AM358" s="243"/>
    </row>
    <row r="359" spans="1:39" ht="28.5" customHeight="1" x14ac:dyDescent="0.25">
      <c r="A359" s="243"/>
      <c r="B359" s="381"/>
      <c r="C359" s="381"/>
      <c r="D359" s="381"/>
      <c r="E359" s="381"/>
      <c r="F359" s="381"/>
      <c r="G359" s="381"/>
      <c r="H359" s="381"/>
      <c r="I359" s="382"/>
      <c r="J359" s="312" t="s">
        <v>407</v>
      </c>
      <c r="M359" s="616" t="s">
        <v>414</v>
      </c>
      <c r="N359" s="617"/>
      <c r="O359" s="179"/>
      <c r="P359" s="180"/>
      <c r="Q359" s="180">
        <v>8000000</v>
      </c>
      <c r="R359" s="181">
        <f t="shared" si="107"/>
        <v>1.4763032848303546</v>
      </c>
      <c r="S359" s="181">
        <v>100</v>
      </c>
      <c r="T359" s="180">
        <f t="shared" si="104"/>
        <v>18.75</v>
      </c>
      <c r="U359" s="180">
        <f t="shared" si="97"/>
        <v>0.27680686590569148</v>
      </c>
      <c r="V359" s="182">
        <f t="shared" si="95"/>
        <v>81.25</v>
      </c>
      <c r="W359" s="180"/>
      <c r="X359" s="180"/>
      <c r="Y359" s="180"/>
      <c r="Z359" s="180"/>
      <c r="AA359" s="180"/>
      <c r="AB359" s="180"/>
      <c r="AC359" s="180"/>
      <c r="AD359" s="180"/>
      <c r="AE359" s="180"/>
      <c r="AF359" s="180"/>
      <c r="AG359" s="180"/>
      <c r="AH359" s="180"/>
      <c r="AI359" s="180">
        <v>1500000</v>
      </c>
      <c r="AJ359" s="181">
        <f t="shared" si="105"/>
        <v>18.75</v>
      </c>
      <c r="AK359" s="180">
        <f t="shared" si="108"/>
        <v>6500000</v>
      </c>
      <c r="AL359" s="181">
        <f t="shared" si="106"/>
        <v>81.25</v>
      </c>
      <c r="AM359" s="243"/>
    </row>
    <row r="360" spans="1:39" ht="28.5" customHeight="1" x14ac:dyDescent="0.25">
      <c r="A360" s="243"/>
      <c r="B360" s="381"/>
      <c r="C360" s="381"/>
      <c r="D360" s="381"/>
      <c r="E360" s="381"/>
      <c r="F360" s="381"/>
      <c r="G360" s="381"/>
      <c r="H360" s="381"/>
      <c r="I360" s="382"/>
      <c r="J360" s="312" t="s">
        <v>551</v>
      </c>
      <c r="M360" s="648" t="s">
        <v>550</v>
      </c>
      <c r="N360" s="649"/>
      <c r="O360" s="179"/>
      <c r="P360" s="180"/>
      <c r="Q360" s="180">
        <v>96000000</v>
      </c>
      <c r="R360" s="181">
        <f t="shared" si="107"/>
        <v>17.715639417964255</v>
      </c>
      <c r="S360" s="181">
        <v>100</v>
      </c>
      <c r="T360" s="180">
        <f t="shared" si="104"/>
        <v>25</v>
      </c>
      <c r="U360" s="180">
        <f t="shared" si="97"/>
        <v>4.4289098544910637</v>
      </c>
      <c r="V360" s="182">
        <f t="shared" si="95"/>
        <v>75</v>
      </c>
      <c r="W360" s="180"/>
      <c r="X360" s="180"/>
      <c r="Y360" s="180"/>
      <c r="Z360" s="180"/>
      <c r="AA360" s="180"/>
      <c r="AB360" s="180"/>
      <c r="AC360" s="180"/>
      <c r="AD360" s="180"/>
      <c r="AE360" s="180"/>
      <c r="AF360" s="180"/>
      <c r="AG360" s="180"/>
      <c r="AH360" s="180"/>
      <c r="AI360" s="180">
        <f>16000000+8000000</f>
        <v>24000000</v>
      </c>
      <c r="AJ360" s="181">
        <f t="shared" si="105"/>
        <v>25</v>
      </c>
      <c r="AK360" s="180">
        <f t="shared" si="108"/>
        <v>72000000</v>
      </c>
      <c r="AL360" s="181">
        <f t="shared" si="106"/>
        <v>75</v>
      </c>
      <c r="AM360" s="243"/>
    </row>
    <row r="361" spans="1:39" s="297" customFormat="1" ht="29.25" customHeight="1" x14ac:dyDescent="0.25">
      <c r="A361" s="227">
        <f>SUM(A353+1)</f>
        <v>48</v>
      </c>
      <c r="B361" s="615" t="s">
        <v>150</v>
      </c>
      <c r="C361" s="615"/>
      <c r="D361" s="615"/>
      <c r="E361" s="615"/>
      <c r="F361" s="615"/>
      <c r="G361" s="615"/>
      <c r="H361" s="615"/>
      <c r="I361" s="614"/>
      <c r="J361" s="304" t="s">
        <v>491</v>
      </c>
      <c r="K361" s="230"/>
      <c r="L361" s="294"/>
      <c r="M361" s="609" t="s">
        <v>49</v>
      </c>
      <c r="N361" s="609"/>
      <c r="O361" s="309">
        <v>558720000</v>
      </c>
      <c r="P361" s="231">
        <f>O361</f>
        <v>558720000</v>
      </c>
      <c r="Q361" s="231">
        <f>SUM(Q362:Q373)</f>
        <v>412540000</v>
      </c>
      <c r="R361" s="233">
        <f>Q361/Q$245*100</f>
        <v>3.4586298628576171</v>
      </c>
      <c r="S361" s="233">
        <v>100</v>
      </c>
      <c r="T361" s="231">
        <f t="shared" si="104"/>
        <v>30.137679255344935</v>
      </c>
      <c r="U361" s="231">
        <f t="shared" si="97"/>
        <v>1.0423507746976051</v>
      </c>
      <c r="V361" s="296">
        <f t="shared" si="95"/>
        <v>69.862320744655065</v>
      </c>
      <c r="W361" s="231"/>
      <c r="X361" s="231" t="e">
        <f>#REF!</f>
        <v>#REF!</v>
      </c>
      <c r="Y361" s="231" t="e">
        <f>#REF!</f>
        <v>#REF!</v>
      </c>
      <c r="Z361" s="231" t="e">
        <f>#REF!</f>
        <v>#REF!</v>
      </c>
      <c r="AA361" s="231" t="e">
        <f>#REF!</f>
        <v>#REF!</v>
      </c>
      <c r="AB361" s="231">
        <v>192786500</v>
      </c>
      <c r="AC361" s="231" t="e">
        <f>#REF!</f>
        <v>#REF!</v>
      </c>
      <c r="AD361" s="231" t="e">
        <f>#REF!</f>
        <v>#REF!</v>
      </c>
      <c r="AE361" s="231" t="e">
        <f>#REF!</f>
        <v>#REF!</v>
      </c>
      <c r="AF361" s="231" t="e">
        <f>[1]April!N66</f>
        <v>#REF!</v>
      </c>
      <c r="AG361" s="231" t="e">
        <f>[2]april!N66</f>
        <v>#REF!</v>
      </c>
      <c r="AH361" s="231">
        <f>'[3]DES SKPD'!$N66</f>
        <v>558385000</v>
      </c>
      <c r="AI361" s="231">
        <f>SUM(AI362:AI373)</f>
        <v>124329982</v>
      </c>
      <c r="AJ361" s="233">
        <f t="shared" si="105"/>
        <v>30.137679255344935</v>
      </c>
      <c r="AK361" s="231">
        <f t="shared" si="108"/>
        <v>288210018</v>
      </c>
      <c r="AL361" s="233">
        <f t="shared" si="106"/>
        <v>69.862320744655065</v>
      </c>
      <c r="AM361" s="227"/>
    </row>
    <row r="362" spans="1:39" ht="29.25" customHeight="1" x14ac:dyDescent="0.25">
      <c r="A362" s="243"/>
      <c r="B362" s="381"/>
      <c r="C362" s="381"/>
      <c r="D362" s="381"/>
      <c r="E362" s="381"/>
      <c r="F362" s="381"/>
      <c r="G362" s="381"/>
      <c r="H362" s="381"/>
      <c r="I362" s="382"/>
      <c r="J362" s="381" t="s">
        <v>259</v>
      </c>
      <c r="K362" s="245"/>
      <c r="L362" s="257"/>
      <c r="M362" s="650" t="s">
        <v>260</v>
      </c>
      <c r="N362" s="651"/>
      <c r="O362" s="179"/>
      <c r="P362" s="180"/>
      <c r="Q362" s="180">
        <v>3080000</v>
      </c>
      <c r="R362" s="181">
        <f t="shared" ref="R362:R373" si="109">Q362/Q$361*100</f>
        <v>0.74659426964657971</v>
      </c>
      <c r="S362" s="181">
        <v>100</v>
      </c>
      <c r="T362" s="180">
        <f t="shared" si="104"/>
        <v>50</v>
      </c>
      <c r="U362" s="180">
        <f t="shared" si="97"/>
        <v>0.37329713482328986</v>
      </c>
      <c r="V362" s="182">
        <f t="shared" si="95"/>
        <v>50</v>
      </c>
      <c r="W362" s="180"/>
      <c r="X362" s="180"/>
      <c r="Y362" s="180"/>
      <c r="Z362" s="180"/>
      <c r="AA362" s="180"/>
      <c r="AB362" s="180"/>
      <c r="AC362" s="180"/>
      <c r="AD362" s="180"/>
      <c r="AE362" s="180"/>
      <c r="AF362" s="180"/>
      <c r="AG362" s="180"/>
      <c r="AH362" s="180"/>
      <c r="AI362" s="180">
        <v>1540000</v>
      </c>
      <c r="AJ362" s="181">
        <f t="shared" si="105"/>
        <v>50</v>
      </c>
      <c r="AK362" s="180">
        <f t="shared" si="108"/>
        <v>1540000</v>
      </c>
      <c r="AL362" s="181">
        <f t="shared" si="106"/>
        <v>50</v>
      </c>
      <c r="AM362" s="243"/>
    </row>
    <row r="363" spans="1:39" ht="29.25" customHeight="1" x14ac:dyDescent="0.25">
      <c r="A363" s="243"/>
      <c r="B363" s="381"/>
      <c r="C363" s="381"/>
      <c r="D363" s="381"/>
      <c r="E363" s="381"/>
      <c r="F363" s="381"/>
      <c r="G363" s="381"/>
      <c r="H363" s="381"/>
      <c r="I363" s="382"/>
      <c r="J363" s="381" t="s">
        <v>347</v>
      </c>
      <c r="K363" s="245"/>
      <c r="L363" s="257"/>
      <c r="M363" s="591" t="s">
        <v>348</v>
      </c>
      <c r="N363" s="592"/>
      <c r="O363" s="179"/>
      <c r="P363" s="180"/>
      <c r="Q363" s="180">
        <v>57400000</v>
      </c>
      <c r="R363" s="181">
        <f t="shared" si="109"/>
        <v>13.913802297958986</v>
      </c>
      <c r="S363" s="181">
        <v>100</v>
      </c>
      <c r="T363" s="180">
        <f t="shared" si="104"/>
        <v>0</v>
      </c>
      <c r="U363" s="180">
        <f t="shared" ref="U363:U426" si="110">R363*T363/100</f>
        <v>0</v>
      </c>
      <c r="V363" s="182">
        <f t="shared" si="95"/>
        <v>100</v>
      </c>
      <c r="W363" s="180"/>
      <c r="X363" s="180"/>
      <c r="Y363" s="180"/>
      <c r="Z363" s="180"/>
      <c r="AA363" s="180"/>
      <c r="AB363" s="180"/>
      <c r="AC363" s="180"/>
      <c r="AD363" s="180"/>
      <c r="AE363" s="180"/>
      <c r="AF363" s="180"/>
      <c r="AG363" s="180"/>
      <c r="AH363" s="180"/>
      <c r="AI363" s="180">
        <v>0</v>
      </c>
      <c r="AJ363" s="181">
        <f t="shared" si="105"/>
        <v>0</v>
      </c>
      <c r="AK363" s="180">
        <f t="shared" si="108"/>
        <v>57400000</v>
      </c>
      <c r="AL363" s="181">
        <f t="shared" si="106"/>
        <v>100</v>
      </c>
      <c r="AM363" s="243"/>
    </row>
    <row r="364" spans="1:39" ht="29.25" customHeight="1" x14ac:dyDescent="0.25">
      <c r="A364" s="243"/>
      <c r="B364" s="381"/>
      <c r="C364" s="381"/>
      <c r="D364" s="381"/>
      <c r="E364" s="381"/>
      <c r="F364" s="381"/>
      <c r="G364" s="381"/>
      <c r="H364" s="381"/>
      <c r="I364" s="382"/>
      <c r="J364" s="381" t="s">
        <v>323</v>
      </c>
      <c r="K364" s="245"/>
      <c r="L364" s="257"/>
      <c r="M364" s="591" t="s">
        <v>324</v>
      </c>
      <c r="N364" s="592"/>
      <c r="O364" s="179"/>
      <c r="P364" s="180"/>
      <c r="Q364" s="180">
        <v>24084000</v>
      </c>
      <c r="R364" s="181">
        <f t="shared" si="109"/>
        <v>5.8379793474572166</v>
      </c>
      <c r="S364" s="181">
        <v>100</v>
      </c>
      <c r="T364" s="180">
        <f t="shared" si="104"/>
        <v>36.434977578475333</v>
      </c>
      <c r="U364" s="180">
        <f t="shared" si="110"/>
        <v>2.1270664662820575</v>
      </c>
      <c r="V364" s="182">
        <f t="shared" si="95"/>
        <v>63.565022421524667</v>
      </c>
      <c r="W364" s="180"/>
      <c r="X364" s="180"/>
      <c r="Y364" s="180"/>
      <c r="Z364" s="180"/>
      <c r="AA364" s="180"/>
      <c r="AB364" s="180"/>
      <c r="AC364" s="180"/>
      <c r="AD364" s="180"/>
      <c r="AE364" s="180"/>
      <c r="AF364" s="180"/>
      <c r="AG364" s="180"/>
      <c r="AH364" s="180"/>
      <c r="AI364" s="180">
        <f>5850000+2925000</f>
        <v>8775000</v>
      </c>
      <c r="AJ364" s="181">
        <f t="shared" si="105"/>
        <v>36.434977578475333</v>
      </c>
      <c r="AK364" s="180">
        <f t="shared" si="108"/>
        <v>15309000</v>
      </c>
      <c r="AL364" s="181">
        <f t="shared" si="106"/>
        <v>63.565022421524667</v>
      </c>
      <c r="AM364" s="243"/>
    </row>
    <row r="365" spans="1:39" ht="29.25" customHeight="1" x14ac:dyDescent="0.25">
      <c r="A365" s="243"/>
      <c r="B365" s="381"/>
      <c r="C365" s="381"/>
      <c r="D365" s="381"/>
      <c r="E365" s="381"/>
      <c r="F365" s="381"/>
      <c r="G365" s="381"/>
      <c r="H365" s="381"/>
      <c r="I365" s="382"/>
      <c r="J365" s="381" t="s">
        <v>269</v>
      </c>
      <c r="K365" s="245"/>
      <c r="L365" s="257"/>
      <c r="M365" s="591" t="s">
        <v>270</v>
      </c>
      <c r="N365" s="592"/>
      <c r="O365" s="179"/>
      <c r="P365" s="180"/>
      <c r="Q365" s="180">
        <v>1500000</v>
      </c>
      <c r="R365" s="181">
        <f t="shared" si="109"/>
        <v>0.36360110534736023</v>
      </c>
      <c r="S365" s="181">
        <v>100</v>
      </c>
      <c r="T365" s="180">
        <f t="shared" si="104"/>
        <v>0</v>
      </c>
      <c r="U365" s="180">
        <f t="shared" si="110"/>
        <v>0</v>
      </c>
      <c r="V365" s="182">
        <f t="shared" si="95"/>
        <v>100</v>
      </c>
      <c r="W365" s="180"/>
      <c r="X365" s="180"/>
      <c r="Y365" s="180"/>
      <c r="Z365" s="180"/>
      <c r="AA365" s="180"/>
      <c r="AB365" s="180"/>
      <c r="AC365" s="180"/>
      <c r="AD365" s="180"/>
      <c r="AE365" s="180"/>
      <c r="AF365" s="180"/>
      <c r="AG365" s="180"/>
      <c r="AH365" s="180"/>
      <c r="AI365" s="180">
        <v>0</v>
      </c>
      <c r="AJ365" s="181">
        <f t="shared" si="105"/>
        <v>0</v>
      </c>
      <c r="AK365" s="180">
        <f t="shared" si="108"/>
        <v>1500000</v>
      </c>
      <c r="AL365" s="181">
        <f t="shared" si="106"/>
        <v>100</v>
      </c>
      <c r="AM365" s="243"/>
    </row>
    <row r="366" spans="1:39" ht="29.25" customHeight="1" x14ac:dyDescent="0.25">
      <c r="A366" s="243"/>
      <c r="B366" s="381"/>
      <c r="C366" s="381"/>
      <c r="D366" s="381"/>
      <c r="E366" s="381"/>
      <c r="F366" s="381"/>
      <c r="G366" s="381"/>
      <c r="H366" s="381"/>
      <c r="I366" s="382"/>
      <c r="J366" s="381" t="s">
        <v>315</v>
      </c>
      <c r="K366" s="245"/>
      <c r="L366" s="257"/>
      <c r="M366" s="591" t="s">
        <v>271</v>
      </c>
      <c r="N366" s="592"/>
      <c r="O366" s="179"/>
      <c r="P366" s="180"/>
      <c r="Q366" s="180">
        <v>3116000</v>
      </c>
      <c r="R366" s="181">
        <f t="shared" si="109"/>
        <v>0.75532069617491637</v>
      </c>
      <c r="S366" s="181">
        <v>100</v>
      </c>
      <c r="T366" s="180">
        <f t="shared" si="104"/>
        <v>30.744544287548138</v>
      </c>
      <c r="U366" s="180">
        <f t="shared" si="110"/>
        <v>0.23221990594851408</v>
      </c>
      <c r="V366" s="182">
        <f t="shared" si="95"/>
        <v>69.255455712451862</v>
      </c>
      <c r="W366" s="180"/>
      <c r="X366" s="180"/>
      <c r="Y366" s="180"/>
      <c r="Z366" s="180"/>
      <c r="AA366" s="180"/>
      <c r="AB366" s="180"/>
      <c r="AC366" s="180"/>
      <c r="AD366" s="180"/>
      <c r="AE366" s="180"/>
      <c r="AF366" s="180"/>
      <c r="AG366" s="180"/>
      <c r="AH366" s="180"/>
      <c r="AI366" s="180">
        <v>958000</v>
      </c>
      <c r="AJ366" s="181">
        <f t="shared" si="105"/>
        <v>30.744544287548138</v>
      </c>
      <c r="AK366" s="180">
        <f t="shared" si="108"/>
        <v>2158000</v>
      </c>
      <c r="AL366" s="181">
        <f t="shared" si="106"/>
        <v>69.255455712451862</v>
      </c>
      <c r="AM366" s="243"/>
    </row>
    <row r="367" spans="1:39" ht="29.25" customHeight="1" x14ac:dyDescent="0.25">
      <c r="A367" s="243"/>
      <c r="B367" s="381"/>
      <c r="C367" s="381"/>
      <c r="D367" s="381"/>
      <c r="E367" s="381"/>
      <c r="F367" s="381"/>
      <c r="G367" s="381"/>
      <c r="H367" s="381"/>
      <c r="I367" s="382"/>
      <c r="J367" s="381" t="s">
        <v>316</v>
      </c>
      <c r="K367" s="245"/>
      <c r="L367" s="257"/>
      <c r="M367" s="591" t="s">
        <v>317</v>
      </c>
      <c r="N367" s="592"/>
      <c r="O367" s="179"/>
      <c r="P367" s="180"/>
      <c r="Q367" s="180">
        <v>2000000</v>
      </c>
      <c r="R367" s="181">
        <f t="shared" si="109"/>
        <v>0.48480147379648031</v>
      </c>
      <c r="S367" s="181">
        <v>100</v>
      </c>
      <c r="T367" s="180">
        <f t="shared" si="104"/>
        <v>50</v>
      </c>
      <c r="U367" s="180">
        <f t="shared" si="110"/>
        <v>0.24240073689824015</v>
      </c>
      <c r="V367" s="182">
        <f t="shared" si="95"/>
        <v>50</v>
      </c>
      <c r="W367" s="180"/>
      <c r="X367" s="180"/>
      <c r="Y367" s="180"/>
      <c r="Z367" s="180"/>
      <c r="AA367" s="180"/>
      <c r="AB367" s="180"/>
      <c r="AC367" s="180"/>
      <c r="AD367" s="180"/>
      <c r="AE367" s="180"/>
      <c r="AF367" s="180"/>
      <c r="AG367" s="180"/>
      <c r="AH367" s="180"/>
      <c r="AI367" s="180">
        <v>1000000</v>
      </c>
      <c r="AJ367" s="181">
        <f t="shared" si="105"/>
        <v>50</v>
      </c>
      <c r="AK367" s="180">
        <f t="shared" si="108"/>
        <v>1000000</v>
      </c>
      <c r="AL367" s="181">
        <f t="shared" si="106"/>
        <v>50</v>
      </c>
      <c r="AM367" s="243"/>
    </row>
    <row r="368" spans="1:39" ht="29.25" customHeight="1" x14ac:dyDescent="0.25">
      <c r="A368" s="243"/>
      <c r="B368" s="381"/>
      <c r="C368" s="381"/>
      <c r="D368" s="381"/>
      <c r="E368" s="381"/>
      <c r="F368" s="381"/>
      <c r="G368" s="381"/>
      <c r="H368" s="381"/>
      <c r="I368" s="382"/>
      <c r="J368" s="381" t="s">
        <v>318</v>
      </c>
      <c r="K368" s="245"/>
      <c r="L368" s="257"/>
      <c r="M368" s="591" t="s">
        <v>319</v>
      </c>
      <c r="N368" s="592"/>
      <c r="O368" s="179"/>
      <c r="P368" s="180"/>
      <c r="Q368" s="180">
        <v>105200000</v>
      </c>
      <c r="R368" s="181">
        <f t="shared" si="109"/>
        <v>25.500557521694866</v>
      </c>
      <c r="S368" s="181">
        <v>100</v>
      </c>
      <c r="T368" s="180">
        <f t="shared" si="104"/>
        <v>49.904942965779469</v>
      </c>
      <c r="U368" s="180">
        <f t="shared" si="110"/>
        <v>12.726038687157608</v>
      </c>
      <c r="V368" s="182">
        <f t="shared" si="95"/>
        <v>50.095057034220531</v>
      </c>
      <c r="W368" s="180"/>
      <c r="X368" s="180"/>
      <c r="Y368" s="180"/>
      <c r="Z368" s="180"/>
      <c r="AA368" s="180"/>
      <c r="AB368" s="180"/>
      <c r="AC368" s="180"/>
      <c r="AD368" s="180"/>
      <c r="AE368" s="180"/>
      <c r="AF368" s="180"/>
      <c r="AG368" s="180"/>
      <c r="AH368" s="180"/>
      <c r="AI368" s="180">
        <v>52500000</v>
      </c>
      <c r="AJ368" s="181">
        <f t="shared" si="105"/>
        <v>49.904942965779469</v>
      </c>
      <c r="AK368" s="180">
        <f t="shared" si="108"/>
        <v>52700000</v>
      </c>
      <c r="AL368" s="181">
        <f t="shared" si="106"/>
        <v>50.095057034220538</v>
      </c>
      <c r="AM368" s="243"/>
    </row>
    <row r="369" spans="1:39" ht="29.25" customHeight="1" x14ac:dyDescent="0.25">
      <c r="A369" s="243"/>
      <c r="B369" s="381"/>
      <c r="C369" s="381"/>
      <c r="D369" s="381"/>
      <c r="E369" s="381"/>
      <c r="F369" s="381"/>
      <c r="G369" s="381"/>
      <c r="H369" s="381"/>
      <c r="I369" s="382"/>
      <c r="J369" s="381" t="s">
        <v>284</v>
      </c>
      <c r="K369" s="245"/>
      <c r="L369" s="257"/>
      <c r="M369" s="591" t="s">
        <v>285</v>
      </c>
      <c r="N369" s="592"/>
      <c r="O369" s="179"/>
      <c r="P369" s="180"/>
      <c r="Q369" s="180">
        <v>14740000</v>
      </c>
      <c r="R369" s="181">
        <f t="shared" si="109"/>
        <v>3.57298686188006</v>
      </c>
      <c r="S369" s="181">
        <v>100</v>
      </c>
      <c r="T369" s="180">
        <f t="shared" si="104"/>
        <v>20.759837177747624</v>
      </c>
      <c r="U369" s="180">
        <f t="shared" si="110"/>
        <v>0.7417462549086149</v>
      </c>
      <c r="V369" s="182">
        <f t="shared" si="95"/>
        <v>79.240162822252373</v>
      </c>
      <c r="W369" s="180"/>
      <c r="X369" s="180"/>
      <c r="Y369" s="180"/>
      <c r="Z369" s="180"/>
      <c r="AA369" s="180"/>
      <c r="AB369" s="180"/>
      <c r="AC369" s="180"/>
      <c r="AD369" s="180"/>
      <c r="AE369" s="180"/>
      <c r="AF369" s="180"/>
      <c r="AG369" s="180"/>
      <c r="AH369" s="180"/>
      <c r="AI369" s="180">
        <f>2400000+660000</f>
        <v>3060000</v>
      </c>
      <c r="AJ369" s="181">
        <f t="shared" si="105"/>
        <v>20.759837177747624</v>
      </c>
      <c r="AK369" s="180">
        <f t="shared" si="108"/>
        <v>11680000</v>
      </c>
      <c r="AL369" s="181">
        <f t="shared" si="106"/>
        <v>79.240162822252373</v>
      </c>
      <c r="AM369" s="243"/>
    </row>
    <row r="370" spans="1:39" ht="29.25" customHeight="1" x14ac:dyDescent="0.25">
      <c r="A370" s="243"/>
      <c r="B370" s="381"/>
      <c r="C370" s="381"/>
      <c r="D370" s="381"/>
      <c r="E370" s="381"/>
      <c r="F370" s="381"/>
      <c r="G370" s="381"/>
      <c r="H370" s="381"/>
      <c r="I370" s="382"/>
      <c r="J370" s="381" t="s">
        <v>282</v>
      </c>
      <c r="K370" s="245"/>
      <c r="L370" s="257"/>
      <c r="M370" s="591" t="s">
        <v>283</v>
      </c>
      <c r="N370" s="592"/>
      <c r="O370" s="179"/>
      <c r="P370" s="180"/>
      <c r="Q370" s="180">
        <v>88420000</v>
      </c>
      <c r="R370" s="181">
        <f t="shared" si="109"/>
        <v>21.433073156542395</v>
      </c>
      <c r="S370" s="181">
        <v>100</v>
      </c>
      <c r="T370" s="180">
        <f t="shared" si="104"/>
        <v>16.961074417552592</v>
      </c>
      <c r="U370" s="180">
        <f t="shared" si="110"/>
        <v>3.635279488049644</v>
      </c>
      <c r="V370" s="182">
        <f t="shared" si="95"/>
        <v>83.038925582447405</v>
      </c>
      <c r="W370" s="180"/>
      <c r="X370" s="180"/>
      <c r="Y370" s="180"/>
      <c r="Z370" s="180"/>
      <c r="AA370" s="180"/>
      <c r="AB370" s="180"/>
      <c r="AC370" s="180"/>
      <c r="AD370" s="180"/>
      <c r="AE370" s="180"/>
      <c r="AF370" s="180"/>
      <c r="AG370" s="180"/>
      <c r="AH370" s="180"/>
      <c r="AI370" s="180">
        <v>14996982</v>
      </c>
      <c r="AJ370" s="181">
        <f t="shared" si="105"/>
        <v>16.961074417552592</v>
      </c>
      <c r="AK370" s="180">
        <f t="shared" si="108"/>
        <v>73423018</v>
      </c>
      <c r="AL370" s="181">
        <f t="shared" si="106"/>
        <v>83.038925582447405</v>
      </c>
      <c r="AM370" s="243"/>
    </row>
    <row r="371" spans="1:39" ht="29.25" customHeight="1" x14ac:dyDescent="0.25">
      <c r="A371" s="243"/>
      <c r="B371" s="381"/>
      <c r="C371" s="381"/>
      <c r="D371" s="381"/>
      <c r="E371" s="381"/>
      <c r="F371" s="381"/>
      <c r="G371" s="381"/>
      <c r="H371" s="381"/>
      <c r="I371" s="382"/>
      <c r="J371" s="381" t="s">
        <v>320</v>
      </c>
      <c r="K371" s="245"/>
      <c r="L371" s="257"/>
      <c r="M371" s="591" t="s">
        <v>321</v>
      </c>
      <c r="N371" s="592"/>
      <c r="O371" s="179"/>
      <c r="P371" s="180"/>
      <c r="Q371" s="180">
        <v>65600000</v>
      </c>
      <c r="R371" s="181">
        <f t="shared" si="109"/>
        <v>15.901488340524555</v>
      </c>
      <c r="S371" s="181">
        <v>100</v>
      </c>
      <c r="T371" s="180">
        <f t="shared" si="104"/>
        <v>38.719512195121951</v>
      </c>
      <c r="U371" s="180">
        <f t="shared" si="110"/>
        <v>6.1569787172152992</v>
      </c>
      <c r="V371" s="182">
        <f t="shared" si="95"/>
        <v>61.280487804878049</v>
      </c>
      <c r="W371" s="180"/>
      <c r="X371" s="180"/>
      <c r="Y371" s="180"/>
      <c r="Z371" s="180"/>
      <c r="AA371" s="180"/>
      <c r="AB371" s="180"/>
      <c r="AC371" s="180"/>
      <c r="AD371" s="180"/>
      <c r="AE371" s="180"/>
      <c r="AF371" s="180"/>
      <c r="AG371" s="180"/>
      <c r="AH371" s="180"/>
      <c r="AI371" s="180">
        <v>25400000</v>
      </c>
      <c r="AJ371" s="181">
        <f t="shared" si="105"/>
        <v>38.719512195121951</v>
      </c>
      <c r="AK371" s="180">
        <f t="shared" si="108"/>
        <v>40200000</v>
      </c>
      <c r="AL371" s="181">
        <f t="shared" si="106"/>
        <v>61.280487804878049</v>
      </c>
      <c r="AM371" s="243"/>
    </row>
    <row r="372" spans="1:39" ht="29.25" customHeight="1" x14ac:dyDescent="0.25">
      <c r="A372" s="243"/>
      <c r="B372" s="381"/>
      <c r="C372" s="381"/>
      <c r="D372" s="381"/>
      <c r="E372" s="381"/>
      <c r="F372" s="381"/>
      <c r="G372" s="381"/>
      <c r="H372" s="381"/>
      <c r="I372" s="382"/>
      <c r="J372" s="381" t="s">
        <v>320</v>
      </c>
      <c r="K372" s="245"/>
      <c r="L372" s="257"/>
      <c r="M372" s="591" t="s">
        <v>414</v>
      </c>
      <c r="N372" s="592"/>
      <c r="O372" s="179"/>
      <c r="P372" s="180"/>
      <c r="Q372" s="180">
        <v>18600000</v>
      </c>
      <c r="R372" s="181">
        <f t="shared" si="109"/>
        <v>4.5086537063072676</v>
      </c>
      <c r="S372" s="181">
        <v>100</v>
      </c>
      <c r="T372" s="180">
        <f t="shared" si="104"/>
        <v>47.8494623655914</v>
      </c>
      <c r="U372" s="180">
        <f t="shared" si="110"/>
        <v>2.157366558394338</v>
      </c>
      <c r="V372" s="182">
        <f t="shared" si="95"/>
        <v>52.1505376344086</v>
      </c>
      <c r="W372" s="180"/>
      <c r="X372" s="180"/>
      <c r="Y372" s="180"/>
      <c r="Z372" s="180"/>
      <c r="AA372" s="180"/>
      <c r="AB372" s="180"/>
      <c r="AC372" s="180"/>
      <c r="AD372" s="180"/>
      <c r="AE372" s="180"/>
      <c r="AF372" s="180"/>
      <c r="AG372" s="180"/>
      <c r="AH372" s="180"/>
      <c r="AI372" s="180">
        <v>8900000</v>
      </c>
      <c r="AJ372" s="181">
        <f t="shared" si="105"/>
        <v>47.8494623655914</v>
      </c>
      <c r="AK372" s="180">
        <f t="shared" si="108"/>
        <v>9700000</v>
      </c>
      <c r="AL372" s="181">
        <f t="shared" si="106"/>
        <v>52.1505376344086</v>
      </c>
      <c r="AM372" s="243"/>
    </row>
    <row r="373" spans="1:39" ht="29.25" customHeight="1" x14ac:dyDescent="0.25">
      <c r="A373" s="243"/>
      <c r="B373" s="381"/>
      <c r="C373" s="381"/>
      <c r="D373" s="381"/>
      <c r="E373" s="381"/>
      <c r="F373" s="381"/>
      <c r="G373" s="381"/>
      <c r="H373" s="381"/>
      <c r="I373" s="382"/>
      <c r="J373" s="381" t="s">
        <v>350</v>
      </c>
      <c r="K373" s="245"/>
      <c r="L373" s="257"/>
      <c r="M373" s="591" t="s">
        <v>550</v>
      </c>
      <c r="N373" s="592"/>
      <c r="O373" s="179"/>
      <c r="P373" s="180"/>
      <c r="Q373" s="180">
        <v>28800000</v>
      </c>
      <c r="R373" s="181">
        <f t="shared" si="109"/>
        <v>6.9811412226693168</v>
      </c>
      <c r="S373" s="181">
        <v>100</v>
      </c>
      <c r="T373" s="180">
        <f t="shared" si="104"/>
        <v>25</v>
      </c>
      <c r="U373" s="180">
        <f t="shared" si="110"/>
        <v>1.7452853056673292</v>
      </c>
      <c r="V373" s="182">
        <f t="shared" si="95"/>
        <v>75</v>
      </c>
      <c r="W373" s="180"/>
      <c r="X373" s="180"/>
      <c r="Y373" s="180"/>
      <c r="Z373" s="180"/>
      <c r="AA373" s="180"/>
      <c r="AB373" s="180"/>
      <c r="AC373" s="180"/>
      <c r="AD373" s="180"/>
      <c r="AE373" s="180"/>
      <c r="AF373" s="180"/>
      <c r="AG373" s="180"/>
      <c r="AH373" s="180"/>
      <c r="AI373" s="180">
        <f>4800000+2400000</f>
        <v>7200000</v>
      </c>
      <c r="AJ373" s="181">
        <f t="shared" si="105"/>
        <v>25</v>
      </c>
      <c r="AK373" s="180">
        <f t="shared" si="108"/>
        <v>21600000</v>
      </c>
      <c r="AL373" s="181">
        <f t="shared" si="106"/>
        <v>75</v>
      </c>
      <c r="AM373" s="243"/>
    </row>
    <row r="374" spans="1:39" s="297" customFormat="1" ht="24.75" customHeight="1" x14ac:dyDescent="0.25">
      <c r="A374" s="227">
        <f>SUM(A361+1)</f>
        <v>49</v>
      </c>
      <c r="B374" s="615" t="s">
        <v>147</v>
      </c>
      <c r="C374" s="615"/>
      <c r="D374" s="615"/>
      <c r="E374" s="615"/>
      <c r="F374" s="615"/>
      <c r="G374" s="615"/>
      <c r="H374" s="615"/>
      <c r="I374" s="614"/>
      <c r="J374" s="304" t="s">
        <v>495</v>
      </c>
      <c r="K374" s="230"/>
      <c r="L374" s="294"/>
      <c r="M374" s="610" t="s">
        <v>50</v>
      </c>
      <c r="N374" s="610"/>
      <c r="O374" s="309">
        <v>509540000</v>
      </c>
      <c r="P374" s="231">
        <f>O374</f>
        <v>509540000</v>
      </c>
      <c r="Q374" s="231">
        <f>SUM(Q375:Q383)</f>
        <v>351260000</v>
      </c>
      <c r="R374" s="233">
        <f>Q374/Q$245*100</f>
        <v>2.9448740137377385</v>
      </c>
      <c r="S374" s="233">
        <v>100</v>
      </c>
      <c r="T374" s="231">
        <f t="shared" si="104"/>
        <v>0</v>
      </c>
      <c r="U374" s="231">
        <f t="shared" si="110"/>
        <v>0</v>
      </c>
      <c r="V374" s="296">
        <f t="shared" si="95"/>
        <v>100</v>
      </c>
      <c r="W374" s="231"/>
      <c r="X374" s="231" t="e">
        <f>#REF!</f>
        <v>#REF!</v>
      </c>
      <c r="Y374" s="231" t="e">
        <f>#REF!</f>
        <v>#REF!</v>
      </c>
      <c r="Z374" s="231" t="e">
        <f>#REF!</f>
        <v>#REF!</v>
      </c>
      <c r="AA374" s="231" t="e">
        <f>#REF!</f>
        <v>#REF!</v>
      </c>
      <c r="AB374" s="231">
        <v>227840500</v>
      </c>
      <c r="AC374" s="231" t="e">
        <f>#REF!</f>
        <v>#REF!</v>
      </c>
      <c r="AD374" s="231" t="e">
        <f>#REF!</f>
        <v>#REF!</v>
      </c>
      <c r="AE374" s="231" t="e">
        <f>#REF!</f>
        <v>#REF!</v>
      </c>
      <c r="AF374" s="231" t="e">
        <f>[1]April!N68</f>
        <v>#REF!</v>
      </c>
      <c r="AG374" s="231" t="e">
        <f>[2]april!N68</f>
        <v>#REF!</v>
      </c>
      <c r="AH374" s="231">
        <f>'[3]DES SKPD'!$N68</f>
        <v>375022000</v>
      </c>
      <c r="AI374" s="231">
        <f>SUM(AI375:AI383)</f>
        <v>0</v>
      </c>
      <c r="AJ374" s="233">
        <f t="shared" si="105"/>
        <v>0</v>
      </c>
      <c r="AK374" s="231">
        <f t="shared" si="108"/>
        <v>351260000</v>
      </c>
      <c r="AL374" s="233">
        <f t="shared" si="106"/>
        <v>100</v>
      </c>
      <c r="AM374" s="227"/>
    </row>
    <row r="375" spans="1:39" ht="24.75" customHeight="1" x14ac:dyDescent="0.25">
      <c r="A375" s="243"/>
      <c r="B375" s="381"/>
      <c r="C375" s="381"/>
      <c r="D375" s="381"/>
      <c r="E375" s="381"/>
      <c r="F375" s="381"/>
      <c r="G375" s="381"/>
      <c r="H375" s="381"/>
      <c r="I375" s="382"/>
      <c r="J375" s="381" t="s">
        <v>259</v>
      </c>
      <c r="K375" s="245"/>
      <c r="L375" s="257"/>
      <c r="M375" s="591" t="s">
        <v>260</v>
      </c>
      <c r="N375" s="592"/>
      <c r="O375" s="179"/>
      <c r="P375" s="180"/>
      <c r="Q375" s="180">
        <v>4620000</v>
      </c>
      <c r="R375" s="181">
        <f t="shared" ref="R375:R383" si="111">Q375/Q$374*100</f>
        <v>1.3152650458349939</v>
      </c>
      <c r="S375" s="181">
        <v>100</v>
      </c>
      <c r="T375" s="180">
        <f t="shared" si="104"/>
        <v>0</v>
      </c>
      <c r="U375" s="180">
        <f t="shared" si="110"/>
        <v>0</v>
      </c>
      <c r="V375" s="182">
        <f t="shared" si="95"/>
        <v>100</v>
      </c>
      <c r="W375" s="180"/>
      <c r="X375" s="180"/>
      <c r="Y375" s="180"/>
      <c r="Z375" s="180"/>
      <c r="AA375" s="180"/>
      <c r="AB375" s="180"/>
      <c r="AC375" s="180"/>
      <c r="AD375" s="180"/>
      <c r="AE375" s="180"/>
      <c r="AF375" s="180"/>
      <c r="AG375" s="180"/>
      <c r="AH375" s="180"/>
      <c r="AI375" s="180">
        <v>0</v>
      </c>
      <c r="AJ375" s="181">
        <f t="shared" si="105"/>
        <v>0</v>
      </c>
      <c r="AK375" s="180">
        <f t="shared" si="108"/>
        <v>4620000</v>
      </c>
      <c r="AL375" s="181">
        <f t="shared" si="106"/>
        <v>100</v>
      </c>
      <c r="AM375" s="243"/>
    </row>
    <row r="376" spans="1:39" ht="24.75" customHeight="1" x14ac:dyDescent="0.25">
      <c r="A376" s="243"/>
      <c r="B376" s="381"/>
      <c r="C376" s="381"/>
      <c r="D376" s="381"/>
      <c r="E376" s="381"/>
      <c r="F376" s="381"/>
      <c r="G376" s="381"/>
      <c r="H376" s="381"/>
      <c r="I376" s="382"/>
      <c r="J376" s="381" t="s">
        <v>323</v>
      </c>
      <c r="K376" s="245"/>
      <c r="L376" s="257"/>
      <c r="M376" s="591" t="s">
        <v>609</v>
      </c>
      <c r="N376" s="592"/>
      <c r="O376" s="179"/>
      <c r="P376" s="180"/>
      <c r="Q376" s="180">
        <v>18900000</v>
      </c>
      <c r="R376" s="181">
        <f t="shared" si="111"/>
        <v>5.3806297329613395</v>
      </c>
      <c r="S376" s="181">
        <v>100</v>
      </c>
      <c r="T376" s="180">
        <f t="shared" si="104"/>
        <v>0</v>
      </c>
      <c r="U376" s="180">
        <f t="shared" si="110"/>
        <v>0</v>
      </c>
      <c r="V376" s="182">
        <f t="shared" si="95"/>
        <v>100</v>
      </c>
      <c r="W376" s="180"/>
      <c r="X376" s="180"/>
      <c r="Y376" s="180"/>
      <c r="Z376" s="180"/>
      <c r="AA376" s="180"/>
      <c r="AB376" s="180"/>
      <c r="AC376" s="180"/>
      <c r="AD376" s="180"/>
      <c r="AE376" s="180"/>
      <c r="AF376" s="180"/>
      <c r="AG376" s="180"/>
      <c r="AH376" s="180"/>
      <c r="AI376" s="180">
        <v>0</v>
      </c>
      <c r="AJ376" s="181">
        <f t="shared" si="105"/>
        <v>0</v>
      </c>
      <c r="AK376" s="180">
        <f t="shared" si="108"/>
        <v>18900000</v>
      </c>
      <c r="AL376" s="181">
        <f t="shared" si="106"/>
        <v>100</v>
      </c>
      <c r="AM376" s="243"/>
    </row>
    <row r="377" spans="1:39" ht="24.75" customHeight="1" x14ac:dyDescent="0.25">
      <c r="A377" s="243"/>
      <c r="B377" s="381"/>
      <c r="C377" s="381"/>
      <c r="D377" s="381"/>
      <c r="E377" s="381"/>
      <c r="F377" s="381"/>
      <c r="G377" s="381"/>
      <c r="H377" s="381"/>
      <c r="I377" s="382"/>
      <c r="J377" s="381" t="s">
        <v>269</v>
      </c>
      <c r="K377" s="245"/>
      <c r="L377" s="257"/>
      <c r="M377" s="591" t="s">
        <v>352</v>
      </c>
      <c r="N377" s="592"/>
      <c r="O377" s="179"/>
      <c r="P377" s="180"/>
      <c r="Q377" s="180">
        <v>7500000</v>
      </c>
      <c r="R377" s="181">
        <f t="shared" si="111"/>
        <v>2.1351705289529126</v>
      </c>
      <c r="S377" s="181">
        <v>100</v>
      </c>
      <c r="T377" s="180">
        <f t="shared" si="104"/>
        <v>0</v>
      </c>
      <c r="U377" s="180">
        <f t="shared" si="110"/>
        <v>0</v>
      </c>
      <c r="V377" s="182">
        <f t="shared" si="95"/>
        <v>100</v>
      </c>
      <c r="W377" s="180"/>
      <c r="X377" s="180"/>
      <c r="Y377" s="180"/>
      <c r="Z377" s="180"/>
      <c r="AA377" s="180"/>
      <c r="AB377" s="180"/>
      <c r="AC377" s="180"/>
      <c r="AD377" s="180"/>
      <c r="AE377" s="180"/>
      <c r="AF377" s="180"/>
      <c r="AG377" s="180"/>
      <c r="AH377" s="180"/>
      <c r="AI377" s="180">
        <v>0</v>
      </c>
      <c r="AJ377" s="181">
        <f t="shared" si="105"/>
        <v>0</v>
      </c>
      <c r="AK377" s="180">
        <f t="shared" si="108"/>
        <v>7500000</v>
      </c>
      <c r="AL377" s="181">
        <f t="shared" si="106"/>
        <v>100</v>
      </c>
      <c r="AM377" s="243"/>
    </row>
    <row r="378" spans="1:39" ht="24.75" customHeight="1" x14ac:dyDescent="0.25">
      <c r="A378" s="243"/>
      <c r="B378" s="381"/>
      <c r="C378" s="381"/>
      <c r="D378" s="381"/>
      <c r="E378" s="381"/>
      <c r="F378" s="381"/>
      <c r="G378" s="381"/>
      <c r="H378" s="381"/>
      <c r="I378" s="382"/>
      <c r="J378" s="381" t="s">
        <v>315</v>
      </c>
      <c r="K378" s="245"/>
      <c r="L378" s="257"/>
      <c r="M378" s="591" t="s">
        <v>271</v>
      </c>
      <c r="N378" s="592"/>
      <c r="O378" s="179"/>
      <c r="P378" s="180"/>
      <c r="Q378" s="180">
        <v>7560000</v>
      </c>
      <c r="R378" s="181">
        <f t="shared" si="111"/>
        <v>2.1522518931845354</v>
      </c>
      <c r="S378" s="181">
        <v>100</v>
      </c>
      <c r="T378" s="180">
        <f t="shared" si="104"/>
        <v>0</v>
      </c>
      <c r="U378" s="180">
        <f t="shared" si="110"/>
        <v>0</v>
      </c>
      <c r="V378" s="182">
        <f t="shared" si="95"/>
        <v>100</v>
      </c>
      <c r="W378" s="180"/>
      <c r="X378" s="180"/>
      <c r="Y378" s="180"/>
      <c r="Z378" s="180"/>
      <c r="AA378" s="180"/>
      <c r="AB378" s="180"/>
      <c r="AC378" s="180"/>
      <c r="AD378" s="180"/>
      <c r="AE378" s="180"/>
      <c r="AF378" s="180"/>
      <c r="AG378" s="180"/>
      <c r="AH378" s="180"/>
      <c r="AI378" s="180">
        <v>0</v>
      </c>
      <c r="AJ378" s="181">
        <f t="shared" si="105"/>
        <v>0</v>
      </c>
      <c r="AK378" s="180">
        <f t="shared" si="108"/>
        <v>7560000</v>
      </c>
      <c r="AL378" s="181">
        <f t="shared" si="106"/>
        <v>100</v>
      </c>
      <c r="AM378" s="243"/>
    </row>
    <row r="379" spans="1:39" ht="24.75" customHeight="1" x14ac:dyDescent="0.25">
      <c r="A379" s="243"/>
      <c r="B379" s="381"/>
      <c r="C379" s="381"/>
      <c r="D379" s="381"/>
      <c r="E379" s="381"/>
      <c r="F379" s="381"/>
      <c r="G379" s="381"/>
      <c r="H379" s="381"/>
      <c r="I379" s="382"/>
      <c r="J379" s="381" t="s">
        <v>318</v>
      </c>
      <c r="K379" s="245"/>
      <c r="L379" s="257"/>
      <c r="M379" s="591" t="s">
        <v>319</v>
      </c>
      <c r="N379" s="592"/>
      <c r="O379" s="179"/>
      <c r="P379" s="180"/>
      <c r="Q379" s="180">
        <v>182850000</v>
      </c>
      <c r="R379" s="181">
        <f t="shared" si="111"/>
        <v>52.055457495872005</v>
      </c>
      <c r="S379" s="181">
        <v>100</v>
      </c>
      <c r="T379" s="180">
        <f t="shared" si="104"/>
        <v>0</v>
      </c>
      <c r="U379" s="180">
        <f t="shared" si="110"/>
        <v>0</v>
      </c>
      <c r="V379" s="182">
        <f t="shared" si="95"/>
        <v>100</v>
      </c>
      <c r="W379" s="180"/>
      <c r="X379" s="180"/>
      <c r="Y379" s="180"/>
      <c r="Z379" s="180"/>
      <c r="AA379" s="180"/>
      <c r="AB379" s="180"/>
      <c r="AC379" s="180"/>
      <c r="AD379" s="180"/>
      <c r="AE379" s="180"/>
      <c r="AF379" s="180"/>
      <c r="AG379" s="180"/>
      <c r="AH379" s="180"/>
      <c r="AI379" s="180">
        <v>0</v>
      </c>
      <c r="AJ379" s="181">
        <f t="shared" si="105"/>
        <v>0</v>
      </c>
      <c r="AK379" s="180">
        <f t="shared" si="108"/>
        <v>182850000</v>
      </c>
      <c r="AL379" s="181">
        <f t="shared" si="106"/>
        <v>100</v>
      </c>
      <c r="AM379" s="243"/>
    </row>
    <row r="380" spans="1:39" ht="24.75" customHeight="1" x14ac:dyDescent="0.25">
      <c r="A380" s="243"/>
      <c r="B380" s="381"/>
      <c r="C380" s="381"/>
      <c r="D380" s="381"/>
      <c r="E380" s="381"/>
      <c r="F380" s="381"/>
      <c r="G380" s="381"/>
      <c r="H380" s="381"/>
      <c r="I380" s="382"/>
      <c r="J380" s="381" t="s">
        <v>284</v>
      </c>
      <c r="K380" s="245"/>
      <c r="L380" s="257"/>
      <c r="M380" s="591" t="s">
        <v>285</v>
      </c>
      <c r="N380" s="592"/>
      <c r="O380" s="179"/>
      <c r="P380" s="180"/>
      <c r="Q380" s="180">
        <v>1320000</v>
      </c>
      <c r="R380" s="181">
        <f t="shared" si="111"/>
        <v>0.37579001309571258</v>
      </c>
      <c r="S380" s="181">
        <v>100</v>
      </c>
      <c r="T380" s="180">
        <f t="shared" si="104"/>
        <v>0</v>
      </c>
      <c r="U380" s="180">
        <f t="shared" si="110"/>
        <v>0</v>
      </c>
      <c r="V380" s="182">
        <f t="shared" si="95"/>
        <v>100</v>
      </c>
      <c r="W380" s="180"/>
      <c r="X380" s="180"/>
      <c r="Y380" s="180"/>
      <c r="Z380" s="180"/>
      <c r="AA380" s="180"/>
      <c r="AB380" s="180"/>
      <c r="AC380" s="180"/>
      <c r="AD380" s="180"/>
      <c r="AE380" s="180"/>
      <c r="AF380" s="180"/>
      <c r="AG380" s="180"/>
      <c r="AH380" s="180"/>
      <c r="AI380" s="180">
        <v>0</v>
      </c>
      <c r="AJ380" s="181">
        <f t="shared" si="105"/>
        <v>0</v>
      </c>
      <c r="AK380" s="180">
        <f t="shared" si="108"/>
        <v>1320000</v>
      </c>
      <c r="AL380" s="181">
        <f t="shared" si="106"/>
        <v>100</v>
      </c>
      <c r="AM380" s="243"/>
    </row>
    <row r="381" spans="1:39" ht="24.75" customHeight="1" x14ac:dyDescent="0.25">
      <c r="A381" s="243"/>
      <c r="B381" s="381"/>
      <c r="C381" s="381"/>
      <c r="D381" s="381"/>
      <c r="E381" s="381"/>
      <c r="F381" s="381"/>
      <c r="G381" s="381"/>
      <c r="H381" s="381"/>
      <c r="I381" s="382"/>
      <c r="J381" s="381" t="s">
        <v>282</v>
      </c>
      <c r="K381" s="245"/>
      <c r="L381" s="257"/>
      <c r="M381" s="591" t="s">
        <v>283</v>
      </c>
      <c r="N381" s="592"/>
      <c r="O381" s="179"/>
      <c r="P381" s="180"/>
      <c r="Q381" s="180">
        <v>108410000</v>
      </c>
      <c r="R381" s="181">
        <f t="shared" si="111"/>
        <v>30.863178272504697</v>
      </c>
      <c r="S381" s="181">
        <v>100</v>
      </c>
      <c r="T381" s="180">
        <f t="shared" si="104"/>
        <v>0</v>
      </c>
      <c r="U381" s="180">
        <f t="shared" si="110"/>
        <v>0</v>
      </c>
      <c r="V381" s="182">
        <f t="shared" si="95"/>
        <v>100</v>
      </c>
      <c r="W381" s="180"/>
      <c r="X381" s="180"/>
      <c r="Y381" s="180"/>
      <c r="Z381" s="180"/>
      <c r="AA381" s="180"/>
      <c r="AB381" s="180"/>
      <c r="AC381" s="180"/>
      <c r="AD381" s="180"/>
      <c r="AE381" s="180"/>
      <c r="AF381" s="180"/>
      <c r="AG381" s="180"/>
      <c r="AH381" s="180"/>
      <c r="AI381" s="180">
        <v>0</v>
      </c>
      <c r="AJ381" s="181">
        <f t="shared" si="105"/>
        <v>0</v>
      </c>
      <c r="AK381" s="180">
        <f t="shared" si="108"/>
        <v>108410000</v>
      </c>
      <c r="AL381" s="181">
        <f t="shared" si="106"/>
        <v>100</v>
      </c>
      <c r="AM381" s="243"/>
    </row>
    <row r="382" spans="1:39" ht="24.75" customHeight="1" x14ac:dyDescent="0.25">
      <c r="A382" s="243"/>
      <c r="B382" s="381"/>
      <c r="C382" s="381"/>
      <c r="D382" s="381"/>
      <c r="E382" s="381"/>
      <c r="F382" s="381"/>
      <c r="G382" s="381"/>
      <c r="H382" s="381"/>
      <c r="I382" s="382"/>
      <c r="J382" s="381" t="s">
        <v>320</v>
      </c>
      <c r="K382" s="245"/>
      <c r="L382" s="257"/>
      <c r="M382" s="591" t="s">
        <v>321</v>
      </c>
      <c r="N382" s="592"/>
      <c r="O382" s="179"/>
      <c r="P382" s="180"/>
      <c r="Q382" s="180">
        <v>16800000</v>
      </c>
      <c r="R382" s="181">
        <f t="shared" si="111"/>
        <v>4.7827819848545232</v>
      </c>
      <c r="S382" s="181">
        <v>100</v>
      </c>
      <c r="T382" s="180">
        <f t="shared" si="104"/>
        <v>0</v>
      </c>
      <c r="U382" s="180">
        <f t="shared" si="110"/>
        <v>0</v>
      </c>
      <c r="V382" s="182">
        <f t="shared" si="95"/>
        <v>100</v>
      </c>
      <c r="W382" s="180"/>
      <c r="X382" s="180"/>
      <c r="Y382" s="180"/>
      <c r="Z382" s="180"/>
      <c r="AA382" s="180"/>
      <c r="AB382" s="180"/>
      <c r="AC382" s="180"/>
      <c r="AD382" s="180"/>
      <c r="AE382" s="180"/>
      <c r="AF382" s="180"/>
      <c r="AG382" s="180"/>
      <c r="AH382" s="180"/>
      <c r="AI382" s="180">
        <v>0</v>
      </c>
      <c r="AJ382" s="181">
        <f t="shared" si="105"/>
        <v>0</v>
      </c>
      <c r="AK382" s="180">
        <f t="shared" si="108"/>
        <v>16800000</v>
      </c>
      <c r="AL382" s="181">
        <f t="shared" si="106"/>
        <v>100</v>
      </c>
      <c r="AM382" s="243"/>
    </row>
    <row r="383" spans="1:39" ht="24.75" customHeight="1" x14ac:dyDescent="0.25">
      <c r="A383" s="243"/>
      <c r="B383" s="381"/>
      <c r="C383" s="381"/>
      <c r="D383" s="381"/>
      <c r="E383" s="381"/>
      <c r="F383" s="381"/>
      <c r="G383" s="381"/>
      <c r="H383" s="381"/>
      <c r="I383" s="382"/>
      <c r="J383" s="381" t="s">
        <v>407</v>
      </c>
      <c r="K383" s="245"/>
      <c r="L383" s="257"/>
      <c r="M383" s="591" t="s">
        <v>414</v>
      </c>
      <c r="N383" s="592"/>
      <c r="O383" s="179"/>
      <c r="P383" s="180"/>
      <c r="Q383" s="180">
        <v>3300000</v>
      </c>
      <c r="R383" s="181">
        <f t="shared" si="111"/>
        <v>0.93947503273928146</v>
      </c>
      <c r="S383" s="181">
        <v>100</v>
      </c>
      <c r="T383" s="180">
        <f t="shared" si="104"/>
        <v>0</v>
      </c>
      <c r="U383" s="180">
        <f t="shared" si="110"/>
        <v>0</v>
      </c>
      <c r="V383" s="182">
        <f t="shared" si="95"/>
        <v>100</v>
      </c>
      <c r="W383" s="180"/>
      <c r="X383" s="180"/>
      <c r="Y383" s="180"/>
      <c r="Z383" s="180"/>
      <c r="AA383" s="180"/>
      <c r="AB383" s="180"/>
      <c r="AC383" s="180"/>
      <c r="AD383" s="180"/>
      <c r="AE383" s="180"/>
      <c r="AF383" s="180"/>
      <c r="AG383" s="180"/>
      <c r="AH383" s="180"/>
      <c r="AI383" s="180">
        <v>0</v>
      </c>
      <c r="AJ383" s="181">
        <f t="shared" si="105"/>
        <v>0</v>
      </c>
      <c r="AK383" s="180">
        <f t="shared" si="108"/>
        <v>3300000</v>
      </c>
      <c r="AL383" s="181">
        <f t="shared" si="106"/>
        <v>100</v>
      </c>
      <c r="AM383" s="243"/>
    </row>
    <row r="384" spans="1:39" s="297" customFormat="1" ht="30.75" customHeight="1" x14ac:dyDescent="0.25">
      <c r="A384" s="227">
        <f>A374+1</f>
        <v>50</v>
      </c>
      <c r="B384" s="615" t="s">
        <v>148</v>
      </c>
      <c r="C384" s="615"/>
      <c r="D384" s="615"/>
      <c r="E384" s="615"/>
      <c r="F384" s="615"/>
      <c r="G384" s="615"/>
      <c r="H384" s="615"/>
      <c r="I384" s="614"/>
      <c r="J384" s="304" t="s">
        <v>496</v>
      </c>
      <c r="K384" s="230"/>
      <c r="L384" s="294"/>
      <c r="M384" s="610" t="s">
        <v>199</v>
      </c>
      <c r="N384" s="610"/>
      <c r="O384" s="309">
        <v>569155000</v>
      </c>
      <c r="P384" s="231">
        <f>O384</f>
        <v>569155000</v>
      </c>
      <c r="Q384" s="231">
        <f>SUM(Q385:Q396)</f>
        <v>303990300</v>
      </c>
      <c r="R384" s="233">
        <f>Q384/Q$245*100</f>
        <v>2.5485769370219757</v>
      </c>
      <c r="S384" s="233">
        <v>100</v>
      </c>
      <c r="T384" s="231">
        <f t="shared" si="104"/>
        <v>50.403170759066981</v>
      </c>
      <c r="U384" s="231">
        <f t="shared" si="110"/>
        <v>1.2845635854933855</v>
      </c>
      <c r="V384" s="296">
        <f t="shared" si="95"/>
        <v>49.596829240933019</v>
      </c>
      <c r="W384" s="231"/>
      <c r="X384" s="231" t="e">
        <f>#REF!</f>
        <v>#REF!</v>
      </c>
      <c r="Y384" s="231" t="e">
        <f>#REF!</f>
        <v>#REF!</v>
      </c>
      <c r="Z384" s="231" t="e">
        <f>#REF!</f>
        <v>#REF!</v>
      </c>
      <c r="AA384" s="231" t="e">
        <f>#REF!</f>
        <v>#REF!</v>
      </c>
      <c r="AB384" s="231">
        <v>286887000</v>
      </c>
      <c r="AC384" s="231" t="e">
        <f>#REF!</f>
        <v>#REF!</v>
      </c>
      <c r="AD384" s="231" t="e">
        <f>#REF!</f>
        <v>#REF!</v>
      </c>
      <c r="AE384" s="231" t="e">
        <f>#REF!</f>
        <v>#REF!</v>
      </c>
      <c r="AF384" s="231" t="e">
        <f>[1]April!N69</f>
        <v>#REF!</v>
      </c>
      <c r="AG384" s="231" t="e">
        <f>[2]april!N69</f>
        <v>#REF!</v>
      </c>
      <c r="AH384" s="231">
        <f>'[3]DES SKPD'!$N69</f>
        <v>642713500</v>
      </c>
      <c r="AI384" s="231">
        <f>SUM(AI385:AI396)</f>
        <v>153220750</v>
      </c>
      <c r="AJ384" s="233">
        <f t="shared" si="105"/>
        <v>50.403170759066981</v>
      </c>
      <c r="AK384" s="231">
        <f t="shared" si="108"/>
        <v>150769550</v>
      </c>
      <c r="AL384" s="233">
        <f t="shared" si="106"/>
        <v>49.596829240933019</v>
      </c>
      <c r="AM384" s="227"/>
    </row>
    <row r="385" spans="1:39" ht="24.75" customHeight="1" x14ac:dyDescent="0.25">
      <c r="A385" s="243"/>
      <c r="B385" s="381"/>
      <c r="C385" s="381"/>
      <c r="D385" s="381"/>
      <c r="E385" s="381"/>
      <c r="F385" s="381"/>
      <c r="G385" s="381"/>
      <c r="H385" s="381"/>
      <c r="I385" s="382"/>
      <c r="J385" s="381" t="s">
        <v>259</v>
      </c>
      <c r="K385" s="245"/>
      <c r="L385" s="257"/>
      <c r="M385" s="591" t="s">
        <v>260</v>
      </c>
      <c r="N385" s="592"/>
      <c r="O385" s="179"/>
      <c r="P385" s="180"/>
      <c r="Q385" s="180">
        <v>1540000</v>
      </c>
      <c r="R385" s="181">
        <f t="shared" ref="R385:R396" si="112">Q385/Q$384*100</f>
        <v>0.50659511175192107</v>
      </c>
      <c r="S385" s="181">
        <v>100</v>
      </c>
      <c r="T385" s="180">
        <f t="shared" si="104"/>
        <v>50</v>
      </c>
      <c r="U385" s="180">
        <f t="shared" si="110"/>
        <v>0.25329755587596053</v>
      </c>
      <c r="V385" s="182">
        <f t="shared" si="95"/>
        <v>50</v>
      </c>
      <c r="W385" s="180"/>
      <c r="X385" s="180"/>
      <c r="Y385" s="180"/>
      <c r="Z385" s="180"/>
      <c r="AA385" s="180"/>
      <c r="AB385" s="180"/>
      <c r="AC385" s="180"/>
      <c r="AD385" s="180"/>
      <c r="AE385" s="180"/>
      <c r="AF385" s="180"/>
      <c r="AG385" s="180"/>
      <c r="AH385" s="180"/>
      <c r="AI385" s="180">
        <v>770000</v>
      </c>
      <c r="AJ385" s="181">
        <f t="shared" si="105"/>
        <v>50</v>
      </c>
      <c r="AK385" s="180">
        <f t="shared" si="108"/>
        <v>770000</v>
      </c>
      <c r="AL385" s="181">
        <f t="shared" si="106"/>
        <v>50</v>
      </c>
      <c r="AM385" s="243"/>
    </row>
    <row r="386" spans="1:39" ht="24.75" customHeight="1" x14ac:dyDescent="0.25">
      <c r="A386" s="243"/>
      <c r="B386" s="381"/>
      <c r="C386" s="381"/>
      <c r="D386" s="381"/>
      <c r="E386" s="381"/>
      <c r="F386" s="381"/>
      <c r="G386" s="381"/>
      <c r="H386" s="381"/>
      <c r="I386" s="382"/>
      <c r="J386" s="381" t="s">
        <v>326</v>
      </c>
      <c r="K386" s="245"/>
      <c r="L386" s="257"/>
      <c r="M386" s="591" t="s">
        <v>327</v>
      </c>
      <c r="N386" s="592"/>
      <c r="O386" s="179"/>
      <c r="P386" s="180"/>
      <c r="Q386" s="180">
        <v>51150000</v>
      </c>
      <c r="R386" s="181">
        <f t="shared" si="112"/>
        <v>16.826194783188804</v>
      </c>
      <c r="S386" s="181">
        <v>100</v>
      </c>
      <c r="T386" s="180">
        <f t="shared" si="104"/>
        <v>0</v>
      </c>
      <c r="U386" s="180">
        <f t="shared" si="110"/>
        <v>0</v>
      </c>
      <c r="V386" s="182">
        <f t="shared" si="95"/>
        <v>100</v>
      </c>
      <c r="W386" s="180"/>
      <c r="X386" s="180"/>
      <c r="Y386" s="180"/>
      <c r="Z386" s="180"/>
      <c r="AA386" s="180"/>
      <c r="AB386" s="180"/>
      <c r="AC386" s="180"/>
      <c r="AD386" s="180"/>
      <c r="AE386" s="180"/>
      <c r="AF386" s="180"/>
      <c r="AG386" s="180"/>
      <c r="AH386" s="180"/>
      <c r="AI386" s="180">
        <v>0</v>
      </c>
      <c r="AJ386" s="181">
        <f t="shared" si="105"/>
        <v>0</v>
      </c>
      <c r="AK386" s="180">
        <f t="shared" si="108"/>
        <v>51150000</v>
      </c>
      <c r="AL386" s="181">
        <f t="shared" si="106"/>
        <v>100</v>
      </c>
      <c r="AM386" s="243"/>
    </row>
    <row r="387" spans="1:39" ht="24.75" customHeight="1" x14ac:dyDescent="0.25">
      <c r="A387" s="243"/>
      <c r="B387" s="381"/>
      <c r="C387" s="381"/>
      <c r="D387" s="381"/>
      <c r="E387" s="381"/>
      <c r="F387" s="381"/>
      <c r="G387" s="381"/>
      <c r="H387" s="381"/>
      <c r="I387" s="382"/>
      <c r="J387" s="381" t="s">
        <v>323</v>
      </c>
      <c r="K387" s="245"/>
      <c r="L387" s="257"/>
      <c r="M387" s="591" t="s">
        <v>324</v>
      </c>
      <c r="N387" s="592"/>
      <c r="O387" s="179"/>
      <c r="P387" s="180"/>
      <c r="Q387" s="180">
        <v>5000000</v>
      </c>
      <c r="R387" s="181">
        <f t="shared" si="112"/>
        <v>1.6447893238698736</v>
      </c>
      <c r="S387" s="181">
        <v>100</v>
      </c>
      <c r="T387" s="180">
        <f t="shared" si="104"/>
        <v>0</v>
      </c>
      <c r="U387" s="180">
        <f t="shared" si="110"/>
        <v>0</v>
      </c>
      <c r="V387" s="182">
        <f t="shared" si="95"/>
        <v>100</v>
      </c>
      <c r="W387" s="180"/>
      <c r="X387" s="180"/>
      <c r="Y387" s="180"/>
      <c r="Z387" s="180"/>
      <c r="AA387" s="180"/>
      <c r="AB387" s="180"/>
      <c r="AC387" s="180"/>
      <c r="AD387" s="180"/>
      <c r="AE387" s="180"/>
      <c r="AF387" s="180"/>
      <c r="AG387" s="180"/>
      <c r="AH387" s="180"/>
      <c r="AI387" s="180">
        <v>0</v>
      </c>
      <c r="AJ387" s="181">
        <f t="shared" si="105"/>
        <v>0</v>
      </c>
      <c r="AK387" s="180">
        <f t="shared" si="108"/>
        <v>5000000</v>
      </c>
      <c r="AL387" s="181">
        <f t="shared" si="106"/>
        <v>100</v>
      </c>
      <c r="AM387" s="243"/>
    </row>
    <row r="388" spans="1:39" ht="24.75" customHeight="1" x14ac:dyDescent="0.25">
      <c r="A388" s="243"/>
      <c r="B388" s="381"/>
      <c r="C388" s="381"/>
      <c r="D388" s="381"/>
      <c r="E388" s="381"/>
      <c r="F388" s="381"/>
      <c r="G388" s="381"/>
      <c r="H388" s="381"/>
      <c r="I388" s="382"/>
      <c r="J388" s="381" t="s">
        <v>269</v>
      </c>
      <c r="K388" s="245"/>
      <c r="L388" s="257"/>
      <c r="M388" s="591" t="s">
        <v>270</v>
      </c>
      <c r="N388" s="592"/>
      <c r="O388" s="179"/>
      <c r="P388" s="180"/>
      <c r="Q388" s="180">
        <v>22000000</v>
      </c>
      <c r="R388" s="181">
        <f t="shared" si="112"/>
        <v>7.2370730250274438</v>
      </c>
      <c r="S388" s="181">
        <v>100</v>
      </c>
      <c r="T388" s="180">
        <f t="shared" si="104"/>
        <v>100</v>
      </c>
      <c r="U388" s="180">
        <f t="shared" si="110"/>
        <v>7.2370730250274438</v>
      </c>
      <c r="V388" s="182">
        <f t="shared" si="95"/>
        <v>0</v>
      </c>
      <c r="W388" s="180"/>
      <c r="X388" s="180"/>
      <c r="Y388" s="180"/>
      <c r="Z388" s="180"/>
      <c r="AA388" s="180"/>
      <c r="AB388" s="180"/>
      <c r="AC388" s="180"/>
      <c r="AD388" s="180"/>
      <c r="AE388" s="180"/>
      <c r="AF388" s="180"/>
      <c r="AG388" s="180"/>
      <c r="AH388" s="180"/>
      <c r="AI388" s="180">
        <v>22000000</v>
      </c>
      <c r="AJ388" s="181">
        <f t="shared" si="105"/>
        <v>100</v>
      </c>
      <c r="AK388" s="180">
        <f t="shared" si="108"/>
        <v>0</v>
      </c>
      <c r="AL388" s="181">
        <f t="shared" si="106"/>
        <v>0</v>
      </c>
      <c r="AM388" s="243"/>
    </row>
    <row r="389" spans="1:39" ht="24.75" customHeight="1" x14ac:dyDescent="0.25">
      <c r="A389" s="243"/>
      <c r="B389" s="381"/>
      <c r="C389" s="381"/>
      <c r="D389" s="381"/>
      <c r="E389" s="381"/>
      <c r="F389" s="381"/>
      <c r="G389" s="381"/>
      <c r="H389" s="381"/>
      <c r="I389" s="382"/>
      <c r="J389" s="381" t="s">
        <v>315</v>
      </c>
      <c r="K389" s="245"/>
      <c r="L389" s="257"/>
      <c r="M389" s="591" t="s">
        <v>271</v>
      </c>
      <c r="N389" s="592"/>
      <c r="O389" s="179"/>
      <c r="P389" s="180"/>
      <c r="Q389" s="180">
        <v>3400300</v>
      </c>
      <c r="R389" s="181">
        <f t="shared" si="112"/>
        <v>1.1185554275909462</v>
      </c>
      <c r="S389" s="181">
        <v>100</v>
      </c>
      <c r="T389" s="180">
        <f t="shared" si="104"/>
        <v>0</v>
      </c>
      <c r="U389" s="180">
        <f t="shared" si="110"/>
        <v>0</v>
      </c>
      <c r="V389" s="182">
        <f t="shared" si="95"/>
        <v>100</v>
      </c>
      <c r="W389" s="180"/>
      <c r="X389" s="180"/>
      <c r="Y389" s="180"/>
      <c r="Z389" s="180"/>
      <c r="AA389" s="180"/>
      <c r="AB389" s="180"/>
      <c r="AC389" s="180"/>
      <c r="AD389" s="180"/>
      <c r="AE389" s="180"/>
      <c r="AF389" s="180"/>
      <c r="AG389" s="180"/>
      <c r="AH389" s="180"/>
      <c r="AI389" s="180">
        <v>0</v>
      </c>
      <c r="AJ389" s="181">
        <f t="shared" si="105"/>
        <v>0</v>
      </c>
      <c r="AK389" s="180">
        <f t="shared" si="108"/>
        <v>3400300</v>
      </c>
      <c r="AL389" s="181">
        <f t="shared" si="106"/>
        <v>100</v>
      </c>
      <c r="AM389" s="243"/>
    </row>
    <row r="390" spans="1:39" ht="24.75" customHeight="1" x14ac:dyDescent="0.25">
      <c r="A390" s="243"/>
      <c r="B390" s="381"/>
      <c r="C390" s="381"/>
      <c r="D390" s="381"/>
      <c r="E390" s="381"/>
      <c r="F390" s="381"/>
      <c r="G390" s="381"/>
      <c r="H390" s="381"/>
      <c r="I390" s="382"/>
      <c r="J390" s="381" t="s">
        <v>328</v>
      </c>
      <c r="K390" s="245"/>
      <c r="L390" s="257"/>
      <c r="M390" s="591" t="s">
        <v>329</v>
      </c>
      <c r="N390" s="592"/>
      <c r="O390" s="179"/>
      <c r="P390" s="180"/>
      <c r="Q390" s="180">
        <v>15000000</v>
      </c>
      <c r="R390" s="181">
        <f t="shared" si="112"/>
        <v>4.9343679716096203</v>
      </c>
      <c r="S390" s="181">
        <v>100</v>
      </c>
      <c r="T390" s="180">
        <f t="shared" si="104"/>
        <v>0</v>
      </c>
      <c r="U390" s="180">
        <f t="shared" si="110"/>
        <v>0</v>
      </c>
      <c r="V390" s="182">
        <f t="shared" si="95"/>
        <v>100</v>
      </c>
      <c r="W390" s="180"/>
      <c r="X390" s="180"/>
      <c r="Y390" s="180"/>
      <c r="Z390" s="180"/>
      <c r="AA390" s="180"/>
      <c r="AB390" s="180"/>
      <c r="AC390" s="180"/>
      <c r="AD390" s="180"/>
      <c r="AE390" s="180"/>
      <c r="AF390" s="180"/>
      <c r="AG390" s="180"/>
      <c r="AH390" s="180"/>
      <c r="AI390" s="180">
        <v>0</v>
      </c>
      <c r="AJ390" s="181">
        <f t="shared" si="105"/>
        <v>0</v>
      </c>
      <c r="AK390" s="180">
        <f t="shared" si="108"/>
        <v>15000000</v>
      </c>
      <c r="AL390" s="181">
        <f t="shared" si="106"/>
        <v>100</v>
      </c>
      <c r="AM390" s="243"/>
    </row>
    <row r="391" spans="1:39" ht="27.75" customHeight="1" x14ac:dyDescent="0.25">
      <c r="A391" s="243"/>
      <c r="B391" s="381"/>
      <c r="C391" s="381"/>
      <c r="D391" s="381"/>
      <c r="E391" s="381"/>
      <c r="F391" s="381"/>
      <c r="G391" s="381"/>
      <c r="H391" s="381"/>
      <c r="I391" s="382"/>
      <c r="J391" s="381" t="s">
        <v>318</v>
      </c>
      <c r="K391" s="245"/>
      <c r="L391" s="257"/>
      <c r="M391" s="591" t="s">
        <v>319</v>
      </c>
      <c r="N391" s="592"/>
      <c r="O391" s="179"/>
      <c r="P391" s="180"/>
      <c r="Q391" s="180">
        <v>91000000</v>
      </c>
      <c r="R391" s="181">
        <f t="shared" si="112"/>
        <v>29.935165694431699</v>
      </c>
      <c r="S391" s="181">
        <v>100</v>
      </c>
      <c r="T391" s="180">
        <f t="shared" si="104"/>
        <v>50</v>
      </c>
      <c r="U391" s="180">
        <f t="shared" si="110"/>
        <v>14.96758284721585</v>
      </c>
      <c r="V391" s="182">
        <f t="shared" si="95"/>
        <v>50</v>
      </c>
      <c r="W391" s="180"/>
      <c r="X391" s="180"/>
      <c r="Y391" s="180"/>
      <c r="Z391" s="180"/>
      <c r="AA391" s="180"/>
      <c r="AB391" s="180"/>
      <c r="AC391" s="180"/>
      <c r="AD391" s="180"/>
      <c r="AE391" s="180"/>
      <c r="AF391" s="180"/>
      <c r="AG391" s="180"/>
      <c r="AH391" s="180"/>
      <c r="AI391" s="180">
        <v>45500000</v>
      </c>
      <c r="AJ391" s="181">
        <f t="shared" si="105"/>
        <v>50</v>
      </c>
      <c r="AK391" s="180">
        <f t="shared" si="108"/>
        <v>45500000</v>
      </c>
      <c r="AL391" s="181">
        <f t="shared" si="106"/>
        <v>50</v>
      </c>
      <c r="AM391" s="243"/>
    </row>
    <row r="392" spans="1:39" ht="24.75" customHeight="1" x14ac:dyDescent="0.25">
      <c r="A392" s="243"/>
      <c r="B392" s="381"/>
      <c r="C392" s="381"/>
      <c r="D392" s="381"/>
      <c r="E392" s="381"/>
      <c r="F392" s="381"/>
      <c r="G392" s="381"/>
      <c r="H392" s="381"/>
      <c r="I392" s="382"/>
      <c r="J392" s="381" t="s">
        <v>280</v>
      </c>
      <c r="K392" s="245"/>
      <c r="L392" s="257"/>
      <c r="M392" s="591" t="s">
        <v>281</v>
      </c>
      <c r="N392" s="592"/>
      <c r="O392" s="179"/>
      <c r="P392" s="180"/>
      <c r="Q392" s="180">
        <v>23750000</v>
      </c>
      <c r="R392" s="181">
        <f t="shared" si="112"/>
        <v>7.8127492883818999</v>
      </c>
      <c r="S392" s="181">
        <v>100</v>
      </c>
      <c r="T392" s="180">
        <f t="shared" si="104"/>
        <v>94.73684210526315</v>
      </c>
      <c r="U392" s="180">
        <f t="shared" si="110"/>
        <v>7.4015519574144308</v>
      </c>
      <c r="V392" s="182">
        <f t="shared" si="95"/>
        <v>5.2631578947368496</v>
      </c>
      <c r="W392" s="180"/>
      <c r="X392" s="180"/>
      <c r="Y392" s="180"/>
      <c r="Z392" s="180"/>
      <c r="AA392" s="180"/>
      <c r="AB392" s="180"/>
      <c r="AC392" s="180"/>
      <c r="AD392" s="180"/>
      <c r="AE392" s="180"/>
      <c r="AF392" s="180"/>
      <c r="AG392" s="180"/>
      <c r="AH392" s="180"/>
      <c r="AI392" s="180">
        <v>22500000</v>
      </c>
      <c r="AJ392" s="181">
        <f t="shared" si="105"/>
        <v>94.73684210526315</v>
      </c>
      <c r="AK392" s="180">
        <f t="shared" si="108"/>
        <v>1250000</v>
      </c>
      <c r="AL392" s="181">
        <f t="shared" si="106"/>
        <v>5.2631578947368416</v>
      </c>
      <c r="AM392" s="243"/>
    </row>
    <row r="393" spans="1:39" ht="24.75" customHeight="1" x14ac:dyDescent="0.25">
      <c r="A393" s="243"/>
      <c r="B393" s="381"/>
      <c r="C393" s="381"/>
      <c r="D393" s="381"/>
      <c r="E393" s="381"/>
      <c r="F393" s="381"/>
      <c r="G393" s="381"/>
      <c r="H393" s="381"/>
      <c r="I393" s="382"/>
      <c r="J393" s="381" t="s">
        <v>284</v>
      </c>
      <c r="K393" s="245"/>
      <c r="L393" s="257"/>
      <c r="M393" s="591" t="s">
        <v>285</v>
      </c>
      <c r="N393" s="592"/>
      <c r="O393" s="179"/>
      <c r="P393" s="180"/>
      <c r="Q393" s="180">
        <v>6600000</v>
      </c>
      <c r="R393" s="181">
        <f t="shared" si="112"/>
        <v>2.1711219075082329</v>
      </c>
      <c r="S393" s="181">
        <v>100</v>
      </c>
      <c r="T393" s="180">
        <f t="shared" si="104"/>
        <v>43.333333333333336</v>
      </c>
      <c r="U393" s="180">
        <f t="shared" si="110"/>
        <v>0.94081949325356762</v>
      </c>
      <c r="V393" s="182">
        <f t="shared" si="95"/>
        <v>56.666666666666664</v>
      </c>
      <c r="W393" s="180"/>
      <c r="X393" s="180"/>
      <c r="Y393" s="180"/>
      <c r="Z393" s="180"/>
      <c r="AA393" s="180"/>
      <c r="AB393" s="180"/>
      <c r="AC393" s="180"/>
      <c r="AD393" s="180"/>
      <c r="AE393" s="180"/>
      <c r="AF393" s="180"/>
      <c r="AG393" s="180"/>
      <c r="AH393" s="180"/>
      <c r="AI393" s="180">
        <v>2860000</v>
      </c>
      <c r="AJ393" s="181">
        <f t="shared" si="105"/>
        <v>43.333333333333336</v>
      </c>
      <c r="AK393" s="180">
        <f t="shared" si="108"/>
        <v>3740000</v>
      </c>
      <c r="AL393" s="181">
        <f t="shared" si="106"/>
        <v>56.666666666666664</v>
      </c>
      <c r="AM393" s="243"/>
    </row>
    <row r="394" spans="1:39" ht="24.75" customHeight="1" x14ac:dyDescent="0.25">
      <c r="A394" s="243"/>
      <c r="B394" s="381"/>
      <c r="C394" s="381"/>
      <c r="D394" s="381"/>
      <c r="E394" s="381"/>
      <c r="F394" s="381"/>
      <c r="G394" s="381"/>
      <c r="H394" s="381"/>
      <c r="I394" s="382"/>
      <c r="J394" s="381" t="s">
        <v>282</v>
      </c>
      <c r="K394" s="245"/>
      <c r="L394" s="257"/>
      <c r="M394" s="591" t="s">
        <v>283</v>
      </c>
      <c r="N394" s="592"/>
      <c r="O394" s="179"/>
      <c r="P394" s="180"/>
      <c r="Q394" s="180">
        <v>25650000</v>
      </c>
      <c r="R394" s="181">
        <f t="shared" si="112"/>
        <v>8.4377692314524513</v>
      </c>
      <c r="S394" s="181">
        <v>100</v>
      </c>
      <c r="T394" s="180">
        <f t="shared" si="104"/>
        <v>42.459064327485379</v>
      </c>
      <c r="U394" s="180">
        <f t="shared" si="110"/>
        <v>3.5825978657871649</v>
      </c>
      <c r="V394" s="182">
        <f t="shared" si="95"/>
        <v>57.540935672514621</v>
      </c>
      <c r="W394" s="180"/>
      <c r="X394" s="180"/>
      <c r="Y394" s="180"/>
      <c r="Z394" s="180"/>
      <c r="AA394" s="180"/>
      <c r="AB394" s="180"/>
      <c r="AC394" s="180"/>
      <c r="AD394" s="180"/>
      <c r="AE394" s="180"/>
      <c r="AF394" s="180"/>
      <c r="AG394" s="180"/>
      <c r="AH394" s="180"/>
      <c r="AI394" s="180">
        <v>10890750</v>
      </c>
      <c r="AJ394" s="181">
        <f t="shared" si="105"/>
        <v>42.459064327485379</v>
      </c>
      <c r="AK394" s="180">
        <f t="shared" si="108"/>
        <v>14759250</v>
      </c>
      <c r="AL394" s="181">
        <f t="shared" si="106"/>
        <v>57.540935672514614</v>
      </c>
      <c r="AM394" s="243"/>
    </row>
    <row r="395" spans="1:39" ht="24.75" customHeight="1" x14ac:dyDescent="0.25">
      <c r="A395" s="243"/>
      <c r="B395" s="381"/>
      <c r="C395" s="381"/>
      <c r="D395" s="381"/>
      <c r="E395" s="381"/>
      <c r="F395" s="381"/>
      <c r="G395" s="381"/>
      <c r="H395" s="381"/>
      <c r="I395" s="382"/>
      <c r="J395" s="381" t="s">
        <v>320</v>
      </c>
      <c r="K395" s="245"/>
      <c r="L395" s="257"/>
      <c r="M395" s="591" t="s">
        <v>321</v>
      </c>
      <c r="N395" s="592"/>
      <c r="O395" s="179"/>
      <c r="P395" s="180"/>
      <c r="Q395" s="180">
        <v>50400000</v>
      </c>
      <c r="R395" s="181">
        <f t="shared" si="112"/>
        <v>16.579476384608324</v>
      </c>
      <c r="S395" s="181">
        <v>100</v>
      </c>
      <c r="T395" s="180">
        <f t="shared" si="104"/>
        <v>85.714285714285708</v>
      </c>
      <c r="U395" s="180">
        <f t="shared" si="110"/>
        <v>14.210979758235705</v>
      </c>
      <c r="V395" s="182">
        <f t="shared" si="95"/>
        <v>14.285714285714292</v>
      </c>
      <c r="W395" s="180"/>
      <c r="X395" s="180"/>
      <c r="Y395" s="180"/>
      <c r="Z395" s="180"/>
      <c r="AA395" s="180"/>
      <c r="AB395" s="180"/>
      <c r="AC395" s="180"/>
      <c r="AD395" s="180"/>
      <c r="AE395" s="180"/>
      <c r="AF395" s="180"/>
      <c r="AG395" s="180"/>
      <c r="AH395" s="180"/>
      <c r="AI395" s="180">
        <v>43200000</v>
      </c>
      <c r="AJ395" s="181">
        <f t="shared" si="105"/>
        <v>85.714285714285708</v>
      </c>
      <c r="AK395" s="180">
        <f t="shared" si="108"/>
        <v>7200000</v>
      </c>
      <c r="AL395" s="181">
        <f t="shared" si="106"/>
        <v>14.285714285714285</v>
      </c>
      <c r="AM395" s="243"/>
    </row>
    <row r="396" spans="1:39" ht="24.75" customHeight="1" x14ac:dyDescent="0.25">
      <c r="A396" s="243"/>
      <c r="B396" s="381"/>
      <c r="C396" s="381"/>
      <c r="D396" s="381"/>
      <c r="E396" s="381"/>
      <c r="F396" s="381"/>
      <c r="G396" s="381"/>
      <c r="H396" s="381"/>
      <c r="I396" s="382"/>
      <c r="J396" s="381" t="s">
        <v>407</v>
      </c>
      <c r="K396" s="245"/>
      <c r="L396" s="257"/>
      <c r="M396" s="619" t="s">
        <v>414</v>
      </c>
      <c r="N396" s="620"/>
      <c r="O396" s="179"/>
      <c r="P396" s="180"/>
      <c r="Q396" s="180">
        <v>8500000</v>
      </c>
      <c r="R396" s="181">
        <f t="shared" si="112"/>
        <v>2.7961418505787852</v>
      </c>
      <c r="S396" s="181"/>
      <c r="T396" s="180">
        <f t="shared" si="104"/>
        <v>64.705882352941174</v>
      </c>
      <c r="U396" s="180">
        <f t="shared" si="110"/>
        <v>1.8092682562568609</v>
      </c>
      <c r="V396" s="182"/>
      <c r="W396" s="180"/>
      <c r="X396" s="180"/>
      <c r="Y396" s="180"/>
      <c r="Z396" s="180"/>
      <c r="AA396" s="180"/>
      <c r="AB396" s="180"/>
      <c r="AC396" s="180"/>
      <c r="AD396" s="180"/>
      <c r="AE396" s="180"/>
      <c r="AF396" s="180"/>
      <c r="AG396" s="180"/>
      <c r="AH396" s="180"/>
      <c r="AI396" s="180">
        <v>5500000</v>
      </c>
      <c r="AJ396" s="181">
        <f t="shared" si="105"/>
        <v>64.705882352941174</v>
      </c>
      <c r="AK396" s="180">
        <f t="shared" si="108"/>
        <v>3000000</v>
      </c>
      <c r="AL396" s="181">
        <f t="shared" si="106"/>
        <v>35.294117647058826</v>
      </c>
      <c r="AM396" s="243"/>
    </row>
    <row r="397" spans="1:39" s="297" customFormat="1" ht="29.25" customHeight="1" x14ac:dyDescent="0.25">
      <c r="A397" s="227">
        <f>A384+1</f>
        <v>51</v>
      </c>
      <c r="B397" s="615" t="s">
        <v>150</v>
      </c>
      <c r="C397" s="615"/>
      <c r="D397" s="615"/>
      <c r="E397" s="615"/>
      <c r="F397" s="615"/>
      <c r="G397" s="615"/>
      <c r="H397" s="615"/>
      <c r="I397" s="614"/>
      <c r="J397" s="304" t="s">
        <v>497</v>
      </c>
      <c r="K397" s="230"/>
      <c r="L397" s="294"/>
      <c r="M397" s="610" t="s">
        <v>51</v>
      </c>
      <c r="N397" s="610"/>
      <c r="O397" s="309">
        <v>316240000</v>
      </c>
      <c r="P397" s="231">
        <f>O397</f>
        <v>316240000</v>
      </c>
      <c r="Q397" s="231">
        <f>SUM(Q398:Q404)</f>
        <v>266500000</v>
      </c>
      <c r="R397" s="233">
        <f>Q397/Q$245*100</f>
        <v>2.2342678490608305</v>
      </c>
      <c r="S397" s="233">
        <v>100</v>
      </c>
      <c r="T397" s="231">
        <f t="shared" si="104"/>
        <v>0</v>
      </c>
      <c r="U397" s="231">
        <f t="shared" si="110"/>
        <v>0</v>
      </c>
      <c r="V397" s="296">
        <f t="shared" si="95"/>
        <v>100</v>
      </c>
      <c r="W397" s="231"/>
      <c r="X397" s="231" t="e">
        <f>#REF!</f>
        <v>#REF!</v>
      </c>
      <c r="Y397" s="231" t="e">
        <f>#REF!</f>
        <v>#REF!</v>
      </c>
      <c r="Z397" s="231" t="e">
        <f>#REF!</f>
        <v>#REF!</v>
      </c>
      <c r="AA397" s="231" t="e">
        <f>#REF!</f>
        <v>#REF!</v>
      </c>
      <c r="AB397" s="231">
        <v>13182000</v>
      </c>
      <c r="AC397" s="231" t="e">
        <f>#REF!</f>
        <v>#REF!</v>
      </c>
      <c r="AD397" s="231" t="e">
        <f>#REF!</f>
        <v>#REF!</v>
      </c>
      <c r="AE397" s="231" t="e">
        <f>#REF!</f>
        <v>#REF!</v>
      </c>
      <c r="AF397" s="231" t="e">
        <f>[1]April!N70</f>
        <v>#REF!</v>
      </c>
      <c r="AG397" s="231" t="e">
        <f>[2]april!N70</f>
        <v>#REF!</v>
      </c>
      <c r="AH397" s="231">
        <f>'[3]DES SKPD'!$N70</f>
        <v>293250450</v>
      </c>
      <c r="AI397" s="231">
        <f>SUM(AI398:AI404)</f>
        <v>0</v>
      </c>
      <c r="AJ397" s="233">
        <f t="shared" si="105"/>
        <v>0</v>
      </c>
      <c r="AK397" s="231">
        <f t="shared" si="108"/>
        <v>266500000</v>
      </c>
      <c r="AL397" s="233">
        <f t="shared" si="106"/>
        <v>100</v>
      </c>
      <c r="AM397" s="227"/>
    </row>
    <row r="398" spans="1:39" ht="29.25" customHeight="1" x14ac:dyDescent="0.25">
      <c r="A398" s="243"/>
      <c r="B398" s="381"/>
      <c r="C398" s="381"/>
      <c r="D398" s="381"/>
      <c r="E398" s="381"/>
      <c r="F398" s="381"/>
      <c r="G398" s="381"/>
      <c r="H398" s="381"/>
      <c r="I398" s="382"/>
      <c r="J398" s="381" t="s">
        <v>315</v>
      </c>
      <c r="K398" s="245"/>
      <c r="L398" s="257"/>
      <c r="M398" s="591" t="s">
        <v>271</v>
      </c>
      <c r="N398" s="592"/>
      <c r="O398" s="179"/>
      <c r="P398" s="180"/>
      <c r="Q398" s="180">
        <v>8000000</v>
      </c>
      <c r="R398" s="181">
        <f t="shared" ref="R398:R404" si="113">Q398/Q$397*100</f>
        <v>3.0018761726078798</v>
      </c>
      <c r="S398" s="181">
        <v>100</v>
      </c>
      <c r="T398" s="180">
        <f t="shared" si="104"/>
        <v>0</v>
      </c>
      <c r="U398" s="180">
        <f t="shared" si="110"/>
        <v>0</v>
      </c>
      <c r="V398" s="182">
        <f t="shared" si="95"/>
        <v>100</v>
      </c>
      <c r="W398" s="180"/>
      <c r="X398" s="180"/>
      <c r="Y398" s="180"/>
      <c r="Z398" s="180"/>
      <c r="AA398" s="180"/>
      <c r="AB398" s="180"/>
      <c r="AC398" s="180"/>
      <c r="AD398" s="180"/>
      <c r="AE398" s="180"/>
      <c r="AF398" s="180"/>
      <c r="AG398" s="180"/>
      <c r="AH398" s="180"/>
      <c r="AI398" s="180">
        <v>0</v>
      </c>
      <c r="AJ398" s="181">
        <f t="shared" si="105"/>
        <v>0</v>
      </c>
      <c r="AK398" s="180">
        <f t="shared" si="108"/>
        <v>8000000</v>
      </c>
      <c r="AL398" s="181">
        <f t="shared" si="106"/>
        <v>100</v>
      </c>
      <c r="AM398" s="243"/>
    </row>
    <row r="399" spans="1:39" ht="29.25" customHeight="1" x14ac:dyDescent="0.25">
      <c r="A399" s="243"/>
      <c r="B399" s="381"/>
      <c r="C399" s="381"/>
      <c r="D399" s="381"/>
      <c r="E399" s="381"/>
      <c r="F399" s="381"/>
      <c r="G399" s="381"/>
      <c r="H399" s="381"/>
      <c r="I399" s="382"/>
      <c r="J399" s="381" t="s">
        <v>284</v>
      </c>
      <c r="K399" s="245"/>
      <c r="L399" s="257"/>
      <c r="M399" s="591" t="s">
        <v>319</v>
      </c>
      <c r="N399" s="592"/>
      <c r="O399" s="179"/>
      <c r="P399" s="180"/>
      <c r="Q399" s="180">
        <v>27000000</v>
      </c>
      <c r="R399" s="181">
        <f t="shared" si="113"/>
        <v>10.131332082551594</v>
      </c>
      <c r="S399" s="181">
        <v>100</v>
      </c>
      <c r="T399" s="180">
        <f t="shared" si="104"/>
        <v>0</v>
      </c>
      <c r="U399" s="180">
        <f t="shared" si="110"/>
        <v>0</v>
      </c>
      <c r="V399" s="182"/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  <c r="AG399" s="180"/>
      <c r="AH399" s="180"/>
      <c r="AI399" s="180">
        <v>0</v>
      </c>
      <c r="AJ399" s="181">
        <f t="shared" si="105"/>
        <v>0</v>
      </c>
      <c r="AK399" s="180">
        <f t="shared" si="108"/>
        <v>27000000</v>
      </c>
      <c r="AL399" s="181">
        <f t="shared" si="106"/>
        <v>100</v>
      </c>
      <c r="AM399" s="243"/>
    </row>
    <row r="400" spans="1:39" ht="29.25" customHeight="1" x14ac:dyDescent="0.25">
      <c r="A400" s="243"/>
      <c r="B400" s="381"/>
      <c r="C400" s="381"/>
      <c r="D400" s="381"/>
      <c r="E400" s="381"/>
      <c r="F400" s="381"/>
      <c r="G400" s="381"/>
      <c r="H400" s="381"/>
      <c r="I400" s="382"/>
      <c r="J400" s="381" t="s">
        <v>282</v>
      </c>
      <c r="K400" s="245"/>
      <c r="L400" s="257"/>
      <c r="M400" s="591" t="s">
        <v>340</v>
      </c>
      <c r="N400" s="592"/>
      <c r="O400" s="179"/>
      <c r="P400" s="180"/>
      <c r="Q400" s="180">
        <v>5000000</v>
      </c>
      <c r="R400" s="181">
        <f t="shared" si="113"/>
        <v>1.876172607879925</v>
      </c>
      <c r="S400" s="181">
        <v>100</v>
      </c>
      <c r="T400" s="180">
        <f t="shared" si="104"/>
        <v>0</v>
      </c>
      <c r="U400" s="180">
        <f t="shared" si="110"/>
        <v>0</v>
      </c>
      <c r="V400" s="182">
        <f t="shared" si="95"/>
        <v>100</v>
      </c>
      <c r="W400" s="180"/>
      <c r="X400" s="180"/>
      <c r="Y400" s="180"/>
      <c r="Z400" s="180"/>
      <c r="AA400" s="180"/>
      <c r="AB400" s="180"/>
      <c r="AC400" s="180"/>
      <c r="AD400" s="180"/>
      <c r="AE400" s="180"/>
      <c r="AF400" s="180"/>
      <c r="AG400" s="180"/>
      <c r="AH400" s="180"/>
      <c r="AI400" s="180">
        <v>0</v>
      </c>
      <c r="AJ400" s="181">
        <f t="shared" si="105"/>
        <v>0</v>
      </c>
      <c r="AK400" s="180">
        <f t="shared" si="108"/>
        <v>5000000</v>
      </c>
      <c r="AL400" s="181">
        <f t="shared" si="106"/>
        <v>100</v>
      </c>
      <c r="AM400" s="243"/>
    </row>
    <row r="401" spans="1:39" ht="29.25" customHeight="1" x14ac:dyDescent="0.25">
      <c r="A401" s="243"/>
      <c r="B401" s="381"/>
      <c r="C401" s="381"/>
      <c r="D401" s="381"/>
      <c r="E401" s="381"/>
      <c r="F401" s="381"/>
      <c r="G401" s="381"/>
      <c r="H401" s="381"/>
      <c r="I401" s="382"/>
      <c r="J401" s="381" t="s">
        <v>308</v>
      </c>
      <c r="K401" s="245"/>
      <c r="L401" s="257"/>
      <c r="M401" s="591" t="s">
        <v>590</v>
      </c>
      <c r="N401" s="592"/>
      <c r="O401" s="179"/>
      <c r="P401" s="180"/>
      <c r="Q401" s="180">
        <v>15000000</v>
      </c>
      <c r="R401" s="181">
        <f t="shared" si="113"/>
        <v>5.6285178236397746</v>
      </c>
      <c r="S401" s="181">
        <v>100</v>
      </c>
      <c r="T401" s="180">
        <f t="shared" si="104"/>
        <v>0</v>
      </c>
      <c r="U401" s="180">
        <f t="shared" si="110"/>
        <v>0</v>
      </c>
      <c r="V401" s="182">
        <f t="shared" si="95"/>
        <v>100</v>
      </c>
      <c r="W401" s="180"/>
      <c r="X401" s="180"/>
      <c r="Y401" s="180"/>
      <c r="Z401" s="180"/>
      <c r="AA401" s="180"/>
      <c r="AB401" s="180"/>
      <c r="AC401" s="180"/>
      <c r="AD401" s="180"/>
      <c r="AE401" s="180"/>
      <c r="AF401" s="180"/>
      <c r="AG401" s="180"/>
      <c r="AH401" s="180"/>
      <c r="AI401" s="180">
        <v>0</v>
      </c>
      <c r="AJ401" s="181">
        <f t="shared" si="105"/>
        <v>0</v>
      </c>
      <c r="AK401" s="180">
        <f t="shared" si="108"/>
        <v>15000000</v>
      </c>
      <c r="AL401" s="181">
        <f t="shared" si="106"/>
        <v>100</v>
      </c>
      <c r="AM401" s="243"/>
    </row>
    <row r="402" spans="1:39" ht="29.25" customHeight="1" x14ac:dyDescent="0.25">
      <c r="A402" s="243"/>
      <c r="B402" s="381"/>
      <c r="C402" s="381"/>
      <c r="D402" s="381"/>
      <c r="E402" s="381"/>
      <c r="F402" s="381"/>
      <c r="G402" s="381"/>
      <c r="H402" s="381"/>
      <c r="I402" s="382"/>
      <c r="J402" s="381" t="s">
        <v>309</v>
      </c>
      <c r="K402" s="245"/>
      <c r="L402" s="257"/>
      <c r="M402" s="591" t="s">
        <v>321</v>
      </c>
      <c r="N402" s="592"/>
      <c r="O402" s="179"/>
      <c r="P402" s="180"/>
      <c r="Q402" s="180">
        <v>9500000</v>
      </c>
      <c r="R402" s="181">
        <f t="shared" si="113"/>
        <v>3.5647279549718571</v>
      </c>
      <c r="S402" s="181">
        <v>100</v>
      </c>
      <c r="T402" s="180">
        <f t="shared" si="104"/>
        <v>0</v>
      </c>
      <c r="U402" s="180">
        <f t="shared" si="110"/>
        <v>0</v>
      </c>
      <c r="V402" s="182">
        <f t="shared" si="95"/>
        <v>100</v>
      </c>
      <c r="W402" s="180"/>
      <c r="X402" s="180"/>
      <c r="Y402" s="180"/>
      <c r="Z402" s="180"/>
      <c r="AA402" s="180"/>
      <c r="AB402" s="180"/>
      <c r="AC402" s="180"/>
      <c r="AD402" s="180"/>
      <c r="AE402" s="180"/>
      <c r="AF402" s="180"/>
      <c r="AG402" s="180"/>
      <c r="AH402" s="180"/>
      <c r="AI402" s="180">
        <v>0</v>
      </c>
      <c r="AJ402" s="181">
        <f t="shared" si="105"/>
        <v>0</v>
      </c>
      <c r="AK402" s="180">
        <f t="shared" si="108"/>
        <v>9500000</v>
      </c>
      <c r="AL402" s="181">
        <f t="shared" si="106"/>
        <v>100</v>
      </c>
      <c r="AM402" s="243"/>
    </row>
    <row r="403" spans="1:39" ht="29.25" customHeight="1" x14ac:dyDescent="0.25">
      <c r="A403" s="243"/>
      <c r="B403" s="381"/>
      <c r="C403" s="381"/>
      <c r="D403" s="381"/>
      <c r="E403" s="381"/>
      <c r="F403" s="381"/>
      <c r="G403" s="381"/>
      <c r="H403" s="381"/>
      <c r="I403" s="382"/>
      <c r="J403" s="381" t="s">
        <v>309</v>
      </c>
      <c r="K403" s="245"/>
      <c r="L403" s="257"/>
      <c r="M403" s="591" t="s">
        <v>310</v>
      </c>
      <c r="N403" s="592"/>
      <c r="O403" s="179"/>
      <c r="P403" s="180"/>
      <c r="Q403" s="180">
        <v>200000000</v>
      </c>
      <c r="R403" s="181">
        <f t="shared" si="113"/>
        <v>75.046904315196997</v>
      </c>
      <c r="S403" s="181">
        <v>100</v>
      </c>
      <c r="T403" s="180">
        <f t="shared" si="104"/>
        <v>0</v>
      </c>
      <c r="U403" s="180">
        <f t="shared" si="110"/>
        <v>0</v>
      </c>
      <c r="V403" s="182">
        <f t="shared" si="95"/>
        <v>100</v>
      </c>
      <c r="W403" s="180"/>
      <c r="X403" s="180"/>
      <c r="Y403" s="180"/>
      <c r="Z403" s="180"/>
      <c r="AA403" s="180"/>
      <c r="AB403" s="180"/>
      <c r="AC403" s="180"/>
      <c r="AD403" s="180"/>
      <c r="AE403" s="180"/>
      <c r="AF403" s="180"/>
      <c r="AG403" s="180"/>
      <c r="AH403" s="180"/>
      <c r="AI403" s="180">
        <v>0</v>
      </c>
      <c r="AJ403" s="181">
        <f t="shared" si="105"/>
        <v>0</v>
      </c>
      <c r="AK403" s="180">
        <f t="shared" si="108"/>
        <v>200000000</v>
      </c>
      <c r="AL403" s="181">
        <f t="shared" si="106"/>
        <v>100</v>
      </c>
      <c r="AM403" s="243"/>
    </row>
    <row r="404" spans="1:39" ht="29.25" customHeight="1" x14ac:dyDescent="0.25">
      <c r="A404" s="243"/>
      <c r="B404" s="381"/>
      <c r="C404" s="381"/>
      <c r="D404" s="381"/>
      <c r="E404" s="381"/>
      <c r="F404" s="381"/>
      <c r="G404" s="381"/>
      <c r="H404" s="381"/>
      <c r="I404" s="382"/>
      <c r="J404" s="381" t="s">
        <v>407</v>
      </c>
      <c r="K404" s="245"/>
      <c r="L404" s="257"/>
      <c r="M404" s="591" t="s">
        <v>610</v>
      </c>
      <c r="N404" s="592"/>
      <c r="O404" s="179"/>
      <c r="P404" s="180"/>
      <c r="Q404" s="180">
        <v>2000000</v>
      </c>
      <c r="R404" s="181">
        <f t="shared" si="113"/>
        <v>0.75046904315196994</v>
      </c>
      <c r="S404" s="181">
        <v>100</v>
      </c>
      <c r="T404" s="180">
        <f t="shared" si="104"/>
        <v>0</v>
      </c>
      <c r="U404" s="180">
        <f t="shared" si="110"/>
        <v>0</v>
      </c>
      <c r="V404" s="182">
        <f t="shared" si="95"/>
        <v>100</v>
      </c>
      <c r="W404" s="180"/>
      <c r="X404" s="180"/>
      <c r="Y404" s="180"/>
      <c r="Z404" s="180"/>
      <c r="AA404" s="180"/>
      <c r="AB404" s="180"/>
      <c r="AC404" s="180"/>
      <c r="AD404" s="180"/>
      <c r="AE404" s="180"/>
      <c r="AF404" s="180"/>
      <c r="AG404" s="180"/>
      <c r="AH404" s="180"/>
      <c r="AI404" s="180">
        <v>0</v>
      </c>
      <c r="AJ404" s="181">
        <f t="shared" si="105"/>
        <v>0</v>
      </c>
      <c r="AK404" s="180">
        <f t="shared" si="108"/>
        <v>2000000</v>
      </c>
      <c r="AL404" s="181">
        <f t="shared" si="106"/>
        <v>100</v>
      </c>
      <c r="AM404" s="243"/>
    </row>
    <row r="405" spans="1:39" s="297" customFormat="1" ht="30" customHeight="1" x14ac:dyDescent="0.25">
      <c r="A405" s="227">
        <f>A397+1</f>
        <v>52</v>
      </c>
      <c r="B405" s="615" t="s">
        <v>151</v>
      </c>
      <c r="C405" s="615"/>
      <c r="D405" s="615"/>
      <c r="E405" s="615"/>
      <c r="F405" s="615"/>
      <c r="G405" s="615"/>
      <c r="H405" s="615"/>
      <c r="I405" s="614"/>
      <c r="J405" s="304" t="s">
        <v>498</v>
      </c>
      <c r="K405" s="230"/>
      <c r="L405" s="294"/>
      <c r="M405" s="613" t="s">
        <v>52</v>
      </c>
      <c r="N405" s="613"/>
      <c r="O405" s="309">
        <v>252956000</v>
      </c>
      <c r="P405" s="231">
        <f>O405</f>
        <v>252956000</v>
      </c>
      <c r="Q405" s="231">
        <f>SUM(Q406:Q418)</f>
        <v>394282000</v>
      </c>
      <c r="R405" s="233">
        <f>Q405/Q$35*100</f>
        <v>1.2404167461869322</v>
      </c>
      <c r="S405" s="233">
        <v>100</v>
      </c>
      <c r="T405" s="231">
        <f t="shared" si="104"/>
        <v>7.8492043765629678</v>
      </c>
      <c r="U405" s="231">
        <f t="shared" si="110"/>
        <v>9.7362845529324643E-2</v>
      </c>
      <c r="V405" s="296">
        <f t="shared" si="95"/>
        <v>92.150795623437034</v>
      </c>
      <c r="W405" s="231"/>
      <c r="X405" s="231" t="e">
        <f>#REF!</f>
        <v>#REF!</v>
      </c>
      <c r="Y405" s="231" t="e">
        <f>#REF!</f>
        <v>#REF!</v>
      </c>
      <c r="Z405" s="231" t="e">
        <f>#REF!</f>
        <v>#REF!</v>
      </c>
      <c r="AA405" s="231" t="e">
        <f>#REF!</f>
        <v>#REF!</v>
      </c>
      <c r="AB405" s="231">
        <v>58582925</v>
      </c>
      <c r="AC405" s="231" t="e">
        <f>#REF!</f>
        <v>#REF!</v>
      </c>
      <c r="AD405" s="231" t="e">
        <f>#REF!</f>
        <v>#REF!</v>
      </c>
      <c r="AE405" s="231" t="e">
        <f>#REF!</f>
        <v>#REF!</v>
      </c>
      <c r="AF405" s="231" t="e">
        <f>[1]April!N71</f>
        <v>#REF!</v>
      </c>
      <c r="AG405" s="231" t="e">
        <f>[2]april!N71</f>
        <v>#REF!</v>
      </c>
      <c r="AH405" s="231">
        <f>'[3]DES SKPD'!$N71</f>
        <v>205056925</v>
      </c>
      <c r="AI405" s="231">
        <f>SUM(AI406:AI418)</f>
        <v>30948000</v>
      </c>
      <c r="AJ405" s="233">
        <f t="shared" si="105"/>
        <v>7.8492043765629678</v>
      </c>
      <c r="AK405" s="231">
        <f t="shared" si="108"/>
        <v>363334000</v>
      </c>
      <c r="AL405" s="233">
        <f t="shared" si="106"/>
        <v>92.150795623437034</v>
      </c>
      <c r="AM405" s="227"/>
    </row>
    <row r="406" spans="1:39" ht="29.25" customHeight="1" x14ac:dyDescent="0.25">
      <c r="A406" s="243"/>
      <c r="B406" s="381"/>
      <c r="C406" s="381"/>
      <c r="D406" s="381"/>
      <c r="E406" s="381"/>
      <c r="F406" s="381"/>
      <c r="G406" s="381"/>
      <c r="H406" s="381"/>
      <c r="I406" s="382"/>
      <c r="J406" s="381" t="s">
        <v>415</v>
      </c>
      <c r="K406" s="245"/>
      <c r="L406" s="257"/>
      <c r="M406" s="604" t="s">
        <v>260</v>
      </c>
      <c r="N406" s="592"/>
      <c r="O406" s="179"/>
      <c r="P406" s="180"/>
      <c r="Q406" s="180">
        <v>2400000</v>
      </c>
      <c r="R406" s="181">
        <f>Q406/Q$405*100</f>
        <v>0.60870138631740733</v>
      </c>
      <c r="S406" s="181">
        <v>100</v>
      </c>
      <c r="T406" s="180">
        <f t="shared" si="104"/>
        <v>0</v>
      </c>
      <c r="U406" s="180">
        <f t="shared" si="110"/>
        <v>0</v>
      </c>
      <c r="V406" s="182">
        <f t="shared" si="95"/>
        <v>100</v>
      </c>
      <c r="W406" s="180"/>
      <c r="X406" s="180"/>
      <c r="Y406" s="180"/>
      <c r="Z406" s="180"/>
      <c r="AA406" s="180"/>
      <c r="AB406" s="180"/>
      <c r="AC406" s="180"/>
      <c r="AD406" s="180"/>
      <c r="AE406" s="180"/>
      <c r="AF406" s="180"/>
      <c r="AG406" s="180"/>
      <c r="AH406" s="180"/>
      <c r="AI406" s="180">
        <v>0</v>
      </c>
      <c r="AJ406" s="181">
        <f t="shared" ref="AJ406:AJ470" si="114">AI406/Q406*100</f>
        <v>0</v>
      </c>
      <c r="AK406" s="180">
        <f t="shared" si="108"/>
        <v>2400000</v>
      </c>
      <c r="AL406" s="181">
        <f t="shared" ref="AL406:AL470" si="115">AK406/Q406*100</f>
        <v>100</v>
      </c>
      <c r="AM406" s="243"/>
    </row>
    <row r="407" spans="1:39" ht="29.25" customHeight="1" x14ac:dyDescent="0.25">
      <c r="A407" s="243"/>
      <c r="B407" s="381"/>
      <c r="C407" s="381"/>
      <c r="D407" s="381"/>
      <c r="E407" s="381"/>
      <c r="F407" s="381"/>
      <c r="G407" s="381"/>
      <c r="H407" s="381"/>
      <c r="I407" s="382"/>
      <c r="J407" s="381" t="s">
        <v>326</v>
      </c>
      <c r="K407" s="245"/>
      <c r="L407" s="257"/>
      <c r="M407" s="604" t="s">
        <v>327</v>
      </c>
      <c r="N407" s="592"/>
      <c r="O407" s="179"/>
      <c r="P407" s="180"/>
      <c r="Q407" s="180">
        <v>32800000</v>
      </c>
      <c r="R407" s="181">
        <f t="shared" ref="R407:R418" si="116">Q407/Q$405*100</f>
        <v>8.3189189463379005</v>
      </c>
      <c r="S407" s="181">
        <v>100</v>
      </c>
      <c r="T407" s="180">
        <f t="shared" si="104"/>
        <v>0</v>
      </c>
      <c r="U407" s="180">
        <f t="shared" si="110"/>
        <v>0</v>
      </c>
      <c r="V407" s="182">
        <f t="shared" si="95"/>
        <v>100</v>
      </c>
      <c r="W407" s="180"/>
      <c r="X407" s="180"/>
      <c r="Y407" s="180"/>
      <c r="Z407" s="180"/>
      <c r="AA407" s="180"/>
      <c r="AB407" s="180"/>
      <c r="AC407" s="180"/>
      <c r="AD407" s="180"/>
      <c r="AE407" s="180"/>
      <c r="AF407" s="180"/>
      <c r="AG407" s="180"/>
      <c r="AH407" s="180"/>
      <c r="AI407" s="180">
        <v>0</v>
      </c>
      <c r="AJ407" s="181">
        <f t="shared" si="114"/>
        <v>0</v>
      </c>
      <c r="AK407" s="180">
        <f t="shared" si="108"/>
        <v>32800000</v>
      </c>
      <c r="AL407" s="181">
        <f t="shared" si="115"/>
        <v>100</v>
      </c>
      <c r="AM407" s="243"/>
    </row>
    <row r="408" spans="1:39" ht="29.25" customHeight="1" x14ac:dyDescent="0.25">
      <c r="A408" s="243"/>
      <c r="B408" s="381"/>
      <c r="C408" s="381"/>
      <c r="D408" s="381"/>
      <c r="E408" s="381"/>
      <c r="F408" s="381"/>
      <c r="G408" s="381"/>
      <c r="H408" s="381"/>
      <c r="I408" s="382"/>
      <c r="J408" s="381" t="s">
        <v>347</v>
      </c>
      <c r="K408" s="245"/>
      <c r="L408" s="257"/>
      <c r="M408" s="604" t="s">
        <v>348</v>
      </c>
      <c r="N408" s="592"/>
      <c r="O408" s="179"/>
      <c r="P408" s="180"/>
      <c r="Q408" s="180">
        <v>27800000</v>
      </c>
      <c r="R408" s="181">
        <f t="shared" si="116"/>
        <v>7.0507910581766353</v>
      </c>
      <c r="S408" s="181">
        <v>100</v>
      </c>
      <c r="T408" s="180">
        <f t="shared" si="104"/>
        <v>0</v>
      </c>
      <c r="U408" s="180">
        <f t="shared" si="110"/>
        <v>0</v>
      </c>
      <c r="V408" s="182">
        <f t="shared" si="95"/>
        <v>100</v>
      </c>
      <c r="W408" s="180"/>
      <c r="X408" s="180"/>
      <c r="Y408" s="180"/>
      <c r="Z408" s="180"/>
      <c r="AA408" s="180"/>
      <c r="AB408" s="180"/>
      <c r="AC408" s="180"/>
      <c r="AD408" s="180"/>
      <c r="AE408" s="180"/>
      <c r="AF408" s="180"/>
      <c r="AG408" s="180"/>
      <c r="AH408" s="180"/>
      <c r="AI408" s="180">
        <v>0</v>
      </c>
      <c r="AJ408" s="181">
        <f t="shared" si="114"/>
        <v>0</v>
      </c>
      <c r="AK408" s="180">
        <f t="shared" si="108"/>
        <v>27800000</v>
      </c>
      <c r="AL408" s="181">
        <f t="shared" si="115"/>
        <v>100</v>
      </c>
      <c r="AM408" s="243"/>
    </row>
    <row r="409" spans="1:39" ht="29.25" customHeight="1" x14ac:dyDescent="0.25">
      <c r="A409" s="243"/>
      <c r="B409" s="381"/>
      <c r="C409" s="381"/>
      <c r="D409" s="381"/>
      <c r="E409" s="381"/>
      <c r="F409" s="381"/>
      <c r="G409" s="381"/>
      <c r="H409" s="381"/>
      <c r="I409" s="382"/>
      <c r="J409" s="381" t="s">
        <v>323</v>
      </c>
      <c r="K409" s="245"/>
      <c r="L409" s="257"/>
      <c r="M409" s="604" t="s">
        <v>324</v>
      </c>
      <c r="N409" s="592"/>
      <c r="O409" s="179"/>
      <c r="P409" s="180"/>
      <c r="Q409" s="180">
        <v>35352000</v>
      </c>
      <c r="R409" s="181">
        <f t="shared" si="116"/>
        <v>8.9661714204554102</v>
      </c>
      <c r="S409" s="181">
        <v>100</v>
      </c>
      <c r="T409" s="180">
        <f t="shared" si="104"/>
        <v>9.877800407331975</v>
      </c>
      <c r="U409" s="180">
        <f t="shared" si="110"/>
        <v>0.88566051709182758</v>
      </c>
      <c r="V409" s="182">
        <f t="shared" si="95"/>
        <v>90.122199592668025</v>
      </c>
      <c r="W409" s="180"/>
      <c r="X409" s="180"/>
      <c r="Y409" s="180"/>
      <c r="Z409" s="180"/>
      <c r="AA409" s="180"/>
      <c r="AB409" s="180"/>
      <c r="AC409" s="180"/>
      <c r="AD409" s="180"/>
      <c r="AE409" s="180"/>
      <c r="AF409" s="180"/>
      <c r="AG409" s="180"/>
      <c r="AH409" s="180"/>
      <c r="AI409" s="180">
        <v>3492000</v>
      </c>
      <c r="AJ409" s="181">
        <f t="shared" si="114"/>
        <v>9.877800407331975</v>
      </c>
      <c r="AK409" s="180">
        <f t="shared" si="108"/>
        <v>31860000</v>
      </c>
      <c r="AL409" s="181">
        <f t="shared" si="115"/>
        <v>90.122199592668025</v>
      </c>
      <c r="AM409" s="243"/>
    </row>
    <row r="410" spans="1:39" ht="29.25" customHeight="1" x14ac:dyDescent="0.25">
      <c r="A410" s="243"/>
      <c r="B410" s="381"/>
      <c r="C410" s="381"/>
      <c r="D410" s="381"/>
      <c r="E410" s="381"/>
      <c r="F410" s="381"/>
      <c r="G410" s="381"/>
      <c r="H410" s="381"/>
      <c r="I410" s="382"/>
      <c r="J410" s="381" t="s">
        <v>269</v>
      </c>
      <c r="K410" s="245"/>
      <c r="L410" s="257"/>
      <c r="M410" s="604" t="s">
        <v>270</v>
      </c>
      <c r="N410" s="592"/>
      <c r="O410" s="179"/>
      <c r="P410" s="180"/>
      <c r="Q410" s="180">
        <v>16330000</v>
      </c>
      <c r="R410" s="181">
        <f t="shared" si="116"/>
        <v>4.1417056827346919</v>
      </c>
      <c r="S410" s="181">
        <v>100</v>
      </c>
      <c r="T410" s="180">
        <f t="shared" si="104"/>
        <v>14.574402939375384</v>
      </c>
      <c r="U410" s="180">
        <f t="shared" si="110"/>
        <v>0.60362887476476224</v>
      </c>
      <c r="V410" s="182">
        <f t="shared" si="95"/>
        <v>85.425597060624611</v>
      </c>
      <c r="W410" s="180"/>
      <c r="X410" s="180"/>
      <c r="Y410" s="180"/>
      <c r="Z410" s="180"/>
      <c r="AA410" s="180"/>
      <c r="AB410" s="180"/>
      <c r="AC410" s="180"/>
      <c r="AD410" s="180"/>
      <c r="AE410" s="180"/>
      <c r="AF410" s="180"/>
      <c r="AG410" s="180"/>
      <c r="AH410" s="180"/>
      <c r="AI410" s="180">
        <v>2380000</v>
      </c>
      <c r="AJ410" s="181">
        <f t="shared" si="114"/>
        <v>14.574402939375384</v>
      </c>
      <c r="AK410" s="180">
        <f t="shared" si="108"/>
        <v>13950000</v>
      </c>
      <c r="AL410" s="181">
        <f t="shared" si="115"/>
        <v>85.425597060624611</v>
      </c>
      <c r="AM410" s="243"/>
    </row>
    <row r="411" spans="1:39" ht="29.25" customHeight="1" x14ac:dyDescent="0.25">
      <c r="A411" s="243"/>
      <c r="B411" s="381"/>
      <c r="C411" s="381"/>
      <c r="D411" s="381"/>
      <c r="E411" s="381"/>
      <c r="F411" s="381"/>
      <c r="G411" s="381"/>
      <c r="H411" s="381"/>
      <c r="I411" s="382"/>
      <c r="J411" s="381" t="s">
        <v>315</v>
      </c>
      <c r="K411" s="245"/>
      <c r="L411" s="257"/>
      <c r="M411" s="604" t="s">
        <v>271</v>
      </c>
      <c r="N411" s="592"/>
      <c r="O411" s="179"/>
      <c r="P411" s="180"/>
      <c r="Q411" s="180">
        <v>21000000</v>
      </c>
      <c r="R411" s="181">
        <f t="shared" si="116"/>
        <v>5.3261371302773144</v>
      </c>
      <c r="S411" s="181">
        <v>100</v>
      </c>
      <c r="T411" s="180">
        <f t="shared" ref="T411:T622" si="117">AJ411</f>
        <v>16.666666666666664</v>
      </c>
      <c r="U411" s="180">
        <f t="shared" si="110"/>
        <v>0.88768952171288562</v>
      </c>
      <c r="V411" s="182">
        <f t="shared" si="95"/>
        <v>83.333333333333343</v>
      </c>
      <c r="W411" s="180"/>
      <c r="X411" s="180"/>
      <c r="Y411" s="180"/>
      <c r="Z411" s="180"/>
      <c r="AA411" s="180"/>
      <c r="AB411" s="180"/>
      <c r="AC411" s="180"/>
      <c r="AD411" s="180"/>
      <c r="AE411" s="180"/>
      <c r="AF411" s="180"/>
      <c r="AG411" s="180"/>
      <c r="AH411" s="180"/>
      <c r="AI411" s="180">
        <v>3500000</v>
      </c>
      <c r="AJ411" s="181">
        <f t="shared" si="114"/>
        <v>16.666666666666664</v>
      </c>
      <c r="AK411" s="180">
        <f t="shared" si="108"/>
        <v>17500000</v>
      </c>
      <c r="AL411" s="181">
        <f t="shared" si="115"/>
        <v>83.333333333333343</v>
      </c>
      <c r="AM411" s="243"/>
    </row>
    <row r="412" spans="1:39" ht="29.25" customHeight="1" x14ac:dyDescent="0.25">
      <c r="A412" s="243"/>
      <c r="B412" s="381"/>
      <c r="C412" s="381"/>
      <c r="D412" s="381"/>
      <c r="E412" s="381"/>
      <c r="F412" s="381"/>
      <c r="G412" s="381"/>
      <c r="H412" s="381"/>
      <c r="I412" s="382"/>
      <c r="J412" s="381" t="s">
        <v>316</v>
      </c>
      <c r="K412" s="245"/>
      <c r="L412" s="257"/>
      <c r="M412" s="604" t="s">
        <v>317</v>
      </c>
      <c r="N412" s="592"/>
      <c r="O412" s="179"/>
      <c r="P412" s="180"/>
      <c r="Q412" s="180">
        <v>900000</v>
      </c>
      <c r="R412" s="181">
        <f t="shared" si="116"/>
        <v>0.22826301986902778</v>
      </c>
      <c r="S412" s="181">
        <v>100</v>
      </c>
      <c r="T412" s="180">
        <f t="shared" si="117"/>
        <v>0</v>
      </c>
      <c r="U412" s="180">
        <f t="shared" si="110"/>
        <v>0</v>
      </c>
      <c r="V412" s="182">
        <f t="shared" si="95"/>
        <v>100</v>
      </c>
      <c r="W412" s="180"/>
      <c r="X412" s="180"/>
      <c r="Y412" s="180"/>
      <c r="Z412" s="180"/>
      <c r="AA412" s="180"/>
      <c r="AB412" s="180"/>
      <c r="AC412" s="180"/>
      <c r="AD412" s="180"/>
      <c r="AE412" s="180"/>
      <c r="AF412" s="180"/>
      <c r="AG412" s="180"/>
      <c r="AH412" s="180"/>
      <c r="AI412" s="180">
        <v>0</v>
      </c>
      <c r="AJ412" s="181">
        <f t="shared" si="114"/>
        <v>0</v>
      </c>
      <c r="AK412" s="180">
        <f t="shared" si="108"/>
        <v>900000</v>
      </c>
      <c r="AL412" s="181">
        <f t="shared" si="115"/>
        <v>100</v>
      </c>
      <c r="AM412" s="243"/>
    </row>
    <row r="413" spans="1:39" ht="29.25" customHeight="1" x14ac:dyDescent="0.25">
      <c r="A413" s="243"/>
      <c r="B413" s="381"/>
      <c r="C413" s="381"/>
      <c r="D413" s="381"/>
      <c r="E413" s="381"/>
      <c r="F413" s="381"/>
      <c r="G413" s="381"/>
      <c r="H413" s="381"/>
      <c r="I413" s="382"/>
      <c r="J413" s="381" t="s">
        <v>318</v>
      </c>
      <c r="K413" s="245"/>
      <c r="L413" s="257"/>
      <c r="M413" s="604" t="s">
        <v>319</v>
      </c>
      <c r="N413" s="592"/>
      <c r="O413" s="179"/>
      <c r="P413" s="180"/>
      <c r="Q413" s="180">
        <v>109500000</v>
      </c>
      <c r="R413" s="181">
        <f t="shared" si="116"/>
        <v>27.772000750731713</v>
      </c>
      <c r="S413" s="181">
        <v>100</v>
      </c>
      <c r="T413" s="180">
        <f t="shared" si="117"/>
        <v>0</v>
      </c>
      <c r="U413" s="180">
        <f t="shared" si="110"/>
        <v>0</v>
      </c>
      <c r="V413" s="182">
        <f t="shared" si="95"/>
        <v>100</v>
      </c>
      <c r="W413" s="180"/>
      <c r="X413" s="180"/>
      <c r="Y413" s="180"/>
      <c r="Z413" s="180"/>
      <c r="AA413" s="180"/>
      <c r="AB413" s="180"/>
      <c r="AC413" s="180"/>
      <c r="AD413" s="180"/>
      <c r="AE413" s="180"/>
      <c r="AF413" s="180"/>
      <c r="AG413" s="180"/>
      <c r="AH413" s="180"/>
      <c r="AI413" s="180">
        <v>0</v>
      </c>
      <c r="AJ413" s="181">
        <f t="shared" si="114"/>
        <v>0</v>
      </c>
      <c r="AK413" s="180">
        <f t="shared" si="108"/>
        <v>109500000</v>
      </c>
      <c r="AL413" s="181">
        <f t="shared" si="115"/>
        <v>100</v>
      </c>
      <c r="AM413" s="243"/>
    </row>
    <row r="414" spans="1:39" ht="29.25" customHeight="1" x14ac:dyDescent="0.25">
      <c r="A414" s="243"/>
      <c r="B414" s="381"/>
      <c r="C414" s="381"/>
      <c r="D414" s="381"/>
      <c r="E414" s="381"/>
      <c r="F414" s="381"/>
      <c r="G414" s="381"/>
      <c r="H414" s="381"/>
      <c r="I414" s="382"/>
      <c r="J414" s="381" t="s">
        <v>284</v>
      </c>
      <c r="K414" s="245"/>
      <c r="L414" s="257"/>
      <c r="M414" s="604" t="s">
        <v>285</v>
      </c>
      <c r="N414" s="592"/>
      <c r="O414" s="179"/>
      <c r="P414" s="180"/>
      <c r="Q414" s="180">
        <v>25000000</v>
      </c>
      <c r="R414" s="181">
        <f t="shared" si="116"/>
        <v>6.3406394408063269</v>
      </c>
      <c r="S414" s="181">
        <v>100</v>
      </c>
      <c r="T414" s="180">
        <f t="shared" si="117"/>
        <v>16.72</v>
      </c>
      <c r="U414" s="180">
        <f t="shared" si="110"/>
        <v>1.0601549145028177</v>
      </c>
      <c r="V414" s="182">
        <f t="shared" si="95"/>
        <v>83.28</v>
      </c>
      <c r="W414" s="180"/>
      <c r="X414" s="180"/>
      <c r="Y414" s="180"/>
      <c r="Z414" s="180"/>
      <c r="AA414" s="180"/>
      <c r="AB414" s="180"/>
      <c r="AC414" s="180"/>
      <c r="AD414" s="180"/>
      <c r="AE414" s="180"/>
      <c r="AF414" s="180"/>
      <c r="AG414" s="180"/>
      <c r="AH414" s="180"/>
      <c r="AI414" s="180">
        <v>4180000</v>
      </c>
      <c r="AJ414" s="181">
        <f t="shared" si="114"/>
        <v>16.72</v>
      </c>
      <c r="AK414" s="180">
        <f t="shared" si="108"/>
        <v>20820000</v>
      </c>
      <c r="AL414" s="181">
        <f t="shared" si="115"/>
        <v>83.28</v>
      </c>
      <c r="AM414" s="243"/>
    </row>
    <row r="415" spans="1:39" ht="29.25" customHeight="1" x14ac:dyDescent="0.25">
      <c r="A415" s="243"/>
      <c r="B415" s="381"/>
      <c r="C415" s="381"/>
      <c r="D415" s="381"/>
      <c r="E415" s="381"/>
      <c r="F415" s="381"/>
      <c r="G415" s="381"/>
      <c r="H415" s="381"/>
      <c r="I415" s="382"/>
      <c r="J415" s="381" t="s">
        <v>282</v>
      </c>
      <c r="K415" s="245"/>
      <c r="L415" s="257"/>
      <c r="M415" s="604" t="s">
        <v>283</v>
      </c>
      <c r="N415" s="592"/>
      <c r="O415" s="179"/>
      <c r="P415" s="180"/>
      <c r="Q415" s="180">
        <v>74100000</v>
      </c>
      <c r="R415" s="181">
        <f t="shared" si="116"/>
        <v>18.793655302549954</v>
      </c>
      <c r="S415" s="181">
        <v>100</v>
      </c>
      <c r="T415" s="180">
        <f t="shared" si="117"/>
        <v>20.237516869095817</v>
      </c>
      <c r="U415" s="180">
        <f t="shared" si="110"/>
        <v>3.8033691621732673</v>
      </c>
      <c r="V415" s="182">
        <f t="shared" si="95"/>
        <v>79.762483130904187</v>
      </c>
      <c r="W415" s="180"/>
      <c r="X415" s="180"/>
      <c r="Y415" s="180"/>
      <c r="Z415" s="180"/>
      <c r="AA415" s="180"/>
      <c r="AB415" s="180"/>
      <c r="AC415" s="180"/>
      <c r="AD415" s="180"/>
      <c r="AE415" s="180"/>
      <c r="AF415" s="180"/>
      <c r="AG415" s="180"/>
      <c r="AH415" s="180"/>
      <c r="AI415" s="180">
        <v>14996000</v>
      </c>
      <c r="AJ415" s="181">
        <f t="shared" si="114"/>
        <v>20.237516869095817</v>
      </c>
      <c r="AK415" s="180">
        <f t="shared" si="108"/>
        <v>59104000</v>
      </c>
      <c r="AL415" s="181">
        <f t="shared" si="115"/>
        <v>79.762483130904187</v>
      </c>
      <c r="AM415" s="243"/>
    </row>
    <row r="416" spans="1:39" ht="29.25" customHeight="1" x14ac:dyDescent="0.25">
      <c r="A416" s="243"/>
      <c r="B416" s="381"/>
      <c r="C416" s="381"/>
      <c r="D416" s="381"/>
      <c r="E416" s="381"/>
      <c r="F416" s="381"/>
      <c r="G416" s="381"/>
      <c r="H416" s="381"/>
      <c r="I416" s="382"/>
      <c r="J416" s="381" t="s">
        <v>320</v>
      </c>
      <c r="K416" s="245"/>
      <c r="L416" s="257"/>
      <c r="M416" s="604" t="s">
        <v>321</v>
      </c>
      <c r="N416" s="592"/>
      <c r="O416" s="179"/>
      <c r="P416" s="180"/>
      <c r="Q416" s="180">
        <v>26600000</v>
      </c>
      <c r="R416" s="181">
        <f t="shared" si="116"/>
        <v>6.7464403650179321</v>
      </c>
      <c r="S416" s="181">
        <v>100</v>
      </c>
      <c r="T416" s="180">
        <f t="shared" si="117"/>
        <v>0</v>
      </c>
      <c r="U416" s="180">
        <f t="shared" si="110"/>
        <v>0</v>
      </c>
      <c r="V416" s="182">
        <f t="shared" si="95"/>
        <v>100</v>
      </c>
      <c r="W416" s="180"/>
      <c r="X416" s="180"/>
      <c r="Y416" s="180"/>
      <c r="Z416" s="180"/>
      <c r="AA416" s="180"/>
      <c r="AB416" s="180"/>
      <c r="AC416" s="180"/>
      <c r="AD416" s="180"/>
      <c r="AE416" s="180"/>
      <c r="AF416" s="180"/>
      <c r="AG416" s="180"/>
      <c r="AH416" s="180"/>
      <c r="AI416" s="180">
        <v>0</v>
      </c>
      <c r="AJ416" s="181">
        <f t="shared" si="114"/>
        <v>0</v>
      </c>
      <c r="AK416" s="180">
        <f t="shared" si="108"/>
        <v>26600000</v>
      </c>
      <c r="AL416" s="181">
        <f t="shared" si="115"/>
        <v>100</v>
      </c>
      <c r="AM416" s="243"/>
    </row>
    <row r="417" spans="1:39" ht="29.25" customHeight="1" x14ac:dyDescent="0.25">
      <c r="A417" s="243"/>
      <c r="B417" s="381"/>
      <c r="C417" s="381"/>
      <c r="D417" s="381"/>
      <c r="E417" s="381"/>
      <c r="F417" s="381"/>
      <c r="G417" s="381"/>
      <c r="H417" s="381"/>
      <c r="I417" s="382"/>
      <c r="J417" s="381" t="s">
        <v>309</v>
      </c>
      <c r="K417" s="245"/>
      <c r="L417" s="257"/>
      <c r="M417" s="604" t="s">
        <v>611</v>
      </c>
      <c r="N417" s="592"/>
      <c r="O417" s="179"/>
      <c r="P417" s="180"/>
      <c r="Q417" s="180">
        <v>12900000</v>
      </c>
      <c r="R417" s="181">
        <f t="shared" si="116"/>
        <v>3.2717699514560645</v>
      </c>
      <c r="S417" s="181">
        <v>100</v>
      </c>
      <c r="T417" s="180">
        <f t="shared" si="117"/>
        <v>0</v>
      </c>
      <c r="U417" s="180">
        <f t="shared" si="110"/>
        <v>0</v>
      </c>
      <c r="V417" s="182">
        <f t="shared" si="95"/>
        <v>100</v>
      </c>
      <c r="W417" s="180"/>
      <c r="X417" s="180"/>
      <c r="Y417" s="180"/>
      <c r="Z417" s="180"/>
      <c r="AA417" s="180"/>
      <c r="AB417" s="180"/>
      <c r="AC417" s="180"/>
      <c r="AD417" s="180"/>
      <c r="AE417" s="180"/>
      <c r="AF417" s="180"/>
      <c r="AG417" s="180"/>
      <c r="AH417" s="180"/>
      <c r="AI417" s="180">
        <v>0</v>
      </c>
      <c r="AJ417" s="181">
        <f t="shared" si="114"/>
        <v>0</v>
      </c>
      <c r="AK417" s="180">
        <f t="shared" si="108"/>
        <v>12900000</v>
      </c>
      <c r="AL417" s="181">
        <f t="shared" si="115"/>
        <v>100</v>
      </c>
      <c r="AM417" s="243"/>
    </row>
    <row r="418" spans="1:39" ht="29.25" customHeight="1" x14ac:dyDescent="0.25">
      <c r="A418" s="243"/>
      <c r="B418" s="381"/>
      <c r="C418" s="381"/>
      <c r="D418" s="381"/>
      <c r="E418" s="381"/>
      <c r="F418" s="381"/>
      <c r="G418" s="381"/>
      <c r="H418" s="381"/>
      <c r="I418" s="382"/>
      <c r="J418" s="381" t="s">
        <v>551</v>
      </c>
      <c r="K418" s="245"/>
      <c r="L418" s="257"/>
      <c r="M418" s="604" t="s">
        <v>550</v>
      </c>
      <c r="N418" s="592"/>
      <c r="O418" s="179"/>
      <c r="P418" s="180"/>
      <c r="Q418" s="180">
        <v>9600000</v>
      </c>
      <c r="R418" s="181">
        <f t="shared" si="116"/>
        <v>2.4348055452696293</v>
      </c>
      <c r="S418" s="181"/>
      <c r="T418" s="180">
        <f t="shared" si="117"/>
        <v>25</v>
      </c>
      <c r="U418" s="180">
        <f t="shared" si="110"/>
        <v>0.60870138631740733</v>
      </c>
      <c r="V418" s="182"/>
      <c r="W418" s="180"/>
      <c r="X418" s="180"/>
      <c r="Y418" s="180"/>
      <c r="Z418" s="180"/>
      <c r="AA418" s="180"/>
      <c r="AB418" s="180"/>
      <c r="AC418" s="180"/>
      <c r="AD418" s="180"/>
      <c r="AE418" s="180"/>
      <c r="AF418" s="180"/>
      <c r="AG418" s="180"/>
      <c r="AH418" s="180"/>
      <c r="AI418" s="180">
        <f>1600000+800000</f>
        <v>2400000</v>
      </c>
      <c r="AJ418" s="181">
        <f t="shared" si="114"/>
        <v>25</v>
      </c>
      <c r="AK418" s="180">
        <f t="shared" si="108"/>
        <v>7200000</v>
      </c>
      <c r="AL418" s="181">
        <f t="shared" si="115"/>
        <v>75</v>
      </c>
      <c r="AM418" s="243"/>
    </row>
    <row r="419" spans="1:39" ht="29.25" customHeight="1" x14ac:dyDescent="0.25">
      <c r="A419" s="227">
        <v>53</v>
      </c>
      <c r="B419" s="381"/>
      <c r="C419" s="381"/>
      <c r="D419" s="381"/>
      <c r="E419" s="381"/>
      <c r="F419" s="381"/>
      <c r="G419" s="381"/>
      <c r="H419" s="381"/>
      <c r="I419" s="382"/>
      <c r="J419" s="304" t="s">
        <v>499</v>
      </c>
      <c r="K419" s="230"/>
      <c r="L419" s="294"/>
      <c r="M419" s="613" t="s">
        <v>500</v>
      </c>
      <c r="N419" s="613"/>
      <c r="O419" s="309">
        <v>252956000</v>
      </c>
      <c r="P419" s="231">
        <f>O419</f>
        <v>252956000</v>
      </c>
      <c r="Q419" s="231">
        <f>SUM(Q420:Q421)</f>
        <v>418500000</v>
      </c>
      <c r="R419" s="233">
        <f>Q419/Q$245*100</f>
        <v>3.5085969787315476</v>
      </c>
      <c r="S419" s="233">
        <v>100</v>
      </c>
      <c r="T419" s="231">
        <f t="shared" si="117"/>
        <v>2.0692951015531662</v>
      </c>
      <c r="U419" s="231">
        <f t="shared" si="110"/>
        <v>7.2603225414134304E-2</v>
      </c>
      <c r="V419" s="296">
        <f t="shared" ref="V419:V421" si="118">S419-T419</f>
        <v>97.930704898446834</v>
      </c>
      <c r="W419" s="231"/>
      <c r="X419" s="231" t="e">
        <f>#REF!</f>
        <v>#REF!</v>
      </c>
      <c r="Y419" s="231" t="e">
        <f>#REF!</f>
        <v>#REF!</v>
      </c>
      <c r="Z419" s="231" t="e">
        <f>#REF!</f>
        <v>#REF!</v>
      </c>
      <c r="AA419" s="231" t="e">
        <f>#REF!</f>
        <v>#REF!</v>
      </c>
      <c r="AB419" s="231">
        <v>58582925</v>
      </c>
      <c r="AC419" s="231" t="e">
        <f>#REF!</f>
        <v>#REF!</v>
      </c>
      <c r="AD419" s="231" t="e">
        <f>#REF!</f>
        <v>#REF!</v>
      </c>
      <c r="AE419" s="231" t="e">
        <f>#REF!</f>
        <v>#REF!</v>
      </c>
      <c r="AF419" s="231" t="e">
        <f>[1]April!N86</f>
        <v>#REF!</v>
      </c>
      <c r="AG419" s="231" t="e">
        <f>[2]april!N86</f>
        <v>#REF!</v>
      </c>
      <c r="AH419" s="231">
        <f>'[3]DES SKPD'!$N86</f>
        <v>126710000</v>
      </c>
      <c r="AI419" s="231">
        <f>SUM(AI420:AI421)</f>
        <v>8660000</v>
      </c>
      <c r="AJ419" s="233">
        <f t="shared" si="114"/>
        <v>2.0692951015531662</v>
      </c>
      <c r="AK419" s="231">
        <f t="shared" si="108"/>
        <v>409840000</v>
      </c>
      <c r="AL419" s="233">
        <f t="shared" si="115"/>
        <v>97.930704898446834</v>
      </c>
      <c r="AM419" s="243"/>
    </row>
    <row r="420" spans="1:39" ht="29.25" customHeight="1" x14ac:dyDescent="0.25">
      <c r="A420" s="243"/>
      <c r="B420" s="381"/>
      <c r="C420" s="381"/>
      <c r="D420" s="381"/>
      <c r="E420" s="381"/>
      <c r="F420" s="381"/>
      <c r="G420" s="381"/>
      <c r="H420" s="381"/>
      <c r="I420" s="382"/>
      <c r="J420" s="381" t="s">
        <v>537</v>
      </c>
      <c r="K420" s="245"/>
      <c r="L420" s="257"/>
      <c r="M420" s="604" t="s">
        <v>605</v>
      </c>
      <c r="N420" s="592"/>
      <c r="O420" s="179"/>
      <c r="P420" s="180"/>
      <c r="Q420" s="180">
        <v>38500000</v>
      </c>
      <c r="R420" s="181">
        <f t="shared" ref="R420:R421" si="119">Q420/Q$419*100</f>
        <v>9.1995221027479097</v>
      </c>
      <c r="S420" s="181">
        <v>100</v>
      </c>
      <c r="T420" s="180">
        <f t="shared" si="117"/>
        <v>22.493506493506494</v>
      </c>
      <c r="U420" s="180">
        <f t="shared" si="110"/>
        <v>2.0692951015531662</v>
      </c>
      <c r="V420" s="182">
        <f t="shared" si="118"/>
        <v>77.506493506493513</v>
      </c>
      <c r="W420" s="180"/>
      <c r="X420" s="180"/>
      <c r="Y420" s="180"/>
      <c r="Z420" s="180"/>
      <c r="AA420" s="180"/>
      <c r="AB420" s="180"/>
      <c r="AC420" s="180"/>
      <c r="AD420" s="180"/>
      <c r="AE420" s="180"/>
      <c r="AF420" s="180"/>
      <c r="AG420" s="180"/>
      <c r="AH420" s="180"/>
      <c r="AI420" s="180">
        <f>8000000+660000</f>
        <v>8660000</v>
      </c>
      <c r="AJ420" s="181">
        <f t="shared" si="114"/>
        <v>22.493506493506494</v>
      </c>
      <c r="AK420" s="180">
        <f t="shared" si="108"/>
        <v>29840000</v>
      </c>
      <c r="AL420" s="181">
        <f t="shared" si="115"/>
        <v>77.506493506493499</v>
      </c>
      <c r="AM420" s="243"/>
    </row>
    <row r="421" spans="1:39" ht="29.25" customHeight="1" x14ac:dyDescent="0.25">
      <c r="A421" s="243"/>
      <c r="B421" s="381"/>
      <c r="C421" s="381"/>
      <c r="D421" s="381"/>
      <c r="E421" s="381"/>
      <c r="F421" s="381"/>
      <c r="G421" s="381"/>
      <c r="H421" s="381"/>
      <c r="I421" s="382"/>
      <c r="J421" s="381" t="s">
        <v>415</v>
      </c>
      <c r="K421" s="245"/>
      <c r="L421" s="257"/>
      <c r="M421" s="604" t="s">
        <v>303</v>
      </c>
      <c r="N421" s="592"/>
      <c r="O421" s="179"/>
      <c r="P421" s="180"/>
      <c r="Q421" s="180">
        <v>380000000</v>
      </c>
      <c r="R421" s="181">
        <f t="shared" si="119"/>
        <v>90.80047789725208</v>
      </c>
      <c r="S421" s="181">
        <v>100</v>
      </c>
      <c r="T421" s="180">
        <f t="shared" si="117"/>
        <v>0</v>
      </c>
      <c r="U421" s="180">
        <f t="shared" si="110"/>
        <v>0</v>
      </c>
      <c r="V421" s="182">
        <f t="shared" si="118"/>
        <v>100</v>
      </c>
      <c r="W421" s="180"/>
      <c r="X421" s="180"/>
      <c r="Y421" s="180"/>
      <c r="Z421" s="180"/>
      <c r="AA421" s="180"/>
      <c r="AB421" s="180"/>
      <c r="AC421" s="180"/>
      <c r="AD421" s="180"/>
      <c r="AE421" s="180"/>
      <c r="AF421" s="180"/>
      <c r="AG421" s="180"/>
      <c r="AH421" s="180"/>
      <c r="AI421" s="180">
        <v>0</v>
      </c>
      <c r="AJ421" s="181">
        <f t="shared" si="114"/>
        <v>0</v>
      </c>
      <c r="AK421" s="180">
        <f t="shared" si="108"/>
        <v>380000000</v>
      </c>
      <c r="AL421" s="181">
        <f t="shared" si="115"/>
        <v>100</v>
      </c>
      <c r="AM421" s="243"/>
    </row>
    <row r="422" spans="1:39" s="297" customFormat="1" ht="29.25" customHeight="1" x14ac:dyDescent="0.25">
      <c r="A422" s="227">
        <f>SUM(A419+1)</f>
        <v>54</v>
      </c>
      <c r="B422" s="615" t="s">
        <v>153</v>
      </c>
      <c r="C422" s="615"/>
      <c r="D422" s="615"/>
      <c r="E422" s="615"/>
      <c r="F422" s="615"/>
      <c r="G422" s="615"/>
      <c r="H422" s="615"/>
      <c r="I422" s="614"/>
      <c r="J422" s="304" t="s">
        <v>504</v>
      </c>
      <c r="K422" s="230"/>
      <c r="L422" s="294"/>
      <c r="M422" s="610" t="s">
        <v>53</v>
      </c>
      <c r="N422" s="610"/>
      <c r="O422" s="309">
        <v>420443450</v>
      </c>
      <c r="P422" s="231">
        <f>O422</f>
        <v>420443450</v>
      </c>
      <c r="Q422" s="231">
        <f>SUM(Q423:Q432)</f>
        <v>179508000</v>
      </c>
      <c r="R422" s="233">
        <f>Q422/Q$245*100</f>
        <v>1.5049491671640207</v>
      </c>
      <c r="S422" s="233">
        <v>100</v>
      </c>
      <c r="T422" s="231">
        <f t="shared" si="117"/>
        <v>0</v>
      </c>
      <c r="U422" s="231">
        <f t="shared" si="110"/>
        <v>0</v>
      </c>
      <c r="V422" s="296">
        <f t="shared" si="95"/>
        <v>100</v>
      </c>
      <c r="W422" s="231"/>
      <c r="X422" s="231" t="e">
        <f>#REF!</f>
        <v>#REF!</v>
      </c>
      <c r="Y422" s="231" t="e">
        <f>#REF!</f>
        <v>#REF!</v>
      </c>
      <c r="Z422" s="231" t="e">
        <f>#REF!</f>
        <v>#REF!</v>
      </c>
      <c r="AA422" s="231" t="e">
        <f>#REF!</f>
        <v>#REF!</v>
      </c>
      <c r="AB422" s="231">
        <v>55843500</v>
      </c>
      <c r="AC422" s="231" t="e">
        <f>#REF!</f>
        <v>#REF!</v>
      </c>
      <c r="AD422" s="231" t="e">
        <f>#REF!</f>
        <v>#REF!</v>
      </c>
      <c r="AE422" s="231" t="e">
        <f>#REF!</f>
        <v>#REF!</v>
      </c>
      <c r="AF422" s="231" t="e">
        <f>[1]April!N73</f>
        <v>#REF!</v>
      </c>
      <c r="AG422" s="231" t="e">
        <f>[2]april!N73</f>
        <v>#REF!</v>
      </c>
      <c r="AH422" s="231">
        <f>'[3]DES SKPD'!$N73</f>
        <v>192051900</v>
      </c>
      <c r="AI422" s="231">
        <f>SUM(AI423:AI432)</f>
        <v>0</v>
      </c>
      <c r="AJ422" s="233">
        <f t="shared" si="114"/>
        <v>0</v>
      </c>
      <c r="AK422" s="231">
        <f t="shared" ref="AK422:AK486" si="120">Q422-AI422</f>
        <v>179508000</v>
      </c>
      <c r="AL422" s="233">
        <f t="shared" si="115"/>
        <v>100</v>
      </c>
      <c r="AM422" s="227"/>
    </row>
    <row r="423" spans="1:39" ht="24.75" customHeight="1" x14ac:dyDescent="0.25">
      <c r="A423" s="243"/>
      <c r="B423" s="381"/>
      <c r="C423" s="381"/>
      <c r="D423" s="381"/>
      <c r="E423" s="381"/>
      <c r="F423" s="381"/>
      <c r="G423" s="381"/>
      <c r="H423" s="381"/>
      <c r="I423" s="382"/>
      <c r="J423" s="381" t="s">
        <v>273</v>
      </c>
      <c r="K423" s="245"/>
      <c r="L423" s="257"/>
      <c r="M423" s="591" t="s">
        <v>322</v>
      </c>
      <c r="N423" s="592"/>
      <c r="O423" s="179"/>
      <c r="P423" s="180"/>
      <c r="Q423" s="180">
        <v>20400000</v>
      </c>
      <c r="R423" s="181">
        <f t="shared" ref="R423:R432" si="121">Q423/Q$422*100</f>
        <v>11.364396015776455</v>
      </c>
      <c r="S423" s="181">
        <v>100</v>
      </c>
      <c r="T423" s="180">
        <f t="shared" si="117"/>
        <v>0</v>
      </c>
      <c r="U423" s="180">
        <f t="shared" si="110"/>
        <v>0</v>
      </c>
      <c r="V423" s="182">
        <f t="shared" si="95"/>
        <v>100</v>
      </c>
      <c r="W423" s="180"/>
      <c r="X423" s="180"/>
      <c r="Y423" s="180"/>
      <c r="Z423" s="180"/>
      <c r="AA423" s="180"/>
      <c r="AB423" s="180"/>
      <c r="AC423" s="180"/>
      <c r="AD423" s="180"/>
      <c r="AE423" s="180"/>
      <c r="AF423" s="180"/>
      <c r="AG423" s="180"/>
      <c r="AH423" s="180"/>
      <c r="AI423" s="180">
        <v>0</v>
      </c>
      <c r="AJ423" s="181">
        <f t="shared" si="114"/>
        <v>0</v>
      </c>
      <c r="AK423" s="180">
        <f t="shared" si="120"/>
        <v>20400000</v>
      </c>
      <c r="AL423" s="181">
        <f t="shared" si="115"/>
        <v>100</v>
      </c>
      <c r="AM423" s="243"/>
    </row>
    <row r="424" spans="1:39" ht="24.75" customHeight="1" x14ac:dyDescent="0.25">
      <c r="A424" s="243"/>
      <c r="B424" s="381"/>
      <c r="C424" s="381"/>
      <c r="D424" s="381"/>
      <c r="E424" s="381"/>
      <c r="F424" s="381"/>
      <c r="G424" s="381"/>
      <c r="H424" s="381"/>
      <c r="I424" s="382"/>
      <c r="J424" s="381" t="s">
        <v>323</v>
      </c>
      <c r="K424" s="245"/>
      <c r="L424" s="257"/>
      <c r="M424" s="591" t="s">
        <v>324</v>
      </c>
      <c r="N424" s="592"/>
      <c r="O424" s="179"/>
      <c r="P424" s="180"/>
      <c r="Q424" s="180">
        <v>8408000</v>
      </c>
      <c r="R424" s="181">
        <f t="shared" si="121"/>
        <v>4.6839138088553156</v>
      </c>
      <c r="S424" s="181">
        <v>100</v>
      </c>
      <c r="T424" s="180">
        <f t="shared" si="117"/>
        <v>0</v>
      </c>
      <c r="U424" s="180">
        <f t="shared" si="110"/>
        <v>0</v>
      </c>
      <c r="V424" s="182">
        <f t="shared" si="95"/>
        <v>100</v>
      </c>
      <c r="W424" s="180"/>
      <c r="X424" s="180"/>
      <c r="Y424" s="180"/>
      <c r="Z424" s="180"/>
      <c r="AA424" s="180"/>
      <c r="AB424" s="180"/>
      <c r="AC424" s="180"/>
      <c r="AD424" s="180"/>
      <c r="AE424" s="180"/>
      <c r="AF424" s="180"/>
      <c r="AG424" s="180"/>
      <c r="AH424" s="180"/>
      <c r="AI424" s="180">
        <v>0</v>
      </c>
      <c r="AJ424" s="181">
        <f t="shared" si="114"/>
        <v>0</v>
      </c>
      <c r="AK424" s="180">
        <f t="shared" si="120"/>
        <v>8408000</v>
      </c>
      <c r="AL424" s="181">
        <f t="shared" si="115"/>
        <v>100</v>
      </c>
      <c r="AM424" s="243"/>
    </row>
    <row r="425" spans="1:39" ht="24.75" customHeight="1" x14ac:dyDescent="0.25">
      <c r="A425" s="243"/>
      <c r="B425" s="381"/>
      <c r="C425" s="381"/>
      <c r="D425" s="381"/>
      <c r="E425" s="381"/>
      <c r="F425" s="381"/>
      <c r="G425" s="381"/>
      <c r="H425" s="381"/>
      <c r="I425" s="382"/>
      <c r="J425" s="381" t="s">
        <v>417</v>
      </c>
      <c r="K425" s="245"/>
      <c r="L425" s="257"/>
      <c r="M425" s="591" t="s">
        <v>408</v>
      </c>
      <c r="N425" s="592"/>
      <c r="O425" s="179"/>
      <c r="P425" s="180"/>
      <c r="Q425" s="180">
        <v>3000000</v>
      </c>
      <c r="R425" s="181">
        <f t="shared" si="121"/>
        <v>1.6712347082024199</v>
      </c>
      <c r="S425" s="181">
        <v>101</v>
      </c>
      <c r="T425" s="180">
        <f t="shared" si="117"/>
        <v>0</v>
      </c>
      <c r="U425" s="180">
        <f t="shared" si="110"/>
        <v>0</v>
      </c>
      <c r="V425" s="182">
        <f t="shared" si="95"/>
        <v>101</v>
      </c>
      <c r="W425" s="180"/>
      <c r="X425" s="180"/>
      <c r="Y425" s="180"/>
      <c r="Z425" s="180"/>
      <c r="AA425" s="180"/>
      <c r="AB425" s="180"/>
      <c r="AC425" s="180"/>
      <c r="AD425" s="180"/>
      <c r="AE425" s="180"/>
      <c r="AF425" s="180"/>
      <c r="AG425" s="180"/>
      <c r="AH425" s="180"/>
      <c r="AI425" s="180">
        <v>0</v>
      </c>
      <c r="AJ425" s="181">
        <f t="shared" si="114"/>
        <v>0</v>
      </c>
      <c r="AK425" s="180">
        <f t="shared" si="120"/>
        <v>3000000</v>
      </c>
      <c r="AL425" s="181">
        <f t="shared" si="115"/>
        <v>100</v>
      </c>
      <c r="AM425" s="243"/>
    </row>
    <row r="426" spans="1:39" ht="24.75" customHeight="1" x14ac:dyDescent="0.25">
      <c r="A426" s="243"/>
      <c r="B426" s="381"/>
      <c r="C426" s="381"/>
      <c r="D426" s="381"/>
      <c r="E426" s="381"/>
      <c r="F426" s="381"/>
      <c r="G426" s="381"/>
      <c r="H426" s="381"/>
      <c r="I426" s="382"/>
      <c r="J426" s="381" t="s">
        <v>315</v>
      </c>
      <c r="K426" s="245"/>
      <c r="L426" s="257"/>
      <c r="M426" s="591" t="s">
        <v>271</v>
      </c>
      <c r="N426" s="592"/>
      <c r="O426" s="179"/>
      <c r="P426" s="180"/>
      <c r="Q426" s="180">
        <v>4000000</v>
      </c>
      <c r="R426" s="181">
        <f t="shared" si="121"/>
        <v>2.2283129442698932</v>
      </c>
      <c r="S426" s="181">
        <v>100</v>
      </c>
      <c r="T426" s="180">
        <f t="shared" si="117"/>
        <v>0</v>
      </c>
      <c r="U426" s="180">
        <f t="shared" si="110"/>
        <v>0</v>
      </c>
      <c r="V426" s="182">
        <f t="shared" si="95"/>
        <v>100</v>
      </c>
      <c r="W426" s="180"/>
      <c r="X426" s="180"/>
      <c r="Y426" s="180"/>
      <c r="Z426" s="180"/>
      <c r="AA426" s="180"/>
      <c r="AB426" s="180"/>
      <c r="AC426" s="180"/>
      <c r="AD426" s="180"/>
      <c r="AE426" s="180"/>
      <c r="AF426" s="180"/>
      <c r="AG426" s="180"/>
      <c r="AH426" s="180"/>
      <c r="AI426" s="180">
        <v>0</v>
      </c>
      <c r="AJ426" s="181">
        <f t="shared" si="114"/>
        <v>0</v>
      </c>
      <c r="AK426" s="180">
        <f t="shared" si="120"/>
        <v>4000000</v>
      </c>
      <c r="AL426" s="181">
        <f t="shared" si="115"/>
        <v>100</v>
      </c>
      <c r="AM426" s="243"/>
    </row>
    <row r="427" spans="1:39" ht="29.25" customHeight="1" x14ac:dyDescent="0.25">
      <c r="A427" s="243"/>
      <c r="B427" s="381"/>
      <c r="C427" s="381"/>
      <c r="D427" s="381"/>
      <c r="E427" s="381"/>
      <c r="F427" s="381"/>
      <c r="G427" s="381"/>
      <c r="H427" s="381"/>
      <c r="I427" s="382"/>
      <c r="J427" s="381" t="s">
        <v>328</v>
      </c>
      <c r="K427" s="245"/>
      <c r="L427" s="257"/>
      <c r="M427" s="591" t="s">
        <v>329</v>
      </c>
      <c r="N427" s="592"/>
      <c r="O427" s="179"/>
      <c r="P427" s="180"/>
      <c r="Q427" s="180">
        <v>26000000</v>
      </c>
      <c r="R427" s="181">
        <f t="shared" si="121"/>
        <v>14.484034137754307</v>
      </c>
      <c r="S427" s="181">
        <v>100</v>
      </c>
      <c r="T427" s="180">
        <f t="shared" si="117"/>
        <v>0</v>
      </c>
      <c r="U427" s="180">
        <f t="shared" ref="U427:U669" si="122">R427*T427/100</f>
        <v>0</v>
      </c>
      <c r="V427" s="182">
        <f t="shared" si="95"/>
        <v>100</v>
      </c>
      <c r="W427" s="180"/>
      <c r="X427" s="180"/>
      <c r="Y427" s="180"/>
      <c r="Z427" s="180"/>
      <c r="AA427" s="180"/>
      <c r="AB427" s="180"/>
      <c r="AC427" s="180"/>
      <c r="AD427" s="180"/>
      <c r="AE427" s="180"/>
      <c r="AF427" s="180"/>
      <c r="AG427" s="180"/>
      <c r="AH427" s="180"/>
      <c r="AI427" s="180">
        <v>0</v>
      </c>
      <c r="AJ427" s="181">
        <f t="shared" si="114"/>
        <v>0</v>
      </c>
      <c r="AK427" s="180">
        <f t="shared" si="120"/>
        <v>26000000</v>
      </c>
      <c r="AL427" s="181">
        <f t="shared" si="115"/>
        <v>100</v>
      </c>
      <c r="AM427" s="243"/>
    </row>
    <row r="428" spans="1:39" ht="24.75" customHeight="1" x14ac:dyDescent="0.25">
      <c r="A428" s="243"/>
      <c r="B428" s="381"/>
      <c r="C428" s="381"/>
      <c r="D428" s="381"/>
      <c r="E428" s="381"/>
      <c r="F428" s="381"/>
      <c r="G428" s="381"/>
      <c r="H428" s="381"/>
      <c r="I428" s="382"/>
      <c r="J428" s="381" t="s">
        <v>280</v>
      </c>
      <c r="K428" s="245"/>
      <c r="L428" s="257"/>
      <c r="M428" s="591" t="s">
        <v>281</v>
      </c>
      <c r="N428" s="592"/>
      <c r="O428" s="179"/>
      <c r="P428" s="180"/>
      <c r="Q428" s="180">
        <v>48500000</v>
      </c>
      <c r="R428" s="181">
        <f t="shared" si="121"/>
        <v>27.018294449272457</v>
      </c>
      <c r="S428" s="181">
        <v>100</v>
      </c>
      <c r="T428" s="180">
        <f t="shared" si="117"/>
        <v>0</v>
      </c>
      <c r="U428" s="180">
        <f t="shared" si="122"/>
        <v>0</v>
      </c>
      <c r="V428" s="182">
        <f t="shared" si="95"/>
        <v>100</v>
      </c>
      <c r="W428" s="180"/>
      <c r="X428" s="180"/>
      <c r="Y428" s="180"/>
      <c r="Z428" s="180"/>
      <c r="AA428" s="180"/>
      <c r="AB428" s="180"/>
      <c r="AC428" s="180"/>
      <c r="AD428" s="180"/>
      <c r="AE428" s="180"/>
      <c r="AF428" s="180"/>
      <c r="AG428" s="180"/>
      <c r="AH428" s="180"/>
      <c r="AI428" s="180">
        <v>0</v>
      </c>
      <c r="AJ428" s="181">
        <f t="shared" si="114"/>
        <v>0</v>
      </c>
      <c r="AK428" s="180">
        <f t="shared" si="120"/>
        <v>48500000</v>
      </c>
      <c r="AL428" s="181">
        <f t="shared" si="115"/>
        <v>100</v>
      </c>
      <c r="AM428" s="243"/>
    </row>
    <row r="429" spans="1:39" ht="24.75" customHeight="1" x14ac:dyDescent="0.25">
      <c r="A429" s="243"/>
      <c r="B429" s="381"/>
      <c r="C429" s="381"/>
      <c r="D429" s="381"/>
      <c r="E429" s="381"/>
      <c r="F429" s="381"/>
      <c r="G429" s="381"/>
      <c r="H429" s="381"/>
      <c r="I429" s="382"/>
      <c r="J429" s="381" t="s">
        <v>284</v>
      </c>
      <c r="K429" s="245"/>
      <c r="L429" s="257"/>
      <c r="M429" s="591" t="s">
        <v>285</v>
      </c>
      <c r="N429" s="592"/>
      <c r="O429" s="179"/>
      <c r="P429" s="180"/>
      <c r="Q429" s="180">
        <v>10000000</v>
      </c>
      <c r="R429" s="181">
        <f t="shared" si="121"/>
        <v>5.5707823606747331</v>
      </c>
      <c r="S429" s="181">
        <v>100</v>
      </c>
      <c r="T429" s="180">
        <f t="shared" si="117"/>
        <v>0</v>
      </c>
      <c r="U429" s="180">
        <f t="shared" si="122"/>
        <v>0</v>
      </c>
      <c r="V429" s="182">
        <f t="shared" si="95"/>
        <v>100</v>
      </c>
      <c r="W429" s="180"/>
      <c r="X429" s="180"/>
      <c r="Y429" s="180"/>
      <c r="Z429" s="180"/>
      <c r="AA429" s="180"/>
      <c r="AB429" s="180"/>
      <c r="AC429" s="180"/>
      <c r="AD429" s="180"/>
      <c r="AE429" s="180"/>
      <c r="AF429" s="180"/>
      <c r="AG429" s="180"/>
      <c r="AH429" s="180"/>
      <c r="AI429" s="180">
        <v>0</v>
      </c>
      <c r="AJ429" s="181">
        <f t="shared" si="114"/>
        <v>0</v>
      </c>
      <c r="AK429" s="180">
        <f t="shared" si="120"/>
        <v>10000000</v>
      </c>
      <c r="AL429" s="181">
        <f t="shared" si="115"/>
        <v>100</v>
      </c>
      <c r="AM429" s="243"/>
    </row>
    <row r="430" spans="1:39" ht="24.75" customHeight="1" x14ac:dyDescent="0.25">
      <c r="A430" s="243"/>
      <c r="B430" s="381"/>
      <c r="C430" s="381"/>
      <c r="D430" s="381"/>
      <c r="E430" s="381"/>
      <c r="F430" s="381"/>
      <c r="G430" s="381"/>
      <c r="H430" s="381"/>
      <c r="I430" s="382"/>
      <c r="J430" s="381" t="s">
        <v>282</v>
      </c>
      <c r="K430" s="245"/>
      <c r="L430" s="257"/>
      <c r="M430" s="591" t="s">
        <v>283</v>
      </c>
      <c r="N430" s="592"/>
      <c r="O430" s="179"/>
      <c r="P430" s="180"/>
      <c r="Q430" s="180">
        <v>10000000</v>
      </c>
      <c r="R430" s="181">
        <f t="shared" si="121"/>
        <v>5.5707823606747331</v>
      </c>
      <c r="S430" s="181">
        <v>100</v>
      </c>
      <c r="T430" s="180">
        <f t="shared" si="117"/>
        <v>0</v>
      </c>
      <c r="U430" s="180">
        <f t="shared" si="122"/>
        <v>0</v>
      </c>
      <c r="V430" s="182">
        <f t="shared" si="95"/>
        <v>100</v>
      </c>
      <c r="W430" s="180"/>
      <c r="X430" s="180"/>
      <c r="Y430" s="180"/>
      <c r="Z430" s="180"/>
      <c r="AA430" s="180"/>
      <c r="AB430" s="180"/>
      <c r="AC430" s="180"/>
      <c r="AD430" s="180"/>
      <c r="AE430" s="180"/>
      <c r="AF430" s="180"/>
      <c r="AG430" s="180"/>
      <c r="AH430" s="180"/>
      <c r="AI430" s="180">
        <v>0</v>
      </c>
      <c r="AJ430" s="181">
        <f t="shared" si="114"/>
        <v>0</v>
      </c>
      <c r="AK430" s="180">
        <f t="shared" si="120"/>
        <v>10000000</v>
      </c>
      <c r="AL430" s="181">
        <f t="shared" si="115"/>
        <v>100</v>
      </c>
      <c r="AM430" s="243"/>
    </row>
    <row r="431" spans="1:39" ht="24.75" customHeight="1" x14ac:dyDescent="0.25">
      <c r="A431" s="243"/>
      <c r="B431" s="381"/>
      <c r="C431" s="381"/>
      <c r="D431" s="381"/>
      <c r="E431" s="381"/>
      <c r="F431" s="381"/>
      <c r="G431" s="381"/>
      <c r="H431" s="381"/>
      <c r="I431" s="382"/>
      <c r="J431" s="381" t="s">
        <v>309</v>
      </c>
      <c r="K431" s="245"/>
      <c r="L431" s="257"/>
      <c r="M431" s="591" t="s">
        <v>321</v>
      </c>
      <c r="N431" s="592"/>
      <c r="O431" s="179"/>
      <c r="P431" s="180"/>
      <c r="Q431" s="180">
        <v>39600000</v>
      </c>
      <c r="R431" s="181">
        <f t="shared" si="121"/>
        <v>22.060298148271944</v>
      </c>
      <c r="S431" s="181">
        <v>100</v>
      </c>
      <c r="T431" s="180">
        <f t="shared" si="117"/>
        <v>0</v>
      </c>
      <c r="U431" s="180">
        <f t="shared" si="122"/>
        <v>0</v>
      </c>
      <c r="V431" s="182">
        <f t="shared" si="95"/>
        <v>100</v>
      </c>
      <c r="W431" s="180"/>
      <c r="X431" s="180"/>
      <c r="Y431" s="180"/>
      <c r="Z431" s="180"/>
      <c r="AA431" s="180"/>
      <c r="AB431" s="180"/>
      <c r="AC431" s="180"/>
      <c r="AD431" s="180"/>
      <c r="AE431" s="180"/>
      <c r="AF431" s="180"/>
      <c r="AG431" s="180"/>
      <c r="AH431" s="180"/>
      <c r="AI431" s="180">
        <v>0</v>
      </c>
      <c r="AJ431" s="181">
        <f t="shared" si="114"/>
        <v>0</v>
      </c>
      <c r="AK431" s="180">
        <f t="shared" si="120"/>
        <v>39600000</v>
      </c>
      <c r="AL431" s="181">
        <f t="shared" si="115"/>
        <v>100</v>
      </c>
      <c r="AM431" s="243"/>
    </row>
    <row r="432" spans="1:39" ht="24.75" customHeight="1" x14ac:dyDescent="0.25">
      <c r="A432" s="243"/>
      <c r="B432" s="381"/>
      <c r="C432" s="381"/>
      <c r="D432" s="381"/>
      <c r="E432" s="381"/>
      <c r="F432" s="381"/>
      <c r="G432" s="381"/>
      <c r="H432" s="381"/>
      <c r="I432" s="382"/>
      <c r="J432" s="381" t="s">
        <v>407</v>
      </c>
      <c r="K432" s="245"/>
      <c r="L432" s="257"/>
      <c r="M432" s="591" t="s">
        <v>414</v>
      </c>
      <c r="N432" s="592"/>
      <c r="O432" s="179"/>
      <c r="P432" s="180"/>
      <c r="Q432" s="180">
        <v>9600000</v>
      </c>
      <c r="R432" s="181">
        <f t="shared" si="121"/>
        <v>5.3479510662477434</v>
      </c>
      <c r="S432" s="181"/>
      <c r="T432" s="180">
        <f t="shared" si="117"/>
        <v>0</v>
      </c>
      <c r="U432" s="180">
        <f t="shared" si="122"/>
        <v>0</v>
      </c>
      <c r="V432" s="182"/>
      <c r="W432" s="180"/>
      <c r="X432" s="180"/>
      <c r="Y432" s="180"/>
      <c r="Z432" s="180"/>
      <c r="AA432" s="180"/>
      <c r="AB432" s="180"/>
      <c r="AC432" s="180"/>
      <c r="AD432" s="180"/>
      <c r="AE432" s="180"/>
      <c r="AF432" s="180"/>
      <c r="AG432" s="180"/>
      <c r="AH432" s="180"/>
      <c r="AI432" s="180">
        <v>0</v>
      </c>
      <c r="AJ432" s="181">
        <f t="shared" si="114"/>
        <v>0</v>
      </c>
      <c r="AK432" s="180">
        <f t="shared" si="120"/>
        <v>9600000</v>
      </c>
      <c r="AL432" s="181">
        <f t="shared" si="115"/>
        <v>100</v>
      </c>
      <c r="AM432" s="243"/>
    </row>
    <row r="433" spans="1:39" s="297" customFormat="1" ht="24.75" customHeight="1" x14ac:dyDescent="0.25">
      <c r="A433" s="227">
        <f>A422+1</f>
        <v>55</v>
      </c>
      <c r="B433" s="615" t="s">
        <v>154</v>
      </c>
      <c r="C433" s="615"/>
      <c r="D433" s="615"/>
      <c r="E433" s="615"/>
      <c r="F433" s="615"/>
      <c r="G433" s="615"/>
      <c r="H433" s="615"/>
      <c r="I433" s="614"/>
      <c r="J433" s="304" t="s">
        <v>505</v>
      </c>
      <c r="K433" s="230"/>
      <c r="L433" s="294"/>
      <c r="M433" s="610" t="s">
        <v>54</v>
      </c>
      <c r="N433" s="610"/>
      <c r="O433" s="309">
        <v>255497500</v>
      </c>
      <c r="P433" s="231">
        <f>O433</f>
        <v>255497500</v>
      </c>
      <c r="Q433" s="231">
        <f>SUM(Q434:Q443)</f>
        <v>106437000</v>
      </c>
      <c r="R433" s="233">
        <f>Q433/Q$35*100</f>
        <v>0.33485230675987876</v>
      </c>
      <c r="S433" s="233">
        <v>100</v>
      </c>
      <c r="T433" s="231">
        <f t="shared" si="117"/>
        <v>14.848689835301634</v>
      </c>
      <c r="U433" s="231">
        <f t="shared" si="122"/>
        <v>4.9721180437127165E-2</v>
      </c>
      <c r="V433" s="296">
        <f t="shared" si="95"/>
        <v>85.151310164698373</v>
      </c>
      <c r="W433" s="231"/>
      <c r="X433" s="231" t="e">
        <f>#REF!</f>
        <v>#REF!</v>
      </c>
      <c r="Y433" s="231" t="e">
        <f>#REF!</f>
        <v>#REF!</v>
      </c>
      <c r="Z433" s="231" t="e">
        <f>#REF!</f>
        <v>#REF!</v>
      </c>
      <c r="AA433" s="231" t="e">
        <f>#REF!</f>
        <v>#REF!</v>
      </c>
      <c r="AB433" s="231">
        <v>62640000</v>
      </c>
      <c r="AC433" s="231" t="e">
        <f>#REF!</f>
        <v>#REF!</v>
      </c>
      <c r="AD433" s="231" t="e">
        <f>#REF!</f>
        <v>#REF!</v>
      </c>
      <c r="AE433" s="231" t="e">
        <f>#REF!</f>
        <v>#REF!</v>
      </c>
      <c r="AF433" s="231" t="e">
        <f>[1]April!N74</f>
        <v>#REF!</v>
      </c>
      <c r="AG433" s="231" t="e">
        <f>[2]april!N74</f>
        <v>#REF!</v>
      </c>
      <c r="AH433" s="231">
        <f>'[3]DES SKPD'!$N74</f>
        <v>327019800</v>
      </c>
      <c r="AI433" s="231">
        <f>SUM(AI434:AI443)</f>
        <v>15804500</v>
      </c>
      <c r="AJ433" s="233">
        <f t="shared" si="114"/>
        <v>14.848689835301634</v>
      </c>
      <c r="AK433" s="231">
        <f t="shared" si="120"/>
        <v>90632500</v>
      </c>
      <c r="AL433" s="233">
        <f t="shared" si="115"/>
        <v>85.151310164698373</v>
      </c>
      <c r="AM433" s="227"/>
    </row>
    <row r="434" spans="1:39" ht="24.75" customHeight="1" x14ac:dyDescent="0.25">
      <c r="A434" s="243"/>
      <c r="B434" s="381"/>
      <c r="C434" s="381"/>
      <c r="D434" s="381"/>
      <c r="E434" s="381"/>
      <c r="F434" s="381"/>
      <c r="G434" s="381"/>
      <c r="H434" s="381"/>
      <c r="I434" s="382"/>
      <c r="J434" s="381" t="s">
        <v>257</v>
      </c>
      <c r="K434" s="245"/>
      <c r="L434" s="257"/>
      <c r="M434" s="591" t="s">
        <v>324</v>
      </c>
      <c r="N434" s="592"/>
      <c r="O434" s="179"/>
      <c r="P434" s="180"/>
      <c r="Q434" s="180">
        <v>27357000</v>
      </c>
      <c r="R434" s="181">
        <f>Q434/Q$433*100</f>
        <v>25.702528256151524</v>
      </c>
      <c r="S434" s="181">
        <v>100</v>
      </c>
      <c r="T434" s="180">
        <f t="shared" si="117"/>
        <v>19.219943707277846</v>
      </c>
      <c r="U434" s="180">
        <f t="shared" si="122"/>
        <v>4.9400114621795055</v>
      </c>
      <c r="V434" s="182">
        <f t="shared" si="95"/>
        <v>80.780056292722151</v>
      </c>
      <c r="W434" s="180"/>
      <c r="X434" s="180"/>
      <c r="Y434" s="180"/>
      <c r="Z434" s="180"/>
      <c r="AA434" s="180"/>
      <c r="AB434" s="180"/>
      <c r="AC434" s="180"/>
      <c r="AD434" s="180"/>
      <c r="AE434" s="180"/>
      <c r="AF434" s="180"/>
      <c r="AG434" s="180"/>
      <c r="AH434" s="180"/>
      <c r="AI434" s="180">
        <v>5258000</v>
      </c>
      <c r="AJ434" s="181">
        <f t="shared" si="114"/>
        <v>19.219943707277846</v>
      </c>
      <c r="AK434" s="180">
        <f t="shared" si="120"/>
        <v>22099000</v>
      </c>
      <c r="AL434" s="181">
        <f t="shared" si="115"/>
        <v>80.780056292722151</v>
      </c>
      <c r="AM434" s="243"/>
    </row>
    <row r="435" spans="1:39" ht="24.75" customHeight="1" x14ac:dyDescent="0.25">
      <c r="A435" s="243"/>
      <c r="B435" s="381"/>
      <c r="C435" s="381"/>
      <c r="D435" s="381"/>
      <c r="E435" s="381"/>
      <c r="F435" s="381"/>
      <c r="G435" s="381"/>
      <c r="H435" s="381"/>
      <c r="I435" s="382"/>
      <c r="J435" s="381" t="s">
        <v>269</v>
      </c>
      <c r="K435" s="245"/>
      <c r="L435" s="257"/>
      <c r="M435" s="591" t="s">
        <v>270</v>
      </c>
      <c r="N435" s="592"/>
      <c r="O435" s="179"/>
      <c r="P435" s="180"/>
      <c r="Q435" s="180">
        <v>4500000</v>
      </c>
      <c r="R435" s="181">
        <f t="shared" ref="R435:R443" si="123">Q435/Q$433*100</f>
        <v>4.2278530961977507</v>
      </c>
      <c r="S435" s="181">
        <v>100</v>
      </c>
      <c r="T435" s="180">
        <f t="shared" si="117"/>
        <v>0</v>
      </c>
      <c r="U435" s="180">
        <f t="shared" si="122"/>
        <v>0</v>
      </c>
      <c r="V435" s="182">
        <f t="shared" si="95"/>
        <v>100</v>
      </c>
      <c r="W435" s="180"/>
      <c r="X435" s="180"/>
      <c r="Y435" s="180"/>
      <c r="Z435" s="180"/>
      <c r="AA435" s="180"/>
      <c r="AB435" s="180"/>
      <c r="AC435" s="180"/>
      <c r="AD435" s="180"/>
      <c r="AE435" s="180"/>
      <c r="AF435" s="180"/>
      <c r="AG435" s="180"/>
      <c r="AH435" s="180"/>
      <c r="AI435" s="180">
        <v>0</v>
      </c>
      <c r="AJ435" s="181">
        <f t="shared" si="114"/>
        <v>0</v>
      </c>
      <c r="AK435" s="180">
        <f t="shared" si="120"/>
        <v>4500000</v>
      </c>
      <c r="AL435" s="181">
        <f t="shared" si="115"/>
        <v>100</v>
      </c>
      <c r="AM435" s="243"/>
    </row>
    <row r="436" spans="1:39" ht="24.75" customHeight="1" x14ac:dyDescent="0.25">
      <c r="A436" s="243"/>
      <c r="B436" s="381"/>
      <c r="C436" s="381"/>
      <c r="D436" s="381"/>
      <c r="E436" s="381"/>
      <c r="F436" s="381"/>
      <c r="G436" s="381"/>
      <c r="H436" s="381"/>
      <c r="I436" s="382"/>
      <c r="J436" s="381" t="s">
        <v>315</v>
      </c>
      <c r="K436" s="245"/>
      <c r="L436" s="257"/>
      <c r="M436" s="591" t="s">
        <v>271</v>
      </c>
      <c r="N436" s="592"/>
      <c r="O436" s="179"/>
      <c r="P436" s="180"/>
      <c r="Q436" s="180">
        <v>1580000</v>
      </c>
      <c r="R436" s="181">
        <f t="shared" si="123"/>
        <v>1.4844461982205437</v>
      </c>
      <c r="S436" s="181">
        <v>100</v>
      </c>
      <c r="T436" s="180">
        <f t="shared" si="117"/>
        <v>0</v>
      </c>
      <c r="U436" s="180">
        <f t="shared" si="122"/>
        <v>0</v>
      </c>
      <c r="V436" s="182">
        <f t="shared" si="95"/>
        <v>100</v>
      </c>
      <c r="W436" s="180"/>
      <c r="X436" s="180"/>
      <c r="Y436" s="180"/>
      <c r="Z436" s="180"/>
      <c r="AA436" s="180"/>
      <c r="AB436" s="180"/>
      <c r="AC436" s="180"/>
      <c r="AD436" s="180"/>
      <c r="AE436" s="180"/>
      <c r="AF436" s="180"/>
      <c r="AG436" s="180"/>
      <c r="AH436" s="180"/>
      <c r="AI436" s="180">
        <v>0</v>
      </c>
      <c r="AJ436" s="181">
        <f t="shared" si="114"/>
        <v>0</v>
      </c>
      <c r="AK436" s="180">
        <f t="shared" si="120"/>
        <v>1580000</v>
      </c>
      <c r="AL436" s="181">
        <f t="shared" si="115"/>
        <v>100</v>
      </c>
      <c r="AM436" s="243"/>
    </row>
    <row r="437" spans="1:39" ht="24.75" customHeight="1" x14ac:dyDescent="0.25">
      <c r="A437" s="243"/>
      <c r="B437" s="381"/>
      <c r="C437" s="381"/>
      <c r="D437" s="381"/>
      <c r="E437" s="381"/>
      <c r="F437" s="381"/>
      <c r="G437" s="381"/>
      <c r="H437" s="381"/>
      <c r="I437" s="382"/>
      <c r="J437" s="381" t="s">
        <v>328</v>
      </c>
      <c r="K437" s="245"/>
      <c r="L437" s="257"/>
      <c r="M437" s="591" t="s">
        <v>612</v>
      </c>
      <c r="N437" s="592"/>
      <c r="O437" s="179"/>
      <c r="P437" s="180"/>
      <c r="Q437" s="180">
        <v>500000</v>
      </c>
      <c r="R437" s="181">
        <f t="shared" si="123"/>
        <v>0.46976145513308343</v>
      </c>
      <c r="S437" s="181">
        <v>100</v>
      </c>
      <c r="T437" s="180">
        <f t="shared" si="117"/>
        <v>0</v>
      </c>
      <c r="U437" s="180">
        <f t="shared" si="122"/>
        <v>0</v>
      </c>
      <c r="V437" s="182">
        <f t="shared" si="95"/>
        <v>100</v>
      </c>
      <c r="W437" s="180"/>
      <c r="X437" s="180"/>
      <c r="Y437" s="180"/>
      <c r="Z437" s="180"/>
      <c r="AA437" s="180"/>
      <c r="AB437" s="180"/>
      <c r="AC437" s="180"/>
      <c r="AD437" s="180"/>
      <c r="AE437" s="180"/>
      <c r="AF437" s="180"/>
      <c r="AG437" s="180"/>
      <c r="AH437" s="180"/>
      <c r="AI437" s="180">
        <v>0</v>
      </c>
      <c r="AJ437" s="181">
        <f t="shared" si="114"/>
        <v>0</v>
      </c>
      <c r="AK437" s="180">
        <f t="shared" si="120"/>
        <v>500000</v>
      </c>
      <c r="AL437" s="181">
        <f t="shared" si="115"/>
        <v>100</v>
      </c>
      <c r="AM437" s="243"/>
    </row>
    <row r="438" spans="1:39" ht="29.25" customHeight="1" x14ac:dyDescent="0.25">
      <c r="A438" s="243"/>
      <c r="B438" s="381"/>
      <c r="C438" s="381"/>
      <c r="D438" s="381"/>
      <c r="E438" s="381"/>
      <c r="F438" s="381"/>
      <c r="G438" s="381"/>
      <c r="H438" s="381"/>
      <c r="I438" s="382"/>
      <c r="J438" s="381" t="s">
        <v>339</v>
      </c>
      <c r="K438" s="245"/>
      <c r="L438" s="257"/>
      <c r="M438" s="591" t="s">
        <v>613</v>
      </c>
      <c r="N438" s="592"/>
      <c r="O438" s="179"/>
      <c r="P438" s="180"/>
      <c r="Q438" s="180">
        <v>9400000</v>
      </c>
      <c r="R438" s="181">
        <f t="shared" si="123"/>
        <v>8.8315153565019671</v>
      </c>
      <c r="S438" s="181">
        <v>100</v>
      </c>
      <c r="T438" s="180">
        <f t="shared" si="117"/>
        <v>0</v>
      </c>
      <c r="U438" s="180">
        <f t="shared" si="122"/>
        <v>0</v>
      </c>
      <c r="V438" s="182">
        <f t="shared" si="95"/>
        <v>100</v>
      </c>
      <c r="W438" s="180"/>
      <c r="X438" s="180"/>
      <c r="Y438" s="180"/>
      <c r="Z438" s="180"/>
      <c r="AA438" s="180"/>
      <c r="AB438" s="180"/>
      <c r="AC438" s="180"/>
      <c r="AD438" s="180"/>
      <c r="AE438" s="180"/>
      <c r="AF438" s="180"/>
      <c r="AG438" s="180"/>
      <c r="AH438" s="180"/>
      <c r="AI438" s="180">
        <v>0</v>
      </c>
      <c r="AJ438" s="181">
        <f t="shared" si="114"/>
        <v>0</v>
      </c>
      <c r="AK438" s="180">
        <f t="shared" si="120"/>
        <v>9400000</v>
      </c>
      <c r="AL438" s="181">
        <f t="shared" si="115"/>
        <v>100</v>
      </c>
      <c r="AM438" s="243"/>
    </row>
    <row r="439" spans="1:39" ht="24.75" customHeight="1" x14ac:dyDescent="0.25">
      <c r="A439" s="243"/>
      <c r="B439" s="381"/>
      <c r="C439" s="381"/>
      <c r="D439" s="381"/>
      <c r="E439" s="381"/>
      <c r="F439" s="381"/>
      <c r="G439" s="381"/>
      <c r="H439" s="381"/>
      <c r="I439" s="382"/>
      <c r="J439" s="381" t="s">
        <v>284</v>
      </c>
      <c r="K439" s="245"/>
      <c r="L439" s="257"/>
      <c r="M439" s="591" t="s">
        <v>319</v>
      </c>
      <c r="N439" s="592"/>
      <c r="O439" s="179"/>
      <c r="P439" s="180"/>
      <c r="Q439" s="180">
        <v>24500000</v>
      </c>
      <c r="R439" s="181">
        <f t="shared" si="123"/>
        <v>23.018311301521088</v>
      </c>
      <c r="S439" s="181">
        <v>100</v>
      </c>
      <c r="T439" s="180">
        <f t="shared" si="117"/>
        <v>0</v>
      </c>
      <c r="U439" s="180">
        <f t="shared" si="122"/>
        <v>0</v>
      </c>
      <c r="V439" s="182">
        <f t="shared" si="95"/>
        <v>100</v>
      </c>
      <c r="W439" s="180"/>
      <c r="X439" s="180"/>
      <c r="Y439" s="180"/>
      <c r="Z439" s="180"/>
      <c r="AA439" s="180"/>
      <c r="AB439" s="180"/>
      <c r="AC439" s="180"/>
      <c r="AD439" s="180"/>
      <c r="AE439" s="180"/>
      <c r="AF439" s="180"/>
      <c r="AG439" s="180"/>
      <c r="AH439" s="180"/>
      <c r="AI439" s="180">
        <v>0</v>
      </c>
      <c r="AJ439" s="181">
        <f t="shared" si="114"/>
        <v>0</v>
      </c>
      <c r="AK439" s="180">
        <f t="shared" si="120"/>
        <v>24500000</v>
      </c>
      <c r="AL439" s="181">
        <f t="shared" si="115"/>
        <v>100</v>
      </c>
      <c r="AM439" s="243"/>
    </row>
    <row r="440" spans="1:39" ht="24.75" customHeight="1" x14ac:dyDescent="0.25">
      <c r="A440" s="243"/>
      <c r="B440" s="381"/>
      <c r="C440" s="381"/>
      <c r="D440" s="381"/>
      <c r="E440" s="381"/>
      <c r="F440" s="381"/>
      <c r="G440" s="381"/>
      <c r="H440" s="381"/>
      <c r="I440" s="382"/>
      <c r="J440" s="381" t="s">
        <v>282</v>
      </c>
      <c r="K440" s="245"/>
      <c r="L440" s="257"/>
      <c r="M440" s="591" t="s">
        <v>585</v>
      </c>
      <c r="N440" s="592"/>
      <c r="O440" s="179"/>
      <c r="P440" s="180"/>
      <c r="Q440" s="180">
        <v>2500000</v>
      </c>
      <c r="R440" s="181">
        <f t="shared" si="123"/>
        <v>2.348807275665417</v>
      </c>
      <c r="S440" s="181">
        <v>100</v>
      </c>
      <c r="T440" s="180">
        <f t="shared" si="117"/>
        <v>0</v>
      </c>
      <c r="U440" s="180">
        <f t="shared" si="122"/>
        <v>0</v>
      </c>
      <c r="V440" s="182">
        <f t="shared" si="95"/>
        <v>100</v>
      </c>
      <c r="W440" s="180"/>
      <c r="X440" s="180"/>
      <c r="Y440" s="180"/>
      <c r="Z440" s="180"/>
      <c r="AA440" s="180"/>
      <c r="AB440" s="180"/>
      <c r="AC440" s="180"/>
      <c r="AD440" s="180"/>
      <c r="AE440" s="180"/>
      <c r="AF440" s="180"/>
      <c r="AG440" s="180"/>
      <c r="AH440" s="180"/>
      <c r="AI440" s="180">
        <v>0</v>
      </c>
      <c r="AJ440" s="181">
        <f t="shared" si="114"/>
        <v>0</v>
      </c>
      <c r="AK440" s="180">
        <f t="shared" si="120"/>
        <v>2500000</v>
      </c>
      <c r="AL440" s="181">
        <f t="shared" si="115"/>
        <v>100</v>
      </c>
      <c r="AM440" s="243"/>
    </row>
    <row r="441" spans="1:39" ht="24.75" customHeight="1" x14ac:dyDescent="0.25">
      <c r="A441" s="243"/>
      <c r="B441" s="381"/>
      <c r="C441" s="381"/>
      <c r="D441" s="381"/>
      <c r="E441" s="381"/>
      <c r="F441" s="381"/>
      <c r="G441" s="381"/>
      <c r="H441" s="381"/>
      <c r="I441" s="382"/>
      <c r="J441" s="381" t="s">
        <v>282</v>
      </c>
      <c r="K441" s="245"/>
      <c r="L441" s="257"/>
      <c r="M441" s="591" t="s">
        <v>503</v>
      </c>
      <c r="N441" s="592"/>
      <c r="O441" s="179"/>
      <c r="P441" s="180"/>
      <c r="Q441" s="180">
        <v>23900000</v>
      </c>
      <c r="R441" s="181">
        <f t="shared" si="123"/>
        <v>22.454597555361389</v>
      </c>
      <c r="S441" s="181">
        <v>100</v>
      </c>
      <c r="T441" s="180">
        <f t="shared" si="117"/>
        <v>44.127615062761507</v>
      </c>
      <c r="U441" s="180">
        <f t="shared" si="122"/>
        <v>9.9086783731221288</v>
      </c>
      <c r="V441" s="182">
        <f t="shared" si="95"/>
        <v>55.872384937238493</v>
      </c>
      <c r="W441" s="180"/>
      <c r="X441" s="180"/>
      <c r="Y441" s="180"/>
      <c r="Z441" s="180"/>
      <c r="AA441" s="180"/>
      <c r="AB441" s="180"/>
      <c r="AC441" s="180"/>
      <c r="AD441" s="180"/>
      <c r="AE441" s="180"/>
      <c r="AF441" s="180"/>
      <c r="AG441" s="180"/>
      <c r="AH441" s="180"/>
      <c r="AI441" s="180">
        <v>10546500</v>
      </c>
      <c r="AJ441" s="181">
        <f t="shared" si="114"/>
        <v>44.127615062761507</v>
      </c>
      <c r="AK441" s="180">
        <f t="shared" si="120"/>
        <v>13353500</v>
      </c>
      <c r="AL441" s="181">
        <f t="shared" si="115"/>
        <v>55.872384937238493</v>
      </c>
      <c r="AM441" s="243"/>
    </row>
    <row r="442" spans="1:39" ht="24.75" customHeight="1" x14ac:dyDescent="0.25">
      <c r="A442" s="243"/>
      <c r="B442" s="381"/>
      <c r="C442" s="381"/>
      <c r="D442" s="381"/>
      <c r="E442" s="381"/>
      <c r="F442" s="381"/>
      <c r="G442" s="381"/>
      <c r="H442" s="381"/>
      <c r="I442" s="382"/>
      <c r="J442" s="381" t="s">
        <v>320</v>
      </c>
      <c r="K442" s="245"/>
      <c r="L442" s="257"/>
      <c r="M442" s="591" t="s">
        <v>321</v>
      </c>
      <c r="N442" s="592"/>
      <c r="O442" s="179"/>
      <c r="P442" s="180"/>
      <c r="Q442" s="180">
        <v>7400000</v>
      </c>
      <c r="R442" s="181">
        <f t="shared" si="123"/>
        <v>6.9524695359696338</v>
      </c>
      <c r="S442" s="181">
        <v>100</v>
      </c>
      <c r="T442" s="180">
        <f t="shared" si="117"/>
        <v>0</v>
      </c>
      <c r="U442" s="180">
        <f t="shared" si="122"/>
        <v>0</v>
      </c>
      <c r="V442" s="182">
        <f t="shared" si="95"/>
        <v>100</v>
      </c>
      <c r="W442" s="180"/>
      <c r="X442" s="180"/>
      <c r="Y442" s="180"/>
      <c r="Z442" s="180"/>
      <c r="AA442" s="180"/>
      <c r="AB442" s="180"/>
      <c r="AC442" s="180"/>
      <c r="AD442" s="180"/>
      <c r="AE442" s="180"/>
      <c r="AF442" s="180"/>
      <c r="AG442" s="180"/>
      <c r="AH442" s="180"/>
      <c r="AI442" s="180">
        <v>0</v>
      </c>
      <c r="AJ442" s="181">
        <f t="shared" si="114"/>
        <v>0</v>
      </c>
      <c r="AK442" s="180">
        <f t="shared" si="120"/>
        <v>7400000</v>
      </c>
      <c r="AL442" s="181">
        <f t="shared" si="115"/>
        <v>100</v>
      </c>
      <c r="AM442" s="243"/>
    </row>
    <row r="443" spans="1:39" ht="24.75" customHeight="1" x14ac:dyDescent="0.25">
      <c r="A443" s="243"/>
      <c r="B443" s="381"/>
      <c r="C443" s="381"/>
      <c r="D443" s="381"/>
      <c r="E443" s="381"/>
      <c r="F443" s="381"/>
      <c r="G443" s="381"/>
      <c r="H443" s="381"/>
      <c r="I443" s="382"/>
      <c r="J443" s="381" t="s">
        <v>407</v>
      </c>
      <c r="K443" s="245"/>
      <c r="L443" s="257"/>
      <c r="M443" s="591" t="s">
        <v>614</v>
      </c>
      <c r="N443" s="592"/>
      <c r="O443" s="179"/>
      <c r="P443" s="180"/>
      <c r="Q443" s="180">
        <v>4800000</v>
      </c>
      <c r="R443" s="181">
        <f t="shared" si="123"/>
        <v>4.5097099692776013</v>
      </c>
      <c r="S443" s="181">
        <v>100</v>
      </c>
      <c r="T443" s="180">
        <f t="shared" si="117"/>
        <v>0</v>
      </c>
      <c r="U443" s="180">
        <f t="shared" si="122"/>
        <v>0</v>
      </c>
      <c r="V443" s="182">
        <f t="shared" si="95"/>
        <v>100</v>
      </c>
      <c r="W443" s="180"/>
      <c r="X443" s="180"/>
      <c r="Y443" s="180"/>
      <c r="Z443" s="180"/>
      <c r="AA443" s="180"/>
      <c r="AB443" s="180"/>
      <c r="AC443" s="180"/>
      <c r="AD443" s="180"/>
      <c r="AE443" s="180"/>
      <c r="AF443" s="180"/>
      <c r="AG443" s="180"/>
      <c r="AH443" s="180"/>
      <c r="AI443" s="180">
        <v>0</v>
      </c>
      <c r="AJ443" s="181">
        <f t="shared" si="114"/>
        <v>0</v>
      </c>
      <c r="AK443" s="180">
        <f t="shared" si="120"/>
        <v>4800000</v>
      </c>
      <c r="AL443" s="181">
        <f t="shared" si="115"/>
        <v>100</v>
      </c>
      <c r="AM443" s="243"/>
    </row>
    <row r="444" spans="1:39" s="297" customFormat="1" ht="28.5" customHeight="1" x14ac:dyDescent="0.25">
      <c r="A444" s="227">
        <f>A433+1</f>
        <v>56</v>
      </c>
      <c r="B444" s="618" t="s">
        <v>155</v>
      </c>
      <c r="C444" s="615"/>
      <c r="D444" s="615"/>
      <c r="E444" s="615"/>
      <c r="F444" s="615"/>
      <c r="G444" s="615"/>
      <c r="H444" s="615"/>
      <c r="I444" s="614"/>
      <c r="J444" s="304" t="s">
        <v>506</v>
      </c>
      <c r="K444" s="230"/>
      <c r="L444" s="294"/>
      <c r="M444" s="610" t="s">
        <v>55</v>
      </c>
      <c r="N444" s="612"/>
      <c r="O444" s="309">
        <v>589234000</v>
      </c>
      <c r="P444" s="231">
        <f>O444</f>
        <v>589234000</v>
      </c>
      <c r="Q444" s="231">
        <f>SUM(Q445:Q453)</f>
        <v>131960000</v>
      </c>
      <c r="R444" s="233">
        <f>Q444/Q$245*100</f>
        <v>1.1063188944167623</v>
      </c>
      <c r="S444" s="233">
        <v>100</v>
      </c>
      <c r="T444" s="231">
        <f t="shared" si="117"/>
        <v>0</v>
      </c>
      <c r="U444" s="231">
        <f t="shared" si="122"/>
        <v>0</v>
      </c>
      <c r="V444" s="296">
        <f t="shared" si="95"/>
        <v>100</v>
      </c>
      <c r="W444" s="231"/>
      <c r="X444" s="231" t="e">
        <f>#REF!</f>
        <v>#REF!</v>
      </c>
      <c r="Y444" s="231" t="e">
        <f>#REF!</f>
        <v>#REF!</v>
      </c>
      <c r="Z444" s="231" t="e">
        <f>#REF!</f>
        <v>#REF!</v>
      </c>
      <c r="AA444" s="231" t="e">
        <f>#REF!</f>
        <v>#REF!</v>
      </c>
      <c r="AB444" s="231">
        <v>371113894</v>
      </c>
      <c r="AC444" s="231" t="e">
        <f>#REF!</f>
        <v>#REF!</v>
      </c>
      <c r="AD444" s="231" t="e">
        <f>#REF!</f>
        <v>#REF!</v>
      </c>
      <c r="AE444" s="231" t="e">
        <f>#REF!</f>
        <v>#REF!</v>
      </c>
      <c r="AF444" s="231" t="e">
        <f>[1]April!N75</f>
        <v>#REF!</v>
      </c>
      <c r="AG444" s="231" t="e">
        <f>[2]april!N75</f>
        <v>#REF!</v>
      </c>
      <c r="AH444" s="231">
        <f>'[3]DES SKPD'!$N75</f>
        <v>574563894</v>
      </c>
      <c r="AI444" s="231">
        <f>SUM(AI445:AI453)</f>
        <v>0</v>
      </c>
      <c r="AJ444" s="233">
        <f t="shared" si="114"/>
        <v>0</v>
      </c>
      <c r="AK444" s="231">
        <f t="shared" si="120"/>
        <v>131960000</v>
      </c>
      <c r="AL444" s="233">
        <f t="shared" si="115"/>
        <v>100</v>
      </c>
      <c r="AM444" s="227"/>
    </row>
    <row r="445" spans="1:39" ht="24.75" customHeight="1" x14ac:dyDescent="0.25">
      <c r="A445" s="243"/>
      <c r="B445" s="381"/>
      <c r="C445" s="381"/>
      <c r="D445" s="381"/>
      <c r="E445" s="381"/>
      <c r="F445" s="381"/>
      <c r="G445" s="381"/>
      <c r="H445" s="381"/>
      <c r="I445" s="382"/>
      <c r="J445" s="381" t="s">
        <v>259</v>
      </c>
      <c r="K445" s="245"/>
      <c r="L445" s="257"/>
      <c r="M445" s="591" t="s">
        <v>260</v>
      </c>
      <c r="N445" s="592"/>
      <c r="O445" s="179"/>
      <c r="P445" s="180"/>
      <c r="Q445" s="180">
        <v>1540000</v>
      </c>
      <c r="R445" s="181">
        <f t="shared" ref="R445:R453" si="124">Q445/Q$444*100</f>
        <v>1.1670203091846014</v>
      </c>
      <c r="S445" s="181">
        <v>100</v>
      </c>
      <c r="T445" s="180">
        <f t="shared" si="117"/>
        <v>0</v>
      </c>
      <c r="U445" s="180">
        <f t="shared" si="122"/>
        <v>0</v>
      </c>
      <c r="V445" s="182">
        <f t="shared" si="95"/>
        <v>100</v>
      </c>
      <c r="W445" s="180"/>
      <c r="X445" s="180"/>
      <c r="Y445" s="180"/>
      <c r="Z445" s="180"/>
      <c r="AA445" s="180"/>
      <c r="AB445" s="180"/>
      <c r="AC445" s="180"/>
      <c r="AD445" s="180"/>
      <c r="AE445" s="180"/>
      <c r="AF445" s="180"/>
      <c r="AG445" s="180"/>
      <c r="AH445" s="180"/>
      <c r="AI445" s="180">
        <v>0</v>
      </c>
      <c r="AJ445" s="181">
        <f t="shared" si="114"/>
        <v>0</v>
      </c>
      <c r="AK445" s="180">
        <f t="shared" si="120"/>
        <v>1540000</v>
      </c>
      <c r="AL445" s="181">
        <f t="shared" si="115"/>
        <v>100</v>
      </c>
      <c r="AM445" s="243"/>
    </row>
    <row r="446" spans="1:39" ht="39" customHeight="1" x14ac:dyDescent="0.25">
      <c r="A446" s="243"/>
      <c r="B446" s="381"/>
      <c r="C446" s="381"/>
      <c r="D446" s="381"/>
      <c r="E446" s="381"/>
      <c r="F446" s="381"/>
      <c r="G446" s="381"/>
      <c r="H446" s="381"/>
      <c r="I446" s="382"/>
      <c r="J446" s="381" t="s">
        <v>345</v>
      </c>
      <c r="K446" s="245"/>
      <c r="L446" s="257"/>
      <c r="M446" s="591" t="s">
        <v>346</v>
      </c>
      <c r="N446" s="592"/>
      <c r="O446" s="179"/>
      <c r="P446" s="180"/>
      <c r="Q446" s="180">
        <v>1400000</v>
      </c>
      <c r="R446" s="181">
        <f t="shared" si="124"/>
        <v>1.0609275538041831</v>
      </c>
      <c r="S446" s="181">
        <v>100</v>
      </c>
      <c r="T446" s="180">
        <f t="shared" si="117"/>
        <v>0</v>
      </c>
      <c r="U446" s="180">
        <f t="shared" si="122"/>
        <v>0</v>
      </c>
      <c r="V446" s="182">
        <f t="shared" si="95"/>
        <v>100</v>
      </c>
      <c r="W446" s="180"/>
      <c r="X446" s="180"/>
      <c r="Y446" s="180"/>
      <c r="Z446" s="180"/>
      <c r="AA446" s="180"/>
      <c r="AB446" s="180"/>
      <c r="AC446" s="180"/>
      <c r="AD446" s="180"/>
      <c r="AE446" s="180"/>
      <c r="AF446" s="180"/>
      <c r="AG446" s="180"/>
      <c r="AH446" s="180"/>
      <c r="AI446" s="180">
        <v>0</v>
      </c>
      <c r="AJ446" s="181">
        <f t="shared" si="114"/>
        <v>0</v>
      </c>
      <c r="AK446" s="180">
        <f t="shared" si="120"/>
        <v>1400000</v>
      </c>
      <c r="AL446" s="181">
        <f t="shared" si="115"/>
        <v>100</v>
      </c>
      <c r="AM446" s="243"/>
    </row>
    <row r="447" spans="1:39" ht="24.75" customHeight="1" x14ac:dyDescent="0.25">
      <c r="A447" s="243"/>
      <c r="B447" s="381"/>
      <c r="C447" s="381"/>
      <c r="D447" s="381"/>
      <c r="E447" s="381"/>
      <c r="F447" s="381"/>
      <c r="G447" s="381"/>
      <c r="H447" s="381"/>
      <c r="I447" s="382"/>
      <c r="J447" s="381" t="s">
        <v>315</v>
      </c>
      <c r="K447" s="245"/>
      <c r="L447" s="257"/>
      <c r="M447" s="591" t="s">
        <v>271</v>
      </c>
      <c r="N447" s="592"/>
      <c r="O447" s="179"/>
      <c r="P447" s="180"/>
      <c r="Q447" s="180">
        <v>3400000</v>
      </c>
      <c r="R447" s="181">
        <f t="shared" si="124"/>
        <v>2.5765383449530157</v>
      </c>
      <c r="S447" s="181">
        <v>100</v>
      </c>
      <c r="T447" s="180">
        <f t="shared" si="117"/>
        <v>0</v>
      </c>
      <c r="U447" s="180">
        <f t="shared" si="122"/>
        <v>0</v>
      </c>
      <c r="V447" s="182">
        <f t="shared" si="95"/>
        <v>100</v>
      </c>
      <c r="W447" s="180"/>
      <c r="X447" s="180"/>
      <c r="Y447" s="180"/>
      <c r="Z447" s="180"/>
      <c r="AA447" s="180"/>
      <c r="AB447" s="180"/>
      <c r="AC447" s="180"/>
      <c r="AD447" s="180"/>
      <c r="AE447" s="180"/>
      <c r="AF447" s="180"/>
      <c r="AG447" s="180"/>
      <c r="AH447" s="180"/>
      <c r="AI447" s="180">
        <v>0</v>
      </c>
      <c r="AJ447" s="181">
        <f t="shared" si="114"/>
        <v>0</v>
      </c>
      <c r="AK447" s="180">
        <f t="shared" si="120"/>
        <v>3400000</v>
      </c>
      <c r="AL447" s="181">
        <f t="shared" si="115"/>
        <v>100</v>
      </c>
      <c r="AM447" s="243"/>
    </row>
    <row r="448" spans="1:39" ht="27.75" customHeight="1" x14ac:dyDescent="0.25">
      <c r="A448" s="243"/>
      <c r="B448" s="381"/>
      <c r="C448" s="381"/>
      <c r="D448" s="381"/>
      <c r="E448" s="381"/>
      <c r="F448" s="381"/>
      <c r="G448" s="381"/>
      <c r="H448" s="381"/>
      <c r="I448" s="382"/>
      <c r="J448" s="381" t="s">
        <v>318</v>
      </c>
      <c r="K448" s="245"/>
      <c r="L448" s="257"/>
      <c r="M448" s="591" t="s">
        <v>319</v>
      </c>
      <c r="N448" s="592"/>
      <c r="O448" s="179"/>
      <c r="P448" s="180"/>
      <c r="Q448" s="180">
        <v>64800000</v>
      </c>
      <c r="R448" s="181">
        <f t="shared" si="124"/>
        <v>49.105789633222194</v>
      </c>
      <c r="S448" s="181">
        <v>100</v>
      </c>
      <c r="T448" s="180">
        <f t="shared" si="117"/>
        <v>0</v>
      </c>
      <c r="U448" s="180">
        <f t="shared" si="122"/>
        <v>0</v>
      </c>
      <c r="V448" s="182">
        <f t="shared" si="95"/>
        <v>100</v>
      </c>
      <c r="W448" s="180"/>
      <c r="X448" s="180"/>
      <c r="Y448" s="180"/>
      <c r="Z448" s="180"/>
      <c r="AA448" s="180"/>
      <c r="AB448" s="180"/>
      <c r="AC448" s="180"/>
      <c r="AD448" s="180"/>
      <c r="AE448" s="180"/>
      <c r="AF448" s="180"/>
      <c r="AG448" s="180"/>
      <c r="AH448" s="180"/>
      <c r="AI448" s="180">
        <v>0</v>
      </c>
      <c r="AJ448" s="181">
        <f t="shared" si="114"/>
        <v>0</v>
      </c>
      <c r="AK448" s="180">
        <f t="shared" si="120"/>
        <v>64800000</v>
      </c>
      <c r="AL448" s="181">
        <f t="shared" si="115"/>
        <v>100</v>
      </c>
      <c r="AM448" s="243"/>
    </row>
    <row r="449" spans="1:39" ht="24.75" customHeight="1" x14ac:dyDescent="0.25">
      <c r="A449" s="243"/>
      <c r="B449" s="381"/>
      <c r="C449" s="381"/>
      <c r="D449" s="381"/>
      <c r="E449" s="381"/>
      <c r="F449" s="381"/>
      <c r="G449" s="381"/>
      <c r="H449" s="381"/>
      <c r="I449" s="382"/>
      <c r="J449" s="381" t="s">
        <v>330</v>
      </c>
      <c r="K449" s="245"/>
      <c r="L449" s="257"/>
      <c r="M449" s="591" t="s">
        <v>331</v>
      </c>
      <c r="N449" s="592"/>
      <c r="O449" s="179"/>
      <c r="P449" s="180"/>
      <c r="Q449" s="180">
        <v>12000000</v>
      </c>
      <c r="R449" s="181">
        <f t="shared" si="124"/>
        <v>9.0936647468929976</v>
      </c>
      <c r="S449" s="181">
        <v>100</v>
      </c>
      <c r="T449" s="180">
        <f t="shared" si="117"/>
        <v>0</v>
      </c>
      <c r="U449" s="180">
        <f t="shared" si="122"/>
        <v>0</v>
      </c>
      <c r="V449" s="182">
        <f t="shared" si="95"/>
        <v>100</v>
      </c>
      <c r="W449" s="180"/>
      <c r="X449" s="180"/>
      <c r="Y449" s="180"/>
      <c r="Z449" s="180"/>
      <c r="AA449" s="180"/>
      <c r="AB449" s="180"/>
      <c r="AC449" s="180"/>
      <c r="AD449" s="180"/>
      <c r="AE449" s="180"/>
      <c r="AF449" s="180"/>
      <c r="AG449" s="180"/>
      <c r="AH449" s="180"/>
      <c r="AI449" s="180">
        <v>0</v>
      </c>
      <c r="AJ449" s="181">
        <f t="shared" si="114"/>
        <v>0</v>
      </c>
      <c r="AK449" s="180">
        <f t="shared" si="120"/>
        <v>12000000</v>
      </c>
      <c r="AL449" s="181">
        <f t="shared" si="115"/>
        <v>100</v>
      </c>
      <c r="AM449" s="243"/>
    </row>
    <row r="450" spans="1:39" ht="24.75" customHeight="1" x14ac:dyDescent="0.25">
      <c r="A450" s="243"/>
      <c r="B450" s="381"/>
      <c r="C450" s="381"/>
      <c r="D450" s="381"/>
      <c r="E450" s="381"/>
      <c r="F450" s="381"/>
      <c r="G450" s="381"/>
      <c r="H450" s="381"/>
      <c r="I450" s="382"/>
      <c r="J450" s="381" t="s">
        <v>284</v>
      </c>
      <c r="K450" s="245"/>
      <c r="L450" s="257"/>
      <c r="M450" s="591" t="s">
        <v>585</v>
      </c>
      <c r="N450" s="592"/>
      <c r="O450" s="179"/>
      <c r="P450" s="180"/>
      <c r="Q450" s="180">
        <v>300000</v>
      </c>
      <c r="R450" s="181">
        <f t="shared" si="124"/>
        <v>0.22734161867232497</v>
      </c>
      <c r="S450" s="181">
        <v>100</v>
      </c>
      <c r="T450" s="180">
        <f t="shared" si="117"/>
        <v>0</v>
      </c>
      <c r="U450" s="180">
        <f t="shared" si="122"/>
        <v>0</v>
      </c>
      <c r="V450" s="182">
        <f t="shared" si="95"/>
        <v>100</v>
      </c>
      <c r="W450" s="180"/>
      <c r="X450" s="180"/>
      <c r="Y450" s="180"/>
      <c r="Z450" s="180"/>
      <c r="AA450" s="180"/>
      <c r="AB450" s="180"/>
      <c r="AC450" s="180"/>
      <c r="AD450" s="180"/>
      <c r="AE450" s="180"/>
      <c r="AF450" s="180"/>
      <c r="AG450" s="180"/>
      <c r="AH450" s="180"/>
      <c r="AI450" s="180">
        <v>0</v>
      </c>
      <c r="AJ450" s="181">
        <f t="shared" si="114"/>
        <v>0</v>
      </c>
      <c r="AK450" s="180">
        <f t="shared" si="120"/>
        <v>300000</v>
      </c>
      <c r="AL450" s="181">
        <f t="shared" si="115"/>
        <v>100</v>
      </c>
      <c r="AM450" s="243"/>
    </row>
    <row r="451" spans="1:39" ht="24.75" customHeight="1" x14ac:dyDescent="0.25">
      <c r="A451" s="243"/>
      <c r="B451" s="381"/>
      <c r="C451" s="381"/>
      <c r="D451" s="381"/>
      <c r="E451" s="381"/>
      <c r="F451" s="381"/>
      <c r="G451" s="381"/>
      <c r="H451" s="381"/>
      <c r="I451" s="382"/>
      <c r="J451" s="381" t="s">
        <v>282</v>
      </c>
      <c r="K451" s="245"/>
      <c r="L451" s="257"/>
      <c r="M451" s="591" t="s">
        <v>503</v>
      </c>
      <c r="N451" s="592"/>
      <c r="O451" s="179"/>
      <c r="P451" s="180"/>
      <c r="Q451" s="180">
        <v>26720000</v>
      </c>
      <c r="R451" s="181">
        <f t="shared" si="124"/>
        <v>20.248560169748409</v>
      </c>
      <c r="S451" s="181">
        <v>100</v>
      </c>
      <c r="T451" s="180">
        <f t="shared" si="117"/>
        <v>0</v>
      </c>
      <c r="U451" s="180">
        <f t="shared" si="122"/>
        <v>0</v>
      </c>
      <c r="V451" s="182">
        <f t="shared" si="95"/>
        <v>100</v>
      </c>
      <c r="W451" s="180"/>
      <c r="X451" s="180"/>
      <c r="Y451" s="180"/>
      <c r="Z451" s="180"/>
      <c r="AA451" s="180"/>
      <c r="AB451" s="180"/>
      <c r="AC451" s="180"/>
      <c r="AD451" s="180"/>
      <c r="AE451" s="180"/>
      <c r="AF451" s="180"/>
      <c r="AG451" s="180"/>
      <c r="AH451" s="180"/>
      <c r="AI451" s="180">
        <v>0</v>
      </c>
      <c r="AJ451" s="181">
        <f t="shared" si="114"/>
        <v>0</v>
      </c>
      <c r="AK451" s="180">
        <f t="shared" si="120"/>
        <v>26720000</v>
      </c>
      <c r="AL451" s="181">
        <f t="shared" si="115"/>
        <v>100</v>
      </c>
      <c r="AM451" s="243"/>
    </row>
    <row r="452" spans="1:39" ht="24.75" customHeight="1" x14ac:dyDescent="0.25">
      <c r="A452" s="243"/>
      <c r="B452" s="381"/>
      <c r="C452" s="381"/>
      <c r="D452" s="381"/>
      <c r="E452" s="381"/>
      <c r="F452" s="381"/>
      <c r="G452" s="381"/>
      <c r="H452" s="381"/>
      <c r="I452" s="382"/>
      <c r="J452" s="381" t="s">
        <v>320</v>
      </c>
      <c r="K452" s="245"/>
      <c r="L452" s="257"/>
      <c r="M452" s="591" t="s">
        <v>321</v>
      </c>
      <c r="N452" s="592"/>
      <c r="O452" s="179"/>
      <c r="P452" s="180"/>
      <c r="Q452" s="180">
        <v>13800000</v>
      </c>
      <c r="R452" s="181">
        <f t="shared" si="124"/>
        <v>10.457714458926947</v>
      </c>
      <c r="S452" s="181">
        <v>100</v>
      </c>
      <c r="T452" s="180">
        <f t="shared" si="117"/>
        <v>0</v>
      </c>
      <c r="U452" s="180">
        <f t="shared" si="122"/>
        <v>0</v>
      </c>
      <c r="V452" s="182">
        <f t="shared" si="95"/>
        <v>100</v>
      </c>
      <c r="W452" s="180"/>
      <c r="X452" s="180"/>
      <c r="Y452" s="180"/>
      <c r="Z452" s="180"/>
      <c r="AA452" s="180"/>
      <c r="AB452" s="180"/>
      <c r="AC452" s="180"/>
      <c r="AD452" s="180"/>
      <c r="AE452" s="180"/>
      <c r="AF452" s="180"/>
      <c r="AG452" s="180"/>
      <c r="AH452" s="180"/>
      <c r="AI452" s="180">
        <v>0</v>
      </c>
      <c r="AJ452" s="181">
        <f t="shared" si="114"/>
        <v>0</v>
      </c>
      <c r="AK452" s="180">
        <f t="shared" si="120"/>
        <v>13800000</v>
      </c>
      <c r="AL452" s="181">
        <f t="shared" si="115"/>
        <v>100</v>
      </c>
      <c r="AM452" s="243"/>
    </row>
    <row r="453" spans="1:39" ht="24.75" customHeight="1" x14ac:dyDescent="0.25">
      <c r="A453" s="243"/>
      <c r="B453" s="381"/>
      <c r="C453" s="381"/>
      <c r="D453" s="381"/>
      <c r="E453" s="381"/>
      <c r="F453" s="381"/>
      <c r="G453" s="381"/>
      <c r="H453" s="381"/>
      <c r="I453" s="382"/>
      <c r="J453" s="381" t="s">
        <v>407</v>
      </c>
      <c r="K453" s="245"/>
      <c r="L453" s="257"/>
      <c r="M453" s="591" t="s">
        <v>414</v>
      </c>
      <c r="N453" s="592"/>
      <c r="O453" s="179"/>
      <c r="P453" s="180"/>
      <c r="Q453" s="180">
        <v>8000000</v>
      </c>
      <c r="R453" s="181">
        <f t="shared" si="124"/>
        <v>6.0624431645953321</v>
      </c>
      <c r="S453" s="181"/>
      <c r="T453" s="180">
        <f t="shared" si="117"/>
        <v>0</v>
      </c>
      <c r="U453" s="180">
        <f t="shared" si="122"/>
        <v>0</v>
      </c>
      <c r="V453" s="182"/>
      <c r="W453" s="180"/>
      <c r="X453" s="180"/>
      <c r="Y453" s="180"/>
      <c r="Z453" s="180"/>
      <c r="AA453" s="180"/>
      <c r="AB453" s="180"/>
      <c r="AC453" s="180"/>
      <c r="AD453" s="180"/>
      <c r="AE453" s="180"/>
      <c r="AF453" s="180"/>
      <c r="AG453" s="180"/>
      <c r="AH453" s="180"/>
      <c r="AI453" s="180">
        <v>0</v>
      </c>
      <c r="AJ453" s="181">
        <f t="shared" si="114"/>
        <v>0</v>
      </c>
      <c r="AK453" s="180">
        <f t="shared" si="120"/>
        <v>8000000</v>
      </c>
      <c r="AL453" s="181">
        <f t="shared" si="115"/>
        <v>100</v>
      </c>
      <c r="AM453" s="243"/>
    </row>
    <row r="454" spans="1:39" s="297" customFormat="1" ht="30" customHeight="1" x14ac:dyDescent="0.25">
      <c r="A454" s="227">
        <f>A444+1</f>
        <v>57</v>
      </c>
      <c r="B454" s="615" t="s">
        <v>156</v>
      </c>
      <c r="C454" s="615"/>
      <c r="D454" s="615"/>
      <c r="E454" s="615"/>
      <c r="F454" s="615"/>
      <c r="G454" s="615"/>
      <c r="H454" s="615"/>
      <c r="I454" s="614"/>
      <c r="J454" s="304" t="s">
        <v>507</v>
      </c>
      <c r="K454" s="230"/>
      <c r="L454" s="294"/>
      <c r="M454" s="610" t="s">
        <v>157</v>
      </c>
      <c r="N454" s="610"/>
      <c r="O454" s="309">
        <v>1493981000</v>
      </c>
      <c r="P454" s="231">
        <f>O454</f>
        <v>1493981000</v>
      </c>
      <c r="Q454" s="231">
        <f>SUM(Q455:Q462)</f>
        <v>759011476</v>
      </c>
      <c r="R454" s="233">
        <f>Q454/Q$245*100</f>
        <v>6.3633581159287287</v>
      </c>
      <c r="S454" s="233">
        <v>100</v>
      </c>
      <c r="T454" s="231">
        <f t="shared" si="117"/>
        <v>26.413961625001832</v>
      </c>
      <c r="U454" s="231">
        <f t="shared" si="122"/>
        <v>1.6808149708028539</v>
      </c>
      <c r="V454" s="296">
        <f t="shared" si="95"/>
        <v>73.586038374998168</v>
      </c>
      <c r="W454" s="231"/>
      <c r="X454" s="231" t="e">
        <f>#REF!</f>
        <v>#REF!</v>
      </c>
      <c r="Y454" s="231" t="e">
        <f>#REF!</f>
        <v>#REF!</v>
      </c>
      <c r="Z454" s="231" t="e">
        <f>#REF!</f>
        <v>#REF!</v>
      </c>
      <c r="AA454" s="231" t="e">
        <f>#REF!</f>
        <v>#REF!</v>
      </c>
      <c r="AB454" s="231">
        <v>366754000</v>
      </c>
      <c r="AC454" s="231" t="e">
        <f>#REF!</f>
        <v>#REF!</v>
      </c>
      <c r="AD454" s="231" t="e">
        <f>#REF!</f>
        <v>#REF!</v>
      </c>
      <c r="AE454" s="231" t="e">
        <f>#REF!</f>
        <v>#REF!</v>
      </c>
      <c r="AF454" s="231" t="e">
        <f>[1]April!N76</f>
        <v>#REF!</v>
      </c>
      <c r="AG454" s="231" t="e">
        <f>[2]april!N76</f>
        <v>#REF!</v>
      </c>
      <c r="AH454" s="231">
        <f>'[3]DES SKPD'!$N76</f>
        <v>1083037500</v>
      </c>
      <c r="AI454" s="231">
        <f>SUM(AI455:AI462)</f>
        <v>200485000</v>
      </c>
      <c r="AJ454" s="233">
        <f t="shared" si="114"/>
        <v>26.413961625001832</v>
      </c>
      <c r="AK454" s="231">
        <f>Q454-AI454</f>
        <v>558526476</v>
      </c>
      <c r="AL454" s="233">
        <f t="shared" si="115"/>
        <v>73.586038374998168</v>
      </c>
      <c r="AM454" s="227"/>
    </row>
    <row r="455" spans="1:39" ht="30" customHeight="1" x14ac:dyDescent="0.25">
      <c r="A455" s="243"/>
      <c r="B455" s="381"/>
      <c r="C455" s="381"/>
      <c r="D455" s="381"/>
      <c r="E455" s="381"/>
      <c r="F455" s="381"/>
      <c r="G455" s="381"/>
      <c r="H455" s="381"/>
      <c r="I455" s="382"/>
      <c r="J455" s="381" t="s">
        <v>259</v>
      </c>
      <c r="K455" s="245"/>
      <c r="L455" s="257"/>
      <c r="M455" s="591" t="s">
        <v>615</v>
      </c>
      <c r="N455" s="592"/>
      <c r="O455" s="179"/>
      <c r="P455" s="180"/>
      <c r="Q455" s="180">
        <v>3850000</v>
      </c>
      <c r="R455" s="181">
        <f t="shared" ref="R455:R462" si="125">Q455/Q$454*100</f>
        <v>0.5072387074158019</v>
      </c>
      <c r="S455" s="181">
        <v>100</v>
      </c>
      <c r="T455" s="180">
        <f t="shared" si="117"/>
        <v>0</v>
      </c>
      <c r="U455" s="180">
        <f t="shared" si="122"/>
        <v>0</v>
      </c>
      <c r="V455" s="182">
        <f t="shared" si="95"/>
        <v>100</v>
      </c>
      <c r="W455" s="180"/>
      <c r="X455" s="180"/>
      <c r="Y455" s="180"/>
      <c r="Z455" s="180"/>
      <c r="AA455" s="180"/>
      <c r="AB455" s="180"/>
      <c r="AC455" s="180"/>
      <c r="AD455" s="180"/>
      <c r="AE455" s="180"/>
      <c r="AF455" s="180"/>
      <c r="AG455" s="180"/>
      <c r="AH455" s="180"/>
      <c r="AI455" s="180">
        <v>0</v>
      </c>
      <c r="AJ455" s="181">
        <f t="shared" si="114"/>
        <v>0</v>
      </c>
      <c r="AK455" s="180">
        <f t="shared" si="120"/>
        <v>3850000</v>
      </c>
      <c r="AL455" s="181">
        <f t="shared" si="115"/>
        <v>100</v>
      </c>
      <c r="AM455" s="243"/>
    </row>
    <row r="456" spans="1:39" ht="30" customHeight="1" x14ac:dyDescent="0.25">
      <c r="A456" s="243"/>
      <c r="B456" s="381"/>
      <c r="C456" s="381"/>
      <c r="D456" s="381"/>
      <c r="E456" s="381"/>
      <c r="F456" s="381"/>
      <c r="G456" s="381"/>
      <c r="H456" s="381"/>
      <c r="I456" s="382"/>
      <c r="J456" s="381" t="s">
        <v>269</v>
      </c>
      <c r="K456" s="245"/>
      <c r="L456" s="257"/>
      <c r="M456" s="591" t="s">
        <v>354</v>
      </c>
      <c r="N456" s="592"/>
      <c r="O456" s="179"/>
      <c r="P456" s="180"/>
      <c r="Q456" s="180">
        <v>155506476</v>
      </c>
      <c r="R456" s="181">
        <f t="shared" si="125"/>
        <v>20.488026982084786</v>
      </c>
      <c r="S456" s="181">
        <v>100</v>
      </c>
      <c r="T456" s="180">
        <f t="shared" si="117"/>
        <v>31.252717732475656</v>
      </c>
      <c r="U456" s="180">
        <f t="shared" si="122"/>
        <v>6.4030652416644092</v>
      </c>
      <c r="V456" s="182">
        <f t="shared" si="95"/>
        <v>68.747282267524341</v>
      </c>
      <c r="W456" s="180"/>
      <c r="X456" s="180"/>
      <c r="Y456" s="180"/>
      <c r="Z456" s="180"/>
      <c r="AA456" s="180"/>
      <c r="AB456" s="180"/>
      <c r="AC456" s="180"/>
      <c r="AD456" s="180"/>
      <c r="AE456" s="180"/>
      <c r="AF456" s="180"/>
      <c r="AG456" s="180"/>
      <c r="AH456" s="180"/>
      <c r="AI456" s="180">
        <v>48600000</v>
      </c>
      <c r="AJ456" s="181">
        <f t="shared" si="114"/>
        <v>31.252717732475656</v>
      </c>
      <c r="AK456" s="180">
        <f t="shared" si="120"/>
        <v>106906476</v>
      </c>
      <c r="AL456" s="181">
        <f t="shared" si="115"/>
        <v>68.747282267524341</v>
      </c>
      <c r="AM456" s="243"/>
    </row>
    <row r="457" spans="1:39" ht="30" customHeight="1" x14ac:dyDescent="0.25">
      <c r="A457" s="243"/>
      <c r="B457" s="381"/>
      <c r="C457" s="381"/>
      <c r="D457" s="381"/>
      <c r="E457" s="381"/>
      <c r="F457" s="381"/>
      <c r="G457" s="381"/>
      <c r="H457" s="381"/>
      <c r="I457" s="382"/>
      <c r="J457" s="381" t="s">
        <v>306</v>
      </c>
      <c r="K457" s="245"/>
      <c r="L457" s="257"/>
      <c r="M457" s="591" t="s">
        <v>352</v>
      </c>
      <c r="N457" s="592"/>
      <c r="O457" s="179"/>
      <c r="P457" s="180"/>
      <c r="Q457" s="180">
        <v>47955000</v>
      </c>
      <c r="R457" s="181">
        <f t="shared" si="125"/>
        <v>6.3180862893830607</v>
      </c>
      <c r="S457" s="181">
        <v>100</v>
      </c>
      <c r="T457" s="180">
        <f t="shared" si="117"/>
        <v>100</v>
      </c>
      <c r="U457" s="180">
        <f t="shared" si="122"/>
        <v>6.3180862893830616</v>
      </c>
      <c r="V457" s="182">
        <f t="shared" si="95"/>
        <v>0</v>
      </c>
      <c r="W457" s="180"/>
      <c r="X457" s="180"/>
      <c r="Y457" s="180"/>
      <c r="Z457" s="180"/>
      <c r="AA457" s="180"/>
      <c r="AB457" s="180"/>
      <c r="AC457" s="180"/>
      <c r="AD457" s="180"/>
      <c r="AE457" s="180"/>
      <c r="AF457" s="180"/>
      <c r="AG457" s="180"/>
      <c r="AH457" s="180"/>
      <c r="AI457" s="180">
        <v>47955000</v>
      </c>
      <c r="AJ457" s="181">
        <f t="shared" si="114"/>
        <v>100</v>
      </c>
      <c r="AK457" s="180">
        <f t="shared" si="120"/>
        <v>0</v>
      </c>
      <c r="AL457" s="181">
        <f t="shared" si="115"/>
        <v>0</v>
      </c>
      <c r="AM457" s="243"/>
    </row>
    <row r="458" spans="1:39" ht="30" customHeight="1" x14ac:dyDescent="0.25">
      <c r="A458" s="243"/>
      <c r="B458" s="381"/>
      <c r="C458" s="381"/>
      <c r="D458" s="381"/>
      <c r="E458" s="381"/>
      <c r="F458" s="381"/>
      <c r="G458" s="381"/>
      <c r="H458" s="381"/>
      <c r="I458" s="382"/>
      <c r="J458" s="381" t="s">
        <v>308</v>
      </c>
      <c r="K458" s="245"/>
      <c r="L458" s="257"/>
      <c r="M458" s="591" t="s">
        <v>612</v>
      </c>
      <c r="N458" s="592"/>
      <c r="O458" s="179"/>
      <c r="P458" s="180"/>
      <c r="Q458" s="180">
        <v>5000000</v>
      </c>
      <c r="R458" s="181">
        <f t="shared" si="125"/>
        <v>0.65875156807247004</v>
      </c>
      <c r="S458" s="181">
        <v>100</v>
      </c>
      <c r="T458" s="180">
        <f t="shared" si="117"/>
        <v>0</v>
      </c>
      <c r="U458" s="180">
        <f t="shared" si="122"/>
        <v>0</v>
      </c>
      <c r="V458" s="182">
        <f t="shared" si="95"/>
        <v>100</v>
      </c>
      <c r="W458" s="180"/>
      <c r="X458" s="180"/>
      <c r="Y458" s="180"/>
      <c r="Z458" s="180"/>
      <c r="AA458" s="180"/>
      <c r="AB458" s="180"/>
      <c r="AC458" s="180"/>
      <c r="AD458" s="180"/>
      <c r="AE458" s="180"/>
      <c r="AF458" s="180"/>
      <c r="AG458" s="180"/>
      <c r="AH458" s="180"/>
      <c r="AI458" s="180">
        <v>0</v>
      </c>
      <c r="AJ458" s="181">
        <f t="shared" si="114"/>
        <v>0</v>
      </c>
      <c r="AK458" s="180">
        <f t="shared" si="120"/>
        <v>5000000</v>
      </c>
      <c r="AL458" s="181">
        <f t="shared" si="115"/>
        <v>100</v>
      </c>
      <c r="AM458" s="243"/>
    </row>
    <row r="459" spans="1:39" ht="30" customHeight="1" x14ac:dyDescent="0.25">
      <c r="A459" s="243"/>
      <c r="B459" s="381"/>
      <c r="C459" s="381"/>
      <c r="D459" s="381"/>
      <c r="E459" s="381"/>
      <c r="F459" s="381"/>
      <c r="G459" s="381"/>
      <c r="H459" s="381"/>
      <c r="I459" s="382"/>
      <c r="J459" s="381" t="s">
        <v>282</v>
      </c>
      <c r="K459" s="245"/>
      <c r="L459" s="257"/>
      <c r="M459" s="591" t="s">
        <v>616</v>
      </c>
      <c r="N459" s="592"/>
      <c r="O459" s="179"/>
      <c r="P459" s="180"/>
      <c r="Q459" s="180">
        <v>63700000</v>
      </c>
      <c r="R459" s="181">
        <f t="shared" si="125"/>
        <v>8.3924949772432687</v>
      </c>
      <c r="S459" s="181">
        <v>100</v>
      </c>
      <c r="T459" s="180">
        <f t="shared" si="117"/>
        <v>43.061224489795919</v>
      </c>
      <c r="U459" s="180">
        <f t="shared" si="122"/>
        <v>3.6139111024455706</v>
      </c>
      <c r="V459" s="182">
        <f t="shared" si="95"/>
        <v>56.938775510204081</v>
      </c>
      <c r="W459" s="180"/>
      <c r="X459" s="180"/>
      <c r="Y459" s="180"/>
      <c r="Z459" s="180"/>
      <c r="AA459" s="180"/>
      <c r="AB459" s="180"/>
      <c r="AC459" s="180"/>
      <c r="AD459" s="180"/>
      <c r="AE459" s="180"/>
      <c r="AF459" s="180"/>
      <c r="AG459" s="180"/>
      <c r="AH459" s="180"/>
      <c r="AI459" s="180">
        <v>27430000</v>
      </c>
      <c r="AJ459" s="181">
        <f t="shared" si="114"/>
        <v>43.061224489795919</v>
      </c>
      <c r="AK459" s="180">
        <f t="shared" si="120"/>
        <v>36270000</v>
      </c>
      <c r="AL459" s="181">
        <f t="shared" si="115"/>
        <v>56.938775510204088</v>
      </c>
      <c r="AM459" s="243"/>
    </row>
    <row r="460" spans="1:39" ht="30" customHeight="1" x14ac:dyDescent="0.25">
      <c r="A460" s="243"/>
      <c r="B460" s="381"/>
      <c r="C460" s="381"/>
      <c r="D460" s="381"/>
      <c r="E460" s="381"/>
      <c r="F460" s="381"/>
      <c r="G460" s="381"/>
      <c r="H460" s="381"/>
      <c r="I460" s="382"/>
      <c r="J460" s="381" t="s">
        <v>308</v>
      </c>
      <c r="K460" s="245"/>
      <c r="L460" s="257"/>
      <c r="M460" s="591" t="s">
        <v>601</v>
      </c>
      <c r="N460" s="592"/>
      <c r="O460" s="179"/>
      <c r="P460" s="180"/>
      <c r="Q460" s="180">
        <v>225000000</v>
      </c>
      <c r="R460" s="181">
        <f t="shared" si="125"/>
        <v>29.643820563261151</v>
      </c>
      <c r="S460" s="181">
        <v>100</v>
      </c>
      <c r="T460" s="180">
        <f t="shared" si="117"/>
        <v>0</v>
      </c>
      <c r="U460" s="180">
        <f t="shared" si="122"/>
        <v>0</v>
      </c>
      <c r="V460" s="182">
        <f t="shared" si="95"/>
        <v>100</v>
      </c>
      <c r="W460" s="180"/>
      <c r="X460" s="180"/>
      <c r="Y460" s="180"/>
      <c r="Z460" s="180"/>
      <c r="AA460" s="180"/>
      <c r="AB460" s="180"/>
      <c r="AC460" s="180"/>
      <c r="AD460" s="180"/>
      <c r="AE460" s="180"/>
      <c r="AF460" s="180"/>
      <c r="AG460" s="180"/>
      <c r="AH460" s="180"/>
      <c r="AI460" s="180">
        <v>0</v>
      </c>
      <c r="AJ460" s="181">
        <f t="shared" si="114"/>
        <v>0</v>
      </c>
      <c r="AK460" s="180">
        <f t="shared" si="120"/>
        <v>225000000</v>
      </c>
      <c r="AL460" s="181">
        <f t="shared" si="115"/>
        <v>100</v>
      </c>
      <c r="AM460" s="243"/>
    </row>
    <row r="461" spans="1:39" ht="30" customHeight="1" x14ac:dyDescent="0.25">
      <c r="A461" s="243"/>
      <c r="B461" s="381"/>
      <c r="C461" s="381"/>
      <c r="D461" s="381"/>
      <c r="E461" s="381"/>
      <c r="F461" s="381"/>
      <c r="G461" s="381"/>
      <c r="H461" s="381"/>
      <c r="I461" s="382"/>
      <c r="J461" s="381" t="s">
        <v>309</v>
      </c>
      <c r="K461" s="245"/>
      <c r="L461" s="257"/>
      <c r="M461" s="591" t="s">
        <v>310</v>
      </c>
      <c r="N461" s="592"/>
      <c r="O461" s="179"/>
      <c r="P461" s="180"/>
      <c r="Q461" s="180">
        <v>28500000</v>
      </c>
      <c r="R461" s="181">
        <f t="shared" si="125"/>
        <v>3.7548839380130796</v>
      </c>
      <c r="S461" s="181">
        <v>100</v>
      </c>
      <c r="T461" s="180">
        <f t="shared" si="117"/>
        <v>0</v>
      </c>
      <c r="U461" s="180">
        <f t="shared" si="122"/>
        <v>0</v>
      </c>
      <c r="V461" s="182">
        <f t="shared" si="95"/>
        <v>100</v>
      </c>
      <c r="W461" s="180"/>
      <c r="X461" s="180"/>
      <c r="Y461" s="180"/>
      <c r="Z461" s="180"/>
      <c r="AA461" s="180"/>
      <c r="AB461" s="180"/>
      <c r="AC461" s="180"/>
      <c r="AD461" s="180"/>
      <c r="AE461" s="180"/>
      <c r="AF461" s="180"/>
      <c r="AG461" s="180"/>
      <c r="AH461" s="180"/>
      <c r="AI461" s="180">
        <v>0</v>
      </c>
      <c r="AJ461" s="181">
        <f t="shared" si="114"/>
        <v>0</v>
      </c>
      <c r="AK461" s="180">
        <f t="shared" si="120"/>
        <v>28500000</v>
      </c>
      <c r="AL461" s="181">
        <f t="shared" si="115"/>
        <v>100</v>
      </c>
      <c r="AM461" s="243"/>
    </row>
    <row r="462" spans="1:39" ht="30" customHeight="1" x14ac:dyDescent="0.25">
      <c r="A462" s="243"/>
      <c r="B462" s="381"/>
      <c r="C462" s="381"/>
      <c r="D462" s="381"/>
      <c r="E462" s="381"/>
      <c r="F462" s="381"/>
      <c r="G462" s="381"/>
      <c r="H462" s="381"/>
      <c r="I462" s="382"/>
      <c r="J462" s="381" t="s">
        <v>551</v>
      </c>
      <c r="K462" s="245"/>
      <c r="L462" s="257"/>
      <c r="M462" s="591" t="s">
        <v>550</v>
      </c>
      <c r="N462" s="592"/>
      <c r="O462" s="179"/>
      <c r="P462" s="180"/>
      <c r="Q462" s="180">
        <v>229500000</v>
      </c>
      <c r="R462" s="181">
        <f t="shared" si="125"/>
        <v>30.236696974526378</v>
      </c>
      <c r="S462" s="181">
        <v>100</v>
      </c>
      <c r="T462" s="180">
        <f t="shared" si="117"/>
        <v>33.333333333333329</v>
      </c>
      <c r="U462" s="180">
        <f t="shared" si="122"/>
        <v>10.078898991508792</v>
      </c>
      <c r="V462" s="182">
        <f t="shared" si="95"/>
        <v>66.666666666666671</v>
      </c>
      <c r="W462" s="180"/>
      <c r="X462" s="180"/>
      <c r="Y462" s="180"/>
      <c r="Z462" s="180"/>
      <c r="AA462" s="180"/>
      <c r="AB462" s="180"/>
      <c r="AC462" s="180"/>
      <c r="AD462" s="180"/>
      <c r="AE462" s="180"/>
      <c r="AF462" s="180"/>
      <c r="AG462" s="180"/>
      <c r="AH462" s="180"/>
      <c r="AI462" s="180">
        <f>51000000+25500000</f>
        <v>76500000</v>
      </c>
      <c r="AJ462" s="181">
        <f t="shared" si="114"/>
        <v>33.333333333333329</v>
      </c>
      <c r="AK462" s="180">
        <f t="shared" si="120"/>
        <v>153000000</v>
      </c>
      <c r="AL462" s="181">
        <f t="shared" si="115"/>
        <v>66.666666666666657</v>
      </c>
      <c r="AM462" s="243"/>
    </row>
    <row r="463" spans="1:39" s="297" customFormat="1" ht="31.5" customHeight="1" x14ac:dyDescent="0.25">
      <c r="A463" s="227">
        <f>A454+1</f>
        <v>58</v>
      </c>
      <c r="B463" s="615" t="s">
        <v>158</v>
      </c>
      <c r="C463" s="615"/>
      <c r="D463" s="615"/>
      <c r="E463" s="615"/>
      <c r="F463" s="615"/>
      <c r="G463" s="615"/>
      <c r="H463" s="615"/>
      <c r="I463" s="614"/>
      <c r="J463" s="304" t="s">
        <v>508</v>
      </c>
      <c r="K463" s="230"/>
      <c r="L463" s="294"/>
      <c r="M463" s="609" t="s">
        <v>159</v>
      </c>
      <c r="N463" s="609"/>
      <c r="O463" s="309">
        <v>355300000</v>
      </c>
      <c r="P463" s="231">
        <f>O463</f>
        <v>355300000</v>
      </c>
      <c r="Q463" s="231">
        <f>SUM(Q464:Q472)</f>
        <v>83400000</v>
      </c>
      <c r="R463" s="233">
        <f>Q463/Q$35*100</f>
        <v>0.26237757907282139</v>
      </c>
      <c r="S463" s="233">
        <v>100</v>
      </c>
      <c r="T463" s="231">
        <f t="shared" si="117"/>
        <v>3.1175059952038371</v>
      </c>
      <c r="U463" s="231">
        <f t="shared" si="122"/>
        <v>8.1796367576658941E-3</v>
      </c>
      <c r="V463" s="296">
        <f t="shared" si="95"/>
        <v>96.882494004796158</v>
      </c>
      <c r="W463" s="231"/>
      <c r="X463" s="231" t="e">
        <f>#REF!</f>
        <v>#REF!</v>
      </c>
      <c r="Y463" s="231" t="e">
        <f>#REF!</f>
        <v>#REF!</v>
      </c>
      <c r="Z463" s="231" t="e">
        <f>#REF!</f>
        <v>#REF!</v>
      </c>
      <c r="AA463" s="231" t="e">
        <f>#REF!</f>
        <v>#REF!</v>
      </c>
      <c r="AB463" s="231">
        <v>131395500</v>
      </c>
      <c r="AC463" s="231" t="e">
        <f>#REF!</f>
        <v>#REF!</v>
      </c>
      <c r="AD463" s="231" t="e">
        <f>#REF!</f>
        <v>#REF!</v>
      </c>
      <c r="AE463" s="231" t="e">
        <f>#REF!</f>
        <v>#REF!</v>
      </c>
      <c r="AF463" s="231" t="e">
        <f>[1]April!N67</f>
        <v>#REF!</v>
      </c>
      <c r="AG463" s="231" t="e">
        <f>[2]april!N77</f>
        <v>#REF!</v>
      </c>
      <c r="AH463" s="231">
        <f>'[3]DES SKPD'!$N77</f>
        <v>318242454</v>
      </c>
      <c r="AI463" s="231">
        <f>SUM(AI464:AI472)</f>
        <v>2600000</v>
      </c>
      <c r="AJ463" s="233">
        <f t="shared" si="114"/>
        <v>3.1175059952038371</v>
      </c>
      <c r="AK463" s="231">
        <f t="shared" si="120"/>
        <v>80800000</v>
      </c>
      <c r="AL463" s="233">
        <f t="shared" si="115"/>
        <v>96.882494004796158</v>
      </c>
      <c r="AM463" s="227"/>
    </row>
    <row r="464" spans="1:39" ht="24.75" customHeight="1" x14ac:dyDescent="0.25">
      <c r="A464" s="243"/>
      <c r="B464" s="381"/>
      <c r="C464" s="381"/>
      <c r="D464" s="381"/>
      <c r="E464" s="381"/>
      <c r="F464" s="381"/>
      <c r="G464" s="381"/>
      <c r="H464" s="381"/>
      <c r="I464" s="382"/>
      <c r="J464" s="381" t="s">
        <v>257</v>
      </c>
      <c r="K464" s="245"/>
      <c r="L464" s="257"/>
      <c r="M464" s="591" t="s">
        <v>258</v>
      </c>
      <c r="N464" s="592"/>
      <c r="O464" s="179"/>
      <c r="P464" s="180"/>
      <c r="Q464" s="180">
        <v>2600000</v>
      </c>
      <c r="R464" s="181">
        <f>Q464/Q$463*100</f>
        <v>3.1175059952038371</v>
      </c>
      <c r="S464" s="181">
        <v>100</v>
      </c>
      <c r="T464" s="180">
        <f t="shared" si="117"/>
        <v>0</v>
      </c>
      <c r="U464" s="180">
        <f t="shared" si="122"/>
        <v>0</v>
      </c>
      <c r="V464" s="182">
        <f t="shared" si="95"/>
        <v>100</v>
      </c>
      <c r="W464" s="180"/>
      <c r="X464" s="180"/>
      <c r="Y464" s="180"/>
      <c r="Z464" s="180"/>
      <c r="AA464" s="180"/>
      <c r="AB464" s="180"/>
      <c r="AC464" s="180"/>
      <c r="AD464" s="180"/>
      <c r="AE464" s="180"/>
      <c r="AF464" s="180"/>
      <c r="AG464" s="180"/>
      <c r="AH464" s="180"/>
      <c r="AI464" s="180">
        <v>0</v>
      </c>
      <c r="AJ464" s="181">
        <f t="shared" si="114"/>
        <v>0</v>
      </c>
      <c r="AK464" s="180">
        <f t="shared" si="120"/>
        <v>2600000</v>
      </c>
      <c r="AL464" s="181">
        <f t="shared" si="115"/>
        <v>100</v>
      </c>
      <c r="AM464" s="243"/>
    </row>
    <row r="465" spans="1:39" ht="24.75" customHeight="1" x14ac:dyDescent="0.25">
      <c r="A465" s="243"/>
      <c r="B465" s="381"/>
      <c r="C465" s="381"/>
      <c r="D465" s="381"/>
      <c r="E465" s="381"/>
      <c r="F465" s="381"/>
      <c r="G465" s="381"/>
      <c r="H465" s="381"/>
      <c r="I465" s="382"/>
      <c r="J465" s="381" t="s">
        <v>269</v>
      </c>
      <c r="K465" s="245"/>
      <c r="L465" s="257"/>
      <c r="M465" s="591" t="s">
        <v>352</v>
      </c>
      <c r="N465" s="592"/>
      <c r="O465" s="179"/>
      <c r="P465" s="180"/>
      <c r="Q465" s="180">
        <v>3000000</v>
      </c>
      <c r="R465" s="181">
        <f t="shared" ref="R465:R472" si="126">Q465/Q$463*100</f>
        <v>3.5971223021582732</v>
      </c>
      <c r="S465" s="181">
        <v>100</v>
      </c>
      <c r="T465" s="180">
        <f t="shared" si="117"/>
        <v>0</v>
      </c>
      <c r="U465" s="180">
        <f t="shared" si="122"/>
        <v>0</v>
      </c>
      <c r="V465" s="182">
        <f t="shared" si="95"/>
        <v>100</v>
      </c>
      <c r="W465" s="180"/>
      <c r="X465" s="180"/>
      <c r="Y465" s="180"/>
      <c r="Z465" s="180"/>
      <c r="AA465" s="180"/>
      <c r="AB465" s="180"/>
      <c r="AC465" s="180"/>
      <c r="AD465" s="180"/>
      <c r="AE465" s="180"/>
      <c r="AF465" s="180"/>
      <c r="AG465" s="180"/>
      <c r="AH465" s="180"/>
      <c r="AI465" s="180">
        <v>0</v>
      </c>
      <c r="AJ465" s="181">
        <f t="shared" si="114"/>
        <v>0</v>
      </c>
      <c r="AK465" s="180">
        <f t="shared" si="120"/>
        <v>3000000</v>
      </c>
      <c r="AL465" s="181">
        <f t="shared" si="115"/>
        <v>100</v>
      </c>
      <c r="AM465" s="243"/>
    </row>
    <row r="466" spans="1:39" ht="24.75" customHeight="1" x14ac:dyDescent="0.25">
      <c r="A466" s="243"/>
      <c r="B466" s="381"/>
      <c r="C466" s="381"/>
      <c r="D466" s="381"/>
      <c r="E466" s="381"/>
      <c r="F466" s="381"/>
      <c r="G466" s="381"/>
      <c r="H466" s="381"/>
      <c r="I466" s="382"/>
      <c r="J466" s="381" t="s">
        <v>315</v>
      </c>
      <c r="K466" s="245"/>
      <c r="L466" s="257"/>
      <c r="M466" s="591" t="s">
        <v>271</v>
      </c>
      <c r="N466" s="592"/>
      <c r="O466" s="179"/>
      <c r="P466" s="180"/>
      <c r="Q466" s="180">
        <v>1400000</v>
      </c>
      <c r="R466" s="181">
        <f t="shared" si="126"/>
        <v>1.6786570743405276</v>
      </c>
      <c r="S466" s="181">
        <v>100</v>
      </c>
      <c r="T466" s="180">
        <f t="shared" si="117"/>
        <v>21.428571428571427</v>
      </c>
      <c r="U466" s="180">
        <f t="shared" si="122"/>
        <v>0.35971223021582732</v>
      </c>
      <c r="V466" s="182">
        <f t="shared" si="95"/>
        <v>78.571428571428569</v>
      </c>
      <c r="W466" s="180"/>
      <c r="X466" s="180"/>
      <c r="Y466" s="180"/>
      <c r="Z466" s="180"/>
      <c r="AA466" s="180"/>
      <c r="AB466" s="180"/>
      <c r="AC466" s="180"/>
      <c r="AD466" s="180"/>
      <c r="AE466" s="180"/>
      <c r="AF466" s="180"/>
      <c r="AG466" s="180"/>
      <c r="AH466" s="180"/>
      <c r="AI466" s="180">
        <v>300000</v>
      </c>
      <c r="AJ466" s="181">
        <f t="shared" si="114"/>
        <v>21.428571428571427</v>
      </c>
      <c r="AK466" s="180">
        <f t="shared" si="120"/>
        <v>1100000</v>
      </c>
      <c r="AL466" s="181">
        <f t="shared" si="115"/>
        <v>78.571428571428569</v>
      </c>
      <c r="AM466" s="243"/>
    </row>
    <row r="467" spans="1:39" ht="24.75" customHeight="1" x14ac:dyDescent="0.25">
      <c r="A467" s="243"/>
      <c r="B467" s="381"/>
      <c r="C467" s="381"/>
      <c r="D467" s="381"/>
      <c r="E467" s="381"/>
      <c r="F467" s="381"/>
      <c r="G467" s="381"/>
      <c r="H467" s="381"/>
      <c r="I467" s="382"/>
      <c r="J467" s="381"/>
      <c r="K467" s="245"/>
      <c r="L467" s="257"/>
      <c r="M467" s="591" t="s">
        <v>612</v>
      </c>
      <c r="N467" s="592"/>
      <c r="O467" s="179"/>
      <c r="P467" s="180"/>
      <c r="Q467" s="180">
        <v>1200000</v>
      </c>
      <c r="R467" s="181">
        <f t="shared" si="126"/>
        <v>1.4388489208633095</v>
      </c>
      <c r="S467" s="181">
        <v>100</v>
      </c>
      <c r="T467" s="180">
        <f t="shared" si="117"/>
        <v>0</v>
      </c>
      <c r="U467" s="180">
        <f t="shared" si="122"/>
        <v>0</v>
      </c>
      <c r="V467" s="182">
        <f t="shared" si="95"/>
        <v>100</v>
      </c>
      <c r="W467" s="180"/>
      <c r="X467" s="180"/>
      <c r="Y467" s="180"/>
      <c r="Z467" s="180"/>
      <c r="AA467" s="180"/>
      <c r="AB467" s="180"/>
      <c r="AC467" s="180"/>
      <c r="AD467" s="180"/>
      <c r="AE467" s="180"/>
      <c r="AF467" s="180"/>
      <c r="AG467" s="180"/>
      <c r="AH467" s="180"/>
      <c r="AI467" s="180">
        <v>0</v>
      </c>
      <c r="AJ467" s="181">
        <f t="shared" si="114"/>
        <v>0</v>
      </c>
      <c r="AK467" s="180">
        <f t="shared" si="120"/>
        <v>1200000</v>
      </c>
      <c r="AL467" s="181">
        <f t="shared" si="115"/>
        <v>100</v>
      </c>
      <c r="AM467" s="243"/>
    </row>
    <row r="468" spans="1:39" ht="33" customHeight="1" x14ac:dyDescent="0.25">
      <c r="A468" s="243"/>
      <c r="B468" s="381"/>
      <c r="C468" s="381"/>
      <c r="D468" s="381"/>
      <c r="E468" s="381"/>
      <c r="F468" s="381"/>
      <c r="G468" s="381"/>
      <c r="H468" s="381"/>
      <c r="I468" s="382"/>
      <c r="J468" s="381" t="s">
        <v>318</v>
      </c>
      <c r="K468" s="245"/>
      <c r="L468" s="257"/>
      <c r="M468" s="591" t="s">
        <v>319</v>
      </c>
      <c r="N468" s="592"/>
      <c r="O468" s="179"/>
      <c r="P468" s="180"/>
      <c r="Q468" s="180">
        <v>36000000</v>
      </c>
      <c r="R468" s="181">
        <f t="shared" si="126"/>
        <v>43.165467625899282</v>
      </c>
      <c r="S468" s="181">
        <v>100</v>
      </c>
      <c r="T468" s="180">
        <f t="shared" si="117"/>
        <v>0</v>
      </c>
      <c r="U468" s="180">
        <f t="shared" si="122"/>
        <v>0</v>
      </c>
      <c r="V468" s="182">
        <f t="shared" si="95"/>
        <v>100</v>
      </c>
      <c r="W468" s="180"/>
      <c r="X468" s="180"/>
      <c r="Y468" s="180"/>
      <c r="Z468" s="180"/>
      <c r="AA468" s="180"/>
      <c r="AB468" s="180"/>
      <c r="AC468" s="180"/>
      <c r="AD468" s="180"/>
      <c r="AE468" s="180"/>
      <c r="AF468" s="180"/>
      <c r="AG468" s="180"/>
      <c r="AH468" s="180"/>
      <c r="AI468" s="180">
        <v>0</v>
      </c>
      <c r="AJ468" s="181">
        <f t="shared" si="114"/>
        <v>0</v>
      </c>
      <c r="AK468" s="180">
        <f t="shared" si="120"/>
        <v>36000000</v>
      </c>
      <c r="AL468" s="181">
        <f t="shared" si="115"/>
        <v>100</v>
      </c>
      <c r="AM468" s="243"/>
    </row>
    <row r="469" spans="1:39" ht="24.75" customHeight="1" x14ac:dyDescent="0.25">
      <c r="A469" s="243"/>
      <c r="B469" s="381"/>
      <c r="C469" s="381"/>
      <c r="D469" s="381"/>
      <c r="E469" s="381"/>
      <c r="F469" s="381"/>
      <c r="G469" s="381"/>
      <c r="H469" s="381"/>
      <c r="I469" s="382"/>
      <c r="J469" s="381" t="s">
        <v>284</v>
      </c>
      <c r="K469" s="245"/>
      <c r="L469" s="257"/>
      <c r="M469" s="591" t="s">
        <v>285</v>
      </c>
      <c r="N469" s="592"/>
      <c r="O469" s="179"/>
      <c r="P469" s="180"/>
      <c r="Q469" s="180">
        <v>10000000</v>
      </c>
      <c r="R469" s="181">
        <f t="shared" si="126"/>
        <v>11.990407673860911</v>
      </c>
      <c r="S469" s="181">
        <v>100</v>
      </c>
      <c r="T469" s="180">
        <f t="shared" si="117"/>
        <v>11</v>
      </c>
      <c r="U469" s="180">
        <f t="shared" si="122"/>
        <v>1.3189448441247003</v>
      </c>
      <c r="V469" s="182">
        <f t="shared" si="95"/>
        <v>89</v>
      </c>
      <c r="W469" s="180"/>
      <c r="X469" s="180"/>
      <c r="Y469" s="180"/>
      <c r="Z469" s="180"/>
      <c r="AA469" s="180"/>
      <c r="AB469" s="180"/>
      <c r="AC469" s="180"/>
      <c r="AD469" s="180"/>
      <c r="AE469" s="180"/>
      <c r="AF469" s="180"/>
      <c r="AG469" s="180"/>
      <c r="AH469" s="180"/>
      <c r="AI469" s="180">
        <v>1100000</v>
      </c>
      <c r="AJ469" s="181">
        <f t="shared" si="114"/>
        <v>11</v>
      </c>
      <c r="AK469" s="180">
        <f t="shared" si="120"/>
        <v>8900000</v>
      </c>
      <c r="AL469" s="181">
        <f t="shared" si="115"/>
        <v>89</v>
      </c>
      <c r="AM469" s="243"/>
    </row>
    <row r="470" spans="1:39" ht="24.75" customHeight="1" x14ac:dyDescent="0.25">
      <c r="A470" s="243"/>
      <c r="B470" s="381"/>
      <c r="C470" s="381"/>
      <c r="D470" s="381"/>
      <c r="E470" s="381"/>
      <c r="F470" s="381"/>
      <c r="G470" s="381"/>
      <c r="H470" s="381"/>
      <c r="I470" s="382"/>
      <c r="J470" s="381"/>
      <c r="K470" s="245"/>
      <c r="L470" s="257"/>
      <c r="M470" s="591" t="s">
        <v>503</v>
      </c>
      <c r="N470" s="592"/>
      <c r="O470" s="179"/>
      <c r="P470" s="180"/>
      <c r="Q470" s="180">
        <v>12000000</v>
      </c>
      <c r="R470" s="181">
        <f t="shared" si="126"/>
        <v>14.388489208633093</v>
      </c>
      <c r="S470" s="181">
        <v>100</v>
      </c>
      <c r="T470" s="180">
        <f t="shared" si="117"/>
        <v>10</v>
      </c>
      <c r="U470" s="180">
        <f t="shared" si="122"/>
        <v>1.4388489208633093</v>
      </c>
      <c r="V470" s="182">
        <f t="shared" si="95"/>
        <v>90</v>
      </c>
      <c r="W470" s="180"/>
      <c r="X470" s="180"/>
      <c r="Y470" s="180"/>
      <c r="Z470" s="180"/>
      <c r="AA470" s="180"/>
      <c r="AB470" s="180"/>
      <c r="AC470" s="180"/>
      <c r="AD470" s="180"/>
      <c r="AE470" s="180"/>
      <c r="AF470" s="180"/>
      <c r="AG470" s="180"/>
      <c r="AH470" s="180"/>
      <c r="AI470" s="180">
        <v>1200000</v>
      </c>
      <c r="AJ470" s="181">
        <f t="shared" si="114"/>
        <v>10</v>
      </c>
      <c r="AK470" s="180">
        <f t="shared" si="120"/>
        <v>10800000</v>
      </c>
      <c r="AL470" s="181">
        <f t="shared" si="115"/>
        <v>90</v>
      </c>
      <c r="AM470" s="243"/>
    </row>
    <row r="471" spans="1:39" ht="24.75" customHeight="1" x14ac:dyDescent="0.25">
      <c r="A471" s="243"/>
      <c r="B471" s="381"/>
      <c r="C471" s="381"/>
      <c r="D471" s="381"/>
      <c r="E471" s="381"/>
      <c r="F471" s="381"/>
      <c r="G471" s="381"/>
      <c r="H471" s="381"/>
      <c r="I471" s="382"/>
      <c r="J471" s="381" t="s">
        <v>320</v>
      </c>
      <c r="K471" s="245"/>
      <c r="L471" s="257"/>
      <c r="M471" s="611" t="s">
        <v>321</v>
      </c>
      <c r="N471" s="598"/>
      <c r="O471" s="179"/>
      <c r="P471" s="180"/>
      <c r="Q471" s="180">
        <v>11600000</v>
      </c>
      <c r="R471" s="181">
        <f t="shared" si="126"/>
        <v>13.908872901678656</v>
      </c>
      <c r="S471" s="181">
        <v>100</v>
      </c>
      <c r="T471" s="180">
        <f t="shared" si="117"/>
        <v>0</v>
      </c>
      <c r="U471" s="180">
        <f t="shared" si="122"/>
        <v>0</v>
      </c>
      <c r="V471" s="182">
        <f t="shared" si="95"/>
        <v>100</v>
      </c>
      <c r="W471" s="180"/>
      <c r="X471" s="180"/>
      <c r="Y471" s="180"/>
      <c r="Z471" s="180"/>
      <c r="AA471" s="180"/>
      <c r="AB471" s="180"/>
      <c r="AC471" s="180"/>
      <c r="AD471" s="180"/>
      <c r="AE471" s="180"/>
      <c r="AF471" s="180"/>
      <c r="AG471" s="180"/>
      <c r="AH471" s="180"/>
      <c r="AI471" s="180">
        <v>0</v>
      </c>
      <c r="AJ471" s="181">
        <f t="shared" ref="AJ471:AJ534" si="127">AI471/Q471*100</f>
        <v>0</v>
      </c>
      <c r="AK471" s="180">
        <f t="shared" si="120"/>
        <v>11600000</v>
      </c>
      <c r="AL471" s="181">
        <f t="shared" ref="AL471:AL508" si="128">AK471/Q471*100</f>
        <v>100</v>
      </c>
      <c r="AM471" s="243"/>
    </row>
    <row r="472" spans="1:39" ht="24.75" customHeight="1" x14ac:dyDescent="0.25">
      <c r="A472" s="243"/>
      <c r="B472" s="381"/>
      <c r="C472" s="381"/>
      <c r="D472" s="381"/>
      <c r="E472" s="381"/>
      <c r="F472" s="381"/>
      <c r="G472" s="381"/>
      <c r="H472" s="381"/>
      <c r="I472" s="382"/>
      <c r="J472" s="381" t="s">
        <v>407</v>
      </c>
      <c r="K472" s="245"/>
      <c r="L472" s="257"/>
      <c r="M472" s="591" t="s">
        <v>414</v>
      </c>
      <c r="N472" s="592"/>
      <c r="O472" s="179"/>
      <c r="P472" s="180"/>
      <c r="Q472" s="180">
        <v>5600000</v>
      </c>
      <c r="R472" s="181">
        <f t="shared" si="126"/>
        <v>6.7146282973621103</v>
      </c>
      <c r="S472" s="181">
        <v>100</v>
      </c>
      <c r="T472" s="180">
        <f t="shared" si="117"/>
        <v>0</v>
      </c>
      <c r="U472" s="180">
        <f t="shared" si="122"/>
        <v>0</v>
      </c>
      <c r="V472" s="182">
        <f t="shared" si="95"/>
        <v>100</v>
      </c>
      <c r="W472" s="180"/>
      <c r="X472" s="180"/>
      <c r="Y472" s="180"/>
      <c r="Z472" s="180"/>
      <c r="AA472" s="180"/>
      <c r="AB472" s="180"/>
      <c r="AC472" s="180"/>
      <c r="AD472" s="180"/>
      <c r="AE472" s="180"/>
      <c r="AF472" s="180"/>
      <c r="AG472" s="180"/>
      <c r="AH472" s="180"/>
      <c r="AI472" s="180">
        <v>0</v>
      </c>
      <c r="AJ472" s="181">
        <f t="shared" si="127"/>
        <v>0</v>
      </c>
      <c r="AK472" s="180">
        <f t="shared" si="120"/>
        <v>5600000</v>
      </c>
      <c r="AL472" s="181">
        <f t="shared" si="128"/>
        <v>100</v>
      </c>
      <c r="AM472" s="243"/>
    </row>
    <row r="473" spans="1:39" ht="33.75" customHeight="1" x14ac:dyDescent="0.25">
      <c r="A473" s="227">
        <v>59</v>
      </c>
      <c r="B473" s="381"/>
      <c r="C473" s="381"/>
      <c r="D473" s="381"/>
      <c r="E473" s="381"/>
      <c r="F473" s="381"/>
      <c r="G473" s="381"/>
      <c r="H473" s="381"/>
      <c r="I473" s="382"/>
      <c r="J473" s="304" t="s">
        <v>511</v>
      </c>
      <c r="K473" s="230"/>
      <c r="L473" s="294"/>
      <c r="M473" s="609" t="s">
        <v>512</v>
      </c>
      <c r="N473" s="609"/>
      <c r="O473" s="309">
        <v>355300000</v>
      </c>
      <c r="P473" s="231">
        <f>O473</f>
        <v>355300000</v>
      </c>
      <c r="Q473" s="231">
        <f>SUM(Q474:Q479)</f>
        <v>14850000</v>
      </c>
      <c r="R473" s="233">
        <f>Q473/Q$245*100</f>
        <v>0.12449860247111945</v>
      </c>
      <c r="S473" s="233">
        <v>100</v>
      </c>
      <c r="T473" s="231">
        <f t="shared" si="117"/>
        <v>0</v>
      </c>
      <c r="U473" s="231">
        <f t="shared" si="122"/>
        <v>0</v>
      </c>
      <c r="V473" s="296">
        <f t="shared" si="95"/>
        <v>100</v>
      </c>
      <c r="W473" s="231"/>
      <c r="X473" s="231" t="e">
        <f>#REF!</f>
        <v>#REF!</v>
      </c>
      <c r="Y473" s="231" t="e">
        <f>#REF!</f>
        <v>#REF!</v>
      </c>
      <c r="Z473" s="231" t="e">
        <f>#REF!</f>
        <v>#REF!</v>
      </c>
      <c r="AA473" s="231" t="e">
        <f>#REF!</f>
        <v>#REF!</v>
      </c>
      <c r="AB473" s="231">
        <v>131395500</v>
      </c>
      <c r="AC473" s="231" t="e">
        <f>#REF!</f>
        <v>#REF!</v>
      </c>
      <c r="AD473" s="231" t="e">
        <f>#REF!</f>
        <v>#REF!</v>
      </c>
      <c r="AE473" s="231" t="e">
        <f>#REF!</f>
        <v>#REF!</v>
      </c>
      <c r="AF473" s="231" t="e">
        <f>[1]April!N80</f>
        <v>#REF!</v>
      </c>
      <c r="AG473" s="231" t="e">
        <f>[2]april!N90</f>
        <v>#REF!</v>
      </c>
      <c r="AH473" s="231" t="e">
        <f>'[3]DES SKPD'!$N90</f>
        <v>#REF!</v>
      </c>
      <c r="AI473" s="231">
        <f>SUM(AI474:AI479)</f>
        <v>0</v>
      </c>
      <c r="AJ473" s="233">
        <f t="shared" si="127"/>
        <v>0</v>
      </c>
      <c r="AK473" s="231">
        <f t="shared" si="120"/>
        <v>14850000</v>
      </c>
      <c r="AL473" s="233">
        <f t="shared" si="128"/>
        <v>100</v>
      </c>
      <c r="AM473" s="227"/>
    </row>
    <row r="474" spans="1:39" ht="24.75" customHeight="1" x14ac:dyDescent="0.25">
      <c r="A474" s="243"/>
      <c r="B474" s="381"/>
      <c r="C474" s="381"/>
      <c r="D474" s="381"/>
      <c r="E474" s="381"/>
      <c r="F474" s="381"/>
      <c r="G474" s="381"/>
      <c r="H474" s="381"/>
      <c r="I474" s="382"/>
      <c r="J474" s="381" t="s">
        <v>257</v>
      </c>
      <c r="K474" s="245"/>
      <c r="L474" s="257"/>
      <c r="M474" s="591" t="s">
        <v>260</v>
      </c>
      <c r="N474" s="592"/>
      <c r="O474" s="179"/>
      <c r="P474" s="180"/>
      <c r="Q474" s="180">
        <v>650000</v>
      </c>
      <c r="R474" s="181">
        <f t="shared" ref="R474:R479" si="129">Q474/Q$473*100</f>
        <v>4.3771043771043772</v>
      </c>
      <c r="S474" s="181">
        <v>100</v>
      </c>
      <c r="T474" s="180">
        <f t="shared" si="117"/>
        <v>0</v>
      </c>
      <c r="U474" s="180">
        <f t="shared" si="122"/>
        <v>0</v>
      </c>
      <c r="V474" s="182">
        <f t="shared" si="95"/>
        <v>100</v>
      </c>
      <c r="W474" s="180"/>
      <c r="X474" s="180"/>
      <c r="Y474" s="180"/>
      <c r="Z474" s="180"/>
      <c r="AA474" s="180"/>
      <c r="AB474" s="180"/>
      <c r="AC474" s="180"/>
      <c r="AD474" s="180"/>
      <c r="AE474" s="180"/>
      <c r="AF474" s="180"/>
      <c r="AG474" s="180"/>
      <c r="AH474" s="180"/>
      <c r="AI474" s="180">
        <v>0</v>
      </c>
      <c r="AJ474" s="181">
        <f t="shared" si="127"/>
        <v>0</v>
      </c>
      <c r="AK474" s="180">
        <f t="shared" si="120"/>
        <v>650000</v>
      </c>
      <c r="AL474" s="181">
        <f t="shared" si="128"/>
        <v>100</v>
      </c>
      <c r="AM474" s="243"/>
    </row>
    <row r="475" spans="1:39" ht="24.75" customHeight="1" x14ac:dyDescent="0.25">
      <c r="A475" s="243"/>
      <c r="B475" s="381"/>
      <c r="C475" s="381"/>
      <c r="D475" s="381"/>
      <c r="E475" s="381"/>
      <c r="F475" s="381"/>
      <c r="G475" s="381"/>
      <c r="H475" s="381"/>
      <c r="I475" s="382"/>
      <c r="J475" s="381" t="s">
        <v>326</v>
      </c>
      <c r="K475" s="245"/>
      <c r="L475" s="257"/>
      <c r="M475" s="591" t="s">
        <v>351</v>
      </c>
      <c r="N475" s="592"/>
      <c r="O475" s="179"/>
      <c r="P475" s="180"/>
      <c r="Q475" s="180">
        <v>250000</v>
      </c>
      <c r="R475" s="181">
        <f t="shared" si="129"/>
        <v>1.6835016835016834</v>
      </c>
      <c r="S475" s="181">
        <v>100</v>
      </c>
      <c r="T475" s="180">
        <f t="shared" si="117"/>
        <v>0</v>
      </c>
      <c r="U475" s="180">
        <f t="shared" si="122"/>
        <v>0</v>
      </c>
      <c r="V475" s="182">
        <f t="shared" si="95"/>
        <v>100</v>
      </c>
      <c r="W475" s="180"/>
      <c r="X475" s="180"/>
      <c r="Y475" s="180"/>
      <c r="Z475" s="180"/>
      <c r="AA475" s="180"/>
      <c r="AB475" s="180"/>
      <c r="AC475" s="180"/>
      <c r="AD475" s="180"/>
      <c r="AE475" s="180"/>
      <c r="AF475" s="180"/>
      <c r="AG475" s="180"/>
      <c r="AH475" s="180"/>
      <c r="AI475" s="180">
        <v>0</v>
      </c>
      <c r="AJ475" s="181">
        <f t="shared" si="127"/>
        <v>0</v>
      </c>
      <c r="AK475" s="180">
        <f t="shared" si="120"/>
        <v>250000</v>
      </c>
      <c r="AL475" s="181">
        <f t="shared" si="128"/>
        <v>100</v>
      </c>
      <c r="AM475" s="243"/>
    </row>
    <row r="476" spans="1:39" ht="24.75" customHeight="1" x14ac:dyDescent="0.25">
      <c r="A476" s="243"/>
      <c r="B476" s="381"/>
      <c r="C476" s="381"/>
      <c r="D476" s="381"/>
      <c r="E476" s="381"/>
      <c r="F476" s="381"/>
      <c r="G476" s="381"/>
      <c r="H476" s="381"/>
      <c r="I476" s="382"/>
      <c r="J476" s="381" t="s">
        <v>315</v>
      </c>
      <c r="K476" s="245"/>
      <c r="L476" s="257"/>
      <c r="M476" s="591" t="s">
        <v>271</v>
      </c>
      <c r="N476" s="592"/>
      <c r="O476" s="179"/>
      <c r="P476" s="180"/>
      <c r="Q476" s="180">
        <v>250000</v>
      </c>
      <c r="R476" s="181">
        <f t="shared" si="129"/>
        <v>1.6835016835016834</v>
      </c>
      <c r="S476" s="181">
        <v>100</v>
      </c>
      <c r="T476" s="180">
        <f t="shared" si="117"/>
        <v>0</v>
      </c>
      <c r="U476" s="180">
        <f t="shared" si="122"/>
        <v>0</v>
      </c>
      <c r="V476" s="182">
        <f t="shared" si="95"/>
        <v>100</v>
      </c>
      <c r="W476" s="180"/>
      <c r="X476" s="180"/>
      <c r="Y476" s="180"/>
      <c r="Z476" s="180"/>
      <c r="AA476" s="180"/>
      <c r="AB476" s="180"/>
      <c r="AC476" s="180"/>
      <c r="AD476" s="180"/>
      <c r="AE476" s="180"/>
      <c r="AF476" s="180"/>
      <c r="AG476" s="180"/>
      <c r="AH476" s="180"/>
      <c r="AI476" s="180">
        <v>0</v>
      </c>
      <c r="AJ476" s="181">
        <f t="shared" si="127"/>
        <v>0</v>
      </c>
      <c r="AK476" s="180">
        <f t="shared" si="120"/>
        <v>250000</v>
      </c>
      <c r="AL476" s="181">
        <f t="shared" si="128"/>
        <v>100</v>
      </c>
      <c r="AM476" s="243"/>
    </row>
    <row r="477" spans="1:39" ht="29.25" customHeight="1" x14ac:dyDescent="0.25">
      <c r="A477" s="243"/>
      <c r="B477" s="381"/>
      <c r="C477" s="381"/>
      <c r="D477" s="381"/>
      <c r="E477" s="381"/>
      <c r="F477" s="381"/>
      <c r="G477" s="381"/>
      <c r="H477" s="381"/>
      <c r="I477" s="382"/>
      <c r="J477" s="381" t="s">
        <v>318</v>
      </c>
      <c r="K477" s="245"/>
      <c r="L477" s="257"/>
      <c r="M477" s="591" t="s">
        <v>329</v>
      </c>
      <c r="N477" s="592"/>
      <c r="O477" s="179"/>
      <c r="P477" s="180"/>
      <c r="Q477" s="180">
        <v>5000000</v>
      </c>
      <c r="R477" s="181">
        <f t="shared" si="129"/>
        <v>33.670033670033675</v>
      </c>
      <c r="S477" s="181">
        <v>100</v>
      </c>
      <c r="T477" s="180">
        <f t="shared" si="117"/>
        <v>0</v>
      </c>
      <c r="U477" s="180">
        <f t="shared" si="122"/>
        <v>0</v>
      </c>
      <c r="V477" s="182">
        <f t="shared" si="95"/>
        <v>100</v>
      </c>
      <c r="W477" s="180"/>
      <c r="X477" s="180"/>
      <c r="Y477" s="180"/>
      <c r="Z477" s="180"/>
      <c r="AA477" s="180"/>
      <c r="AB477" s="180"/>
      <c r="AC477" s="180"/>
      <c r="AD477" s="180"/>
      <c r="AE477" s="180"/>
      <c r="AF477" s="180"/>
      <c r="AG477" s="180"/>
      <c r="AH477" s="180"/>
      <c r="AI477" s="180">
        <v>0</v>
      </c>
      <c r="AJ477" s="181">
        <f t="shared" si="127"/>
        <v>0</v>
      </c>
      <c r="AK477" s="180">
        <f t="shared" si="120"/>
        <v>5000000</v>
      </c>
      <c r="AL477" s="181">
        <f t="shared" si="128"/>
        <v>100</v>
      </c>
      <c r="AM477" s="243"/>
    </row>
    <row r="478" spans="1:39" ht="29.25" customHeight="1" x14ac:dyDescent="0.25">
      <c r="A478" s="243"/>
      <c r="B478" s="381"/>
      <c r="C478" s="381"/>
      <c r="D478" s="381"/>
      <c r="E478" s="381"/>
      <c r="F478" s="381"/>
      <c r="G478" s="381"/>
      <c r="H478" s="381"/>
      <c r="I478" s="382"/>
      <c r="J478" s="381" t="s">
        <v>284</v>
      </c>
      <c r="K478" s="245"/>
      <c r="L478" s="257"/>
      <c r="M478" s="591" t="s">
        <v>285</v>
      </c>
      <c r="N478" s="592"/>
      <c r="O478" s="179"/>
      <c r="P478" s="180"/>
      <c r="Q478" s="180">
        <v>2200000</v>
      </c>
      <c r="R478" s="181">
        <f t="shared" si="129"/>
        <v>14.814814814814813</v>
      </c>
      <c r="S478" s="181">
        <v>100</v>
      </c>
      <c r="T478" s="180">
        <f t="shared" si="117"/>
        <v>0</v>
      </c>
      <c r="U478" s="180">
        <f t="shared" si="122"/>
        <v>0</v>
      </c>
      <c r="V478" s="182">
        <f t="shared" si="95"/>
        <v>100</v>
      </c>
      <c r="W478" s="180"/>
      <c r="X478" s="180"/>
      <c r="Y478" s="180"/>
      <c r="Z478" s="180"/>
      <c r="AA478" s="180"/>
      <c r="AB478" s="180"/>
      <c r="AC478" s="180"/>
      <c r="AD478" s="180"/>
      <c r="AE478" s="180"/>
      <c r="AF478" s="180"/>
      <c r="AG478" s="180"/>
      <c r="AH478" s="180"/>
      <c r="AI478" s="180">
        <v>0</v>
      </c>
      <c r="AJ478" s="181">
        <f t="shared" si="127"/>
        <v>0</v>
      </c>
      <c r="AK478" s="180">
        <f t="shared" si="120"/>
        <v>2200000</v>
      </c>
      <c r="AL478" s="181">
        <f t="shared" si="128"/>
        <v>100</v>
      </c>
      <c r="AM478" s="243"/>
    </row>
    <row r="479" spans="1:39" ht="24.75" customHeight="1" x14ac:dyDescent="0.25">
      <c r="A479" s="243"/>
      <c r="B479" s="381"/>
      <c r="C479" s="381"/>
      <c r="D479" s="381"/>
      <c r="E479" s="381"/>
      <c r="F479" s="381"/>
      <c r="G479" s="381"/>
      <c r="H479" s="381"/>
      <c r="I479" s="382"/>
      <c r="J479" s="381" t="s">
        <v>282</v>
      </c>
      <c r="K479" s="245"/>
      <c r="L479" s="257"/>
      <c r="M479" s="616" t="s">
        <v>418</v>
      </c>
      <c r="N479" s="617"/>
      <c r="O479" s="179"/>
      <c r="P479" s="180"/>
      <c r="Q479" s="180">
        <v>6500000</v>
      </c>
      <c r="R479" s="181">
        <f t="shared" si="129"/>
        <v>43.771043771043772</v>
      </c>
      <c r="S479" s="181">
        <v>100</v>
      </c>
      <c r="T479" s="180">
        <f t="shared" si="117"/>
        <v>0</v>
      </c>
      <c r="U479" s="180">
        <f t="shared" si="122"/>
        <v>0</v>
      </c>
      <c r="V479" s="182">
        <f t="shared" si="95"/>
        <v>100</v>
      </c>
      <c r="W479" s="180"/>
      <c r="X479" s="180"/>
      <c r="Y479" s="180"/>
      <c r="Z479" s="180"/>
      <c r="AA479" s="180"/>
      <c r="AB479" s="180"/>
      <c r="AC479" s="180"/>
      <c r="AD479" s="180"/>
      <c r="AE479" s="180"/>
      <c r="AF479" s="180"/>
      <c r="AG479" s="180"/>
      <c r="AH479" s="180"/>
      <c r="AI479" s="180">
        <v>0</v>
      </c>
      <c r="AJ479" s="181">
        <f t="shared" si="127"/>
        <v>0</v>
      </c>
      <c r="AK479" s="180">
        <f t="shared" si="120"/>
        <v>6500000</v>
      </c>
      <c r="AL479" s="181">
        <f t="shared" si="128"/>
        <v>100</v>
      </c>
      <c r="AM479" s="243"/>
    </row>
    <row r="480" spans="1:39" ht="30.75" customHeight="1" x14ac:dyDescent="0.25">
      <c r="A480" s="227">
        <v>60</v>
      </c>
      <c r="B480" s="381"/>
      <c r="C480" s="381"/>
      <c r="D480" s="381"/>
      <c r="E480" s="381"/>
      <c r="F480" s="381"/>
      <c r="G480" s="381"/>
      <c r="H480" s="381"/>
      <c r="I480" s="382"/>
      <c r="J480" s="304" t="s">
        <v>513</v>
      </c>
      <c r="M480" s="609" t="s">
        <v>160</v>
      </c>
      <c r="N480" s="609"/>
      <c r="O480" s="309">
        <v>355300000</v>
      </c>
      <c r="P480" s="231">
        <f>O480</f>
        <v>355300000</v>
      </c>
      <c r="Q480" s="231">
        <f>SUM(Q481:Q486)</f>
        <v>241740393</v>
      </c>
      <c r="R480" s="233">
        <f>Q480/Q$245*100</f>
        <v>2.0266896356443893</v>
      </c>
      <c r="S480" s="233">
        <v>100</v>
      </c>
      <c r="T480" s="231">
        <f t="shared" si="117"/>
        <v>8.1074576560318583</v>
      </c>
      <c r="U480" s="231">
        <f t="shared" si="122"/>
        <v>0.16431300402905522</v>
      </c>
      <c r="V480" s="296">
        <f t="shared" si="95"/>
        <v>91.892542343968145</v>
      </c>
      <c r="W480" s="231"/>
      <c r="X480" s="231" t="e">
        <f>#REF!</f>
        <v>#REF!</v>
      </c>
      <c r="Y480" s="231" t="e">
        <f>#REF!</f>
        <v>#REF!</v>
      </c>
      <c r="Z480" s="231" t="e">
        <f>#REF!</f>
        <v>#REF!</v>
      </c>
      <c r="AA480" s="231" t="e">
        <f>#REF!</f>
        <v>#REF!</v>
      </c>
      <c r="AB480" s="231">
        <v>131395500</v>
      </c>
      <c r="AC480" s="231" t="e">
        <f>#REF!</f>
        <v>#REF!</v>
      </c>
      <c r="AD480" s="231" t="e">
        <f>#REF!</f>
        <v>#REF!</v>
      </c>
      <c r="AE480" s="231" t="e">
        <f>#REF!</f>
        <v>#REF!</v>
      </c>
      <c r="AF480" s="231" t="e">
        <f>[1]April!N89</f>
        <v>#REF!</v>
      </c>
      <c r="AG480" s="231" t="e">
        <f>[2]april!N99</f>
        <v>#REF!</v>
      </c>
      <c r="AH480" s="231" t="e">
        <f>'[3]DES SKPD'!$N99</f>
        <v>#REF!</v>
      </c>
      <c r="AI480" s="231">
        <f>SUM(AI481:AI486)</f>
        <v>19599000</v>
      </c>
      <c r="AJ480" s="233">
        <f t="shared" si="127"/>
        <v>8.1074576560318583</v>
      </c>
      <c r="AK480" s="231">
        <f>Q480-AI480</f>
        <v>222141393</v>
      </c>
      <c r="AL480" s="233">
        <f>AK480/Q480*100</f>
        <v>91.892542343968145</v>
      </c>
      <c r="AM480" s="243"/>
    </row>
    <row r="481" spans="1:39" ht="24.75" customHeight="1" x14ac:dyDescent="0.25">
      <c r="A481" s="243"/>
      <c r="B481" s="381"/>
      <c r="C481" s="381"/>
      <c r="D481" s="381"/>
      <c r="E481" s="381"/>
      <c r="F481" s="381"/>
      <c r="G481" s="381"/>
      <c r="H481" s="381"/>
      <c r="I481" s="382"/>
      <c r="J481" s="381" t="s">
        <v>257</v>
      </c>
      <c r="K481" s="245"/>
      <c r="L481" s="257"/>
      <c r="M481" s="591" t="s">
        <v>324</v>
      </c>
      <c r="N481" s="592"/>
      <c r="O481" s="179"/>
      <c r="P481" s="180"/>
      <c r="Q481" s="180">
        <v>15000000</v>
      </c>
      <c r="R481" s="181">
        <f>Q481/Q480*100</f>
        <v>6.2050035634714966</v>
      </c>
      <c r="S481" s="181">
        <v>100</v>
      </c>
      <c r="T481" s="180">
        <f t="shared" si="117"/>
        <v>33.333333333333329</v>
      </c>
      <c r="U481" s="180">
        <f t="shared" si="122"/>
        <v>2.0683345211571651</v>
      </c>
      <c r="V481" s="182">
        <f t="shared" si="95"/>
        <v>66.666666666666671</v>
      </c>
      <c r="W481" s="180"/>
      <c r="X481" s="180"/>
      <c r="Y481" s="180"/>
      <c r="Z481" s="180"/>
      <c r="AA481" s="180"/>
      <c r="AB481" s="180"/>
      <c r="AC481" s="180"/>
      <c r="AD481" s="180"/>
      <c r="AE481" s="180"/>
      <c r="AF481" s="180"/>
      <c r="AG481" s="180"/>
      <c r="AH481" s="180"/>
      <c r="AI481" s="180">
        <v>5000000</v>
      </c>
      <c r="AJ481" s="181">
        <f t="shared" si="127"/>
        <v>33.333333333333329</v>
      </c>
      <c r="AK481" s="180">
        <f t="shared" si="120"/>
        <v>10000000</v>
      </c>
      <c r="AL481" s="181">
        <f t="shared" si="128"/>
        <v>66.666666666666657</v>
      </c>
      <c r="AM481" s="243"/>
    </row>
    <row r="482" spans="1:39" ht="24.75" customHeight="1" x14ac:dyDescent="0.25">
      <c r="A482" s="243"/>
      <c r="B482" s="381"/>
      <c r="C482" s="381"/>
      <c r="D482" s="381"/>
      <c r="E482" s="381"/>
      <c r="F482" s="381"/>
      <c r="G482" s="381"/>
      <c r="H482" s="381"/>
      <c r="I482" s="382"/>
      <c r="J482" s="381" t="s">
        <v>326</v>
      </c>
      <c r="K482" s="245"/>
      <c r="L482" s="257"/>
      <c r="M482" s="591" t="s">
        <v>428</v>
      </c>
      <c r="N482" s="592"/>
      <c r="O482" s="179"/>
      <c r="P482" s="180"/>
      <c r="Q482" s="180">
        <v>8000000</v>
      </c>
      <c r="R482" s="181">
        <f>Q482/Q480*100</f>
        <v>3.3093352338514648</v>
      </c>
      <c r="S482" s="181">
        <v>100</v>
      </c>
      <c r="T482" s="180">
        <f t="shared" si="117"/>
        <v>12.1875</v>
      </c>
      <c r="U482" s="180">
        <f t="shared" si="122"/>
        <v>0.40332523162564726</v>
      </c>
      <c r="V482" s="182">
        <f t="shared" si="95"/>
        <v>87.8125</v>
      </c>
      <c r="W482" s="180"/>
      <c r="X482" s="180"/>
      <c r="Y482" s="180"/>
      <c r="Z482" s="180"/>
      <c r="AA482" s="180"/>
      <c r="AB482" s="180"/>
      <c r="AC482" s="180"/>
      <c r="AD482" s="180"/>
      <c r="AE482" s="180"/>
      <c r="AF482" s="180"/>
      <c r="AG482" s="180"/>
      <c r="AH482" s="180"/>
      <c r="AI482" s="180">
        <v>975000</v>
      </c>
      <c r="AJ482" s="181">
        <f t="shared" si="127"/>
        <v>12.1875</v>
      </c>
      <c r="AK482" s="180">
        <f t="shared" si="120"/>
        <v>7025000</v>
      </c>
      <c r="AL482" s="181">
        <f t="shared" si="128"/>
        <v>87.8125</v>
      </c>
      <c r="AM482" s="243"/>
    </row>
    <row r="483" spans="1:39" ht="24.75" customHeight="1" x14ac:dyDescent="0.25">
      <c r="A483" s="227"/>
      <c r="B483" s="381"/>
      <c r="C483" s="381"/>
      <c r="D483" s="381"/>
      <c r="E483" s="381"/>
      <c r="F483" s="381"/>
      <c r="G483" s="381"/>
      <c r="H483" s="381"/>
      <c r="I483" s="382"/>
      <c r="J483" s="381" t="s">
        <v>315</v>
      </c>
      <c r="K483" s="245"/>
      <c r="L483" s="257"/>
      <c r="M483" s="591" t="s">
        <v>329</v>
      </c>
      <c r="N483" s="592"/>
      <c r="O483" s="179"/>
      <c r="P483" s="180"/>
      <c r="Q483" s="180">
        <v>24000000</v>
      </c>
      <c r="R483" s="181">
        <f>Q483/Q480*100</f>
        <v>9.9280057015543939</v>
      </c>
      <c r="S483" s="181">
        <v>100</v>
      </c>
      <c r="T483" s="180">
        <f t="shared" si="117"/>
        <v>33.333333333333329</v>
      </c>
      <c r="U483" s="180">
        <f t="shared" si="122"/>
        <v>3.3093352338514643</v>
      </c>
      <c r="V483" s="182">
        <f t="shared" si="95"/>
        <v>66.666666666666671</v>
      </c>
      <c r="W483" s="180"/>
      <c r="X483" s="180"/>
      <c r="Y483" s="180"/>
      <c r="Z483" s="180"/>
      <c r="AA483" s="180"/>
      <c r="AB483" s="180"/>
      <c r="AC483" s="180"/>
      <c r="AD483" s="180"/>
      <c r="AE483" s="180"/>
      <c r="AF483" s="180"/>
      <c r="AG483" s="180"/>
      <c r="AH483" s="180"/>
      <c r="AI483" s="180">
        <v>8000000</v>
      </c>
      <c r="AJ483" s="181">
        <f t="shared" si="127"/>
        <v>33.333333333333329</v>
      </c>
      <c r="AK483" s="180">
        <f t="shared" si="120"/>
        <v>16000000</v>
      </c>
      <c r="AL483" s="181">
        <f t="shared" si="128"/>
        <v>66.666666666666657</v>
      </c>
      <c r="AM483" s="243"/>
    </row>
    <row r="484" spans="1:39" ht="24.75" customHeight="1" x14ac:dyDescent="0.25">
      <c r="A484" s="243"/>
      <c r="B484" s="381"/>
      <c r="C484" s="381"/>
      <c r="D484" s="381"/>
      <c r="E484" s="381"/>
      <c r="F484" s="381"/>
      <c r="G484" s="381"/>
      <c r="H484" s="381"/>
      <c r="I484" s="382"/>
      <c r="J484" s="381" t="s">
        <v>280</v>
      </c>
      <c r="K484" s="245"/>
      <c r="L484" s="257"/>
      <c r="M484" s="591" t="s">
        <v>585</v>
      </c>
      <c r="N484" s="592"/>
      <c r="O484" s="179"/>
      <c r="P484" s="180"/>
      <c r="Q484" s="180">
        <v>15000000</v>
      </c>
      <c r="R484" s="181">
        <f>Q484/Q480*100</f>
        <v>6.2050035634714966</v>
      </c>
      <c r="S484" s="181">
        <v>100</v>
      </c>
      <c r="T484" s="180">
        <f t="shared" si="117"/>
        <v>20.533333333333335</v>
      </c>
      <c r="U484" s="180">
        <f t="shared" si="122"/>
        <v>1.2740940650328141</v>
      </c>
      <c r="V484" s="182">
        <f t="shared" si="95"/>
        <v>79.466666666666669</v>
      </c>
      <c r="W484" s="180"/>
      <c r="X484" s="180"/>
      <c r="Y484" s="180"/>
      <c r="Z484" s="180"/>
      <c r="AA484" s="180"/>
      <c r="AB484" s="180"/>
      <c r="AC484" s="180"/>
      <c r="AD484" s="180"/>
      <c r="AE484" s="180"/>
      <c r="AF484" s="180"/>
      <c r="AG484" s="180"/>
      <c r="AH484" s="180"/>
      <c r="AI484" s="180">
        <v>3080000</v>
      </c>
      <c r="AJ484" s="181">
        <f t="shared" si="127"/>
        <v>20.533333333333335</v>
      </c>
      <c r="AK484" s="180">
        <f t="shared" si="120"/>
        <v>11920000</v>
      </c>
      <c r="AL484" s="181">
        <f t="shared" si="128"/>
        <v>79.466666666666669</v>
      </c>
      <c r="AM484" s="243"/>
    </row>
    <row r="485" spans="1:39" ht="24.75" customHeight="1" x14ac:dyDescent="0.25">
      <c r="A485" s="243"/>
      <c r="B485" s="381"/>
      <c r="C485" s="381"/>
      <c r="D485" s="381"/>
      <c r="E485" s="381"/>
      <c r="F485" s="381"/>
      <c r="G485" s="381"/>
      <c r="H485" s="381"/>
      <c r="I485" s="382"/>
      <c r="J485" s="381" t="s">
        <v>284</v>
      </c>
      <c r="K485" s="245"/>
      <c r="L485" s="257"/>
      <c r="M485" s="591" t="s">
        <v>503</v>
      </c>
      <c r="N485" s="592"/>
      <c r="O485" s="179"/>
      <c r="P485" s="180"/>
      <c r="Q485" s="180">
        <v>29740393</v>
      </c>
      <c r="R485" s="181">
        <f>Q485/Q480*100</f>
        <v>12.302616302936183</v>
      </c>
      <c r="S485" s="181">
        <v>100</v>
      </c>
      <c r="T485" s="180">
        <f t="shared" si="117"/>
        <v>8.5540228066253192</v>
      </c>
      <c r="U485" s="180">
        <f t="shared" si="122"/>
        <v>1.0523686043647658</v>
      </c>
      <c r="V485" s="182">
        <f t="shared" si="95"/>
        <v>91.445977193374688</v>
      </c>
      <c r="W485" s="180"/>
      <c r="X485" s="180"/>
      <c r="Y485" s="180"/>
      <c r="Z485" s="180"/>
      <c r="AA485" s="180"/>
      <c r="AB485" s="180"/>
      <c r="AC485" s="180"/>
      <c r="AD485" s="180"/>
      <c r="AE485" s="180"/>
      <c r="AF485" s="180"/>
      <c r="AG485" s="180"/>
      <c r="AH485" s="180"/>
      <c r="AI485" s="180">
        <v>2544000</v>
      </c>
      <c r="AJ485" s="181">
        <f t="shared" si="127"/>
        <v>8.5540228066253192</v>
      </c>
      <c r="AK485" s="180">
        <f t="shared" si="120"/>
        <v>27196393</v>
      </c>
      <c r="AL485" s="181">
        <f t="shared" si="128"/>
        <v>91.445977193374688</v>
      </c>
      <c r="AM485" s="243"/>
    </row>
    <row r="486" spans="1:39" ht="24.75" customHeight="1" x14ac:dyDescent="0.25">
      <c r="A486" s="243"/>
      <c r="B486" s="381"/>
      <c r="C486" s="381"/>
      <c r="D486" s="381"/>
      <c r="E486" s="381"/>
      <c r="F486" s="381"/>
      <c r="G486" s="381"/>
      <c r="H486" s="381"/>
      <c r="I486" s="382"/>
      <c r="J486" s="381" t="s">
        <v>282</v>
      </c>
      <c r="K486" s="245"/>
      <c r="L486" s="257"/>
      <c r="M486" s="591" t="s">
        <v>591</v>
      </c>
      <c r="N486" s="592"/>
      <c r="O486" s="179"/>
      <c r="P486" s="180"/>
      <c r="Q486" s="180">
        <v>150000000</v>
      </c>
      <c r="R486" s="181">
        <f>Q486/Q480*100</f>
        <v>62.050035634714959</v>
      </c>
      <c r="S486" s="181">
        <v>100</v>
      </c>
      <c r="T486" s="180">
        <f t="shared" si="117"/>
        <v>0</v>
      </c>
      <c r="U486" s="180">
        <f t="shared" si="122"/>
        <v>0</v>
      </c>
      <c r="V486" s="182">
        <f t="shared" si="95"/>
        <v>100</v>
      </c>
      <c r="W486" s="180"/>
      <c r="X486" s="180"/>
      <c r="Y486" s="180"/>
      <c r="Z486" s="180"/>
      <c r="AA486" s="180"/>
      <c r="AB486" s="180"/>
      <c r="AC486" s="180"/>
      <c r="AD486" s="180"/>
      <c r="AE486" s="180"/>
      <c r="AF486" s="180"/>
      <c r="AG486" s="180"/>
      <c r="AH486" s="180"/>
      <c r="AI486" s="180">
        <v>0</v>
      </c>
      <c r="AJ486" s="181">
        <f t="shared" si="127"/>
        <v>0</v>
      </c>
      <c r="AK486" s="180">
        <f t="shared" si="120"/>
        <v>150000000</v>
      </c>
      <c r="AL486" s="181">
        <f t="shared" si="128"/>
        <v>100</v>
      </c>
      <c r="AM486" s="243"/>
    </row>
    <row r="487" spans="1:39" s="297" customFormat="1" ht="27.75" customHeight="1" x14ac:dyDescent="0.25">
      <c r="A487" s="227">
        <v>61</v>
      </c>
      <c r="B487" s="393"/>
      <c r="C487" s="393"/>
      <c r="D487" s="393"/>
      <c r="E487" s="393"/>
      <c r="F487" s="393"/>
      <c r="G487" s="393"/>
      <c r="H487" s="393"/>
      <c r="I487" s="394"/>
      <c r="J487" s="304" t="s">
        <v>514</v>
      </c>
      <c r="K487" s="230"/>
      <c r="L487" s="294"/>
      <c r="M487" s="610" t="s">
        <v>200</v>
      </c>
      <c r="N487" s="612"/>
      <c r="O487" s="309"/>
      <c r="P487" s="231"/>
      <c r="Q487" s="231">
        <f>SUM(Q488:Q491)</f>
        <v>395380000</v>
      </c>
      <c r="R487" s="233">
        <f>Q487/Q$245*100</f>
        <v>3.3147648111132124</v>
      </c>
      <c r="S487" s="233">
        <v>100</v>
      </c>
      <c r="T487" s="231">
        <f t="shared" si="117"/>
        <v>34.798320602964239</v>
      </c>
      <c r="U487" s="231">
        <f t="shared" si="122"/>
        <v>1.1534824862054176</v>
      </c>
      <c r="V487" s="296">
        <f t="shared" si="95"/>
        <v>65.201679397035761</v>
      </c>
      <c r="W487" s="231"/>
      <c r="X487" s="231"/>
      <c r="Y487" s="231"/>
      <c r="Z487" s="231"/>
      <c r="AA487" s="231"/>
      <c r="AB487" s="231"/>
      <c r="AC487" s="231"/>
      <c r="AD487" s="231"/>
      <c r="AE487" s="231"/>
      <c r="AF487" s="231"/>
      <c r="AG487" s="231"/>
      <c r="AH487" s="231"/>
      <c r="AI487" s="231">
        <f>SUM(AI488:AI491)</f>
        <v>137585600</v>
      </c>
      <c r="AJ487" s="233">
        <f t="shared" si="127"/>
        <v>34.798320602964239</v>
      </c>
      <c r="AK487" s="231">
        <f t="shared" ref="AK487:AK492" si="130">Q487-AI487</f>
        <v>257794400</v>
      </c>
      <c r="AL487" s="233">
        <f t="shared" si="128"/>
        <v>65.201679397035761</v>
      </c>
      <c r="AM487" s="227"/>
    </row>
    <row r="488" spans="1:39" ht="29.25" customHeight="1" x14ac:dyDescent="0.25">
      <c r="A488" s="243"/>
      <c r="B488" s="381"/>
      <c r="C488" s="381"/>
      <c r="D488" s="381"/>
      <c r="E488" s="381"/>
      <c r="F488" s="381"/>
      <c r="G488" s="381"/>
      <c r="H488" s="381"/>
      <c r="I488" s="382"/>
      <c r="J488" s="381" t="s">
        <v>315</v>
      </c>
      <c r="K488" s="245"/>
      <c r="L488" s="257"/>
      <c r="M488" s="591" t="s">
        <v>271</v>
      </c>
      <c r="N488" s="592"/>
      <c r="O488" s="179"/>
      <c r="P488" s="180"/>
      <c r="Q488" s="180">
        <v>20295000</v>
      </c>
      <c r="R488" s="181">
        <f>Q488/Q$487*100</f>
        <v>5.1330365724113509</v>
      </c>
      <c r="S488" s="181">
        <v>100</v>
      </c>
      <c r="T488" s="180">
        <f t="shared" si="117"/>
        <v>99.744271988174432</v>
      </c>
      <c r="U488" s="180">
        <f t="shared" si="122"/>
        <v>5.1199099600384441</v>
      </c>
      <c r="V488" s="182">
        <f t="shared" si="95"/>
        <v>0.25572801182556759</v>
      </c>
      <c r="W488" s="180"/>
      <c r="X488" s="180"/>
      <c r="Y488" s="180"/>
      <c r="Z488" s="180"/>
      <c r="AA488" s="180"/>
      <c r="AB488" s="180"/>
      <c r="AC488" s="180"/>
      <c r="AD488" s="180"/>
      <c r="AE488" s="180"/>
      <c r="AF488" s="180"/>
      <c r="AG488" s="180"/>
      <c r="AH488" s="180"/>
      <c r="AI488" s="180">
        <v>20243100</v>
      </c>
      <c r="AJ488" s="181">
        <f t="shared" si="127"/>
        <v>99.744271988174432</v>
      </c>
      <c r="AK488" s="180">
        <f t="shared" si="130"/>
        <v>51900</v>
      </c>
      <c r="AL488" s="181">
        <f t="shared" si="128"/>
        <v>0.25572801182557281</v>
      </c>
      <c r="AM488" s="243"/>
    </row>
    <row r="489" spans="1:39" ht="24.75" customHeight="1" x14ac:dyDescent="0.25">
      <c r="A489" s="243"/>
      <c r="B489" s="381"/>
      <c r="C489" s="381"/>
      <c r="D489" s="381"/>
      <c r="E489" s="381"/>
      <c r="F489" s="381"/>
      <c r="G489" s="381"/>
      <c r="H489" s="381"/>
      <c r="I489" s="382"/>
      <c r="J489" s="381" t="s">
        <v>284</v>
      </c>
      <c r="K489" s="245"/>
      <c r="L489" s="257"/>
      <c r="M489" s="591" t="s">
        <v>285</v>
      </c>
      <c r="N489" s="592"/>
      <c r="O489" s="179"/>
      <c r="P489" s="180"/>
      <c r="Q489" s="180">
        <v>5000000</v>
      </c>
      <c r="R489" s="181">
        <f>Q489/Q$487*100</f>
        <v>1.2646062016288129</v>
      </c>
      <c r="S489" s="181">
        <v>100</v>
      </c>
      <c r="T489" s="180">
        <f t="shared" si="117"/>
        <v>0</v>
      </c>
      <c r="U489" s="180">
        <f t="shared" si="122"/>
        <v>0</v>
      </c>
      <c r="V489" s="182">
        <f t="shared" si="95"/>
        <v>100</v>
      </c>
      <c r="W489" s="180"/>
      <c r="X489" s="180"/>
      <c r="Y489" s="180"/>
      <c r="Z489" s="180"/>
      <c r="AA489" s="180"/>
      <c r="AB489" s="180"/>
      <c r="AC489" s="180"/>
      <c r="AD489" s="180"/>
      <c r="AE489" s="180"/>
      <c r="AF489" s="180"/>
      <c r="AG489" s="180"/>
      <c r="AH489" s="180"/>
      <c r="AI489" s="180">
        <v>0</v>
      </c>
      <c r="AJ489" s="181">
        <f t="shared" si="127"/>
        <v>0</v>
      </c>
      <c r="AK489" s="180">
        <f t="shared" si="130"/>
        <v>5000000</v>
      </c>
      <c r="AL489" s="181">
        <f t="shared" si="128"/>
        <v>100</v>
      </c>
      <c r="AM489" s="243"/>
    </row>
    <row r="490" spans="1:39" ht="24.75" customHeight="1" x14ac:dyDescent="0.25">
      <c r="A490" s="243"/>
      <c r="B490" s="381"/>
      <c r="C490" s="381"/>
      <c r="D490" s="381"/>
      <c r="E490" s="381"/>
      <c r="F490" s="381"/>
      <c r="G490" s="381"/>
      <c r="H490" s="381"/>
      <c r="I490" s="382"/>
      <c r="J490" s="381" t="s">
        <v>309</v>
      </c>
      <c r="K490" s="245"/>
      <c r="L490" s="257"/>
      <c r="M490" s="591" t="s">
        <v>310</v>
      </c>
      <c r="N490" s="592"/>
      <c r="O490" s="179"/>
      <c r="P490" s="180"/>
      <c r="Q490" s="180">
        <v>219362000</v>
      </c>
      <c r="R490" s="181">
        <f>Q490/Q$487*100</f>
        <v>55.48130912033993</v>
      </c>
      <c r="S490" s="181">
        <v>100</v>
      </c>
      <c r="T490" s="180">
        <f t="shared" si="117"/>
        <v>53.492628623006723</v>
      </c>
      <c r="U490" s="180">
        <f t="shared" si="122"/>
        <v>29.678410642925797</v>
      </c>
      <c r="V490" s="182">
        <f t="shared" si="95"/>
        <v>46.507371376993277</v>
      </c>
      <c r="W490" s="180"/>
      <c r="X490" s="180"/>
      <c r="Y490" s="180"/>
      <c r="Z490" s="180"/>
      <c r="AA490" s="180"/>
      <c r="AB490" s="180"/>
      <c r="AC490" s="180"/>
      <c r="AD490" s="180"/>
      <c r="AE490" s="180"/>
      <c r="AF490" s="180"/>
      <c r="AG490" s="180"/>
      <c r="AH490" s="180"/>
      <c r="AI490" s="180">
        <v>117342500</v>
      </c>
      <c r="AJ490" s="181">
        <f t="shared" si="127"/>
        <v>53.492628623006723</v>
      </c>
      <c r="AK490" s="180">
        <f t="shared" si="130"/>
        <v>102019500</v>
      </c>
      <c r="AL490" s="181">
        <f t="shared" si="128"/>
        <v>46.507371376993277</v>
      </c>
      <c r="AM490" s="243"/>
    </row>
    <row r="491" spans="1:39" ht="24.75" customHeight="1" x14ac:dyDescent="0.25">
      <c r="A491" s="243"/>
      <c r="B491" s="381"/>
      <c r="C491" s="381"/>
      <c r="D491" s="381"/>
      <c r="E491" s="381"/>
      <c r="F491" s="381"/>
      <c r="G491" s="381"/>
      <c r="H491" s="381"/>
      <c r="I491" s="382"/>
      <c r="J491" s="381" t="s">
        <v>342</v>
      </c>
      <c r="K491" s="245"/>
      <c r="L491" s="257"/>
      <c r="M491" s="591" t="s">
        <v>617</v>
      </c>
      <c r="N491" s="592"/>
      <c r="O491" s="179"/>
      <c r="P491" s="180"/>
      <c r="Q491" s="180">
        <v>150723000</v>
      </c>
      <c r="R491" s="181">
        <f>Q491/Q$487*100</f>
        <v>38.121048105619906</v>
      </c>
      <c r="S491" s="181">
        <v>100</v>
      </c>
      <c r="T491" s="180">
        <f t="shared" si="117"/>
        <v>0</v>
      </c>
      <c r="U491" s="180">
        <f t="shared" si="122"/>
        <v>0</v>
      </c>
      <c r="V491" s="182">
        <f t="shared" si="95"/>
        <v>100</v>
      </c>
      <c r="W491" s="180"/>
      <c r="X491" s="180"/>
      <c r="Y491" s="180"/>
      <c r="Z491" s="180"/>
      <c r="AA491" s="180"/>
      <c r="AB491" s="180"/>
      <c r="AC491" s="180"/>
      <c r="AD491" s="180"/>
      <c r="AE491" s="180"/>
      <c r="AF491" s="180"/>
      <c r="AG491" s="180"/>
      <c r="AH491" s="180"/>
      <c r="AI491" s="180">
        <v>0</v>
      </c>
      <c r="AJ491" s="181">
        <f t="shared" si="127"/>
        <v>0</v>
      </c>
      <c r="AK491" s="180">
        <f t="shared" si="130"/>
        <v>150723000</v>
      </c>
      <c r="AL491" s="181">
        <f t="shared" si="128"/>
        <v>100</v>
      </c>
      <c r="AM491" s="243"/>
    </row>
    <row r="492" spans="1:39" s="297" customFormat="1" ht="29.25" customHeight="1" x14ac:dyDescent="0.25">
      <c r="A492" s="227">
        <f>SUM(A487+1)</f>
        <v>62</v>
      </c>
      <c r="B492" s="615" t="s">
        <v>158</v>
      </c>
      <c r="C492" s="615"/>
      <c r="D492" s="615"/>
      <c r="E492" s="615"/>
      <c r="F492" s="615"/>
      <c r="G492" s="615"/>
      <c r="H492" s="615"/>
      <c r="I492" s="614"/>
      <c r="J492" s="304" t="s">
        <v>515</v>
      </c>
      <c r="K492" s="230"/>
      <c r="L492" s="294"/>
      <c r="M492" s="610" t="s">
        <v>161</v>
      </c>
      <c r="N492" s="610"/>
      <c r="O492" s="309">
        <v>355300000</v>
      </c>
      <c r="P492" s="231">
        <v>0</v>
      </c>
      <c r="Q492" s="231">
        <f>SUM(Q493:Q500)</f>
        <v>20233874</v>
      </c>
      <c r="R492" s="233">
        <f>Q492/Q$245*100</f>
        <v>0.16963562529136159</v>
      </c>
      <c r="S492" s="233">
        <v>100</v>
      </c>
      <c r="T492" s="231">
        <f t="shared" si="117"/>
        <v>0</v>
      </c>
      <c r="U492" s="231">
        <f t="shared" si="122"/>
        <v>0</v>
      </c>
      <c r="V492" s="296">
        <f t="shared" si="95"/>
        <v>100</v>
      </c>
      <c r="W492" s="231"/>
      <c r="X492" s="231"/>
      <c r="Y492" s="231"/>
      <c r="Z492" s="231"/>
      <c r="AA492" s="231"/>
      <c r="AB492" s="231"/>
      <c r="AC492" s="231"/>
      <c r="AD492" s="231"/>
      <c r="AE492" s="231"/>
      <c r="AF492" s="231"/>
      <c r="AG492" s="231" t="e">
        <f>[2]april!N82</f>
        <v>#REF!</v>
      </c>
      <c r="AH492" s="231">
        <f>'[3]DES SKPD'!$N82</f>
        <v>34370000</v>
      </c>
      <c r="AI492" s="231">
        <f>SUM(AI493:AI500)</f>
        <v>0</v>
      </c>
      <c r="AJ492" s="233">
        <f t="shared" si="127"/>
        <v>0</v>
      </c>
      <c r="AK492" s="231">
        <f t="shared" si="130"/>
        <v>20233874</v>
      </c>
      <c r="AL492" s="233">
        <f t="shared" si="128"/>
        <v>100</v>
      </c>
      <c r="AM492" s="227"/>
    </row>
    <row r="493" spans="1:39" ht="29.25" customHeight="1" x14ac:dyDescent="0.25">
      <c r="A493" s="243"/>
      <c r="B493" s="381"/>
      <c r="C493" s="381"/>
      <c r="D493" s="381"/>
      <c r="E493" s="381"/>
      <c r="F493" s="381"/>
      <c r="G493" s="381"/>
      <c r="H493" s="381"/>
      <c r="I493" s="382"/>
      <c r="J493" s="381" t="s">
        <v>257</v>
      </c>
      <c r="K493" s="245"/>
      <c r="L493" s="257"/>
      <c r="M493" s="591" t="s">
        <v>260</v>
      </c>
      <c r="N493" s="592"/>
      <c r="O493" s="179"/>
      <c r="P493" s="180"/>
      <c r="Q493" s="180">
        <v>650000</v>
      </c>
      <c r="R493" s="181">
        <f>Q493/Q$492*100</f>
        <v>3.2124347517435363</v>
      </c>
      <c r="S493" s="181">
        <v>100</v>
      </c>
      <c r="T493" s="180">
        <f t="shared" si="117"/>
        <v>0</v>
      </c>
      <c r="U493" s="180">
        <f t="shared" si="122"/>
        <v>0</v>
      </c>
      <c r="V493" s="182">
        <f t="shared" si="95"/>
        <v>100</v>
      </c>
      <c r="W493" s="180"/>
      <c r="X493" s="180"/>
      <c r="Y493" s="180"/>
      <c r="Z493" s="180"/>
      <c r="AA493" s="180"/>
      <c r="AB493" s="180"/>
      <c r="AC493" s="180"/>
      <c r="AD493" s="180"/>
      <c r="AE493" s="180"/>
      <c r="AF493" s="180"/>
      <c r="AG493" s="180"/>
      <c r="AH493" s="180"/>
      <c r="AI493" s="180">
        <v>0</v>
      </c>
      <c r="AJ493" s="181">
        <f t="shared" si="127"/>
        <v>0</v>
      </c>
      <c r="AK493" s="180">
        <f>SUM(Q493-AI493)</f>
        <v>650000</v>
      </c>
      <c r="AL493" s="181">
        <f t="shared" si="128"/>
        <v>100</v>
      </c>
      <c r="AM493" s="243"/>
    </row>
    <row r="494" spans="1:39" ht="42" customHeight="1" x14ac:dyDescent="0.25">
      <c r="A494" s="243"/>
      <c r="B494" s="381"/>
      <c r="C494" s="381"/>
      <c r="D494" s="381"/>
      <c r="E494" s="381"/>
      <c r="F494" s="381"/>
      <c r="G494" s="381"/>
      <c r="H494" s="381"/>
      <c r="I494" s="382"/>
      <c r="J494" s="381" t="s">
        <v>345</v>
      </c>
      <c r="K494" s="245"/>
      <c r="L494" s="257"/>
      <c r="M494" s="591" t="s">
        <v>351</v>
      </c>
      <c r="N494" s="592"/>
      <c r="O494" s="179"/>
      <c r="P494" s="180"/>
      <c r="Q494" s="180">
        <v>250000</v>
      </c>
      <c r="R494" s="181">
        <f t="shared" ref="R494:R500" si="131">Q494/Q$492*100</f>
        <v>1.2355518275936679</v>
      </c>
      <c r="S494" s="181">
        <v>100</v>
      </c>
      <c r="T494" s="180">
        <f t="shared" si="117"/>
        <v>0</v>
      </c>
      <c r="U494" s="180">
        <f t="shared" si="122"/>
        <v>0</v>
      </c>
      <c r="V494" s="182">
        <f t="shared" si="95"/>
        <v>100</v>
      </c>
      <c r="W494" s="180"/>
      <c r="X494" s="180"/>
      <c r="Y494" s="180"/>
      <c r="Z494" s="180"/>
      <c r="AA494" s="180"/>
      <c r="AB494" s="180"/>
      <c r="AC494" s="180"/>
      <c r="AD494" s="180"/>
      <c r="AE494" s="180"/>
      <c r="AF494" s="180"/>
      <c r="AG494" s="180"/>
      <c r="AH494" s="180"/>
      <c r="AI494" s="180">
        <v>0</v>
      </c>
      <c r="AJ494" s="181">
        <f t="shared" si="127"/>
        <v>0</v>
      </c>
      <c r="AK494" s="180">
        <f t="shared" ref="AK494:AK500" si="132">SUM(Q494-AI494)</f>
        <v>250000</v>
      </c>
      <c r="AL494" s="181">
        <f t="shared" si="128"/>
        <v>100</v>
      </c>
      <c r="AM494" s="243"/>
    </row>
    <row r="495" spans="1:39" ht="29.25" customHeight="1" x14ac:dyDescent="0.25">
      <c r="A495" s="243"/>
      <c r="B495" s="381"/>
      <c r="C495" s="381"/>
      <c r="D495" s="381"/>
      <c r="E495" s="381"/>
      <c r="F495" s="381"/>
      <c r="G495" s="381"/>
      <c r="H495" s="381"/>
      <c r="I495" s="382"/>
      <c r="J495" s="381" t="s">
        <v>315</v>
      </c>
      <c r="K495" s="245"/>
      <c r="L495" s="257"/>
      <c r="M495" s="591" t="s">
        <v>271</v>
      </c>
      <c r="N495" s="592"/>
      <c r="O495" s="179"/>
      <c r="P495" s="180"/>
      <c r="Q495" s="180">
        <v>250000</v>
      </c>
      <c r="R495" s="181">
        <f t="shared" si="131"/>
        <v>1.2355518275936679</v>
      </c>
      <c r="S495" s="181">
        <v>100</v>
      </c>
      <c r="T495" s="180">
        <f t="shared" si="117"/>
        <v>0</v>
      </c>
      <c r="U495" s="180">
        <f t="shared" si="122"/>
        <v>0</v>
      </c>
      <c r="V495" s="182">
        <f t="shared" si="95"/>
        <v>100</v>
      </c>
      <c r="W495" s="180"/>
      <c r="X495" s="180"/>
      <c r="Y495" s="180"/>
      <c r="Z495" s="180"/>
      <c r="AA495" s="180"/>
      <c r="AB495" s="180"/>
      <c r="AC495" s="180"/>
      <c r="AD495" s="180"/>
      <c r="AE495" s="180"/>
      <c r="AF495" s="180"/>
      <c r="AG495" s="180"/>
      <c r="AH495" s="180"/>
      <c r="AI495" s="180">
        <v>0</v>
      </c>
      <c r="AJ495" s="181">
        <f t="shared" si="127"/>
        <v>0</v>
      </c>
      <c r="AK495" s="180">
        <f t="shared" si="132"/>
        <v>250000</v>
      </c>
      <c r="AL495" s="181">
        <f t="shared" si="128"/>
        <v>100</v>
      </c>
      <c r="AM495" s="243"/>
    </row>
    <row r="496" spans="1:39" ht="29.25" customHeight="1" x14ac:dyDescent="0.25">
      <c r="A496" s="243"/>
      <c r="B496" s="381"/>
      <c r="C496" s="381"/>
      <c r="D496" s="381"/>
      <c r="E496" s="381"/>
      <c r="F496" s="381"/>
      <c r="G496" s="381"/>
      <c r="H496" s="381"/>
      <c r="I496" s="382"/>
      <c r="J496" s="381" t="s">
        <v>342</v>
      </c>
      <c r="K496" s="245"/>
      <c r="L496" s="257"/>
      <c r="M496" s="591" t="s">
        <v>612</v>
      </c>
      <c r="N496" s="592"/>
      <c r="O496" s="179"/>
      <c r="P496" s="180"/>
      <c r="Q496" s="180">
        <v>250000</v>
      </c>
      <c r="R496" s="181">
        <f t="shared" si="131"/>
        <v>1.2355518275936679</v>
      </c>
      <c r="S496" s="181">
        <v>100</v>
      </c>
      <c r="T496" s="180">
        <f t="shared" si="117"/>
        <v>0</v>
      </c>
      <c r="U496" s="180">
        <f t="shared" si="122"/>
        <v>0</v>
      </c>
      <c r="V496" s="182">
        <f t="shared" si="95"/>
        <v>100</v>
      </c>
      <c r="W496" s="180"/>
      <c r="X496" s="180"/>
      <c r="Y496" s="180"/>
      <c r="Z496" s="180"/>
      <c r="AA496" s="180"/>
      <c r="AB496" s="180"/>
      <c r="AC496" s="180"/>
      <c r="AD496" s="180"/>
      <c r="AE496" s="180"/>
      <c r="AF496" s="180"/>
      <c r="AG496" s="180"/>
      <c r="AH496" s="180"/>
      <c r="AI496" s="180">
        <v>0</v>
      </c>
      <c r="AJ496" s="181">
        <f t="shared" si="127"/>
        <v>0</v>
      </c>
      <c r="AK496" s="180">
        <f t="shared" si="132"/>
        <v>250000</v>
      </c>
      <c r="AL496" s="181">
        <f t="shared" si="128"/>
        <v>100</v>
      </c>
      <c r="AM496" s="243"/>
    </row>
    <row r="497" spans="1:39" ht="29.25" customHeight="1" x14ac:dyDescent="0.25">
      <c r="A497" s="243"/>
      <c r="B497" s="381"/>
      <c r="C497" s="381"/>
      <c r="D497" s="381"/>
      <c r="E497" s="381"/>
      <c r="F497" s="381"/>
      <c r="G497" s="381"/>
      <c r="H497" s="381"/>
      <c r="I497" s="382"/>
      <c r="J497" s="381" t="s">
        <v>318</v>
      </c>
      <c r="K497" s="245"/>
      <c r="L497" s="257"/>
      <c r="M497" s="591" t="s">
        <v>319</v>
      </c>
      <c r="N497" s="592"/>
      <c r="O497" s="179"/>
      <c r="P497" s="180"/>
      <c r="Q497" s="180">
        <v>10500000</v>
      </c>
      <c r="R497" s="181">
        <f t="shared" si="131"/>
        <v>51.893176758934054</v>
      </c>
      <c r="S497" s="181">
        <v>100</v>
      </c>
      <c r="T497" s="180">
        <f t="shared" si="117"/>
        <v>0</v>
      </c>
      <c r="U497" s="180">
        <f t="shared" si="122"/>
        <v>0</v>
      </c>
      <c r="V497" s="182">
        <f t="shared" si="95"/>
        <v>100</v>
      </c>
      <c r="W497" s="180"/>
      <c r="X497" s="180"/>
      <c r="Y497" s="180"/>
      <c r="Z497" s="180"/>
      <c r="AA497" s="180"/>
      <c r="AB497" s="180"/>
      <c r="AC497" s="180"/>
      <c r="AD497" s="180"/>
      <c r="AE497" s="180"/>
      <c r="AF497" s="180"/>
      <c r="AG497" s="180"/>
      <c r="AH497" s="180"/>
      <c r="AI497" s="180">
        <v>0</v>
      </c>
      <c r="AJ497" s="181">
        <f t="shared" si="127"/>
        <v>0</v>
      </c>
      <c r="AK497" s="180">
        <f t="shared" si="132"/>
        <v>10500000</v>
      </c>
      <c r="AL497" s="181">
        <f t="shared" si="128"/>
        <v>100</v>
      </c>
      <c r="AM497" s="243"/>
    </row>
    <row r="498" spans="1:39" ht="29.25" customHeight="1" x14ac:dyDescent="0.25">
      <c r="A498" s="243"/>
      <c r="B498" s="381"/>
      <c r="C498" s="381"/>
      <c r="D498" s="381"/>
      <c r="E498" s="381"/>
      <c r="F498" s="381"/>
      <c r="G498" s="381"/>
      <c r="H498" s="381"/>
      <c r="I498" s="382"/>
      <c r="J498" s="381" t="s">
        <v>284</v>
      </c>
      <c r="K498" s="245"/>
      <c r="L498" s="257"/>
      <c r="M498" s="591" t="s">
        <v>285</v>
      </c>
      <c r="N498" s="592"/>
      <c r="O498" s="179"/>
      <c r="P498" s="180"/>
      <c r="Q498" s="180">
        <v>2890000</v>
      </c>
      <c r="R498" s="181">
        <f t="shared" si="131"/>
        <v>14.2829791269828</v>
      </c>
      <c r="S498" s="181">
        <v>100</v>
      </c>
      <c r="T498" s="180">
        <f t="shared" si="117"/>
        <v>0</v>
      </c>
      <c r="U498" s="180">
        <f t="shared" si="122"/>
        <v>0</v>
      </c>
      <c r="V498" s="182">
        <f t="shared" si="95"/>
        <v>100</v>
      </c>
      <c r="W498" s="180"/>
      <c r="X498" s="180"/>
      <c r="Y498" s="180"/>
      <c r="Z498" s="180"/>
      <c r="AA498" s="180"/>
      <c r="AB498" s="180"/>
      <c r="AC498" s="180"/>
      <c r="AD498" s="180"/>
      <c r="AE498" s="180"/>
      <c r="AF498" s="180"/>
      <c r="AG498" s="180"/>
      <c r="AH498" s="180"/>
      <c r="AI498" s="180">
        <v>0</v>
      </c>
      <c r="AJ498" s="181">
        <f t="shared" si="127"/>
        <v>0</v>
      </c>
      <c r="AK498" s="180">
        <f t="shared" si="132"/>
        <v>2890000</v>
      </c>
      <c r="AL498" s="181">
        <f t="shared" si="128"/>
        <v>100</v>
      </c>
      <c r="AM498" s="243"/>
    </row>
    <row r="499" spans="1:39" ht="29.25" customHeight="1" x14ac:dyDescent="0.25">
      <c r="A499" s="243"/>
      <c r="B499" s="381"/>
      <c r="C499" s="381"/>
      <c r="D499" s="381"/>
      <c r="E499" s="381"/>
      <c r="F499" s="381"/>
      <c r="G499" s="381"/>
      <c r="H499" s="381"/>
      <c r="I499" s="382"/>
      <c r="J499" s="381" t="s">
        <v>282</v>
      </c>
      <c r="K499" s="245"/>
      <c r="L499" s="257"/>
      <c r="M499" s="591" t="s">
        <v>283</v>
      </c>
      <c r="N499" s="592"/>
      <c r="O499" s="179"/>
      <c r="P499" s="180"/>
      <c r="Q499" s="180">
        <v>2943874</v>
      </c>
      <c r="R499" s="181">
        <f t="shared" si="131"/>
        <v>14.549235603621927</v>
      </c>
      <c r="S499" s="181">
        <v>100</v>
      </c>
      <c r="T499" s="180">
        <f t="shared" si="117"/>
        <v>0</v>
      </c>
      <c r="U499" s="180">
        <f t="shared" si="122"/>
        <v>0</v>
      </c>
      <c r="V499" s="182">
        <f t="shared" si="95"/>
        <v>100</v>
      </c>
      <c r="W499" s="180"/>
      <c r="X499" s="180"/>
      <c r="Y499" s="180"/>
      <c r="Z499" s="180"/>
      <c r="AA499" s="180"/>
      <c r="AB499" s="180"/>
      <c r="AC499" s="180"/>
      <c r="AD499" s="180"/>
      <c r="AE499" s="180"/>
      <c r="AF499" s="180"/>
      <c r="AG499" s="180"/>
      <c r="AH499" s="180"/>
      <c r="AI499" s="180">
        <v>0</v>
      </c>
      <c r="AJ499" s="181">
        <f t="shared" si="127"/>
        <v>0</v>
      </c>
      <c r="AK499" s="180">
        <f t="shared" si="132"/>
        <v>2943874</v>
      </c>
      <c r="AL499" s="181">
        <f t="shared" si="128"/>
        <v>100</v>
      </c>
      <c r="AM499" s="243"/>
    </row>
    <row r="500" spans="1:39" ht="29.25" customHeight="1" x14ac:dyDescent="0.25">
      <c r="A500" s="243"/>
      <c r="B500" s="381"/>
      <c r="C500" s="381"/>
      <c r="D500" s="381"/>
      <c r="E500" s="381"/>
      <c r="F500" s="381"/>
      <c r="G500" s="381"/>
      <c r="H500" s="381"/>
      <c r="I500" s="382"/>
      <c r="J500" s="381" t="s">
        <v>320</v>
      </c>
      <c r="K500" s="245"/>
      <c r="L500" s="257"/>
      <c r="M500" s="591" t="s">
        <v>321</v>
      </c>
      <c r="N500" s="592"/>
      <c r="O500" s="179"/>
      <c r="P500" s="180"/>
      <c r="Q500" s="180">
        <v>2500000</v>
      </c>
      <c r="R500" s="181">
        <f t="shared" si="131"/>
        <v>12.35551827593668</v>
      </c>
      <c r="S500" s="181">
        <v>100</v>
      </c>
      <c r="T500" s="180">
        <f t="shared" si="117"/>
        <v>0</v>
      </c>
      <c r="U500" s="180">
        <f t="shared" si="122"/>
        <v>0</v>
      </c>
      <c r="V500" s="182">
        <f t="shared" si="95"/>
        <v>100</v>
      </c>
      <c r="W500" s="180"/>
      <c r="X500" s="180"/>
      <c r="Y500" s="180"/>
      <c r="Z500" s="180"/>
      <c r="AA500" s="180"/>
      <c r="AB500" s="180"/>
      <c r="AC500" s="180"/>
      <c r="AD500" s="180"/>
      <c r="AE500" s="180"/>
      <c r="AF500" s="180"/>
      <c r="AG500" s="180"/>
      <c r="AH500" s="180"/>
      <c r="AI500" s="180">
        <v>0</v>
      </c>
      <c r="AJ500" s="181">
        <f t="shared" si="127"/>
        <v>0</v>
      </c>
      <c r="AK500" s="180">
        <f t="shared" si="132"/>
        <v>2500000</v>
      </c>
      <c r="AL500" s="181">
        <f t="shared" si="128"/>
        <v>100</v>
      </c>
      <c r="AM500" s="243"/>
    </row>
    <row r="501" spans="1:39" s="297" customFormat="1" ht="29.25" customHeight="1" x14ac:dyDescent="0.25">
      <c r="A501" s="227">
        <f>A492+1</f>
        <v>63</v>
      </c>
      <c r="B501" s="615" t="s">
        <v>158</v>
      </c>
      <c r="C501" s="615"/>
      <c r="D501" s="615"/>
      <c r="E501" s="615"/>
      <c r="F501" s="615"/>
      <c r="G501" s="615"/>
      <c r="H501" s="615"/>
      <c r="I501" s="614"/>
      <c r="J501" s="304" t="s">
        <v>516</v>
      </c>
      <c r="K501" s="230"/>
      <c r="L501" s="294"/>
      <c r="M501" s="610" t="s">
        <v>162</v>
      </c>
      <c r="N501" s="610"/>
      <c r="O501" s="309">
        <v>355300000</v>
      </c>
      <c r="P501" s="231">
        <v>0</v>
      </c>
      <c r="Q501" s="231">
        <f>SUM(Q502:Q507)</f>
        <v>381500000</v>
      </c>
      <c r="R501" s="233">
        <f>Q501/Q$245*100</f>
        <v>3.1983984405880177</v>
      </c>
      <c r="S501" s="233">
        <v>100</v>
      </c>
      <c r="T501" s="231">
        <f t="shared" si="117"/>
        <v>29.484665792922677</v>
      </c>
      <c r="U501" s="231">
        <f t="shared" si="122"/>
        <v>0.94303709093342758</v>
      </c>
      <c r="V501" s="296">
        <f t="shared" si="95"/>
        <v>70.515334207077331</v>
      </c>
      <c r="W501" s="231"/>
      <c r="X501" s="231"/>
      <c r="Y501" s="231"/>
      <c r="Z501" s="231"/>
      <c r="AA501" s="231"/>
      <c r="AB501" s="231"/>
      <c r="AC501" s="231"/>
      <c r="AD501" s="231"/>
      <c r="AE501" s="231"/>
      <c r="AF501" s="231"/>
      <c r="AG501" s="231" t="e">
        <f>[2]april!N83</f>
        <v>#REF!</v>
      </c>
      <c r="AH501" s="231">
        <f>'[3]DES SKPD'!$N83</f>
        <v>33663000</v>
      </c>
      <c r="AI501" s="231">
        <f>SUM(AI502:AI507)</f>
        <v>112484000</v>
      </c>
      <c r="AJ501" s="233">
        <f t="shared" si="127"/>
        <v>29.484665792922677</v>
      </c>
      <c r="AK501" s="231">
        <f>Q501-AI501</f>
        <v>269016000</v>
      </c>
      <c r="AL501" s="233">
        <f t="shared" si="128"/>
        <v>70.515334207077331</v>
      </c>
      <c r="AM501" s="227"/>
    </row>
    <row r="502" spans="1:39" ht="29.25" customHeight="1" x14ac:dyDescent="0.25">
      <c r="A502" s="243"/>
      <c r="B502" s="381"/>
      <c r="C502" s="381"/>
      <c r="D502" s="381"/>
      <c r="E502" s="381"/>
      <c r="F502" s="381"/>
      <c r="G502" s="381"/>
      <c r="H502" s="381"/>
      <c r="I502" s="382"/>
      <c r="J502" s="381" t="s">
        <v>332</v>
      </c>
      <c r="K502" s="245"/>
      <c r="L502" s="257"/>
      <c r="M502" s="591" t="s">
        <v>351</v>
      </c>
      <c r="N502" s="592"/>
      <c r="O502" s="179"/>
      <c r="P502" s="180"/>
      <c r="Q502" s="180">
        <v>500000</v>
      </c>
      <c r="R502" s="181">
        <f t="shared" ref="R502:R507" si="133">Q502/Q$501*100</f>
        <v>0.13106159895150721</v>
      </c>
      <c r="S502" s="181">
        <v>100</v>
      </c>
      <c r="T502" s="180">
        <f t="shared" si="117"/>
        <v>0</v>
      </c>
      <c r="U502" s="180">
        <f t="shared" si="122"/>
        <v>0</v>
      </c>
      <c r="V502" s="182">
        <f t="shared" si="95"/>
        <v>100</v>
      </c>
      <c r="W502" s="180"/>
      <c r="X502" s="180"/>
      <c r="Y502" s="180"/>
      <c r="Z502" s="180"/>
      <c r="AA502" s="180"/>
      <c r="AB502" s="180"/>
      <c r="AC502" s="180"/>
      <c r="AD502" s="180"/>
      <c r="AE502" s="180"/>
      <c r="AF502" s="180"/>
      <c r="AG502" s="180"/>
      <c r="AH502" s="180"/>
      <c r="AI502" s="180">
        <v>0</v>
      </c>
      <c r="AJ502" s="181">
        <f t="shared" si="127"/>
        <v>0</v>
      </c>
      <c r="AK502" s="180">
        <f t="shared" ref="AK502:AK507" si="134">SUM(Q502-AI502)</f>
        <v>500000</v>
      </c>
      <c r="AL502" s="181">
        <f t="shared" si="128"/>
        <v>100</v>
      </c>
      <c r="AM502" s="243"/>
    </row>
    <row r="503" spans="1:39" ht="29.25" customHeight="1" x14ac:dyDescent="0.25">
      <c r="A503" s="243"/>
      <c r="B503" s="381"/>
      <c r="C503" s="381"/>
      <c r="D503" s="381"/>
      <c r="E503" s="381"/>
      <c r="F503" s="381"/>
      <c r="G503" s="381"/>
      <c r="H503" s="381"/>
      <c r="I503" s="382"/>
      <c r="J503" s="381" t="s">
        <v>269</v>
      </c>
      <c r="K503" s="245"/>
      <c r="L503" s="257"/>
      <c r="M503" s="591" t="s">
        <v>270</v>
      </c>
      <c r="N503" s="592"/>
      <c r="O503" s="179"/>
      <c r="P503" s="180"/>
      <c r="Q503" s="180">
        <v>30000000</v>
      </c>
      <c r="R503" s="181">
        <f t="shared" si="133"/>
        <v>7.8636959370904327</v>
      </c>
      <c r="S503" s="181">
        <v>100</v>
      </c>
      <c r="T503" s="180">
        <f t="shared" si="117"/>
        <v>66.25</v>
      </c>
      <c r="U503" s="180">
        <f t="shared" si="122"/>
        <v>5.2096985583224118</v>
      </c>
      <c r="V503" s="182">
        <f t="shared" si="95"/>
        <v>33.75</v>
      </c>
      <c r="W503" s="180"/>
      <c r="X503" s="180"/>
      <c r="Y503" s="180"/>
      <c r="Z503" s="180"/>
      <c r="AA503" s="180"/>
      <c r="AB503" s="180"/>
      <c r="AC503" s="180"/>
      <c r="AD503" s="180"/>
      <c r="AE503" s="180"/>
      <c r="AF503" s="180"/>
      <c r="AG503" s="180"/>
      <c r="AH503" s="180"/>
      <c r="AI503" s="180">
        <v>19875000</v>
      </c>
      <c r="AJ503" s="181">
        <f t="shared" si="127"/>
        <v>66.25</v>
      </c>
      <c r="AK503" s="180">
        <f t="shared" si="134"/>
        <v>10125000</v>
      </c>
      <c r="AL503" s="181">
        <f t="shared" si="128"/>
        <v>33.75</v>
      </c>
      <c r="AM503" s="243"/>
    </row>
    <row r="504" spans="1:39" ht="29.25" customHeight="1" x14ac:dyDescent="0.25">
      <c r="A504" s="243"/>
      <c r="B504" s="381"/>
      <c r="C504" s="381"/>
      <c r="D504" s="381"/>
      <c r="E504" s="381"/>
      <c r="F504" s="381"/>
      <c r="G504" s="381"/>
      <c r="H504" s="381"/>
      <c r="I504" s="382"/>
      <c r="J504" s="381" t="s">
        <v>315</v>
      </c>
      <c r="K504" s="245"/>
      <c r="L504" s="257"/>
      <c r="M504" s="591" t="s">
        <v>271</v>
      </c>
      <c r="N504" s="592"/>
      <c r="O504" s="179"/>
      <c r="P504" s="180"/>
      <c r="Q504" s="180">
        <v>2500000</v>
      </c>
      <c r="R504" s="181">
        <f t="shared" si="133"/>
        <v>0.65530799475753598</v>
      </c>
      <c r="S504" s="181">
        <v>100</v>
      </c>
      <c r="T504" s="180">
        <f t="shared" si="117"/>
        <v>40</v>
      </c>
      <c r="U504" s="180">
        <f t="shared" si="122"/>
        <v>0.26212319790301442</v>
      </c>
      <c r="V504" s="182">
        <f t="shared" si="95"/>
        <v>60</v>
      </c>
      <c r="W504" s="180"/>
      <c r="X504" s="180"/>
      <c r="Y504" s="180"/>
      <c r="Z504" s="180"/>
      <c r="AA504" s="180"/>
      <c r="AB504" s="180"/>
      <c r="AC504" s="180"/>
      <c r="AD504" s="180"/>
      <c r="AE504" s="180"/>
      <c r="AF504" s="180"/>
      <c r="AG504" s="180"/>
      <c r="AH504" s="180"/>
      <c r="AI504" s="180">
        <f>500000+500000</f>
        <v>1000000</v>
      </c>
      <c r="AJ504" s="181">
        <f t="shared" si="127"/>
        <v>40</v>
      </c>
      <c r="AK504" s="180">
        <f t="shared" si="134"/>
        <v>1500000</v>
      </c>
      <c r="AL504" s="181">
        <f t="shared" si="128"/>
        <v>60</v>
      </c>
      <c r="AM504" s="243"/>
    </row>
    <row r="505" spans="1:39" ht="29.25" customHeight="1" x14ac:dyDescent="0.25">
      <c r="A505" s="243"/>
      <c r="B505" s="381"/>
      <c r="C505" s="381"/>
      <c r="D505" s="381"/>
      <c r="E505" s="381"/>
      <c r="F505" s="381"/>
      <c r="G505" s="381"/>
      <c r="H505" s="381"/>
      <c r="I505" s="382"/>
      <c r="J505" s="381" t="s">
        <v>284</v>
      </c>
      <c r="K505" s="245"/>
      <c r="L505" s="257"/>
      <c r="M505" s="591" t="s">
        <v>285</v>
      </c>
      <c r="N505" s="592"/>
      <c r="O505" s="179"/>
      <c r="P505" s="180"/>
      <c r="Q505" s="180">
        <v>15400000</v>
      </c>
      <c r="R505" s="181">
        <f t="shared" si="133"/>
        <v>4.0366972477064227</v>
      </c>
      <c r="S505" s="181">
        <v>100</v>
      </c>
      <c r="T505" s="180">
        <f t="shared" si="117"/>
        <v>30</v>
      </c>
      <c r="U505" s="180">
        <f t="shared" si="122"/>
        <v>1.2110091743119269</v>
      </c>
      <c r="V505" s="182">
        <f t="shared" si="95"/>
        <v>70</v>
      </c>
      <c r="W505" s="180"/>
      <c r="X505" s="180"/>
      <c r="Y505" s="180"/>
      <c r="Z505" s="180"/>
      <c r="AA505" s="180"/>
      <c r="AB505" s="180"/>
      <c r="AC505" s="180"/>
      <c r="AD505" s="180"/>
      <c r="AE505" s="180"/>
      <c r="AF505" s="180"/>
      <c r="AG505" s="180"/>
      <c r="AH505" s="180"/>
      <c r="AI505" s="180">
        <f>2310000+2310000</f>
        <v>4620000</v>
      </c>
      <c r="AJ505" s="181">
        <f t="shared" si="127"/>
        <v>30</v>
      </c>
      <c r="AK505" s="180">
        <f t="shared" si="134"/>
        <v>10780000</v>
      </c>
      <c r="AL505" s="181">
        <f t="shared" si="128"/>
        <v>70</v>
      </c>
      <c r="AM505" s="243"/>
    </row>
    <row r="506" spans="1:39" ht="29.25" customHeight="1" x14ac:dyDescent="0.25">
      <c r="A506" s="243"/>
      <c r="B506" s="381"/>
      <c r="C506" s="381"/>
      <c r="D506" s="381"/>
      <c r="E506" s="381"/>
      <c r="F506" s="381"/>
      <c r="G506" s="381"/>
      <c r="H506" s="381"/>
      <c r="I506" s="382"/>
      <c r="J506" s="381" t="s">
        <v>282</v>
      </c>
      <c r="K506" s="245"/>
      <c r="L506" s="257"/>
      <c r="M506" s="591" t="s">
        <v>283</v>
      </c>
      <c r="N506" s="592"/>
      <c r="O506" s="179"/>
      <c r="P506" s="180"/>
      <c r="Q506" s="180">
        <v>18700000</v>
      </c>
      <c r="R506" s="181">
        <f t="shared" si="133"/>
        <v>4.9017038007863691</v>
      </c>
      <c r="S506" s="181">
        <v>100</v>
      </c>
      <c r="T506" s="180">
        <f t="shared" si="117"/>
        <v>44.860962566844918</v>
      </c>
      <c r="U506" s="180">
        <f t="shared" si="122"/>
        <v>2.1989515072083874</v>
      </c>
      <c r="V506" s="182">
        <f t="shared" si="95"/>
        <v>55.139037433155082</v>
      </c>
      <c r="W506" s="180"/>
      <c r="X506" s="180"/>
      <c r="Y506" s="180"/>
      <c r="Z506" s="180"/>
      <c r="AA506" s="180"/>
      <c r="AB506" s="180"/>
      <c r="AC506" s="180"/>
      <c r="AD506" s="180"/>
      <c r="AE506" s="180"/>
      <c r="AF506" s="180"/>
      <c r="AG506" s="180"/>
      <c r="AH506" s="180"/>
      <c r="AI506" s="180">
        <f>2163000+6226000</f>
        <v>8389000</v>
      </c>
      <c r="AJ506" s="181">
        <f t="shared" si="127"/>
        <v>44.860962566844918</v>
      </c>
      <c r="AK506" s="180">
        <f t="shared" si="134"/>
        <v>10311000</v>
      </c>
      <c r="AL506" s="181">
        <f t="shared" si="128"/>
        <v>55.139037433155082</v>
      </c>
      <c r="AM506" s="243"/>
    </row>
    <row r="507" spans="1:39" ht="29.25" customHeight="1" x14ac:dyDescent="0.25">
      <c r="A507" s="243"/>
      <c r="B507" s="381"/>
      <c r="C507" s="381"/>
      <c r="D507" s="381"/>
      <c r="E507" s="381"/>
      <c r="F507" s="381"/>
      <c r="G507" s="381"/>
      <c r="H507" s="381"/>
      <c r="I507" s="382"/>
      <c r="J507" s="381" t="s">
        <v>551</v>
      </c>
      <c r="K507" s="245"/>
      <c r="L507" s="257"/>
      <c r="M507" s="591" t="s">
        <v>550</v>
      </c>
      <c r="N507" s="592"/>
      <c r="O507" s="179"/>
      <c r="P507" s="180"/>
      <c r="Q507" s="180">
        <v>314400000</v>
      </c>
      <c r="R507" s="181">
        <f t="shared" si="133"/>
        <v>82.411533420707727</v>
      </c>
      <c r="S507" s="181">
        <v>100</v>
      </c>
      <c r="T507" s="180">
        <f t="shared" si="117"/>
        <v>25</v>
      </c>
      <c r="U507" s="180">
        <f t="shared" si="122"/>
        <v>20.602883355176932</v>
      </c>
      <c r="V507" s="182">
        <f t="shared" si="95"/>
        <v>75</v>
      </c>
      <c r="W507" s="180"/>
      <c r="X507" s="180"/>
      <c r="Y507" s="180"/>
      <c r="Z507" s="180"/>
      <c r="AA507" s="180"/>
      <c r="AB507" s="180"/>
      <c r="AC507" s="180"/>
      <c r="AD507" s="180"/>
      <c r="AE507" s="180"/>
      <c r="AF507" s="180"/>
      <c r="AG507" s="180"/>
      <c r="AH507" s="180"/>
      <c r="AI507" s="180">
        <f>52400000+26200000</f>
        <v>78600000</v>
      </c>
      <c r="AJ507" s="181">
        <f t="shared" si="127"/>
        <v>25</v>
      </c>
      <c r="AK507" s="180">
        <f t="shared" si="134"/>
        <v>235800000</v>
      </c>
      <c r="AL507" s="181">
        <f t="shared" si="128"/>
        <v>75</v>
      </c>
      <c r="AM507" s="243"/>
    </row>
    <row r="508" spans="1:39" s="297" customFormat="1" ht="29.25" customHeight="1" x14ac:dyDescent="0.25">
      <c r="A508" s="227">
        <f>SUM(A501+1)</f>
        <v>64</v>
      </c>
      <c r="B508" s="393"/>
      <c r="C508" s="393"/>
      <c r="D508" s="393"/>
      <c r="E508" s="393"/>
      <c r="F508" s="393"/>
      <c r="G508" s="393"/>
      <c r="H508" s="393"/>
      <c r="I508" s="394"/>
      <c r="J508" s="304" t="s">
        <v>517</v>
      </c>
      <c r="K508" s="230"/>
      <c r="L508" s="294"/>
      <c r="M508" s="610" t="s">
        <v>369</v>
      </c>
      <c r="N508" s="612"/>
      <c r="O508" s="309"/>
      <c r="P508" s="231"/>
      <c r="Q508" s="231">
        <f>SUM(Q509:Q519)</f>
        <v>1010210970</v>
      </c>
      <c r="R508" s="233">
        <f>Q508/Q$245*100</f>
        <v>8.4693504354204698</v>
      </c>
      <c r="S508" s="233">
        <v>100</v>
      </c>
      <c r="T508" s="231">
        <f t="shared" si="117"/>
        <v>0</v>
      </c>
      <c r="U508" s="231">
        <f t="shared" si="122"/>
        <v>0</v>
      </c>
      <c r="V508" s="296">
        <f t="shared" si="95"/>
        <v>100</v>
      </c>
      <c r="W508" s="231"/>
      <c r="X508" s="231"/>
      <c r="Y508" s="231"/>
      <c r="Z508" s="231"/>
      <c r="AA508" s="231"/>
      <c r="AB508" s="231"/>
      <c r="AC508" s="231"/>
      <c r="AD508" s="231"/>
      <c r="AE508" s="231"/>
      <c r="AF508" s="231"/>
      <c r="AG508" s="231" t="e">
        <f>[2]april!N91</f>
        <v>#REF!</v>
      </c>
      <c r="AH508" s="231" t="e">
        <f>'[3]DES SKPD'!$N91</f>
        <v>#REF!</v>
      </c>
      <c r="AI508" s="231">
        <f>SUM(AI509:AI519)</f>
        <v>0</v>
      </c>
      <c r="AJ508" s="233">
        <f t="shared" si="127"/>
        <v>0</v>
      </c>
      <c r="AK508" s="231">
        <f>Q508-AI508</f>
        <v>1010210970</v>
      </c>
      <c r="AL508" s="233">
        <f t="shared" si="128"/>
        <v>100</v>
      </c>
      <c r="AM508" s="227"/>
    </row>
    <row r="509" spans="1:39" s="297" customFormat="1" ht="29.25" customHeight="1" x14ac:dyDescent="0.25">
      <c r="A509" s="227"/>
      <c r="B509" s="393"/>
      <c r="C509" s="393"/>
      <c r="D509" s="393"/>
      <c r="E509" s="393"/>
      <c r="F509" s="393"/>
      <c r="G509" s="393"/>
      <c r="H509" s="393"/>
      <c r="I509" s="394"/>
      <c r="J509" s="393" t="s">
        <v>421</v>
      </c>
      <c r="K509" s="230"/>
      <c r="L509" s="294"/>
      <c r="M509" s="591" t="s">
        <v>324</v>
      </c>
      <c r="N509" s="592"/>
      <c r="O509" s="309"/>
      <c r="P509" s="231"/>
      <c r="Q509" s="180">
        <v>10814970</v>
      </c>
      <c r="R509" s="181">
        <f>Q509/Q$508*100</f>
        <v>1.0705654879198154</v>
      </c>
      <c r="S509" s="181">
        <v>100</v>
      </c>
      <c r="T509" s="180">
        <f t="shared" si="117"/>
        <v>0</v>
      </c>
      <c r="U509" s="180">
        <f t="shared" si="122"/>
        <v>0</v>
      </c>
      <c r="V509" s="182">
        <f t="shared" si="95"/>
        <v>100</v>
      </c>
      <c r="W509" s="180"/>
      <c r="X509" s="180"/>
      <c r="Y509" s="180"/>
      <c r="Z509" s="180"/>
      <c r="AA509" s="180"/>
      <c r="AB509" s="180"/>
      <c r="AC509" s="180"/>
      <c r="AD509" s="180"/>
      <c r="AE509" s="180"/>
      <c r="AF509" s="180"/>
      <c r="AG509" s="180"/>
      <c r="AH509" s="180"/>
      <c r="AI509" s="180">
        <v>0</v>
      </c>
      <c r="AJ509" s="181">
        <f t="shared" si="127"/>
        <v>0</v>
      </c>
      <c r="AK509" s="180">
        <f>SUM(Q509-AI509)</f>
        <v>10814970</v>
      </c>
      <c r="AL509" s="233"/>
      <c r="AM509" s="227"/>
    </row>
    <row r="510" spans="1:39" ht="29.25" customHeight="1" x14ac:dyDescent="0.25">
      <c r="A510" s="243"/>
      <c r="B510" s="381"/>
      <c r="C510" s="381"/>
      <c r="D510" s="381"/>
      <c r="E510" s="381"/>
      <c r="F510" s="381"/>
      <c r="G510" s="381"/>
      <c r="H510" s="381"/>
      <c r="I510" s="382"/>
      <c r="J510" s="381" t="s">
        <v>315</v>
      </c>
      <c r="K510" s="245"/>
      <c r="L510" s="257"/>
      <c r="M510" s="591" t="s">
        <v>271</v>
      </c>
      <c r="N510" s="592"/>
      <c r="O510" s="179"/>
      <c r="P510" s="180"/>
      <c r="Q510" s="180">
        <v>12500000</v>
      </c>
      <c r="R510" s="181">
        <f>Q510/Q$508*100</f>
        <v>1.2373653000422278</v>
      </c>
      <c r="S510" s="181">
        <v>100</v>
      </c>
      <c r="T510" s="180">
        <f t="shared" si="117"/>
        <v>0</v>
      </c>
      <c r="U510" s="180">
        <f t="shared" si="122"/>
        <v>0</v>
      </c>
      <c r="V510" s="182">
        <f t="shared" si="95"/>
        <v>100</v>
      </c>
      <c r="W510" s="180"/>
      <c r="X510" s="180"/>
      <c r="Y510" s="180"/>
      <c r="Z510" s="180"/>
      <c r="AA510" s="180"/>
      <c r="AB510" s="180"/>
      <c r="AC510" s="180"/>
      <c r="AD510" s="180"/>
      <c r="AE510" s="180"/>
      <c r="AF510" s="180"/>
      <c r="AG510" s="180"/>
      <c r="AH510" s="180"/>
      <c r="AI510" s="180">
        <v>0</v>
      </c>
      <c r="AJ510" s="181">
        <f t="shared" si="127"/>
        <v>0</v>
      </c>
      <c r="AK510" s="180">
        <f t="shared" ref="AK510:AK519" si="135">SUM(Q510-AI510)</f>
        <v>12500000</v>
      </c>
      <c r="AL510" s="181">
        <f t="shared" ref="AL510:AL547" si="136">AK510/Q510*100</f>
        <v>100</v>
      </c>
      <c r="AM510" s="243"/>
    </row>
    <row r="511" spans="1:39" ht="29.25" customHeight="1" x14ac:dyDescent="0.25">
      <c r="A511" s="243"/>
      <c r="B511" s="381"/>
      <c r="C511" s="381"/>
      <c r="D511" s="381"/>
      <c r="E511" s="381"/>
      <c r="F511" s="381"/>
      <c r="G511" s="381"/>
      <c r="H511" s="381"/>
      <c r="I511" s="382"/>
      <c r="J511" s="381" t="s">
        <v>328</v>
      </c>
      <c r="K511" s="245"/>
      <c r="L511" s="257"/>
      <c r="M511" s="591" t="s">
        <v>329</v>
      </c>
      <c r="N511" s="592"/>
      <c r="O511" s="179"/>
      <c r="P511" s="180"/>
      <c r="Q511" s="180">
        <v>5000000</v>
      </c>
      <c r="R511" s="181">
        <f>Q511/Q$508*100</f>
        <v>0.49494612001689114</v>
      </c>
      <c r="S511" s="181">
        <v>100</v>
      </c>
      <c r="T511" s="180">
        <f t="shared" si="117"/>
        <v>0</v>
      </c>
      <c r="U511" s="180">
        <f t="shared" si="122"/>
        <v>0</v>
      </c>
      <c r="V511" s="182">
        <f t="shared" si="95"/>
        <v>100</v>
      </c>
      <c r="W511" s="180"/>
      <c r="X511" s="180"/>
      <c r="Y511" s="180"/>
      <c r="Z511" s="180"/>
      <c r="AA511" s="180"/>
      <c r="AB511" s="180"/>
      <c r="AC511" s="180"/>
      <c r="AD511" s="180"/>
      <c r="AE511" s="180"/>
      <c r="AF511" s="180"/>
      <c r="AG511" s="180"/>
      <c r="AH511" s="180"/>
      <c r="AI511" s="180">
        <v>0</v>
      </c>
      <c r="AJ511" s="181">
        <f t="shared" si="127"/>
        <v>0</v>
      </c>
      <c r="AK511" s="180">
        <f t="shared" si="135"/>
        <v>5000000</v>
      </c>
      <c r="AL511" s="181">
        <f t="shared" si="136"/>
        <v>100</v>
      </c>
      <c r="AM511" s="243"/>
    </row>
    <row r="512" spans="1:39" ht="29.25" customHeight="1" x14ac:dyDescent="0.25">
      <c r="A512" s="243"/>
      <c r="B512" s="381"/>
      <c r="C512" s="381"/>
      <c r="D512" s="381"/>
      <c r="E512" s="381"/>
      <c r="F512" s="381"/>
      <c r="G512" s="381"/>
      <c r="H512" s="381"/>
      <c r="I512" s="382"/>
      <c r="J512" s="381" t="s">
        <v>370</v>
      </c>
      <c r="K512" s="245"/>
      <c r="L512" s="257"/>
      <c r="M512" s="591" t="s">
        <v>371</v>
      </c>
      <c r="N512" s="592"/>
      <c r="O512" s="179"/>
      <c r="P512" s="180"/>
      <c r="Q512" s="180">
        <v>47450000</v>
      </c>
      <c r="R512" s="181">
        <f t="shared" ref="R512:R519" si="137">Q512/Q$508*100</f>
        <v>4.6970386789602969</v>
      </c>
      <c r="S512" s="181">
        <v>100</v>
      </c>
      <c r="T512" s="180">
        <f t="shared" si="117"/>
        <v>0</v>
      </c>
      <c r="U512" s="180">
        <f t="shared" si="122"/>
        <v>0</v>
      </c>
      <c r="V512" s="182">
        <f t="shared" si="95"/>
        <v>100</v>
      </c>
      <c r="W512" s="180"/>
      <c r="X512" s="180"/>
      <c r="Y512" s="180"/>
      <c r="Z512" s="180"/>
      <c r="AA512" s="180"/>
      <c r="AB512" s="180"/>
      <c r="AC512" s="180"/>
      <c r="AD512" s="180"/>
      <c r="AE512" s="180"/>
      <c r="AF512" s="180"/>
      <c r="AG512" s="180"/>
      <c r="AH512" s="180"/>
      <c r="AI512" s="180">
        <v>0</v>
      </c>
      <c r="AJ512" s="181">
        <f t="shared" si="127"/>
        <v>0</v>
      </c>
      <c r="AK512" s="180">
        <f t="shared" si="135"/>
        <v>47450000</v>
      </c>
      <c r="AL512" s="181">
        <f t="shared" si="136"/>
        <v>100</v>
      </c>
      <c r="AM512" s="243"/>
    </row>
    <row r="513" spans="1:39" ht="29.25" customHeight="1" x14ac:dyDescent="0.25">
      <c r="A513" s="243"/>
      <c r="B513" s="381"/>
      <c r="C513" s="381"/>
      <c r="D513" s="381"/>
      <c r="E513" s="381"/>
      <c r="F513" s="381"/>
      <c r="G513" s="381"/>
      <c r="H513" s="381"/>
      <c r="I513" s="382"/>
      <c r="J513" s="381" t="s">
        <v>280</v>
      </c>
      <c r="K513" s="245"/>
      <c r="L513" s="257"/>
      <c r="M513" s="591" t="s">
        <v>422</v>
      </c>
      <c r="N513" s="592"/>
      <c r="O513" s="179"/>
      <c r="P513" s="180"/>
      <c r="Q513" s="180">
        <v>2000000</v>
      </c>
      <c r="R513" s="181">
        <f t="shared" si="137"/>
        <v>0.19797844800675643</v>
      </c>
      <c r="S513" s="181">
        <v>100</v>
      </c>
      <c r="T513" s="180">
        <f t="shared" si="117"/>
        <v>0</v>
      </c>
      <c r="U513" s="180">
        <f t="shared" si="122"/>
        <v>0</v>
      </c>
      <c r="V513" s="182">
        <f t="shared" si="95"/>
        <v>100</v>
      </c>
      <c r="W513" s="180"/>
      <c r="X513" s="180"/>
      <c r="Y513" s="180"/>
      <c r="Z513" s="180"/>
      <c r="AA513" s="180"/>
      <c r="AB513" s="180"/>
      <c r="AC513" s="180"/>
      <c r="AD513" s="180"/>
      <c r="AE513" s="180"/>
      <c r="AF513" s="180"/>
      <c r="AG513" s="180"/>
      <c r="AH513" s="180"/>
      <c r="AI513" s="180">
        <v>0</v>
      </c>
      <c r="AJ513" s="181">
        <f t="shared" si="127"/>
        <v>0</v>
      </c>
      <c r="AK513" s="180">
        <f t="shared" si="135"/>
        <v>2000000</v>
      </c>
      <c r="AL513" s="181">
        <f t="shared" si="136"/>
        <v>100</v>
      </c>
      <c r="AM513" s="243"/>
    </row>
    <row r="514" spans="1:39" ht="29.25" customHeight="1" x14ac:dyDescent="0.25">
      <c r="A514" s="243"/>
      <c r="B514" s="381"/>
      <c r="C514" s="381"/>
      <c r="D514" s="381"/>
      <c r="E514" s="381"/>
      <c r="F514" s="381"/>
      <c r="G514" s="381"/>
      <c r="H514" s="381"/>
      <c r="I514" s="382"/>
      <c r="J514" s="381" t="s">
        <v>339</v>
      </c>
      <c r="K514" s="245"/>
      <c r="L514" s="257"/>
      <c r="M514" s="591" t="s">
        <v>340</v>
      </c>
      <c r="N514" s="592"/>
      <c r="O514" s="179"/>
      <c r="P514" s="180"/>
      <c r="Q514" s="180">
        <v>71500000</v>
      </c>
      <c r="R514" s="181">
        <f t="shared" si="137"/>
        <v>7.0777295162415435</v>
      </c>
      <c r="S514" s="181">
        <v>100</v>
      </c>
      <c r="T514" s="180">
        <f t="shared" si="117"/>
        <v>0</v>
      </c>
      <c r="U514" s="180">
        <f t="shared" si="122"/>
        <v>0</v>
      </c>
      <c r="V514" s="182">
        <f t="shared" si="95"/>
        <v>100</v>
      </c>
      <c r="W514" s="180"/>
      <c r="X514" s="180"/>
      <c r="Y514" s="180"/>
      <c r="Z514" s="180"/>
      <c r="AA514" s="180"/>
      <c r="AB514" s="180"/>
      <c r="AC514" s="180"/>
      <c r="AD514" s="180"/>
      <c r="AE514" s="180"/>
      <c r="AF514" s="180"/>
      <c r="AG514" s="180"/>
      <c r="AH514" s="180"/>
      <c r="AI514" s="180">
        <v>0</v>
      </c>
      <c r="AJ514" s="181">
        <f t="shared" si="127"/>
        <v>0</v>
      </c>
      <c r="AK514" s="180">
        <f t="shared" si="135"/>
        <v>71500000</v>
      </c>
      <c r="AL514" s="181">
        <f t="shared" si="136"/>
        <v>100</v>
      </c>
      <c r="AM514" s="243"/>
    </row>
    <row r="515" spans="1:39" ht="29.25" customHeight="1" x14ac:dyDescent="0.25">
      <c r="A515" s="243"/>
      <c r="B515" s="381"/>
      <c r="C515" s="381"/>
      <c r="D515" s="381"/>
      <c r="E515" s="381"/>
      <c r="F515" s="381"/>
      <c r="G515" s="381"/>
      <c r="H515" s="381"/>
      <c r="I515" s="382"/>
      <c r="J515" s="381" t="s">
        <v>284</v>
      </c>
      <c r="K515" s="245"/>
      <c r="L515" s="257"/>
      <c r="M515" s="591" t="s">
        <v>285</v>
      </c>
      <c r="N515" s="592"/>
      <c r="O515" s="179"/>
      <c r="P515" s="180"/>
      <c r="Q515" s="180">
        <v>8900000</v>
      </c>
      <c r="R515" s="181">
        <f t="shared" si="137"/>
        <v>0.88100409363006615</v>
      </c>
      <c r="S515" s="181">
        <v>100</v>
      </c>
      <c r="T515" s="180">
        <f t="shared" si="117"/>
        <v>0</v>
      </c>
      <c r="U515" s="180">
        <f t="shared" si="122"/>
        <v>0</v>
      </c>
      <c r="V515" s="182">
        <f t="shared" si="95"/>
        <v>100</v>
      </c>
      <c r="W515" s="180"/>
      <c r="X515" s="180"/>
      <c r="Y515" s="180"/>
      <c r="Z515" s="180"/>
      <c r="AA515" s="180"/>
      <c r="AB515" s="180"/>
      <c r="AC515" s="180"/>
      <c r="AD515" s="180"/>
      <c r="AE515" s="180"/>
      <c r="AF515" s="180"/>
      <c r="AG515" s="180"/>
      <c r="AH515" s="180"/>
      <c r="AI515" s="180">
        <v>0</v>
      </c>
      <c r="AJ515" s="181">
        <f t="shared" si="127"/>
        <v>0</v>
      </c>
      <c r="AK515" s="180">
        <f t="shared" si="135"/>
        <v>8900000</v>
      </c>
      <c r="AL515" s="181">
        <f t="shared" si="136"/>
        <v>100</v>
      </c>
      <c r="AM515" s="243"/>
    </row>
    <row r="516" spans="1:39" ht="29.25" customHeight="1" x14ac:dyDescent="0.25">
      <c r="A516" s="243"/>
      <c r="B516" s="381"/>
      <c r="C516" s="381"/>
      <c r="D516" s="381"/>
      <c r="E516" s="381"/>
      <c r="F516" s="381"/>
      <c r="G516" s="381"/>
      <c r="H516" s="381"/>
      <c r="I516" s="382"/>
      <c r="J516" s="381"/>
      <c r="K516" s="245"/>
      <c r="L516" s="257"/>
      <c r="M516" s="591" t="s">
        <v>503</v>
      </c>
      <c r="N516" s="592"/>
      <c r="O516" s="179"/>
      <c r="P516" s="180"/>
      <c r="Q516" s="180">
        <v>48070000</v>
      </c>
      <c r="R516" s="181">
        <f t="shared" si="137"/>
        <v>4.7584119978423915</v>
      </c>
      <c r="S516" s="181">
        <v>100</v>
      </c>
      <c r="T516" s="180">
        <f t="shared" si="117"/>
        <v>0</v>
      </c>
      <c r="U516" s="180">
        <f t="shared" si="122"/>
        <v>0</v>
      </c>
      <c r="V516" s="182">
        <f t="shared" si="95"/>
        <v>100</v>
      </c>
      <c r="W516" s="180"/>
      <c r="X516" s="180"/>
      <c r="Y516" s="180"/>
      <c r="Z516" s="180"/>
      <c r="AA516" s="180"/>
      <c r="AB516" s="180"/>
      <c r="AC516" s="180"/>
      <c r="AD516" s="180"/>
      <c r="AE516" s="180"/>
      <c r="AF516" s="180"/>
      <c r="AG516" s="180"/>
      <c r="AH516" s="180"/>
      <c r="AI516" s="180">
        <v>0</v>
      </c>
      <c r="AJ516" s="181">
        <f t="shared" si="127"/>
        <v>0</v>
      </c>
      <c r="AK516" s="180">
        <f t="shared" si="135"/>
        <v>48070000</v>
      </c>
      <c r="AL516" s="181">
        <f t="shared" si="136"/>
        <v>100</v>
      </c>
      <c r="AM516" s="243"/>
    </row>
    <row r="517" spans="1:39" ht="29.25" customHeight="1" x14ac:dyDescent="0.25">
      <c r="A517" s="243"/>
      <c r="B517" s="381"/>
      <c r="C517" s="381"/>
      <c r="D517" s="381"/>
      <c r="E517" s="381"/>
      <c r="F517" s="381"/>
      <c r="G517" s="381"/>
      <c r="H517" s="381"/>
      <c r="I517" s="382"/>
      <c r="J517" s="381" t="s">
        <v>309</v>
      </c>
      <c r="K517" s="245"/>
      <c r="L517" s="257"/>
      <c r="M517" s="591" t="s">
        <v>310</v>
      </c>
      <c r="N517" s="592"/>
      <c r="O517" s="179"/>
      <c r="P517" s="180"/>
      <c r="Q517" s="180">
        <v>485712000</v>
      </c>
      <c r="R517" s="181">
        <f t="shared" si="137"/>
        <v>48.080253969128847</v>
      </c>
      <c r="S517" s="181">
        <v>100</v>
      </c>
      <c r="T517" s="180">
        <f t="shared" si="117"/>
        <v>0</v>
      </c>
      <c r="U517" s="180">
        <f t="shared" si="122"/>
        <v>0</v>
      </c>
      <c r="V517" s="182">
        <f t="shared" si="95"/>
        <v>100</v>
      </c>
      <c r="W517" s="180"/>
      <c r="X517" s="180"/>
      <c r="Y517" s="180"/>
      <c r="Z517" s="180"/>
      <c r="AA517" s="180"/>
      <c r="AB517" s="180"/>
      <c r="AC517" s="180"/>
      <c r="AD517" s="180"/>
      <c r="AE517" s="180"/>
      <c r="AF517" s="180"/>
      <c r="AG517" s="180"/>
      <c r="AH517" s="180"/>
      <c r="AI517" s="180">
        <v>0</v>
      </c>
      <c r="AJ517" s="181">
        <f t="shared" si="127"/>
        <v>0</v>
      </c>
      <c r="AK517" s="180">
        <f t="shared" si="135"/>
        <v>485712000</v>
      </c>
      <c r="AL517" s="181">
        <f t="shared" si="136"/>
        <v>100</v>
      </c>
      <c r="AM517" s="243"/>
    </row>
    <row r="518" spans="1:39" ht="29.25" customHeight="1" x14ac:dyDescent="0.25">
      <c r="A518" s="243"/>
      <c r="B518" s="381"/>
      <c r="C518" s="381"/>
      <c r="D518" s="381"/>
      <c r="E518" s="381"/>
      <c r="F518" s="381"/>
      <c r="G518" s="381"/>
      <c r="H518" s="381"/>
      <c r="I518" s="382"/>
      <c r="J518" s="381" t="s">
        <v>372</v>
      </c>
      <c r="K518" s="245"/>
      <c r="L518" s="257"/>
      <c r="M518" s="591" t="s">
        <v>373</v>
      </c>
      <c r="N518" s="592"/>
      <c r="O518" s="179"/>
      <c r="P518" s="180"/>
      <c r="Q518" s="180">
        <v>143000000</v>
      </c>
      <c r="R518" s="181">
        <f t="shared" si="137"/>
        <v>14.155459032483087</v>
      </c>
      <c r="S518" s="181">
        <v>100</v>
      </c>
      <c r="T518" s="180">
        <f t="shared" si="117"/>
        <v>0</v>
      </c>
      <c r="U518" s="180">
        <f t="shared" si="122"/>
        <v>0</v>
      </c>
      <c r="V518" s="182">
        <f t="shared" si="95"/>
        <v>100</v>
      </c>
      <c r="W518" s="180"/>
      <c r="X518" s="180"/>
      <c r="Y518" s="180"/>
      <c r="Z518" s="180"/>
      <c r="AA518" s="180"/>
      <c r="AB518" s="180"/>
      <c r="AC518" s="180"/>
      <c r="AD518" s="180"/>
      <c r="AE518" s="180"/>
      <c r="AF518" s="180"/>
      <c r="AG518" s="180"/>
      <c r="AH518" s="180"/>
      <c r="AI518" s="180">
        <v>0</v>
      </c>
      <c r="AJ518" s="181">
        <f t="shared" si="127"/>
        <v>0</v>
      </c>
      <c r="AK518" s="180">
        <f t="shared" si="135"/>
        <v>143000000</v>
      </c>
      <c r="AL518" s="181">
        <f t="shared" si="136"/>
        <v>100</v>
      </c>
      <c r="AM518" s="243"/>
    </row>
    <row r="519" spans="1:39" ht="29.25" customHeight="1" x14ac:dyDescent="0.25">
      <c r="A519" s="243"/>
      <c r="B519" s="381"/>
      <c r="C519" s="381"/>
      <c r="D519" s="381"/>
      <c r="E519" s="381"/>
      <c r="F519" s="381"/>
      <c r="G519" s="381"/>
      <c r="H519" s="381"/>
      <c r="I519" s="382"/>
      <c r="J519" s="381" t="s">
        <v>551</v>
      </c>
      <c r="K519" s="245"/>
      <c r="L519" s="257"/>
      <c r="M519" s="591" t="s">
        <v>550</v>
      </c>
      <c r="N519" s="592"/>
      <c r="O519" s="179"/>
      <c r="P519" s="180"/>
      <c r="Q519" s="180">
        <v>175264000</v>
      </c>
      <c r="R519" s="181">
        <f t="shared" si="137"/>
        <v>17.349247355728082</v>
      </c>
      <c r="S519" s="181">
        <v>100</v>
      </c>
      <c r="T519" s="180">
        <f t="shared" si="117"/>
        <v>0</v>
      </c>
      <c r="U519" s="180">
        <f t="shared" si="122"/>
        <v>0</v>
      </c>
      <c r="V519" s="182">
        <f t="shared" si="95"/>
        <v>100</v>
      </c>
      <c r="W519" s="180"/>
      <c r="X519" s="180"/>
      <c r="Y519" s="180"/>
      <c r="Z519" s="180"/>
      <c r="AA519" s="180"/>
      <c r="AB519" s="180"/>
      <c r="AC519" s="180"/>
      <c r="AD519" s="180"/>
      <c r="AE519" s="180"/>
      <c r="AF519" s="180"/>
      <c r="AG519" s="180"/>
      <c r="AH519" s="180"/>
      <c r="AI519" s="180">
        <v>0</v>
      </c>
      <c r="AJ519" s="181">
        <f t="shared" si="127"/>
        <v>0</v>
      </c>
      <c r="AK519" s="180">
        <f t="shared" si="135"/>
        <v>175264000</v>
      </c>
      <c r="AL519" s="181">
        <f t="shared" si="136"/>
        <v>100</v>
      </c>
      <c r="AM519" s="243"/>
    </row>
    <row r="520" spans="1:39" s="297" customFormat="1" ht="28.5" customHeight="1" x14ac:dyDescent="0.25">
      <c r="A520" s="227">
        <f>A508+1</f>
        <v>65</v>
      </c>
      <c r="B520" s="615" t="s">
        <v>158</v>
      </c>
      <c r="C520" s="615"/>
      <c r="D520" s="615"/>
      <c r="E520" s="615"/>
      <c r="F520" s="615"/>
      <c r="G520" s="615"/>
      <c r="H520" s="615"/>
      <c r="I520" s="614"/>
      <c r="J520" s="304" t="s">
        <v>518</v>
      </c>
      <c r="K520" s="230"/>
      <c r="L520" s="294"/>
      <c r="M520" s="610" t="s">
        <v>163</v>
      </c>
      <c r="N520" s="610"/>
      <c r="O520" s="309">
        <v>355300000</v>
      </c>
      <c r="P520" s="231">
        <v>0</v>
      </c>
      <c r="Q520" s="231">
        <f>SUM(Q521:Q526)</f>
        <v>130200000</v>
      </c>
      <c r="R520" s="233">
        <f>Q520/Q$245*100</f>
        <v>1.0915635044942593</v>
      </c>
      <c r="S520" s="233">
        <v>100</v>
      </c>
      <c r="T520" s="231">
        <f t="shared" si="117"/>
        <v>0</v>
      </c>
      <c r="U520" s="231">
        <f t="shared" si="122"/>
        <v>0</v>
      </c>
      <c r="V520" s="296">
        <f t="shared" si="95"/>
        <v>100</v>
      </c>
      <c r="W520" s="231"/>
      <c r="X520" s="231"/>
      <c r="Y520" s="231"/>
      <c r="Z520" s="231"/>
      <c r="AA520" s="231"/>
      <c r="AB520" s="231"/>
      <c r="AC520" s="231"/>
      <c r="AD520" s="231"/>
      <c r="AE520" s="231"/>
      <c r="AF520" s="231"/>
      <c r="AG520" s="231" t="e">
        <f>[2]april!N84</f>
        <v>#REF!</v>
      </c>
      <c r="AH520" s="231">
        <f>'[3]DES SKPD'!$N84</f>
        <v>52275000</v>
      </c>
      <c r="AI520" s="231">
        <f>SUM(AI522:AI526)</f>
        <v>0</v>
      </c>
      <c r="AJ520" s="233">
        <f t="shared" si="127"/>
        <v>0</v>
      </c>
      <c r="AK520" s="231">
        <f t="shared" ref="AK520:AK527" si="138">Q520-AI520</f>
        <v>130200000</v>
      </c>
      <c r="AL520" s="233">
        <f t="shared" si="136"/>
        <v>100</v>
      </c>
      <c r="AM520" s="227"/>
    </row>
    <row r="521" spans="1:39" s="297" customFormat="1" ht="28.5" customHeight="1" x14ac:dyDescent="0.25">
      <c r="A521" s="227"/>
      <c r="B521" s="393"/>
      <c r="C521" s="393"/>
      <c r="D521" s="393"/>
      <c r="E521" s="393"/>
      <c r="F521" s="393"/>
      <c r="G521" s="393"/>
      <c r="H521" s="393"/>
      <c r="I521" s="394"/>
      <c r="J521" s="381" t="s">
        <v>323</v>
      </c>
      <c r="K521" s="230"/>
      <c r="L521" s="294"/>
      <c r="M521" s="591" t="s">
        <v>324</v>
      </c>
      <c r="N521" s="592"/>
      <c r="O521" s="309"/>
      <c r="P521" s="231"/>
      <c r="Q521" s="180">
        <v>6000000</v>
      </c>
      <c r="R521" s="181">
        <f t="shared" ref="R521:R526" si="139">Q521/Q$520*100</f>
        <v>4.6082949308755765</v>
      </c>
      <c r="S521" s="181">
        <v>100</v>
      </c>
      <c r="T521" s="180">
        <f t="shared" si="117"/>
        <v>0</v>
      </c>
      <c r="U521" s="180">
        <f t="shared" si="122"/>
        <v>0</v>
      </c>
      <c r="V521" s="182">
        <f t="shared" si="95"/>
        <v>100</v>
      </c>
      <c r="W521" s="180"/>
      <c r="X521" s="180"/>
      <c r="Y521" s="180"/>
      <c r="Z521" s="180"/>
      <c r="AA521" s="180"/>
      <c r="AB521" s="180"/>
      <c r="AC521" s="180"/>
      <c r="AD521" s="180"/>
      <c r="AE521" s="180"/>
      <c r="AF521" s="180"/>
      <c r="AG521" s="180"/>
      <c r="AH521" s="180"/>
      <c r="AI521" s="180">
        <v>0</v>
      </c>
      <c r="AJ521" s="181">
        <f t="shared" si="127"/>
        <v>0</v>
      </c>
      <c r="AK521" s="180">
        <f t="shared" si="138"/>
        <v>6000000</v>
      </c>
      <c r="AL521" s="181">
        <f t="shared" si="136"/>
        <v>100</v>
      </c>
      <c r="AM521" s="227"/>
    </row>
    <row r="522" spans="1:39" s="313" customFormat="1" ht="24.75" customHeight="1" x14ac:dyDescent="0.25">
      <c r="A522" s="243"/>
      <c r="B522" s="381"/>
      <c r="C522" s="381"/>
      <c r="D522" s="381"/>
      <c r="E522" s="381"/>
      <c r="F522" s="381"/>
      <c r="G522" s="381"/>
      <c r="H522" s="381"/>
      <c r="I522" s="382"/>
      <c r="J522" s="381" t="s">
        <v>315</v>
      </c>
      <c r="K522" s="245"/>
      <c r="L522" s="257"/>
      <c r="M522" s="591" t="s">
        <v>271</v>
      </c>
      <c r="N522" s="592"/>
      <c r="O522" s="179"/>
      <c r="P522" s="180"/>
      <c r="Q522" s="180">
        <v>4000000</v>
      </c>
      <c r="R522" s="181">
        <f t="shared" si="139"/>
        <v>3.0721966205837172</v>
      </c>
      <c r="S522" s="181">
        <v>100</v>
      </c>
      <c r="T522" s="180">
        <f t="shared" si="117"/>
        <v>0</v>
      </c>
      <c r="U522" s="180">
        <f t="shared" si="122"/>
        <v>0</v>
      </c>
      <c r="V522" s="182">
        <f t="shared" si="95"/>
        <v>100</v>
      </c>
      <c r="W522" s="180"/>
      <c r="X522" s="180"/>
      <c r="Y522" s="180"/>
      <c r="Z522" s="180"/>
      <c r="AA522" s="180"/>
      <c r="AB522" s="180"/>
      <c r="AC522" s="180"/>
      <c r="AD522" s="180"/>
      <c r="AE522" s="180"/>
      <c r="AF522" s="180"/>
      <c r="AG522" s="180"/>
      <c r="AH522" s="180"/>
      <c r="AI522" s="180">
        <v>0</v>
      </c>
      <c r="AJ522" s="181">
        <f t="shared" si="127"/>
        <v>0</v>
      </c>
      <c r="AK522" s="180">
        <f t="shared" si="138"/>
        <v>4000000</v>
      </c>
      <c r="AL522" s="181">
        <f t="shared" si="136"/>
        <v>100</v>
      </c>
      <c r="AM522" s="243"/>
    </row>
    <row r="523" spans="1:39" s="313" customFormat="1" ht="24.75" customHeight="1" x14ac:dyDescent="0.25">
      <c r="A523" s="243"/>
      <c r="B523" s="381"/>
      <c r="C523" s="381"/>
      <c r="D523" s="381"/>
      <c r="E523" s="381"/>
      <c r="F523" s="381"/>
      <c r="G523" s="381"/>
      <c r="H523" s="381"/>
      <c r="I523" s="382"/>
      <c r="J523" s="381" t="s">
        <v>280</v>
      </c>
      <c r="K523" s="245"/>
      <c r="L523" s="257"/>
      <c r="M523" s="591" t="s">
        <v>423</v>
      </c>
      <c r="N523" s="592"/>
      <c r="O523" s="179"/>
      <c r="P523" s="180"/>
      <c r="Q523" s="180">
        <v>1000000</v>
      </c>
      <c r="R523" s="181">
        <f t="shared" si="139"/>
        <v>0.76804915514592931</v>
      </c>
      <c r="S523" s="181">
        <v>100</v>
      </c>
      <c r="T523" s="180">
        <f t="shared" si="117"/>
        <v>0</v>
      </c>
      <c r="U523" s="180">
        <f t="shared" si="122"/>
        <v>0</v>
      </c>
      <c r="V523" s="182">
        <f t="shared" si="95"/>
        <v>100</v>
      </c>
      <c r="W523" s="180"/>
      <c r="X523" s="180"/>
      <c r="Y523" s="180"/>
      <c r="Z523" s="180"/>
      <c r="AA523" s="180"/>
      <c r="AB523" s="180"/>
      <c r="AC523" s="180"/>
      <c r="AD523" s="180"/>
      <c r="AE523" s="180"/>
      <c r="AF523" s="180"/>
      <c r="AG523" s="180"/>
      <c r="AH523" s="180"/>
      <c r="AI523" s="180">
        <v>0</v>
      </c>
      <c r="AJ523" s="181">
        <f t="shared" si="127"/>
        <v>0</v>
      </c>
      <c r="AK523" s="180">
        <f t="shared" si="138"/>
        <v>1000000</v>
      </c>
      <c r="AL523" s="181">
        <f t="shared" si="136"/>
        <v>100</v>
      </c>
      <c r="AM523" s="243"/>
    </row>
    <row r="524" spans="1:39" s="313" customFormat="1" ht="24.75" customHeight="1" x14ac:dyDescent="0.25">
      <c r="A524" s="243"/>
      <c r="B524" s="381"/>
      <c r="C524" s="381"/>
      <c r="D524" s="381"/>
      <c r="E524" s="381"/>
      <c r="F524" s="381"/>
      <c r="G524" s="381"/>
      <c r="H524" s="381"/>
      <c r="I524" s="382"/>
      <c r="J524" s="381" t="s">
        <v>284</v>
      </c>
      <c r="K524" s="245"/>
      <c r="L524" s="257"/>
      <c r="M524" s="591" t="s">
        <v>285</v>
      </c>
      <c r="N524" s="592"/>
      <c r="O524" s="179"/>
      <c r="P524" s="180"/>
      <c r="Q524" s="180">
        <v>5000000</v>
      </c>
      <c r="R524" s="181">
        <f t="shared" si="139"/>
        <v>3.8402457757296471</v>
      </c>
      <c r="S524" s="181">
        <v>100</v>
      </c>
      <c r="T524" s="180">
        <f t="shared" si="117"/>
        <v>0</v>
      </c>
      <c r="U524" s="180">
        <f t="shared" si="122"/>
        <v>0</v>
      </c>
      <c r="V524" s="182">
        <f t="shared" si="95"/>
        <v>100</v>
      </c>
      <c r="W524" s="180"/>
      <c r="X524" s="180"/>
      <c r="Y524" s="180"/>
      <c r="Z524" s="180"/>
      <c r="AA524" s="180"/>
      <c r="AB524" s="180"/>
      <c r="AC524" s="180"/>
      <c r="AD524" s="180"/>
      <c r="AE524" s="180"/>
      <c r="AF524" s="180"/>
      <c r="AG524" s="180"/>
      <c r="AH524" s="180"/>
      <c r="AI524" s="180">
        <v>0</v>
      </c>
      <c r="AJ524" s="181">
        <f t="shared" si="127"/>
        <v>0</v>
      </c>
      <c r="AK524" s="180">
        <f t="shared" si="138"/>
        <v>5000000</v>
      </c>
      <c r="AL524" s="181">
        <f t="shared" si="136"/>
        <v>100</v>
      </c>
      <c r="AM524" s="243"/>
    </row>
    <row r="525" spans="1:39" s="313" customFormat="1" ht="24.75" customHeight="1" x14ac:dyDescent="0.25">
      <c r="A525" s="243"/>
      <c r="B525" s="381"/>
      <c r="C525" s="381"/>
      <c r="D525" s="381"/>
      <c r="E525" s="381"/>
      <c r="F525" s="381"/>
      <c r="G525" s="381"/>
      <c r="H525" s="381"/>
      <c r="I525" s="382"/>
      <c r="J525" s="381"/>
      <c r="K525" s="245"/>
      <c r="L525" s="257"/>
      <c r="M525" s="591" t="s">
        <v>503</v>
      </c>
      <c r="N525" s="592"/>
      <c r="O525" s="179"/>
      <c r="P525" s="180"/>
      <c r="Q525" s="180">
        <v>10000000</v>
      </c>
      <c r="R525" s="181">
        <f t="shared" si="139"/>
        <v>7.6804915514592942</v>
      </c>
      <c r="S525" s="181">
        <v>100</v>
      </c>
      <c r="T525" s="180">
        <f t="shared" si="117"/>
        <v>0</v>
      </c>
      <c r="U525" s="180">
        <f t="shared" si="122"/>
        <v>0</v>
      </c>
      <c r="V525" s="182">
        <f t="shared" si="95"/>
        <v>100</v>
      </c>
      <c r="W525" s="180"/>
      <c r="X525" s="180"/>
      <c r="Y525" s="180"/>
      <c r="Z525" s="180"/>
      <c r="AA525" s="180"/>
      <c r="AB525" s="180"/>
      <c r="AC525" s="180"/>
      <c r="AD525" s="180"/>
      <c r="AE525" s="180"/>
      <c r="AF525" s="180"/>
      <c r="AG525" s="180"/>
      <c r="AH525" s="180"/>
      <c r="AI525" s="180">
        <v>0</v>
      </c>
      <c r="AJ525" s="181">
        <f t="shared" si="127"/>
        <v>0</v>
      </c>
      <c r="AK525" s="180">
        <f t="shared" si="138"/>
        <v>10000000</v>
      </c>
      <c r="AL525" s="181">
        <f t="shared" si="136"/>
        <v>100</v>
      </c>
      <c r="AM525" s="243"/>
    </row>
    <row r="526" spans="1:39" ht="24.75" customHeight="1" x14ac:dyDescent="0.25">
      <c r="A526" s="243"/>
      <c r="B526" s="381"/>
      <c r="C526" s="381"/>
      <c r="D526" s="381"/>
      <c r="E526" s="381"/>
      <c r="F526" s="381"/>
      <c r="G526" s="381"/>
      <c r="H526" s="381"/>
      <c r="I526" s="382"/>
      <c r="J526" s="381" t="s">
        <v>309</v>
      </c>
      <c r="K526" s="245"/>
      <c r="L526" s="257"/>
      <c r="M526" s="591" t="s">
        <v>310</v>
      </c>
      <c r="N526" s="592"/>
      <c r="O526" s="179"/>
      <c r="P526" s="180"/>
      <c r="Q526" s="180">
        <v>104200000</v>
      </c>
      <c r="R526" s="181">
        <f t="shared" si="139"/>
        <v>80.030721966205846</v>
      </c>
      <c r="S526" s="181">
        <v>100</v>
      </c>
      <c r="T526" s="180">
        <f t="shared" si="117"/>
        <v>0</v>
      </c>
      <c r="U526" s="180">
        <f t="shared" si="122"/>
        <v>0</v>
      </c>
      <c r="V526" s="182">
        <f t="shared" si="95"/>
        <v>100</v>
      </c>
      <c r="W526" s="180"/>
      <c r="X526" s="180"/>
      <c r="Y526" s="180"/>
      <c r="Z526" s="180"/>
      <c r="AA526" s="180"/>
      <c r="AB526" s="180"/>
      <c r="AC526" s="180"/>
      <c r="AD526" s="180"/>
      <c r="AE526" s="180"/>
      <c r="AF526" s="180"/>
      <c r="AG526" s="180"/>
      <c r="AH526" s="180"/>
      <c r="AI526" s="180">
        <v>0</v>
      </c>
      <c r="AJ526" s="181">
        <f t="shared" si="127"/>
        <v>0</v>
      </c>
      <c r="AK526" s="180">
        <f t="shared" si="138"/>
        <v>104200000</v>
      </c>
      <c r="AL526" s="181">
        <f t="shared" si="136"/>
        <v>100</v>
      </c>
      <c r="AM526" s="243"/>
    </row>
    <row r="527" spans="1:39" s="297" customFormat="1" ht="29.25" customHeight="1" x14ac:dyDescent="0.25">
      <c r="A527" s="227">
        <f>A520+1</f>
        <v>66</v>
      </c>
      <c r="B527" s="615" t="s">
        <v>158</v>
      </c>
      <c r="C527" s="615"/>
      <c r="D527" s="615"/>
      <c r="E527" s="615"/>
      <c r="F527" s="615"/>
      <c r="G527" s="615"/>
      <c r="H527" s="615"/>
      <c r="I527" s="614"/>
      <c r="J527" s="304" t="s">
        <v>519</v>
      </c>
      <c r="K527" s="230"/>
      <c r="L527" s="294"/>
      <c r="M527" s="610" t="s">
        <v>164</v>
      </c>
      <c r="N527" s="610"/>
      <c r="O527" s="309">
        <v>355300000</v>
      </c>
      <c r="P527" s="231">
        <v>0</v>
      </c>
      <c r="Q527" s="231">
        <f>SUM(Q528:Q538)</f>
        <v>154081000</v>
      </c>
      <c r="R527" s="233">
        <f>Q527/Q$245*100</f>
        <v>1.2917757015052225</v>
      </c>
      <c r="S527" s="233">
        <v>100</v>
      </c>
      <c r="T527" s="231">
        <f t="shared" si="117"/>
        <v>91.869211648418698</v>
      </c>
      <c r="U527" s="231">
        <f t="shared" si="122"/>
        <v>1.1867441532386782</v>
      </c>
      <c r="V527" s="296">
        <f t="shared" si="95"/>
        <v>8.1307883515813018</v>
      </c>
      <c r="W527" s="231"/>
      <c r="X527" s="231"/>
      <c r="Y527" s="231"/>
      <c r="Z527" s="231"/>
      <c r="AA527" s="231"/>
      <c r="AB527" s="231"/>
      <c r="AC527" s="231"/>
      <c r="AD527" s="231"/>
      <c r="AE527" s="231"/>
      <c r="AF527" s="231"/>
      <c r="AG527" s="231" t="e">
        <f>[2]april!N85</f>
        <v>#REF!</v>
      </c>
      <c r="AH527" s="231">
        <f>'[3]DES SKPD'!$N85</f>
        <v>78380000</v>
      </c>
      <c r="AI527" s="231">
        <f>SUM(AI528:AI538)</f>
        <v>141553000</v>
      </c>
      <c r="AJ527" s="233">
        <f t="shared" si="127"/>
        <v>91.869211648418698</v>
      </c>
      <c r="AK527" s="231">
        <f t="shared" si="138"/>
        <v>12528000</v>
      </c>
      <c r="AL527" s="233">
        <f t="shared" si="136"/>
        <v>8.1307883515813106</v>
      </c>
      <c r="AM527" s="227"/>
    </row>
    <row r="528" spans="1:39" ht="29.25" customHeight="1" x14ac:dyDescent="0.25">
      <c r="A528" s="243"/>
      <c r="B528" s="381"/>
      <c r="C528" s="381"/>
      <c r="D528" s="381"/>
      <c r="E528" s="381"/>
      <c r="F528" s="381"/>
      <c r="G528" s="381"/>
      <c r="H528" s="381"/>
      <c r="I528" s="382"/>
      <c r="J528" s="381" t="s">
        <v>259</v>
      </c>
      <c r="K528" s="245"/>
      <c r="L528" s="257"/>
      <c r="M528" s="591" t="s">
        <v>619</v>
      </c>
      <c r="N528" s="592"/>
      <c r="O528" s="179"/>
      <c r="P528" s="180"/>
      <c r="Q528" s="180">
        <v>1300000</v>
      </c>
      <c r="R528" s="181">
        <f>Q528/Q$527*100</f>
        <v>0.84371207351977218</v>
      </c>
      <c r="S528" s="181">
        <v>100</v>
      </c>
      <c r="T528" s="180">
        <f t="shared" si="117"/>
        <v>100</v>
      </c>
      <c r="U528" s="180">
        <f t="shared" si="122"/>
        <v>0.84371207351977218</v>
      </c>
      <c r="V528" s="182">
        <f t="shared" si="95"/>
        <v>0</v>
      </c>
      <c r="W528" s="180"/>
      <c r="X528" s="180"/>
      <c r="Y528" s="180"/>
      <c r="Z528" s="180"/>
      <c r="AA528" s="180"/>
      <c r="AB528" s="180"/>
      <c r="AC528" s="180"/>
      <c r="AD528" s="180"/>
      <c r="AE528" s="180"/>
      <c r="AF528" s="180"/>
      <c r="AG528" s="180"/>
      <c r="AH528" s="180"/>
      <c r="AI528" s="180">
        <v>1300000</v>
      </c>
      <c r="AJ528" s="181">
        <f t="shared" si="127"/>
        <v>100</v>
      </c>
      <c r="AK528" s="180">
        <f>SUM(Q528-AI528)</f>
        <v>0</v>
      </c>
      <c r="AL528" s="181">
        <f t="shared" si="136"/>
        <v>0</v>
      </c>
      <c r="AM528" s="243"/>
    </row>
    <row r="529" spans="1:39" ht="29.25" customHeight="1" x14ac:dyDescent="0.25">
      <c r="A529" s="243"/>
      <c r="B529" s="381"/>
      <c r="C529" s="381"/>
      <c r="D529" s="381"/>
      <c r="E529" s="381"/>
      <c r="F529" s="381"/>
      <c r="G529" s="381"/>
      <c r="H529" s="381"/>
      <c r="I529" s="382"/>
      <c r="J529" s="381" t="s">
        <v>618</v>
      </c>
      <c r="K529" s="245"/>
      <c r="L529" s="257"/>
      <c r="M529" s="591" t="s">
        <v>351</v>
      </c>
      <c r="N529" s="592"/>
      <c r="O529" s="179"/>
      <c r="P529" s="180"/>
      <c r="Q529" s="180">
        <v>986000</v>
      </c>
      <c r="R529" s="181">
        <f t="shared" ref="R529:R538" si="140">Q529/Q$527*100</f>
        <v>0.63992315730038096</v>
      </c>
      <c r="S529" s="181">
        <v>100</v>
      </c>
      <c r="T529" s="180">
        <f t="shared" si="117"/>
        <v>50.709939148073026</v>
      </c>
      <c r="U529" s="180">
        <f t="shared" si="122"/>
        <v>0.32450464366145082</v>
      </c>
      <c r="V529" s="182">
        <f t="shared" si="95"/>
        <v>49.290060851926974</v>
      </c>
      <c r="W529" s="180"/>
      <c r="X529" s="180"/>
      <c r="Y529" s="180"/>
      <c r="Z529" s="180"/>
      <c r="AA529" s="180"/>
      <c r="AB529" s="180"/>
      <c r="AC529" s="180"/>
      <c r="AD529" s="180"/>
      <c r="AE529" s="180"/>
      <c r="AF529" s="180"/>
      <c r="AG529" s="180"/>
      <c r="AH529" s="180"/>
      <c r="AI529" s="180">
        <v>500000</v>
      </c>
      <c r="AJ529" s="181">
        <f t="shared" si="127"/>
        <v>50.709939148073026</v>
      </c>
      <c r="AK529" s="180">
        <f t="shared" ref="AK529:AK538" si="141">SUM(Q529-AI529)</f>
        <v>486000</v>
      </c>
      <c r="AL529" s="181">
        <f t="shared" si="136"/>
        <v>49.290060851926974</v>
      </c>
      <c r="AM529" s="243"/>
    </row>
    <row r="530" spans="1:39" ht="29.25" customHeight="1" x14ac:dyDescent="0.25">
      <c r="A530" s="243"/>
      <c r="B530" s="381"/>
      <c r="C530" s="381"/>
      <c r="D530" s="381"/>
      <c r="E530" s="381"/>
      <c r="F530" s="381"/>
      <c r="G530" s="381"/>
      <c r="H530" s="381"/>
      <c r="I530" s="382"/>
      <c r="J530" s="381" t="s">
        <v>332</v>
      </c>
      <c r="K530" s="245"/>
      <c r="L530" s="257"/>
      <c r="M530" s="591" t="s">
        <v>354</v>
      </c>
      <c r="N530" s="592"/>
      <c r="O530" s="179"/>
      <c r="P530" s="180"/>
      <c r="Q530" s="180">
        <v>75000000</v>
      </c>
      <c r="R530" s="181">
        <f t="shared" si="140"/>
        <v>48.675696549217619</v>
      </c>
      <c r="S530" s="181">
        <v>100</v>
      </c>
      <c r="T530" s="180">
        <f t="shared" si="117"/>
        <v>100</v>
      </c>
      <c r="U530" s="180">
        <f t="shared" si="122"/>
        <v>48.675696549217619</v>
      </c>
      <c r="V530" s="182">
        <f t="shared" si="95"/>
        <v>0</v>
      </c>
      <c r="W530" s="180"/>
      <c r="X530" s="180"/>
      <c r="Y530" s="180"/>
      <c r="Z530" s="180"/>
      <c r="AA530" s="180"/>
      <c r="AB530" s="180"/>
      <c r="AC530" s="180"/>
      <c r="AD530" s="180"/>
      <c r="AE530" s="180"/>
      <c r="AF530" s="180"/>
      <c r="AG530" s="180"/>
      <c r="AH530" s="180"/>
      <c r="AI530" s="180">
        <v>75000000</v>
      </c>
      <c r="AJ530" s="181">
        <f t="shared" si="127"/>
        <v>100</v>
      </c>
      <c r="AK530" s="180">
        <f t="shared" si="141"/>
        <v>0</v>
      </c>
      <c r="AL530" s="181">
        <f t="shared" si="136"/>
        <v>0</v>
      </c>
      <c r="AM530" s="243"/>
    </row>
    <row r="531" spans="1:39" ht="29.25" customHeight="1" x14ac:dyDescent="0.25">
      <c r="A531" s="243"/>
      <c r="B531" s="381"/>
      <c r="C531" s="381"/>
      <c r="D531" s="381"/>
      <c r="E531" s="381"/>
      <c r="F531" s="381"/>
      <c r="G531" s="381"/>
      <c r="H531" s="381"/>
      <c r="I531" s="382"/>
      <c r="J531" s="381" t="s">
        <v>374</v>
      </c>
      <c r="K531" s="245"/>
      <c r="L531" s="257"/>
      <c r="M531" s="591" t="s">
        <v>428</v>
      </c>
      <c r="N531" s="592"/>
      <c r="O531" s="179"/>
      <c r="P531" s="180"/>
      <c r="Q531" s="180">
        <v>500000</v>
      </c>
      <c r="R531" s="181">
        <f t="shared" si="140"/>
        <v>0.32450464366145082</v>
      </c>
      <c r="S531" s="181">
        <v>100</v>
      </c>
      <c r="T531" s="180">
        <f t="shared" si="117"/>
        <v>100</v>
      </c>
      <c r="U531" s="180">
        <f t="shared" si="122"/>
        <v>0.32450464366145082</v>
      </c>
      <c r="V531" s="182">
        <f t="shared" si="95"/>
        <v>0</v>
      </c>
      <c r="W531" s="180"/>
      <c r="X531" s="180"/>
      <c r="Y531" s="180"/>
      <c r="Z531" s="180"/>
      <c r="AA531" s="180"/>
      <c r="AB531" s="180"/>
      <c r="AC531" s="180"/>
      <c r="AD531" s="180"/>
      <c r="AE531" s="180"/>
      <c r="AF531" s="180"/>
      <c r="AG531" s="180"/>
      <c r="AH531" s="180"/>
      <c r="AI531" s="180">
        <v>500000</v>
      </c>
      <c r="AJ531" s="181">
        <f t="shared" si="127"/>
        <v>100</v>
      </c>
      <c r="AK531" s="180">
        <f t="shared" si="141"/>
        <v>0</v>
      </c>
      <c r="AL531" s="181">
        <f t="shared" si="136"/>
        <v>0</v>
      </c>
      <c r="AM531" s="243"/>
    </row>
    <row r="532" spans="1:39" ht="29.25" customHeight="1" x14ac:dyDescent="0.25">
      <c r="A532" s="243"/>
      <c r="B532" s="381"/>
      <c r="C532" s="381"/>
      <c r="D532" s="381"/>
      <c r="E532" s="381"/>
      <c r="F532" s="381"/>
      <c r="G532" s="381"/>
      <c r="H532" s="381"/>
      <c r="I532" s="382"/>
      <c r="J532" s="381" t="s">
        <v>316</v>
      </c>
      <c r="K532" s="245"/>
      <c r="L532" s="257"/>
      <c r="M532" s="591" t="s">
        <v>317</v>
      </c>
      <c r="N532" s="592"/>
      <c r="O532" s="179"/>
      <c r="P532" s="180"/>
      <c r="Q532" s="180">
        <v>17300000</v>
      </c>
      <c r="R532" s="181">
        <f t="shared" si="140"/>
        <v>11.227860670686198</v>
      </c>
      <c r="S532" s="181">
        <v>100</v>
      </c>
      <c r="T532" s="180">
        <f t="shared" si="117"/>
        <v>97.109826589595372</v>
      </c>
      <c r="U532" s="180">
        <f t="shared" si="122"/>
        <v>10.903356027024747</v>
      </c>
      <c r="V532" s="182">
        <f t="shared" si="95"/>
        <v>2.8901734104046284</v>
      </c>
      <c r="W532" s="180"/>
      <c r="X532" s="180"/>
      <c r="Y532" s="180"/>
      <c r="Z532" s="180"/>
      <c r="AA532" s="180"/>
      <c r="AB532" s="180"/>
      <c r="AC532" s="180"/>
      <c r="AD532" s="180"/>
      <c r="AE532" s="180"/>
      <c r="AF532" s="180"/>
      <c r="AG532" s="180"/>
      <c r="AH532" s="180"/>
      <c r="AI532" s="180">
        <v>16800000</v>
      </c>
      <c r="AJ532" s="181">
        <f t="shared" si="127"/>
        <v>97.109826589595372</v>
      </c>
      <c r="AK532" s="180">
        <f t="shared" si="141"/>
        <v>500000</v>
      </c>
      <c r="AL532" s="181">
        <f t="shared" si="136"/>
        <v>2.8901734104046244</v>
      </c>
      <c r="AM532" s="243"/>
    </row>
    <row r="533" spans="1:39" ht="29.25" customHeight="1" x14ac:dyDescent="0.25">
      <c r="A533" s="243"/>
      <c r="B533" s="381"/>
      <c r="C533" s="381"/>
      <c r="D533" s="381"/>
      <c r="E533" s="381"/>
      <c r="F533" s="381"/>
      <c r="G533" s="381"/>
      <c r="H533" s="381"/>
      <c r="I533" s="382"/>
      <c r="J533" s="381" t="s">
        <v>318</v>
      </c>
      <c r="K533" s="245"/>
      <c r="L533" s="257"/>
      <c r="M533" s="591" t="s">
        <v>319</v>
      </c>
      <c r="N533" s="592"/>
      <c r="O533" s="179"/>
      <c r="P533" s="180"/>
      <c r="Q533" s="180">
        <v>26250000</v>
      </c>
      <c r="R533" s="181">
        <f t="shared" si="140"/>
        <v>17.036493792226167</v>
      </c>
      <c r="S533" s="181">
        <v>100</v>
      </c>
      <c r="T533" s="180">
        <f t="shared" si="117"/>
        <v>100</v>
      </c>
      <c r="U533" s="180">
        <f t="shared" si="122"/>
        <v>17.036493792226167</v>
      </c>
      <c r="V533" s="182">
        <f t="shared" si="95"/>
        <v>0</v>
      </c>
      <c r="W533" s="180"/>
      <c r="X533" s="180"/>
      <c r="Y533" s="180"/>
      <c r="Z533" s="180"/>
      <c r="AA533" s="180"/>
      <c r="AB533" s="180"/>
      <c r="AC533" s="180"/>
      <c r="AD533" s="180"/>
      <c r="AE533" s="180"/>
      <c r="AF533" s="180"/>
      <c r="AG533" s="180"/>
      <c r="AH533" s="180"/>
      <c r="AI533" s="180">
        <v>26250000</v>
      </c>
      <c r="AJ533" s="181">
        <f t="shared" si="127"/>
        <v>100</v>
      </c>
      <c r="AK533" s="180">
        <f t="shared" si="141"/>
        <v>0</v>
      </c>
      <c r="AL533" s="181">
        <f t="shared" si="136"/>
        <v>0</v>
      </c>
      <c r="AM533" s="243"/>
    </row>
    <row r="534" spans="1:39" ht="29.25" customHeight="1" x14ac:dyDescent="0.25">
      <c r="A534" s="243"/>
      <c r="B534" s="381"/>
      <c r="C534" s="381"/>
      <c r="D534" s="381"/>
      <c r="E534" s="381"/>
      <c r="F534" s="381"/>
      <c r="G534" s="381"/>
      <c r="H534" s="381"/>
      <c r="I534" s="382"/>
      <c r="J534" s="381" t="s">
        <v>284</v>
      </c>
      <c r="K534" s="245"/>
      <c r="L534" s="257"/>
      <c r="M534" s="591" t="s">
        <v>285</v>
      </c>
      <c r="N534" s="592"/>
      <c r="O534" s="179"/>
      <c r="P534" s="180"/>
      <c r="Q534" s="180">
        <v>3000000</v>
      </c>
      <c r="R534" s="181">
        <f t="shared" si="140"/>
        <v>1.9470278619687049</v>
      </c>
      <c r="S534" s="181">
        <v>100</v>
      </c>
      <c r="T534" s="180">
        <f t="shared" si="117"/>
        <v>14.666666666666666</v>
      </c>
      <c r="U534" s="180">
        <f t="shared" si="122"/>
        <v>0.2855640864220767</v>
      </c>
      <c r="V534" s="182">
        <f t="shared" si="95"/>
        <v>85.333333333333329</v>
      </c>
      <c r="W534" s="180"/>
      <c r="X534" s="180"/>
      <c r="Y534" s="180"/>
      <c r="Z534" s="180"/>
      <c r="AA534" s="180"/>
      <c r="AB534" s="180"/>
      <c r="AC534" s="180"/>
      <c r="AD534" s="180"/>
      <c r="AE534" s="180"/>
      <c r="AF534" s="180"/>
      <c r="AG534" s="180"/>
      <c r="AH534" s="180"/>
      <c r="AI534" s="180">
        <v>440000</v>
      </c>
      <c r="AJ534" s="181">
        <f t="shared" si="127"/>
        <v>14.666666666666666</v>
      </c>
      <c r="AK534" s="180">
        <f t="shared" si="141"/>
        <v>2560000</v>
      </c>
      <c r="AL534" s="181">
        <f t="shared" si="136"/>
        <v>85.333333333333343</v>
      </c>
      <c r="AM534" s="243"/>
    </row>
    <row r="535" spans="1:39" ht="29.25" customHeight="1" x14ac:dyDescent="0.25">
      <c r="A535" s="243"/>
      <c r="B535" s="381"/>
      <c r="C535" s="381"/>
      <c r="D535" s="381"/>
      <c r="E535" s="381"/>
      <c r="F535" s="381"/>
      <c r="G535" s="381"/>
      <c r="H535" s="381"/>
      <c r="I535" s="382"/>
      <c r="J535" s="381" t="s">
        <v>282</v>
      </c>
      <c r="K535" s="245"/>
      <c r="L535" s="257"/>
      <c r="M535" s="591" t="s">
        <v>283</v>
      </c>
      <c r="N535" s="592"/>
      <c r="O535" s="179"/>
      <c r="P535" s="180"/>
      <c r="Q535" s="180">
        <v>10245000</v>
      </c>
      <c r="R535" s="181">
        <f t="shared" si="140"/>
        <v>6.6491001486231269</v>
      </c>
      <c r="S535" s="181">
        <v>100</v>
      </c>
      <c r="T535" s="180">
        <f t="shared" si="117"/>
        <v>21.112737920937043</v>
      </c>
      <c r="U535" s="180">
        <f t="shared" si="122"/>
        <v>1.4038070884794362</v>
      </c>
      <c r="V535" s="182">
        <f t="shared" ref="V535:V676" si="142">S535-T535</f>
        <v>78.887262079062964</v>
      </c>
      <c r="W535" s="180"/>
      <c r="X535" s="180"/>
      <c r="Y535" s="180"/>
      <c r="Z535" s="180"/>
      <c r="AA535" s="180"/>
      <c r="AB535" s="180"/>
      <c r="AC535" s="180"/>
      <c r="AD535" s="180"/>
      <c r="AE535" s="180"/>
      <c r="AF535" s="180"/>
      <c r="AG535" s="180"/>
      <c r="AH535" s="180"/>
      <c r="AI535" s="180">
        <v>2163000</v>
      </c>
      <c r="AJ535" s="181">
        <f t="shared" ref="AJ535:AJ602" si="143">AI535/Q535*100</f>
        <v>21.112737920937043</v>
      </c>
      <c r="AK535" s="180">
        <f t="shared" si="141"/>
        <v>8082000</v>
      </c>
      <c r="AL535" s="181">
        <f t="shared" si="136"/>
        <v>78.887262079062964</v>
      </c>
      <c r="AM535" s="243"/>
    </row>
    <row r="536" spans="1:39" ht="29.25" customHeight="1" x14ac:dyDescent="0.25">
      <c r="A536" s="243"/>
      <c r="B536" s="381"/>
      <c r="C536" s="381"/>
      <c r="D536" s="381"/>
      <c r="E536" s="381"/>
      <c r="F536" s="381"/>
      <c r="G536" s="381"/>
      <c r="H536" s="381"/>
      <c r="I536" s="382"/>
      <c r="J536" s="381" t="s">
        <v>320</v>
      </c>
      <c r="K536" s="245"/>
      <c r="L536" s="257"/>
      <c r="M536" s="591" t="s">
        <v>321</v>
      </c>
      <c r="N536" s="592"/>
      <c r="O536" s="179"/>
      <c r="P536" s="180"/>
      <c r="Q536" s="180">
        <v>5800000</v>
      </c>
      <c r="R536" s="181">
        <f t="shared" si="140"/>
        <v>3.7642538664728291</v>
      </c>
      <c r="S536" s="181">
        <v>100</v>
      </c>
      <c r="T536" s="180">
        <f t="shared" si="117"/>
        <v>100</v>
      </c>
      <c r="U536" s="180">
        <f t="shared" si="122"/>
        <v>3.7642538664728291</v>
      </c>
      <c r="V536" s="182">
        <f t="shared" si="142"/>
        <v>0</v>
      </c>
      <c r="W536" s="180"/>
      <c r="X536" s="180"/>
      <c r="Y536" s="180"/>
      <c r="Z536" s="180"/>
      <c r="AA536" s="180"/>
      <c r="AB536" s="180"/>
      <c r="AC536" s="180"/>
      <c r="AD536" s="180"/>
      <c r="AE536" s="180"/>
      <c r="AF536" s="180"/>
      <c r="AG536" s="180"/>
      <c r="AH536" s="180"/>
      <c r="AI536" s="180">
        <v>5800000</v>
      </c>
      <c r="AJ536" s="181">
        <f t="shared" si="143"/>
        <v>100</v>
      </c>
      <c r="AK536" s="180">
        <f t="shared" si="141"/>
        <v>0</v>
      </c>
      <c r="AL536" s="181">
        <f t="shared" si="136"/>
        <v>0</v>
      </c>
      <c r="AM536" s="243"/>
    </row>
    <row r="537" spans="1:39" ht="29.25" customHeight="1" x14ac:dyDescent="0.25">
      <c r="A537" s="243"/>
      <c r="B537" s="381"/>
      <c r="C537" s="381"/>
      <c r="D537" s="381"/>
      <c r="E537" s="381"/>
      <c r="F537" s="381"/>
      <c r="G537" s="381"/>
      <c r="H537" s="381"/>
      <c r="I537" s="382"/>
      <c r="J537" s="381" t="s">
        <v>309</v>
      </c>
      <c r="K537" s="245"/>
      <c r="L537" s="257"/>
      <c r="M537" s="591" t="s">
        <v>607</v>
      </c>
      <c r="N537" s="592"/>
      <c r="O537" s="179"/>
      <c r="P537" s="180"/>
      <c r="Q537" s="180">
        <v>2450000</v>
      </c>
      <c r="R537" s="181">
        <f t="shared" si="140"/>
        <v>1.5900727539411088</v>
      </c>
      <c r="S537" s="181">
        <v>100</v>
      </c>
      <c r="T537" s="180">
        <f t="shared" si="117"/>
        <v>100</v>
      </c>
      <c r="U537" s="180">
        <f t="shared" si="122"/>
        <v>1.5900727539411088</v>
      </c>
      <c r="V537" s="182">
        <f t="shared" si="142"/>
        <v>0</v>
      </c>
      <c r="W537" s="180"/>
      <c r="X537" s="180"/>
      <c r="Y537" s="180"/>
      <c r="Z537" s="180"/>
      <c r="AA537" s="180"/>
      <c r="AB537" s="180"/>
      <c r="AC537" s="180"/>
      <c r="AD537" s="180"/>
      <c r="AE537" s="180"/>
      <c r="AF537" s="180"/>
      <c r="AG537" s="180"/>
      <c r="AH537" s="180"/>
      <c r="AI537" s="180">
        <v>2450000</v>
      </c>
      <c r="AJ537" s="181">
        <f t="shared" si="143"/>
        <v>100</v>
      </c>
      <c r="AK537" s="180">
        <f t="shared" si="141"/>
        <v>0</v>
      </c>
      <c r="AL537" s="181">
        <f t="shared" si="136"/>
        <v>0</v>
      </c>
      <c r="AM537" s="243"/>
    </row>
    <row r="538" spans="1:39" ht="29.25" customHeight="1" x14ac:dyDescent="0.25">
      <c r="A538" s="243"/>
      <c r="B538" s="381"/>
      <c r="C538" s="381"/>
      <c r="D538" s="381"/>
      <c r="E538" s="381"/>
      <c r="F538" s="381"/>
      <c r="G538" s="381"/>
      <c r="H538" s="381"/>
      <c r="I538" s="382"/>
      <c r="J538" s="381" t="s">
        <v>372</v>
      </c>
      <c r="K538" s="245"/>
      <c r="L538" s="257"/>
      <c r="M538" s="591" t="s">
        <v>373</v>
      </c>
      <c r="N538" s="592"/>
      <c r="O538" s="179"/>
      <c r="P538" s="180"/>
      <c r="Q538" s="180">
        <v>11250000</v>
      </c>
      <c r="R538" s="181">
        <f t="shared" si="140"/>
        <v>7.3013544823826422</v>
      </c>
      <c r="S538" s="181"/>
      <c r="T538" s="180">
        <f t="shared" si="117"/>
        <v>92</v>
      </c>
      <c r="U538" s="180">
        <f t="shared" si="122"/>
        <v>6.7172461237920311</v>
      </c>
      <c r="V538" s="182">
        <f t="shared" si="142"/>
        <v>-92</v>
      </c>
      <c r="W538" s="180"/>
      <c r="X538" s="180"/>
      <c r="Y538" s="180"/>
      <c r="Z538" s="180"/>
      <c r="AA538" s="180"/>
      <c r="AB538" s="180"/>
      <c r="AC538" s="180"/>
      <c r="AD538" s="180"/>
      <c r="AE538" s="180"/>
      <c r="AF538" s="180"/>
      <c r="AG538" s="180"/>
      <c r="AH538" s="180"/>
      <c r="AI538" s="180">
        <v>10350000</v>
      </c>
      <c r="AJ538" s="181">
        <f t="shared" si="143"/>
        <v>92</v>
      </c>
      <c r="AK538" s="180">
        <f t="shared" si="141"/>
        <v>900000</v>
      </c>
      <c r="AL538" s="181">
        <f t="shared" si="136"/>
        <v>8</v>
      </c>
      <c r="AM538" s="243"/>
    </row>
    <row r="539" spans="1:39" s="297" customFormat="1" ht="31.5" customHeight="1" x14ac:dyDescent="0.25">
      <c r="A539" s="227">
        <f>A527+1</f>
        <v>67</v>
      </c>
      <c r="B539" s="615" t="s">
        <v>158</v>
      </c>
      <c r="C539" s="615"/>
      <c r="D539" s="615"/>
      <c r="E539" s="615"/>
      <c r="F539" s="615"/>
      <c r="G539" s="615"/>
      <c r="H539" s="615"/>
      <c r="I539" s="614"/>
      <c r="J539" s="304" t="s">
        <v>520</v>
      </c>
      <c r="K539" s="230"/>
      <c r="L539" s="294"/>
      <c r="M539" s="610" t="s">
        <v>165</v>
      </c>
      <c r="N539" s="610"/>
      <c r="O539" s="309">
        <v>355300000</v>
      </c>
      <c r="P539" s="231">
        <v>0</v>
      </c>
      <c r="Q539" s="231">
        <f>SUM(Q540:Q549)</f>
        <v>237999131</v>
      </c>
      <c r="R539" s="233">
        <f>Q539/Q$245*100</f>
        <v>1.9953238517737966</v>
      </c>
      <c r="S539" s="233">
        <v>100</v>
      </c>
      <c r="T539" s="231">
        <f t="shared" si="117"/>
        <v>85.94989365738482</v>
      </c>
      <c r="U539" s="231">
        <f t="shared" si="122"/>
        <v>1.7149787287200129</v>
      </c>
      <c r="V539" s="296">
        <f t="shared" si="142"/>
        <v>14.05010634261518</v>
      </c>
      <c r="W539" s="231"/>
      <c r="X539" s="231"/>
      <c r="Y539" s="231"/>
      <c r="Z539" s="231"/>
      <c r="AA539" s="231"/>
      <c r="AB539" s="231"/>
      <c r="AC539" s="231"/>
      <c r="AD539" s="231"/>
      <c r="AE539" s="231"/>
      <c r="AF539" s="231"/>
      <c r="AG539" s="231" t="e">
        <f>[2]april!N86</f>
        <v>#REF!</v>
      </c>
      <c r="AH539" s="231">
        <f>'[3]DES SKPD'!$N86</f>
        <v>126710000</v>
      </c>
      <c r="AI539" s="231">
        <f>SUM(AI540:AI549)</f>
        <v>204560000</v>
      </c>
      <c r="AJ539" s="233">
        <f t="shared" si="143"/>
        <v>85.94989365738482</v>
      </c>
      <c r="AK539" s="231">
        <f>Q539-AI539</f>
        <v>33439131</v>
      </c>
      <c r="AL539" s="233">
        <f t="shared" si="136"/>
        <v>14.050106342615177</v>
      </c>
      <c r="AM539" s="227"/>
    </row>
    <row r="540" spans="1:39" ht="42.75" customHeight="1" x14ac:dyDescent="0.25">
      <c r="A540" s="243"/>
      <c r="B540" s="381"/>
      <c r="C540" s="381"/>
      <c r="D540" s="381"/>
      <c r="E540" s="381"/>
      <c r="F540" s="381"/>
      <c r="G540" s="381"/>
      <c r="H540" s="381"/>
      <c r="I540" s="382"/>
      <c r="J540" s="381" t="s">
        <v>251</v>
      </c>
      <c r="K540" s="245"/>
      <c r="L540" s="257"/>
      <c r="M540" s="591" t="s">
        <v>324</v>
      </c>
      <c r="N540" s="592"/>
      <c r="O540" s="179"/>
      <c r="P540" s="180"/>
      <c r="Q540" s="180">
        <v>3199131</v>
      </c>
      <c r="R540" s="181">
        <f>Q540/Q$539*100</f>
        <v>1.3441775970182008</v>
      </c>
      <c r="S540" s="181">
        <v>100</v>
      </c>
      <c r="T540" s="180">
        <f t="shared" si="117"/>
        <v>95.650975217957622</v>
      </c>
      <c r="U540" s="180">
        <f t="shared" si="122"/>
        <v>1.2857189802092177</v>
      </c>
      <c r="V540" s="182">
        <f t="shared" si="142"/>
        <v>4.3490247820423775</v>
      </c>
      <c r="W540" s="180"/>
      <c r="X540" s="180"/>
      <c r="Y540" s="180"/>
      <c r="Z540" s="180"/>
      <c r="AA540" s="180"/>
      <c r="AB540" s="180"/>
      <c r="AC540" s="180"/>
      <c r="AD540" s="180"/>
      <c r="AE540" s="180"/>
      <c r="AF540" s="180"/>
      <c r="AG540" s="180"/>
      <c r="AH540" s="180"/>
      <c r="AI540" s="180">
        <v>3060000</v>
      </c>
      <c r="AJ540" s="181">
        <f t="shared" si="143"/>
        <v>95.650975217957622</v>
      </c>
      <c r="AK540" s="180">
        <f>SUM(Q540-AI540)</f>
        <v>139131</v>
      </c>
      <c r="AL540" s="181">
        <f t="shared" si="136"/>
        <v>4.3490247820423731</v>
      </c>
      <c r="AM540" s="243"/>
    </row>
    <row r="541" spans="1:39" ht="42.75" customHeight="1" x14ac:dyDescent="0.25">
      <c r="A541" s="243"/>
      <c r="B541" s="381"/>
      <c r="C541" s="381"/>
      <c r="D541" s="381"/>
      <c r="E541" s="381"/>
      <c r="F541" s="381"/>
      <c r="G541" s="381"/>
      <c r="H541" s="381"/>
      <c r="I541" s="382"/>
      <c r="J541" s="381"/>
      <c r="K541" s="245"/>
      <c r="L541" s="257"/>
      <c r="M541" s="591" t="s">
        <v>346</v>
      </c>
      <c r="N541" s="592"/>
      <c r="O541" s="179"/>
      <c r="P541" s="180"/>
      <c r="Q541" s="180">
        <v>16500000</v>
      </c>
      <c r="R541" s="181">
        <f>Q541/Q$539*100</f>
        <v>6.9327984226967621</v>
      </c>
      <c r="S541" s="181">
        <v>100</v>
      </c>
      <c r="T541" s="180">
        <f t="shared" si="117"/>
        <v>100</v>
      </c>
      <c r="U541" s="180">
        <f t="shared" si="122"/>
        <v>6.9327984226967621</v>
      </c>
      <c r="V541" s="182">
        <f t="shared" si="142"/>
        <v>0</v>
      </c>
      <c r="W541" s="180"/>
      <c r="X541" s="180"/>
      <c r="Y541" s="180"/>
      <c r="Z541" s="180"/>
      <c r="AA541" s="180"/>
      <c r="AB541" s="180"/>
      <c r="AC541" s="180"/>
      <c r="AD541" s="180"/>
      <c r="AE541" s="180"/>
      <c r="AF541" s="180"/>
      <c r="AG541" s="180"/>
      <c r="AH541" s="180"/>
      <c r="AI541" s="180">
        <v>16500000</v>
      </c>
      <c r="AJ541" s="181">
        <f t="shared" si="143"/>
        <v>100</v>
      </c>
      <c r="AK541" s="180">
        <f>SUM(Q541-AI541)</f>
        <v>0</v>
      </c>
      <c r="AL541" s="181">
        <f t="shared" si="136"/>
        <v>0</v>
      </c>
      <c r="AM541" s="243"/>
    </row>
    <row r="542" spans="1:39" ht="24.75" customHeight="1" x14ac:dyDescent="0.25">
      <c r="A542" s="243"/>
      <c r="B542" s="381"/>
      <c r="C542" s="381"/>
      <c r="D542" s="381"/>
      <c r="E542" s="381"/>
      <c r="F542" s="381"/>
      <c r="G542" s="381"/>
      <c r="H542" s="381"/>
      <c r="I542" s="382"/>
      <c r="J542" s="381" t="s">
        <v>315</v>
      </c>
      <c r="K542" s="245"/>
      <c r="L542" s="257"/>
      <c r="M542" s="591" t="s">
        <v>271</v>
      </c>
      <c r="N542" s="592"/>
      <c r="O542" s="179"/>
      <c r="P542" s="180"/>
      <c r="Q542" s="180">
        <v>4000000</v>
      </c>
      <c r="R542" s="181">
        <f t="shared" ref="R542:R549" si="144">Q542/Q$539*100</f>
        <v>1.6806784055022455</v>
      </c>
      <c r="S542" s="181">
        <v>100</v>
      </c>
      <c r="T542" s="180">
        <f t="shared" si="117"/>
        <v>100</v>
      </c>
      <c r="U542" s="180">
        <f t="shared" si="122"/>
        <v>1.6806784055022457</v>
      </c>
      <c r="V542" s="182">
        <f t="shared" si="142"/>
        <v>0</v>
      </c>
      <c r="W542" s="180"/>
      <c r="X542" s="180"/>
      <c r="Y542" s="180"/>
      <c r="Z542" s="180"/>
      <c r="AA542" s="180"/>
      <c r="AB542" s="180"/>
      <c r="AC542" s="180"/>
      <c r="AD542" s="180"/>
      <c r="AE542" s="180"/>
      <c r="AF542" s="180"/>
      <c r="AG542" s="180"/>
      <c r="AH542" s="180"/>
      <c r="AI542" s="180">
        <v>4000000</v>
      </c>
      <c r="AJ542" s="181">
        <f t="shared" si="143"/>
        <v>100</v>
      </c>
      <c r="AK542" s="180">
        <f t="shared" ref="AK542:AK549" si="145">SUM(Q542-AI542)</f>
        <v>0</v>
      </c>
      <c r="AL542" s="181">
        <f t="shared" si="136"/>
        <v>0</v>
      </c>
      <c r="AM542" s="243"/>
    </row>
    <row r="543" spans="1:39" ht="24.75" customHeight="1" x14ac:dyDescent="0.25">
      <c r="A543" s="243"/>
      <c r="B543" s="381"/>
      <c r="C543" s="381"/>
      <c r="D543" s="381"/>
      <c r="E543" s="381"/>
      <c r="F543" s="381"/>
      <c r="G543" s="381"/>
      <c r="H543" s="381"/>
      <c r="I543" s="382"/>
      <c r="J543" s="381" t="s">
        <v>316</v>
      </c>
      <c r="K543" s="245"/>
      <c r="L543" s="257"/>
      <c r="M543" s="591" t="s">
        <v>317</v>
      </c>
      <c r="N543" s="592"/>
      <c r="O543" s="179"/>
      <c r="P543" s="180"/>
      <c r="Q543" s="180">
        <v>3600000</v>
      </c>
      <c r="R543" s="181">
        <f t="shared" si="144"/>
        <v>1.5126105649520207</v>
      </c>
      <c r="S543" s="181">
        <v>100</v>
      </c>
      <c r="T543" s="180">
        <f t="shared" si="117"/>
        <v>100</v>
      </c>
      <c r="U543" s="180">
        <f t="shared" si="122"/>
        <v>1.5126105649520207</v>
      </c>
      <c r="V543" s="182">
        <f t="shared" si="142"/>
        <v>0</v>
      </c>
      <c r="W543" s="180"/>
      <c r="X543" s="180"/>
      <c r="Y543" s="180"/>
      <c r="Z543" s="180"/>
      <c r="AA543" s="180"/>
      <c r="AB543" s="180"/>
      <c r="AC543" s="180"/>
      <c r="AD543" s="180"/>
      <c r="AE543" s="180"/>
      <c r="AF543" s="180"/>
      <c r="AG543" s="180"/>
      <c r="AH543" s="180"/>
      <c r="AI543" s="180">
        <v>3600000</v>
      </c>
      <c r="AJ543" s="181">
        <f t="shared" si="143"/>
        <v>100</v>
      </c>
      <c r="AK543" s="180">
        <f t="shared" si="145"/>
        <v>0</v>
      </c>
      <c r="AL543" s="181">
        <f t="shared" si="136"/>
        <v>0</v>
      </c>
      <c r="AM543" s="243"/>
    </row>
    <row r="544" spans="1:39" ht="24.75" customHeight="1" x14ac:dyDescent="0.25">
      <c r="A544" s="243"/>
      <c r="B544" s="381"/>
      <c r="C544" s="381"/>
      <c r="D544" s="381"/>
      <c r="E544" s="381"/>
      <c r="F544" s="381"/>
      <c r="G544" s="381"/>
      <c r="H544" s="381"/>
      <c r="I544" s="382"/>
      <c r="J544" s="381" t="s">
        <v>370</v>
      </c>
      <c r="K544" s="245"/>
      <c r="L544" s="257"/>
      <c r="M544" s="591" t="s">
        <v>371</v>
      </c>
      <c r="N544" s="592"/>
      <c r="O544" s="179"/>
      <c r="P544" s="180"/>
      <c r="Q544" s="180">
        <v>27000000</v>
      </c>
      <c r="R544" s="181">
        <f t="shared" si="144"/>
        <v>11.344579237140156</v>
      </c>
      <c r="S544" s="181">
        <v>100</v>
      </c>
      <c r="T544" s="180">
        <f t="shared" si="117"/>
        <v>95.18518518518519</v>
      </c>
      <c r="U544" s="180">
        <f t="shared" si="122"/>
        <v>10.798358755351925</v>
      </c>
      <c r="V544" s="182">
        <f t="shared" si="142"/>
        <v>4.8148148148148096</v>
      </c>
      <c r="W544" s="180"/>
      <c r="X544" s="180"/>
      <c r="Y544" s="180"/>
      <c r="Z544" s="180"/>
      <c r="AA544" s="180"/>
      <c r="AB544" s="180"/>
      <c r="AC544" s="180"/>
      <c r="AD544" s="180"/>
      <c r="AE544" s="180"/>
      <c r="AF544" s="180"/>
      <c r="AG544" s="180"/>
      <c r="AH544" s="180"/>
      <c r="AI544" s="180">
        <v>25700000</v>
      </c>
      <c r="AJ544" s="181">
        <f t="shared" si="143"/>
        <v>95.18518518518519</v>
      </c>
      <c r="AK544" s="180">
        <f t="shared" si="145"/>
        <v>1300000</v>
      </c>
      <c r="AL544" s="181">
        <f t="shared" si="136"/>
        <v>4.8148148148148149</v>
      </c>
      <c r="AM544" s="243"/>
    </row>
    <row r="545" spans="1:39" ht="30" customHeight="1" x14ac:dyDescent="0.25">
      <c r="A545" s="243"/>
      <c r="B545" s="381"/>
      <c r="C545" s="381"/>
      <c r="D545" s="381"/>
      <c r="E545" s="381"/>
      <c r="F545" s="381"/>
      <c r="G545" s="381"/>
      <c r="H545" s="381"/>
      <c r="I545" s="382"/>
      <c r="J545" s="381" t="s">
        <v>339</v>
      </c>
      <c r="K545" s="245"/>
      <c r="L545" s="257"/>
      <c r="M545" s="591" t="s">
        <v>340</v>
      </c>
      <c r="N545" s="592"/>
      <c r="O545" s="179"/>
      <c r="P545" s="180"/>
      <c r="Q545" s="180">
        <v>41000000</v>
      </c>
      <c r="R545" s="181">
        <f t="shared" si="144"/>
        <v>17.226953656398013</v>
      </c>
      <c r="S545" s="181">
        <v>100</v>
      </c>
      <c r="T545" s="180">
        <f t="shared" si="117"/>
        <v>100</v>
      </c>
      <c r="U545" s="180">
        <f t="shared" si="122"/>
        <v>17.226953656398013</v>
      </c>
      <c r="V545" s="182">
        <f t="shared" si="142"/>
        <v>0</v>
      </c>
      <c r="W545" s="180"/>
      <c r="X545" s="180"/>
      <c r="Y545" s="180"/>
      <c r="Z545" s="180"/>
      <c r="AA545" s="180"/>
      <c r="AB545" s="180"/>
      <c r="AC545" s="180"/>
      <c r="AD545" s="180"/>
      <c r="AE545" s="180"/>
      <c r="AF545" s="180"/>
      <c r="AG545" s="180"/>
      <c r="AH545" s="180"/>
      <c r="AI545" s="180">
        <v>41000000</v>
      </c>
      <c r="AJ545" s="181">
        <f t="shared" si="143"/>
        <v>100</v>
      </c>
      <c r="AK545" s="180">
        <f t="shared" si="145"/>
        <v>0</v>
      </c>
      <c r="AL545" s="181">
        <f t="shared" si="136"/>
        <v>0</v>
      </c>
      <c r="AM545" s="243"/>
    </row>
    <row r="546" spans="1:39" ht="24.75" customHeight="1" x14ac:dyDescent="0.25">
      <c r="A546" s="243"/>
      <c r="B546" s="381"/>
      <c r="C546" s="381"/>
      <c r="D546" s="381"/>
      <c r="E546" s="381"/>
      <c r="F546" s="381"/>
      <c r="G546" s="381"/>
      <c r="H546" s="381"/>
      <c r="I546" s="382"/>
      <c r="J546" s="381" t="s">
        <v>284</v>
      </c>
      <c r="K546" s="245"/>
      <c r="L546" s="257"/>
      <c r="M546" s="591" t="s">
        <v>285</v>
      </c>
      <c r="N546" s="592"/>
      <c r="O546" s="179"/>
      <c r="P546" s="180"/>
      <c r="Q546" s="180">
        <v>4400000</v>
      </c>
      <c r="R546" s="181">
        <f t="shared" si="144"/>
        <v>1.8487462460524697</v>
      </c>
      <c r="S546" s="181">
        <v>100</v>
      </c>
      <c r="T546" s="180">
        <f t="shared" si="117"/>
        <v>100</v>
      </c>
      <c r="U546" s="180">
        <f t="shared" si="122"/>
        <v>1.8487462460524697</v>
      </c>
      <c r="V546" s="182">
        <f t="shared" si="142"/>
        <v>0</v>
      </c>
      <c r="W546" s="180"/>
      <c r="X546" s="180"/>
      <c r="Y546" s="180"/>
      <c r="Z546" s="180"/>
      <c r="AA546" s="180"/>
      <c r="AB546" s="180"/>
      <c r="AC546" s="180"/>
      <c r="AD546" s="180"/>
      <c r="AE546" s="180"/>
      <c r="AF546" s="180"/>
      <c r="AG546" s="180"/>
      <c r="AH546" s="180"/>
      <c r="AI546" s="180">
        <v>4400000</v>
      </c>
      <c r="AJ546" s="181">
        <f t="shared" si="143"/>
        <v>100</v>
      </c>
      <c r="AK546" s="180">
        <f t="shared" si="145"/>
        <v>0</v>
      </c>
      <c r="AL546" s="181">
        <f t="shared" si="136"/>
        <v>0</v>
      </c>
      <c r="AM546" s="243"/>
    </row>
    <row r="547" spans="1:39" ht="24.75" customHeight="1" x14ac:dyDescent="0.25">
      <c r="A547" s="243"/>
      <c r="B547" s="381"/>
      <c r="C547" s="381"/>
      <c r="D547" s="381"/>
      <c r="E547" s="381"/>
      <c r="F547" s="381"/>
      <c r="G547" s="381"/>
      <c r="H547" s="381"/>
      <c r="I547" s="382"/>
      <c r="J547" s="381" t="s">
        <v>320</v>
      </c>
      <c r="K547" s="245"/>
      <c r="L547" s="257"/>
      <c r="M547" s="591" t="s">
        <v>321</v>
      </c>
      <c r="N547" s="592"/>
      <c r="O547" s="179"/>
      <c r="P547" s="180"/>
      <c r="Q547" s="180">
        <v>33600000</v>
      </c>
      <c r="R547" s="181">
        <f t="shared" si="144"/>
        <v>14.117698606218859</v>
      </c>
      <c r="S547" s="181">
        <v>100</v>
      </c>
      <c r="T547" s="180">
        <f t="shared" si="117"/>
        <v>64.285714285714292</v>
      </c>
      <c r="U547" s="180">
        <f t="shared" si="122"/>
        <v>9.0756633897121244</v>
      </c>
      <c r="V547" s="182">
        <f t="shared" si="142"/>
        <v>35.714285714285708</v>
      </c>
      <c r="W547" s="180"/>
      <c r="X547" s="180"/>
      <c r="Y547" s="180"/>
      <c r="Z547" s="180"/>
      <c r="AA547" s="180"/>
      <c r="AB547" s="180"/>
      <c r="AC547" s="180"/>
      <c r="AD547" s="180"/>
      <c r="AE547" s="180"/>
      <c r="AF547" s="180"/>
      <c r="AG547" s="180"/>
      <c r="AH547" s="180"/>
      <c r="AI547" s="180">
        <v>21600000</v>
      </c>
      <c r="AJ547" s="181">
        <f t="shared" si="143"/>
        <v>64.285714285714292</v>
      </c>
      <c r="AK547" s="180">
        <f t="shared" si="145"/>
        <v>12000000</v>
      </c>
      <c r="AL547" s="181">
        <f t="shared" si="136"/>
        <v>35.714285714285715</v>
      </c>
      <c r="AM547" s="243"/>
    </row>
    <row r="548" spans="1:39" ht="24.75" customHeight="1" x14ac:dyDescent="0.25">
      <c r="A548" s="243"/>
      <c r="B548" s="381"/>
      <c r="C548" s="381"/>
      <c r="D548" s="381"/>
      <c r="E548" s="381"/>
      <c r="F548" s="381"/>
      <c r="G548" s="381"/>
      <c r="H548" s="381"/>
      <c r="I548" s="382"/>
      <c r="J548" s="381" t="s">
        <v>407</v>
      </c>
      <c r="K548" s="245"/>
      <c r="L548" s="257"/>
      <c r="M548" s="591" t="s">
        <v>414</v>
      </c>
      <c r="N548" s="592"/>
      <c r="O548" s="179"/>
      <c r="P548" s="180"/>
      <c r="Q548" s="180">
        <v>2700000</v>
      </c>
      <c r="R548" s="181">
        <f t="shared" si="144"/>
        <v>1.1344579237140155</v>
      </c>
      <c r="S548" s="181"/>
      <c r="T548" s="180">
        <f t="shared" si="117"/>
        <v>100</v>
      </c>
      <c r="U548" s="180">
        <f t="shared" si="122"/>
        <v>1.1344579237140155</v>
      </c>
      <c r="V548" s="182"/>
      <c r="W548" s="180"/>
      <c r="X548" s="180"/>
      <c r="Y548" s="180"/>
      <c r="Z548" s="180"/>
      <c r="AA548" s="180"/>
      <c r="AB548" s="180"/>
      <c r="AC548" s="180"/>
      <c r="AD548" s="180"/>
      <c r="AE548" s="180"/>
      <c r="AF548" s="180"/>
      <c r="AG548" s="180"/>
      <c r="AH548" s="180"/>
      <c r="AI548" s="180">
        <v>2700000</v>
      </c>
      <c r="AJ548" s="181">
        <f t="shared" si="143"/>
        <v>100</v>
      </c>
      <c r="AK548" s="180">
        <f t="shared" si="145"/>
        <v>0</v>
      </c>
      <c r="AL548" s="181"/>
      <c r="AM548" s="243"/>
    </row>
    <row r="549" spans="1:39" ht="24.75" customHeight="1" x14ac:dyDescent="0.25">
      <c r="A549" s="243"/>
      <c r="B549" s="381"/>
      <c r="C549" s="381"/>
      <c r="D549" s="381"/>
      <c r="E549" s="381"/>
      <c r="F549" s="381"/>
      <c r="G549" s="381"/>
      <c r="H549" s="381"/>
      <c r="I549" s="382"/>
      <c r="J549" s="381" t="s">
        <v>372</v>
      </c>
      <c r="K549" s="245"/>
      <c r="L549" s="257"/>
      <c r="M549" s="591" t="s">
        <v>373</v>
      </c>
      <c r="N549" s="592"/>
      <c r="O549" s="179"/>
      <c r="P549" s="180"/>
      <c r="Q549" s="180">
        <v>102000000</v>
      </c>
      <c r="R549" s="181">
        <f t="shared" si="144"/>
        <v>42.85729934030725</v>
      </c>
      <c r="S549" s="181">
        <v>100</v>
      </c>
      <c r="T549" s="180">
        <f t="shared" si="117"/>
        <v>80.392156862745097</v>
      </c>
      <c r="U549" s="180">
        <f t="shared" si="122"/>
        <v>34.453907312796019</v>
      </c>
      <c r="V549" s="182">
        <f t="shared" si="142"/>
        <v>19.607843137254903</v>
      </c>
      <c r="W549" s="180"/>
      <c r="X549" s="180"/>
      <c r="Y549" s="180"/>
      <c r="Z549" s="180"/>
      <c r="AA549" s="180"/>
      <c r="AB549" s="180"/>
      <c r="AC549" s="180"/>
      <c r="AD549" s="180"/>
      <c r="AE549" s="180"/>
      <c r="AF549" s="180"/>
      <c r="AG549" s="180"/>
      <c r="AH549" s="180"/>
      <c r="AI549" s="180">
        <v>82000000</v>
      </c>
      <c r="AJ549" s="181">
        <f t="shared" si="143"/>
        <v>80.392156862745097</v>
      </c>
      <c r="AK549" s="180">
        <f t="shared" si="145"/>
        <v>20000000</v>
      </c>
      <c r="AL549" s="181">
        <f t="shared" ref="AL549:AL613" si="146">AK549/Q549*100</f>
        <v>19.607843137254903</v>
      </c>
      <c r="AM549" s="243"/>
    </row>
    <row r="550" spans="1:39" s="297" customFormat="1" ht="29.25" customHeight="1" x14ac:dyDescent="0.25">
      <c r="A550" s="227">
        <f>SUM(A539+1)</f>
        <v>68</v>
      </c>
      <c r="B550" s="393"/>
      <c r="C550" s="393"/>
      <c r="D550" s="393"/>
      <c r="E550" s="393"/>
      <c r="F550" s="393"/>
      <c r="G550" s="393"/>
      <c r="H550" s="393"/>
      <c r="I550" s="394"/>
      <c r="J550" s="304" t="s">
        <v>521</v>
      </c>
      <c r="K550" s="230"/>
      <c r="L550" s="294"/>
      <c r="M550" s="609" t="s">
        <v>201</v>
      </c>
      <c r="N550" s="614"/>
      <c r="O550" s="309"/>
      <c r="P550" s="231"/>
      <c r="Q550" s="231">
        <f>SUM(Q551:Q558)</f>
        <v>179012754</v>
      </c>
      <c r="R550" s="233">
        <f>Q550/Q$245*100</f>
        <v>1.5007971513472254</v>
      </c>
      <c r="S550" s="233">
        <v>100</v>
      </c>
      <c r="T550" s="231">
        <f t="shared" si="117"/>
        <v>0</v>
      </c>
      <c r="U550" s="231">
        <f t="shared" si="122"/>
        <v>0</v>
      </c>
      <c r="V550" s="296">
        <f t="shared" si="142"/>
        <v>100</v>
      </c>
      <c r="W550" s="231"/>
      <c r="X550" s="231"/>
      <c r="Y550" s="231"/>
      <c r="Z550" s="231"/>
      <c r="AA550" s="231"/>
      <c r="AB550" s="231"/>
      <c r="AC550" s="231"/>
      <c r="AD550" s="231"/>
      <c r="AE550" s="231"/>
      <c r="AF550" s="231"/>
      <c r="AG550" s="231"/>
      <c r="AH550" s="231"/>
      <c r="AI550" s="231">
        <f>SUM(AI551:AI558)</f>
        <v>0</v>
      </c>
      <c r="AJ550" s="233">
        <f t="shared" si="143"/>
        <v>0</v>
      </c>
      <c r="AK550" s="231">
        <f>Q550-AI550</f>
        <v>179012754</v>
      </c>
      <c r="AL550" s="233">
        <f t="shared" si="146"/>
        <v>100</v>
      </c>
      <c r="AM550" s="227"/>
    </row>
    <row r="551" spans="1:39" ht="27" customHeight="1" x14ac:dyDescent="0.25">
      <c r="A551" s="243"/>
      <c r="B551" s="381"/>
      <c r="C551" s="381"/>
      <c r="D551" s="381"/>
      <c r="E551" s="381"/>
      <c r="F551" s="381"/>
      <c r="G551" s="381"/>
      <c r="H551" s="381"/>
      <c r="I551" s="382"/>
      <c r="J551" s="381" t="s">
        <v>257</v>
      </c>
      <c r="K551" s="245"/>
      <c r="L551" s="257"/>
      <c r="M551" s="591" t="s">
        <v>324</v>
      </c>
      <c r="N551" s="592"/>
      <c r="O551" s="179"/>
      <c r="P551" s="180"/>
      <c r="Q551" s="180">
        <v>3000000</v>
      </c>
      <c r="R551" s="181">
        <f>Q551/Q$550*100</f>
        <v>1.6758582463906455</v>
      </c>
      <c r="S551" s="181">
        <v>100</v>
      </c>
      <c r="T551" s="180">
        <f t="shared" si="117"/>
        <v>0</v>
      </c>
      <c r="U551" s="180">
        <f t="shared" si="122"/>
        <v>0</v>
      </c>
      <c r="V551" s="182">
        <f t="shared" si="142"/>
        <v>100</v>
      </c>
      <c r="W551" s="180"/>
      <c r="X551" s="180"/>
      <c r="Y551" s="180"/>
      <c r="Z551" s="180"/>
      <c r="AA551" s="180"/>
      <c r="AB551" s="180"/>
      <c r="AC551" s="180"/>
      <c r="AD551" s="180"/>
      <c r="AE551" s="180"/>
      <c r="AF551" s="180"/>
      <c r="AG551" s="180"/>
      <c r="AH551" s="180"/>
      <c r="AI551" s="180">
        <v>0</v>
      </c>
      <c r="AJ551" s="181">
        <f t="shared" si="143"/>
        <v>0</v>
      </c>
      <c r="AK551" s="180">
        <f>SUM(Q551-AI551)</f>
        <v>3000000</v>
      </c>
      <c r="AL551" s="181">
        <f t="shared" si="146"/>
        <v>100</v>
      </c>
      <c r="AM551" s="243"/>
    </row>
    <row r="552" spans="1:39" ht="24.75" customHeight="1" x14ac:dyDescent="0.25">
      <c r="A552" s="243"/>
      <c r="B552" s="381"/>
      <c r="C552" s="381"/>
      <c r="D552" s="381"/>
      <c r="E552" s="381"/>
      <c r="F552" s="381"/>
      <c r="G552" s="381"/>
      <c r="H552" s="381"/>
      <c r="I552" s="382"/>
      <c r="J552" s="381" t="s">
        <v>315</v>
      </c>
      <c r="K552" s="245"/>
      <c r="L552" s="257"/>
      <c r="M552" s="591" t="s">
        <v>271</v>
      </c>
      <c r="N552" s="592"/>
      <c r="O552" s="179"/>
      <c r="P552" s="180"/>
      <c r="Q552" s="180">
        <v>8120000</v>
      </c>
      <c r="R552" s="181">
        <f t="shared" ref="R552:R558" si="147">Q552/Q$550*100</f>
        <v>4.5359896535640134</v>
      </c>
      <c r="S552" s="181">
        <v>100</v>
      </c>
      <c r="T552" s="180">
        <f t="shared" si="117"/>
        <v>0</v>
      </c>
      <c r="U552" s="180">
        <f t="shared" si="122"/>
        <v>0</v>
      </c>
      <c r="V552" s="182">
        <f t="shared" si="142"/>
        <v>100</v>
      </c>
      <c r="W552" s="180"/>
      <c r="X552" s="180"/>
      <c r="Y552" s="180"/>
      <c r="Z552" s="180"/>
      <c r="AA552" s="180"/>
      <c r="AB552" s="180"/>
      <c r="AC552" s="180"/>
      <c r="AD552" s="180"/>
      <c r="AE552" s="180"/>
      <c r="AF552" s="180"/>
      <c r="AG552" s="180"/>
      <c r="AH552" s="180"/>
      <c r="AI552" s="180">
        <v>0</v>
      </c>
      <c r="AJ552" s="181">
        <f t="shared" si="143"/>
        <v>0</v>
      </c>
      <c r="AK552" s="180">
        <f t="shared" ref="AK552:AK558" si="148">SUM(Q552-AI552)</f>
        <v>8120000</v>
      </c>
      <c r="AL552" s="181">
        <f t="shared" si="146"/>
        <v>100</v>
      </c>
      <c r="AM552" s="243"/>
    </row>
    <row r="553" spans="1:39" ht="24.75" customHeight="1" x14ac:dyDescent="0.25">
      <c r="A553" s="243"/>
      <c r="B553" s="381"/>
      <c r="C553" s="381"/>
      <c r="D553" s="381"/>
      <c r="E553" s="381"/>
      <c r="F553" s="381"/>
      <c r="G553" s="381"/>
      <c r="H553" s="381"/>
      <c r="I553" s="382"/>
      <c r="J553" s="381" t="s">
        <v>316</v>
      </c>
      <c r="K553" s="245"/>
      <c r="L553" s="257"/>
      <c r="M553" s="591" t="s">
        <v>317</v>
      </c>
      <c r="N553" s="592"/>
      <c r="O553" s="179"/>
      <c r="P553" s="180"/>
      <c r="Q553" s="180">
        <v>5700000</v>
      </c>
      <c r="R553" s="181">
        <f t="shared" si="147"/>
        <v>3.1841306681422266</v>
      </c>
      <c r="S553" s="181">
        <v>100</v>
      </c>
      <c r="T553" s="180">
        <f t="shared" si="117"/>
        <v>0</v>
      </c>
      <c r="U553" s="180">
        <f t="shared" si="122"/>
        <v>0</v>
      </c>
      <c r="V553" s="182">
        <f t="shared" si="142"/>
        <v>100</v>
      </c>
      <c r="W553" s="180"/>
      <c r="X553" s="180"/>
      <c r="Y553" s="180"/>
      <c r="Z553" s="180"/>
      <c r="AA553" s="180"/>
      <c r="AB553" s="180"/>
      <c r="AC553" s="180"/>
      <c r="AD553" s="180"/>
      <c r="AE553" s="180"/>
      <c r="AF553" s="180"/>
      <c r="AG553" s="180"/>
      <c r="AH553" s="180"/>
      <c r="AI553" s="180">
        <v>0</v>
      </c>
      <c r="AJ553" s="181">
        <f t="shared" si="143"/>
        <v>0</v>
      </c>
      <c r="AK553" s="180">
        <f t="shared" si="148"/>
        <v>5700000</v>
      </c>
      <c r="AL553" s="181">
        <f t="shared" si="146"/>
        <v>100</v>
      </c>
      <c r="AM553" s="243"/>
    </row>
    <row r="554" spans="1:39" ht="24.75" customHeight="1" x14ac:dyDescent="0.25">
      <c r="A554" s="243"/>
      <c r="B554" s="381"/>
      <c r="C554" s="381"/>
      <c r="D554" s="381"/>
      <c r="E554" s="381"/>
      <c r="F554" s="381"/>
      <c r="G554" s="381"/>
      <c r="H554" s="381"/>
      <c r="I554" s="382"/>
      <c r="J554" s="381" t="s">
        <v>339</v>
      </c>
      <c r="K554" s="245"/>
      <c r="L554" s="257"/>
      <c r="M554" s="591" t="s">
        <v>329</v>
      </c>
      <c r="N554" s="592"/>
      <c r="O554" s="179"/>
      <c r="P554" s="180"/>
      <c r="Q554" s="180">
        <v>35000000</v>
      </c>
      <c r="R554" s="181">
        <f t="shared" si="147"/>
        <v>19.551679541224196</v>
      </c>
      <c r="S554" s="181">
        <v>100</v>
      </c>
      <c r="T554" s="180">
        <f t="shared" si="117"/>
        <v>0</v>
      </c>
      <c r="U554" s="180">
        <f t="shared" si="122"/>
        <v>0</v>
      </c>
      <c r="V554" s="182">
        <f t="shared" si="142"/>
        <v>100</v>
      </c>
      <c r="W554" s="180"/>
      <c r="X554" s="180"/>
      <c r="Y554" s="180"/>
      <c r="Z554" s="180"/>
      <c r="AA554" s="180"/>
      <c r="AB554" s="180"/>
      <c r="AC554" s="180"/>
      <c r="AD554" s="180"/>
      <c r="AE554" s="180"/>
      <c r="AF554" s="180"/>
      <c r="AG554" s="180"/>
      <c r="AH554" s="180"/>
      <c r="AI554" s="180">
        <v>0</v>
      </c>
      <c r="AJ554" s="181">
        <f t="shared" si="143"/>
        <v>0</v>
      </c>
      <c r="AK554" s="180">
        <f t="shared" si="148"/>
        <v>35000000</v>
      </c>
      <c r="AL554" s="181">
        <f t="shared" si="146"/>
        <v>100</v>
      </c>
      <c r="AM554" s="243"/>
    </row>
    <row r="555" spans="1:39" ht="24.75" customHeight="1" x14ac:dyDescent="0.25">
      <c r="A555" s="243"/>
      <c r="B555" s="381"/>
      <c r="C555" s="381"/>
      <c r="D555" s="381"/>
      <c r="E555" s="381"/>
      <c r="F555" s="381"/>
      <c r="G555" s="381"/>
      <c r="H555" s="381"/>
      <c r="I555" s="382"/>
      <c r="J555" s="381" t="s">
        <v>284</v>
      </c>
      <c r="K555" s="245"/>
      <c r="L555" s="257"/>
      <c r="M555" s="591" t="s">
        <v>620</v>
      </c>
      <c r="N555" s="592"/>
      <c r="O555" s="179"/>
      <c r="P555" s="180"/>
      <c r="Q555" s="180">
        <v>36000000</v>
      </c>
      <c r="R555" s="181">
        <f t="shared" si="147"/>
        <v>20.110298956687743</v>
      </c>
      <c r="S555" s="181"/>
      <c r="T555" s="180">
        <f t="shared" si="117"/>
        <v>0</v>
      </c>
      <c r="U555" s="180">
        <f t="shared" si="122"/>
        <v>0</v>
      </c>
      <c r="V555" s="182"/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>
        <v>0</v>
      </c>
      <c r="AJ555" s="181">
        <f t="shared" si="143"/>
        <v>0</v>
      </c>
      <c r="AK555" s="180">
        <f t="shared" si="148"/>
        <v>36000000</v>
      </c>
      <c r="AL555" s="181">
        <f t="shared" si="146"/>
        <v>100</v>
      </c>
      <c r="AM555" s="243"/>
    </row>
    <row r="556" spans="1:39" ht="24.75" customHeight="1" x14ac:dyDescent="0.25">
      <c r="A556" s="243"/>
      <c r="B556" s="381"/>
      <c r="C556" s="381"/>
      <c r="D556" s="381"/>
      <c r="E556" s="381"/>
      <c r="F556" s="381"/>
      <c r="G556" s="381"/>
      <c r="H556" s="381"/>
      <c r="I556" s="382"/>
      <c r="J556" s="381" t="s">
        <v>320</v>
      </c>
      <c r="K556" s="245"/>
      <c r="L556" s="257"/>
      <c r="M556" s="591" t="s">
        <v>621</v>
      </c>
      <c r="N556" s="592"/>
      <c r="O556" s="179"/>
      <c r="P556" s="180"/>
      <c r="Q556" s="180">
        <v>10592754</v>
      </c>
      <c r="R556" s="181">
        <f t="shared" si="147"/>
        <v>5.9173180476291654</v>
      </c>
      <c r="S556" s="181">
        <v>100</v>
      </c>
      <c r="T556" s="180">
        <f t="shared" si="117"/>
        <v>0</v>
      </c>
      <c r="U556" s="180">
        <f t="shared" si="122"/>
        <v>0</v>
      </c>
      <c r="V556" s="182">
        <f t="shared" si="142"/>
        <v>100</v>
      </c>
      <c r="W556" s="180"/>
      <c r="X556" s="180"/>
      <c r="Y556" s="180"/>
      <c r="Z556" s="180"/>
      <c r="AA556" s="180"/>
      <c r="AB556" s="180"/>
      <c r="AC556" s="180"/>
      <c r="AD556" s="180"/>
      <c r="AE556" s="180"/>
      <c r="AF556" s="180"/>
      <c r="AG556" s="180"/>
      <c r="AH556" s="180"/>
      <c r="AI556" s="180">
        <v>0</v>
      </c>
      <c r="AJ556" s="181">
        <f t="shared" si="143"/>
        <v>0</v>
      </c>
      <c r="AK556" s="180">
        <f t="shared" si="148"/>
        <v>10592754</v>
      </c>
      <c r="AL556" s="181">
        <f t="shared" si="146"/>
        <v>100</v>
      </c>
      <c r="AM556" s="243"/>
    </row>
    <row r="557" spans="1:39" ht="24.75" customHeight="1" x14ac:dyDescent="0.25">
      <c r="A557" s="243"/>
      <c r="B557" s="381"/>
      <c r="C557" s="381"/>
      <c r="D557" s="381"/>
      <c r="E557" s="381"/>
      <c r="F557" s="381"/>
      <c r="G557" s="381"/>
      <c r="H557" s="381"/>
      <c r="I557" s="382"/>
      <c r="J557" s="381" t="s">
        <v>407</v>
      </c>
      <c r="K557" s="245"/>
      <c r="L557" s="257"/>
      <c r="M557" s="591" t="s">
        <v>321</v>
      </c>
      <c r="N557" s="592"/>
      <c r="O557" s="179"/>
      <c r="P557" s="180"/>
      <c r="Q557" s="180">
        <v>70400000</v>
      </c>
      <c r="R557" s="181">
        <f t="shared" si="147"/>
        <v>39.326806848633808</v>
      </c>
      <c r="S557" s="181">
        <v>100</v>
      </c>
      <c r="T557" s="180">
        <f t="shared" si="117"/>
        <v>0</v>
      </c>
      <c r="U557" s="180">
        <f t="shared" si="122"/>
        <v>0</v>
      </c>
      <c r="V557" s="182">
        <f t="shared" si="142"/>
        <v>100</v>
      </c>
      <c r="W557" s="180"/>
      <c r="X557" s="180"/>
      <c r="Y557" s="180"/>
      <c r="Z557" s="180"/>
      <c r="AA557" s="180"/>
      <c r="AB557" s="180"/>
      <c r="AC557" s="180"/>
      <c r="AD557" s="180"/>
      <c r="AE557" s="180"/>
      <c r="AF557" s="180"/>
      <c r="AG557" s="180"/>
      <c r="AH557" s="180"/>
      <c r="AI557" s="180">
        <v>0</v>
      </c>
      <c r="AJ557" s="181">
        <f t="shared" si="143"/>
        <v>0</v>
      </c>
      <c r="AK557" s="180">
        <f t="shared" si="148"/>
        <v>70400000</v>
      </c>
      <c r="AL557" s="181">
        <f t="shared" si="146"/>
        <v>100</v>
      </c>
      <c r="AM557" s="243"/>
    </row>
    <row r="558" spans="1:39" ht="24.75" customHeight="1" x14ac:dyDescent="0.25">
      <c r="A558" s="243"/>
      <c r="B558" s="381"/>
      <c r="C558" s="381"/>
      <c r="D558" s="381"/>
      <c r="E558" s="381"/>
      <c r="F558" s="381"/>
      <c r="G558" s="381"/>
      <c r="H558" s="381"/>
      <c r="I558" s="382"/>
      <c r="J558" s="381" t="s">
        <v>343</v>
      </c>
      <c r="K558" s="245"/>
      <c r="L558" s="257"/>
      <c r="M558" s="591" t="s">
        <v>414</v>
      </c>
      <c r="N558" s="592"/>
      <c r="O558" s="179"/>
      <c r="P558" s="180"/>
      <c r="Q558" s="180">
        <v>10200000</v>
      </c>
      <c r="R558" s="181">
        <f t="shared" si="147"/>
        <v>5.6979180377281944</v>
      </c>
      <c r="S558" s="181">
        <v>100</v>
      </c>
      <c r="T558" s="180">
        <f t="shared" si="117"/>
        <v>0</v>
      </c>
      <c r="U558" s="180">
        <f t="shared" si="122"/>
        <v>0</v>
      </c>
      <c r="V558" s="182">
        <f t="shared" si="142"/>
        <v>100</v>
      </c>
      <c r="W558" s="180"/>
      <c r="X558" s="180"/>
      <c r="Y558" s="180"/>
      <c r="Z558" s="180"/>
      <c r="AA558" s="180"/>
      <c r="AB558" s="180"/>
      <c r="AC558" s="180"/>
      <c r="AD558" s="180"/>
      <c r="AE558" s="180"/>
      <c r="AF558" s="180"/>
      <c r="AG558" s="180"/>
      <c r="AH558" s="180"/>
      <c r="AI558" s="180">
        <v>0</v>
      </c>
      <c r="AJ558" s="181">
        <f t="shared" si="143"/>
        <v>0</v>
      </c>
      <c r="AK558" s="180">
        <f t="shared" si="148"/>
        <v>10200000</v>
      </c>
      <c r="AL558" s="181">
        <f t="shared" si="146"/>
        <v>100</v>
      </c>
      <c r="AM558" s="243"/>
    </row>
    <row r="559" spans="1:39" s="297" customFormat="1" ht="24.75" customHeight="1" x14ac:dyDescent="0.25">
      <c r="A559" s="227">
        <f>SUM(A550+1)</f>
        <v>69</v>
      </c>
      <c r="B559" s="393"/>
      <c r="C559" s="393"/>
      <c r="D559" s="393"/>
      <c r="E559" s="393"/>
      <c r="F559" s="393"/>
      <c r="G559" s="393"/>
      <c r="H559" s="393"/>
      <c r="I559" s="394"/>
      <c r="J559" s="304" t="s">
        <v>522</v>
      </c>
      <c r="K559" s="230"/>
      <c r="L559" s="294"/>
      <c r="M559" s="610" t="s">
        <v>202</v>
      </c>
      <c r="N559" s="612"/>
      <c r="O559" s="309"/>
      <c r="P559" s="231"/>
      <c r="Q559" s="231">
        <f>SUM(Q560:Q568)</f>
        <v>311010000</v>
      </c>
      <c r="R559" s="233">
        <f>Q559/Q$245*100</f>
        <v>2.6074283067032229</v>
      </c>
      <c r="S559" s="233">
        <v>100</v>
      </c>
      <c r="T559" s="231">
        <f t="shared" si="117"/>
        <v>65.293398926079547</v>
      </c>
      <c r="U559" s="231">
        <f t="shared" si="122"/>
        <v>1.7024785660072561</v>
      </c>
      <c r="V559" s="296">
        <f t="shared" si="142"/>
        <v>34.706601073920453</v>
      </c>
      <c r="W559" s="231"/>
      <c r="X559" s="231"/>
      <c r="Y559" s="231"/>
      <c r="Z559" s="231"/>
      <c r="AA559" s="231"/>
      <c r="AB559" s="231"/>
      <c r="AC559" s="231"/>
      <c r="AD559" s="231"/>
      <c r="AE559" s="231"/>
      <c r="AF559" s="231"/>
      <c r="AG559" s="231"/>
      <c r="AH559" s="231"/>
      <c r="AI559" s="231">
        <f>SUM(AI560:AI568)</f>
        <v>203069000</v>
      </c>
      <c r="AJ559" s="233">
        <f t="shared" si="143"/>
        <v>65.293398926079547</v>
      </c>
      <c r="AK559" s="231">
        <f>Q559-AI559</f>
        <v>107941000</v>
      </c>
      <c r="AL559" s="233">
        <f t="shared" si="146"/>
        <v>34.706601073920453</v>
      </c>
      <c r="AM559" s="227"/>
    </row>
    <row r="560" spans="1:39" ht="24.75" customHeight="1" x14ac:dyDescent="0.25">
      <c r="A560" s="243"/>
      <c r="B560" s="381"/>
      <c r="C560" s="381"/>
      <c r="D560" s="381"/>
      <c r="E560" s="381"/>
      <c r="F560" s="381"/>
      <c r="G560" s="381"/>
      <c r="H560" s="381"/>
      <c r="I560" s="382"/>
      <c r="J560" s="381" t="s">
        <v>259</v>
      </c>
      <c r="K560" s="245"/>
      <c r="L560" s="257"/>
      <c r="M560" s="591" t="s">
        <v>260</v>
      </c>
      <c r="N560" s="592"/>
      <c r="O560" s="179"/>
      <c r="P560" s="180"/>
      <c r="Q560" s="180">
        <v>2220000</v>
      </c>
      <c r="R560" s="181">
        <f t="shared" ref="R560:R567" si="149">Q560/Q$559*100</f>
        <v>0.71380341468120001</v>
      </c>
      <c r="S560" s="181">
        <v>100</v>
      </c>
      <c r="T560" s="180">
        <f t="shared" si="117"/>
        <v>66.666666666666657</v>
      </c>
      <c r="U560" s="180">
        <f t="shared" si="122"/>
        <v>0.47586894312079991</v>
      </c>
      <c r="V560" s="182">
        <f t="shared" si="142"/>
        <v>33.333333333333343</v>
      </c>
      <c r="W560" s="180"/>
      <c r="X560" s="180"/>
      <c r="Y560" s="180"/>
      <c r="Z560" s="180"/>
      <c r="AA560" s="180"/>
      <c r="AB560" s="180"/>
      <c r="AC560" s="180"/>
      <c r="AD560" s="180"/>
      <c r="AE560" s="180"/>
      <c r="AF560" s="180"/>
      <c r="AG560" s="180"/>
      <c r="AH560" s="180"/>
      <c r="AI560" s="180">
        <f>740000+740000</f>
        <v>1480000</v>
      </c>
      <c r="AJ560" s="181">
        <f t="shared" si="143"/>
        <v>66.666666666666657</v>
      </c>
      <c r="AK560" s="180">
        <f t="shared" ref="AK560:AK567" si="150">SUM(Q560-AI560)</f>
        <v>740000</v>
      </c>
      <c r="AL560" s="181">
        <f t="shared" si="146"/>
        <v>33.333333333333329</v>
      </c>
      <c r="AM560" s="243"/>
    </row>
    <row r="561" spans="1:39" ht="24.75" customHeight="1" x14ac:dyDescent="0.25">
      <c r="A561" s="243"/>
      <c r="B561" s="381"/>
      <c r="C561" s="381"/>
      <c r="D561" s="381"/>
      <c r="E561" s="381"/>
      <c r="F561" s="381"/>
      <c r="G561" s="381"/>
      <c r="H561" s="381"/>
      <c r="I561" s="382"/>
      <c r="J561" s="381" t="s">
        <v>347</v>
      </c>
      <c r="K561" s="245"/>
      <c r="L561" s="257"/>
      <c r="M561" s="591" t="s">
        <v>622</v>
      </c>
      <c r="N561" s="592"/>
      <c r="O561" s="179"/>
      <c r="P561" s="180"/>
      <c r="Q561" s="180">
        <v>44250000</v>
      </c>
      <c r="R561" s="181">
        <f t="shared" si="149"/>
        <v>14.227838333172565</v>
      </c>
      <c r="S561" s="181">
        <v>100</v>
      </c>
      <c r="T561" s="180">
        <f t="shared" si="117"/>
        <v>66.666666666666657</v>
      </c>
      <c r="U561" s="180"/>
      <c r="V561" s="182">
        <f t="shared" si="142"/>
        <v>33.333333333333343</v>
      </c>
      <c r="W561" s="180"/>
      <c r="X561" s="180"/>
      <c r="Y561" s="180"/>
      <c r="Z561" s="180"/>
      <c r="AA561" s="180"/>
      <c r="AB561" s="180"/>
      <c r="AC561" s="180"/>
      <c r="AD561" s="180"/>
      <c r="AE561" s="180"/>
      <c r="AF561" s="180"/>
      <c r="AG561" s="180"/>
      <c r="AH561" s="180"/>
      <c r="AI561" s="180">
        <f>14750000+14750000</f>
        <v>29500000</v>
      </c>
      <c r="AJ561" s="181">
        <f t="shared" si="143"/>
        <v>66.666666666666657</v>
      </c>
      <c r="AK561" s="180">
        <f t="shared" si="150"/>
        <v>14750000</v>
      </c>
      <c r="AL561" s="181">
        <f t="shared" si="146"/>
        <v>33.333333333333329</v>
      </c>
      <c r="AM561" s="243"/>
    </row>
    <row r="562" spans="1:39" ht="24.75" customHeight="1" x14ac:dyDescent="0.25">
      <c r="A562" s="243"/>
      <c r="B562" s="381"/>
      <c r="C562" s="381"/>
      <c r="D562" s="381"/>
      <c r="E562" s="381"/>
      <c r="F562" s="381"/>
      <c r="G562" s="381"/>
      <c r="H562" s="381"/>
      <c r="I562" s="382"/>
      <c r="J562" s="381" t="s">
        <v>269</v>
      </c>
      <c r="K562" s="245"/>
      <c r="L562" s="257"/>
      <c r="M562" s="591" t="s">
        <v>270</v>
      </c>
      <c r="N562" s="592"/>
      <c r="O562" s="179"/>
      <c r="P562" s="180"/>
      <c r="Q562" s="180">
        <v>15000000</v>
      </c>
      <c r="R562" s="181">
        <f t="shared" si="149"/>
        <v>4.8229960451432428</v>
      </c>
      <c r="S562" s="181">
        <v>100</v>
      </c>
      <c r="T562" s="180">
        <f t="shared" si="117"/>
        <v>66.666666666666657</v>
      </c>
      <c r="U562" s="180">
        <f t="shared" si="122"/>
        <v>3.2153306967621615</v>
      </c>
      <c r="V562" s="182">
        <f t="shared" si="142"/>
        <v>33.333333333333343</v>
      </c>
      <c r="W562" s="180"/>
      <c r="X562" s="180"/>
      <c r="Y562" s="180"/>
      <c r="Z562" s="180"/>
      <c r="AA562" s="180"/>
      <c r="AB562" s="180"/>
      <c r="AC562" s="180"/>
      <c r="AD562" s="180"/>
      <c r="AE562" s="180"/>
      <c r="AF562" s="180"/>
      <c r="AG562" s="180"/>
      <c r="AH562" s="180"/>
      <c r="AI562" s="180">
        <f>5000000+5000000</f>
        <v>10000000</v>
      </c>
      <c r="AJ562" s="181">
        <f t="shared" si="143"/>
        <v>66.666666666666657</v>
      </c>
      <c r="AK562" s="180">
        <f t="shared" si="150"/>
        <v>5000000</v>
      </c>
      <c r="AL562" s="181">
        <f t="shared" si="146"/>
        <v>33.333333333333329</v>
      </c>
      <c r="AM562" s="243"/>
    </row>
    <row r="563" spans="1:39" ht="24.75" customHeight="1" x14ac:dyDescent="0.25">
      <c r="A563" s="243"/>
      <c r="B563" s="381"/>
      <c r="C563" s="381"/>
      <c r="D563" s="381"/>
      <c r="E563" s="381"/>
      <c r="F563" s="381"/>
      <c r="G563" s="381"/>
      <c r="H563" s="381"/>
      <c r="I563" s="382"/>
      <c r="J563" s="381" t="s">
        <v>315</v>
      </c>
      <c r="K563" s="245"/>
      <c r="L563" s="257"/>
      <c r="M563" s="591" t="s">
        <v>271</v>
      </c>
      <c r="N563" s="592"/>
      <c r="O563" s="179"/>
      <c r="P563" s="180"/>
      <c r="Q563" s="180">
        <v>10710000</v>
      </c>
      <c r="R563" s="181">
        <f t="shared" si="149"/>
        <v>3.443619176232275</v>
      </c>
      <c r="S563" s="181">
        <v>100</v>
      </c>
      <c r="T563" s="180">
        <f t="shared" si="117"/>
        <v>66.666666666666657</v>
      </c>
      <c r="U563" s="180">
        <f t="shared" si="122"/>
        <v>2.295746117488183</v>
      </c>
      <c r="V563" s="182">
        <f t="shared" si="142"/>
        <v>33.333333333333343</v>
      </c>
      <c r="W563" s="180"/>
      <c r="X563" s="180"/>
      <c r="Y563" s="180"/>
      <c r="Z563" s="180"/>
      <c r="AA563" s="180"/>
      <c r="AB563" s="180"/>
      <c r="AC563" s="180"/>
      <c r="AD563" s="180"/>
      <c r="AE563" s="180"/>
      <c r="AF563" s="180"/>
      <c r="AG563" s="180"/>
      <c r="AH563" s="180"/>
      <c r="AI563" s="180">
        <f>3570000+3570000</f>
        <v>7140000</v>
      </c>
      <c r="AJ563" s="181">
        <f t="shared" si="143"/>
        <v>66.666666666666657</v>
      </c>
      <c r="AK563" s="180">
        <f t="shared" si="150"/>
        <v>3570000</v>
      </c>
      <c r="AL563" s="181">
        <f t="shared" si="146"/>
        <v>33.333333333333329</v>
      </c>
      <c r="AM563" s="243"/>
    </row>
    <row r="564" spans="1:39" ht="24.75" customHeight="1" x14ac:dyDescent="0.25">
      <c r="A564" s="243"/>
      <c r="B564" s="381"/>
      <c r="C564" s="381"/>
      <c r="D564" s="381"/>
      <c r="E564" s="381"/>
      <c r="F564" s="381"/>
      <c r="G564" s="381"/>
      <c r="H564" s="381"/>
      <c r="I564" s="382"/>
      <c r="J564" s="381" t="s">
        <v>318</v>
      </c>
      <c r="K564" s="245"/>
      <c r="L564" s="257"/>
      <c r="M564" s="591" t="s">
        <v>319</v>
      </c>
      <c r="N564" s="592"/>
      <c r="O564" s="179"/>
      <c r="P564" s="180"/>
      <c r="Q564" s="180">
        <v>179970000</v>
      </c>
      <c r="R564" s="181">
        <f t="shared" si="149"/>
        <v>57.866306549628632</v>
      </c>
      <c r="S564" s="181">
        <v>100</v>
      </c>
      <c r="T564" s="180">
        <f t="shared" si="117"/>
        <v>66.666666666666657</v>
      </c>
      <c r="U564" s="180">
        <f t="shared" si="122"/>
        <v>38.577537699752412</v>
      </c>
      <c r="V564" s="182">
        <f t="shared" si="142"/>
        <v>33.333333333333343</v>
      </c>
      <c r="W564" s="180"/>
      <c r="X564" s="180"/>
      <c r="Y564" s="180"/>
      <c r="Z564" s="180"/>
      <c r="AA564" s="180"/>
      <c r="AB564" s="180"/>
      <c r="AC564" s="180"/>
      <c r="AD564" s="180"/>
      <c r="AE564" s="180"/>
      <c r="AF564" s="180"/>
      <c r="AG564" s="180"/>
      <c r="AH564" s="180"/>
      <c r="AI564" s="180">
        <f>59990000+59990000</f>
        <v>119980000</v>
      </c>
      <c r="AJ564" s="181">
        <f t="shared" si="143"/>
        <v>66.666666666666657</v>
      </c>
      <c r="AK564" s="180">
        <f t="shared" si="150"/>
        <v>59990000</v>
      </c>
      <c r="AL564" s="181">
        <f t="shared" si="146"/>
        <v>33.333333333333329</v>
      </c>
      <c r="AM564" s="243"/>
    </row>
    <row r="565" spans="1:39" ht="24.75" customHeight="1" x14ac:dyDescent="0.25">
      <c r="A565" s="243"/>
      <c r="B565" s="381"/>
      <c r="C565" s="381"/>
      <c r="D565" s="381"/>
      <c r="E565" s="381"/>
      <c r="F565" s="381"/>
      <c r="G565" s="381"/>
      <c r="H565" s="381"/>
      <c r="I565" s="382"/>
      <c r="J565" s="381" t="s">
        <v>284</v>
      </c>
      <c r="K565" s="245"/>
      <c r="L565" s="257"/>
      <c r="M565" s="591" t="s">
        <v>285</v>
      </c>
      <c r="N565" s="592"/>
      <c r="O565" s="179"/>
      <c r="P565" s="180"/>
      <c r="Q565" s="180">
        <v>1320000</v>
      </c>
      <c r="R565" s="181">
        <f t="shared" si="149"/>
        <v>0.4244236519726054</v>
      </c>
      <c r="S565" s="181">
        <v>100</v>
      </c>
      <c r="T565" s="180">
        <f t="shared" si="117"/>
        <v>63.636363636363633</v>
      </c>
      <c r="U565" s="180">
        <f t="shared" si="122"/>
        <v>0.27008777852802163</v>
      </c>
      <c r="V565" s="182">
        <f t="shared" si="142"/>
        <v>36.363636363636367</v>
      </c>
      <c r="W565" s="180"/>
      <c r="X565" s="180"/>
      <c r="Y565" s="180"/>
      <c r="Z565" s="180"/>
      <c r="AA565" s="180"/>
      <c r="AB565" s="180"/>
      <c r="AC565" s="180"/>
      <c r="AD565" s="180"/>
      <c r="AE565" s="180"/>
      <c r="AF565" s="180"/>
      <c r="AG565" s="180"/>
      <c r="AH565" s="180"/>
      <c r="AI565" s="401">
        <f>440000+400000</f>
        <v>840000</v>
      </c>
      <c r="AJ565" s="181">
        <f t="shared" si="143"/>
        <v>63.636363636363633</v>
      </c>
      <c r="AK565" s="180">
        <f t="shared" si="150"/>
        <v>480000</v>
      </c>
      <c r="AL565" s="181">
        <f t="shared" si="146"/>
        <v>36.363636363636367</v>
      </c>
      <c r="AM565" s="243"/>
    </row>
    <row r="566" spans="1:39" ht="24.75" customHeight="1" x14ac:dyDescent="0.25">
      <c r="A566" s="243"/>
      <c r="B566" s="381"/>
      <c r="C566" s="381"/>
      <c r="D566" s="381"/>
      <c r="E566" s="381"/>
      <c r="F566" s="381"/>
      <c r="G566" s="381"/>
      <c r="H566" s="381"/>
      <c r="I566" s="382"/>
      <c r="J566" s="381" t="s">
        <v>282</v>
      </c>
      <c r="K566" s="245"/>
      <c r="L566" s="257"/>
      <c r="M566" s="591" t="s">
        <v>283</v>
      </c>
      <c r="N566" s="592"/>
      <c r="O566" s="179"/>
      <c r="P566" s="180"/>
      <c r="Q566" s="180">
        <v>39540000</v>
      </c>
      <c r="R566" s="181">
        <f t="shared" si="149"/>
        <v>12.713417574997587</v>
      </c>
      <c r="S566" s="181">
        <v>100</v>
      </c>
      <c r="T566" s="180">
        <f t="shared" si="117"/>
        <v>64.312089023773382</v>
      </c>
      <c r="U566" s="180">
        <f t="shared" si="122"/>
        <v>8.1762644287965003</v>
      </c>
      <c r="V566" s="182">
        <f t="shared" si="142"/>
        <v>35.687910976226618</v>
      </c>
      <c r="W566" s="180"/>
      <c r="X566" s="180"/>
      <c r="Y566" s="180"/>
      <c r="Z566" s="180"/>
      <c r="AA566" s="180"/>
      <c r="AB566" s="180"/>
      <c r="AC566" s="180"/>
      <c r="AD566" s="180"/>
      <c r="AE566" s="180"/>
      <c r="AF566" s="180"/>
      <c r="AG566" s="180"/>
      <c r="AH566" s="180"/>
      <c r="AI566" s="180">
        <f>13390000+12039000</f>
        <v>25429000</v>
      </c>
      <c r="AJ566" s="181">
        <f t="shared" si="143"/>
        <v>64.312089023773382</v>
      </c>
      <c r="AK566" s="180">
        <f t="shared" si="150"/>
        <v>14111000</v>
      </c>
      <c r="AL566" s="181">
        <f t="shared" si="146"/>
        <v>35.687910976226604</v>
      </c>
      <c r="AM566" s="243"/>
    </row>
    <row r="567" spans="1:39" ht="24.75" customHeight="1" x14ac:dyDescent="0.25">
      <c r="A567" s="243"/>
      <c r="B567" s="381"/>
      <c r="C567" s="381"/>
      <c r="D567" s="381"/>
      <c r="E567" s="381"/>
      <c r="F567" s="381"/>
      <c r="G567" s="381"/>
      <c r="H567" s="381"/>
      <c r="I567" s="382"/>
      <c r="J567" s="381" t="s">
        <v>320</v>
      </c>
      <c r="K567" s="245"/>
      <c r="L567" s="257"/>
      <c r="M567" s="591" t="s">
        <v>321</v>
      </c>
      <c r="N567" s="592"/>
      <c r="O567" s="179"/>
      <c r="P567" s="180"/>
      <c r="Q567" s="180">
        <v>16200000</v>
      </c>
      <c r="R567" s="181">
        <f t="shared" si="149"/>
        <v>5.2088357287547025</v>
      </c>
      <c r="S567" s="181">
        <v>100</v>
      </c>
      <c r="T567" s="180">
        <f t="shared" si="117"/>
        <v>46.296296296296298</v>
      </c>
      <c r="U567" s="180">
        <f t="shared" si="122"/>
        <v>2.4114980225716214</v>
      </c>
      <c r="V567" s="182">
        <f t="shared" si="142"/>
        <v>53.703703703703702</v>
      </c>
      <c r="W567" s="180"/>
      <c r="X567" s="180"/>
      <c r="Y567" s="180"/>
      <c r="Z567" s="180"/>
      <c r="AA567" s="180"/>
      <c r="AB567" s="180"/>
      <c r="AC567" s="180"/>
      <c r="AD567" s="180"/>
      <c r="AE567" s="180"/>
      <c r="AF567" s="180"/>
      <c r="AG567" s="180"/>
      <c r="AH567" s="180"/>
      <c r="AI567" s="180">
        <f>4500000+3000000</f>
        <v>7500000</v>
      </c>
      <c r="AJ567" s="181">
        <f t="shared" si="143"/>
        <v>46.296296296296298</v>
      </c>
      <c r="AK567" s="180">
        <f t="shared" si="150"/>
        <v>8700000</v>
      </c>
      <c r="AL567" s="181">
        <f t="shared" si="146"/>
        <v>53.703703703703709</v>
      </c>
      <c r="AM567" s="243"/>
    </row>
    <row r="568" spans="1:39" ht="24.75" customHeight="1" x14ac:dyDescent="0.25">
      <c r="A568" s="243"/>
      <c r="B568" s="381"/>
      <c r="C568" s="381"/>
      <c r="D568" s="381"/>
      <c r="E568" s="381"/>
      <c r="F568" s="381"/>
      <c r="G568" s="381"/>
      <c r="H568" s="381"/>
      <c r="I568" s="382"/>
      <c r="J568" s="381" t="s">
        <v>407</v>
      </c>
      <c r="K568" s="245"/>
      <c r="L568" s="257"/>
      <c r="M568" s="591" t="s">
        <v>414</v>
      </c>
      <c r="N568" s="592"/>
      <c r="O568" s="179"/>
      <c r="P568" s="180"/>
      <c r="Q568" s="180">
        <v>1800000</v>
      </c>
      <c r="R568" s="181">
        <f>Q568/Q$559*100</f>
        <v>0.57875952541718911</v>
      </c>
      <c r="S568" s="181">
        <v>100</v>
      </c>
      <c r="T568" s="180">
        <f t="shared" si="117"/>
        <v>66.666666666666657</v>
      </c>
      <c r="U568" s="180">
        <f t="shared" si="122"/>
        <v>0.38583968361145937</v>
      </c>
      <c r="V568" s="182">
        <f t="shared" si="142"/>
        <v>33.333333333333343</v>
      </c>
      <c r="W568" s="180"/>
      <c r="X568" s="180"/>
      <c r="Y568" s="180"/>
      <c r="Z568" s="180"/>
      <c r="AA568" s="180"/>
      <c r="AB568" s="180"/>
      <c r="AC568" s="180"/>
      <c r="AD568" s="180"/>
      <c r="AE568" s="180"/>
      <c r="AF568" s="180"/>
      <c r="AG568" s="180"/>
      <c r="AH568" s="180"/>
      <c r="AI568" s="180">
        <f>600000+600000</f>
        <v>1200000</v>
      </c>
      <c r="AJ568" s="181">
        <f t="shared" si="143"/>
        <v>66.666666666666657</v>
      </c>
      <c r="AK568" s="180">
        <f t="shared" ref="AK568:AK632" si="151">Q568-AI568</f>
        <v>600000</v>
      </c>
      <c r="AL568" s="181">
        <f t="shared" si="146"/>
        <v>33.333333333333329</v>
      </c>
      <c r="AM568" s="243"/>
    </row>
    <row r="569" spans="1:39" s="311" customFormat="1" ht="24.75" customHeight="1" x14ac:dyDescent="0.25">
      <c r="A569" s="227">
        <f>SUM(A559+1)</f>
        <v>70</v>
      </c>
      <c r="B569" s="393"/>
      <c r="C569" s="393"/>
      <c r="D569" s="393"/>
      <c r="E569" s="393"/>
      <c r="F569" s="393"/>
      <c r="G569" s="393"/>
      <c r="H569" s="393"/>
      <c r="I569" s="394"/>
      <c r="J569" s="304" t="s">
        <v>523</v>
      </c>
      <c r="K569" s="230"/>
      <c r="L569" s="294"/>
      <c r="M569" s="609" t="s">
        <v>203</v>
      </c>
      <c r="N569" s="614"/>
      <c r="O569" s="310"/>
      <c r="P569" s="231"/>
      <c r="Q569" s="231">
        <f>SUM(Q570:Q581)</f>
        <v>363103120</v>
      </c>
      <c r="R569" s="233">
        <f>Q569/Q$245*100</f>
        <v>3.0441637032258035</v>
      </c>
      <c r="S569" s="233">
        <v>100</v>
      </c>
      <c r="T569" s="231">
        <f t="shared" si="117"/>
        <v>0</v>
      </c>
      <c r="U569" s="231">
        <f t="shared" si="122"/>
        <v>0</v>
      </c>
      <c r="V569" s="296">
        <f t="shared" si="142"/>
        <v>100</v>
      </c>
      <c r="W569" s="231"/>
      <c r="X569" s="231"/>
      <c r="Y569" s="231"/>
      <c r="Z569" s="231"/>
      <c r="AA569" s="231"/>
      <c r="AB569" s="231"/>
      <c r="AC569" s="231"/>
      <c r="AD569" s="231"/>
      <c r="AE569" s="231"/>
      <c r="AF569" s="231"/>
      <c r="AG569" s="231"/>
      <c r="AH569" s="231"/>
      <c r="AI569" s="231">
        <f>SUM(AI570:AI581)</f>
        <v>0</v>
      </c>
      <c r="AJ569" s="233">
        <f t="shared" si="143"/>
        <v>0</v>
      </c>
      <c r="AK569" s="231">
        <f t="shared" si="151"/>
        <v>363103120</v>
      </c>
      <c r="AL569" s="233">
        <f t="shared" si="146"/>
        <v>100</v>
      </c>
      <c r="AM569" s="227"/>
    </row>
    <row r="570" spans="1:39" ht="24.75" customHeight="1" x14ac:dyDescent="0.25">
      <c r="A570" s="243"/>
      <c r="B570" s="381"/>
      <c r="C570" s="381"/>
      <c r="D570" s="381"/>
      <c r="E570" s="381"/>
      <c r="F570" s="381"/>
      <c r="G570" s="381"/>
      <c r="H570" s="381"/>
      <c r="I570" s="382"/>
      <c r="J570" s="381" t="s">
        <v>259</v>
      </c>
      <c r="K570" s="245"/>
      <c r="L570" s="257"/>
      <c r="M570" s="591" t="s">
        <v>260</v>
      </c>
      <c r="N570" s="592"/>
      <c r="O570" s="179"/>
      <c r="P570" s="180"/>
      <c r="Q570" s="180">
        <v>2310000</v>
      </c>
      <c r="R570" s="181">
        <f t="shared" ref="R570:R581" si="152">Q570/Q$569*100</f>
        <v>0.63618291134485438</v>
      </c>
      <c r="S570" s="181">
        <v>100</v>
      </c>
      <c r="T570" s="180">
        <f t="shared" si="117"/>
        <v>0</v>
      </c>
      <c r="U570" s="180">
        <f t="shared" si="122"/>
        <v>0</v>
      </c>
      <c r="V570" s="182">
        <f t="shared" si="142"/>
        <v>100</v>
      </c>
      <c r="W570" s="180"/>
      <c r="X570" s="180"/>
      <c r="Y570" s="180"/>
      <c r="Z570" s="180"/>
      <c r="AA570" s="180"/>
      <c r="AB570" s="180"/>
      <c r="AC570" s="180"/>
      <c r="AD570" s="180"/>
      <c r="AE570" s="180"/>
      <c r="AF570" s="180"/>
      <c r="AG570" s="180"/>
      <c r="AH570" s="180"/>
      <c r="AI570" s="180">
        <v>0</v>
      </c>
      <c r="AJ570" s="181">
        <f t="shared" si="143"/>
        <v>0</v>
      </c>
      <c r="AK570" s="180">
        <f t="shared" si="151"/>
        <v>2310000</v>
      </c>
      <c r="AL570" s="181">
        <f t="shared" si="146"/>
        <v>100</v>
      </c>
      <c r="AM570" s="243"/>
    </row>
    <row r="571" spans="1:39" ht="24.75" customHeight="1" x14ac:dyDescent="0.25">
      <c r="A571" s="243"/>
      <c r="B571" s="381"/>
      <c r="C571" s="381"/>
      <c r="D571" s="381"/>
      <c r="E571" s="381"/>
      <c r="F571" s="381"/>
      <c r="G571" s="381"/>
      <c r="H571" s="381"/>
      <c r="I571" s="382"/>
      <c r="J571" s="381" t="s">
        <v>326</v>
      </c>
      <c r="K571" s="245"/>
      <c r="L571" s="257"/>
      <c r="M571" s="591" t="s">
        <v>327</v>
      </c>
      <c r="N571" s="592"/>
      <c r="O571" s="179"/>
      <c r="P571" s="180"/>
      <c r="Q571" s="180">
        <v>140400000</v>
      </c>
      <c r="R571" s="181">
        <f t="shared" si="152"/>
        <v>38.666701624596342</v>
      </c>
      <c r="S571" s="181">
        <v>100</v>
      </c>
      <c r="T571" s="180">
        <f t="shared" si="117"/>
        <v>0</v>
      </c>
      <c r="U571" s="180">
        <f t="shared" si="122"/>
        <v>0</v>
      </c>
      <c r="V571" s="182">
        <f t="shared" si="142"/>
        <v>100</v>
      </c>
      <c r="W571" s="180"/>
      <c r="X571" s="180"/>
      <c r="Y571" s="180"/>
      <c r="Z571" s="180"/>
      <c r="AA571" s="180"/>
      <c r="AB571" s="180"/>
      <c r="AC571" s="180"/>
      <c r="AD571" s="180"/>
      <c r="AE571" s="180"/>
      <c r="AF571" s="180"/>
      <c r="AG571" s="180"/>
      <c r="AH571" s="180"/>
      <c r="AI571" s="180">
        <v>0</v>
      </c>
      <c r="AJ571" s="181">
        <f t="shared" si="143"/>
        <v>0</v>
      </c>
      <c r="AK571" s="180">
        <f t="shared" si="151"/>
        <v>140400000</v>
      </c>
      <c r="AL571" s="181">
        <f t="shared" si="146"/>
        <v>100</v>
      </c>
      <c r="AM571" s="243"/>
    </row>
    <row r="572" spans="1:39" ht="24.75" customHeight="1" x14ac:dyDescent="0.25">
      <c r="A572" s="243"/>
      <c r="B572" s="381"/>
      <c r="C572" s="381"/>
      <c r="D572" s="381"/>
      <c r="E572" s="381"/>
      <c r="F572" s="381"/>
      <c r="G572" s="381"/>
      <c r="H572" s="381"/>
      <c r="I572" s="382"/>
      <c r="J572" s="381" t="s">
        <v>269</v>
      </c>
      <c r="K572" s="245"/>
      <c r="L572" s="257"/>
      <c r="M572" s="591" t="s">
        <v>270</v>
      </c>
      <c r="N572" s="592"/>
      <c r="O572" s="179"/>
      <c r="P572" s="180"/>
      <c r="Q572" s="180">
        <v>22000000</v>
      </c>
      <c r="R572" s="181">
        <f t="shared" si="152"/>
        <v>6.0588848699509938</v>
      </c>
      <c r="S572" s="181">
        <v>100</v>
      </c>
      <c r="T572" s="180">
        <f t="shared" si="117"/>
        <v>0</v>
      </c>
      <c r="U572" s="180">
        <f t="shared" si="122"/>
        <v>0</v>
      </c>
      <c r="V572" s="182">
        <f t="shared" si="142"/>
        <v>100</v>
      </c>
      <c r="W572" s="180"/>
      <c r="X572" s="180"/>
      <c r="Y572" s="180"/>
      <c r="Z572" s="180"/>
      <c r="AA572" s="180"/>
      <c r="AB572" s="180"/>
      <c r="AC572" s="180"/>
      <c r="AD572" s="180"/>
      <c r="AE572" s="180"/>
      <c r="AF572" s="180"/>
      <c r="AG572" s="180"/>
      <c r="AH572" s="180"/>
      <c r="AI572" s="180">
        <v>0</v>
      </c>
      <c r="AJ572" s="181">
        <f t="shared" si="143"/>
        <v>0</v>
      </c>
      <c r="AK572" s="180">
        <f t="shared" si="151"/>
        <v>22000000</v>
      </c>
      <c r="AL572" s="181">
        <f t="shared" si="146"/>
        <v>100</v>
      </c>
      <c r="AM572" s="243"/>
    </row>
    <row r="573" spans="1:39" ht="24.75" customHeight="1" x14ac:dyDescent="0.25">
      <c r="A573" s="243"/>
      <c r="B573" s="381"/>
      <c r="C573" s="381"/>
      <c r="D573" s="381"/>
      <c r="E573" s="381"/>
      <c r="F573" s="381"/>
      <c r="G573" s="381"/>
      <c r="H573" s="381"/>
      <c r="I573" s="382"/>
      <c r="J573" s="381" t="s">
        <v>315</v>
      </c>
      <c r="K573" s="245"/>
      <c r="L573" s="257"/>
      <c r="M573" s="591" t="s">
        <v>271</v>
      </c>
      <c r="N573" s="592"/>
      <c r="O573" s="179"/>
      <c r="P573" s="180"/>
      <c r="Q573" s="180">
        <v>4500000</v>
      </c>
      <c r="R573" s="181">
        <f t="shared" si="152"/>
        <v>1.2393173597627032</v>
      </c>
      <c r="S573" s="181">
        <v>100</v>
      </c>
      <c r="T573" s="180">
        <f t="shared" si="117"/>
        <v>0</v>
      </c>
      <c r="U573" s="180">
        <f t="shared" si="122"/>
        <v>0</v>
      </c>
      <c r="V573" s="182">
        <f t="shared" si="142"/>
        <v>100</v>
      </c>
      <c r="W573" s="180"/>
      <c r="X573" s="180"/>
      <c r="Y573" s="180"/>
      <c r="Z573" s="180"/>
      <c r="AA573" s="180"/>
      <c r="AB573" s="180"/>
      <c r="AC573" s="180"/>
      <c r="AD573" s="180"/>
      <c r="AE573" s="180"/>
      <c r="AF573" s="180"/>
      <c r="AG573" s="180"/>
      <c r="AH573" s="180"/>
      <c r="AI573" s="180">
        <v>0</v>
      </c>
      <c r="AJ573" s="181">
        <f t="shared" si="143"/>
        <v>0</v>
      </c>
      <c r="AK573" s="180">
        <f t="shared" si="151"/>
        <v>4500000</v>
      </c>
      <c r="AL573" s="181">
        <f t="shared" si="146"/>
        <v>100</v>
      </c>
      <c r="AM573" s="243"/>
    </row>
    <row r="574" spans="1:39" ht="24.75" customHeight="1" x14ac:dyDescent="0.25">
      <c r="A574" s="243"/>
      <c r="B574" s="381"/>
      <c r="C574" s="381"/>
      <c r="D574" s="381"/>
      <c r="E574" s="381"/>
      <c r="F574" s="381"/>
      <c r="G574" s="381"/>
      <c r="H574" s="381"/>
      <c r="I574" s="382"/>
      <c r="J574" s="381" t="s">
        <v>316</v>
      </c>
      <c r="K574" s="245"/>
      <c r="L574" s="257"/>
      <c r="M574" s="591" t="s">
        <v>317</v>
      </c>
      <c r="N574" s="592"/>
      <c r="O574" s="179"/>
      <c r="P574" s="180"/>
      <c r="Q574" s="180">
        <v>600000</v>
      </c>
      <c r="R574" s="181">
        <f t="shared" si="152"/>
        <v>0.16524231463502709</v>
      </c>
      <c r="S574" s="181">
        <v>100</v>
      </c>
      <c r="T574" s="180">
        <f t="shared" si="117"/>
        <v>0</v>
      </c>
      <c r="U574" s="180">
        <f t="shared" si="122"/>
        <v>0</v>
      </c>
      <c r="V574" s="182">
        <f t="shared" si="142"/>
        <v>100</v>
      </c>
      <c r="W574" s="180"/>
      <c r="X574" s="180"/>
      <c r="Y574" s="180"/>
      <c r="Z574" s="180"/>
      <c r="AA574" s="180"/>
      <c r="AB574" s="180"/>
      <c r="AC574" s="180"/>
      <c r="AD574" s="180"/>
      <c r="AE574" s="180"/>
      <c r="AF574" s="180"/>
      <c r="AG574" s="180"/>
      <c r="AH574" s="180"/>
      <c r="AI574" s="180">
        <v>0</v>
      </c>
      <c r="AJ574" s="181">
        <f t="shared" si="143"/>
        <v>0</v>
      </c>
      <c r="AK574" s="180">
        <f t="shared" si="151"/>
        <v>600000</v>
      </c>
      <c r="AL574" s="181">
        <f t="shared" si="146"/>
        <v>100</v>
      </c>
      <c r="AM574" s="243"/>
    </row>
    <row r="575" spans="1:39" ht="24.75" customHeight="1" x14ac:dyDescent="0.25">
      <c r="A575" s="243"/>
      <c r="B575" s="381"/>
      <c r="C575" s="381"/>
      <c r="D575" s="381"/>
      <c r="E575" s="381"/>
      <c r="F575" s="381"/>
      <c r="G575" s="381"/>
      <c r="H575" s="381"/>
      <c r="I575" s="382"/>
      <c r="J575" s="381" t="s">
        <v>328</v>
      </c>
      <c r="K575" s="245"/>
      <c r="L575" s="257"/>
      <c r="M575" s="591" t="s">
        <v>329</v>
      </c>
      <c r="N575" s="592"/>
      <c r="O575" s="179"/>
      <c r="P575" s="180"/>
      <c r="Q575" s="180">
        <v>8250000</v>
      </c>
      <c r="R575" s="181">
        <f t="shared" si="152"/>
        <v>2.2720818262316222</v>
      </c>
      <c r="S575" s="181">
        <v>100</v>
      </c>
      <c r="T575" s="180">
        <f t="shared" si="117"/>
        <v>0</v>
      </c>
      <c r="U575" s="180">
        <f t="shared" si="122"/>
        <v>0</v>
      </c>
      <c r="V575" s="182">
        <f t="shared" si="142"/>
        <v>100</v>
      </c>
      <c r="W575" s="180"/>
      <c r="X575" s="180"/>
      <c r="Y575" s="180"/>
      <c r="Z575" s="180"/>
      <c r="AA575" s="180"/>
      <c r="AB575" s="180"/>
      <c r="AC575" s="180"/>
      <c r="AD575" s="180"/>
      <c r="AE575" s="180"/>
      <c r="AF575" s="180"/>
      <c r="AG575" s="180"/>
      <c r="AH575" s="180"/>
      <c r="AI575" s="180">
        <v>0</v>
      </c>
      <c r="AJ575" s="181">
        <f t="shared" si="143"/>
        <v>0</v>
      </c>
      <c r="AK575" s="180">
        <f t="shared" si="151"/>
        <v>8250000</v>
      </c>
      <c r="AL575" s="181">
        <f t="shared" si="146"/>
        <v>100</v>
      </c>
      <c r="AM575" s="243"/>
    </row>
    <row r="576" spans="1:39" ht="24.75" customHeight="1" x14ac:dyDescent="0.25">
      <c r="A576" s="243"/>
      <c r="B576" s="381"/>
      <c r="C576" s="381"/>
      <c r="D576" s="381"/>
      <c r="E576" s="381"/>
      <c r="F576" s="381"/>
      <c r="G576" s="381"/>
      <c r="H576" s="381"/>
      <c r="I576" s="382"/>
      <c r="J576" s="381" t="s">
        <v>318</v>
      </c>
      <c r="K576" s="245"/>
      <c r="L576" s="257"/>
      <c r="M576" s="591" t="s">
        <v>319</v>
      </c>
      <c r="N576" s="592"/>
      <c r="O576" s="179"/>
      <c r="P576" s="180"/>
      <c r="Q576" s="180">
        <v>100000000</v>
      </c>
      <c r="R576" s="181">
        <f t="shared" si="152"/>
        <v>27.540385772504518</v>
      </c>
      <c r="S576" s="181">
        <v>100</v>
      </c>
      <c r="T576" s="180">
        <f t="shared" si="117"/>
        <v>0</v>
      </c>
      <c r="U576" s="180">
        <f t="shared" si="122"/>
        <v>0</v>
      </c>
      <c r="V576" s="182">
        <v>100</v>
      </c>
      <c r="W576" s="180"/>
      <c r="X576" s="180"/>
      <c r="Y576" s="180"/>
      <c r="Z576" s="180"/>
      <c r="AA576" s="180"/>
      <c r="AB576" s="180"/>
      <c r="AC576" s="180"/>
      <c r="AD576" s="180"/>
      <c r="AE576" s="180"/>
      <c r="AF576" s="180"/>
      <c r="AG576" s="180"/>
      <c r="AH576" s="180"/>
      <c r="AI576" s="180">
        <v>0</v>
      </c>
      <c r="AJ576" s="181">
        <f t="shared" si="143"/>
        <v>0</v>
      </c>
      <c r="AK576" s="180">
        <f t="shared" si="151"/>
        <v>100000000</v>
      </c>
      <c r="AL576" s="181">
        <f t="shared" si="146"/>
        <v>100</v>
      </c>
      <c r="AM576" s="243"/>
    </row>
    <row r="577" spans="1:39" ht="24.75" customHeight="1" x14ac:dyDescent="0.25">
      <c r="A577" s="243"/>
      <c r="B577" s="381"/>
      <c r="C577" s="381"/>
      <c r="D577" s="381"/>
      <c r="E577" s="381"/>
      <c r="F577" s="381"/>
      <c r="G577" s="381"/>
      <c r="H577" s="381"/>
      <c r="I577" s="382"/>
      <c r="J577" s="381" t="s">
        <v>280</v>
      </c>
      <c r="K577" s="245"/>
      <c r="L577" s="257"/>
      <c r="M577" s="591" t="s">
        <v>281</v>
      </c>
      <c r="N577" s="592"/>
      <c r="O577" s="179"/>
      <c r="P577" s="180"/>
      <c r="Q577" s="180">
        <v>9500000</v>
      </c>
      <c r="R577" s="181">
        <f t="shared" si="152"/>
        <v>2.6163366483879291</v>
      </c>
      <c r="S577" s="181">
        <v>100</v>
      </c>
      <c r="T577" s="180">
        <f t="shared" si="117"/>
        <v>0</v>
      </c>
      <c r="U577" s="180">
        <f t="shared" si="122"/>
        <v>0</v>
      </c>
      <c r="V577" s="182">
        <f t="shared" si="142"/>
        <v>100</v>
      </c>
      <c r="W577" s="180"/>
      <c r="X577" s="180"/>
      <c r="Y577" s="180"/>
      <c r="Z577" s="180"/>
      <c r="AA577" s="180"/>
      <c r="AB577" s="180"/>
      <c r="AC577" s="180"/>
      <c r="AD577" s="180"/>
      <c r="AE577" s="180"/>
      <c r="AF577" s="180"/>
      <c r="AG577" s="180"/>
      <c r="AH577" s="180"/>
      <c r="AI577" s="180">
        <v>0</v>
      </c>
      <c r="AJ577" s="181">
        <f t="shared" si="143"/>
        <v>0</v>
      </c>
      <c r="AK577" s="180">
        <f t="shared" si="151"/>
        <v>9500000</v>
      </c>
      <c r="AL577" s="181">
        <f t="shared" si="146"/>
        <v>100</v>
      </c>
      <c r="AM577" s="243"/>
    </row>
    <row r="578" spans="1:39" ht="24.75" customHeight="1" x14ac:dyDescent="0.25">
      <c r="A578" s="243"/>
      <c r="B578" s="381"/>
      <c r="C578" s="381"/>
      <c r="D578" s="381"/>
      <c r="E578" s="381"/>
      <c r="F578" s="381"/>
      <c r="G578" s="381"/>
      <c r="H578" s="381"/>
      <c r="I578" s="382"/>
      <c r="J578" s="381" t="s">
        <v>284</v>
      </c>
      <c r="K578" s="245"/>
      <c r="L578" s="257"/>
      <c r="M578" s="591" t="s">
        <v>285</v>
      </c>
      <c r="N578" s="592"/>
      <c r="O578" s="179"/>
      <c r="P578" s="180"/>
      <c r="Q578" s="180">
        <v>3000000</v>
      </c>
      <c r="R578" s="181">
        <f t="shared" si="152"/>
        <v>0.82621157317513538</v>
      </c>
      <c r="S578" s="181">
        <v>100</v>
      </c>
      <c r="T578" s="180">
        <f t="shared" si="117"/>
        <v>0</v>
      </c>
      <c r="U578" s="180">
        <f t="shared" si="122"/>
        <v>0</v>
      </c>
      <c r="V578" s="182">
        <f t="shared" si="142"/>
        <v>100</v>
      </c>
      <c r="W578" s="180"/>
      <c r="X578" s="180"/>
      <c r="Y578" s="180"/>
      <c r="Z578" s="180"/>
      <c r="AA578" s="180"/>
      <c r="AB578" s="180"/>
      <c r="AC578" s="180"/>
      <c r="AD578" s="180"/>
      <c r="AE578" s="180"/>
      <c r="AF578" s="180"/>
      <c r="AG578" s="180"/>
      <c r="AH578" s="180"/>
      <c r="AI578" s="180">
        <v>0</v>
      </c>
      <c r="AJ578" s="181">
        <f t="shared" si="143"/>
        <v>0</v>
      </c>
      <c r="AK578" s="180">
        <f t="shared" si="151"/>
        <v>3000000</v>
      </c>
      <c r="AL578" s="181">
        <f t="shared" si="146"/>
        <v>100</v>
      </c>
      <c r="AM578" s="243"/>
    </row>
    <row r="579" spans="1:39" ht="24.75" customHeight="1" x14ac:dyDescent="0.25">
      <c r="A579" s="243"/>
      <c r="B579" s="381"/>
      <c r="C579" s="381"/>
      <c r="D579" s="381"/>
      <c r="E579" s="381"/>
      <c r="F579" s="381"/>
      <c r="G579" s="381"/>
      <c r="H579" s="381"/>
      <c r="I579" s="382"/>
      <c r="J579" s="381" t="s">
        <v>282</v>
      </c>
      <c r="K579" s="245"/>
      <c r="L579" s="257"/>
      <c r="M579" s="591" t="s">
        <v>283</v>
      </c>
      <c r="N579" s="592"/>
      <c r="O579" s="179"/>
      <c r="P579" s="180"/>
      <c r="Q579" s="180">
        <v>32443120</v>
      </c>
      <c r="R579" s="181">
        <f t="shared" si="152"/>
        <v>8.934960404636568</v>
      </c>
      <c r="S579" s="181">
        <v>100</v>
      </c>
      <c r="T579" s="180">
        <f t="shared" si="117"/>
        <v>0</v>
      </c>
      <c r="U579" s="180">
        <f t="shared" si="122"/>
        <v>0</v>
      </c>
      <c r="V579" s="182">
        <f t="shared" si="142"/>
        <v>100</v>
      </c>
      <c r="W579" s="180"/>
      <c r="X579" s="180"/>
      <c r="Y579" s="180"/>
      <c r="Z579" s="180"/>
      <c r="AA579" s="180"/>
      <c r="AB579" s="180"/>
      <c r="AC579" s="180"/>
      <c r="AD579" s="180"/>
      <c r="AE579" s="180"/>
      <c r="AF579" s="180"/>
      <c r="AG579" s="180"/>
      <c r="AH579" s="180"/>
      <c r="AI579" s="180">
        <v>0</v>
      </c>
      <c r="AJ579" s="181">
        <f t="shared" si="143"/>
        <v>0</v>
      </c>
      <c r="AK579" s="180">
        <f t="shared" si="151"/>
        <v>32443120</v>
      </c>
      <c r="AL579" s="181">
        <f t="shared" si="146"/>
        <v>100</v>
      </c>
      <c r="AM579" s="243"/>
    </row>
    <row r="580" spans="1:39" ht="24.75" customHeight="1" x14ac:dyDescent="0.25">
      <c r="A580" s="243"/>
      <c r="B580" s="381"/>
      <c r="C580" s="381"/>
      <c r="D580" s="381"/>
      <c r="E580" s="381"/>
      <c r="F580" s="381"/>
      <c r="G580" s="381"/>
      <c r="H580" s="381"/>
      <c r="I580" s="382"/>
      <c r="J580" s="381" t="s">
        <v>320</v>
      </c>
      <c r="K580" s="245"/>
      <c r="L580" s="257"/>
      <c r="M580" s="591" t="s">
        <v>321</v>
      </c>
      <c r="N580" s="592"/>
      <c r="O580" s="179"/>
      <c r="P580" s="180"/>
      <c r="Q580" s="180">
        <v>20000000</v>
      </c>
      <c r="R580" s="181">
        <f t="shared" si="152"/>
        <v>5.5080771545009029</v>
      </c>
      <c r="S580" s="181">
        <v>100</v>
      </c>
      <c r="T580" s="180">
        <f t="shared" si="117"/>
        <v>0</v>
      </c>
      <c r="U580" s="180">
        <f t="shared" si="122"/>
        <v>0</v>
      </c>
      <c r="V580" s="182">
        <f t="shared" si="142"/>
        <v>100</v>
      </c>
      <c r="W580" s="180"/>
      <c r="X580" s="180"/>
      <c r="Y580" s="180"/>
      <c r="Z580" s="180"/>
      <c r="AA580" s="180"/>
      <c r="AB580" s="180"/>
      <c r="AC580" s="180"/>
      <c r="AD580" s="180"/>
      <c r="AE580" s="180"/>
      <c r="AF580" s="180"/>
      <c r="AG580" s="180"/>
      <c r="AH580" s="180"/>
      <c r="AI580" s="180">
        <v>0</v>
      </c>
      <c r="AJ580" s="181">
        <f t="shared" si="143"/>
        <v>0</v>
      </c>
      <c r="AK580" s="180">
        <f t="shared" si="151"/>
        <v>20000000</v>
      </c>
      <c r="AL580" s="181">
        <f t="shared" si="146"/>
        <v>100</v>
      </c>
      <c r="AM580" s="243"/>
    </row>
    <row r="581" spans="1:39" ht="24.75" customHeight="1" x14ac:dyDescent="0.25">
      <c r="A581" s="243"/>
      <c r="B581" s="381"/>
      <c r="C581" s="381"/>
      <c r="D581" s="381"/>
      <c r="E581" s="381"/>
      <c r="F581" s="381"/>
      <c r="G581" s="381"/>
      <c r="H581" s="381"/>
      <c r="I581" s="382"/>
      <c r="J581" s="381" t="s">
        <v>407</v>
      </c>
      <c r="K581" s="245"/>
      <c r="L581" s="257"/>
      <c r="M581" s="591" t="s">
        <v>414</v>
      </c>
      <c r="N581" s="592"/>
      <c r="O581" s="179"/>
      <c r="P581" s="180"/>
      <c r="Q581" s="180">
        <v>20100000</v>
      </c>
      <c r="R581" s="181">
        <f t="shared" si="152"/>
        <v>5.5356175402734076</v>
      </c>
      <c r="S581" s="181">
        <v>100</v>
      </c>
      <c r="T581" s="180">
        <f t="shared" si="117"/>
        <v>0</v>
      </c>
      <c r="U581" s="180">
        <f t="shared" si="122"/>
        <v>0</v>
      </c>
      <c r="V581" s="182">
        <v>100</v>
      </c>
      <c r="W581" s="180"/>
      <c r="X581" s="180"/>
      <c r="Y581" s="180"/>
      <c r="Z581" s="180"/>
      <c r="AA581" s="180"/>
      <c r="AB581" s="180"/>
      <c r="AC581" s="180"/>
      <c r="AD581" s="180"/>
      <c r="AE581" s="180"/>
      <c r="AF581" s="180"/>
      <c r="AG581" s="180"/>
      <c r="AH581" s="180"/>
      <c r="AI581" s="180">
        <v>0</v>
      </c>
      <c r="AJ581" s="181">
        <f t="shared" si="143"/>
        <v>0</v>
      </c>
      <c r="AK581" s="180">
        <f t="shared" si="151"/>
        <v>20100000</v>
      </c>
      <c r="AL581" s="181">
        <f t="shared" si="146"/>
        <v>100</v>
      </c>
      <c r="AM581" s="243"/>
    </row>
    <row r="582" spans="1:39" s="311" customFormat="1" ht="24.75" customHeight="1" x14ac:dyDescent="0.25">
      <c r="A582" s="227">
        <f>SUM(A569+1)</f>
        <v>71</v>
      </c>
      <c r="B582" s="393"/>
      <c r="C582" s="393"/>
      <c r="D582" s="393"/>
      <c r="E582" s="393"/>
      <c r="F582" s="393"/>
      <c r="G582" s="393"/>
      <c r="H582" s="393"/>
      <c r="I582" s="394"/>
      <c r="J582" s="304" t="s">
        <v>524</v>
      </c>
      <c r="K582" s="230"/>
      <c r="L582" s="294"/>
      <c r="M582" s="609" t="s">
        <v>204</v>
      </c>
      <c r="N582" s="614"/>
      <c r="O582" s="310"/>
      <c r="P582" s="231"/>
      <c r="Q582" s="231">
        <f>SUM(Q583:Q590)</f>
        <v>161972105</v>
      </c>
      <c r="R582" s="233">
        <f>Q582/Q$245*100</f>
        <v>1.3579327078656847</v>
      </c>
      <c r="S582" s="233">
        <v>100</v>
      </c>
      <c r="T582" s="231">
        <f t="shared" si="117"/>
        <v>32.225487222012703</v>
      </c>
      <c r="U582" s="231">
        <f t="shared" si="122"/>
        <v>0.43760043125678727</v>
      </c>
      <c r="V582" s="296">
        <f t="shared" si="142"/>
        <v>67.774512777987297</v>
      </c>
      <c r="W582" s="231"/>
      <c r="X582" s="231"/>
      <c r="Y582" s="231"/>
      <c r="Z582" s="231"/>
      <c r="AA582" s="231"/>
      <c r="AB582" s="231"/>
      <c r="AC582" s="231"/>
      <c r="AD582" s="231"/>
      <c r="AE582" s="231"/>
      <c r="AF582" s="231"/>
      <c r="AG582" s="231"/>
      <c r="AH582" s="231"/>
      <c r="AI582" s="231">
        <f>SUM(AI583:AI589)</f>
        <v>52196300</v>
      </c>
      <c r="AJ582" s="233">
        <f t="shared" si="143"/>
        <v>32.225487222012703</v>
      </c>
      <c r="AK582" s="231">
        <f t="shared" si="151"/>
        <v>109775805</v>
      </c>
      <c r="AL582" s="233">
        <f t="shared" si="146"/>
        <v>67.774512777987297</v>
      </c>
      <c r="AM582" s="227"/>
    </row>
    <row r="583" spans="1:39" ht="24.75" customHeight="1" x14ac:dyDescent="0.25">
      <c r="A583" s="243"/>
      <c r="B583" s="381"/>
      <c r="C583" s="381"/>
      <c r="D583" s="381"/>
      <c r="E583" s="381"/>
      <c r="F583" s="381"/>
      <c r="G583" s="381"/>
      <c r="H583" s="381"/>
      <c r="I583" s="382"/>
      <c r="J583" s="381" t="s">
        <v>257</v>
      </c>
      <c r="K583" s="245"/>
      <c r="L583" s="257"/>
      <c r="M583" s="591" t="s">
        <v>260</v>
      </c>
      <c r="N583" s="592"/>
      <c r="O583" s="179"/>
      <c r="P583" s="180"/>
      <c r="Q583" s="180">
        <v>1540000</v>
      </c>
      <c r="R583" s="181">
        <f>Q583/Q$582*100</f>
        <v>0.95078100022222956</v>
      </c>
      <c r="S583" s="181">
        <v>100</v>
      </c>
      <c r="T583" s="180">
        <f t="shared" si="117"/>
        <v>0</v>
      </c>
      <c r="U583" s="180">
        <f t="shared" si="122"/>
        <v>0</v>
      </c>
      <c r="V583" s="182">
        <f t="shared" si="142"/>
        <v>100</v>
      </c>
      <c r="W583" s="180"/>
      <c r="X583" s="180"/>
      <c r="Y583" s="180"/>
      <c r="Z583" s="180"/>
      <c r="AA583" s="180"/>
      <c r="AB583" s="180"/>
      <c r="AC583" s="180"/>
      <c r="AD583" s="180"/>
      <c r="AE583" s="180"/>
      <c r="AF583" s="180"/>
      <c r="AG583" s="180"/>
      <c r="AH583" s="180"/>
      <c r="AI583" s="180">
        <v>0</v>
      </c>
      <c r="AJ583" s="181">
        <f t="shared" si="143"/>
        <v>0</v>
      </c>
      <c r="AK583" s="180">
        <f t="shared" si="151"/>
        <v>1540000</v>
      </c>
      <c r="AL583" s="181">
        <f t="shared" si="146"/>
        <v>100</v>
      </c>
      <c r="AM583" s="243"/>
    </row>
    <row r="584" spans="1:39" ht="24.75" customHeight="1" x14ac:dyDescent="0.25">
      <c r="A584" s="243"/>
      <c r="B584" s="381"/>
      <c r="C584" s="381"/>
      <c r="D584" s="381"/>
      <c r="E584" s="381"/>
      <c r="F584" s="381"/>
      <c r="G584" s="381"/>
      <c r="H584" s="381"/>
      <c r="I584" s="382"/>
      <c r="J584" s="381" t="s">
        <v>315</v>
      </c>
      <c r="K584" s="245"/>
      <c r="L584" s="257"/>
      <c r="M584" s="591" t="s">
        <v>271</v>
      </c>
      <c r="N584" s="592"/>
      <c r="O584" s="179"/>
      <c r="P584" s="180"/>
      <c r="Q584" s="180">
        <v>2000000</v>
      </c>
      <c r="R584" s="181">
        <f t="shared" ref="R584:R590" si="153">Q584/Q$582*100</f>
        <v>1.2347805197691293</v>
      </c>
      <c r="S584" s="181">
        <v>100</v>
      </c>
      <c r="T584" s="180">
        <f t="shared" si="117"/>
        <v>0</v>
      </c>
      <c r="U584" s="180">
        <f t="shared" si="122"/>
        <v>0</v>
      </c>
      <c r="V584" s="182">
        <f t="shared" si="142"/>
        <v>100</v>
      </c>
      <c r="W584" s="180"/>
      <c r="X584" s="180"/>
      <c r="Y584" s="180"/>
      <c r="Z584" s="180"/>
      <c r="AA584" s="180"/>
      <c r="AB584" s="180"/>
      <c r="AC584" s="180"/>
      <c r="AD584" s="180"/>
      <c r="AE584" s="180"/>
      <c r="AF584" s="180"/>
      <c r="AG584" s="180"/>
      <c r="AH584" s="180"/>
      <c r="AI584" s="180">
        <v>0</v>
      </c>
      <c r="AJ584" s="181">
        <f t="shared" si="143"/>
        <v>0</v>
      </c>
      <c r="AK584" s="180">
        <f t="shared" si="151"/>
        <v>2000000</v>
      </c>
      <c r="AL584" s="181">
        <f t="shared" si="146"/>
        <v>100</v>
      </c>
      <c r="AM584" s="243"/>
    </row>
    <row r="585" spans="1:39" ht="30" customHeight="1" x14ac:dyDescent="0.25">
      <c r="A585" s="243"/>
      <c r="B585" s="381"/>
      <c r="C585" s="381"/>
      <c r="D585" s="381"/>
      <c r="E585" s="381"/>
      <c r="F585" s="381"/>
      <c r="G585" s="381"/>
      <c r="H585" s="381"/>
      <c r="I585" s="382"/>
      <c r="J585" s="381" t="s">
        <v>318</v>
      </c>
      <c r="K585" s="245"/>
      <c r="L585" s="257"/>
      <c r="M585" s="591" t="s">
        <v>319</v>
      </c>
      <c r="N585" s="592"/>
      <c r="O585" s="179"/>
      <c r="P585" s="180"/>
      <c r="Q585" s="180">
        <v>58500000</v>
      </c>
      <c r="R585" s="181">
        <f t="shared" si="153"/>
        <v>36.117330203247036</v>
      </c>
      <c r="S585" s="181">
        <v>100</v>
      </c>
      <c r="T585" s="180">
        <f t="shared" si="117"/>
        <v>0</v>
      </c>
      <c r="U585" s="180">
        <f t="shared" si="122"/>
        <v>0</v>
      </c>
      <c r="V585" s="182">
        <f t="shared" si="142"/>
        <v>100</v>
      </c>
      <c r="W585" s="180"/>
      <c r="X585" s="180"/>
      <c r="Y585" s="180"/>
      <c r="Z585" s="180"/>
      <c r="AA585" s="180"/>
      <c r="AB585" s="180"/>
      <c r="AC585" s="180"/>
      <c r="AD585" s="180"/>
      <c r="AE585" s="180"/>
      <c r="AF585" s="180"/>
      <c r="AG585" s="180"/>
      <c r="AH585" s="180"/>
      <c r="AI585" s="180">
        <v>0</v>
      </c>
      <c r="AJ585" s="181">
        <f t="shared" si="143"/>
        <v>0</v>
      </c>
      <c r="AK585" s="180">
        <f t="shared" si="151"/>
        <v>58500000</v>
      </c>
      <c r="AL585" s="181">
        <f t="shared" si="146"/>
        <v>100</v>
      </c>
      <c r="AM585" s="243"/>
    </row>
    <row r="586" spans="1:39" ht="24.75" customHeight="1" x14ac:dyDescent="0.25">
      <c r="A586" s="243"/>
      <c r="B586" s="381"/>
      <c r="C586" s="381"/>
      <c r="D586" s="381"/>
      <c r="E586" s="381"/>
      <c r="F586" s="381"/>
      <c r="G586" s="381"/>
      <c r="H586" s="381"/>
      <c r="I586" s="382"/>
      <c r="J586" s="381" t="s">
        <v>280</v>
      </c>
      <c r="K586" s="245"/>
      <c r="L586" s="257"/>
      <c r="M586" s="591" t="s">
        <v>281</v>
      </c>
      <c r="N586" s="592"/>
      <c r="O586" s="179"/>
      <c r="P586" s="180"/>
      <c r="Q586" s="180">
        <v>2925000</v>
      </c>
      <c r="R586" s="181">
        <f t="shared" si="153"/>
        <v>1.8058665101623517</v>
      </c>
      <c r="S586" s="181">
        <v>100</v>
      </c>
      <c r="T586" s="180">
        <f t="shared" si="117"/>
        <v>0</v>
      </c>
      <c r="U586" s="180">
        <f t="shared" si="122"/>
        <v>0</v>
      </c>
      <c r="V586" s="182">
        <f t="shared" si="142"/>
        <v>100</v>
      </c>
      <c r="W586" s="180"/>
      <c r="X586" s="180"/>
      <c r="Y586" s="180"/>
      <c r="Z586" s="180"/>
      <c r="AA586" s="180"/>
      <c r="AB586" s="180"/>
      <c r="AC586" s="180"/>
      <c r="AD586" s="180"/>
      <c r="AE586" s="180"/>
      <c r="AF586" s="180"/>
      <c r="AG586" s="180"/>
      <c r="AH586" s="180"/>
      <c r="AI586" s="180">
        <v>0</v>
      </c>
      <c r="AJ586" s="181">
        <f t="shared" si="143"/>
        <v>0</v>
      </c>
      <c r="AK586" s="180">
        <f t="shared" si="151"/>
        <v>2925000</v>
      </c>
      <c r="AL586" s="181">
        <f t="shared" si="146"/>
        <v>100</v>
      </c>
      <c r="AM586" s="243"/>
    </row>
    <row r="587" spans="1:39" ht="24.75" customHeight="1" x14ac:dyDescent="0.25">
      <c r="A587" s="243"/>
      <c r="B587" s="381"/>
      <c r="C587" s="381"/>
      <c r="D587" s="381"/>
      <c r="E587" s="381"/>
      <c r="F587" s="381"/>
      <c r="G587" s="381"/>
      <c r="H587" s="381"/>
      <c r="I587" s="382"/>
      <c r="J587" s="381" t="s">
        <v>284</v>
      </c>
      <c r="K587" s="245"/>
      <c r="L587" s="257"/>
      <c r="M587" s="591" t="s">
        <v>285</v>
      </c>
      <c r="N587" s="592"/>
      <c r="O587" s="179"/>
      <c r="P587" s="180"/>
      <c r="Q587" s="180">
        <v>2000000</v>
      </c>
      <c r="R587" s="181">
        <f t="shared" si="153"/>
        <v>1.2347805197691293</v>
      </c>
      <c r="S587" s="181">
        <v>100</v>
      </c>
      <c r="T587" s="180">
        <f t="shared" si="117"/>
        <v>0</v>
      </c>
      <c r="U587" s="180">
        <f t="shared" si="122"/>
        <v>0</v>
      </c>
      <c r="V587" s="182">
        <f t="shared" si="142"/>
        <v>100</v>
      </c>
      <c r="W587" s="180"/>
      <c r="X587" s="180"/>
      <c r="Y587" s="180"/>
      <c r="Z587" s="180"/>
      <c r="AA587" s="180"/>
      <c r="AB587" s="180"/>
      <c r="AC587" s="180"/>
      <c r="AD587" s="180"/>
      <c r="AE587" s="180"/>
      <c r="AF587" s="180"/>
      <c r="AG587" s="180"/>
      <c r="AH587" s="180"/>
      <c r="AI587" s="180">
        <v>0</v>
      </c>
      <c r="AJ587" s="181">
        <f t="shared" si="143"/>
        <v>0</v>
      </c>
      <c r="AK587" s="180">
        <f t="shared" si="151"/>
        <v>2000000</v>
      </c>
      <c r="AL587" s="181">
        <f t="shared" si="146"/>
        <v>100</v>
      </c>
      <c r="AM587" s="243"/>
    </row>
    <row r="588" spans="1:39" ht="24.75" customHeight="1" x14ac:dyDescent="0.25">
      <c r="A588" s="243"/>
      <c r="B588" s="381"/>
      <c r="C588" s="381"/>
      <c r="D588" s="381"/>
      <c r="E588" s="381"/>
      <c r="F588" s="381"/>
      <c r="G588" s="381"/>
      <c r="H588" s="381"/>
      <c r="I588" s="382"/>
      <c r="J588" s="381" t="s">
        <v>282</v>
      </c>
      <c r="K588" s="245"/>
      <c r="L588" s="257"/>
      <c r="M588" s="591" t="s">
        <v>283</v>
      </c>
      <c r="N588" s="592"/>
      <c r="O588" s="179"/>
      <c r="P588" s="180"/>
      <c r="Q588" s="180">
        <v>73857105</v>
      </c>
      <c r="R588" s="181">
        <f t="shared" si="153"/>
        <v>45.598657250271586</v>
      </c>
      <c r="S588" s="181">
        <v>100</v>
      </c>
      <c r="T588" s="180">
        <f t="shared" si="117"/>
        <v>70.672009145227122</v>
      </c>
      <c r="U588" s="180">
        <f t="shared" si="122"/>
        <v>32.22548722201271</v>
      </c>
      <c r="V588" s="182">
        <f t="shared" si="142"/>
        <v>29.327990854772878</v>
      </c>
      <c r="W588" s="180"/>
      <c r="X588" s="180"/>
      <c r="Y588" s="180"/>
      <c r="Z588" s="180"/>
      <c r="AA588" s="180"/>
      <c r="AB588" s="180"/>
      <c r="AC588" s="180"/>
      <c r="AD588" s="180"/>
      <c r="AE588" s="180"/>
      <c r="AF588" s="180"/>
      <c r="AG588" s="180"/>
      <c r="AH588" s="180"/>
      <c r="AI588" s="180">
        <v>52196300</v>
      </c>
      <c r="AJ588" s="181">
        <f t="shared" si="143"/>
        <v>70.672009145227122</v>
      </c>
      <c r="AK588" s="180">
        <f t="shared" si="151"/>
        <v>21660805</v>
      </c>
      <c r="AL588" s="181">
        <f t="shared" si="146"/>
        <v>29.327990854772874</v>
      </c>
      <c r="AM588" s="243"/>
    </row>
    <row r="589" spans="1:39" ht="24.75" customHeight="1" x14ac:dyDescent="0.25">
      <c r="A589" s="243"/>
      <c r="B589" s="381"/>
      <c r="C589" s="381"/>
      <c r="D589" s="381"/>
      <c r="E589" s="381"/>
      <c r="F589" s="381"/>
      <c r="G589" s="381"/>
      <c r="H589" s="381"/>
      <c r="I589" s="382"/>
      <c r="J589" s="381" t="s">
        <v>320</v>
      </c>
      <c r="K589" s="245"/>
      <c r="L589" s="257"/>
      <c r="M589" s="591" t="s">
        <v>321</v>
      </c>
      <c r="N589" s="592"/>
      <c r="O589" s="179"/>
      <c r="P589" s="180"/>
      <c r="Q589" s="180">
        <v>15750000</v>
      </c>
      <c r="R589" s="181">
        <f t="shared" si="153"/>
        <v>9.7238965931818946</v>
      </c>
      <c r="S589" s="181">
        <v>100</v>
      </c>
      <c r="T589" s="180">
        <f t="shared" si="117"/>
        <v>0</v>
      </c>
      <c r="U589" s="180">
        <f t="shared" si="122"/>
        <v>0</v>
      </c>
      <c r="V589" s="182">
        <v>100</v>
      </c>
      <c r="W589" s="180"/>
      <c r="X589" s="180"/>
      <c r="Y589" s="180"/>
      <c r="Z589" s="180"/>
      <c r="AA589" s="180"/>
      <c r="AB589" s="180"/>
      <c r="AC589" s="180"/>
      <c r="AD589" s="180"/>
      <c r="AE589" s="180"/>
      <c r="AF589" s="180"/>
      <c r="AG589" s="180"/>
      <c r="AH589" s="180"/>
      <c r="AI589" s="180">
        <v>0</v>
      </c>
      <c r="AJ589" s="181">
        <f t="shared" si="143"/>
        <v>0</v>
      </c>
      <c r="AK589" s="180">
        <f t="shared" si="151"/>
        <v>15750000</v>
      </c>
      <c r="AL589" s="181">
        <f t="shared" si="146"/>
        <v>100</v>
      </c>
      <c r="AM589" s="243"/>
    </row>
    <row r="590" spans="1:39" ht="24.75" customHeight="1" x14ac:dyDescent="0.25">
      <c r="A590" s="243"/>
      <c r="B590" s="381"/>
      <c r="C590" s="381"/>
      <c r="D590" s="381"/>
      <c r="E590" s="381"/>
      <c r="F590" s="381"/>
      <c r="G590" s="381"/>
      <c r="H590" s="381"/>
      <c r="I590" s="382"/>
      <c r="J590" s="381" t="s">
        <v>407</v>
      </c>
      <c r="K590" s="245"/>
      <c r="L590" s="257"/>
      <c r="M590" s="591" t="s">
        <v>414</v>
      </c>
      <c r="N590" s="592"/>
      <c r="O590" s="179"/>
      <c r="P590" s="180"/>
      <c r="Q590" s="180">
        <v>5400000</v>
      </c>
      <c r="R590" s="181">
        <f t="shared" si="153"/>
        <v>3.3339074033766494</v>
      </c>
      <c r="S590" s="181">
        <v>100</v>
      </c>
      <c r="T590" s="180">
        <f t="shared" si="117"/>
        <v>0</v>
      </c>
      <c r="U590" s="180">
        <f t="shared" si="122"/>
        <v>0</v>
      </c>
      <c r="V590" s="182">
        <v>100</v>
      </c>
      <c r="W590" s="180"/>
      <c r="X590" s="180"/>
      <c r="Y590" s="180"/>
      <c r="Z590" s="180"/>
      <c r="AA590" s="180"/>
      <c r="AB590" s="180"/>
      <c r="AC590" s="180"/>
      <c r="AD590" s="180"/>
      <c r="AE590" s="180"/>
      <c r="AF590" s="180"/>
      <c r="AG590" s="180"/>
      <c r="AH590" s="180"/>
      <c r="AI590" s="180">
        <v>0</v>
      </c>
      <c r="AJ590" s="181">
        <f t="shared" si="143"/>
        <v>0</v>
      </c>
      <c r="AK590" s="180">
        <f t="shared" si="151"/>
        <v>5400000</v>
      </c>
      <c r="AL590" s="181">
        <f t="shared" si="146"/>
        <v>100</v>
      </c>
      <c r="AM590" s="243"/>
    </row>
    <row r="591" spans="1:39" s="297" customFormat="1" ht="24.75" customHeight="1" x14ac:dyDescent="0.25">
      <c r="A591" s="227">
        <f>SUM(A582+1)</f>
        <v>72</v>
      </c>
      <c r="B591" s="393"/>
      <c r="C591" s="393"/>
      <c r="D591" s="393"/>
      <c r="E591" s="393"/>
      <c r="F591" s="393"/>
      <c r="G591" s="393"/>
      <c r="H591" s="393"/>
      <c r="I591" s="394"/>
      <c r="J591" s="304" t="s">
        <v>525</v>
      </c>
      <c r="K591" s="230"/>
      <c r="L591" s="294"/>
      <c r="M591" s="610" t="s">
        <v>205</v>
      </c>
      <c r="N591" s="612"/>
      <c r="O591" s="309"/>
      <c r="P591" s="231"/>
      <c r="Q591" s="231">
        <f>SUM(Q592:Q604)</f>
        <v>420363277</v>
      </c>
      <c r="R591" s="233">
        <f>Q591/Q$245*100</f>
        <v>3.5242182166114522</v>
      </c>
      <c r="S591" s="233">
        <v>100</v>
      </c>
      <c r="T591" s="231">
        <f t="shared" si="117"/>
        <v>18.907931389068509</v>
      </c>
      <c r="U591" s="231">
        <f t="shared" si="122"/>
        <v>0.66635676239794717</v>
      </c>
      <c r="V591" s="296">
        <f t="shared" si="142"/>
        <v>81.092068610931491</v>
      </c>
      <c r="W591" s="231"/>
      <c r="X591" s="231"/>
      <c r="Y591" s="231"/>
      <c r="Z591" s="231"/>
      <c r="AA591" s="231"/>
      <c r="AB591" s="231"/>
      <c r="AC591" s="231"/>
      <c r="AD591" s="231"/>
      <c r="AE591" s="231"/>
      <c r="AF591" s="231"/>
      <c r="AG591" s="231"/>
      <c r="AH591" s="231"/>
      <c r="AI591" s="231">
        <f>SUM(AI592:AI604)</f>
        <v>79482000</v>
      </c>
      <c r="AJ591" s="233">
        <f t="shared" si="143"/>
        <v>18.907931389068509</v>
      </c>
      <c r="AK591" s="231">
        <f t="shared" si="151"/>
        <v>340881277</v>
      </c>
      <c r="AL591" s="233">
        <f t="shared" si="146"/>
        <v>81.092068610931491</v>
      </c>
      <c r="AM591" s="227"/>
    </row>
    <row r="592" spans="1:39" ht="24.75" customHeight="1" x14ac:dyDescent="0.25">
      <c r="A592" s="243"/>
      <c r="B592" s="381"/>
      <c r="C592" s="381"/>
      <c r="D592" s="381"/>
      <c r="E592" s="381"/>
      <c r="F592" s="381"/>
      <c r="G592" s="381"/>
      <c r="H592" s="381"/>
      <c r="I592" s="382"/>
      <c r="J592" s="381" t="s">
        <v>259</v>
      </c>
      <c r="K592" s="245"/>
      <c r="L592" s="257"/>
      <c r="M592" s="591" t="s">
        <v>260</v>
      </c>
      <c r="N592" s="592"/>
      <c r="O592" s="179"/>
      <c r="P592" s="180"/>
      <c r="Q592" s="180">
        <v>2400000</v>
      </c>
      <c r="R592" s="181">
        <f t="shared" ref="R592:R604" si="154">Q592/Q$591*100</f>
        <v>0.57093474414036416</v>
      </c>
      <c r="S592" s="181">
        <v>100</v>
      </c>
      <c r="T592" s="180">
        <f t="shared" si="117"/>
        <v>66.666666666666657</v>
      </c>
      <c r="U592" s="180">
        <f t="shared" si="122"/>
        <v>0.38062316276024272</v>
      </c>
      <c r="V592" s="182">
        <f t="shared" si="142"/>
        <v>33.333333333333343</v>
      </c>
      <c r="W592" s="180"/>
      <c r="X592" s="180"/>
      <c r="Y592" s="180"/>
      <c r="Z592" s="180"/>
      <c r="AA592" s="180"/>
      <c r="AB592" s="180"/>
      <c r="AC592" s="180"/>
      <c r="AD592" s="180"/>
      <c r="AE592" s="180"/>
      <c r="AF592" s="180"/>
      <c r="AG592" s="180"/>
      <c r="AH592" s="180"/>
      <c r="AI592" s="180">
        <v>1600000</v>
      </c>
      <c r="AJ592" s="181">
        <f t="shared" si="143"/>
        <v>66.666666666666657</v>
      </c>
      <c r="AK592" s="180">
        <f t="shared" si="151"/>
        <v>800000</v>
      </c>
      <c r="AL592" s="181">
        <f t="shared" si="146"/>
        <v>33.333333333333329</v>
      </c>
      <c r="AM592" s="243"/>
    </row>
    <row r="593" spans="1:39" ht="24.75" customHeight="1" x14ac:dyDescent="0.25">
      <c r="A593" s="243"/>
      <c r="B593" s="381"/>
      <c r="C593" s="381"/>
      <c r="D593" s="381"/>
      <c r="E593" s="381"/>
      <c r="F593" s="381"/>
      <c r="G593" s="381"/>
      <c r="H593" s="381"/>
      <c r="I593" s="382"/>
      <c r="J593" s="381" t="s">
        <v>273</v>
      </c>
      <c r="K593" s="245"/>
      <c r="L593" s="257"/>
      <c r="M593" s="591" t="s">
        <v>322</v>
      </c>
      <c r="N593" s="592"/>
      <c r="O593" s="179"/>
      <c r="P593" s="180"/>
      <c r="Q593" s="180">
        <v>22500000</v>
      </c>
      <c r="R593" s="181">
        <f t="shared" si="154"/>
        <v>5.3525132263159136</v>
      </c>
      <c r="S593" s="181">
        <v>100</v>
      </c>
      <c r="T593" s="180">
        <f t="shared" si="117"/>
        <v>42.666666666666671</v>
      </c>
      <c r="U593" s="180">
        <f t="shared" si="122"/>
        <v>2.2837389765614571</v>
      </c>
      <c r="V593" s="182">
        <f t="shared" si="142"/>
        <v>57.333333333333329</v>
      </c>
      <c r="W593" s="180"/>
      <c r="X593" s="180"/>
      <c r="Y593" s="180"/>
      <c r="Z593" s="180"/>
      <c r="AA593" s="180"/>
      <c r="AB593" s="180"/>
      <c r="AC593" s="180"/>
      <c r="AD593" s="180"/>
      <c r="AE593" s="180"/>
      <c r="AF593" s="180"/>
      <c r="AG593" s="180"/>
      <c r="AH593" s="180"/>
      <c r="AI593" s="180">
        <v>9600000</v>
      </c>
      <c r="AJ593" s="181">
        <f t="shared" si="143"/>
        <v>42.666666666666671</v>
      </c>
      <c r="AK593" s="180">
        <f t="shared" si="151"/>
        <v>12900000</v>
      </c>
      <c r="AL593" s="181">
        <f t="shared" si="146"/>
        <v>57.333333333333336</v>
      </c>
      <c r="AM593" s="243"/>
    </row>
    <row r="594" spans="1:39" ht="24.75" customHeight="1" x14ac:dyDescent="0.25">
      <c r="A594" s="243"/>
      <c r="B594" s="381"/>
      <c r="C594" s="381"/>
      <c r="D594" s="381"/>
      <c r="E594" s="381"/>
      <c r="F594" s="381"/>
      <c r="G594" s="381"/>
      <c r="H594" s="381"/>
      <c r="I594" s="382"/>
      <c r="J594" s="381" t="s">
        <v>326</v>
      </c>
      <c r="K594" s="245"/>
      <c r="L594" s="257"/>
      <c r="M594" s="591" t="s">
        <v>327</v>
      </c>
      <c r="N594" s="592"/>
      <c r="O594" s="179"/>
      <c r="P594" s="180"/>
      <c r="Q594" s="180">
        <v>50250000</v>
      </c>
      <c r="R594" s="181">
        <f t="shared" si="154"/>
        <v>11.953946205438873</v>
      </c>
      <c r="S594" s="181">
        <v>100</v>
      </c>
      <c r="T594" s="180">
        <f t="shared" si="117"/>
        <v>0</v>
      </c>
      <c r="U594" s="180">
        <f t="shared" si="122"/>
        <v>0</v>
      </c>
      <c r="V594" s="182">
        <f t="shared" si="142"/>
        <v>100</v>
      </c>
      <c r="W594" s="180"/>
      <c r="X594" s="180"/>
      <c r="Y594" s="180"/>
      <c r="Z594" s="180"/>
      <c r="AA594" s="180"/>
      <c r="AB594" s="180"/>
      <c r="AC594" s="180"/>
      <c r="AD594" s="180"/>
      <c r="AE594" s="180"/>
      <c r="AF594" s="180"/>
      <c r="AG594" s="180"/>
      <c r="AH594" s="180"/>
      <c r="AI594" s="180">
        <v>0</v>
      </c>
      <c r="AJ594" s="181">
        <f t="shared" si="143"/>
        <v>0</v>
      </c>
      <c r="AK594" s="180">
        <f t="shared" si="151"/>
        <v>50250000</v>
      </c>
      <c r="AL594" s="181">
        <f t="shared" si="146"/>
        <v>100</v>
      </c>
      <c r="AM594" s="243"/>
    </row>
    <row r="595" spans="1:39" ht="24.75" customHeight="1" x14ac:dyDescent="0.25">
      <c r="A595" s="243"/>
      <c r="B595" s="381"/>
      <c r="C595" s="381"/>
      <c r="D595" s="381"/>
      <c r="E595" s="381"/>
      <c r="F595" s="381"/>
      <c r="G595" s="381"/>
      <c r="H595" s="381"/>
      <c r="I595" s="382"/>
      <c r="J595" s="381" t="s">
        <v>323</v>
      </c>
      <c r="K595" s="245"/>
      <c r="L595" s="257"/>
      <c r="M595" s="591" t="s">
        <v>324</v>
      </c>
      <c r="N595" s="592"/>
      <c r="O595" s="179"/>
      <c r="P595" s="180"/>
      <c r="Q595" s="180">
        <v>18165000</v>
      </c>
      <c r="R595" s="181">
        <f t="shared" si="154"/>
        <v>4.3212623447123812</v>
      </c>
      <c r="S595" s="181">
        <v>100</v>
      </c>
      <c r="T595" s="180">
        <f t="shared" si="117"/>
        <v>36.729975227085056</v>
      </c>
      <c r="U595" s="180">
        <f t="shared" si="122"/>
        <v>1.5871985887102125</v>
      </c>
      <c r="V595" s="182">
        <f t="shared" si="142"/>
        <v>63.270024772914944</v>
      </c>
      <c r="W595" s="180"/>
      <c r="X595" s="180"/>
      <c r="Y595" s="180"/>
      <c r="Z595" s="180"/>
      <c r="AA595" s="180"/>
      <c r="AB595" s="180"/>
      <c r="AC595" s="180"/>
      <c r="AD595" s="180"/>
      <c r="AE595" s="180"/>
      <c r="AF595" s="180"/>
      <c r="AG595" s="180"/>
      <c r="AH595" s="180"/>
      <c r="AI595" s="180">
        <v>6672000</v>
      </c>
      <c r="AJ595" s="181">
        <f t="shared" si="143"/>
        <v>36.729975227085056</v>
      </c>
      <c r="AK595" s="180">
        <f t="shared" si="151"/>
        <v>11493000</v>
      </c>
      <c r="AL595" s="181">
        <f t="shared" si="146"/>
        <v>63.270024772914944</v>
      </c>
      <c r="AM595" s="243"/>
    </row>
    <row r="596" spans="1:39" ht="24.75" customHeight="1" x14ac:dyDescent="0.25">
      <c r="A596" s="243"/>
      <c r="B596" s="381"/>
      <c r="C596" s="381"/>
      <c r="D596" s="381"/>
      <c r="E596" s="381"/>
      <c r="F596" s="381"/>
      <c r="G596" s="381"/>
      <c r="H596" s="381"/>
      <c r="I596" s="382"/>
      <c r="J596" s="381" t="s">
        <v>269</v>
      </c>
      <c r="K596" s="245"/>
      <c r="L596" s="257"/>
      <c r="M596" s="591" t="s">
        <v>270</v>
      </c>
      <c r="N596" s="592"/>
      <c r="O596" s="179"/>
      <c r="P596" s="180"/>
      <c r="Q596" s="180">
        <v>7500000</v>
      </c>
      <c r="R596" s="181">
        <f t="shared" si="154"/>
        <v>1.7841710754386377</v>
      </c>
      <c r="S596" s="181">
        <v>100</v>
      </c>
      <c r="T596" s="180">
        <f t="shared" si="117"/>
        <v>0</v>
      </c>
      <c r="U596" s="180">
        <f t="shared" si="122"/>
        <v>0</v>
      </c>
      <c r="V596" s="182">
        <f t="shared" si="142"/>
        <v>100</v>
      </c>
      <c r="W596" s="180"/>
      <c r="X596" s="180"/>
      <c r="Y596" s="180"/>
      <c r="Z596" s="180"/>
      <c r="AA596" s="180"/>
      <c r="AB596" s="180"/>
      <c r="AC596" s="180"/>
      <c r="AD596" s="180"/>
      <c r="AE596" s="180"/>
      <c r="AF596" s="180"/>
      <c r="AG596" s="180"/>
      <c r="AH596" s="180"/>
      <c r="AI596" s="180">
        <v>0</v>
      </c>
      <c r="AJ596" s="181">
        <f t="shared" si="143"/>
        <v>0</v>
      </c>
      <c r="AK596" s="180">
        <f t="shared" si="151"/>
        <v>7500000</v>
      </c>
      <c r="AL596" s="181">
        <f t="shared" si="146"/>
        <v>100</v>
      </c>
      <c r="AM596" s="243"/>
    </row>
    <row r="597" spans="1:39" ht="24.75" customHeight="1" x14ac:dyDescent="0.25">
      <c r="A597" s="243"/>
      <c r="B597" s="381"/>
      <c r="C597" s="381"/>
      <c r="D597" s="381"/>
      <c r="E597" s="381"/>
      <c r="F597" s="381"/>
      <c r="G597" s="381"/>
      <c r="H597" s="381"/>
      <c r="I597" s="382"/>
      <c r="J597" s="381" t="s">
        <v>315</v>
      </c>
      <c r="K597" s="245"/>
      <c r="L597" s="257"/>
      <c r="M597" s="591" t="s">
        <v>271</v>
      </c>
      <c r="N597" s="592"/>
      <c r="O597" s="179"/>
      <c r="P597" s="180"/>
      <c r="Q597" s="180">
        <v>9928277</v>
      </c>
      <c r="R597" s="181">
        <f t="shared" si="154"/>
        <v>2.361832620312359</v>
      </c>
      <c r="S597" s="181">
        <v>100</v>
      </c>
      <c r="T597" s="180">
        <f t="shared" si="117"/>
        <v>20.144482270186458</v>
      </c>
      <c r="U597" s="180">
        <f t="shared" si="122"/>
        <v>0.47577895345030341</v>
      </c>
      <c r="V597" s="182">
        <f t="shared" si="142"/>
        <v>79.855517729813542</v>
      </c>
      <c r="W597" s="180"/>
      <c r="X597" s="180"/>
      <c r="Y597" s="180"/>
      <c r="Z597" s="180"/>
      <c r="AA597" s="180"/>
      <c r="AB597" s="180"/>
      <c r="AC597" s="180"/>
      <c r="AD597" s="180"/>
      <c r="AE597" s="180"/>
      <c r="AF597" s="180"/>
      <c r="AG597" s="180"/>
      <c r="AH597" s="180"/>
      <c r="AI597" s="180">
        <v>2000000</v>
      </c>
      <c r="AJ597" s="181">
        <f t="shared" si="143"/>
        <v>20.144482270186458</v>
      </c>
      <c r="AK597" s="180">
        <f t="shared" si="151"/>
        <v>7928277</v>
      </c>
      <c r="AL597" s="181">
        <f t="shared" si="146"/>
        <v>79.855517729813542</v>
      </c>
      <c r="AM597" s="243"/>
    </row>
    <row r="598" spans="1:39" ht="24.75" customHeight="1" x14ac:dyDescent="0.25">
      <c r="A598" s="243"/>
      <c r="B598" s="381"/>
      <c r="C598" s="381"/>
      <c r="D598" s="381"/>
      <c r="E598" s="381"/>
      <c r="F598" s="381"/>
      <c r="G598" s="381"/>
      <c r="H598" s="381"/>
      <c r="I598" s="382"/>
      <c r="J598" s="381" t="s">
        <v>328</v>
      </c>
      <c r="K598" s="245"/>
      <c r="L598" s="257"/>
      <c r="M598" s="591" t="s">
        <v>329</v>
      </c>
      <c r="N598" s="592"/>
      <c r="O598" s="179"/>
      <c r="P598" s="180"/>
      <c r="Q598" s="180">
        <v>149600000</v>
      </c>
      <c r="R598" s="181">
        <f t="shared" si="154"/>
        <v>35.588265718082695</v>
      </c>
      <c r="S598" s="181">
        <v>100</v>
      </c>
      <c r="T598" s="180">
        <f t="shared" si="117"/>
        <v>18.850267379679146</v>
      </c>
      <c r="U598" s="180">
        <f t="shared" si="122"/>
        <v>6.7084832436492787</v>
      </c>
      <c r="V598" s="182">
        <f t="shared" si="142"/>
        <v>81.149732620320862</v>
      </c>
      <c r="W598" s="180"/>
      <c r="X598" s="180"/>
      <c r="Y598" s="180"/>
      <c r="Z598" s="180"/>
      <c r="AA598" s="180"/>
      <c r="AB598" s="180"/>
      <c r="AC598" s="180"/>
      <c r="AD598" s="180"/>
      <c r="AE598" s="180"/>
      <c r="AF598" s="180"/>
      <c r="AG598" s="180"/>
      <c r="AH598" s="180"/>
      <c r="AI598" s="180">
        <v>28200000</v>
      </c>
      <c r="AJ598" s="181">
        <f t="shared" si="143"/>
        <v>18.850267379679146</v>
      </c>
      <c r="AK598" s="180">
        <f t="shared" si="151"/>
        <v>121400000</v>
      </c>
      <c r="AL598" s="181">
        <f t="shared" si="146"/>
        <v>81.149732620320862</v>
      </c>
      <c r="AM598" s="243"/>
    </row>
    <row r="599" spans="1:39" ht="24.75" customHeight="1" x14ac:dyDescent="0.25">
      <c r="A599" s="243"/>
      <c r="B599" s="381"/>
      <c r="C599" s="381"/>
      <c r="D599" s="381"/>
      <c r="E599" s="381"/>
      <c r="F599" s="381"/>
      <c r="G599" s="381"/>
      <c r="H599" s="381"/>
      <c r="I599" s="382"/>
      <c r="J599" s="381" t="s">
        <v>280</v>
      </c>
      <c r="K599" s="245"/>
      <c r="L599" s="257"/>
      <c r="M599" s="591" t="s">
        <v>281</v>
      </c>
      <c r="N599" s="592"/>
      <c r="O599" s="179"/>
      <c r="P599" s="180"/>
      <c r="Q599" s="180">
        <v>22500000</v>
      </c>
      <c r="R599" s="181">
        <f t="shared" si="154"/>
        <v>5.3525132263159136</v>
      </c>
      <c r="S599" s="181">
        <v>100</v>
      </c>
      <c r="T599" s="180">
        <f t="shared" si="117"/>
        <v>49.555555555555557</v>
      </c>
      <c r="U599" s="180">
        <f t="shared" si="122"/>
        <v>2.652467665485442</v>
      </c>
      <c r="V599" s="182">
        <f t="shared" si="142"/>
        <v>50.444444444444443</v>
      </c>
      <c r="W599" s="180"/>
      <c r="X599" s="180"/>
      <c r="Y599" s="180"/>
      <c r="Z599" s="180"/>
      <c r="AA599" s="180"/>
      <c r="AB599" s="180"/>
      <c r="AC599" s="180"/>
      <c r="AD599" s="180"/>
      <c r="AE599" s="180"/>
      <c r="AF599" s="180"/>
      <c r="AG599" s="180"/>
      <c r="AH599" s="180"/>
      <c r="AI599" s="180">
        <v>11150000</v>
      </c>
      <c r="AJ599" s="181">
        <f t="shared" si="143"/>
        <v>49.555555555555557</v>
      </c>
      <c r="AK599" s="180">
        <f t="shared" si="151"/>
        <v>11350000</v>
      </c>
      <c r="AL599" s="181">
        <f t="shared" si="146"/>
        <v>50.44444444444445</v>
      </c>
      <c r="AM599" s="243"/>
    </row>
    <row r="600" spans="1:39" ht="24.75" customHeight="1" x14ac:dyDescent="0.25">
      <c r="A600" s="243"/>
      <c r="B600" s="381"/>
      <c r="C600" s="381"/>
      <c r="D600" s="381"/>
      <c r="E600" s="381"/>
      <c r="F600" s="381"/>
      <c r="G600" s="381"/>
      <c r="H600" s="381"/>
      <c r="I600" s="382"/>
      <c r="J600" s="381" t="s">
        <v>284</v>
      </c>
      <c r="K600" s="245"/>
      <c r="L600" s="257"/>
      <c r="M600" s="591" t="s">
        <v>285</v>
      </c>
      <c r="N600" s="592"/>
      <c r="O600" s="179"/>
      <c r="P600" s="180"/>
      <c r="Q600" s="180">
        <v>22520000</v>
      </c>
      <c r="R600" s="181">
        <f t="shared" si="154"/>
        <v>5.357271015850416</v>
      </c>
      <c r="S600" s="181">
        <v>100</v>
      </c>
      <c r="T600" s="180">
        <f t="shared" si="117"/>
        <v>23.357015985790408</v>
      </c>
      <c r="U600" s="180">
        <f t="shared" si="122"/>
        <v>1.2512986475742978</v>
      </c>
      <c r="V600" s="182">
        <f t="shared" si="142"/>
        <v>76.642984014209588</v>
      </c>
      <c r="W600" s="180"/>
      <c r="X600" s="180"/>
      <c r="Y600" s="180"/>
      <c r="Z600" s="180"/>
      <c r="AA600" s="180"/>
      <c r="AB600" s="180"/>
      <c r="AC600" s="180"/>
      <c r="AD600" s="180"/>
      <c r="AE600" s="180"/>
      <c r="AF600" s="180"/>
      <c r="AG600" s="180"/>
      <c r="AH600" s="180"/>
      <c r="AI600" s="180">
        <v>5260000</v>
      </c>
      <c r="AJ600" s="181">
        <f t="shared" si="143"/>
        <v>23.357015985790408</v>
      </c>
      <c r="AK600" s="180">
        <f t="shared" si="151"/>
        <v>17260000</v>
      </c>
      <c r="AL600" s="181">
        <f t="shared" si="146"/>
        <v>76.642984014209588</v>
      </c>
      <c r="AM600" s="243"/>
    </row>
    <row r="601" spans="1:39" ht="24.75" customHeight="1" x14ac:dyDescent="0.25">
      <c r="A601" s="243"/>
      <c r="B601" s="381"/>
      <c r="C601" s="381"/>
      <c r="D601" s="381"/>
      <c r="E601" s="381"/>
      <c r="F601" s="381"/>
      <c r="G601" s="381"/>
      <c r="H601" s="381"/>
      <c r="I601" s="382"/>
      <c r="J601" s="381" t="s">
        <v>282</v>
      </c>
      <c r="K601" s="245"/>
      <c r="L601" s="257"/>
      <c r="M601" s="591" t="s">
        <v>283</v>
      </c>
      <c r="N601" s="592"/>
      <c r="O601" s="179"/>
      <c r="P601" s="180"/>
      <c r="Q601" s="180">
        <v>19800000</v>
      </c>
      <c r="R601" s="181">
        <f t="shared" si="154"/>
        <v>4.710211639158004</v>
      </c>
      <c r="S601" s="181">
        <v>100</v>
      </c>
      <c r="T601" s="180">
        <f t="shared" si="117"/>
        <v>0</v>
      </c>
      <c r="U601" s="180">
        <f t="shared" si="122"/>
        <v>0</v>
      </c>
      <c r="V601" s="182">
        <f t="shared" si="142"/>
        <v>100</v>
      </c>
      <c r="W601" s="180"/>
      <c r="X601" s="180"/>
      <c r="Y601" s="180"/>
      <c r="Z601" s="180"/>
      <c r="AA601" s="180"/>
      <c r="AB601" s="180"/>
      <c r="AC601" s="180"/>
      <c r="AD601" s="180"/>
      <c r="AE601" s="180"/>
      <c r="AF601" s="180"/>
      <c r="AG601" s="180"/>
      <c r="AH601" s="180"/>
      <c r="AI601" s="180">
        <v>0</v>
      </c>
      <c r="AJ601" s="181">
        <f t="shared" si="143"/>
        <v>0</v>
      </c>
      <c r="AK601" s="180">
        <f t="shared" si="151"/>
        <v>19800000</v>
      </c>
      <c r="AL601" s="181">
        <f t="shared" si="146"/>
        <v>100</v>
      </c>
      <c r="AM601" s="243"/>
    </row>
    <row r="602" spans="1:39" ht="24.75" customHeight="1" x14ac:dyDescent="0.25">
      <c r="A602" s="243"/>
      <c r="B602" s="381"/>
      <c r="C602" s="381"/>
      <c r="D602" s="381"/>
      <c r="E602" s="381"/>
      <c r="F602" s="381"/>
      <c r="G602" s="381"/>
      <c r="H602" s="381"/>
      <c r="I602" s="382"/>
      <c r="J602" s="381" t="s">
        <v>320</v>
      </c>
      <c r="K602" s="245"/>
      <c r="L602" s="257"/>
      <c r="M602" s="591" t="s">
        <v>321</v>
      </c>
      <c r="N602" s="592"/>
      <c r="O602" s="179"/>
      <c r="P602" s="180"/>
      <c r="Q602" s="180">
        <v>10800000</v>
      </c>
      <c r="R602" s="181">
        <f t="shared" si="154"/>
        <v>2.5692063486316385</v>
      </c>
      <c r="S602" s="181">
        <v>100</v>
      </c>
      <c r="T602" s="180">
        <f t="shared" si="117"/>
        <v>100</v>
      </c>
      <c r="U602" s="180">
        <f t="shared" si="122"/>
        <v>2.5692063486316385</v>
      </c>
      <c r="V602" s="182">
        <f t="shared" si="142"/>
        <v>0</v>
      </c>
      <c r="W602" s="180"/>
      <c r="X602" s="180"/>
      <c r="Y602" s="180"/>
      <c r="Z602" s="180"/>
      <c r="AA602" s="180"/>
      <c r="AB602" s="180"/>
      <c r="AC602" s="180"/>
      <c r="AD602" s="180"/>
      <c r="AE602" s="180"/>
      <c r="AF602" s="180"/>
      <c r="AG602" s="180"/>
      <c r="AH602" s="180"/>
      <c r="AI602" s="180">
        <v>10800000</v>
      </c>
      <c r="AJ602" s="181">
        <f t="shared" si="143"/>
        <v>100</v>
      </c>
      <c r="AK602" s="180">
        <f t="shared" si="151"/>
        <v>0</v>
      </c>
      <c r="AL602" s="181">
        <f t="shared" si="146"/>
        <v>0</v>
      </c>
      <c r="AM602" s="243"/>
    </row>
    <row r="603" spans="1:39" ht="24.75" customHeight="1" x14ac:dyDescent="0.25">
      <c r="A603" s="243"/>
      <c r="B603" s="381"/>
      <c r="C603" s="381"/>
      <c r="D603" s="381"/>
      <c r="E603" s="381"/>
      <c r="F603" s="381"/>
      <c r="G603" s="381"/>
      <c r="H603" s="381"/>
      <c r="I603" s="382"/>
      <c r="J603" s="381" t="s">
        <v>309</v>
      </c>
      <c r="K603" s="245"/>
      <c r="L603" s="257"/>
      <c r="M603" s="591" t="s">
        <v>310</v>
      </c>
      <c r="N603" s="592"/>
      <c r="O603" s="179"/>
      <c r="P603" s="180"/>
      <c r="Q603" s="180">
        <v>75000000</v>
      </c>
      <c r="R603" s="181">
        <f t="shared" si="154"/>
        <v>17.841710754386376</v>
      </c>
      <c r="S603" s="181">
        <v>100</v>
      </c>
      <c r="T603" s="180">
        <f t="shared" si="117"/>
        <v>0</v>
      </c>
      <c r="U603" s="180">
        <f t="shared" si="122"/>
        <v>0</v>
      </c>
      <c r="V603" s="182">
        <f t="shared" si="142"/>
        <v>100</v>
      </c>
      <c r="W603" s="180"/>
      <c r="X603" s="180"/>
      <c r="Y603" s="180"/>
      <c r="Z603" s="180"/>
      <c r="AA603" s="180"/>
      <c r="AB603" s="180"/>
      <c r="AC603" s="180"/>
      <c r="AD603" s="180"/>
      <c r="AE603" s="180"/>
      <c r="AF603" s="180"/>
      <c r="AG603" s="180"/>
      <c r="AH603" s="180"/>
      <c r="AI603" s="180">
        <v>0</v>
      </c>
      <c r="AJ603" s="181">
        <f t="shared" ref="AJ603:AJ681" si="155">AI603/Q603*100</f>
        <v>0</v>
      </c>
      <c r="AK603" s="180">
        <f t="shared" si="151"/>
        <v>75000000</v>
      </c>
      <c r="AL603" s="181">
        <f t="shared" si="146"/>
        <v>100</v>
      </c>
      <c r="AM603" s="243"/>
    </row>
    <row r="604" spans="1:39" ht="24.75" customHeight="1" x14ac:dyDescent="0.25">
      <c r="A604" s="243"/>
      <c r="B604" s="381"/>
      <c r="C604" s="381"/>
      <c r="D604" s="381"/>
      <c r="E604" s="381"/>
      <c r="F604" s="381"/>
      <c r="G604" s="381"/>
      <c r="H604" s="381"/>
      <c r="I604" s="382"/>
      <c r="J604" s="381" t="s">
        <v>407</v>
      </c>
      <c r="K604" s="245"/>
      <c r="L604" s="257"/>
      <c r="M604" s="591" t="s">
        <v>607</v>
      </c>
      <c r="N604" s="592"/>
      <c r="O604" s="179"/>
      <c r="P604" s="180"/>
      <c r="Q604" s="180">
        <v>9400000</v>
      </c>
      <c r="R604" s="181">
        <f t="shared" si="154"/>
        <v>2.2361610812164261</v>
      </c>
      <c r="S604" s="181">
        <v>100</v>
      </c>
      <c r="T604" s="180">
        <f t="shared" si="117"/>
        <v>44.680851063829785</v>
      </c>
      <c r="U604" s="180">
        <f t="shared" si="122"/>
        <v>0.99913580224563714</v>
      </c>
      <c r="V604" s="182">
        <f t="shared" si="142"/>
        <v>55.319148936170215</v>
      </c>
      <c r="W604" s="180"/>
      <c r="X604" s="180"/>
      <c r="Y604" s="180"/>
      <c r="Z604" s="180"/>
      <c r="AA604" s="180"/>
      <c r="AB604" s="180"/>
      <c r="AC604" s="180"/>
      <c r="AD604" s="180"/>
      <c r="AE604" s="180"/>
      <c r="AF604" s="180"/>
      <c r="AG604" s="180"/>
      <c r="AH604" s="180"/>
      <c r="AI604" s="180">
        <v>4200000</v>
      </c>
      <c r="AJ604" s="181">
        <f t="shared" si="155"/>
        <v>44.680851063829785</v>
      </c>
      <c r="AK604" s="180">
        <f t="shared" si="151"/>
        <v>5200000</v>
      </c>
      <c r="AL604" s="181">
        <f t="shared" si="146"/>
        <v>55.319148936170215</v>
      </c>
      <c r="AM604" s="243"/>
    </row>
    <row r="605" spans="1:39" s="297" customFormat="1" ht="31.5" customHeight="1" x14ac:dyDescent="0.25">
      <c r="A605" s="227">
        <f>SUM(A591+1)</f>
        <v>73</v>
      </c>
      <c r="B605" s="393"/>
      <c r="C605" s="393"/>
      <c r="D605" s="393"/>
      <c r="E605" s="393"/>
      <c r="F605" s="393"/>
      <c r="G605" s="393"/>
      <c r="H605" s="393"/>
      <c r="I605" s="394"/>
      <c r="J605" s="304" t="s">
        <v>526</v>
      </c>
      <c r="K605" s="230"/>
      <c r="L605" s="294"/>
      <c r="M605" s="610" t="s">
        <v>206</v>
      </c>
      <c r="N605" s="612"/>
      <c r="O605" s="309"/>
      <c r="P605" s="231"/>
      <c r="Q605" s="231">
        <f>SUM(Q606:Q614)</f>
        <v>252438140</v>
      </c>
      <c r="R605" s="233">
        <f>Q605/Q$245*100</f>
        <v>2.1163768108019392</v>
      </c>
      <c r="S605" s="233">
        <v>100</v>
      </c>
      <c r="T605" s="231">
        <f t="shared" si="117"/>
        <v>8.3244156370348801</v>
      </c>
      <c r="U605" s="231">
        <f t="shared" si="122"/>
        <v>0.17617600217697671</v>
      </c>
      <c r="V605" s="296">
        <f t="shared" si="142"/>
        <v>91.675584362965125</v>
      </c>
      <c r="W605" s="231"/>
      <c r="X605" s="231"/>
      <c r="Y605" s="231"/>
      <c r="Z605" s="231"/>
      <c r="AA605" s="231"/>
      <c r="AB605" s="231"/>
      <c r="AC605" s="231"/>
      <c r="AD605" s="231"/>
      <c r="AE605" s="231"/>
      <c r="AF605" s="231"/>
      <c r="AG605" s="231"/>
      <c r="AH605" s="231"/>
      <c r="AI605" s="231">
        <f>SUM(AI606:AI614)</f>
        <v>21014000</v>
      </c>
      <c r="AJ605" s="233">
        <f t="shared" si="155"/>
        <v>8.3244156370348801</v>
      </c>
      <c r="AK605" s="231">
        <f t="shared" si="151"/>
        <v>231424140</v>
      </c>
      <c r="AL605" s="233">
        <f t="shared" si="146"/>
        <v>91.675584362965125</v>
      </c>
      <c r="AM605" s="227"/>
    </row>
    <row r="606" spans="1:39" ht="31.5" customHeight="1" x14ac:dyDescent="0.25">
      <c r="A606" s="243"/>
      <c r="B606" s="381"/>
      <c r="C606" s="381"/>
      <c r="D606" s="381"/>
      <c r="E606" s="381"/>
      <c r="F606" s="381"/>
      <c r="G606" s="381"/>
      <c r="H606" s="381"/>
      <c r="I606" s="382"/>
      <c r="J606" s="381" t="s">
        <v>257</v>
      </c>
      <c r="K606" s="245"/>
      <c r="L606" s="257"/>
      <c r="M606" s="591" t="s">
        <v>260</v>
      </c>
      <c r="N606" s="592"/>
      <c r="O606" s="179"/>
      <c r="P606" s="180"/>
      <c r="Q606" s="180">
        <v>2300000</v>
      </c>
      <c r="R606" s="181">
        <f>Q606/Q$605*100</f>
        <v>0.91111430309223485</v>
      </c>
      <c r="S606" s="181">
        <v>100</v>
      </c>
      <c r="T606" s="180">
        <f t="shared" si="117"/>
        <v>0</v>
      </c>
      <c r="U606" s="180">
        <f t="shared" si="122"/>
        <v>0</v>
      </c>
      <c r="V606" s="182">
        <f t="shared" si="142"/>
        <v>100</v>
      </c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  <c r="AG606" s="180"/>
      <c r="AH606" s="180"/>
      <c r="AI606" s="180">
        <v>0</v>
      </c>
      <c r="AJ606" s="181">
        <f t="shared" si="155"/>
        <v>0</v>
      </c>
      <c r="AK606" s="180">
        <f t="shared" si="151"/>
        <v>2300000</v>
      </c>
      <c r="AL606" s="181">
        <f t="shared" si="146"/>
        <v>100</v>
      </c>
      <c r="AM606" s="243"/>
    </row>
    <row r="607" spans="1:39" ht="31.5" customHeight="1" x14ac:dyDescent="0.25">
      <c r="A607" s="243"/>
      <c r="B607" s="381"/>
      <c r="C607" s="381"/>
      <c r="D607" s="381"/>
      <c r="E607" s="381"/>
      <c r="F607" s="381"/>
      <c r="G607" s="381"/>
      <c r="H607" s="381"/>
      <c r="I607" s="382"/>
      <c r="J607" s="381" t="s">
        <v>273</v>
      </c>
      <c r="K607" s="245"/>
      <c r="L607" s="257"/>
      <c r="M607" s="591" t="s">
        <v>322</v>
      </c>
      <c r="N607" s="592"/>
      <c r="O607" s="179"/>
      <c r="P607" s="180"/>
      <c r="Q607" s="180">
        <v>20400000</v>
      </c>
      <c r="R607" s="181">
        <f t="shared" ref="R607:R613" si="156">Q607/Q$605*100</f>
        <v>8.0811877317746035</v>
      </c>
      <c r="S607" s="181">
        <v>100</v>
      </c>
      <c r="T607" s="180">
        <f t="shared" si="117"/>
        <v>0</v>
      </c>
      <c r="U607" s="180">
        <f t="shared" si="122"/>
        <v>0</v>
      </c>
      <c r="V607" s="182">
        <f t="shared" si="142"/>
        <v>100</v>
      </c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  <c r="AG607" s="180"/>
      <c r="AH607" s="180"/>
      <c r="AI607" s="180">
        <v>0</v>
      </c>
      <c r="AJ607" s="181">
        <f t="shared" si="155"/>
        <v>0</v>
      </c>
      <c r="AK607" s="180">
        <f t="shared" si="151"/>
        <v>20400000</v>
      </c>
      <c r="AL607" s="181">
        <f t="shared" si="146"/>
        <v>100</v>
      </c>
      <c r="AM607" s="243"/>
    </row>
    <row r="608" spans="1:39" ht="31.5" customHeight="1" x14ac:dyDescent="0.25">
      <c r="A608" s="243"/>
      <c r="B608" s="381"/>
      <c r="C608" s="381"/>
      <c r="D608" s="381"/>
      <c r="E608" s="381"/>
      <c r="F608" s="381"/>
      <c r="G608" s="381"/>
      <c r="H608" s="381"/>
      <c r="I608" s="382"/>
      <c r="J608" s="381" t="s">
        <v>323</v>
      </c>
      <c r="K608" s="245"/>
      <c r="L608" s="257"/>
      <c r="M608" s="591" t="s">
        <v>324</v>
      </c>
      <c r="N608" s="592"/>
      <c r="O608" s="179"/>
      <c r="P608" s="180"/>
      <c r="Q608" s="180">
        <v>33513000</v>
      </c>
      <c r="R608" s="181">
        <f t="shared" si="156"/>
        <v>13.275727669360899</v>
      </c>
      <c r="S608" s="181">
        <v>100</v>
      </c>
      <c r="T608" s="180">
        <f t="shared" si="117"/>
        <v>12.544385760749559</v>
      </c>
      <c r="U608" s="180">
        <f t="shared" si="122"/>
        <v>1.6653584913911978</v>
      </c>
      <c r="V608" s="182">
        <f t="shared" si="142"/>
        <v>87.455614239250437</v>
      </c>
      <c r="W608" s="180"/>
      <c r="X608" s="180"/>
      <c r="Y608" s="180"/>
      <c r="Z608" s="180"/>
      <c r="AA608" s="180"/>
      <c r="AB608" s="180"/>
      <c r="AC608" s="180"/>
      <c r="AD608" s="180"/>
      <c r="AE608" s="180"/>
      <c r="AF608" s="180"/>
      <c r="AG608" s="180"/>
      <c r="AH608" s="180"/>
      <c r="AI608" s="180">
        <v>4204000</v>
      </c>
      <c r="AJ608" s="181">
        <f t="shared" si="155"/>
        <v>12.544385760749559</v>
      </c>
      <c r="AK608" s="180">
        <f t="shared" si="151"/>
        <v>29309000</v>
      </c>
      <c r="AL608" s="181">
        <f t="shared" si="146"/>
        <v>87.455614239250451</v>
      </c>
      <c r="AM608" s="243"/>
    </row>
    <row r="609" spans="1:39" ht="31.5" customHeight="1" x14ac:dyDescent="0.25">
      <c r="A609" s="243"/>
      <c r="B609" s="381"/>
      <c r="C609" s="381"/>
      <c r="D609" s="381"/>
      <c r="E609" s="381"/>
      <c r="F609" s="381"/>
      <c r="G609" s="381"/>
      <c r="H609" s="381"/>
      <c r="I609" s="382"/>
      <c r="J609" s="381" t="s">
        <v>269</v>
      </c>
      <c r="K609" s="245"/>
      <c r="L609" s="257"/>
      <c r="M609" s="591" t="s">
        <v>270</v>
      </c>
      <c r="N609" s="592"/>
      <c r="O609" s="179"/>
      <c r="P609" s="180"/>
      <c r="Q609" s="180">
        <v>24000000</v>
      </c>
      <c r="R609" s="181">
        <f t="shared" si="156"/>
        <v>9.5072796844407108</v>
      </c>
      <c r="S609" s="181">
        <v>100</v>
      </c>
      <c r="T609" s="180">
        <f t="shared" si="117"/>
        <v>29.166666666666668</v>
      </c>
      <c r="U609" s="180">
        <f t="shared" si="122"/>
        <v>2.7729565746285409</v>
      </c>
      <c r="V609" s="182">
        <f t="shared" si="142"/>
        <v>70.833333333333329</v>
      </c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  <c r="AG609" s="180"/>
      <c r="AH609" s="180"/>
      <c r="AI609" s="180">
        <v>7000000</v>
      </c>
      <c r="AJ609" s="181">
        <f t="shared" si="155"/>
        <v>29.166666666666668</v>
      </c>
      <c r="AK609" s="180">
        <f t="shared" si="151"/>
        <v>17000000</v>
      </c>
      <c r="AL609" s="181">
        <f t="shared" si="146"/>
        <v>70.833333333333343</v>
      </c>
      <c r="AM609" s="243"/>
    </row>
    <row r="610" spans="1:39" ht="31.5" customHeight="1" x14ac:dyDescent="0.25">
      <c r="A610" s="243"/>
      <c r="B610" s="381"/>
      <c r="C610" s="381"/>
      <c r="D610" s="381"/>
      <c r="E610" s="381"/>
      <c r="F610" s="381"/>
      <c r="G610" s="381"/>
      <c r="H610" s="381"/>
      <c r="I610" s="382"/>
      <c r="J610" s="381" t="s">
        <v>315</v>
      </c>
      <c r="K610" s="245"/>
      <c r="L610" s="257"/>
      <c r="M610" s="591" t="s">
        <v>271</v>
      </c>
      <c r="N610" s="592"/>
      <c r="O610" s="179"/>
      <c r="P610" s="180"/>
      <c r="Q610" s="180">
        <v>1965000</v>
      </c>
      <c r="R610" s="181">
        <f t="shared" si="156"/>
        <v>0.77840852416358319</v>
      </c>
      <c r="S610" s="181">
        <v>100</v>
      </c>
      <c r="T610" s="180">
        <f t="shared" si="117"/>
        <v>0</v>
      </c>
      <c r="U610" s="180">
        <f t="shared" si="122"/>
        <v>0</v>
      </c>
      <c r="V610" s="182">
        <f t="shared" si="142"/>
        <v>100</v>
      </c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  <c r="AG610" s="180"/>
      <c r="AH610" s="180"/>
      <c r="AI610" s="180">
        <v>0</v>
      </c>
      <c r="AJ610" s="181">
        <f t="shared" si="155"/>
        <v>0</v>
      </c>
      <c r="AK610" s="180">
        <f t="shared" si="151"/>
        <v>1965000</v>
      </c>
      <c r="AL610" s="181">
        <f t="shared" si="146"/>
        <v>100</v>
      </c>
      <c r="AM610" s="243"/>
    </row>
    <row r="611" spans="1:39" ht="31.5" customHeight="1" x14ac:dyDescent="0.25">
      <c r="A611" s="243"/>
      <c r="B611" s="381"/>
      <c r="C611" s="381"/>
      <c r="D611" s="381"/>
      <c r="E611" s="381"/>
      <c r="F611" s="381"/>
      <c r="G611" s="381"/>
      <c r="H611" s="381"/>
      <c r="I611" s="382"/>
      <c r="J611" s="381" t="s">
        <v>328</v>
      </c>
      <c r="K611" s="245"/>
      <c r="L611" s="257"/>
      <c r="M611" s="591" t="s">
        <v>329</v>
      </c>
      <c r="N611" s="592"/>
      <c r="O611" s="179"/>
      <c r="P611" s="180"/>
      <c r="Q611" s="180">
        <v>107000000</v>
      </c>
      <c r="R611" s="181">
        <f t="shared" si="156"/>
        <v>42.386621926464834</v>
      </c>
      <c r="S611" s="181">
        <v>100</v>
      </c>
      <c r="T611" s="180">
        <f t="shared" si="117"/>
        <v>0</v>
      </c>
      <c r="U611" s="180">
        <f t="shared" si="122"/>
        <v>0</v>
      </c>
      <c r="V611" s="182">
        <f t="shared" si="142"/>
        <v>100</v>
      </c>
      <c r="W611" s="180"/>
      <c r="X611" s="180"/>
      <c r="Y611" s="180"/>
      <c r="Z611" s="180"/>
      <c r="AA611" s="180"/>
      <c r="AB611" s="180"/>
      <c r="AC611" s="180"/>
      <c r="AD611" s="180"/>
      <c r="AE611" s="180"/>
      <c r="AF611" s="180"/>
      <c r="AG611" s="180"/>
      <c r="AH611" s="180"/>
      <c r="AI611" s="180">
        <v>0</v>
      </c>
      <c r="AJ611" s="181">
        <f t="shared" si="155"/>
        <v>0</v>
      </c>
      <c r="AK611" s="180">
        <f t="shared" si="151"/>
        <v>107000000</v>
      </c>
      <c r="AL611" s="181">
        <f t="shared" si="146"/>
        <v>100</v>
      </c>
      <c r="AM611" s="243"/>
    </row>
    <row r="612" spans="1:39" ht="31.5" customHeight="1" x14ac:dyDescent="0.25">
      <c r="A612" s="243"/>
      <c r="B612" s="381"/>
      <c r="C612" s="381"/>
      <c r="D612" s="381"/>
      <c r="E612" s="381"/>
      <c r="F612" s="381"/>
      <c r="G612" s="381"/>
      <c r="H612" s="381"/>
      <c r="I612" s="382"/>
      <c r="J612" s="381" t="s">
        <v>339</v>
      </c>
      <c r="K612" s="245"/>
      <c r="L612" s="257"/>
      <c r="M612" s="591" t="s">
        <v>340</v>
      </c>
      <c r="N612" s="592"/>
      <c r="O612" s="179"/>
      <c r="P612" s="180"/>
      <c r="Q612" s="180">
        <v>37200000</v>
      </c>
      <c r="R612" s="181">
        <f t="shared" si="156"/>
        <v>14.736283510883103</v>
      </c>
      <c r="S612" s="181">
        <v>100</v>
      </c>
      <c r="T612" s="180">
        <f t="shared" si="117"/>
        <v>11.693548387096774</v>
      </c>
      <c r="U612" s="180">
        <f t="shared" si="122"/>
        <v>1.7231944428048789</v>
      </c>
      <c r="V612" s="182">
        <f t="shared" si="142"/>
        <v>88.306451612903231</v>
      </c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  <c r="AG612" s="180"/>
      <c r="AH612" s="180"/>
      <c r="AI612" s="180">
        <v>4350000</v>
      </c>
      <c r="AJ612" s="181">
        <f t="shared" si="155"/>
        <v>11.693548387096774</v>
      </c>
      <c r="AK612" s="180">
        <f t="shared" si="151"/>
        <v>32850000</v>
      </c>
      <c r="AL612" s="181">
        <f t="shared" si="146"/>
        <v>88.306451612903231</v>
      </c>
      <c r="AM612" s="243"/>
    </row>
    <row r="613" spans="1:39" ht="31.5" customHeight="1" x14ac:dyDescent="0.25">
      <c r="A613" s="243"/>
      <c r="B613" s="381"/>
      <c r="C613" s="381"/>
      <c r="D613" s="381"/>
      <c r="E613" s="381"/>
      <c r="F613" s="381"/>
      <c r="G613" s="381"/>
      <c r="H613" s="381"/>
      <c r="I613" s="382"/>
      <c r="J613" s="381" t="s">
        <v>284</v>
      </c>
      <c r="K613" s="245"/>
      <c r="L613" s="257"/>
      <c r="M613" s="591" t="s">
        <v>285</v>
      </c>
      <c r="N613" s="592"/>
      <c r="O613" s="179"/>
      <c r="P613" s="180"/>
      <c r="Q613" s="180">
        <v>7560000</v>
      </c>
      <c r="R613" s="181">
        <f t="shared" si="156"/>
        <v>2.994793100598824</v>
      </c>
      <c r="S613" s="181">
        <v>100</v>
      </c>
      <c r="T613" s="180">
        <f t="shared" si="117"/>
        <v>0</v>
      </c>
      <c r="U613" s="180">
        <f t="shared" si="122"/>
        <v>0</v>
      </c>
      <c r="V613" s="182">
        <f t="shared" si="142"/>
        <v>100</v>
      </c>
      <c r="W613" s="180"/>
      <c r="X613" s="180"/>
      <c r="Y613" s="180"/>
      <c r="Z613" s="180"/>
      <c r="AA613" s="180"/>
      <c r="AB613" s="180"/>
      <c r="AC613" s="180"/>
      <c r="AD613" s="180"/>
      <c r="AE613" s="180"/>
      <c r="AF613" s="180"/>
      <c r="AG613" s="180"/>
      <c r="AH613" s="180"/>
      <c r="AI613" s="180">
        <v>0</v>
      </c>
      <c r="AJ613" s="181">
        <f t="shared" si="155"/>
        <v>0</v>
      </c>
      <c r="AK613" s="180">
        <f t="shared" si="151"/>
        <v>7560000</v>
      </c>
      <c r="AL613" s="181">
        <f t="shared" si="146"/>
        <v>100</v>
      </c>
      <c r="AM613" s="243"/>
    </row>
    <row r="614" spans="1:39" ht="31.5" customHeight="1" x14ac:dyDescent="0.25">
      <c r="A614" s="243"/>
      <c r="B614" s="381"/>
      <c r="C614" s="381"/>
      <c r="D614" s="381"/>
      <c r="E614" s="381"/>
      <c r="F614" s="381"/>
      <c r="G614" s="381"/>
      <c r="H614" s="381"/>
      <c r="I614" s="382"/>
      <c r="J614" s="381" t="s">
        <v>282</v>
      </c>
      <c r="K614" s="245"/>
      <c r="L614" s="257"/>
      <c r="M614" s="591" t="s">
        <v>283</v>
      </c>
      <c r="N614" s="592"/>
      <c r="O614" s="179"/>
      <c r="P614" s="180"/>
      <c r="Q614" s="180">
        <v>18500140</v>
      </c>
      <c r="R614" s="181">
        <f>Q614/Q$605*100</f>
        <v>7.3285835492212072</v>
      </c>
      <c r="S614" s="181">
        <v>100</v>
      </c>
      <c r="T614" s="180">
        <f t="shared" si="117"/>
        <v>29.51329016969601</v>
      </c>
      <c r="U614" s="180">
        <f t="shared" si="122"/>
        <v>2.1629061282102615</v>
      </c>
      <c r="V614" s="182">
        <f t="shared" si="142"/>
        <v>70.486709830303994</v>
      </c>
      <c r="W614" s="180"/>
      <c r="X614" s="180"/>
      <c r="Y614" s="180"/>
      <c r="Z614" s="180"/>
      <c r="AA614" s="180"/>
      <c r="AB614" s="180"/>
      <c r="AC614" s="180"/>
      <c r="AD614" s="180"/>
      <c r="AE614" s="180"/>
      <c r="AF614" s="180"/>
      <c r="AG614" s="180"/>
      <c r="AH614" s="180"/>
      <c r="AI614" s="180">
        <v>5460000</v>
      </c>
      <c r="AJ614" s="181">
        <f t="shared" si="155"/>
        <v>29.51329016969601</v>
      </c>
      <c r="AK614" s="180">
        <f t="shared" si="151"/>
        <v>13040140</v>
      </c>
      <c r="AL614" s="181">
        <f t="shared" ref="AL614:AL684" si="157">AK614/Q614*100</f>
        <v>70.48670983030398</v>
      </c>
      <c r="AM614" s="243"/>
    </row>
    <row r="615" spans="1:39" s="297" customFormat="1" ht="28.5" customHeight="1" x14ac:dyDescent="0.25">
      <c r="A615" s="227">
        <f>SUM(A605+1)</f>
        <v>74</v>
      </c>
      <c r="B615" s="393"/>
      <c r="C615" s="393"/>
      <c r="D615" s="393"/>
      <c r="E615" s="393"/>
      <c r="F615" s="393"/>
      <c r="G615" s="393"/>
      <c r="H615" s="393"/>
      <c r="I615" s="394"/>
      <c r="J615" s="304" t="s">
        <v>527</v>
      </c>
      <c r="K615" s="230"/>
      <c r="L615" s="294"/>
      <c r="M615" s="609" t="s">
        <v>207</v>
      </c>
      <c r="N615" s="614"/>
      <c r="O615" s="309"/>
      <c r="P615" s="231"/>
      <c r="Q615" s="231">
        <f>SUM(Q616:Q623)</f>
        <v>195716927</v>
      </c>
      <c r="R615" s="233">
        <f>Q615/Q$605*100</f>
        <v>77.530648498677735</v>
      </c>
      <c r="S615" s="233">
        <v>100</v>
      </c>
      <c r="T615" s="231">
        <f t="shared" si="117"/>
        <v>3.7012639177601643</v>
      </c>
      <c r="U615" s="231">
        <f t="shared" si="122"/>
        <v>2.8696139180870217</v>
      </c>
      <c r="V615" s="296">
        <f t="shared" si="142"/>
        <v>96.298736082239841</v>
      </c>
      <c r="W615" s="231"/>
      <c r="X615" s="231"/>
      <c r="Y615" s="231"/>
      <c r="Z615" s="231"/>
      <c r="AA615" s="231"/>
      <c r="AB615" s="231"/>
      <c r="AC615" s="231"/>
      <c r="AD615" s="231"/>
      <c r="AE615" s="231"/>
      <c r="AF615" s="231"/>
      <c r="AG615" s="231"/>
      <c r="AH615" s="231"/>
      <c r="AI615" s="231">
        <f>SUM(AI616:AI623)</f>
        <v>7244000</v>
      </c>
      <c r="AJ615" s="233">
        <f t="shared" si="155"/>
        <v>3.7012639177601643</v>
      </c>
      <c r="AK615" s="231">
        <f t="shared" si="151"/>
        <v>188472927</v>
      </c>
      <c r="AL615" s="233">
        <f t="shared" si="157"/>
        <v>96.298736082239827</v>
      </c>
      <c r="AM615" s="227"/>
    </row>
    <row r="616" spans="1:39" ht="28.5" customHeight="1" x14ac:dyDescent="0.25">
      <c r="A616" s="243"/>
      <c r="B616" s="381"/>
      <c r="C616" s="381"/>
      <c r="D616" s="381"/>
      <c r="E616" s="381"/>
      <c r="F616" s="381"/>
      <c r="G616" s="381"/>
      <c r="H616" s="381"/>
      <c r="I616" s="382"/>
      <c r="J616" s="381" t="s">
        <v>273</v>
      </c>
      <c r="K616" s="245"/>
      <c r="L616" s="257"/>
      <c r="M616" s="591" t="s">
        <v>322</v>
      </c>
      <c r="N616" s="592"/>
      <c r="O616" s="179"/>
      <c r="P616" s="180"/>
      <c r="Q616" s="180">
        <v>25200000</v>
      </c>
      <c r="R616" s="181">
        <f t="shared" ref="R616:R623" si="158">Q616/Q$615*100</f>
        <v>12.875738642677545</v>
      </c>
      <c r="S616" s="181">
        <v>100</v>
      </c>
      <c r="T616" s="180">
        <f t="shared" si="117"/>
        <v>0</v>
      </c>
      <c r="U616" s="180">
        <f t="shared" si="122"/>
        <v>0</v>
      </c>
      <c r="V616" s="182">
        <f t="shared" si="142"/>
        <v>100</v>
      </c>
      <c r="W616" s="180"/>
      <c r="X616" s="180"/>
      <c r="Y616" s="180"/>
      <c r="Z616" s="180"/>
      <c r="AA616" s="180"/>
      <c r="AB616" s="180"/>
      <c r="AC616" s="180"/>
      <c r="AD616" s="180"/>
      <c r="AE616" s="180"/>
      <c r="AF616" s="180"/>
      <c r="AG616" s="180"/>
      <c r="AH616" s="180"/>
      <c r="AI616" s="180">
        <v>0</v>
      </c>
      <c r="AJ616" s="181">
        <f t="shared" si="155"/>
        <v>0</v>
      </c>
      <c r="AK616" s="180">
        <f t="shared" si="151"/>
        <v>25200000</v>
      </c>
      <c r="AL616" s="181">
        <f t="shared" si="157"/>
        <v>100</v>
      </c>
      <c r="AM616" s="243"/>
    </row>
    <row r="617" spans="1:39" ht="28.5" customHeight="1" x14ac:dyDescent="0.25">
      <c r="A617" s="243"/>
      <c r="B617" s="381"/>
      <c r="C617" s="381"/>
      <c r="D617" s="381"/>
      <c r="E617" s="381"/>
      <c r="F617" s="381"/>
      <c r="G617" s="381"/>
      <c r="H617" s="381"/>
      <c r="I617" s="382"/>
      <c r="J617" s="381" t="s">
        <v>323</v>
      </c>
      <c r="K617" s="245"/>
      <c r="L617" s="257"/>
      <c r="M617" s="591" t="s">
        <v>324</v>
      </c>
      <c r="N617" s="592"/>
      <c r="O617" s="179"/>
      <c r="P617" s="180"/>
      <c r="Q617" s="180">
        <v>33468000</v>
      </c>
      <c r="R617" s="181">
        <f t="shared" si="158"/>
        <v>17.100207178298891</v>
      </c>
      <c r="S617" s="181">
        <v>100</v>
      </c>
      <c r="T617" s="180">
        <f t="shared" si="117"/>
        <v>11.186805306561491</v>
      </c>
      <c r="U617" s="180">
        <f t="shared" si="122"/>
        <v>1.9129668840549494</v>
      </c>
      <c r="V617" s="182">
        <f t="shared" si="142"/>
        <v>88.813194693438504</v>
      </c>
      <c r="W617" s="180"/>
      <c r="X617" s="180"/>
      <c r="Y617" s="180"/>
      <c r="Z617" s="180"/>
      <c r="AA617" s="180"/>
      <c r="AB617" s="180"/>
      <c r="AC617" s="180"/>
      <c r="AD617" s="180"/>
      <c r="AE617" s="180"/>
      <c r="AF617" s="180"/>
      <c r="AG617" s="180"/>
      <c r="AH617" s="180"/>
      <c r="AI617" s="180">
        <v>3744000</v>
      </c>
      <c r="AJ617" s="181">
        <f t="shared" si="155"/>
        <v>11.186805306561491</v>
      </c>
      <c r="AK617" s="180">
        <f t="shared" si="151"/>
        <v>29724000</v>
      </c>
      <c r="AL617" s="181">
        <f t="shared" si="157"/>
        <v>88.813194693438518</v>
      </c>
      <c r="AM617" s="243"/>
    </row>
    <row r="618" spans="1:39" ht="28.5" customHeight="1" x14ac:dyDescent="0.25">
      <c r="A618" s="243"/>
      <c r="B618" s="381"/>
      <c r="C618" s="381"/>
      <c r="D618" s="381"/>
      <c r="E618" s="381"/>
      <c r="F618" s="381"/>
      <c r="G618" s="381"/>
      <c r="H618" s="381"/>
      <c r="I618" s="382"/>
      <c r="J618" s="381" t="s">
        <v>269</v>
      </c>
      <c r="K618" s="245"/>
      <c r="L618" s="257"/>
      <c r="M618" s="591" t="s">
        <v>270</v>
      </c>
      <c r="N618" s="592"/>
      <c r="O618" s="179"/>
      <c r="P618" s="180"/>
      <c r="Q618" s="180">
        <v>5400000</v>
      </c>
      <c r="R618" s="181">
        <f t="shared" si="158"/>
        <v>2.7590868520023308</v>
      </c>
      <c r="S618" s="181">
        <v>100</v>
      </c>
      <c r="T618" s="180">
        <f t="shared" si="117"/>
        <v>0</v>
      </c>
      <c r="U618" s="180">
        <f t="shared" si="122"/>
        <v>0</v>
      </c>
      <c r="V618" s="182">
        <f t="shared" si="142"/>
        <v>100</v>
      </c>
      <c r="W618" s="180"/>
      <c r="X618" s="180"/>
      <c r="Y618" s="180"/>
      <c r="Z618" s="180"/>
      <c r="AA618" s="180"/>
      <c r="AB618" s="180"/>
      <c r="AC618" s="180"/>
      <c r="AD618" s="180"/>
      <c r="AE618" s="180"/>
      <c r="AF618" s="180"/>
      <c r="AG618" s="180"/>
      <c r="AH618" s="180"/>
      <c r="AI618" s="180">
        <v>0</v>
      </c>
      <c r="AJ618" s="181">
        <f t="shared" si="155"/>
        <v>0</v>
      </c>
      <c r="AK618" s="180">
        <f t="shared" si="151"/>
        <v>5400000</v>
      </c>
      <c r="AL618" s="181">
        <f t="shared" si="157"/>
        <v>100</v>
      </c>
      <c r="AM618" s="243"/>
    </row>
    <row r="619" spans="1:39" ht="28.5" customHeight="1" x14ac:dyDescent="0.25">
      <c r="A619" s="243"/>
      <c r="B619" s="381"/>
      <c r="C619" s="381"/>
      <c r="D619" s="381"/>
      <c r="E619" s="381"/>
      <c r="F619" s="381"/>
      <c r="G619" s="381"/>
      <c r="H619" s="381"/>
      <c r="I619" s="382"/>
      <c r="J619" s="381" t="s">
        <v>315</v>
      </c>
      <c r="K619" s="245"/>
      <c r="L619" s="257"/>
      <c r="M619" s="591" t="s">
        <v>271</v>
      </c>
      <c r="N619" s="592"/>
      <c r="O619" s="179"/>
      <c r="P619" s="180"/>
      <c r="Q619" s="180">
        <v>9600000</v>
      </c>
      <c r="R619" s="181">
        <f t="shared" si="158"/>
        <v>4.9050432924485881</v>
      </c>
      <c r="S619" s="181">
        <v>100</v>
      </c>
      <c r="T619" s="180">
        <f t="shared" si="117"/>
        <v>9.375</v>
      </c>
      <c r="U619" s="180">
        <f t="shared" si="122"/>
        <v>0.45984780866705516</v>
      </c>
      <c r="V619" s="182">
        <f t="shared" si="142"/>
        <v>90.625</v>
      </c>
      <c r="W619" s="180"/>
      <c r="X619" s="180"/>
      <c r="Y619" s="180"/>
      <c r="Z619" s="180"/>
      <c r="AA619" s="180"/>
      <c r="AB619" s="180"/>
      <c r="AC619" s="180"/>
      <c r="AD619" s="180"/>
      <c r="AE619" s="180"/>
      <c r="AF619" s="180"/>
      <c r="AG619" s="180"/>
      <c r="AH619" s="180"/>
      <c r="AI619" s="180">
        <v>900000</v>
      </c>
      <c r="AJ619" s="181">
        <f t="shared" si="155"/>
        <v>9.375</v>
      </c>
      <c r="AK619" s="180">
        <f t="shared" si="151"/>
        <v>8700000</v>
      </c>
      <c r="AL619" s="181">
        <f t="shared" si="157"/>
        <v>90.625</v>
      </c>
      <c r="AM619" s="243"/>
    </row>
    <row r="620" spans="1:39" ht="28.5" customHeight="1" x14ac:dyDescent="0.25">
      <c r="A620" s="243"/>
      <c r="B620" s="381"/>
      <c r="C620" s="381"/>
      <c r="D620" s="381"/>
      <c r="E620" s="381"/>
      <c r="F620" s="381"/>
      <c r="G620" s="381"/>
      <c r="H620" s="381"/>
      <c r="I620" s="382"/>
      <c r="J620" s="381" t="s">
        <v>280</v>
      </c>
      <c r="K620" s="245"/>
      <c r="L620" s="257"/>
      <c r="M620" s="591" t="s">
        <v>281</v>
      </c>
      <c r="N620" s="592"/>
      <c r="O620" s="179"/>
      <c r="P620" s="180"/>
      <c r="Q620" s="180">
        <v>48000000</v>
      </c>
      <c r="R620" s="181">
        <f t="shared" si="158"/>
        <v>24.525216462242941</v>
      </c>
      <c r="S620" s="181">
        <v>100</v>
      </c>
      <c r="T620" s="180">
        <f t="shared" si="117"/>
        <v>5.416666666666667</v>
      </c>
      <c r="U620" s="180">
        <f t="shared" si="122"/>
        <v>1.3284492250381594</v>
      </c>
      <c r="V620" s="182">
        <f t="shared" si="142"/>
        <v>94.583333333333329</v>
      </c>
      <c r="W620" s="180"/>
      <c r="X620" s="180"/>
      <c r="Y620" s="180"/>
      <c r="Z620" s="180"/>
      <c r="AA620" s="180"/>
      <c r="AB620" s="180"/>
      <c r="AC620" s="180"/>
      <c r="AD620" s="180"/>
      <c r="AE620" s="180"/>
      <c r="AF620" s="180"/>
      <c r="AG620" s="180"/>
      <c r="AH620" s="180"/>
      <c r="AI620" s="180">
        <v>2600000</v>
      </c>
      <c r="AJ620" s="181">
        <f t="shared" si="155"/>
        <v>5.416666666666667</v>
      </c>
      <c r="AK620" s="180">
        <f t="shared" si="151"/>
        <v>45400000</v>
      </c>
      <c r="AL620" s="181">
        <f t="shared" si="157"/>
        <v>94.583333333333329</v>
      </c>
      <c r="AM620" s="243"/>
    </row>
    <row r="621" spans="1:39" ht="28.5" customHeight="1" x14ac:dyDescent="0.25">
      <c r="A621" s="243"/>
      <c r="B621" s="381"/>
      <c r="C621" s="381"/>
      <c r="D621" s="381"/>
      <c r="E621" s="381"/>
      <c r="F621" s="381"/>
      <c r="G621" s="381"/>
      <c r="H621" s="381"/>
      <c r="I621" s="382"/>
      <c r="J621" s="381" t="s">
        <v>284</v>
      </c>
      <c r="K621" s="245"/>
      <c r="L621" s="257"/>
      <c r="M621" s="591" t="s">
        <v>285</v>
      </c>
      <c r="N621" s="592"/>
      <c r="O621" s="179"/>
      <c r="P621" s="180"/>
      <c r="Q621" s="180">
        <v>4658927</v>
      </c>
      <c r="R621" s="181">
        <f t="shared" si="158"/>
        <v>2.3804415240997527</v>
      </c>
      <c r="S621" s="181">
        <v>100</v>
      </c>
      <c r="T621" s="180">
        <f t="shared" si="117"/>
        <v>0</v>
      </c>
      <c r="U621" s="180">
        <f t="shared" si="122"/>
        <v>0</v>
      </c>
      <c r="V621" s="182">
        <f t="shared" si="142"/>
        <v>100</v>
      </c>
      <c r="W621" s="180"/>
      <c r="X621" s="180"/>
      <c r="Y621" s="180"/>
      <c r="Z621" s="180"/>
      <c r="AA621" s="180"/>
      <c r="AB621" s="180"/>
      <c r="AC621" s="180"/>
      <c r="AD621" s="180"/>
      <c r="AE621" s="180"/>
      <c r="AF621" s="180"/>
      <c r="AG621" s="180"/>
      <c r="AH621" s="180"/>
      <c r="AI621" s="180">
        <v>0</v>
      </c>
      <c r="AJ621" s="181">
        <f t="shared" si="155"/>
        <v>0</v>
      </c>
      <c r="AK621" s="180">
        <f t="shared" si="151"/>
        <v>4658927</v>
      </c>
      <c r="AL621" s="181">
        <f t="shared" si="157"/>
        <v>100</v>
      </c>
      <c r="AM621" s="243"/>
    </row>
    <row r="622" spans="1:39" ht="28.5" customHeight="1" x14ac:dyDescent="0.25">
      <c r="A622" s="243"/>
      <c r="B622" s="381"/>
      <c r="C622" s="381"/>
      <c r="D622" s="381"/>
      <c r="E622" s="381"/>
      <c r="F622" s="381"/>
      <c r="G622" s="381"/>
      <c r="H622" s="381"/>
      <c r="I622" s="382"/>
      <c r="J622" s="381" t="s">
        <v>282</v>
      </c>
      <c r="K622" s="245"/>
      <c r="L622" s="257"/>
      <c r="M622" s="591" t="s">
        <v>283</v>
      </c>
      <c r="N622" s="592"/>
      <c r="O622" s="179"/>
      <c r="P622" s="180"/>
      <c r="Q622" s="180">
        <v>59790000</v>
      </c>
      <c r="R622" s="181">
        <f t="shared" si="158"/>
        <v>30.549222755781365</v>
      </c>
      <c r="S622" s="181">
        <v>100</v>
      </c>
      <c r="T622" s="180">
        <f t="shared" si="117"/>
        <v>0</v>
      </c>
      <c r="U622" s="180">
        <f t="shared" si="122"/>
        <v>0</v>
      </c>
      <c r="V622" s="182">
        <f t="shared" si="142"/>
        <v>100</v>
      </c>
      <c r="W622" s="180"/>
      <c r="X622" s="180"/>
      <c r="Y622" s="180"/>
      <c r="Z622" s="180"/>
      <c r="AA622" s="180"/>
      <c r="AB622" s="180"/>
      <c r="AC622" s="180"/>
      <c r="AD622" s="180"/>
      <c r="AE622" s="180"/>
      <c r="AF622" s="180"/>
      <c r="AG622" s="180"/>
      <c r="AH622" s="180"/>
      <c r="AI622" s="180">
        <v>0</v>
      </c>
      <c r="AJ622" s="181">
        <f t="shared" si="155"/>
        <v>0</v>
      </c>
      <c r="AK622" s="180">
        <f t="shared" si="151"/>
        <v>59790000</v>
      </c>
      <c r="AL622" s="181">
        <f t="shared" si="157"/>
        <v>100</v>
      </c>
      <c r="AM622" s="243"/>
    </row>
    <row r="623" spans="1:39" ht="28.5" customHeight="1" x14ac:dyDescent="0.25">
      <c r="A623" s="243"/>
      <c r="B623" s="381"/>
      <c r="C623" s="381"/>
      <c r="D623" s="381"/>
      <c r="E623" s="381"/>
      <c r="F623" s="381"/>
      <c r="G623" s="381"/>
      <c r="H623" s="381"/>
      <c r="I623" s="382"/>
      <c r="J623" s="381" t="s">
        <v>551</v>
      </c>
      <c r="K623" s="245"/>
      <c r="L623" s="257"/>
      <c r="M623" s="591" t="s">
        <v>550</v>
      </c>
      <c r="N623" s="592"/>
      <c r="O623" s="179"/>
      <c r="P623" s="180"/>
      <c r="Q623" s="180">
        <v>9600000</v>
      </c>
      <c r="R623" s="181">
        <f t="shared" si="158"/>
        <v>4.9050432924485881</v>
      </c>
      <c r="S623" s="181">
        <v>100</v>
      </c>
      <c r="T623" s="180">
        <f t="shared" ref="T623:T676" si="159">AJ623</f>
        <v>0</v>
      </c>
      <c r="U623" s="180">
        <f t="shared" si="122"/>
        <v>0</v>
      </c>
      <c r="V623" s="182">
        <f t="shared" si="142"/>
        <v>100</v>
      </c>
      <c r="W623" s="180"/>
      <c r="X623" s="180"/>
      <c r="Y623" s="180"/>
      <c r="Z623" s="180"/>
      <c r="AA623" s="180"/>
      <c r="AB623" s="180"/>
      <c r="AC623" s="180"/>
      <c r="AD623" s="180"/>
      <c r="AE623" s="180"/>
      <c r="AF623" s="180"/>
      <c r="AG623" s="180"/>
      <c r="AH623" s="180"/>
      <c r="AI623" s="180">
        <v>0</v>
      </c>
      <c r="AJ623" s="181">
        <f t="shared" si="155"/>
        <v>0</v>
      </c>
      <c r="AK623" s="180">
        <f t="shared" si="151"/>
        <v>9600000</v>
      </c>
      <c r="AL623" s="181">
        <f t="shared" si="157"/>
        <v>100</v>
      </c>
      <c r="AM623" s="243"/>
    </row>
    <row r="624" spans="1:39" s="297" customFormat="1" ht="24.75" customHeight="1" x14ac:dyDescent="0.25">
      <c r="A624" s="227">
        <f>SUM(A615+1)</f>
        <v>75</v>
      </c>
      <c r="B624" s="393"/>
      <c r="C624" s="393"/>
      <c r="D624" s="393"/>
      <c r="E624" s="393"/>
      <c r="F624" s="393"/>
      <c r="G624" s="393"/>
      <c r="H624" s="393"/>
      <c r="I624" s="394"/>
      <c r="J624" s="304" t="s">
        <v>528</v>
      </c>
      <c r="K624" s="230"/>
      <c r="L624" s="294"/>
      <c r="M624" s="613" t="s">
        <v>208</v>
      </c>
      <c r="N624" s="612"/>
      <c r="O624" s="309"/>
      <c r="P624" s="231"/>
      <c r="Q624" s="231">
        <f>SUM(Q625:Q633)</f>
        <v>148625471</v>
      </c>
      <c r="R624" s="233">
        <f>Q624/Q$245*100</f>
        <v>1.2460379414890164</v>
      </c>
      <c r="S624" s="233">
        <v>100</v>
      </c>
      <c r="T624" s="231">
        <f t="shared" si="159"/>
        <v>0</v>
      </c>
      <c r="U624" s="231">
        <f t="shared" si="122"/>
        <v>0</v>
      </c>
      <c r="V624" s="296">
        <f t="shared" si="142"/>
        <v>100</v>
      </c>
      <c r="W624" s="231"/>
      <c r="X624" s="231"/>
      <c r="Y624" s="231"/>
      <c r="Z624" s="231"/>
      <c r="AA624" s="231"/>
      <c r="AB624" s="231"/>
      <c r="AC624" s="231"/>
      <c r="AD624" s="231"/>
      <c r="AE624" s="231"/>
      <c r="AF624" s="231"/>
      <c r="AG624" s="231"/>
      <c r="AH624" s="231"/>
      <c r="AI624" s="231">
        <f>SUM(AI625:AI633)</f>
        <v>0</v>
      </c>
      <c r="AJ624" s="233">
        <f t="shared" si="155"/>
        <v>0</v>
      </c>
      <c r="AK624" s="231">
        <f t="shared" si="151"/>
        <v>148625471</v>
      </c>
      <c r="AL624" s="233">
        <f t="shared" si="157"/>
        <v>100</v>
      </c>
      <c r="AM624" s="227"/>
    </row>
    <row r="625" spans="1:39" ht="24.75" customHeight="1" x14ac:dyDescent="0.25">
      <c r="A625" s="243"/>
      <c r="B625" s="381"/>
      <c r="C625" s="381"/>
      <c r="D625" s="381"/>
      <c r="E625" s="381"/>
      <c r="F625" s="381"/>
      <c r="G625" s="381"/>
      <c r="H625" s="381"/>
      <c r="I625" s="382"/>
      <c r="J625" s="381" t="s">
        <v>257</v>
      </c>
      <c r="K625" s="245"/>
      <c r="L625" s="257"/>
      <c r="M625" s="604" t="s">
        <v>260</v>
      </c>
      <c r="N625" s="592"/>
      <c r="O625" s="179"/>
      <c r="P625" s="180"/>
      <c r="Q625" s="180">
        <v>800000</v>
      </c>
      <c r="R625" s="181">
        <f>Q625/Q$624*100</f>
        <v>0.53826574584917553</v>
      </c>
      <c r="S625" s="181">
        <v>100</v>
      </c>
      <c r="T625" s="180">
        <f t="shared" si="159"/>
        <v>0</v>
      </c>
      <c r="U625" s="180">
        <f t="shared" si="122"/>
        <v>0</v>
      </c>
      <c r="V625" s="182">
        <f t="shared" si="142"/>
        <v>100</v>
      </c>
      <c r="W625" s="180"/>
      <c r="X625" s="180"/>
      <c r="Y625" s="180"/>
      <c r="Z625" s="180"/>
      <c r="AA625" s="180"/>
      <c r="AB625" s="180"/>
      <c r="AC625" s="180"/>
      <c r="AD625" s="180"/>
      <c r="AE625" s="180"/>
      <c r="AF625" s="180"/>
      <c r="AG625" s="180"/>
      <c r="AH625" s="180"/>
      <c r="AI625" s="180">
        <v>0</v>
      </c>
      <c r="AJ625" s="181">
        <f t="shared" si="155"/>
        <v>0</v>
      </c>
      <c r="AK625" s="180">
        <f t="shared" si="151"/>
        <v>800000</v>
      </c>
      <c r="AL625" s="181">
        <f t="shared" si="157"/>
        <v>100</v>
      </c>
      <c r="AM625" s="243"/>
    </row>
    <row r="626" spans="1:39" ht="24.75" customHeight="1" x14ac:dyDescent="0.25">
      <c r="A626" s="243"/>
      <c r="B626" s="381"/>
      <c r="C626" s="381"/>
      <c r="D626" s="381"/>
      <c r="E626" s="381"/>
      <c r="F626" s="381"/>
      <c r="G626" s="381"/>
      <c r="H626" s="381"/>
      <c r="I626" s="382"/>
      <c r="J626" s="381" t="s">
        <v>315</v>
      </c>
      <c r="K626" s="245"/>
      <c r="L626" s="257"/>
      <c r="M626" s="604" t="s">
        <v>271</v>
      </c>
      <c r="N626" s="592"/>
      <c r="O626" s="179"/>
      <c r="P626" s="180"/>
      <c r="Q626" s="180">
        <v>10500000</v>
      </c>
      <c r="R626" s="181">
        <f>Q626/Q$624*100</f>
        <v>7.0647379142704274</v>
      </c>
      <c r="S626" s="181">
        <v>100</v>
      </c>
      <c r="T626" s="180">
        <f t="shared" si="159"/>
        <v>0</v>
      </c>
      <c r="U626" s="180">
        <f t="shared" si="122"/>
        <v>0</v>
      </c>
      <c r="V626" s="182">
        <f t="shared" si="142"/>
        <v>100</v>
      </c>
      <c r="W626" s="180"/>
      <c r="X626" s="180"/>
      <c r="Y626" s="180"/>
      <c r="Z626" s="180"/>
      <c r="AA626" s="180"/>
      <c r="AB626" s="180"/>
      <c r="AC626" s="180"/>
      <c r="AD626" s="180"/>
      <c r="AE626" s="180"/>
      <c r="AF626" s="180"/>
      <c r="AG626" s="180"/>
      <c r="AH626" s="180"/>
      <c r="AI626" s="180">
        <v>0</v>
      </c>
      <c r="AJ626" s="181">
        <f t="shared" si="155"/>
        <v>0</v>
      </c>
      <c r="AK626" s="180">
        <f t="shared" si="151"/>
        <v>10500000</v>
      </c>
      <c r="AL626" s="181">
        <f t="shared" si="157"/>
        <v>100</v>
      </c>
      <c r="AM626" s="243"/>
    </row>
    <row r="627" spans="1:39" ht="24.75" customHeight="1" x14ac:dyDescent="0.25">
      <c r="A627" s="243"/>
      <c r="B627" s="381"/>
      <c r="C627" s="381"/>
      <c r="D627" s="381"/>
      <c r="E627" s="381"/>
      <c r="F627" s="381"/>
      <c r="G627" s="381"/>
      <c r="H627" s="381"/>
      <c r="I627" s="382"/>
      <c r="J627" s="381" t="s">
        <v>316</v>
      </c>
      <c r="K627" s="245"/>
      <c r="L627" s="257"/>
      <c r="M627" s="604" t="s">
        <v>317</v>
      </c>
      <c r="N627" s="592"/>
      <c r="O627" s="179"/>
      <c r="P627" s="180"/>
      <c r="Q627" s="180">
        <v>500000</v>
      </c>
      <c r="R627" s="181">
        <f t="shared" ref="R627:R633" si="160">Q627/Q$624*100</f>
        <v>0.33641609115573468</v>
      </c>
      <c r="S627" s="181">
        <v>100</v>
      </c>
      <c r="T627" s="180">
        <f t="shared" si="159"/>
        <v>0</v>
      </c>
      <c r="U627" s="180">
        <f t="shared" si="122"/>
        <v>0</v>
      </c>
      <c r="V627" s="182">
        <f t="shared" si="142"/>
        <v>100</v>
      </c>
      <c r="W627" s="180"/>
      <c r="X627" s="180"/>
      <c r="Y627" s="180"/>
      <c r="Z627" s="180"/>
      <c r="AA627" s="180"/>
      <c r="AB627" s="180"/>
      <c r="AC627" s="180"/>
      <c r="AD627" s="180"/>
      <c r="AE627" s="180"/>
      <c r="AF627" s="180"/>
      <c r="AG627" s="180"/>
      <c r="AH627" s="180"/>
      <c r="AI627" s="180">
        <v>0</v>
      </c>
      <c r="AJ627" s="181">
        <f t="shared" si="155"/>
        <v>0</v>
      </c>
      <c r="AK627" s="180">
        <f t="shared" si="151"/>
        <v>500000</v>
      </c>
      <c r="AL627" s="181">
        <f t="shared" si="157"/>
        <v>100</v>
      </c>
      <c r="AM627" s="243"/>
    </row>
    <row r="628" spans="1:39" ht="24.75" customHeight="1" x14ac:dyDescent="0.25">
      <c r="A628" s="243"/>
      <c r="B628" s="381"/>
      <c r="C628" s="381"/>
      <c r="D628" s="381"/>
      <c r="E628" s="381"/>
      <c r="F628" s="381"/>
      <c r="G628" s="381"/>
      <c r="H628" s="381"/>
      <c r="I628" s="382"/>
      <c r="J628" s="381" t="s">
        <v>328</v>
      </c>
      <c r="K628" s="245"/>
      <c r="L628" s="257"/>
      <c r="M628" s="604" t="s">
        <v>319</v>
      </c>
      <c r="N628" s="592"/>
      <c r="O628" s="179"/>
      <c r="P628" s="180"/>
      <c r="Q628" s="180">
        <v>65000000</v>
      </c>
      <c r="R628" s="181">
        <f t="shared" si="160"/>
        <v>43.734091850245512</v>
      </c>
      <c r="S628" s="181">
        <v>100</v>
      </c>
      <c r="T628" s="180">
        <f t="shared" si="159"/>
        <v>0</v>
      </c>
      <c r="U628" s="180">
        <f t="shared" si="122"/>
        <v>0</v>
      </c>
      <c r="V628" s="182">
        <f t="shared" si="142"/>
        <v>100</v>
      </c>
      <c r="W628" s="180"/>
      <c r="X628" s="180"/>
      <c r="Y628" s="180"/>
      <c r="Z628" s="180"/>
      <c r="AA628" s="180"/>
      <c r="AB628" s="180"/>
      <c r="AC628" s="180"/>
      <c r="AD628" s="180"/>
      <c r="AE628" s="180"/>
      <c r="AF628" s="180"/>
      <c r="AG628" s="180"/>
      <c r="AH628" s="180"/>
      <c r="AI628" s="180">
        <v>0</v>
      </c>
      <c r="AJ628" s="181">
        <f t="shared" si="155"/>
        <v>0</v>
      </c>
      <c r="AK628" s="180">
        <f t="shared" si="151"/>
        <v>65000000</v>
      </c>
      <c r="AL628" s="181">
        <f t="shared" si="157"/>
        <v>100</v>
      </c>
      <c r="AM628" s="243"/>
    </row>
    <row r="629" spans="1:39" ht="24.75" customHeight="1" x14ac:dyDescent="0.25">
      <c r="A629" s="243"/>
      <c r="B629" s="381"/>
      <c r="C629" s="381"/>
      <c r="D629" s="381"/>
      <c r="E629" s="381"/>
      <c r="F629" s="381"/>
      <c r="G629" s="381"/>
      <c r="H629" s="381"/>
      <c r="I629" s="382"/>
      <c r="J629" s="381" t="s">
        <v>284</v>
      </c>
      <c r="K629" s="245"/>
      <c r="L629" s="257"/>
      <c r="M629" s="604" t="s">
        <v>285</v>
      </c>
      <c r="N629" s="592"/>
      <c r="O629" s="179"/>
      <c r="P629" s="180"/>
      <c r="Q629" s="180">
        <v>10000000</v>
      </c>
      <c r="R629" s="181">
        <f t="shared" si="160"/>
        <v>6.728321823114694</v>
      </c>
      <c r="S629" s="181">
        <v>100</v>
      </c>
      <c r="T629" s="180">
        <f t="shared" si="159"/>
        <v>0</v>
      </c>
      <c r="U629" s="180">
        <f t="shared" si="122"/>
        <v>0</v>
      </c>
      <c r="V629" s="182">
        <f t="shared" si="142"/>
        <v>100</v>
      </c>
      <c r="W629" s="180"/>
      <c r="X629" s="180"/>
      <c r="Y629" s="180"/>
      <c r="Z629" s="180"/>
      <c r="AA629" s="180"/>
      <c r="AB629" s="180"/>
      <c r="AC629" s="180"/>
      <c r="AD629" s="180"/>
      <c r="AE629" s="180"/>
      <c r="AF629" s="180"/>
      <c r="AG629" s="180"/>
      <c r="AH629" s="180"/>
      <c r="AI629" s="180">
        <v>0</v>
      </c>
      <c r="AJ629" s="181">
        <f t="shared" si="155"/>
        <v>0</v>
      </c>
      <c r="AK629" s="180">
        <f t="shared" si="151"/>
        <v>10000000</v>
      </c>
      <c r="AL629" s="181">
        <f t="shared" si="157"/>
        <v>100</v>
      </c>
      <c r="AM629" s="243"/>
    </row>
    <row r="630" spans="1:39" ht="24.75" customHeight="1" x14ac:dyDescent="0.25">
      <c r="A630" s="243"/>
      <c r="B630" s="381"/>
      <c r="C630" s="381"/>
      <c r="D630" s="381"/>
      <c r="E630" s="381"/>
      <c r="F630" s="381"/>
      <c r="G630" s="381"/>
      <c r="H630" s="381"/>
      <c r="I630" s="382"/>
      <c r="J630" s="381" t="s">
        <v>282</v>
      </c>
      <c r="K630" s="245"/>
      <c r="L630" s="257"/>
      <c r="M630" s="604" t="s">
        <v>283</v>
      </c>
      <c r="N630" s="592"/>
      <c r="O630" s="179"/>
      <c r="P630" s="180"/>
      <c r="Q630" s="180">
        <v>34125471</v>
      </c>
      <c r="R630" s="181">
        <f t="shared" si="160"/>
        <v>22.960715125336762</v>
      </c>
      <c r="S630" s="181">
        <v>100</v>
      </c>
      <c r="T630" s="180">
        <f t="shared" si="159"/>
        <v>0</v>
      </c>
      <c r="U630" s="180">
        <f t="shared" si="122"/>
        <v>0</v>
      </c>
      <c r="V630" s="182">
        <f t="shared" si="142"/>
        <v>100</v>
      </c>
      <c r="W630" s="180"/>
      <c r="X630" s="180"/>
      <c r="Y630" s="180"/>
      <c r="Z630" s="180"/>
      <c r="AA630" s="180"/>
      <c r="AB630" s="180"/>
      <c r="AC630" s="180"/>
      <c r="AD630" s="180"/>
      <c r="AE630" s="180"/>
      <c r="AF630" s="180"/>
      <c r="AG630" s="180"/>
      <c r="AH630" s="180"/>
      <c r="AI630" s="180">
        <v>0</v>
      </c>
      <c r="AJ630" s="181">
        <f t="shared" si="155"/>
        <v>0</v>
      </c>
      <c r="AK630" s="180">
        <f t="shared" si="151"/>
        <v>34125471</v>
      </c>
      <c r="AL630" s="181">
        <f t="shared" si="157"/>
        <v>100</v>
      </c>
      <c r="AM630" s="243"/>
    </row>
    <row r="631" spans="1:39" ht="24.75" customHeight="1" x14ac:dyDescent="0.25">
      <c r="A631" s="243"/>
      <c r="B631" s="381"/>
      <c r="C631" s="381"/>
      <c r="D631" s="381"/>
      <c r="E631" s="381"/>
      <c r="F631" s="381"/>
      <c r="G631" s="381"/>
      <c r="H631" s="381"/>
      <c r="I631" s="382"/>
      <c r="J631" s="381" t="s">
        <v>320</v>
      </c>
      <c r="K631" s="245"/>
      <c r="L631" s="257"/>
      <c r="M631" s="604" t="s">
        <v>321</v>
      </c>
      <c r="N631" s="592"/>
      <c r="O631" s="179"/>
      <c r="P631" s="180"/>
      <c r="Q631" s="180">
        <v>9800000</v>
      </c>
      <c r="R631" s="181">
        <f t="shared" si="160"/>
        <v>6.5937553866524006</v>
      </c>
      <c r="S631" s="181">
        <v>100</v>
      </c>
      <c r="T631" s="180">
        <f t="shared" si="159"/>
        <v>0</v>
      </c>
      <c r="U631" s="180">
        <f t="shared" si="122"/>
        <v>0</v>
      </c>
      <c r="V631" s="182">
        <f t="shared" si="142"/>
        <v>100</v>
      </c>
      <c r="W631" s="180"/>
      <c r="X631" s="180"/>
      <c r="Y631" s="180"/>
      <c r="Z631" s="180"/>
      <c r="AA631" s="180"/>
      <c r="AB631" s="180"/>
      <c r="AC631" s="180"/>
      <c r="AD631" s="180"/>
      <c r="AE631" s="180"/>
      <c r="AF631" s="180"/>
      <c r="AG631" s="180"/>
      <c r="AH631" s="180"/>
      <c r="AI631" s="180">
        <v>0</v>
      </c>
      <c r="AJ631" s="181">
        <f t="shared" si="155"/>
        <v>0</v>
      </c>
      <c r="AK631" s="180">
        <f t="shared" si="151"/>
        <v>9800000</v>
      </c>
      <c r="AL631" s="181">
        <f t="shared" si="157"/>
        <v>100</v>
      </c>
      <c r="AM631" s="243"/>
    </row>
    <row r="632" spans="1:39" ht="24.75" customHeight="1" x14ac:dyDescent="0.25">
      <c r="A632" s="243"/>
      <c r="B632" s="381"/>
      <c r="C632" s="381"/>
      <c r="D632" s="381"/>
      <c r="E632" s="381"/>
      <c r="F632" s="381"/>
      <c r="G632" s="381"/>
      <c r="H632" s="381"/>
      <c r="I632" s="382"/>
      <c r="J632" s="381" t="s">
        <v>407</v>
      </c>
      <c r="K632" s="245"/>
      <c r="L632" s="257"/>
      <c r="M632" s="604" t="s">
        <v>623</v>
      </c>
      <c r="N632" s="592"/>
      <c r="O632" s="179"/>
      <c r="P632" s="180"/>
      <c r="Q632" s="180">
        <v>2900000</v>
      </c>
      <c r="R632" s="181">
        <f t="shared" si="160"/>
        <v>1.9512133287032611</v>
      </c>
      <c r="S632" s="181">
        <v>100</v>
      </c>
      <c r="T632" s="180">
        <f t="shared" si="159"/>
        <v>0</v>
      </c>
      <c r="U632" s="180">
        <f t="shared" si="122"/>
        <v>0</v>
      </c>
      <c r="V632" s="182">
        <f t="shared" si="142"/>
        <v>100</v>
      </c>
      <c r="W632" s="180"/>
      <c r="X632" s="180"/>
      <c r="Y632" s="180"/>
      <c r="Z632" s="180"/>
      <c r="AA632" s="180"/>
      <c r="AB632" s="180"/>
      <c r="AC632" s="180"/>
      <c r="AD632" s="180"/>
      <c r="AE632" s="180"/>
      <c r="AF632" s="180"/>
      <c r="AG632" s="180"/>
      <c r="AH632" s="180"/>
      <c r="AI632" s="180">
        <v>0</v>
      </c>
      <c r="AJ632" s="181">
        <f t="shared" si="155"/>
        <v>0</v>
      </c>
      <c r="AK632" s="180">
        <f t="shared" si="151"/>
        <v>2900000</v>
      </c>
      <c r="AL632" s="181">
        <f t="shared" si="157"/>
        <v>100</v>
      </c>
      <c r="AM632" s="243"/>
    </row>
    <row r="633" spans="1:39" ht="24.75" customHeight="1" x14ac:dyDescent="0.25">
      <c r="A633" s="243"/>
      <c r="B633" s="381"/>
      <c r="C633" s="381"/>
      <c r="D633" s="381"/>
      <c r="E633" s="381"/>
      <c r="F633" s="381"/>
      <c r="G633" s="381"/>
      <c r="H633" s="381"/>
      <c r="I633" s="382"/>
      <c r="J633" s="381" t="s">
        <v>372</v>
      </c>
      <c r="K633" s="245"/>
      <c r="L633" s="257"/>
      <c r="M633" s="604" t="s">
        <v>373</v>
      </c>
      <c r="N633" s="592"/>
      <c r="O633" s="179"/>
      <c r="P633" s="180"/>
      <c r="Q633" s="180">
        <v>15000000</v>
      </c>
      <c r="R633" s="181">
        <f t="shared" si="160"/>
        <v>10.092482734672039</v>
      </c>
      <c r="S633" s="181">
        <v>100</v>
      </c>
      <c r="T633" s="180">
        <f t="shared" si="159"/>
        <v>0</v>
      </c>
      <c r="U633" s="180">
        <f t="shared" si="122"/>
        <v>0</v>
      </c>
      <c r="V633" s="182">
        <v>100</v>
      </c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  <c r="AG633" s="180"/>
      <c r="AH633" s="180"/>
      <c r="AI633" s="180">
        <v>0</v>
      </c>
      <c r="AJ633" s="181">
        <f t="shared" si="155"/>
        <v>0</v>
      </c>
      <c r="AK633" s="180">
        <f t="shared" ref="AK633:AK684" si="161">Q633-AI633</f>
        <v>15000000</v>
      </c>
      <c r="AL633" s="181">
        <f t="shared" si="157"/>
        <v>100</v>
      </c>
      <c r="AM633" s="243"/>
    </row>
    <row r="634" spans="1:39" s="297" customFormat="1" ht="31.5" customHeight="1" x14ac:dyDescent="0.25">
      <c r="A634" s="227">
        <f>SUM(A624+1)</f>
        <v>76</v>
      </c>
      <c r="B634" s="393"/>
      <c r="C634" s="393"/>
      <c r="D634" s="393"/>
      <c r="E634" s="393"/>
      <c r="F634" s="393"/>
      <c r="G634" s="393"/>
      <c r="H634" s="393"/>
      <c r="I634" s="394"/>
      <c r="J634" s="304" t="s">
        <v>529</v>
      </c>
      <c r="K634" s="230"/>
      <c r="L634" s="294"/>
      <c r="M634" s="610" t="s">
        <v>209</v>
      </c>
      <c r="N634" s="612"/>
      <c r="O634" s="309"/>
      <c r="P634" s="231"/>
      <c r="Q634" s="231">
        <f>SUM(Q635:Q640)</f>
        <v>60110918</v>
      </c>
      <c r="R634" s="233">
        <f>Q634/Q$245*100</f>
        <v>0.50395456459636756</v>
      </c>
      <c r="S634" s="233">
        <v>100</v>
      </c>
      <c r="T634" s="231">
        <f t="shared" si="159"/>
        <v>9.9815477780592197</v>
      </c>
      <c r="U634" s="231">
        <f t="shared" si="122"/>
        <v>5.0302465644896738E-2</v>
      </c>
      <c r="V634" s="296">
        <f t="shared" si="142"/>
        <v>90.018452221940777</v>
      </c>
      <c r="W634" s="231"/>
      <c r="X634" s="231"/>
      <c r="Y634" s="231"/>
      <c r="Z634" s="231"/>
      <c r="AA634" s="231"/>
      <c r="AB634" s="231"/>
      <c r="AC634" s="231"/>
      <c r="AD634" s="231"/>
      <c r="AE634" s="231"/>
      <c r="AF634" s="231"/>
      <c r="AG634" s="231"/>
      <c r="AH634" s="231"/>
      <c r="AI634" s="231">
        <f>SUM(AI635:AI640)</f>
        <v>6000000</v>
      </c>
      <c r="AJ634" s="233">
        <f t="shared" si="155"/>
        <v>9.9815477780592197</v>
      </c>
      <c r="AK634" s="231">
        <f t="shared" si="161"/>
        <v>54110918</v>
      </c>
      <c r="AL634" s="233">
        <f t="shared" si="157"/>
        <v>90.018452221940777</v>
      </c>
      <c r="AM634" s="227"/>
    </row>
    <row r="635" spans="1:39" ht="24.75" customHeight="1" x14ac:dyDescent="0.25">
      <c r="A635" s="243"/>
      <c r="B635" s="381"/>
      <c r="C635" s="381"/>
      <c r="D635" s="381"/>
      <c r="E635" s="381"/>
      <c r="F635" s="381"/>
      <c r="G635" s="381"/>
      <c r="H635" s="381"/>
      <c r="I635" s="382"/>
      <c r="J635" s="381" t="s">
        <v>347</v>
      </c>
      <c r="K635" s="245"/>
      <c r="L635" s="257"/>
      <c r="M635" s="591" t="s">
        <v>348</v>
      </c>
      <c r="N635" s="592"/>
      <c r="O635" s="179"/>
      <c r="P635" s="180"/>
      <c r="Q635" s="180">
        <v>13900000</v>
      </c>
      <c r="R635" s="181">
        <f t="shared" ref="R635:R640" si="162">Q635/Q$634*100</f>
        <v>23.123919019170529</v>
      </c>
      <c r="S635" s="181">
        <v>100</v>
      </c>
      <c r="T635" s="180">
        <f t="shared" si="159"/>
        <v>0</v>
      </c>
      <c r="U635" s="180">
        <f t="shared" si="122"/>
        <v>0</v>
      </c>
      <c r="V635" s="182">
        <f t="shared" si="142"/>
        <v>100</v>
      </c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  <c r="AG635" s="180"/>
      <c r="AH635" s="180"/>
      <c r="AI635" s="180">
        <v>0</v>
      </c>
      <c r="AJ635" s="181">
        <f t="shared" si="155"/>
        <v>0</v>
      </c>
      <c r="AK635" s="180">
        <f t="shared" si="161"/>
        <v>13900000</v>
      </c>
      <c r="AL635" s="181">
        <f t="shared" si="157"/>
        <v>100</v>
      </c>
      <c r="AM635" s="243"/>
    </row>
    <row r="636" spans="1:39" ht="24.75" customHeight="1" x14ac:dyDescent="0.25">
      <c r="A636" s="243"/>
      <c r="B636" s="381"/>
      <c r="C636" s="381"/>
      <c r="D636" s="381"/>
      <c r="E636" s="381"/>
      <c r="F636" s="381"/>
      <c r="G636" s="381"/>
      <c r="H636" s="381"/>
      <c r="I636" s="382"/>
      <c r="J636" s="381" t="s">
        <v>251</v>
      </c>
      <c r="K636" s="245"/>
      <c r="L636" s="257"/>
      <c r="M636" s="591" t="s">
        <v>324</v>
      </c>
      <c r="N636" s="592"/>
      <c r="O636" s="179"/>
      <c r="P636" s="180"/>
      <c r="Q636" s="180">
        <v>5710918</v>
      </c>
      <c r="R636" s="181">
        <f t="shared" si="162"/>
        <v>9.5006334789297355</v>
      </c>
      <c r="S636" s="181">
        <v>100</v>
      </c>
      <c r="T636" s="180">
        <f t="shared" si="159"/>
        <v>17.510319706919272</v>
      </c>
      <c r="U636" s="180">
        <f t="shared" si="122"/>
        <v>1.6635912963432036</v>
      </c>
      <c r="V636" s="182">
        <f t="shared" si="142"/>
        <v>82.489680293080724</v>
      </c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  <c r="AG636" s="180"/>
      <c r="AH636" s="180"/>
      <c r="AI636" s="180">
        <f>500000+500000</f>
        <v>1000000</v>
      </c>
      <c r="AJ636" s="181">
        <f t="shared" si="155"/>
        <v>17.510319706919272</v>
      </c>
      <c r="AK636" s="180">
        <f t="shared" si="161"/>
        <v>4710918</v>
      </c>
      <c r="AL636" s="181">
        <f t="shared" si="157"/>
        <v>82.489680293080724</v>
      </c>
      <c r="AM636" s="243"/>
    </row>
    <row r="637" spans="1:39" ht="33" customHeight="1" x14ac:dyDescent="0.25">
      <c r="A637" s="243"/>
      <c r="B637" s="381"/>
      <c r="C637" s="381"/>
      <c r="D637" s="381"/>
      <c r="E637" s="381"/>
      <c r="F637" s="381"/>
      <c r="G637" s="381"/>
      <c r="H637" s="381"/>
      <c r="I637" s="382"/>
      <c r="J637" s="381" t="s">
        <v>318</v>
      </c>
      <c r="K637" s="245"/>
      <c r="L637" s="257"/>
      <c r="M637" s="591" t="s">
        <v>352</v>
      </c>
      <c r="N637" s="592"/>
      <c r="O637" s="179"/>
      <c r="P637" s="180"/>
      <c r="Q637" s="180">
        <v>12000000</v>
      </c>
      <c r="R637" s="181">
        <f t="shared" si="162"/>
        <v>19.963095556118439</v>
      </c>
      <c r="S637" s="181">
        <v>100</v>
      </c>
      <c r="T637" s="180">
        <f t="shared" si="159"/>
        <v>16.666666666666664</v>
      </c>
      <c r="U637" s="180">
        <f t="shared" si="122"/>
        <v>3.3271825926864063</v>
      </c>
      <c r="V637" s="182">
        <f t="shared" si="142"/>
        <v>83.333333333333343</v>
      </c>
      <c r="W637" s="180"/>
      <c r="X637" s="180"/>
      <c r="Y637" s="180"/>
      <c r="Z637" s="180"/>
      <c r="AA637" s="180"/>
      <c r="AB637" s="180"/>
      <c r="AC637" s="180"/>
      <c r="AD637" s="180"/>
      <c r="AE637" s="180"/>
      <c r="AF637" s="180"/>
      <c r="AG637" s="180"/>
      <c r="AH637" s="180"/>
      <c r="AI637" s="180">
        <f>1000000+1000000</f>
        <v>2000000</v>
      </c>
      <c r="AJ637" s="181">
        <f t="shared" si="155"/>
        <v>16.666666666666664</v>
      </c>
      <c r="AK637" s="180">
        <f t="shared" si="161"/>
        <v>10000000</v>
      </c>
      <c r="AL637" s="181">
        <f t="shared" si="157"/>
        <v>83.333333333333343</v>
      </c>
      <c r="AM637" s="243"/>
    </row>
    <row r="638" spans="1:39" ht="24.75" customHeight="1" x14ac:dyDescent="0.25">
      <c r="A638" s="243"/>
      <c r="B638" s="381"/>
      <c r="C638" s="381"/>
      <c r="D638" s="381"/>
      <c r="E638" s="381"/>
      <c r="F638" s="381"/>
      <c r="G638" s="381"/>
      <c r="H638" s="381"/>
      <c r="I638" s="382"/>
      <c r="J638" s="381" t="s">
        <v>315</v>
      </c>
      <c r="K638" s="245"/>
      <c r="L638" s="257"/>
      <c r="M638" s="591" t="s">
        <v>428</v>
      </c>
      <c r="N638" s="592"/>
      <c r="O638" s="179"/>
      <c r="P638" s="180"/>
      <c r="Q638" s="180">
        <v>6000000</v>
      </c>
      <c r="R638" s="181">
        <f t="shared" si="162"/>
        <v>9.9815477780592197</v>
      </c>
      <c r="S638" s="181">
        <v>100</v>
      </c>
      <c r="T638" s="180">
        <f t="shared" si="159"/>
        <v>16.666666666666664</v>
      </c>
      <c r="U638" s="180">
        <f t="shared" si="122"/>
        <v>1.6635912963432031</v>
      </c>
      <c r="V638" s="182">
        <f t="shared" si="142"/>
        <v>83.333333333333343</v>
      </c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  <c r="AG638" s="180"/>
      <c r="AH638" s="180"/>
      <c r="AI638" s="180">
        <f>500000+500000</f>
        <v>1000000</v>
      </c>
      <c r="AJ638" s="181">
        <f t="shared" si="155"/>
        <v>16.666666666666664</v>
      </c>
      <c r="AK638" s="180">
        <f t="shared" si="161"/>
        <v>5000000</v>
      </c>
      <c r="AL638" s="181">
        <f t="shared" si="157"/>
        <v>83.333333333333343</v>
      </c>
      <c r="AM638" s="243"/>
    </row>
    <row r="639" spans="1:39" ht="24.75" customHeight="1" x14ac:dyDescent="0.25">
      <c r="A639" s="243"/>
      <c r="B639" s="381"/>
      <c r="C639" s="381"/>
      <c r="D639" s="381"/>
      <c r="E639" s="381"/>
      <c r="F639" s="381"/>
      <c r="G639" s="381"/>
      <c r="H639" s="381"/>
      <c r="I639" s="382"/>
      <c r="J639" s="381" t="s">
        <v>318</v>
      </c>
      <c r="K639" s="245"/>
      <c r="L639" s="257"/>
      <c r="M639" s="591" t="s">
        <v>319</v>
      </c>
      <c r="N639" s="592"/>
      <c r="O639" s="179"/>
      <c r="P639" s="180"/>
      <c r="Q639" s="180">
        <v>10500000</v>
      </c>
      <c r="R639" s="181">
        <f t="shared" si="162"/>
        <v>17.467708611603637</v>
      </c>
      <c r="S639" s="181">
        <v>100</v>
      </c>
      <c r="T639" s="180">
        <f t="shared" si="159"/>
        <v>0</v>
      </c>
      <c r="U639" s="180">
        <f t="shared" si="122"/>
        <v>0</v>
      </c>
      <c r="V639" s="182">
        <f t="shared" si="142"/>
        <v>100</v>
      </c>
      <c r="W639" s="180"/>
      <c r="X639" s="180"/>
      <c r="Y639" s="180"/>
      <c r="Z639" s="180"/>
      <c r="AA639" s="180"/>
      <c r="AB639" s="180"/>
      <c r="AC639" s="180"/>
      <c r="AD639" s="180"/>
      <c r="AE639" s="180"/>
      <c r="AF639" s="180"/>
      <c r="AG639" s="180"/>
      <c r="AH639" s="180"/>
      <c r="AI639" s="180">
        <v>0</v>
      </c>
      <c r="AJ639" s="181">
        <f t="shared" si="155"/>
        <v>0</v>
      </c>
      <c r="AK639" s="180">
        <f t="shared" si="161"/>
        <v>10500000</v>
      </c>
      <c r="AL639" s="181">
        <f t="shared" si="157"/>
        <v>100</v>
      </c>
      <c r="AM639" s="243"/>
    </row>
    <row r="640" spans="1:39" ht="24.75" customHeight="1" x14ac:dyDescent="0.25">
      <c r="A640" s="243"/>
      <c r="B640" s="381"/>
      <c r="C640" s="381"/>
      <c r="D640" s="381"/>
      <c r="E640" s="381"/>
      <c r="F640" s="381"/>
      <c r="G640" s="381"/>
      <c r="H640" s="381"/>
      <c r="I640" s="382"/>
      <c r="J640" s="381" t="s">
        <v>624</v>
      </c>
      <c r="K640" s="245"/>
      <c r="L640" s="257"/>
      <c r="M640" s="591" t="s">
        <v>281</v>
      </c>
      <c r="N640" s="592"/>
      <c r="O640" s="179"/>
      <c r="P640" s="180"/>
      <c r="Q640" s="180">
        <v>12000000</v>
      </c>
      <c r="R640" s="181">
        <f t="shared" si="162"/>
        <v>19.963095556118439</v>
      </c>
      <c r="S640" s="181">
        <v>100</v>
      </c>
      <c r="T640" s="180">
        <f t="shared" si="159"/>
        <v>16.666666666666664</v>
      </c>
      <c r="U640" s="180">
        <f t="shared" si="122"/>
        <v>3.3271825926864063</v>
      </c>
      <c r="V640" s="182">
        <f t="shared" si="142"/>
        <v>83.333333333333343</v>
      </c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  <c r="AG640" s="180"/>
      <c r="AH640" s="180"/>
      <c r="AI640" s="180">
        <f>1000000+1000000</f>
        <v>2000000</v>
      </c>
      <c r="AJ640" s="181">
        <f t="shared" si="155"/>
        <v>16.666666666666664</v>
      </c>
      <c r="AK640" s="180">
        <f t="shared" si="161"/>
        <v>10000000</v>
      </c>
      <c r="AL640" s="181">
        <f t="shared" si="157"/>
        <v>83.333333333333343</v>
      </c>
      <c r="AM640" s="243"/>
    </row>
    <row r="641" spans="1:39" ht="24.75" customHeight="1" x14ac:dyDescent="0.25">
      <c r="A641" s="227">
        <v>77</v>
      </c>
      <c r="B641" s="381"/>
      <c r="C641" s="381"/>
      <c r="D641" s="381"/>
      <c r="E641" s="381"/>
      <c r="F641" s="381"/>
      <c r="G641" s="381"/>
      <c r="H641" s="381"/>
      <c r="I641" s="382"/>
      <c r="J641" s="304" t="s">
        <v>631</v>
      </c>
      <c r="K641" s="230"/>
      <c r="L641" s="294"/>
      <c r="M641" s="610" t="s">
        <v>632</v>
      </c>
      <c r="N641" s="612"/>
      <c r="O641" s="309"/>
      <c r="P641" s="231"/>
      <c r="Q641" s="231">
        <f>SUM(Q642:Q655)</f>
        <v>334885000</v>
      </c>
      <c r="R641" s="233">
        <f>Q641/Q$245*100</f>
        <v>2.8075902012485408</v>
      </c>
      <c r="S641" s="233">
        <v>100</v>
      </c>
      <c r="T641" s="231">
        <f t="shared" si="159"/>
        <v>0</v>
      </c>
      <c r="U641" s="231">
        <f t="shared" si="122"/>
        <v>0</v>
      </c>
      <c r="V641" s="296">
        <f t="shared" si="142"/>
        <v>100</v>
      </c>
      <c r="W641" s="231"/>
      <c r="X641" s="231"/>
      <c r="Y641" s="231"/>
      <c r="Z641" s="231"/>
      <c r="AA641" s="231"/>
      <c r="AB641" s="231"/>
      <c r="AC641" s="231"/>
      <c r="AD641" s="231"/>
      <c r="AE641" s="231"/>
      <c r="AF641" s="231"/>
      <c r="AG641" s="231"/>
      <c r="AH641" s="231"/>
      <c r="AI641" s="231">
        <f>SUM(AI642:AI647)</f>
        <v>0</v>
      </c>
      <c r="AJ641" s="233">
        <f t="shared" si="155"/>
        <v>0</v>
      </c>
      <c r="AK641" s="231">
        <f t="shared" si="161"/>
        <v>334885000</v>
      </c>
      <c r="AL641" s="233">
        <f t="shared" si="157"/>
        <v>100</v>
      </c>
      <c r="AM641" s="243"/>
    </row>
    <row r="642" spans="1:39" ht="24.75" customHeight="1" x14ac:dyDescent="0.25">
      <c r="A642" s="243"/>
      <c r="B642" s="381"/>
      <c r="C642" s="381"/>
      <c r="D642" s="381"/>
      <c r="E642" s="381"/>
      <c r="F642" s="381"/>
      <c r="G642" s="381"/>
      <c r="H642" s="381"/>
      <c r="I642" s="382"/>
      <c r="J642" s="381" t="s">
        <v>257</v>
      </c>
      <c r="K642" s="245"/>
      <c r="L642" s="257"/>
      <c r="M642" s="591" t="s">
        <v>258</v>
      </c>
      <c r="N642" s="592"/>
      <c r="O642" s="179"/>
      <c r="P642" s="180"/>
      <c r="Q642" s="180">
        <v>560000</v>
      </c>
      <c r="R642" s="181">
        <f t="shared" ref="R642:R655" si="163">Q642/Q$641*100</f>
        <v>0.16722158352867403</v>
      </c>
      <c r="S642" s="181">
        <v>100</v>
      </c>
      <c r="T642" s="180">
        <f t="shared" si="159"/>
        <v>0</v>
      </c>
      <c r="U642" s="180">
        <f t="shared" si="122"/>
        <v>0</v>
      </c>
      <c r="V642" s="182">
        <f t="shared" si="142"/>
        <v>100</v>
      </c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  <c r="AG642" s="180"/>
      <c r="AH642" s="180"/>
      <c r="AI642" s="180">
        <v>0</v>
      </c>
      <c r="AJ642" s="181">
        <f t="shared" si="155"/>
        <v>0</v>
      </c>
      <c r="AK642" s="180">
        <f t="shared" si="161"/>
        <v>560000</v>
      </c>
      <c r="AL642" s="181">
        <f t="shared" si="157"/>
        <v>100</v>
      </c>
      <c r="AM642" s="243"/>
    </row>
    <row r="643" spans="1:39" ht="24.75" customHeight="1" x14ac:dyDescent="0.25">
      <c r="A643" s="243"/>
      <c r="B643" s="381"/>
      <c r="C643" s="381"/>
      <c r="D643" s="381"/>
      <c r="E643" s="381"/>
      <c r="F643" s="381"/>
      <c r="G643" s="381"/>
      <c r="H643" s="381"/>
      <c r="I643" s="382"/>
      <c r="J643" s="381" t="s">
        <v>633</v>
      </c>
      <c r="K643" s="245"/>
      <c r="L643" s="257"/>
      <c r="M643" s="591" t="s">
        <v>260</v>
      </c>
      <c r="N643" s="592"/>
      <c r="O643" s="179"/>
      <c r="P643" s="180"/>
      <c r="Q643" s="180">
        <v>600000</v>
      </c>
      <c r="R643" s="181">
        <f t="shared" si="163"/>
        <v>0.17916598235215075</v>
      </c>
      <c r="S643" s="181">
        <v>100</v>
      </c>
      <c r="T643" s="180">
        <f t="shared" si="159"/>
        <v>0</v>
      </c>
      <c r="U643" s="180">
        <f t="shared" si="122"/>
        <v>0</v>
      </c>
      <c r="V643" s="182">
        <f t="shared" si="142"/>
        <v>100</v>
      </c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  <c r="AG643" s="180"/>
      <c r="AH643" s="180"/>
      <c r="AI643" s="180">
        <v>0</v>
      </c>
      <c r="AJ643" s="181">
        <f t="shared" si="155"/>
        <v>0</v>
      </c>
      <c r="AK643" s="180">
        <f t="shared" si="161"/>
        <v>600000</v>
      </c>
      <c r="AL643" s="181">
        <f t="shared" si="157"/>
        <v>100</v>
      </c>
      <c r="AM643" s="243"/>
    </row>
    <row r="644" spans="1:39" ht="24.75" customHeight="1" x14ac:dyDescent="0.25">
      <c r="A644" s="243"/>
      <c r="B644" s="381"/>
      <c r="C644" s="381"/>
      <c r="D644" s="381"/>
      <c r="E644" s="381"/>
      <c r="F644" s="381"/>
      <c r="G644" s="381"/>
      <c r="H644" s="381"/>
      <c r="I644" s="382"/>
      <c r="J644" s="381" t="s">
        <v>375</v>
      </c>
      <c r="K644" s="245"/>
      <c r="L644" s="257"/>
      <c r="M644" s="591" t="s">
        <v>376</v>
      </c>
      <c r="N644" s="612"/>
      <c r="O644" s="179"/>
      <c r="P644" s="180"/>
      <c r="Q644" s="180">
        <v>60000000</v>
      </c>
      <c r="R644" s="181">
        <f t="shared" si="163"/>
        <v>17.916598235215073</v>
      </c>
      <c r="S644" s="181">
        <v>100</v>
      </c>
      <c r="T644" s="180">
        <f t="shared" si="159"/>
        <v>0</v>
      </c>
      <c r="U644" s="180">
        <f t="shared" si="122"/>
        <v>0</v>
      </c>
      <c r="V644" s="182">
        <f t="shared" si="142"/>
        <v>100</v>
      </c>
      <c r="W644" s="180"/>
      <c r="X644" s="180"/>
      <c r="Y644" s="180"/>
      <c r="Z644" s="180"/>
      <c r="AA644" s="180"/>
      <c r="AB644" s="180"/>
      <c r="AC644" s="180"/>
      <c r="AD644" s="180"/>
      <c r="AE644" s="180"/>
      <c r="AF644" s="180"/>
      <c r="AG644" s="180"/>
      <c r="AH644" s="180"/>
      <c r="AI644" s="180">
        <v>0</v>
      </c>
      <c r="AJ644" s="181">
        <f t="shared" si="155"/>
        <v>0</v>
      </c>
      <c r="AK644" s="180">
        <f t="shared" si="161"/>
        <v>60000000</v>
      </c>
      <c r="AL644" s="181">
        <f t="shared" si="157"/>
        <v>100</v>
      </c>
      <c r="AM644" s="243"/>
    </row>
    <row r="645" spans="1:39" ht="24.75" customHeight="1" x14ac:dyDescent="0.25">
      <c r="A645" s="243"/>
      <c r="B645" s="381"/>
      <c r="C645" s="381"/>
      <c r="D645" s="381"/>
      <c r="E645" s="381"/>
      <c r="F645" s="381"/>
      <c r="G645" s="381"/>
      <c r="H645" s="381"/>
      <c r="I645" s="382"/>
      <c r="J645" s="381" t="s">
        <v>267</v>
      </c>
      <c r="K645" s="245"/>
      <c r="L645" s="257"/>
      <c r="M645" s="591" t="s">
        <v>268</v>
      </c>
      <c r="N645" s="592"/>
      <c r="O645" s="179"/>
      <c r="P645" s="180"/>
      <c r="Q645" s="180">
        <v>12500000</v>
      </c>
      <c r="R645" s="181">
        <f t="shared" si="163"/>
        <v>3.7326246323364738</v>
      </c>
      <c r="S645" s="181">
        <v>100</v>
      </c>
      <c r="T645" s="180">
        <f t="shared" si="159"/>
        <v>0</v>
      </c>
      <c r="U645" s="180">
        <f t="shared" si="122"/>
        <v>0</v>
      </c>
      <c r="V645" s="182">
        <f t="shared" si="142"/>
        <v>100</v>
      </c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  <c r="AG645" s="180"/>
      <c r="AH645" s="180"/>
      <c r="AI645" s="180">
        <v>0</v>
      </c>
      <c r="AJ645" s="181">
        <f t="shared" si="155"/>
        <v>0</v>
      </c>
      <c r="AK645" s="180">
        <f t="shared" si="161"/>
        <v>12500000</v>
      </c>
      <c r="AL645" s="181">
        <f t="shared" si="157"/>
        <v>100</v>
      </c>
      <c r="AM645" s="243"/>
    </row>
    <row r="646" spans="1:39" ht="24.75" customHeight="1" x14ac:dyDescent="0.25">
      <c r="A646" s="243"/>
      <c r="B646" s="381"/>
      <c r="C646" s="381"/>
      <c r="D646" s="381"/>
      <c r="E646" s="381"/>
      <c r="F646" s="381"/>
      <c r="G646" s="381"/>
      <c r="H646" s="381"/>
      <c r="I646" s="382"/>
      <c r="J646" s="381" t="s">
        <v>332</v>
      </c>
      <c r="K646" s="245"/>
      <c r="L646" s="257"/>
      <c r="M646" s="591" t="s">
        <v>351</v>
      </c>
      <c r="N646" s="592"/>
      <c r="O646" s="179"/>
      <c r="P646" s="180"/>
      <c r="Q646" s="180">
        <v>1000000</v>
      </c>
      <c r="R646" s="181">
        <f t="shared" si="163"/>
        <v>0.29860997058691791</v>
      </c>
      <c r="S646" s="181">
        <v>100</v>
      </c>
      <c r="T646" s="180">
        <f t="shared" si="159"/>
        <v>0</v>
      </c>
      <c r="U646" s="180">
        <f t="shared" si="122"/>
        <v>0</v>
      </c>
      <c r="V646" s="182">
        <f t="shared" si="142"/>
        <v>100</v>
      </c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  <c r="AG646" s="180"/>
      <c r="AH646" s="180"/>
      <c r="AI646" s="180">
        <v>0</v>
      </c>
      <c r="AJ646" s="181">
        <f t="shared" si="155"/>
        <v>0</v>
      </c>
      <c r="AK646" s="180">
        <f t="shared" si="161"/>
        <v>1000000</v>
      </c>
      <c r="AL646" s="181">
        <f t="shared" si="157"/>
        <v>100</v>
      </c>
      <c r="AM646" s="243"/>
    </row>
    <row r="647" spans="1:39" ht="24.75" customHeight="1" x14ac:dyDescent="0.25">
      <c r="A647" s="243"/>
      <c r="B647" s="381"/>
      <c r="C647" s="381"/>
      <c r="D647" s="381"/>
      <c r="E647" s="381"/>
      <c r="F647" s="381"/>
      <c r="G647" s="381"/>
      <c r="H647" s="381"/>
      <c r="I647" s="382"/>
      <c r="J647" s="381" t="s">
        <v>315</v>
      </c>
      <c r="K647" s="245"/>
      <c r="L647" s="257"/>
      <c r="M647" s="591" t="s">
        <v>271</v>
      </c>
      <c r="N647" s="592"/>
      <c r="O647" s="179"/>
      <c r="P647" s="180"/>
      <c r="Q647" s="180">
        <v>975000</v>
      </c>
      <c r="R647" s="181">
        <f t="shared" si="163"/>
        <v>0.29114472132224495</v>
      </c>
      <c r="S647" s="181">
        <v>100</v>
      </c>
      <c r="T647" s="180">
        <f t="shared" si="159"/>
        <v>0</v>
      </c>
      <c r="U647" s="180">
        <f t="shared" si="122"/>
        <v>0</v>
      </c>
      <c r="V647" s="182">
        <f t="shared" si="142"/>
        <v>100</v>
      </c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  <c r="AG647" s="180"/>
      <c r="AH647" s="180"/>
      <c r="AI647" s="180">
        <v>0</v>
      </c>
      <c r="AJ647" s="181">
        <f t="shared" si="155"/>
        <v>0</v>
      </c>
      <c r="AK647" s="180">
        <f t="shared" si="161"/>
        <v>975000</v>
      </c>
      <c r="AL647" s="181">
        <f t="shared" si="157"/>
        <v>100</v>
      </c>
      <c r="AM647" s="243"/>
    </row>
    <row r="648" spans="1:39" ht="24.75" customHeight="1" x14ac:dyDescent="0.25">
      <c r="A648" s="243"/>
      <c r="B648" s="381"/>
      <c r="C648" s="381"/>
      <c r="D648" s="381"/>
      <c r="E648" s="381"/>
      <c r="F648" s="381"/>
      <c r="G648" s="381"/>
      <c r="H648" s="381"/>
      <c r="I648" s="382"/>
      <c r="J648" s="381" t="s">
        <v>501</v>
      </c>
      <c r="K648" s="245"/>
      <c r="L648" s="257"/>
      <c r="M648" s="591" t="s">
        <v>317</v>
      </c>
      <c r="N648" s="592"/>
      <c r="O648" s="179"/>
      <c r="P648" s="180"/>
      <c r="Q648" s="180">
        <v>400000</v>
      </c>
      <c r="R648" s="181">
        <f t="shared" si="163"/>
        <v>0.11944398823476715</v>
      </c>
      <c r="S648" s="181">
        <v>100</v>
      </c>
      <c r="T648" s="180">
        <f t="shared" si="159"/>
        <v>0</v>
      </c>
      <c r="U648" s="180">
        <f t="shared" si="122"/>
        <v>0</v>
      </c>
      <c r="V648" s="182">
        <f t="shared" si="142"/>
        <v>100</v>
      </c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  <c r="AG648" s="180"/>
      <c r="AH648" s="180"/>
      <c r="AI648" s="180">
        <v>0</v>
      </c>
      <c r="AJ648" s="181">
        <f t="shared" si="155"/>
        <v>0</v>
      </c>
      <c r="AK648" s="180">
        <f t="shared" si="161"/>
        <v>400000</v>
      </c>
      <c r="AL648" s="181">
        <f t="shared" si="157"/>
        <v>100</v>
      </c>
      <c r="AM648" s="243"/>
    </row>
    <row r="649" spans="1:39" ht="24.75" customHeight="1" x14ac:dyDescent="0.25">
      <c r="A649" s="243"/>
      <c r="B649" s="381"/>
      <c r="C649" s="381"/>
      <c r="D649" s="381"/>
      <c r="E649" s="381"/>
      <c r="F649" s="381"/>
      <c r="G649" s="381"/>
      <c r="H649" s="381"/>
      <c r="I649" s="382"/>
      <c r="J649" s="381" t="s">
        <v>318</v>
      </c>
      <c r="K649" s="245"/>
      <c r="L649" s="257"/>
      <c r="M649" s="591" t="s">
        <v>319</v>
      </c>
      <c r="N649" s="592"/>
      <c r="O649" s="179"/>
      <c r="P649" s="180"/>
      <c r="Q649" s="180">
        <v>21000000</v>
      </c>
      <c r="R649" s="181">
        <f t="shared" si="163"/>
        <v>6.2708093823252762</v>
      </c>
      <c r="S649" s="181">
        <v>100</v>
      </c>
      <c r="T649" s="180">
        <f t="shared" si="159"/>
        <v>0</v>
      </c>
      <c r="U649" s="180">
        <f t="shared" si="122"/>
        <v>0</v>
      </c>
      <c r="V649" s="182">
        <f t="shared" si="142"/>
        <v>100</v>
      </c>
      <c r="W649" s="180"/>
      <c r="X649" s="180"/>
      <c r="Y649" s="180"/>
      <c r="Z649" s="180"/>
      <c r="AA649" s="180"/>
      <c r="AB649" s="180"/>
      <c r="AC649" s="180"/>
      <c r="AD649" s="180"/>
      <c r="AE649" s="180"/>
      <c r="AF649" s="180"/>
      <c r="AG649" s="180"/>
      <c r="AH649" s="180"/>
      <c r="AI649" s="180">
        <v>0</v>
      </c>
      <c r="AJ649" s="181">
        <f t="shared" si="155"/>
        <v>0</v>
      </c>
      <c r="AK649" s="180">
        <f t="shared" si="161"/>
        <v>21000000</v>
      </c>
      <c r="AL649" s="181">
        <f t="shared" si="157"/>
        <v>100</v>
      </c>
      <c r="AM649" s="243"/>
    </row>
    <row r="650" spans="1:39" ht="24.75" customHeight="1" x14ac:dyDescent="0.25">
      <c r="A650" s="243"/>
      <c r="B650" s="381"/>
      <c r="C650" s="381"/>
      <c r="D650" s="381"/>
      <c r="E650" s="381"/>
      <c r="F650" s="381"/>
      <c r="G650" s="381"/>
      <c r="H650" s="381"/>
      <c r="I650" s="382"/>
      <c r="J650" s="381" t="s">
        <v>280</v>
      </c>
      <c r="K650" s="245"/>
      <c r="L650" s="257"/>
      <c r="M650" s="591" t="s">
        <v>281</v>
      </c>
      <c r="N650" s="612"/>
      <c r="O650" s="179"/>
      <c r="P650" s="180"/>
      <c r="Q650" s="180">
        <v>1250000</v>
      </c>
      <c r="R650" s="181">
        <f t="shared" si="163"/>
        <v>0.37326246323364737</v>
      </c>
      <c r="S650" s="181">
        <v>100</v>
      </c>
      <c r="T650" s="180">
        <f t="shared" si="159"/>
        <v>0</v>
      </c>
      <c r="U650" s="180">
        <f t="shared" si="122"/>
        <v>0</v>
      </c>
      <c r="V650" s="182">
        <f t="shared" si="142"/>
        <v>100</v>
      </c>
      <c r="W650" s="180"/>
      <c r="X650" s="180"/>
      <c r="Y650" s="180"/>
      <c r="Z650" s="180"/>
      <c r="AA650" s="180"/>
      <c r="AB650" s="180"/>
      <c r="AC650" s="180"/>
      <c r="AD650" s="180"/>
      <c r="AE650" s="180"/>
      <c r="AF650" s="180"/>
      <c r="AG650" s="180"/>
      <c r="AH650" s="180"/>
      <c r="AI650" s="180">
        <v>0</v>
      </c>
      <c r="AJ650" s="181">
        <f t="shared" si="155"/>
        <v>0</v>
      </c>
      <c r="AK650" s="180">
        <f t="shared" si="161"/>
        <v>1250000</v>
      </c>
      <c r="AL650" s="181">
        <f t="shared" si="157"/>
        <v>100</v>
      </c>
      <c r="AM650" s="243"/>
    </row>
    <row r="651" spans="1:39" ht="24.75" customHeight="1" x14ac:dyDescent="0.25">
      <c r="A651" s="243"/>
      <c r="B651" s="381"/>
      <c r="C651" s="381"/>
      <c r="D651" s="381"/>
      <c r="E651" s="381"/>
      <c r="F651" s="381"/>
      <c r="G651" s="381"/>
      <c r="H651" s="381"/>
      <c r="I651" s="382"/>
      <c r="J651" s="381" t="s">
        <v>284</v>
      </c>
      <c r="K651" s="245"/>
      <c r="L651" s="257"/>
      <c r="M651" s="591" t="s">
        <v>285</v>
      </c>
      <c r="N651" s="592"/>
      <c r="O651" s="179"/>
      <c r="P651" s="180"/>
      <c r="Q651" s="180">
        <v>2000000</v>
      </c>
      <c r="R651" s="181">
        <f t="shared" si="163"/>
        <v>0.59721994117383581</v>
      </c>
      <c r="S651" s="181">
        <v>100</v>
      </c>
      <c r="T651" s="180">
        <f t="shared" si="159"/>
        <v>0</v>
      </c>
      <c r="U651" s="180">
        <f t="shared" si="122"/>
        <v>0</v>
      </c>
      <c r="V651" s="182">
        <f t="shared" si="142"/>
        <v>100</v>
      </c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>
        <v>0</v>
      </c>
      <c r="AJ651" s="181">
        <f t="shared" si="155"/>
        <v>0</v>
      </c>
      <c r="AK651" s="180">
        <f t="shared" si="161"/>
        <v>2000000</v>
      </c>
      <c r="AL651" s="181">
        <f t="shared" si="157"/>
        <v>100</v>
      </c>
      <c r="AM651" s="243"/>
    </row>
    <row r="652" spans="1:39" ht="24.75" customHeight="1" x14ac:dyDescent="0.25">
      <c r="A652" s="243"/>
      <c r="B652" s="381"/>
      <c r="C652" s="381"/>
      <c r="D652" s="381"/>
      <c r="E652" s="381"/>
      <c r="F652" s="381"/>
      <c r="G652" s="381"/>
      <c r="H652" s="381"/>
      <c r="I652" s="382"/>
      <c r="J652" s="381" t="s">
        <v>282</v>
      </c>
      <c r="K652" s="245"/>
      <c r="L652" s="257"/>
      <c r="M652" s="591" t="s">
        <v>283</v>
      </c>
      <c r="N652" s="592"/>
      <c r="O652" s="179"/>
      <c r="P652" s="180"/>
      <c r="Q652" s="180">
        <v>210000000</v>
      </c>
      <c r="R652" s="181">
        <f t="shared" si="163"/>
        <v>62.708093823252753</v>
      </c>
      <c r="S652" s="181">
        <v>100</v>
      </c>
      <c r="T652" s="180">
        <f t="shared" si="159"/>
        <v>0</v>
      </c>
      <c r="U652" s="180">
        <f t="shared" si="122"/>
        <v>0</v>
      </c>
      <c r="V652" s="182">
        <f t="shared" si="142"/>
        <v>100</v>
      </c>
      <c r="W652" s="180"/>
      <c r="X652" s="180"/>
      <c r="Y652" s="180"/>
      <c r="Z652" s="180"/>
      <c r="AA652" s="180"/>
      <c r="AB652" s="180"/>
      <c r="AC652" s="180"/>
      <c r="AD652" s="180"/>
      <c r="AE652" s="180"/>
      <c r="AF652" s="180"/>
      <c r="AG652" s="180"/>
      <c r="AH652" s="180"/>
      <c r="AI652" s="180">
        <v>0</v>
      </c>
      <c r="AJ652" s="181">
        <f t="shared" si="155"/>
        <v>0</v>
      </c>
      <c r="AK652" s="180">
        <f t="shared" si="161"/>
        <v>210000000</v>
      </c>
      <c r="AL652" s="181">
        <f t="shared" si="157"/>
        <v>100</v>
      </c>
      <c r="AM652" s="243"/>
    </row>
    <row r="653" spans="1:39" ht="24.75" customHeight="1" x14ac:dyDescent="0.25">
      <c r="A653" s="243"/>
      <c r="B653" s="381"/>
      <c r="C653" s="381"/>
      <c r="D653" s="381"/>
      <c r="E653" s="381"/>
      <c r="F653" s="381"/>
      <c r="G653" s="381"/>
      <c r="H653" s="381"/>
      <c r="I653" s="382"/>
      <c r="J653" s="381" t="s">
        <v>320</v>
      </c>
      <c r="K653" s="245"/>
      <c r="L653" s="257"/>
      <c r="M653" s="591" t="s">
        <v>321</v>
      </c>
      <c r="N653" s="592"/>
      <c r="O653" s="179"/>
      <c r="P653" s="180"/>
      <c r="Q653" s="180">
        <v>5600000</v>
      </c>
      <c r="R653" s="181">
        <f t="shared" si="163"/>
        <v>1.6722158352867402</v>
      </c>
      <c r="S653" s="181">
        <v>100</v>
      </c>
      <c r="T653" s="180">
        <f t="shared" si="159"/>
        <v>0</v>
      </c>
      <c r="U653" s="180">
        <f t="shared" si="122"/>
        <v>0</v>
      </c>
      <c r="V653" s="182">
        <f t="shared" si="142"/>
        <v>100</v>
      </c>
      <c r="W653" s="180"/>
      <c r="X653" s="180"/>
      <c r="Y653" s="180"/>
      <c r="Z653" s="180"/>
      <c r="AA653" s="180"/>
      <c r="AB653" s="180"/>
      <c r="AC653" s="180"/>
      <c r="AD653" s="180"/>
      <c r="AE653" s="180"/>
      <c r="AF653" s="180"/>
      <c r="AG653" s="180"/>
      <c r="AH653" s="180"/>
      <c r="AI653" s="180">
        <v>0</v>
      </c>
      <c r="AJ653" s="181">
        <f t="shared" si="155"/>
        <v>0</v>
      </c>
      <c r="AK653" s="180">
        <f t="shared" si="161"/>
        <v>5600000</v>
      </c>
      <c r="AL653" s="181">
        <f t="shared" si="157"/>
        <v>100</v>
      </c>
      <c r="AM653" s="243"/>
    </row>
    <row r="654" spans="1:39" ht="24.75" customHeight="1" x14ac:dyDescent="0.25">
      <c r="A654" s="243"/>
      <c r="B654" s="381"/>
      <c r="C654" s="381"/>
      <c r="D654" s="381"/>
      <c r="E654" s="381"/>
      <c r="F654" s="381"/>
      <c r="G654" s="381"/>
      <c r="H654" s="381"/>
      <c r="I654" s="382"/>
      <c r="J654" s="381" t="s">
        <v>407</v>
      </c>
      <c r="K654" s="245"/>
      <c r="L654" s="257"/>
      <c r="M654" s="591" t="s">
        <v>634</v>
      </c>
      <c r="N654" s="592"/>
      <c r="O654" s="179"/>
      <c r="P654" s="180"/>
      <c r="Q654" s="180">
        <v>4000000</v>
      </c>
      <c r="R654" s="181">
        <f t="shared" si="163"/>
        <v>1.1944398823476716</v>
      </c>
      <c r="S654" s="181">
        <v>100</v>
      </c>
      <c r="T654" s="180">
        <f t="shared" si="159"/>
        <v>0</v>
      </c>
      <c r="U654" s="180">
        <f t="shared" si="122"/>
        <v>0</v>
      </c>
      <c r="V654" s="182">
        <f t="shared" si="142"/>
        <v>100</v>
      </c>
      <c r="W654" s="180"/>
      <c r="X654" s="180"/>
      <c r="Y654" s="180"/>
      <c r="Z654" s="180"/>
      <c r="AA654" s="180"/>
      <c r="AB654" s="180"/>
      <c r="AC654" s="180"/>
      <c r="AD654" s="180"/>
      <c r="AE654" s="180"/>
      <c r="AF654" s="180"/>
      <c r="AG654" s="180"/>
      <c r="AH654" s="180"/>
      <c r="AI654" s="180">
        <v>0</v>
      </c>
      <c r="AJ654" s="181">
        <f t="shared" si="155"/>
        <v>0</v>
      </c>
      <c r="AK654" s="180">
        <f t="shared" si="161"/>
        <v>4000000</v>
      </c>
      <c r="AL654" s="181">
        <f t="shared" si="157"/>
        <v>100</v>
      </c>
      <c r="AM654" s="243"/>
    </row>
    <row r="655" spans="1:39" ht="24.75" customHeight="1" x14ac:dyDescent="0.25">
      <c r="A655" s="243"/>
      <c r="B655" s="381"/>
      <c r="C655" s="381"/>
      <c r="D655" s="381"/>
      <c r="E655" s="381"/>
      <c r="F655" s="381"/>
      <c r="G655" s="381"/>
      <c r="H655" s="381"/>
      <c r="I655" s="382"/>
      <c r="J655" s="381" t="s">
        <v>372</v>
      </c>
      <c r="K655" s="245"/>
      <c r="L655" s="257"/>
      <c r="M655" s="591" t="s">
        <v>373</v>
      </c>
      <c r="N655" s="592"/>
      <c r="O655" s="179"/>
      <c r="P655" s="180"/>
      <c r="Q655" s="180">
        <v>15000000</v>
      </c>
      <c r="R655" s="181">
        <f t="shared" si="163"/>
        <v>4.4791495588037682</v>
      </c>
      <c r="S655" s="181">
        <v>100</v>
      </c>
      <c r="T655" s="180">
        <f t="shared" si="159"/>
        <v>0</v>
      </c>
      <c r="U655" s="180">
        <f t="shared" si="122"/>
        <v>0</v>
      </c>
      <c r="V655" s="182">
        <f t="shared" si="142"/>
        <v>100</v>
      </c>
      <c r="W655" s="180"/>
      <c r="X655" s="180"/>
      <c r="Y655" s="180"/>
      <c r="Z655" s="180"/>
      <c r="AA655" s="180"/>
      <c r="AB655" s="180"/>
      <c r="AC655" s="180"/>
      <c r="AD655" s="180"/>
      <c r="AE655" s="180"/>
      <c r="AF655" s="180"/>
      <c r="AG655" s="180"/>
      <c r="AH655" s="180"/>
      <c r="AI655" s="180">
        <v>0</v>
      </c>
      <c r="AJ655" s="181">
        <f t="shared" si="155"/>
        <v>0</v>
      </c>
      <c r="AK655" s="180">
        <f t="shared" si="161"/>
        <v>15000000</v>
      </c>
      <c r="AL655" s="181">
        <f t="shared" si="157"/>
        <v>100</v>
      </c>
      <c r="AM655" s="243"/>
    </row>
    <row r="656" spans="1:39" s="297" customFormat="1" ht="28.5" customHeight="1" x14ac:dyDescent="0.25">
      <c r="A656" s="227">
        <v>78</v>
      </c>
      <c r="B656" s="393"/>
      <c r="C656" s="393"/>
      <c r="D656" s="393"/>
      <c r="E656" s="393"/>
      <c r="F656" s="393"/>
      <c r="G656" s="393"/>
      <c r="H656" s="393"/>
      <c r="I656" s="394"/>
      <c r="J656" s="304" t="s">
        <v>530</v>
      </c>
      <c r="K656" s="230"/>
      <c r="L656" s="294"/>
      <c r="M656" s="610" t="s">
        <v>210</v>
      </c>
      <c r="N656" s="610"/>
      <c r="O656" s="309"/>
      <c r="P656" s="231"/>
      <c r="Q656" s="231">
        <f>SUM(Q657:Q669)</f>
        <v>221952061</v>
      </c>
      <c r="R656" s="233">
        <f>Q656/Q$35*100</f>
        <v>0.69826432176742415</v>
      </c>
      <c r="S656" s="233">
        <v>100</v>
      </c>
      <c r="T656" s="231">
        <f t="shared" si="159"/>
        <v>0</v>
      </c>
      <c r="U656" s="231">
        <f t="shared" si="122"/>
        <v>0</v>
      </c>
      <c r="V656" s="296">
        <f t="shared" si="142"/>
        <v>100</v>
      </c>
      <c r="W656" s="231"/>
      <c r="X656" s="231"/>
      <c r="Y656" s="231"/>
      <c r="Z656" s="231"/>
      <c r="AA656" s="231"/>
      <c r="AB656" s="231"/>
      <c r="AC656" s="231"/>
      <c r="AD656" s="231"/>
      <c r="AE656" s="231"/>
      <c r="AF656" s="231"/>
      <c r="AG656" s="231"/>
      <c r="AH656" s="231"/>
      <c r="AI656" s="231">
        <f>SUM(AI657:AI669)</f>
        <v>0</v>
      </c>
      <c r="AJ656" s="233">
        <f t="shared" si="155"/>
        <v>0</v>
      </c>
      <c r="AK656" s="231">
        <f t="shared" si="161"/>
        <v>221952061</v>
      </c>
      <c r="AL656" s="233">
        <f t="shared" si="157"/>
        <v>100</v>
      </c>
      <c r="AM656" s="227"/>
    </row>
    <row r="657" spans="1:39" ht="28.5" customHeight="1" x14ac:dyDescent="0.25">
      <c r="A657" s="243"/>
      <c r="B657" s="381"/>
      <c r="C657" s="381"/>
      <c r="D657" s="381"/>
      <c r="E657" s="381"/>
      <c r="F657" s="381"/>
      <c r="G657" s="381"/>
      <c r="H657" s="381"/>
      <c r="I657" s="382"/>
      <c r="J657" s="381" t="s">
        <v>259</v>
      </c>
      <c r="K657" s="245"/>
      <c r="L657" s="257"/>
      <c r="M657" s="591" t="s">
        <v>260</v>
      </c>
      <c r="N657" s="592"/>
      <c r="O657" s="179"/>
      <c r="P657" s="180"/>
      <c r="Q657" s="180">
        <v>650000</v>
      </c>
      <c r="R657" s="181">
        <f t="shared" ref="R657:R669" si="164">Q657/Q$656*100</f>
        <v>0.29285603254659576</v>
      </c>
      <c r="S657" s="181">
        <v>100</v>
      </c>
      <c r="T657" s="180">
        <f t="shared" si="159"/>
        <v>0</v>
      </c>
      <c r="U657" s="180">
        <f t="shared" si="122"/>
        <v>0</v>
      </c>
      <c r="V657" s="182">
        <f t="shared" si="142"/>
        <v>100</v>
      </c>
      <c r="W657" s="180"/>
      <c r="X657" s="180"/>
      <c r="Y657" s="180"/>
      <c r="Z657" s="180"/>
      <c r="AA657" s="180"/>
      <c r="AB657" s="180"/>
      <c r="AC657" s="180"/>
      <c r="AD657" s="180"/>
      <c r="AE657" s="180"/>
      <c r="AF657" s="180"/>
      <c r="AG657" s="180"/>
      <c r="AH657" s="180"/>
      <c r="AI657" s="180">
        <v>0</v>
      </c>
      <c r="AJ657" s="181">
        <f t="shared" si="155"/>
        <v>0</v>
      </c>
      <c r="AK657" s="180">
        <f t="shared" si="161"/>
        <v>650000</v>
      </c>
      <c r="AL657" s="181">
        <f t="shared" si="157"/>
        <v>100</v>
      </c>
      <c r="AM657" s="243"/>
    </row>
    <row r="658" spans="1:39" ht="28.5" customHeight="1" x14ac:dyDescent="0.25">
      <c r="A658" s="243"/>
      <c r="B658" s="381"/>
      <c r="C658" s="381"/>
      <c r="D658" s="381"/>
      <c r="E658" s="381"/>
      <c r="F658" s="381"/>
      <c r="G658" s="381"/>
      <c r="H658" s="381"/>
      <c r="I658" s="382"/>
      <c r="J658" s="381" t="s">
        <v>375</v>
      </c>
      <c r="K658" s="245"/>
      <c r="L658" s="257"/>
      <c r="M658" s="611" t="s">
        <v>376</v>
      </c>
      <c r="N658" s="598"/>
      <c r="O658" s="179"/>
      <c r="P658" s="180"/>
      <c r="Q658" s="180">
        <v>124500000</v>
      </c>
      <c r="R658" s="181">
        <f t="shared" si="164"/>
        <v>56.093193926232566</v>
      </c>
      <c r="S658" s="181">
        <v>100</v>
      </c>
      <c r="T658" s="180">
        <f t="shared" si="159"/>
        <v>0</v>
      </c>
      <c r="U658" s="180">
        <f t="shared" si="122"/>
        <v>0</v>
      </c>
      <c r="V658" s="182">
        <f t="shared" si="142"/>
        <v>100</v>
      </c>
      <c r="W658" s="180"/>
      <c r="X658" s="180"/>
      <c r="Y658" s="180"/>
      <c r="Z658" s="180"/>
      <c r="AA658" s="180"/>
      <c r="AB658" s="180"/>
      <c r="AC658" s="180"/>
      <c r="AD658" s="180"/>
      <c r="AE658" s="180"/>
      <c r="AF658" s="180"/>
      <c r="AG658" s="180"/>
      <c r="AH658" s="180"/>
      <c r="AI658" s="180">
        <v>0</v>
      </c>
      <c r="AJ658" s="181">
        <f t="shared" si="155"/>
        <v>0</v>
      </c>
      <c r="AK658" s="180">
        <f t="shared" si="161"/>
        <v>124500000</v>
      </c>
      <c r="AL658" s="181">
        <f t="shared" si="157"/>
        <v>100</v>
      </c>
      <c r="AM658" s="243"/>
    </row>
    <row r="659" spans="1:39" ht="28.5" customHeight="1" x14ac:dyDescent="0.25">
      <c r="A659" s="243"/>
      <c r="B659" s="381"/>
      <c r="C659" s="381"/>
      <c r="D659" s="381"/>
      <c r="E659" s="381"/>
      <c r="F659" s="381"/>
      <c r="G659" s="381"/>
      <c r="H659" s="381"/>
      <c r="I659" s="382"/>
      <c r="J659" s="381" t="s">
        <v>267</v>
      </c>
      <c r="K659" s="245"/>
      <c r="L659" s="257"/>
      <c r="M659" s="591" t="s">
        <v>268</v>
      </c>
      <c r="N659" s="592"/>
      <c r="O659" s="179"/>
      <c r="P659" s="180"/>
      <c r="Q659" s="180">
        <v>12500000</v>
      </c>
      <c r="R659" s="181">
        <f t="shared" si="164"/>
        <v>5.6318467797422258</v>
      </c>
      <c r="S659" s="181">
        <v>100</v>
      </c>
      <c r="T659" s="180">
        <f t="shared" si="159"/>
        <v>0</v>
      </c>
      <c r="U659" s="180">
        <f t="shared" si="122"/>
        <v>0</v>
      </c>
      <c r="V659" s="182">
        <f t="shared" si="142"/>
        <v>100</v>
      </c>
      <c r="W659" s="180"/>
      <c r="X659" s="180"/>
      <c r="Y659" s="180"/>
      <c r="Z659" s="180"/>
      <c r="AA659" s="180"/>
      <c r="AB659" s="180"/>
      <c r="AC659" s="180"/>
      <c r="AD659" s="180"/>
      <c r="AE659" s="180"/>
      <c r="AF659" s="180"/>
      <c r="AG659" s="180"/>
      <c r="AH659" s="180"/>
      <c r="AI659" s="180">
        <v>0</v>
      </c>
      <c r="AJ659" s="181">
        <f t="shared" si="155"/>
        <v>0</v>
      </c>
      <c r="AK659" s="180">
        <f t="shared" si="161"/>
        <v>12500000</v>
      </c>
      <c r="AL659" s="181">
        <f t="shared" si="157"/>
        <v>100</v>
      </c>
      <c r="AM659" s="243"/>
    </row>
    <row r="660" spans="1:39" ht="28.5" customHeight="1" x14ac:dyDescent="0.25">
      <c r="A660" s="243"/>
      <c r="B660" s="381"/>
      <c r="C660" s="381"/>
      <c r="D660" s="381"/>
      <c r="E660" s="381"/>
      <c r="F660" s="381"/>
      <c r="G660" s="381"/>
      <c r="H660" s="381"/>
      <c r="I660" s="382"/>
      <c r="J660" s="381" t="s">
        <v>332</v>
      </c>
      <c r="K660" s="245"/>
      <c r="L660" s="257"/>
      <c r="M660" s="591" t="s">
        <v>351</v>
      </c>
      <c r="N660" s="592"/>
      <c r="O660" s="179"/>
      <c r="P660" s="180"/>
      <c r="Q660" s="180">
        <v>500000</v>
      </c>
      <c r="R660" s="181">
        <f t="shared" si="164"/>
        <v>0.22527387118968903</v>
      </c>
      <c r="S660" s="181">
        <v>100</v>
      </c>
      <c r="T660" s="180">
        <f t="shared" si="159"/>
        <v>0</v>
      </c>
      <c r="U660" s="180">
        <f t="shared" si="122"/>
        <v>0</v>
      </c>
      <c r="V660" s="182">
        <f t="shared" si="142"/>
        <v>100</v>
      </c>
      <c r="W660" s="180"/>
      <c r="X660" s="180"/>
      <c r="Y660" s="180"/>
      <c r="Z660" s="180"/>
      <c r="AA660" s="180"/>
      <c r="AB660" s="180"/>
      <c r="AC660" s="180"/>
      <c r="AD660" s="180"/>
      <c r="AE660" s="180"/>
      <c r="AF660" s="180"/>
      <c r="AG660" s="180"/>
      <c r="AH660" s="180"/>
      <c r="AI660" s="180">
        <v>0</v>
      </c>
      <c r="AJ660" s="181">
        <f t="shared" si="155"/>
        <v>0</v>
      </c>
      <c r="AK660" s="180">
        <f t="shared" si="161"/>
        <v>500000</v>
      </c>
      <c r="AL660" s="181">
        <f t="shared" si="157"/>
        <v>100</v>
      </c>
      <c r="AM660" s="243"/>
    </row>
    <row r="661" spans="1:39" ht="28.5" customHeight="1" x14ac:dyDescent="0.25">
      <c r="A661" s="243"/>
      <c r="B661" s="381"/>
      <c r="C661" s="381"/>
      <c r="D661" s="381"/>
      <c r="E661" s="381"/>
      <c r="F661" s="381"/>
      <c r="G661" s="381"/>
      <c r="H661" s="381"/>
      <c r="I661" s="382"/>
      <c r="J661" s="381" t="s">
        <v>315</v>
      </c>
      <c r="K661" s="245"/>
      <c r="L661" s="257"/>
      <c r="M661" s="591" t="s">
        <v>271</v>
      </c>
      <c r="N661" s="592"/>
      <c r="O661" s="179"/>
      <c r="P661" s="180"/>
      <c r="Q661" s="180">
        <v>977061</v>
      </c>
      <c r="R661" s="181">
        <f t="shared" si="164"/>
        <v>0.44021262771693753</v>
      </c>
      <c r="S661" s="181">
        <v>100</v>
      </c>
      <c r="T661" s="180">
        <f t="shared" si="159"/>
        <v>0</v>
      </c>
      <c r="U661" s="180">
        <f t="shared" si="122"/>
        <v>0</v>
      </c>
      <c r="V661" s="182">
        <f t="shared" si="142"/>
        <v>100</v>
      </c>
      <c r="W661" s="180"/>
      <c r="X661" s="180"/>
      <c r="Y661" s="180"/>
      <c r="Z661" s="180"/>
      <c r="AA661" s="180"/>
      <c r="AB661" s="180"/>
      <c r="AC661" s="180"/>
      <c r="AD661" s="180"/>
      <c r="AE661" s="180"/>
      <c r="AF661" s="180"/>
      <c r="AG661" s="180"/>
      <c r="AH661" s="180"/>
      <c r="AI661" s="180">
        <v>0</v>
      </c>
      <c r="AJ661" s="181">
        <f t="shared" si="155"/>
        <v>0</v>
      </c>
      <c r="AK661" s="180">
        <f t="shared" si="161"/>
        <v>977061</v>
      </c>
      <c r="AL661" s="181">
        <f t="shared" si="157"/>
        <v>100</v>
      </c>
      <c r="AM661" s="243"/>
    </row>
    <row r="662" spans="1:39" ht="28.5" customHeight="1" x14ac:dyDescent="0.25">
      <c r="A662" s="243"/>
      <c r="B662" s="381"/>
      <c r="C662" s="381"/>
      <c r="D662" s="381"/>
      <c r="E662" s="381"/>
      <c r="F662" s="381"/>
      <c r="G662" s="381"/>
      <c r="H662" s="381"/>
      <c r="I662" s="382"/>
      <c r="J662" s="381" t="s">
        <v>316</v>
      </c>
      <c r="K662" s="245"/>
      <c r="L662" s="257"/>
      <c r="M662" s="591" t="s">
        <v>317</v>
      </c>
      <c r="N662" s="592"/>
      <c r="O662" s="179"/>
      <c r="P662" s="180"/>
      <c r="Q662" s="180">
        <v>400000</v>
      </c>
      <c r="R662" s="181">
        <f t="shared" si="164"/>
        <v>0.18021909695175123</v>
      </c>
      <c r="S662" s="181">
        <v>100</v>
      </c>
      <c r="T662" s="180">
        <f t="shared" si="159"/>
        <v>0</v>
      </c>
      <c r="U662" s="180">
        <f t="shared" si="122"/>
        <v>0</v>
      </c>
      <c r="V662" s="182">
        <f t="shared" si="142"/>
        <v>100</v>
      </c>
      <c r="W662" s="180"/>
      <c r="X662" s="180"/>
      <c r="Y662" s="180"/>
      <c r="Z662" s="180"/>
      <c r="AA662" s="180"/>
      <c r="AB662" s="180"/>
      <c r="AC662" s="180"/>
      <c r="AD662" s="180"/>
      <c r="AE662" s="180"/>
      <c r="AF662" s="180"/>
      <c r="AG662" s="180"/>
      <c r="AH662" s="180"/>
      <c r="AI662" s="180">
        <v>0</v>
      </c>
      <c r="AJ662" s="181">
        <f t="shared" si="155"/>
        <v>0</v>
      </c>
      <c r="AK662" s="180">
        <f t="shared" si="161"/>
        <v>400000</v>
      </c>
      <c r="AL662" s="181">
        <f t="shared" si="157"/>
        <v>100</v>
      </c>
      <c r="AM662" s="243"/>
    </row>
    <row r="663" spans="1:39" ht="28.5" customHeight="1" x14ac:dyDescent="0.25">
      <c r="A663" s="243"/>
      <c r="B663" s="381"/>
      <c r="C663" s="381"/>
      <c r="D663" s="381"/>
      <c r="E663" s="381"/>
      <c r="F663" s="381"/>
      <c r="G663" s="381"/>
      <c r="H663" s="381"/>
      <c r="I663" s="382"/>
      <c r="J663" s="381" t="s">
        <v>318</v>
      </c>
      <c r="K663" s="245"/>
      <c r="L663" s="257"/>
      <c r="M663" s="591" t="s">
        <v>319</v>
      </c>
      <c r="N663" s="592"/>
      <c r="O663" s="179"/>
      <c r="P663" s="180"/>
      <c r="Q663" s="180">
        <v>35000000</v>
      </c>
      <c r="R663" s="181">
        <f t="shared" si="164"/>
        <v>15.769170983278229</v>
      </c>
      <c r="S663" s="181">
        <v>100</v>
      </c>
      <c r="T663" s="180">
        <f t="shared" si="159"/>
        <v>0</v>
      </c>
      <c r="U663" s="180">
        <f t="shared" si="122"/>
        <v>0</v>
      </c>
      <c r="V663" s="182">
        <f t="shared" si="142"/>
        <v>100</v>
      </c>
      <c r="W663" s="180"/>
      <c r="X663" s="180"/>
      <c r="Y663" s="180"/>
      <c r="Z663" s="180"/>
      <c r="AA663" s="180"/>
      <c r="AB663" s="180"/>
      <c r="AC663" s="180"/>
      <c r="AD663" s="180"/>
      <c r="AE663" s="180"/>
      <c r="AF663" s="180"/>
      <c r="AG663" s="180"/>
      <c r="AH663" s="180"/>
      <c r="AI663" s="180">
        <v>0</v>
      </c>
      <c r="AJ663" s="181">
        <f t="shared" si="155"/>
        <v>0</v>
      </c>
      <c r="AK663" s="180">
        <f t="shared" si="161"/>
        <v>35000000</v>
      </c>
      <c r="AL663" s="181">
        <f t="shared" si="157"/>
        <v>100</v>
      </c>
      <c r="AM663" s="243"/>
    </row>
    <row r="664" spans="1:39" ht="28.5" customHeight="1" x14ac:dyDescent="0.25">
      <c r="A664" s="243"/>
      <c r="B664" s="381"/>
      <c r="C664" s="381"/>
      <c r="D664" s="381"/>
      <c r="E664" s="381"/>
      <c r="F664" s="381"/>
      <c r="G664" s="381"/>
      <c r="H664" s="381"/>
      <c r="I664" s="382"/>
      <c r="J664" s="381" t="s">
        <v>280</v>
      </c>
      <c r="K664" s="245"/>
      <c r="L664" s="257"/>
      <c r="M664" s="591" t="s">
        <v>281</v>
      </c>
      <c r="N664" s="592"/>
      <c r="O664" s="179"/>
      <c r="P664" s="180"/>
      <c r="Q664" s="180">
        <v>1250000</v>
      </c>
      <c r="R664" s="181">
        <f t="shared" si="164"/>
        <v>0.56318467797422256</v>
      </c>
      <c r="S664" s="181">
        <v>100</v>
      </c>
      <c r="T664" s="180">
        <f t="shared" si="159"/>
        <v>0</v>
      </c>
      <c r="U664" s="180">
        <f t="shared" si="122"/>
        <v>0</v>
      </c>
      <c r="V664" s="182">
        <f t="shared" si="142"/>
        <v>100</v>
      </c>
      <c r="W664" s="180"/>
      <c r="X664" s="180"/>
      <c r="Y664" s="180"/>
      <c r="Z664" s="180"/>
      <c r="AA664" s="180"/>
      <c r="AB664" s="180"/>
      <c r="AC664" s="180"/>
      <c r="AD664" s="180"/>
      <c r="AE664" s="180"/>
      <c r="AF664" s="180"/>
      <c r="AG664" s="180"/>
      <c r="AH664" s="180"/>
      <c r="AI664" s="180">
        <v>0</v>
      </c>
      <c r="AJ664" s="181">
        <f t="shared" si="155"/>
        <v>0</v>
      </c>
      <c r="AK664" s="180">
        <f t="shared" si="161"/>
        <v>1250000</v>
      </c>
      <c r="AL664" s="181">
        <f t="shared" si="157"/>
        <v>100</v>
      </c>
      <c r="AM664" s="243"/>
    </row>
    <row r="665" spans="1:39" ht="28.5" customHeight="1" x14ac:dyDescent="0.25">
      <c r="A665" s="243"/>
      <c r="B665" s="381"/>
      <c r="C665" s="381"/>
      <c r="D665" s="381"/>
      <c r="E665" s="381"/>
      <c r="F665" s="381"/>
      <c r="G665" s="381"/>
      <c r="H665" s="381"/>
      <c r="I665" s="382"/>
      <c r="J665" s="381" t="s">
        <v>284</v>
      </c>
      <c r="K665" s="245"/>
      <c r="L665" s="257"/>
      <c r="M665" s="591" t="s">
        <v>285</v>
      </c>
      <c r="N665" s="592"/>
      <c r="O665" s="179"/>
      <c r="P665" s="180"/>
      <c r="Q665" s="180">
        <v>2925000</v>
      </c>
      <c r="R665" s="181">
        <f t="shared" si="164"/>
        <v>1.3178521464596809</v>
      </c>
      <c r="S665" s="181">
        <v>100</v>
      </c>
      <c r="T665" s="180">
        <f t="shared" si="159"/>
        <v>0</v>
      </c>
      <c r="U665" s="180">
        <f t="shared" si="122"/>
        <v>0</v>
      </c>
      <c r="V665" s="182">
        <f t="shared" si="142"/>
        <v>100</v>
      </c>
      <c r="W665" s="180"/>
      <c r="X665" s="180"/>
      <c r="Y665" s="180"/>
      <c r="Z665" s="180"/>
      <c r="AA665" s="180"/>
      <c r="AB665" s="180"/>
      <c r="AC665" s="180"/>
      <c r="AD665" s="180"/>
      <c r="AE665" s="180"/>
      <c r="AF665" s="180"/>
      <c r="AG665" s="180"/>
      <c r="AH665" s="180"/>
      <c r="AI665" s="180">
        <v>0</v>
      </c>
      <c r="AJ665" s="181">
        <f t="shared" si="155"/>
        <v>0</v>
      </c>
      <c r="AK665" s="180">
        <f t="shared" si="161"/>
        <v>2925000</v>
      </c>
      <c r="AL665" s="181">
        <f t="shared" si="157"/>
        <v>100</v>
      </c>
      <c r="AM665" s="243"/>
    </row>
    <row r="666" spans="1:39" ht="28.5" customHeight="1" x14ac:dyDescent="0.25">
      <c r="A666" s="243"/>
      <c r="B666" s="381"/>
      <c r="C666" s="381"/>
      <c r="D666" s="381"/>
      <c r="E666" s="381"/>
      <c r="F666" s="381"/>
      <c r="G666" s="381"/>
      <c r="H666" s="381"/>
      <c r="I666" s="382"/>
      <c r="J666" s="381" t="s">
        <v>282</v>
      </c>
      <c r="K666" s="245"/>
      <c r="L666" s="257"/>
      <c r="M666" s="591" t="s">
        <v>283</v>
      </c>
      <c r="N666" s="592"/>
      <c r="O666" s="179"/>
      <c r="P666" s="180"/>
      <c r="Q666" s="180">
        <v>21300000</v>
      </c>
      <c r="R666" s="181">
        <f t="shared" si="164"/>
        <v>9.5966669126807531</v>
      </c>
      <c r="S666" s="181">
        <v>100</v>
      </c>
      <c r="T666" s="180">
        <f t="shared" si="159"/>
        <v>0</v>
      </c>
      <c r="U666" s="180">
        <f t="shared" si="122"/>
        <v>0</v>
      </c>
      <c r="V666" s="182">
        <f t="shared" si="142"/>
        <v>100</v>
      </c>
      <c r="W666" s="180"/>
      <c r="X666" s="180"/>
      <c r="Y666" s="180"/>
      <c r="Z666" s="180"/>
      <c r="AA666" s="180"/>
      <c r="AB666" s="180"/>
      <c r="AC666" s="180"/>
      <c r="AD666" s="180"/>
      <c r="AE666" s="180"/>
      <c r="AF666" s="180"/>
      <c r="AG666" s="180"/>
      <c r="AH666" s="180"/>
      <c r="AI666" s="180">
        <v>0</v>
      </c>
      <c r="AJ666" s="181">
        <f t="shared" si="155"/>
        <v>0</v>
      </c>
      <c r="AK666" s="180">
        <f t="shared" si="161"/>
        <v>21300000</v>
      </c>
      <c r="AL666" s="181">
        <f t="shared" si="157"/>
        <v>100</v>
      </c>
      <c r="AM666" s="243"/>
    </row>
    <row r="667" spans="1:39" ht="28.5" customHeight="1" x14ac:dyDescent="0.25">
      <c r="A667" s="243"/>
      <c r="B667" s="381"/>
      <c r="C667" s="381"/>
      <c r="D667" s="381"/>
      <c r="E667" s="381"/>
      <c r="F667" s="381"/>
      <c r="G667" s="381"/>
      <c r="H667" s="381"/>
      <c r="I667" s="382"/>
      <c r="J667" s="381" t="s">
        <v>320</v>
      </c>
      <c r="K667" s="245"/>
      <c r="L667" s="257"/>
      <c r="M667" s="591" t="s">
        <v>321</v>
      </c>
      <c r="N667" s="592"/>
      <c r="O667" s="179"/>
      <c r="P667" s="180"/>
      <c r="Q667" s="180">
        <v>4300000</v>
      </c>
      <c r="R667" s="181">
        <f t="shared" si="164"/>
        <v>1.9373552922313255</v>
      </c>
      <c r="S667" s="181">
        <v>100</v>
      </c>
      <c r="T667" s="180">
        <f t="shared" si="159"/>
        <v>0</v>
      </c>
      <c r="U667" s="180">
        <f t="shared" si="122"/>
        <v>0</v>
      </c>
      <c r="V667" s="182">
        <f t="shared" si="142"/>
        <v>100</v>
      </c>
      <c r="W667" s="180"/>
      <c r="X667" s="180"/>
      <c r="Y667" s="180"/>
      <c r="Z667" s="180"/>
      <c r="AA667" s="180"/>
      <c r="AB667" s="180"/>
      <c r="AC667" s="180"/>
      <c r="AD667" s="180"/>
      <c r="AE667" s="180"/>
      <c r="AF667" s="180"/>
      <c r="AG667" s="180"/>
      <c r="AH667" s="180"/>
      <c r="AI667" s="180">
        <v>0</v>
      </c>
      <c r="AJ667" s="181">
        <f t="shared" si="155"/>
        <v>0</v>
      </c>
      <c r="AK667" s="180">
        <f t="shared" si="161"/>
        <v>4300000</v>
      </c>
      <c r="AL667" s="181">
        <f t="shared" si="157"/>
        <v>100</v>
      </c>
      <c r="AM667" s="243"/>
    </row>
    <row r="668" spans="1:39" ht="28.5" customHeight="1" x14ac:dyDescent="0.25">
      <c r="A668" s="243"/>
      <c r="B668" s="381"/>
      <c r="C668" s="381"/>
      <c r="D668" s="381"/>
      <c r="E668" s="381"/>
      <c r="F668" s="381"/>
      <c r="G668" s="381"/>
      <c r="H668" s="381"/>
      <c r="I668" s="382"/>
      <c r="J668" s="381" t="s">
        <v>407</v>
      </c>
      <c r="K668" s="245"/>
      <c r="L668" s="257"/>
      <c r="M668" s="591" t="s">
        <v>607</v>
      </c>
      <c r="N668" s="592"/>
      <c r="O668" s="179"/>
      <c r="P668" s="180"/>
      <c r="Q668" s="180">
        <v>2650000</v>
      </c>
      <c r="R668" s="181">
        <f t="shared" si="164"/>
        <v>1.1939515173053519</v>
      </c>
      <c r="S668" s="181">
        <v>100</v>
      </c>
      <c r="T668" s="180">
        <f t="shared" si="159"/>
        <v>0</v>
      </c>
      <c r="U668" s="180">
        <f t="shared" si="122"/>
        <v>0</v>
      </c>
      <c r="V668" s="182">
        <f t="shared" si="142"/>
        <v>100</v>
      </c>
      <c r="W668" s="180"/>
      <c r="X668" s="180"/>
      <c r="Y668" s="180"/>
      <c r="Z668" s="180"/>
      <c r="AA668" s="180"/>
      <c r="AB668" s="180"/>
      <c r="AC668" s="180"/>
      <c r="AD668" s="180"/>
      <c r="AE668" s="180"/>
      <c r="AF668" s="180"/>
      <c r="AG668" s="180"/>
      <c r="AH668" s="180"/>
      <c r="AI668" s="180">
        <v>0</v>
      </c>
      <c r="AJ668" s="181">
        <f t="shared" si="155"/>
        <v>0</v>
      </c>
      <c r="AK668" s="180">
        <f t="shared" si="161"/>
        <v>2650000</v>
      </c>
      <c r="AL668" s="181">
        <f t="shared" si="157"/>
        <v>100</v>
      </c>
      <c r="AM668" s="243"/>
    </row>
    <row r="669" spans="1:39" ht="28.5" customHeight="1" x14ac:dyDescent="0.25">
      <c r="A669" s="243"/>
      <c r="B669" s="381"/>
      <c r="C669" s="381"/>
      <c r="D669" s="381"/>
      <c r="E669" s="381"/>
      <c r="F669" s="381"/>
      <c r="G669" s="381"/>
      <c r="H669" s="381"/>
      <c r="I669" s="382"/>
      <c r="J669" s="381" t="s">
        <v>372</v>
      </c>
      <c r="K669" s="245"/>
      <c r="L669" s="257"/>
      <c r="M669" s="591" t="s">
        <v>373</v>
      </c>
      <c r="N669" s="592"/>
      <c r="O669" s="179"/>
      <c r="P669" s="180"/>
      <c r="Q669" s="180">
        <v>15000000</v>
      </c>
      <c r="R669" s="181">
        <f t="shared" si="164"/>
        <v>6.7582161356906703</v>
      </c>
      <c r="S669" s="181">
        <v>100</v>
      </c>
      <c r="T669" s="180">
        <f t="shared" si="159"/>
        <v>0</v>
      </c>
      <c r="U669" s="180">
        <f t="shared" si="122"/>
        <v>0</v>
      </c>
      <c r="V669" s="182">
        <v>100</v>
      </c>
      <c r="W669" s="180"/>
      <c r="X669" s="180"/>
      <c r="Y669" s="180"/>
      <c r="Z669" s="180"/>
      <c r="AA669" s="180"/>
      <c r="AB669" s="180"/>
      <c r="AC669" s="180"/>
      <c r="AD669" s="180"/>
      <c r="AE669" s="180"/>
      <c r="AF669" s="180"/>
      <c r="AG669" s="180"/>
      <c r="AH669" s="180"/>
      <c r="AI669" s="180">
        <v>0</v>
      </c>
      <c r="AJ669" s="181">
        <f t="shared" si="155"/>
        <v>0</v>
      </c>
      <c r="AK669" s="180">
        <f t="shared" si="161"/>
        <v>15000000</v>
      </c>
      <c r="AL669" s="181">
        <f t="shared" si="157"/>
        <v>100</v>
      </c>
      <c r="AM669" s="243"/>
    </row>
    <row r="670" spans="1:39" s="297" customFormat="1" ht="28.5" customHeight="1" x14ac:dyDescent="0.25">
      <c r="A670" s="227">
        <f>SUM(A656+1)</f>
        <v>79</v>
      </c>
      <c r="B670" s="393"/>
      <c r="C670" s="393"/>
      <c r="D670" s="393"/>
      <c r="E670" s="393"/>
      <c r="F670" s="393"/>
      <c r="G670" s="393"/>
      <c r="H670" s="393"/>
      <c r="I670" s="394"/>
      <c r="J670" s="393" t="s">
        <v>377</v>
      </c>
      <c r="K670" s="230"/>
      <c r="L670" s="294"/>
      <c r="M670" s="610" t="s">
        <v>378</v>
      </c>
      <c r="N670" s="610"/>
      <c r="O670" s="309">
        <v>355300000</v>
      </c>
      <c r="P670" s="231">
        <v>0</v>
      </c>
      <c r="Q670" s="231">
        <f>SUM(Q671:Q675)</f>
        <v>88840644</v>
      </c>
      <c r="R670" s="233">
        <f>Q670/Q$35*100</f>
        <v>0.27949392201427309</v>
      </c>
      <c r="S670" s="233">
        <v>100</v>
      </c>
      <c r="T670" s="231">
        <f t="shared" si="159"/>
        <v>24.144354469109881</v>
      </c>
      <c r="U670" s="231">
        <f>R670*T670/100</f>
        <v>6.7482003250743633E-2</v>
      </c>
      <c r="V670" s="296">
        <f t="shared" si="142"/>
        <v>75.855645530890115</v>
      </c>
      <c r="W670" s="231"/>
      <c r="X670" s="231"/>
      <c r="Y670" s="231"/>
      <c r="Z670" s="231"/>
      <c r="AA670" s="231"/>
      <c r="AB670" s="231"/>
      <c r="AC670" s="231"/>
      <c r="AD670" s="231"/>
      <c r="AE670" s="231"/>
      <c r="AF670" s="231"/>
      <c r="AG670" s="231" t="e">
        <f>[2]april!N78</f>
        <v>#REF!</v>
      </c>
      <c r="AH670" s="231">
        <f>'[3]DES SKPD'!$N78</f>
        <v>0</v>
      </c>
      <c r="AI670" s="231">
        <f>SUM(AI671:AI675)</f>
        <v>21450000</v>
      </c>
      <c r="AJ670" s="233">
        <f t="shared" si="155"/>
        <v>24.144354469109881</v>
      </c>
      <c r="AK670" s="231">
        <f t="shared" si="161"/>
        <v>67390644</v>
      </c>
      <c r="AL670" s="233">
        <f t="shared" si="157"/>
        <v>75.855645530890115</v>
      </c>
      <c r="AM670" s="227"/>
    </row>
    <row r="671" spans="1:39" ht="28.5" customHeight="1" x14ac:dyDescent="0.25">
      <c r="A671" s="243"/>
      <c r="B671" s="381"/>
      <c r="C671" s="381"/>
      <c r="D671" s="381"/>
      <c r="E671" s="381"/>
      <c r="F671" s="381"/>
      <c r="G671" s="381"/>
      <c r="H671" s="381"/>
      <c r="I671" s="382"/>
      <c r="J671" s="381" t="s">
        <v>323</v>
      </c>
      <c r="K671" s="245"/>
      <c r="L671" s="257"/>
      <c r="M671" s="591" t="s">
        <v>324</v>
      </c>
      <c r="N671" s="592"/>
      <c r="O671" s="179"/>
      <c r="P671" s="180"/>
      <c r="Q671" s="180">
        <v>25000000</v>
      </c>
      <c r="R671" s="181">
        <f>Q671/Q$670*100</f>
        <v>28.140273274020842</v>
      </c>
      <c r="S671" s="181">
        <v>100</v>
      </c>
      <c r="T671" s="180">
        <f t="shared" si="159"/>
        <v>40</v>
      </c>
      <c r="U671" s="180">
        <f t="shared" ref="U671:U676" si="165">R671*T671/100</f>
        <v>11.256109309608338</v>
      </c>
      <c r="V671" s="182">
        <f t="shared" si="142"/>
        <v>60</v>
      </c>
      <c r="W671" s="180"/>
      <c r="X671" s="180"/>
      <c r="Y671" s="180"/>
      <c r="Z671" s="180"/>
      <c r="AA671" s="180"/>
      <c r="AB671" s="180"/>
      <c r="AC671" s="180"/>
      <c r="AD671" s="180"/>
      <c r="AE671" s="180"/>
      <c r="AF671" s="180"/>
      <c r="AG671" s="180"/>
      <c r="AH671" s="180"/>
      <c r="AI671" s="180">
        <f>5000000+5000000</f>
        <v>10000000</v>
      </c>
      <c r="AJ671" s="181">
        <f t="shared" si="155"/>
        <v>40</v>
      </c>
      <c r="AK671" s="180">
        <f t="shared" si="161"/>
        <v>15000000</v>
      </c>
      <c r="AL671" s="181">
        <f t="shared" si="157"/>
        <v>60</v>
      </c>
      <c r="AM671" s="243"/>
    </row>
    <row r="672" spans="1:39" ht="28.5" customHeight="1" x14ac:dyDescent="0.25">
      <c r="A672" s="243"/>
      <c r="B672" s="381"/>
      <c r="C672" s="381"/>
      <c r="D672" s="381"/>
      <c r="E672" s="381"/>
      <c r="F672" s="381"/>
      <c r="G672" s="381"/>
      <c r="H672" s="381"/>
      <c r="I672" s="382"/>
      <c r="J672" s="381" t="s">
        <v>315</v>
      </c>
      <c r="K672" s="245"/>
      <c r="L672" s="257"/>
      <c r="M672" s="591" t="s">
        <v>271</v>
      </c>
      <c r="N672" s="592"/>
      <c r="O672" s="179"/>
      <c r="P672" s="180"/>
      <c r="Q672" s="180">
        <v>2000000</v>
      </c>
      <c r="R672" s="181">
        <f t="shared" ref="R672:R675" si="166">Q672/Q$670*100</f>
        <v>2.2512218619216671</v>
      </c>
      <c r="S672" s="181">
        <v>100</v>
      </c>
      <c r="T672" s="180">
        <f t="shared" si="159"/>
        <v>37.5</v>
      </c>
      <c r="U672" s="180">
        <f t="shared" si="165"/>
        <v>0.84420819822062509</v>
      </c>
      <c r="V672" s="182">
        <f t="shared" si="142"/>
        <v>62.5</v>
      </c>
      <c r="W672" s="180"/>
      <c r="X672" s="180"/>
      <c r="Y672" s="180"/>
      <c r="Z672" s="180"/>
      <c r="AA672" s="180"/>
      <c r="AB672" s="180"/>
      <c r="AC672" s="180"/>
      <c r="AD672" s="180"/>
      <c r="AE672" s="180"/>
      <c r="AF672" s="180"/>
      <c r="AG672" s="180"/>
      <c r="AH672" s="180"/>
      <c r="AI672" s="180">
        <v>750000</v>
      </c>
      <c r="AJ672" s="181">
        <f t="shared" si="155"/>
        <v>37.5</v>
      </c>
      <c r="AK672" s="180">
        <f t="shared" si="161"/>
        <v>1250000</v>
      </c>
      <c r="AL672" s="181">
        <f t="shared" si="157"/>
        <v>62.5</v>
      </c>
      <c r="AM672" s="243"/>
    </row>
    <row r="673" spans="1:83" ht="28.5" customHeight="1" x14ac:dyDescent="0.25">
      <c r="A673" s="243"/>
      <c r="B673" s="381"/>
      <c r="C673" s="381"/>
      <c r="D673" s="381"/>
      <c r="E673" s="381"/>
      <c r="F673" s="381"/>
      <c r="G673" s="381"/>
      <c r="H673" s="381"/>
      <c r="I673" s="382"/>
      <c r="J673" s="381" t="s">
        <v>280</v>
      </c>
      <c r="K673" s="245"/>
      <c r="L673" s="257"/>
      <c r="M673" s="591" t="s">
        <v>425</v>
      </c>
      <c r="N673" s="592"/>
      <c r="O673" s="179"/>
      <c r="P673" s="180"/>
      <c r="Q673" s="180">
        <v>7500000</v>
      </c>
      <c r="R673" s="181">
        <f t="shared" si="166"/>
        <v>8.4420819822062523</v>
      </c>
      <c r="S673" s="181">
        <v>100</v>
      </c>
      <c r="T673" s="180">
        <f t="shared" si="159"/>
        <v>33.333333333333329</v>
      </c>
      <c r="U673" s="180">
        <f t="shared" si="165"/>
        <v>2.8140273274020835</v>
      </c>
      <c r="V673" s="182">
        <f t="shared" si="142"/>
        <v>66.666666666666671</v>
      </c>
      <c r="W673" s="180"/>
      <c r="X673" s="180"/>
      <c r="Y673" s="180"/>
      <c r="Z673" s="180"/>
      <c r="AA673" s="180"/>
      <c r="AB673" s="180"/>
      <c r="AC673" s="180"/>
      <c r="AD673" s="180"/>
      <c r="AE673" s="180"/>
      <c r="AF673" s="180"/>
      <c r="AG673" s="180"/>
      <c r="AH673" s="180"/>
      <c r="AI673" s="180">
        <f>1250000+1250000</f>
        <v>2500000</v>
      </c>
      <c r="AJ673" s="181">
        <f t="shared" si="155"/>
        <v>33.333333333333329</v>
      </c>
      <c r="AK673" s="180">
        <f t="shared" si="161"/>
        <v>5000000</v>
      </c>
      <c r="AL673" s="181">
        <f t="shared" si="157"/>
        <v>66.666666666666657</v>
      </c>
      <c r="AM673" s="243"/>
    </row>
    <row r="674" spans="1:83" ht="28.5" customHeight="1" x14ac:dyDescent="0.25">
      <c r="A674" s="243"/>
      <c r="B674" s="381"/>
      <c r="C674" s="381"/>
      <c r="D674" s="381"/>
      <c r="E674" s="381"/>
      <c r="F674" s="381"/>
      <c r="G674" s="381"/>
      <c r="H674" s="381"/>
      <c r="I674" s="382"/>
      <c r="J674" s="381" t="s">
        <v>284</v>
      </c>
      <c r="K674" s="245"/>
      <c r="L674" s="257"/>
      <c r="M674" s="591" t="s">
        <v>285</v>
      </c>
      <c r="N674" s="592"/>
      <c r="O674" s="179"/>
      <c r="P674" s="180"/>
      <c r="Q674" s="180">
        <v>24500000</v>
      </c>
      <c r="R674" s="181">
        <f t="shared" si="166"/>
        <v>27.577467808540423</v>
      </c>
      <c r="S674" s="181">
        <v>100</v>
      </c>
      <c r="T674" s="180">
        <f t="shared" si="159"/>
        <v>0</v>
      </c>
      <c r="U674" s="180">
        <f t="shared" si="165"/>
        <v>0</v>
      </c>
      <c r="V674" s="182">
        <f t="shared" si="142"/>
        <v>100</v>
      </c>
      <c r="W674" s="180"/>
      <c r="X674" s="180"/>
      <c r="Y674" s="180"/>
      <c r="Z674" s="180"/>
      <c r="AA674" s="180"/>
      <c r="AB674" s="180"/>
      <c r="AC674" s="180"/>
      <c r="AD674" s="180"/>
      <c r="AE674" s="180"/>
      <c r="AF674" s="180"/>
      <c r="AG674" s="180"/>
      <c r="AH674" s="180"/>
      <c r="AI674" s="180">
        <v>0</v>
      </c>
      <c r="AJ674" s="181">
        <f t="shared" si="155"/>
        <v>0</v>
      </c>
      <c r="AK674" s="180">
        <f t="shared" si="161"/>
        <v>24500000</v>
      </c>
      <c r="AL674" s="181">
        <f t="shared" si="157"/>
        <v>100</v>
      </c>
      <c r="AM674" s="243"/>
    </row>
    <row r="675" spans="1:83" ht="28.5" customHeight="1" x14ac:dyDescent="0.25">
      <c r="A675" s="243"/>
      <c r="B675" s="381"/>
      <c r="C675" s="381"/>
      <c r="D675" s="381"/>
      <c r="E675" s="381"/>
      <c r="F675" s="381"/>
      <c r="G675" s="381"/>
      <c r="H675" s="381"/>
      <c r="I675" s="382"/>
      <c r="J675" s="381" t="s">
        <v>282</v>
      </c>
      <c r="K675" s="245"/>
      <c r="L675" s="257"/>
      <c r="M675" s="591" t="s">
        <v>283</v>
      </c>
      <c r="N675" s="592"/>
      <c r="O675" s="179"/>
      <c r="P675" s="180"/>
      <c r="Q675" s="180">
        <v>29840644</v>
      </c>
      <c r="R675" s="181">
        <f t="shared" si="166"/>
        <v>33.588955073310814</v>
      </c>
      <c r="S675" s="181">
        <v>100</v>
      </c>
      <c r="T675" s="180">
        <f t="shared" si="159"/>
        <v>27.479299709483477</v>
      </c>
      <c r="U675" s="180">
        <f t="shared" si="165"/>
        <v>9.2300096338788347</v>
      </c>
      <c r="V675" s="182">
        <f t="shared" si="142"/>
        <v>72.520700290516515</v>
      </c>
      <c r="W675" s="180"/>
      <c r="X675" s="180"/>
      <c r="Y675" s="180"/>
      <c r="Z675" s="180"/>
      <c r="AA675" s="180"/>
      <c r="AB675" s="180"/>
      <c r="AC675" s="180"/>
      <c r="AD675" s="180"/>
      <c r="AE675" s="180"/>
      <c r="AF675" s="180"/>
      <c r="AG675" s="180"/>
      <c r="AH675" s="180"/>
      <c r="AI675" s="180">
        <f>5700000+2500000</f>
        <v>8200000</v>
      </c>
      <c r="AJ675" s="181">
        <f t="shared" si="155"/>
        <v>27.479299709483477</v>
      </c>
      <c r="AK675" s="180">
        <f t="shared" si="161"/>
        <v>21640644</v>
      </c>
      <c r="AL675" s="181">
        <f t="shared" si="157"/>
        <v>72.520700290516515</v>
      </c>
      <c r="AM675" s="243"/>
    </row>
    <row r="676" spans="1:83" ht="28.5" customHeight="1" x14ac:dyDescent="0.25">
      <c r="A676" s="289" t="s">
        <v>38</v>
      </c>
      <c r="B676" s="607" t="s">
        <v>145</v>
      </c>
      <c r="C676" s="607"/>
      <c r="D676" s="607"/>
      <c r="E676" s="607"/>
      <c r="F676" s="607"/>
      <c r="G676" s="607"/>
      <c r="H676" s="607"/>
      <c r="I676" s="608"/>
      <c r="J676" s="396" t="s">
        <v>531</v>
      </c>
      <c r="K676" s="291"/>
      <c r="L676" s="607" t="s">
        <v>532</v>
      </c>
      <c r="M676" s="607"/>
      <c r="N676" s="608"/>
      <c r="O676" s="263" t="e">
        <f>SUM(O677:O1151)</f>
        <v>#REF!</v>
      </c>
      <c r="P676" s="263" t="e">
        <f>SUM(P677:P1151)</f>
        <v>#REF!</v>
      </c>
      <c r="Q676" s="263">
        <f>SUM(Q677)</f>
        <v>649500000</v>
      </c>
      <c r="R676" s="222">
        <f>Q676/Q$55*100</f>
        <v>3.2186986170973042</v>
      </c>
      <c r="S676" s="222">
        <v>100</v>
      </c>
      <c r="T676" s="263">
        <f t="shared" si="159"/>
        <v>16.055427251732102</v>
      </c>
      <c r="U676" s="308">
        <f t="shared" si="165"/>
        <v>0.5167758149205649</v>
      </c>
      <c r="V676" s="292">
        <f t="shared" si="142"/>
        <v>83.944572748267902</v>
      </c>
      <c r="W676" s="263">
        <f t="shared" ref="W676:AH676" si="167">SUM(W677:W1151)</f>
        <v>0</v>
      </c>
      <c r="X676" s="263">
        <f t="shared" si="167"/>
        <v>0</v>
      </c>
      <c r="Y676" s="263">
        <f t="shared" si="167"/>
        <v>0</v>
      </c>
      <c r="Z676" s="263">
        <f t="shared" si="167"/>
        <v>0</v>
      </c>
      <c r="AA676" s="263">
        <f t="shared" si="167"/>
        <v>0</v>
      </c>
      <c r="AB676" s="263">
        <f t="shared" si="167"/>
        <v>0</v>
      </c>
      <c r="AC676" s="263">
        <f t="shared" si="167"/>
        <v>0</v>
      </c>
      <c r="AD676" s="263">
        <f t="shared" si="167"/>
        <v>0</v>
      </c>
      <c r="AE676" s="263">
        <f t="shared" si="167"/>
        <v>0</v>
      </c>
      <c r="AF676" s="263">
        <f t="shared" si="167"/>
        <v>0</v>
      </c>
      <c r="AG676" s="263" t="e">
        <f t="shared" si="167"/>
        <v>#REF!</v>
      </c>
      <c r="AH676" s="263">
        <f t="shared" si="167"/>
        <v>0</v>
      </c>
      <c r="AI676" s="263">
        <f>SUM(AI677)</f>
        <v>104280000</v>
      </c>
      <c r="AJ676" s="222">
        <f t="shared" si="155"/>
        <v>16.055427251732102</v>
      </c>
      <c r="AK676" s="263">
        <f>SUM(Q676-AI676)</f>
        <v>545220000</v>
      </c>
      <c r="AL676" s="222">
        <f t="shared" si="157"/>
        <v>83.944572748267902</v>
      </c>
      <c r="AM676" s="289"/>
    </row>
    <row r="677" spans="1:83" s="297" customFormat="1" ht="28.5" customHeight="1" x14ac:dyDescent="0.25">
      <c r="A677" s="227">
        <f>SUM(A670+1)</f>
        <v>80</v>
      </c>
      <c r="B677" s="393"/>
      <c r="C677" s="393"/>
      <c r="D677" s="393"/>
      <c r="E677" s="393"/>
      <c r="F677" s="393"/>
      <c r="G677" s="393"/>
      <c r="H677" s="393"/>
      <c r="I677" s="394"/>
      <c r="J677" s="393" t="s">
        <v>381</v>
      </c>
      <c r="K677" s="230"/>
      <c r="L677" s="294"/>
      <c r="M677" s="609" t="s">
        <v>533</v>
      </c>
      <c r="N677" s="609"/>
      <c r="O677" s="309">
        <v>355300000</v>
      </c>
      <c r="P677" s="231">
        <v>0</v>
      </c>
      <c r="Q677" s="231">
        <f>SUM(Q678:Q684)</f>
        <v>649500000</v>
      </c>
      <c r="R677" s="233">
        <f>Q677/Q$35*100</f>
        <v>2.0433361823476917</v>
      </c>
      <c r="S677" s="233">
        <v>100</v>
      </c>
      <c r="T677" s="231">
        <f>AJ677</f>
        <v>16.055427251732102</v>
      </c>
      <c r="U677" s="231">
        <f>R677*T677/100</f>
        <v>0.32806635426515363</v>
      </c>
      <c r="V677" s="296">
        <f>S677-T677</f>
        <v>83.944572748267902</v>
      </c>
      <c r="W677" s="231"/>
      <c r="X677" s="231"/>
      <c r="Y677" s="231"/>
      <c r="Z677" s="231"/>
      <c r="AA677" s="231"/>
      <c r="AB677" s="231"/>
      <c r="AC677" s="231"/>
      <c r="AD677" s="231"/>
      <c r="AE677" s="231"/>
      <c r="AF677" s="231"/>
      <c r="AG677" s="231" t="e">
        <f>[2]april!N87</f>
        <v>#REF!</v>
      </c>
      <c r="AH677" s="231">
        <f>'[3]DES SKPD'!$N87</f>
        <v>0</v>
      </c>
      <c r="AI677" s="231">
        <f>SUM(AI678:AI684)</f>
        <v>104280000</v>
      </c>
      <c r="AJ677" s="181">
        <f t="shared" si="155"/>
        <v>16.055427251732102</v>
      </c>
      <c r="AK677" s="231">
        <f t="shared" si="161"/>
        <v>545220000</v>
      </c>
      <c r="AL677" s="233">
        <f t="shared" si="157"/>
        <v>83.944572748267902</v>
      </c>
      <c r="AM677" s="227"/>
    </row>
    <row r="678" spans="1:83" ht="28.5" customHeight="1" x14ac:dyDescent="0.25">
      <c r="A678" s="243"/>
      <c r="B678" s="381"/>
      <c r="C678" s="381"/>
      <c r="D678" s="381"/>
      <c r="E678" s="381"/>
      <c r="F678" s="381"/>
      <c r="G678" s="381"/>
      <c r="H678" s="381"/>
      <c r="I678" s="382"/>
      <c r="J678" s="381" t="s">
        <v>536</v>
      </c>
      <c r="K678" s="245"/>
      <c r="L678" s="257"/>
      <c r="M678" s="604" t="s">
        <v>271</v>
      </c>
      <c r="N678" s="592"/>
      <c r="O678" s="179"/>
      <c r="P678" s="180"/>
      <c r="Q678" s="180">
        <v>14900000</v>
      </c>
      <c r="R678" s="181">
        <f t="shared" ref="R678:R684" si="168">Q678/Q$677*100</f>
        <v>2.2940723633564279</v>
      </c>
      <c r="S678" s="181">
        <v>100</v>
      </c>
      <c r="T678" s="180">
        <f t="shared" ref="T678:T684" si="169">AJ678</f>
        <v>16.778523489932887</v>
      </c>
      <c r="U678" s="180">
        <f t="shared" ref="U678:U684" si="170">R678*T678/100</f>
        <v>0.38491147036181678</v>
      </c>
      <c r="V678" s="182">
        <f t="shared" ref="V678:V684" si="171">S678-T678</f>
        <v>83.221476510067106</v>
      </c>
      <c r="W678" s="180"/>
      <c r="X678" s="180"/>
      <c r="Y678" s="180"/>
      <c r="Z678" s="180"/>
      <c r="AA678" s="180"/>
      <c r="AB678" s="180"/>
      <c r="AC678" s="180"/>
      <c r="AD678" s="180"/>
      <c r="AE678" s="180"/>
      <c r="AF678" s="180"/>
      <c r="AG678" s="180"/>
      <c r="AH678" s="180"/>
      <c r="AI678" s="180">
        <v>2500000</v>
      </c>
      <c r="AJ678" s="181">
        <f t="shared" si="155"/>
        <v>16.778523489932887</v>
      </c>
      <c r="AK678" s="180">
        <f t="shared" si="161"/>
        <v>12400000</v>
      </c>
      <c r="AL678" s="181">
        <f t="shared" si="157"/>
        <v>83.22147651006712</v>
      </c>
      <c r="AM678" s="243"/>
    </row>
    <row r="679" spans="1:83" ht="28.5" customHeight="1" x14ac:dyDescent="0.25">
      <c r="A679" s="243"/>
      <c r="B679" s="381"/>
      <c r="C679" s="381"/>
      <c r="D679" s="381"/>
      <c r="E679" s="381"/>
      <c r="F679" s="381"/>
      <c r="G679" s="381"/>
      <c r="H679" s="381"/>
      <c r="I679" s="382"/>
      <c r="J679" s="381" t="s">
        <v>502</v>
      </c>
      <c r="K679" s="245"/>
      <c r="L679" s="257"/>
      <c r="M679" s="604" t="s">
        <v>319</v>
      </c>
      <c r="N679" s="592"/>
      <c r="O679" s="179"/>
      <c r="P679" s="180"/>
      <c r="Q679" s="180">
        <v>200200000</v>
      </c>
      <c r="R679" s="181">
        <f>Q679/Q$677*100</f>
        <v>30.82371054657429</v>
      </c>
      <c r="S679" s="181">
        <v>100</v>
      </c>
      <c r="T679" s="180">
        <f t="shared" si="169"/>
        <v>49.615384615384613</v>
      </c>
      <c r="U679" s="180">
        <f t="shared" si="170"/>
        <v>15.293302540415704</v>
      </c>
      <c r="V679" s="182">
        <f t="shared" si="171"/>
        <v>50.384615384615387</v>
      </c>
      <c r="W679" s="180"/>
      <c r="X679" s="180"/>
      <c r="Y679" s="180"/>
      <c r="Z679" s="180"/>
      <c r="AA679" s="180"/>
      <c r="AB679" s="180"/>
      <c r="AC679" s="180"/>
      <c r="AD679" s="180"/>
      <c r="AE679" s="180"/>
      <c r="AF679" s="180"/>
      <c r="AG679" s="180"/>
      <c r="AH679" s="180"/>
      <c r="AI679" s="180">
        <v>99330000</v>
      </c>
      <c r="AJ679" s="181">
        <f t="shared" si="155"/>
        <v>49.615384615384613</v>
      </c>
      <c r="AK679" s="180">
        <f t="shared" si="161"/>
        <v>100870000</v>
      </c>
      <c r="AL679" s="181">
        <f t="shared" si="157"/>
        <v>50.384615384615387</v>
      </c>
      <c r="AM679" s="243"/>
    </row>
    <row r="680" spans="1:83" ht="28.5" customHeight="1" x14ac:dyDescent="0.25">
      <c r="A680" s="243"/>
      <c r="B680" s="381"/>
      <c r="C680" s="381"/>
      <c r="D680" s="381"/>
      <c r="E680" s="381"/>
      <c r="F680" s="381"/>
      <c r="G680" s="381"/>
      <c r="H680" s="381"/>
      <c r="I680" s="382"/>
      <c r="J680" s="381" t="s">
        <v>625</v>
      </c>
      <c r="K680" s="245"/>
      <c r="L680" s="257"/>
      <c r="M680" s="604" t="s">
        <v>281</v>
      </c>
      <c r="N680" s="592"/>
      <c r="O680" s="179"/>
      <c r="P680" s="180"/>
      <c r="Q680" s="180">
        <v>25200000</v>
      </c>
      <c r="R680" s="181">
        <f>Q680/Q$677*100</f>
        <v>3.8799076212471131</v>
      </c>
      <c r="S680" s="181">
        <v>100</v>
      </c>
      <c r="T680" s="180">
        <f t="shared" si="169"/>
        <v>9.7222222222222232</v>
      </c>
      <c r="U680" s="180">
        <f t="shared" si="170"/>
        <v>0.37721324095458042</v>
      </c>
      <c r="V680" s="182">
        <f t="shared" si="171"/>
        <v>90.277777777777771</v>
      </c>
      <c r="W680" s="180"/>
      <c r="X680" s="180"/>
      <c r="Y680" s="180"/>
      <c r="Z680" s="180"/>
      <c r="AA680" s="180"/>
      <c r="AB680" s="180"/>
      <c r="AC680" s="180"/>
      <c r="AD680" s="180"/>
      <c r="AE680" s="180"/>
      <c r="AF680" s="180"/>
      <c r="AG680" s="180"/>
      <c r="AH680" s="180"/>
      <c r="AI680" s="180">
        <v>2450000</v>
      </c>
      <c r="AJ680" s="181">
        <f t="shared" si="155"/>
        <v>9.7222222222222232</v>
      </c>
      <c r="AK680" s="180">
        <f t="shared" si="161"/>
        <v>22750000</v>
      </c>
      <c r="AL680" s="181">
        <f t="shared" si="157"/>
        <v>90.277777777777786</v>
      </c>
      <c r="AM680" s="243"/>
    </row>
    <row r="681" spans="1:83" ht="28.5" customHeight="1" x14ac:dyDescent="0.25">
      <c r="A681" s="243"/>
      <c r="B681" s="381"/>
      <c r="C681" s="381"/>
      <c r="D681" s="381"/>
      <c r="E681" s="381"/>
      <c r="F681" s="381"/>
      <c r="G681" s="381"/>
      <c r="H681" s="381"/>
      <c r="I681" s="382"/>
      <c r="J681" s="381" t="s">
        <v>538</v>
      </c>
      <c r="K681" s="245"/>
      <c r="L681" s="257"/>
      <c r="M681" s="605" t="s">
        <v>626</v>
      </c>
      <c r="N681" s="606"/>
      <c r="O681" s="179"/>
      <c r="P681" s="180"/>
      <c r="Q681" s="180">
        <v>92000000</v>
      </c>
      <c r="R681" s="181">
        <f t="shared" si="168"/>
        <v>14.164742109314856</v>
      </c>
      <c r="S681" s="181">
        <v>100</v>
      </c>
      <c r="T681" s="180">
        <f t="shared" si="169"/>
        <v>0</v>
      </c>
      <c r="U681" s="180">
        <f t="shared" si="170"/>
        <v>0</v>
      </c>
      <c r="V681" s="182">
        <f t="shared" si="171"/>
        <v>100</v>
      </c>
      <c r="W681" s="180"/>
      <c r="X681" s="180"/>
      <c r="Y681" s="180"/>
      <c r="Z681" s="180"/>
      <c r="AA681" s="180"/>
      <c r="AB681" s="180"/>
      <c r="AC681" s="180"/>
      <c r="AD681" s="180"/>
      <c r="AE681" s="180"/>
      <c r="AF681" s="180"/>
      <c r="AG681" s="180"/>
      <c r="AH681" s="180"/>
      <c r="AI681" s="180">
        <v>0</v>
      </c>
      <c r="AJ681" s="181">
        <f t="shared" si="155"/>
        <v>0</v>
      </c>
      <c r="AK681" s="180">
        <f t="shared" si="161"/>
        <v>92000000</v>
      </c>
      <c r="AL681" s="181">
        <f t="shared" si="157"/>
        <v>100</v>
      </c>
      <c r="AM681" s="243"/>
    </row>
    <row r="682" spans="1:83" ht="28.5" customHeight="1" x14ac:dyDescent="0.25">
      <c r="A682" s="243"/>
      <c r="B682" s="381"/>
      <c r="C682" s="381"/>
      <c r="D682" s="381"/>
      <c r="E682" s="381"/>
      <c r="F682" s="381"/>
      <c r="G682" s="381"/>
      <c r="H682" s="381"/>
      <c r="I682" s="382"/>
      <c r="J682" s="381" t="s">
        <v>629</v>
      </c>
      <c r="K682" s="245"/>
      <c r="L682" s="257"/>
      <c r="M682" s="605" t="s">
        <v>321</v>
      </c>
      <c r="N682" s="606"/>
      <c r="O682" s="179"/>
      <c r="P682" s="180"/>
      <c r="Q682" s="180">
        <v>9200000</v>
      </c>
      <c r="R682" s="181">
        <f t="shared" si="168"/>
        <v>1.4164742109314856</v>
      </c>
      <c r="S682" s="181">
        <v>100</v>
      </c>
      <c r="T682" s="180">
        <f t="shared" si="169"/>
        <v>0</v>
      </c>
      <c r="U682" s="180">
        <f t="shared" si="170"/>
        <v>0</v>
      </c>
      <c r="V682" s="182">
        <f t="shared" si="171"/>
        <v>100</v>
      </c>
      <c r="W682" s="180"/>
      <c r="X682" s="180"/>
      <c r="Y682" s="180"/>
      <c r="Z682" s="180"/>
      <c r="AA682" s="180"/>
      <c r="AB682" s="180"/>
      <c r="AC682" s="180"/>
      <c r="AD682" s="180"/>
      <c r="AE682" s="180"/>
      <c r="AF682" s="180"/>
      <c r="AG682" s="180"/>
      <c r="AH682" s="180"/>
      <c r="AI682" s="180">
        <v>0</v>
      </c>
      <c r="AJ682" s="181">
        <f t="shared" ref="AJ682:AJ684" si="172">AI682/Q682*100</f>
        <v>0</v>
      </c>
      <c r="AK682" s="180">
        <f t="shared" si="161"/>
        <v>9200000</v>
      </c>
      <c r="AL682" s="181">
        <f t="shared" si="157"/>
        <v>100</v>
      </c>
      <c r="AM682" s="243"/>
    </row>
    <row r="683" spans="1:83" ht="28.5" customHeight="1" x14ac:dyDescent="0.25">
      <c r="A683" s="243"/>
      <c r="B683" s="381"/>
      <c r="C683" s="381"/>
      <c r="D683" s="381"/>
      <c r="E683" s="381"/>
      <c r="F683" s="381"/>
      <c r="G683" s="381"/>
      <c r="H683" s="381"/>
      <c r="I683" s="382"/>
      <c r="J683" s="381" t="s">
        <v>628</v>
      </c>
      <c r="K683" s="245"/>
      <c r="L683" s="257"/>
      <c r="M683" s="605" t="s">
        <v>310</v>
      </c>
      <c r="N683" s="606"/>
      <c r="O683" s="179"/>
      <c r="P683" s="180"/>
      <c r="Q683" s="180">
        <v>300000000</v>
      </c>
      <c r="R683" s="181">
        <f t="shared" si="168"/>
        <v>46.189376443418013</v>
      </c>
      <c r="S683" s="181">
        <v>100</v>
      </c>
      <c r="T683" s="180">
        <f t="shared" si="169"/>
        <v>0</v>
      </c>
      <c r="U683" s="180">
        <f t="shared" si="170"/>
        <v>0</v>
      </c>
      <c r="V683" s="182">
        <f t="shared" si="171"/>
        <v>100</v>
      </c>
      <c r="W683" s="180"/>
      <c r="X683" s="180"/>
      <c r="Y683" s="180"/>
      <c r="Z683" s="180"/>
      <c r="AA683" s="180"/>
      <c r="AB683" s="180"/>
      <c r="AC683" s="180"/>
      <c r="AD683" s="180"/>
      <c r="AE683" s="180"/>
      <c r="AF683" s="180"/>
      <c r="AG683" s="180"/>
      <c r="AH683" s="180"/>
      <c r="AI683" s="180">
        <v>0</v>
      </c>
      <c r="AJ683" s="181">
        <f t="shared" si="172"/>
        <v>0</v>
      </c>
      <c r="AK683" s="180">
        <f t="shared" si="161"/>
        <v>300000000</v>
      </c>
      <c r="AL683" s="181">
        <f t="shared" si="157"/>
        <v>100</v>
      </c>
      <c r="AM683" s="243"/>
    </row>
    <row r="684" spans="1:83" ht="24.75" customHeight="1" x14ac:dyDescent="0.25">
      <c r="A684" s="243"/>
      <c r="B684" s="597" t="s">
        <v>158</v>
      </c>
      <c r="C684" s="597"/>
      <c r="D684" s="597"/>
      <c r="E684" s="597"/>
      <c r="F684" s="597"/>
      <c r="G684" s="597"/>
      <c r="H684" s="597"/>
      <c r="I684" s="598"/>
      <c r="J684" s="381" t="s">
        <v>627</v>
      </c>
      <c r="K684" s="314"/>
      <c r="L684" s="315"/>
      <c r="M684" s="599" t="s">
        <v>607</v>
      </c>
      <c r="N684" s="600"/>
      <c r="O684" s="316"/>
      <c r="P684" s="316"/>
      <c r="Q684" s="317">
        <v>8000000</v>
      </c>
      <c r="R684" s="181">
        <f t="shared" si="168"/>
        <v>1.2317167051578137</v>
      </c>
      <c r="S684" s="181">
        <v>100</v>
      </c>
      <c r="T684" s="180">
        <f t="shared" si="169"/>
        <v>0</v>
      </c>
      <c r="U684" s="180">
        <f t="shared" si="170"/>
        <v>0</v>
      </c>
      <c r="V684" s="182">
        <f t="shared" si="171"/>
        <v>100</v>
      </c>
      <c r="W684" s="316"/>
      <c r="X684" s="316"/>
      <c r="Y684" s="316"/>
      <c r="Z684" s="316"/>
      <c r="AA684" s="316"/>
      <c r="AB684" s="316"/>
      <c r="AC684" s="316"/>
      <c r="AD684" s="316"/>
      <c r="AE684" s="316"/>
      <c r="AF684" s="316"/>
      <c r="AG684" s="316"/>
      <c r="AH684" s="316"/>
      <c r="AI684" s="180">
        <v>0</v>
      </c>
      <c r="AJ684" s="181">
        <f t="shared" si="172"/>
        <v>0</v>
      </c>
      <c r="AK684" s="180">
        <f t="shared" si="161"/>
        <v>8000000</v>
      </c>
      <c r="AL684" s="181">
        <f t="shared" si="157"/>
        <v>100</v>
      </c>
      <c r="AM684" s="243"/>
      <c r="AQ684" s="318"/>
      <c r="AR684" s="318"/>
      <c r="AS684" s="318"/>
      <c r="AT684" s="318"/>
      <c r="AU684" s="318"/>
      <c r="AV684" s="318"/>
      <c r="AW684" s="318"/>
      <c r="AX684" s="318"/>
      <c r="AY684" s="318"/>
      <c r="AZ684" s="318"/>
      <c r="BA684" s="318"/>
      <c r="BB684" s="318"/>
      <c r="BC684" s="318"/>
      <c r="BD684" s="318"/>
      <c r="BE684" s="318"/>
      <c r="BF684" s="318"/>
      <c r="BG684" s="318"/>
      <c r="BH684" s="318"/>
      <c r="BI684" s="318"/>
      <c r="BJ684" s="318"/>
      <c r="BK684" s="318"/>
      <c r="BL684" s="318"/>
      <c r="BM684" s="318"/>
      <c r="BN684" s="318"/>
      <c r="BO684" s="318"/>
      <c r="BP684" s="318"/>
      <c r="BQ684" s="318"/>
      <c r="BR684" s="318"/>
      <c r="BS684" s="318"/>
      <c r="BT684" s="318"/>
      <c r="BU684" s="318"/>
      <c r="BV684" s="318"/>
      <c r="BW684" s="318"/>
      <c r="BX684" s="318"/>
      <c r="BY684" s="318"/>
      <c r="BZ684" s="318"/>
      <c r="CA684" s="318"/>
      <c r="CB684" s="318"/>
      <c r="CC684" s="318"/>
      <c r="CD684" s="318"/>
      <c r="CE684" s="318"/>
    </row>
    <row r="685" spans="1:83" s="319" customFormat="1" ht="24" customHeight="1" x14ac:dyDescent="0.25">
      <c r="B685" s="601" t="s">
        <v>166</v>
      </c>
      <c r="C685" s="601"/>
      <c r="D685" s="601"/>
      <c r="E685" s="601"/>
      <c r="F685" s="601"/>
      <c r="G685" s="601"/>
      <c r="H685" s="601"/>
      <c r="I685" s="601"/>
      <c r="J685" s="397"/>
      <c r="L685" s="601"/>
      <c r="M685" s="601"/>
      <c r="N685" s="601"/>
      <c r="O685" s="321" t="e">
        <f>SUM(#REF!)</f>
        <v>#REF!</v>
      </c>
      <c r="P685" s="321" t="e">
        <f>SUM(#REF!)</f>
        <v>#REF!</v>
      </c>
      <c r="Q685" s="321"/>
      <c r="R685" s="322"/>
      <c r="S685" s="322"/>
      <c r="T685" s="321"/>
      <c r="U685" s="321"/>
      <c r="V685" s="323"/>
      <c r="W685" s="321"/>
      <c r="X685" s="321"/>
      <c r="Y685" s="321"/>
      <c r="Z685" s="321"/>
      <c r="AA685" s="321"/>
      <c r="AB685" s="321"/>
      <c r="AC685" s="321"/>
      <c r="AD685" s="321"/>
      <c r="AE685" s="321"/>
      <c r="AF685" s="321"/>
      <c r="AG685" s="321"/>
      <c r="AH685" s="321"/>
      <c r="AI685" s="321"/>
      <c r="AJ685" s="322"/>
      <c r="AK685" s="321"/>
      <c r="AL685" s="322"/>
      <c r="AQ685" s="325"/>
      <c r="AR685" s="325"/>
      <c r="AS685" s="325"/>
      <c r="AT685" s="325"/>
      <c r="AU685" s="325"/>
      <c r="AV685" s="325"/>
      <c r="AW685" s="325"/>
      <c r="AX685" s="325"/>
      <c r="AY685" s="325"/>
      <c r="AZ685" s="325"/>
      <c r="BA685" s="325"/>
      <c r="BB685" s="325"/>
      <c r="BC685" s="325"/>
      <c r="BD685" s="325"/>
      <c r="BE685" s="325"/>
      <c r="BF685" s="325"/>
      <c r="BG685" s="325"/>
      <c r="BH685" s="325"/>
      <c r="BI685" s="325"/>
      <c r="BJ685" s="325"/>
      <c r="BK685" s="325"/>
      <c r="BL685" s="325"/>
      <c r="BM685" s="325"/>
      <c r="BN685" s="325"/>
      <c r="BO685" s="325"/>
      <c r="BP685" s="325"/>
      <c r="BQ685" s="325"/>
      <c r="BR685" s="325"/>
      <c r="BS685" s="325"/>
      <c r="BT685" s="325"/>
      <c r="BU685" s="325"/>
      <c r="BV685" s="325"/>
      <c r="BW685" s="325"/>
      <c r="BX685" s="325"/>
      <c r="BY685" s="325"/>
      <c r="BZ685" s="325"/>
      <c r="CA685" s="325"/>
      <c r="CB685" s="325"/>
      <c r="CC685" s="325"/>
      <c r="CD685" s="325"/>
      <c r="CE685" s="325"/>
    </row>
    <row r="686" spans="1:83" s="325" customFormat="1" ht="24" customHeight="1" x14ac:dyDescent="0.25">
      <c r="B686" s="326"/>
      <c r="C686" s="326"/>
      <c r="D686" s="326"/>
      <c r="E686" s="326"/>
      <c r="F686" s="326"/>
      <c r="G686" s="326"/>
      <c r="H686" s="326"/>
      <c r="I686" s="326"/>
      <c r="J686" s="326"/>
      <c r="L686" s="326"/>
      <c r="M686" s="326"/>
      <c r="N686" s="326"/>
      <c r="O686" s="327"/>
      <c r="P686" s="327"/>
      <c r="Q686" s="327"/>
      <c r="R686" s="328"/>
      <c r="S686" s="328"/>
      <c r="T686" s="327"/>
      <c r="U686" s="327"/>
      <c r="V686" s="329"/>
      <c r="W686" s="327"/>
      <c r="X686" s="327"/>
      <c r="Y686" s="327"/>
      <c r="Z686" s="327"/>
      <c r="AA686" s="327"/>
      <c r="AB686" s="327"/>
      <c r="AC686" s="327"/>
      <c r="AD686" s="327"/>
      <c r="AE686" s="327"/>
      <c r="AF686" s="327"/>
      <c r="AG686" s="327"/>
      <c r="AH686" s="327"/>
      <c r="AI686" s="602" t="s">
        <v>542</v>
      </c>
      <c r="AJ686" s="602"/>
      <c r="AK686" s="602"/>
      <c r="AL686" s="602"/>
    </row>
    <row r="687" spans="1:83" s="325" customFormat="1" ht="24" customHeight="1" x14ac:dyDescent="0.25">
      <c r="B687" s="326"/>
      <c r="C687" s="326"/>
      <c r="D687" s="326"/>
      <c r="E687" s="326"/>
      <c r="F687" s="326"/>
      <c r="G687" s="326"/>
      <c r="H687" s="326"/>
      <c r="I687" s="326"/>
      <c r="J687" s="326"/>
      <c r="L687" s="326"/>
      <c r="M687" s="326"/>
      <c r="N687" s="326"/>
      <c r="O687" s="327"/>
      <c r="P687" s="327"/>
      <c r="Q687" s="327"/>
      <c r="R687" s="328"/>
      <c r="S687" s="328"/>
      <c r="T687" s="327"/>
      <c r="U687" s="327"/>
      <c r="V687" s="329"/>
      <c r="W687" s="327"/>
      <c r="X687" s="327"/>
      <c r="Y687" s="327"/>
      <c r="Z687" s="327"/>
      <c r="AA687" s="327"/>
      <c r="AB687" s="327"/>
      <c r="AC687" s="327"/>
      <c r="AD687" s="327"/>
      <c r="AE687" s="327"/>
      <c r="AF687" s="327"/>
      <c r="AG687" s="327"/>
      <c r="AH687" s="327"/>
      <c r="AI687" s="603" t="s">
        <v>543</v>
      </c>
      <c r="AJ687" s="603"/>
      <c r="AK687" s="603"/>
      <c r="AL687" s="603"/>
    </row>
    <row r="688" spans="1:83" s="325" customFormat="1" ht="24" customHeight="1" x14ac:dyDescent="0.25">
      <c r="B688" s="326"/>
      <c r="C688" s="326"/>
      <c r="D688" s="326"/>
      <c r="E688" s="326"/>
      <c r="F688" s="326"/>
      <c r="G688" s="326"/>
      <c r="H688" s="326"/>
      <c r="I688" s="326"/>
      <c r="J688" s="326"/>
      <c r="L688" s="326"/>
      <c r="M688" s="326"/>
      <c r="N688" s="326"/>
      <c r="O688" s="327"/>
      <c r="P688" s="327"/>
      <c r="Q688" s="327"/>
      <c r="R688" s="328"/>
      <c r="S688" s="328"/>
      <c r="T688" s="327"/>
      <c r="U688" s="327"/>
      <c r="V688" s="329"/>
      <c r="W688" s="327"/>
      <c r="X688" s="327"/>
      <c r="Y688" s="327"/>
      <c r="Z688" s="327"/>
      <c r="AA688" s="327"/>
      <c r="AB688" s="327"/>
      <c r="AC688" s="327"/>
      <c r="AD688" s="327"/>
      <c r="AE688" s="327"/>
      <c r="AF688" s="327"/>
      <c r="AG688" s="327"/>
      <c r="AH688" s="327"/>
      <c r="AI688" s="311"/>
      <c r="AJ688" s="297"/>
      <c r="AK688" s="406"/>
      <c r="AL688" s="328"/>
    </row>
    <row r="689" spans="1:39" ht="13.5" customHeight="1" x14ac:dyDescent="0.25">
      <c r="AI689" s="311"/>
      <c r="AJ689" s="297"/>
      <c r="AK689" s="406"/>
    </row>
    <row r="690" spans="1:39" ht="13.5" customHeight="1" x14ac:dyDescent="0.25">
      <c r="A690" s="204"/>
      <c r="B690" s="204"/>
      <c r="C690" s="204"/>
      <c r="D690" s="204"/>
      <c r="E690" s="204"/>
      <c r="F690" s="204"/>
      <c r="G690" s="204"/>
      <c r="H690" s="204"/>
      <c r="I690" s="204"/>
      <c r="J690" s="204"/>
      <c r="K690" s="204"/>
      <c r="L690" s="204"/>
      <c r="M690" s="204"/>
      <c r="N690" s="332"/>
      <c r="O690" s="204"/>
      <c r="P690" s="204"/>
      <c r="Q690" s="204"/>
      <c r="R690" s="204"/>
      <c r="S690" s="204"/>
      <c r="T690" s="204"/>
      <c r="U690" s="204"/>
      <c r="V690" s="333"/>
      <c r="W690" s="204"/>
      <c r="X690" s="204"/>
      <c r="Y690" s="204"/>
      <c r="Z690" s="204"/>
      <c r="AA690" s="204"/>
      <c r="AB690" s="204"/>
      <c r="AC690" s="204"/>
      <c r="AD690" s="204"/>
      <c r="AE690" s="204"/>
      <c r="AF690" s="204"/>
      <c r="AG690" s="204"/>
      <c r="AH690" s="204"/>
      <c r="AI690" s="311"/>
      <c r="AJ690" s="297"/>
      <c r="AK690" s="406"/>
      <c r="AL690" s="204"/>
      <c r="AM690" s="204"/>
    </row>
    <row r="691" spans="1:39" ht="13.5" customHeight="1" x14ac:dyDescent="0.25">
      <c r="A691" s="204"/>
      <c r="B691" s="204"/>
      <c r="C691" s="204"/>
      <c r="D691" s="204"/>
      <c r="E691" s="204"/>
      <c r="F691" s="204"/>
      <c r="G691" s="204"/>
      <c r="H691" s="204"/>
      <c r="I691" s="204"/>
      <c r="J691" s="204"/>
      <c r="K691" s="204"/>
      <c r="L691" s="204"/>
      <c r="M691" s="204"/>
      <c r="N691" s="204"/>
      <c r="O691" s="204"/>
      <c r="P691" s="204"/>
      <c r="Q691" s="204"/>
      <c r="R691" s="204"/>
      <c r="S691" s="204"/>
      <c r="T691" s="204"/>
      <c r="U691" s="204"/>
      <c r="V691" s="333"/>
      <c r="W691" s="204"/>
      <c r="X691" s="204"/>
      <c r="Y691" s="204"/>
      <c r="Z691" s="204"/>
      <c r="AA691" s="204"/>
      <c r="AB691" s="204"/>
      <c r="AC691" s="204"/>
      <c r="AD691" s="204"/>
      <c r="AE691" s="204"/>
      <c r="AF691" s="204"/>
      <c r="AG691" s="204"/>
      <c r="AH691" s="204"/>
      <c r="AI691" s="311"/>
      <c r="AJ691" s="297"/>
      <c r="AK691" s="406"/>
      <c r="AL691" s="204"/>
      <c r="AM691" s="204"/>
    </row>
    <row r="692" spans="1:39" ht="13.5" customHeight="1" x14ac:dyDescent="0.25">
      <c r="A692" s="204"/>
      <c r="B692" s="204"/>
      <c r="C692" s="204"/>
      <c r="D692" s="204"/>
      <c r="E692" s="204"/>
      <c r="F692" s="204"/>
      <c r="G692" s="204"/>
      <c r="H692" s="204"/>
      <c r="I692" s="204"/>
      <c r="J692" s="204"/>
      <c r="K692" s="204"/>
      <c r="L692" s="204"/>
      <c r="M692" s="204"/>
      <c r="N692" s="204"/>
      <c r="AI692" s="595" t="s">
        <v>216</v>
      </c>
      <c r="AJ692" s="595"/>
      <c r="AK692" s="595"/>
      <c r="AL692" s="595"/>
    </row>
    <row r="693" spans="1:39" ht="13.5" customHeight="1" x14ac:dyDescent="0.25">
      <c r="A693" s="334"/>
      <c r="B693" s="204"/>
      <c r="C693" s="204"/>
      <c r="D693" s="204"/>
      <c r="E693" s="204"/>
      <c r="F693" s="204"/>
      <c r="G693" s="204"/>
      <c r="H693" s="204"/>
      <c r="I693" s="204"/>
      <c r="J693" s="204"/>
      <c r="K693" s="204"/>
      <c r="L693" s="204"/>
      <c r="M693" s="204"/>
      <c r="N693" s="204"/>
      <c r="AI693" s="596" t="s">
        <v>217</v>
      </c>
      <c r="AJ693" s="596"/>
      <c r="AK693" s="596"/>
      <c r="AL693" s="596"/>
    </row>
    <row r="694" spans="1:39" ht="13.5" customHeight="1" x14ac:dyDescent="0.25">
      <c r="A694" s="204"/>
      <c r="B694" s="204"/>
      <c r="C694" s="204"/>
      <c r="D694" s="204"/>
      <c r="E694" s="204"/>
      <c r="F694" s="204"/>
      <c r="G694" s="204"/>
      <c r="H694" s="204"/>
      <c r="I694" s="204"/>
      <c r="J694" s="204"/>
      <c r="K694" s="204"/>
      <c r="L694" s="204"/>
      <c r="M694" s="204"/>
      <c r="N694" s="204"/>
    </row>
    <row r="695" spans="1:39" ht="13.5" customHeight="1" x14ac:dyDescent="0.25">
      <c r="A695" s="204"/>
      <c r="B695" s="204"/>
      <c r="C695" s="204"/>
      <c r="D695" s="204"/>
      <c r="E695" s="204"/>
      <c r="F695" s="204"/>
      <c r="G695" s="204"/>
      <c r="H695" s="204"/>
      <c r="I695" s="204"/>
      <c r="J695" s="204"/>
      <c r="K695" s="204"/>
      <c r="L695" s="204"/>
      <c r="M695" s="204"/>
      <c r="N695" s="204"/>
    </row>
    <row r="696" spans="1:39" ht="13.5" customHeight="1" x14ac:dyDescent="0.25">
      <c r="A696" s="337"/>
      <c r="B696" s="204"/>
      <c r="C696" s="204"/>
      <c r="D696" s="204"/>
      <c r="E696" s="204"/>
      <c r="F696" s="204"/>
      <c r="G696" s="204"/>
      <c r="H696" s="204"/>
      <c r="I696" s="204"/>
      <c r="J696" s="204"/>
      <c r="K696" s="204"/>
      <c r="L696" s="204"/>
      <c r="M696" s="204"/>
      <c r="N696" s="204"/>
    </row>
    <row r="697" spans="1:39" ht="13.5" customHeight="1" x14ac:dyDescent="0.25">
      <c r="A697" s="204"/>
      <c r="B697" s="204"/>
      <c r="C697" s="204"/>
      <c r="D697" s="204"/>
      <c r="E697" s="204"/>
      <c r="F697" s="204"/>
      <c r="G697" s="204"/>
      <c r="H697" s="204"/>
      <c r="I697" s="204"/>
      <c r="J697" s="204"/>
      <c r="K697" s="204"/>
      <c r="L697" s="204"/>
      <c r="M697" s="204"/>
      <c r="N697" s="204"/>
    </row>
    <row r="698" spans="1:39" ht="13.5" customHeight="1" x14ac:dyDescent="0.25">
      <c r="A698" s="204"/>
      <c r="B698" s="204"/>
      <c r="C698" s="204"/>
      <c r="D698" s="204"/>
      <c r="E698" s="204"/>
      <c r="F698" s="204"/>
      <c r="G698" s="204"/>
      <c r="H698" s="204"/>
      <c r="I698" s="204"/>
      <c r="J698" s="204"/>
      <c r="K698" s="204"/>
      <c r="L698" s="204"/>
      <c r="M698" s="204"/>
      <c r="N698" s="204"/>
    </row>
    <row r="699" spans="1:39" ht="13.5" customHeight="1" x14ac:dyDescent="0.25">
      <c r="A699" s="204"/>
      <c r="B699" s="204"/>
      <c r="C699" s="204"/>
      <c r="D699" s="204"/>
      <c r="E699" s="204"/>
      <c r="F699" s="204"/>
      <c r="G699" s="204"/>
      <c r="H699" s="204"/>
      <c r="I699" s="204"/>
      <c r="J699" s="204"/>
      <c r="K699" s="204"/>
      <c r="L699" s="204"/>
      <c r="M699" s="204"/>
      <c r="N699" s="204"/>
    </row>
    <row r="700" spans="1:39" ht="13.5" customHeight="1" x14ac:dyDescent="0.25">
      <c r="A700" s="337"/>
      <c r="B700" s="204"/>
      <c r="C700" s="204"/>
      <c r="D700" s="204"/>
      <c r="E700" s="204"/>
      <c r="F700" s="204"/>
      <c r="G700" s="204"/>
      <c r="H700" s="204"/>
      <c r="I700" s="204"/>
      <c r="J700" s="204"/>
      <c r="K700" s="204"/>
      <c r="L700" s="204"/>
      <c r="M700" s="204"/>
      <c r="N700" s="204"/>
    </row>
    <row r="701" spans="1:39" ht="13.5" customHeight="1" x14ac:dyDescent="0.25">
      <c r="A701" s="204"/>
      <c r="B701" s="204"/>
      <c r="C701" s="204"/>
      <c r="D701" s="204"/>
      <c r="E701" s="204"/>
      <c r="F701" s="204"/>
      <c r="G701" s="204"/>
      <c r="H701" s="204"/>
      <c r="I701" s="204"/>
      <c r="J701" s="204"/>
      <c r="K701" s="204"/>
      <c r="L701" s="204"/>
      <c r="M701" s="204"/>
      <c r="N701" s="204"/>
    </row>
    <row r="702" spans="1:39" ht="13.5" customHeight="1" x14ac:dyDescent="0.25">
      <c r="A702" s="204"/>
      <c r="B702" s="204"/>
      <c r="C702" s="204"/>
      <c r="D702" s="204"/>
      <c r="E702" s="204"/>
      <c r="F702" s="204"/>
      <c r="G702" s="204"/>
      <c r="H702" s="204"/>
      <c r="I702" s="204"/>
      <c r="J702" s="204"/>
      <c r="K702" s="204"/>
      <c r="L702" s="204"/>
      <c r="M702" s="204"/>
      <c r="N702" s="204"/>
    </row>
    <row r="703" spans="1:39" ht="13.5" customHeight="1" x14ac:dyDescent="0.25">
      <c r="A703" s="334"/>
      <c r="B703" s="204"/>
      <c r="C703" s="204"/>
      <c r="D703" s="204"/>
      <c r="E703" s="204"/>
      <c r="F703" s="204"/>
      <c r="G703" s="204"/>
      <c r="H703" s="204"/>
      <c r="I703" s="204"/>
      <c r="J703" s="204"/>
      <c r="K703" s="204"/>
      <c r="L703" s="204"/>
      <c r="M703" s="204"/>
      <c r="N703" s="204"/>
    </row>
    <row r="704" spans="1:39" ht="13.5" customHeight="1" x14ac:dyDescent="0.25">
      <c r="A704" s="333"/>
      <c r="B704" s="338"/>
      <c r="C704" s="338"/>
      <c r="D704" s="338"/>
      <c r="E704" s="338"/>
      <c r="F704" s="338"/>
      <c r="G704" s="338"/>
      <c r="H704" s="338"/>
      <c r="I704" s="338"/>
      <c r="J704" s="338"/>
      <c r="K704" s="333"/>
      <c r="L704" s="204"/>
      <c r="M704" s="204"/>
      <c r="N704" s="204"/>
    </row>
    <row r="705" spans="1:35" ht="13.5" customHeight="1" x14ac:dyDescent="0.25">
      <c r="A705" s="333">
        <v>0</v>
      </c>
      <c r="B705" s="338"/>
      <c r="C705" s="338"/>
      <c r="D705" s="338"/>
      <c r="E705" s="338"/>
      <c r="F705" s="338"/>
      <c r="G705" s="338"/>
      <c r="H705" s="338"/>
      <c r="I705" s="338"/>
      <c r="J705" s="338"/>
      <c r="K705" s="333" t="s">
        <v>190</v>
      </c>
      <c r="L705" s="204"/>
      <c r="M705" s="204"/>
      <c r="N705" s="204"/>
    </row>
    <row r="706" spans="1:35" ht="13.5" customHeight="1" x14ac:dyDescent="0.25">
      <c r="A706" s="333">
        <f>A704-A705</f>
        <v>0</v>
      </c>
      <c r="B706" s="338"/>
      <c r="C706" s="338"/>
      <c r="D706" s="338"/>
      <c r="E706" s="338"/>
      <c r="F706" s="338"/>
      <c r="G706" s="338"/>
      <c r="H706" s="338"/>
      <c r="I706" s="338"/>
      <c r="J706" s="338"/>
      <c r="K706" s="333" t="s">
        <v>191</v>
      </c>
      <c r="L706" s="204"/>
      <c r="M706" s="204"/>
      <c r="N706" s="204"/>
    </row>
    <row r="707" spans="1:35" ht="13.5" customHeight="1" x14ac:dyDescent="0.25">
      <c r="A707" s="204"/>
      <c r="B707" s="204"/>
      <c r="C707" s="204"/>
      <c r="D707" s="204"/>
      <c r="E707" s="204"/>
      <c r="F707" s="204"/>
      <c r="G707" s="204"/>
      <c r="H707" s="204"/>
      <c r="I707" s="204"/>
      <c r="J707" s="204"/>
      <c r="K707" s="204"/>
      <c r="L707" s="204"/>
      <c r="M707" s="204"/>
      <c r="N707" s="204"/>
    </row>
    <row r="708" spans="1:35" ht="13.5" customHeight="1" x14ac:dyDescent="0.25">
      <c r="A708" s="204">
        <v>7</v>
      </c>
      <c r="B708" s="204"/>
      <c r="C708" s="204"/>
      <c r="D708" s="204"/>
      <c r="E708" s="204"/>
      <c r="F708" s="204"/>
      <c r="G708" s="204"/>
      <c r="H708" s="204"/>
      <c r="I708" s="204"/>
      <c r="J708" s="204"/>
      <c r="K708" s="204" t="s">
        <v>168</v>
      </c>
      <c r="L708" s="204"/>
      <c r="M708" s="204"/>
      <c r="N708" s="332" t="s">
        <v>169</v>
      </c>
      <c r="O708" s="204"/>
      <c r="P708" s="204"/>
      <c r="Q708" s="204"/>
      <c r="R708" s="204"/>
      <c r="S708" s="204"/>
      <c r="T708" s="204"/>
      <c r="U708" s="204"/>
    </row>
    <row r="709" spans="1:35" ht="13.5" customHeight="1" x14ac:dyDescent="0.25">
      <c r="A709" s="204" t="e">
        <f>#REF!</f>
        <v>#REF!</v>
      </c>
      <c r="B709" s="204"/>
      <c r="C709" s="204"/>
      <c r="D709" s="204"/>
      <c r="E709" s="204"/>
      <c r="F709" s="204"/>
      <c r="G709" s="204"/>
      <c r="H709" s="204"/>
      <c r="I709" s="204"/>
      <c r="J709" s="204"/>
      <c r="K709" s="204" t="s">
        <v>170</v>
      </c>
      <c r="L709" s="204"/>
      <c r="M709" s="204"/>
      <c r="N709" s="204" t="s">
        <v>171</v>
      </c>
      <c r="O709" s="204"/>
      <c r="P709" s="204"/>
      <c r="Q709" s="204"/>
      <c r="R709" s="204"/>
      <c r="S709" s="204"/>
      <c r="T709" s="204"/>
      <c r="U709" s="204"/>
      <c r="V709" s="205"/>
      <c r="AI709" s="205"/>
    </row>
    <row r="710" spans="1:35" ht="13.5" customHeight="1" x14ac:dyDescent="0.25">
      <c r="A710" s="204"/>
      <c r="B710" s="204"/>
      <c r="C710" s="204"/>
      <c r="D710" s="204"/>
      <c r="E710" s="204"/>
      <c r="F710" s="204"/>
      <c r="G710" s="204"/>
      <c r="H710" s="204"/>
      <c r="I710" s="204"/>
      <c r="J710" s="204"/>
      <c r="K710" s="204"/>
      <c r="L710" s="204"/>
      <c r="M710" s="204"/>
      <c r="N710" s="204" t="s">
        <v>172</v>
      </c>
      <c r="V710" s="205"/>
      <c r="AI710" s="205"/>
    </row>
    <row r="711" spans="1:35" ht="13.5" customHeight="1" x14ac:dyDescent="0.25">
      <c r="A711" s="334">
        <f>COUNTIF(T141:T703,"&gt;=95")</f>
        <v>22</v>
      </c>
      <c r="B711" s="204"/>
      <c r="C711" s="204"/>
      <c r="D711" s="204"/>
      <c r="E711" s="204"/>
      <c r="F711" s="204"/>
      <c r="G711" s="204"/>
      <c r="H711" s="204"/>
      <c r="I711" s="204"/>
      <c r="J711" s="204"/>
      <c r="K711" s="204" t="s">
        <v>173</v>
      </c>
      <c r="L711" s="204"/>
      <c r="M711" s="204"/>
      <c r="N711" s="204" t="s">
        <v>174</v>
      </c>
      <c r="V711" s="205"/>
      <c r="AI711" s="205"/>
    </row>
    <row r="712" spans="1:35" ht="13.5" customHeight="1" x14ac:dyDescent="0.25">
      <c r="A712" s="204" t="e">
        <f>A709-A711</f>
        <v>#REF!</v>
      </c>
      <c r="B712" s="204"/>
      <c r="C712" s="204"/>
      <c r="D712" s="204"/>
      <c r="E712" s="204"/>
      <c r="F712" s="204"/>
      <c r="G712" s="204"/>
      <c r="H712" s="204"/>
      <c r="I712" s="204"/>
      <c r="J712" s="204"/>
      <c r="K712" s="204"/>
      <c r="L712" s="204"/>
      <c r="M712" s="204"/>
      <c r="N712" s="204" t="s">
        <v>175</v>
      </c>
      <c r="V712" s="205"/>
      <c r="AI712" s="205"/>
    </row>
    <row r="713" spans="1:35" ht="13.5" customHeight="1" x14ac:dyDescent="0.25">
      <c r="A713" s="204"/>
      <c r="B713" s="204"/>
      <c r="C713" s="204"/>
      <c r="D713" s="204"/>
      <c r="E713" s="204"/>
      <c r="F713" s="204"/>
      <c r="G713" s="204"/>
      <c r="H713" s="204"/>
      <c r="I713" s="204"/>
      <c r="J713" s="204"/>
      <c r="K713" s="204"/>
      <c r="L713" s="204"/>
      <c r="M713" s="204"/>
      <c r="N713" s="204" t="s">
        <v>176</v>
      </c>
      <c r="V713" s="205"/>
      <c r="AI713" s="205"/>
    </row>
    <row r="714" spans="1:35" ht="13.5" customHeight="1" x14ac:dyDescent="0.25">
      <c r="A714" s="337">
        <v>2</v>
      </c>
      <c r="B714" s="204"/>
      <c r="C714" s="204"/>
      <c r="D714" s="204"/>
      <c r="E714" s="204"/>
      <c r="F714" s="204"/>
      <c r="G714" s="204"/>
      <c r="H714" s="204"/>
      <c r="I714" s="204"/>
      <c r="J714" s="204"/>
      <c r="K714" s="204" t="s">
        <v>177</v>
      </c>
      <c r="L714" s="204"/>
      <c r="M714" s="204"/>
      <c r="N714" s="204" t="s">
        <v>178</v>
      </c>
      <c r="V714" s="205"/>
      <c r="AI714" s="205"/>
    </row>
    <row r="715" spans="1:35" ht="13.5" customHeight="1" x14ac:dyDescent="0.25">
      <c r="A715" s="204">
        <f>A708-A714</f>
        <v>5</v>
      </c>
      <c r="B715" s="204"/>
      <c r="C715" s="204"/>
      <c r="D715" s="204"/>
      <c r="E715" s="204"/>
      <c r="F715" s="204"/>
      <c r="G715" s="204"/>
      <c r="H715" s="204"/>
      <c r="I715" s="204"/>
      <c r="J715" s="204"/>
      <c r="K715" s="204"/>
      <c r="L715" s="204"/>
      <c r="M715" s="204"/>
      <c r="N715" s="204" t="s">
        <v>179</v>
      </c>
      <c r="V715" s="205"/>
      <c r="AI715" s="205"/>
    </row>
    <row r="716" spans="1:35" ht="13.5" customHeight="1" x14ac:dyDescent="0.25">
      <c r="A716" s="204"/>
      <c r="B716" s="204"/>
      <c r="C716" s="204"/>
      <c r="D716" s="204"/>
      <c r="E716" s="204"/>
      <c r="F716" s="204"/>
      <c r="G716" s="204"/>
      <c r="H716" s="204"/>
      <c r="I716" s="204"/>
      <c r="J716" s="204"/>
      <c r="K716" s="204"/>
      <c r="L716" s="204"/>
      <c r="M716" s="204"/>
      <c r="N716" s="204" t="s">
        <v>180</v>
      </c>
      <c r="V716" s="205"/>
      <c r="AI716" s="205"/>
    </row>
    <row r="717" spans="1:35" ht="13.5" customHeight="1" x14ac:dyDescent="0.25">
      <c r="A717" s="204">
        <v>7</v>
      </c>
      <c r="B717" s="204"/>
      <c r="C717" s="204"/>
      <c r="D717" s="204"/>
      <c r="E717" s="204"/>
      <c r="F717" s="204"/>
      <c r="G717" s="204"/>
      <c r="H717" s="204"/>
      <c r="I717" s="204"/>
      <c r="J717" s="204"/>
      <c r="K717" s="204" t="s">
        <v>181</v>
      </c>
      <c r="L717" s="204"/>
      <c r="M717" s="204"/>
      <c r="N717" s="204" t="s">
        <v>182</v>
      </c>
      <c r="V717" s="205"/>
      <c r="AI717" s="205"/>
    </row>
    <row r="718" spans="1:35" ht="13.5" customHeight="1" x14ac:dyDescent="0.25">
      <c r="A718" s="337">
        <v>3</v>
      </c>
      <c r="B718" s="204"/>
      <c r="C718" s="204"/>
      <c r="D718" s="204"/>
      <c r="E718" s="204"/>
      <c r="F718" s="204"/>
      <c r="G718" s="204"/>
      <c r="H718" s="204"/>
      <c r="I718" s="204"/>
      <c r="J718" s="204"/>
      <c r="K718" s="204" t="s">
        <v>183</v>
      </c>
      <c r="L718" s="204"/>
      <c r="M718" s="204"/>
      <c r="N718" s="204" t="s">
        <v>184</v>
      </c>
      <c r="V718" s="205"/>
      <c r="AI718" s="205"/>
    </row>
    <row r="719" spans="1:35" ht="13.5" customHeight="1" x14ac:dyDescent="0.25">
      <c r="A719" s="204">
        <f>A717-A718</f>
        <v>4</v>
      </c>
      <c r="B719" s="204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 t="s">
        <v>185</v>
      </c>
      <c r="V719" s="205"/>
      <c r="AI719" s="205"/>
    </row>
    <row r="720" spans="1:35" ht="13.5" customHeight="1" x14ac:dyDescent="0.25">
      <c r="A720" s="204"/>
      <c r="B720" s="204"/>
      <c r="C720" s="204"/>
      <c r="D720" s="204"/>
      <c r="E720" s="204"/>
      <c r="F720" s="204"/>
      <c r="G720" s="204"/>
      <c r="H720" s="204"/>
      <c r="I720" s="204"/>
      <c r="J720" s="204"/>
      <c r="K720" s="204"/>
      <c r="L720" s="204"/>
      <c r="M720" s="204"/>
      <c r="N720" s="204" t="s">
        <v>186</v>
      </c>
      <c r="V720" s="205"/>
      <c r="AI720" s="205"/>
    </row>
    <row r="721" spans="1:35" ht="13.5" customHeight="1" x14ac:dyDescent="0.25">
      <c r="A721" s="334">
        <f>COUNTIF(T141:T703,"0")</f>
        <v>357</v>
      </c>
      <c r="B721" s="204"/>
      <c r="C721" s="204"/>
      <c r="D721" s="204"/>
      <c r="E721" s="204"/>
      <c r="F721" s="204"/>
      <c r="G721" s="204"/>
      <c r="H721" s="204"/>
      <c r="I721" s="204"/>
      <c r="J721" s="204"/>
      <c r="K721" s="204" t="s">
        <v>187</v>
      </c>
      <c r="L721" s="204"/>
      <c r="M721" s="204"/>
      <c r="N721" s="204" t="s">
        <v>188</v>
      </c>
      <c r="V721" s="205"/>
      <c r="AI721" s="205"/>
    </row>
    <row r="722" spans="1:35" ht="13.5" customHeight="1" x14ac:dyDescent="0.25">
      <c r="A722" s="333" t="e">
        <f>A709-(A711+A721)</f>
        <v>#REF!</v>
      </c>
      <c r="B722" s="338"/>
      <c r="C722" s="338"/>
      <c r="D722" s="338"/>
      <c r="E722" s="338"/>
      <c r="F722" s="338"/>
      <c r="G722" s="338"/>
      <c r="H722" s="338"/>
      <c r="I722" s="338"/>
      <c r="J722" s="338"/>
      <c r="K722" s="333" t="s">
        <v>189</v>
      </c>
      <c r="L722" s="204"/>
      <c r="M722" s="204"/>
      <c r="N722" s="204"/>
      <c r="V722" s="205"/>
      <c r="AI722" s="205"/>
    </row>
  </sheetData>
  <autoFilter ref="A1:A722" xr:uid="{00000000-0009-0000-0000-000005000000}"/>
  <mergeCells count="797">
    <mergeCell ref="L30:N30"/>
    <mergeCell ref="L34:N34"/>
    <mergeCell ref="AI692:AL692"/>
    <mergeCell ref="AI693:AL693"/>
    <mergeCell ref="B684:I684"/>
    <mergeCell ref="M684:N684"/>
    <mergeCell ref="B685:I685"/>
    <mergeCell ref="L685:N685"/>
    <mergeCell ref="AI686:AL686"/>
    <mergeCell ref="AI687:AL687"/>
    <mergeCell ref="M678:N678"/>
    <mergeCell ref="M679:N679"/>
    <mergeCell ref="M680:N680"/>
    <mergeCell ref="M681:N681"/>
    <mergeCell ref="M682:N682"/>
    <mergeCell ref="M683:N683"/>
    <mergeCell ref="M673:N673"/>
    <mergeCell ref="M674:N674"/>
    <mergeCell ref="M675:N675"/>
    <mergeCell ref="B676:I676"/>
    <mergeCell ref="L676:N676"/>
    <mergeCell ref="M677:N677"/>
    <mergeCell ref="M667:N667"/>
    <mergeCell ref="M668:N668"/>
    <mergeCell ref="M669:N669"/>
    <mergeCell ref="M670:N670"/>
    <mergeCell ref="M671:N671"/>
    <mergeCell ref="M672:N672"/>
    <mergeCell ref="M661:N661"/>
    <mergeCell ref="M662:N662"/>
    <mergeCell ref="M663:N663"/>
    <mergeCell ref="M664:N664"/>
    <mergeCell ref="M665:N665"/>
    <mergeCell ref="M666:N666"/>
    <mergeCell ref="M655:N655"/>
    <mergeCell ref="M656:N656"/>
    <mergeCell ref="M657:N657"/>
    <mergeCell ref="M658:N658"/>
    <mergeCell ref="M659:N659"/>
    <mergeCell ref="M660:N660"/>
    <mergeCell ref="M649:N649"/>
    <mergeCell ref="M650:N650"/>
    <mergeCell ref="M651:N651"/>
    <mergeCell ref="M652:N652"/>
    <mergeCell ref="M653:N653"/>
    <mergeCell ref="M654:N654"/>
    <mergeCell ref="M643:N643"/>
    <mergeCell ref="M644:N644"/>
    <mergeCell ref="M645:N645"/>
    <mergeCell ref="M646:N646"/>
    <mergeCell ref="M647:N647"/>
    <mergeCell ref="M648:N648"/>
    <mergeCell ref="M637:N637"/>
    <mergeCell ref="M638:N638"/>
    <mergeCell ref="M639:N639"/>
    <mergeCell ref="M640:N640"/>
    <mergeCell ref="M641:N641"/>
    <mergeCell ref="M642:N642"/>
    <mergeCell ref="M631:N631"/>
    <mergeCell ref="M632:N632"/>
    <mergeCell ref="M633:N633"/>
    <mergeCell ref="M634:N634"/>
    <mergeCell ref="M635:N635"/>
    <mergeCell ref="M636:N636"/>
    <mergeCell ref="M625:N625"/>
    <mergeCell ref="M626:N626"/>
    <mergeCell ref="M627:N627"/>
    <mergeCell ref="M628:N628"/>
    <mergeCell ref="M629:N629"/>
    <mergeCell ref="M630:N630"/>
    <mergeCell ref="M619:N619"/>
    <mergeCell ref="M620:N620"/>
    <mergeCell ref="M621:N621"/>
    <mergeCell ref="M622:N622"/>
    <mergeCell ref="M623:N623"/>
    <mergeCell ref="M624:N624"/>
    <mergeCell ref="M613:N613"/>
    <mergeCell ref="M614:N614"/>
    <mergeCell ref="M615:N615"/>
    <mergeCell ref="M616:N616"/>
    <mergeCell ref="M617:N617"/>
    <mergeCell ref="M618:N618"/>
    <mergeCell ref="M607:N607"/>
    <mergeCell ref="M608:N608"/>
    <mergeCell ref="M609:N609"/>
    <mergeCell ref="M610:N610"/>
    <mergeCell ref="M611:N611"/>
    <mergeCell ref="M612:N612"/>
    <mergeCell ref="M601:N601"/>
    <mergeCell ref="M602:N602"/>
    <mergeCell ref="M603:N603"/>
    <mergeCell ref="M604:N604"/>
    <mergeCell ref="M605:N605"/>
    <mergeCell ref="M606:N606"/>
    <mergeCell ref="M595:N595"/>
    <mergeCell ref="M596:N596"/>
    <mergeCell ref="M597:N597"/>
    <mergeCell ref="M598:N598"/>
    <mergeCell ref="M599:N599"/>
    <mergeCell ref="M600:N600"/>
    <mergeCell ref="M589:N589"/>
    <mergeCell ref="M590:N590"/>
    <mergeCell ref="M591:N591"/>
    <mergeCell ref="M592:N592"/>
    <mergeCell ref="M593:N593"/>
    <mergeCell ref="M594:N594"/>
    <mergeCell ref="M583:N583"/>
    <mergeCell ref="M584:N584"/>
    <mergeCell ref="M585:N585"/>
    <mergeCell ref="M586:N586"/>
    <mergeCell ref="M587:N587"/>
    <mergeCell ref="M588:N588"/>
    <mergeCell ref="M577:N577"/>
    <mergeCell ref="M578:N578"/>
    <mergeCell ref="M579:N579"/>
    <mergeCell ref="M580:N580"/>
    <mergeCell ref="M581:N581"/>
    <mergeCell ref="M582:N582"/>
    <mergeCell ref="M571:N571"/>
    <mergeCell ref="M572:N572"/>
    <mergeCell ref="M573:N573"/>
    <mergeCell ref="M574:N574"/>
    <mergeCell ref="M575:N575"/>
    <mergeCell ref="M576:N576"/>
    <mergeCell ref="M565:N565"/>
    <mergeCell ref="M566:N566"/>
    <mergeCell ref="M567:N567"/>
    <mergeCell ref="M568:N568"/>
    <mergeCell ref="M569:N569"/>
    <mergeCell ref="M570:N570"/>
    <mergeCell ref="M559:N559"/>
    <mergeCell ref="M560:N560"/>
    <mergeCell ref="M561:N561"/>
    <mergeCell ref="M562:N562"/>
    <mergeCell ref="M563:N563"/>
    <mergeCell ref="M564:N564"/>
    <mergeCell ref="M553:N553"/>
    <mergeCell ref="M554:N554"/>
    <mergeCell ref="M555:N555"/>
    <mergeCell ref="M556:N556"/>
    <mergeCell ref="M557:N557"/>
    <mergeCell ref="M558:N558"/>
    <mergeCell ref="M547:N547"/>
    <mergeCell ref="M548:N548"/>
    <mergeCell ref="M549:N549"/>
    <mergeCell ref="M550:N550"/>
    <mergeCell ref="M551:N551"/>
    <mergeCell ref="M552:N552"/>
    <mergeCell ref="M541:N541"/>
    <mergeCell ref="M542:N542"/>
    <mergeCell ref="M543:N543"/>
    <mergeCell ref="M544:N544"/>
    <mergeCell ref="M545:N545"/>
    <mergeCell ref="M546:N546"/>
    <mergeCell ref="M536:N536"/>
    <mergeCell ref="M537:N537"/>
    <mergeCell ref="M538:N538"/>
    <mergeCell ref="B539:I539"/>
    <mergeCell ref="M539:N539"/>
    <mergeCell ref="M540:N540"/>
    <mergeCell ref="M530:N530"/>
    <mergeCell ref="M531:N531"/>
    <mergeCell ref="M532:N532"/>
    <mergeCell ref="M533:N533"/>
    <mergeCell ref="M534:N534"/>
    <mergeCell ref="M535:N535"/>
    <mergeCell ref="M525:N525"/>
    <mergeCell ref="M526:N526"/>
    <mergeCell ref="B527:I527"/>
    <mergeCell ref="M527:N527"/>
    <mergeCell ref="M528:N528"/>
    <mergeCell ref="M529:N529"/>
    <mergeCell ref="B520:I520"/>
    <mergeCell ref="M520:N520"/>
    <mergeCell ref="M521:N521"/>
    <mergeCell ref="M522:N522"/>
    <mergeCell ref="M523:N523"/>
    <mergeCell ref="M524:N524"/>
    <mergeCell ref="M514:N514"/>
    <mergeCell ref="M515:N515"/>
    <mergeCell ref="M516:N516"/>
    <mergeCell ref="M517:N517"/>
    <mergeCell ref="M518:N518"/>
    <mergeCell ref="M519:N519"/>
    <mergeCell ref="M508:N508"/>
    <mergeCell ref="M509:N509"/>
    <mergeCell ref="M510:N510"/>
    <mergeCell ref="M511:N511"/>
    <mergeCell ref="M512:N512"/>
    <mergeCell ref="M513:N513"/>
    <mergeCell ref="M502:N502"/>
    <mergeCell ref="M503:N503"/>
    <mergeCell ref="M504:N504"/>
    <mergeCell ref="M505:N505"/>
    <mergeCell ref="M506:N506"/>
    <mergeCell ref="M507:N507"/>
    <mergeCell ref="M497:N497"/>
    <mergeCell ref="M498:N498"/>
    <mergeCell ref="M499:N499"/>
    <mergeCell ref="M500:N500"/>
    <mergeCell ref="B501:I501"/>
    <mergeCell ref="M501:N501"/>
    <mergeCell ref="B492:I492"/>
    <mergeCell ref="M492:N492"/>
    <mergeCell ref="M493:N493"/>
    <mergeCell ref="M494:N494"/>
    <mergeCell ref="M495:N495"/>
    <mergeCell ref="M496:N496"/>
    <mergeCell ref="M486:N486"/>
    <mergeCell ref="M487:N487"/>
    <mergeCell ref="M488:N488"/>
    <mergeCell ref="M489:N489"/>
    <mergeCell ref="M490:N490"/>
    <mergeCell ref="M491:N491"/>
    <mergeCell ref="M480:N480"/>
    <mergeCell ref="M481:N481"/>
    <mergeCell ref="M482:N482"/>
    <mergeCell ref="M483:N483"/>
    <mergeCell ref="M484:N484"/>
    <mergeCell ref="M485:N485"/>
    <mergeCell ref="M474:N474"/>
    <mergeCell ref="M475:N475"/>
    <mergeCell ref="M476:N476"/>
    <mergeCell ref="M477:N477"/>
    <mergeCell ref="M478:N478"/>
    <mergeCell ref="M479:N479"/>
    <mergeCell ref="M468:N468"/>
    <mergeCell ref="M469:N469"/>
    <mergeCell ref="M470:N470"/>
    <mergeCell ref="M471:N471"/>
    <mergeCell ref="M472:N472"/>
    <mergeCell ref="M473:N473"/>
    <mergeCell ref="B463:I463"/>
    <mergeCell ref="M463:N463"/>
    <mergeCell ref="M464:N464"/>
    <mergeCell ref="M465:N465"/>
    <mergeCell ref="M466:N466"/>
    <mergeCell ref="M467:N467"/>
    <mergeCell ref="M457:N457"/>
    <mergeCell ref="M458:N458"/>
    <mergeCell ref="M459:N459"/>
    <mergeCell ref="M460:N460"/>
    <mergeCell ref="M461:N461"/>
    <mergeCell ref="M462:N462"/>
    <mergeCell ref="M452:N452"/>
    <mergeCell ref="M453:N453"/>
    <mergeCell ref="B454:I454"/>
    <mergeCell ref="M454:N454"/>
    <mergeCell ref="M455:N455"/>
    <mergeCell ref="M456:N456"/>
    <mergeCell ref="M446:N446"/>
    <mergeCell ref="M447:N447"/>
    <mergeCell ref="M448:N448"/>
    <mergeCell ref="M449:N449"/>
    <mergeCell ref="M450:N450"/>
    <mergeCell ref="M451:N451"/>
    <mergeCell ref="M441:N441"/>
    <mergeCell ref="M442:N442"/>
    <mergeCell ref="M443:N443"/>
    <mergeCell ref="B444:I444"/>
    <mergeCell ref="M444:N444"/>
    <mergeCell ref="M445:N445"/>
    <mergeCell ref="M435:N435"/>
    <mergeCell ref="M436:N436"/>
    <mergeCell ref="M437:N437"/>
    <mergeCell ref="M438:N438"/>
    <mergeCell ref="M439:N439"/>
    <mergeCell ref="M440:N440"/>
    <mergeCell ref="M430:N430"/>
    <mergeCell ref="M431:N431"/>
    <mergeCell ref="M432:N432"/>
    <mergeCell ref="B433:I433"/>
    <mergeCell ref="M433:N433"/>
    <mergeCell ref="M434:N434"/>
    <mergeCell ref="M424:N424"/>
    <mergeCell ref="M425:N425"/>
    <mergeCell ref="M426:N426"/>
    <mergeCell ref="M427:N427"/>
    <mergeCell ref="M428:N428"/>
    <mergeCell ref="M429:N429"/>
    <mergeCell ref="M419:N419"/>
    <mergeCell ref="M420:N420"/>
    <mergeCell ref="M421:N421"/>
    <mergeCell ref="B422:I422"/>
    <mergeCell ref="M422:N422"/>
    <mergeCell ref="M423:N423"/>
    <mergeCell ref="M413:N413"/>
    <mergeCell ref="M414:N414"/>
    <mergeCell ref="M415:N415"/>
    <mergeCell ref="M416:N416"/>
    <mergeCell ref="M417:N417"/>
    <mergeCell ref="M418:N418"/>
    <mergeCell ref="M407:N407"/>
    <mergeCell ref="M408:N408"/>
    <mergeCell ref="M409:N409"/>
    <mergeCell ref="M410:N410"/>
    <mergeCell ref="M411:N411"/>
    <mergeCell ref="M412:N412"/>
    <mergeCell ref="M402:N402"/>
    <mergeCell ref="M403:N403"/>
    <mergeCell ref="M404:N404"/>
    <mergeCell ref="B405:I405"/>
    <mergeCell ref="M405:N405"/>
    <mergeCell ref="M406:N406"/>
    <mergeCell ref="B397:I397"/>
    <mergeCell ref="M397:N397"/>
    <mergeCell ref="M398:N398"/>
    <mergeCell ref="M399:N399"/>
    <mergeCell ref="M400:N400"/>
    <mergeCell ref="M401:N401"/>
    <mergeCell ref="M391:N391"/>
    <mergeCell ref="M392:N392"/>
    <mergeCell ref="M393:N393"/>
    <mergeCell ref="M394:N394"/>
    <mergeCell ref="M395:N395"/>
    <mergeCell ref="M396:N396"/>
    <mergeCell ref="M385:N385"/>
    <mergeCell ref="M386:N386"/>
    <mergeCell ref="M387:N387"/>
    <mergeCell ref="M388:N388"/>
    <mergeCell ref="M389:N389"/>
    <mergeCell ref="M390:N390"/>
    <mergeCell ref="M379:N379"/>
    <mergeCell ref="M380:N380"/>
    <mergeCell ref="M381:N381"/>
    <mergeCell ref="M382:N382"/>
    <mergeCell ref="M383:N383"/>
    <mergeCell ref="B384:I384"/>
    <mergeCell ref="M384:N384"/>
    <mergeCell ref="B374:I374"/>
    <mergeCell ref="M374:N374"/>
    <mergeCell ref="M375:N375"/>
    <mergeCell ref="M376:N376"/>
    <mergeCell ref="M377:N377"/>
    <mergeCell ref="M378:N378"/>
    <mergeCell ref="M368:N368"/>
    <mergeCell ref="M369:N369"/>
    <mergeCell ref="M370:N370"/>
    <mergeCell ref="M371:N371"/>
    <mergeCell ref="M372:N372"/>
    <mergeCell ref="M373:N373"/>
    <mergeCell ref="M362:N362"/>
    <mergeCell ref="M363:N363"/>
    <mergeCell ref="M364:N364"/>
    <mergeCell ref="M365:N365"/>
    <mergeCell ref="M366:N366"/>
    <mergeCell ref="M367:N367"/>
    <mergeCell ref="M357:N357"/>
    <mergeCell ref="M358:N358"/>
    <mergeCell ref="M359:N359"/>
    <mergeCell ref="M360:N360"/>
    <mergeCell ref="B361:I361"/>
    <mergeCell ref="M361:N361"/>
    <mergeCell ref="M351:N351"/>
    <mergeCell ref="M352:N352"/>
    <mergeCell ref="M353:N353"/>
    <mergeCell ref="M354:N354"/>
    <mergeCell ref="M355:N355"/>
    <mergeCell ref="M356:N356"/>
    <mergeCell ref="M346:N346"/>
    <mergeCell ref="B347:I347"/>
    <mergeCell ref="M347:N347"/>
    <mergeCell ref="M348:N348"/>
    <mergeCell ref="M349:N349"/>
    <mergeCell ref="M350:N350"/>
    <mergeCell ref="M340:N340"/>
    <mergeCell ref="M341:N341"/>
    <mergeCell ref="M342:N342"/>
    <mergeCell ref="M343:N343"/>
    <mergeCell ref="M344:N344"/>
    <mergeCell ref="M345:N345"/>
    <mergeCell ref="M335:N335"/>
    <mergeCell ref="B336:I336"/>
    <mergeCell ref="M336:N336"/>
    <mergeCell ref="M337:N337"/>
    <mergeCell ref="M338:N338"/>
    <mergeCell ref="M339:N339"/>
    <mergeCell ref="M329:N329"/>
    <mergeCell ref="M330:N330"/>
    <mergeCell ref="M331:N331"/>
    <mergeCell ref="M332:N332"/>
    <mergeCell ref="M333:N333"/>
    <mergeCell ref="M334:N334"/>
    <mergeCell ref="M323:N323"/>
    <mergeCell ref="M324:N324"/>
    <mergeCell ref="M325:N325"/>
    <mergeCell ref="M326:N326"/>
    <mergeCell ref="M327:N327"/>
    <mergeCell ref="M328:N328"/>
    <mergeCell ref="M318:N318"/>
    <mergeCell ref="M319:N319"/>
    <mergeCell ref="M320:N320"/>
    <mergeCell ref="M321:N321"/>
    <mergeCell ref="B322:I322"/>
    <mergeCell ref="M322:N322"/>
    <mergeCell ref="M313:N313"/>
    <mergeCell ref="B314:I314"/>
    <mergeCell ref="M314:N314"/>
    <mergeCell ref="M315:N315"/>
    <mergeCell ref="M316:N316"/>
    <mergeCell ref="M317:N317"/>
    <mergeCell ref="M307:N307"/>
    <mergeCell ref="M308:N308"/>
    <mergeCell ref="M309:N309"/>
    <mergeCell ref="M310:N310"/>
    <mergeCell ref="M311:N311"/>
    <mergeCell ref="M312:N312"/>
    <mergeCell ref="M302:N302"/>
    <mergeCell ref="M303:N303"/>
    <mergeCell ref="M304:N304"/>
    <mergeCell ref="M305:N305"/>
    <mergeCell ref="B306:I306"/>
    <mergeCell ref="M306:N306"/>
    <mergeCell ref="M296:N296"/>
    <mergeCell ref="M297:N297"/>
    <mergeCell ref="M298:N298"/>
    <mergeCell ref="M299:N299"/>
    <mergeCell ref="M300:N300"/>
    <mergeCell ref="M301:N301"/>
    <mergeCell ref="M291:N291"/>
    <mergeCell ref="M292:N292"/>
    <mergeCell ref="M293:N293"/>
    <mergeCell ref="B294:I294"/>
    <mergeCell ref="M294:N294"/>
    <mergeCell ref="M295:N295"/>
    <mergeCell ref="M285:N285"/>
    <mergeCell ref="M286:N286"/>
    <mergeCell ref="M287:N287"/>
    <mergeCell ref="M288:N288"/>
    <mergeCell ref="M289:N289"/>
    <mergeCell ref="M290:N290"/>
    <mergeCell ref="M279:N279"/>
    <mergeCell ref="M280:N280"/>
    <mergeCell ref="M281:N281"/>
    <mergeCell ref="M282:N282"/>
    <mergeCell ref="M283:N283"/>
    <mergeCell ref="B284:I284"/>
    <mergeCell ref="M284:N284"/>
    <mergeCell ref="M273:N273"/>
    <mergeCell ref="M274:N274"/>
    <mergeCell ref="M275:N275"/>
    <mergeCell ref="M276:N276"/>
    <mergeCell ref="M277:N277"/>
    <mergeCell ref="M278:N278"/>
    <mergeCell ref="M267:N267"/>
    <mergeCell ref="M268:N268"/>
    <mergeCell ref="M269:N269"/>
    <mergeCell ref="M270:N270"/>
    <mergeCell ref="M271:N271"/>
    <mergeCell ref="B272:I272"/>
    <mergeCell ref="M272:N272"/>
    <mergeCell ref="M261:N261"/>
    <mergeCell ref="M262:N262"/>
    <mergeCell ref="M263:N263"/>
    <mergeCell ref="M264:N264"/>
    <mergeCell ref="M265:N265"/>
    <mergeCell ref="M266:N266"/>
    <mergeCell ref="M255:N255"/>
    <mergeCell ref="M256:N256"/>
    <mergeCell ref="M257:N257"/>
    <mergeCell ref="M258:N258"/>
    <mergeCell ref="M259:N259"/>
    <mergeCell ref="M260:N260"/>
    <mergeCell ref="M249:N249"/>
    <mergeCell ref="M250:N250"/>
    <mergeCell ref="M251:N251"/>
    <mergeCell ref="M252:N252"/>
    <mergeCell ref="M253:N253"/>
    <mergeCell ref="M254:N254"/>
    <mergeCell ref="B245:I245"/>
    <mergeCell ref="L245:N245"/>
    <mergeCell ref="B246:I246"/>
    <mergeCell ref="M246:N246"/>
    <mergeCell ref="M247:N247"/>
    <mergeCell ref="M248:N248"/>
    <mergeCell ref="M239:N239"/>
    <mergeCell ref="M240:N240"/>
    <mergeCell ref="M241:N241"/>
    <mergeCell ref="M242:N242"/>
    <mergeCell ref="M243:N243"/>
    <mergeCell ref="M244:N244"/>
    <mergeCell ref="M234:N234"/>
    <mergeCell ref="M235:N235"/>
    <mergeCell ref="M236:N236"/>
    <mergeCell ref="M237:N237"/>
    <mergeCell ref="B238:I238"/>
    <mergeCell ref="M238:N238"/>
    <mergeCell ref="M228:N228"/>
    <mergeCell ref="M229:N229"/>
    <mergeCell ref="M230:N230"/>
    <mergeCell ref="M231:N231"/>
    <mergeCell ref="M232:N232"/>
    <mergeCell ref="M233:N233"/>
    <mergeCell ref="M222:N222"/>
    <mergeCell ref="M223:N223"/>
    <mergeCell ref="M224:N224"/>
    <mergeCell ref="M225:N225"/>
    <mergeCell ref="M226:N226"/>
    <mergeCell ref="B227:I227"/>
    <mergeCell ref="M227:N227"/>
    <mergeCell ref="M216:N216"/>
    <mergeCell ref="M217:N217"/>
    <mergeCell ref="M218:N218"/>
    <mergeCell ref="M219:N219"/>
    <mergeCell ref="M220:N220"/>
    <mergeCell ref="M221:N221"/>
    <mergeCell ref="M211:N211"/>
    <mergeCell ref="M212:N212"/>
    <mergeCell ref="B213:I213"/>
    <mergeCell ref="M213:N213"/>
    <mergeCell ref="M214:N214"/>
    <mergeCell ref="M215:N215"/>
    <mergeCell ref="B206:I206"/>
    <mergeCell ref="M206:N206"/>
    <mergeCell ref="M207:N207"/>
    <mergeCell ref="M208:N208"/>
    <mergeCell ref="M209:N209"/>
    <mergeCell ref="M210:N210"/>
    <mergeCell ref="M200:N200"/>
    <mergeCell ref="M201:N201"/>
    <mergeCell ref="M202:N202"/>
    <mergeCell ref="M203:N203"/>
    <mergeCell ref="M204:N204"/>
    <mergeCell ref="M205:N205"/>
    <mergeCell ref="M194:N194"/>
    <mergeCell ref="M195:N195"/>
    <mergeCell ref="M196:N196"/>
    <mergeCell ref="M197:N197"/>
    <mergeCell ref="M198:N198"/>
    <mergeCell ref="M199:N199"/>
    <mergeCell ref="M189:N189"/>
    <mergeCell ref="B190:I190"/>
    <mergeCell ref="M190:N190"/>
    <mergeCell ref="M191:N191"/>
    <mergeCell ref="M192:N192"/>
    <mergeCell ref="M193:N193"/>
    <mergeCell ref="M183:N183"/>
    <mergeCell ref="M184:N184"/>
    <mergeCell ref="M185:N185"/>
    <mergeCell ref="M186:N186"/>
    <mergeCell ref="M187:N187"/>
    <mergeCell ref="M188:N188"/>
    <mergeCell ref="B178:I178"/>
    <mergeCell ref="M178:N178"/>
    <mergeCell ref="M179:N179"/>
    <mergeCell ref="M180:N180"/>
    <mergeCell ref="M181:N181"/>
    <mergeCell ref="M182:N182"/>
    <mergeCell ref="M173:N173"/>
    <mergeCell ref="M174:N174"/>
    <mergeCell ref="M175:N175"/>
    <mergeCell ref="M176:N176"/>
    <mergeCell ref="B177:I177"/>
    <mergeCell ref="L177:N177"/>
    <mergeCell ref="B168:I168"/>
    <mergeCell ref="M168:N168"/>
    <mergeCell ref="M169:N169"/>
    <mergeCell ref="M170:N170"/>
    <mergeCell ref="M171:N171"/>
    <mergeCell ref="M172:N172"/>
    <mergeCell ref="M164:N164"/>
    <mergeCell ref="B165:I165"/>
    <mergeCell ref="L165:N165"/>
    <mergeCell ref="B166:I166"/>
    <mergeCell ref="M166:N166"/>
    <mergeCell ref="M167:N167"/>
    <mergeCell ref="M159:N159"/>
    <mergeCell ref="M160:N160"/>
    <mergeCell ref="M161:N161"/>
    <mergeCell ref="B162:I162"/>
    <mergeCell ref="M162:N162"/>
    <mergeCell ref="M163:N163"/>
    <mergeCell ref="M154:N154"/>
    <mergeCell ref="M155:N155"/>
    <mergeCell ref="M156:N156"/>
    <mergeCell ref="M157:N157"/>
    <mergeCell ref="B158:I158"/>
    <mergeCell ref="L158:N158"/>
    <mergeCell ref="M149:N149"/>
    <mergeCell ref="M150:N150"/>
    <mergeCell ref="M151:N151"/>
    <mergeCell ref="B152:I152"/>
    <mergeCell ref="M152:N152"/>
    <mergeCell ref="M153:N153"/>
    <mergeCell ref="M144:N144"/>
    <mergeCell ref="B145:I145"/>
    <mergeCell ref="M145:N145"/>
    <mergeCell ref="M146:N146"/>
    <mergeCell ref="M147:N147"/>
    <mergeCell ref="M148:N148"/>
    <mergeCell ref="M139:N139"/>
    <mergeCell ref="M140:N140"/>
    <mergeCell ref="B141:I141"/>
    <mergeCell ref="M141:N141"/>
    <mergeCell ref="M142:N142"/>
    <mergeCell ref="M143:N143"/>
    <mergeCell ref="M135:N135"/>
    <mergeCell ref="B136:I136"/>
    <mergeCell ref="M136:N136"/>
    <mergeCell ref="M137:N137"/>
    <mergeCell ref="B138:I138"/>
    <mergeCell ref="M138:N138"/>
    <mergeCell ref="M129:N129"/>
    <mergeCell ref="M130:N130"/>
    <mergeCell ref="M131:N131"/>
    <mergeCell ref="M132:N132"/>
    <mergeCell ref="M133:N133"/>
    <mergeCell ref="M134:N134"/>
    <mergeCell ref="B124:I124"/>
    <mergeCell ref="M124:N124"/>
    <mergeCell ref="M125:N125"/>
    <mergeCell ref="M126:N126"/>
    <mergeCell ref="M127:N127"/>
    <mergeCell ref="M128:N128"/>
    <mergeCell ref="M120:N120"/>
    <mergeCell ref="B121:I121"/>
    <mergeCell ref="L121:N121"/>
    <mergeCell ref="B122:I122"/>
    <mergeCell ref="M122:N122"/>
    <mergeCell ref="M123:N123"/>
    <mergeCell ref="M114:N114"/>
    <mergeCell ref="M115:N115"/>
    <mergeCell ref="M116:N116"/>
    <mergeCell ref="M117:N117"/>
    <mergeCell ref="M118:N118"/>
    <mergeCell ref="M119:N119"/>
    <mergeCell ref="M108:N108"/>
    <mergeCell ref="M109:N109"/>
    <mergeCell ref="M110:N110"/>
    <mergeCell ref="M111:N111"/>
    <mergeCell ref="M112:N112"/>
    <mergeCell ref="M113:N113"/>
    <mergeCell ref="M103:N103"/>
    <mergeCell ref="M104:N104"/>
    <mergeCell ref="M105:N105"/>
    <mergeCell ref="M106:N106"/>
    <mergeCell ref="B107:I107"/>
    <mergeCell ref="M107:N107"/>
    <mergeCell ref="M97:N97"/>
    <mergeCell ref="M98:N98"/>
    <mergeCell ref="M99:N99"/>
    <mergeCell ref="M100:N100"/>
    <mergeCell ref="M101:N101"/>
    <mergeCell ref="M102:N102"/>
    <mergeCell ref="M92:N92"/>
    <mergeCell ref="B93:I93"/>
    <mergeCell ref="M93:N93"/>
    <mergeCell ref="M94:N94"/>
    <mergeCell ref="M95:N95"/>
    <mergeCell ref="M96:N96"/>
    <mergeCell ref="M87:N87"/>
    <mergeCell ref="M88:N88"/>
    <mergeCell ref="B89:I89"/>
    <mergeCell ref="M89:N89"/>
    <mergeCell ref="M90:N90"/>
    <mergeCell ref="B91:I91"/>
    <mergeCell ref="M91:N91"/>
    <mergeCell ref="M82:N82"/>
    <mergeCell ref="B83:I83"/>
    <mergeCell ref="M83:N83"/>
    <mergeCell ref="M84:N84"/>
    <mergeCell ref="M85:N85"/>
    <mergeCell ref="B86:I86"/>
    <mergeCell ref="M86:N86"/>
    <mergeCell ref="M77:N77"/>
    <mergeCell ref="B78:I78"/>
    <mergeCell ref="M78:N78"/>
    <mergeCell ref="M79:N79"/>
    <mergeCell ref="M80:N80"/>
    <mergeCell ref="M81:N81"/>
    <mergeCell ref="B72:I72"/>
    <mergeCell ref="M72:N72"/>
    <mergeCell ref="M73:N73"/>
    <mergeCell ref="M74:N74"/>
    <mergeCell ref="M75:N75"/>
    <mergeCell ref="M76:N76"/>
    <mergeCell ref="M67:N67"/>
    <mergeCell ref="M68:N68"/>
    <mergeCell ref="B69:I69"/>
    <mergeCell ref="M69:N69"/>
    <mergeCell ref="M70:N70"/>
    <mergeCell ref="M71:N71"/>
    <mergeCell ref="B63:I63"/>
    <mergeCell ref="M63:N63"/>
    <mergeCell ref="M64:N64"/>
    <mergeCell ref="B65:I65"/>
    <mergeCell ref="M65:N65"/>
    <mergeCell ref="M66:N66"/>
    <mergeCell ref="M58:N58"/>
    <mergeCell ref="B59:I59"/>
    <mergeCell ref="M59:N59"/>
    <mergeCell ref="M60:N60"/>
    <mergeCell ref="M61:N61"/>
    <mergeCell ref="M62:N62"/>
    <mergeCell ref="B55:I55"/>
    <mergeCell ref="L55:N55"/>
    <mergeCell ref="B56:I56"/>
    <mergeCell ref="L56:N56"/>
    <mergeCell ref="B57:I57"/>
    <mergeCell ref="M57:N57"/>
    <mergeCell ref="L48:N48"/>
    <mergeCell ref="L49:N49"/>
    <mergeCell ref="L50:N50"/>
    <mergeCell ref="L51:N51"/>
    <mergeCell ref="L52:N52"/>
    <mergeCell ref="L53:N53"/>
    <mergeCell ref="L42:N42"/>
    <mergeCell ref="L43:N43"/>
    <mergeCell ref="L44:N44"/>
    <mergeCell ref="L45:N45"/>
    <mergeCell ref="L46:N46"/>
    <mergeCell ref="L47:N47"/>
    <mergeCell ref="B37:I37"/>
    <mergeCell ref="L37:N37"/>
    <mergeCell ref="L38:N38"/>
    <mergeCell ref="L39:N39"/>
    <mergeCell ref="L40:N40"/>
    <mergeCell ref="L41:N41"/>
    <mergeCell ref="B31:I31"/>
    <mergeCell ref="L31:N31"/>
    <mergeCell ref="L32:N32"/>
    <mergeCell ref="B33:I33"/>
    <mergeCell ref="L33:N33"/>
    <mergeCell ref="L35:N35"/>
    <mergeCell ref="B27:I27"/>
    <mergeCell ref="L27:N27"/>
    <mergeCell ref="B28:I28"/>
    <mergeCell ref="L28:N28"/>
    <mergeCell ref="B29:I29"/>
    <mergeCell ref="L29:N29"/>
    <mergeCell ref="B24:I24"/>
    <mergeCell ref="L24:N24"/>
    <mergeCell ref="B25:I25"/>
    <mergeCell ref="L25:N25"/>
    <mergeCell ref="B26:I26"/>
    <mergeCell ref="L26:N26"/>
    <mergeCell ref="B21:I21"/>
    <mergeCell ref="L21:N21"/>
    <mergeCell ref="B22:I22"/>
    <mergeCell ref="L22:N22"/>
    <mergeCell ref="B23:I23"/>
    <mergeCell ref="L23:N23"/>
    <mergeCell ref="B18:I18"/>
    <mergeCell ref="L18:N18"/>
    <mergeCell ref="B19:I19"/>
    <mergeCell ref="L19:N19"/>
    <mergeCell ref="B20:I20"/>
    <mergeCell ref="L20:N20"/>
    <mergeCell ref="B8:I8"/>
    <mergeCell ref="K8:N8"/>
    <mergeCell ref="AM5:AM7"/>
    <mergeCell ref="AN5:AN7"/>
    <mergeCell ref="B15:I15"/>
    <mergeCell ref="L15:N15"/>
    <mergeCell ref="B16:I16"/>
    <mergeCell ref="L16:N16"/>
    <mergeCell ref="B17:I17"/>
    <mergeCell ref="L17:N17"/>
    <mergeCell ref="B10:I10"/>
    <mergeCell ref="L10:N10"/>
    <mergeCell ref="B12:I12"/>
    <mergeCell ref="L12:N12"/>
    <mergeCell ref="B14:I14"/>
    <mergeCell ref="L14:N14"/>
    <mergeCell ref="AP5:AP7"/>
    <mergeCell ref="T6:U6"/>
    <mergeCell ref="V6:V7"/>
    <mergeCell ref="W6:W7"/>
    <mergeCell ref="X6:X7"/>
    <mergeCell ref="Y6:Y7"/>
    <mergeCell ref="Z6:Z7"/>
    <mergeCell ref="R5:R7"/>
    <mergeCell ref="S5:S7"/>
    <mergeCell ref="T5:AI5"/>
    <mergeCell ref="AJ5:AJ7"/>
    <mergeCell ref="AK5:AK7"/>
    <mergeCell ref="AL5:AL7"/>
    <mergeCell ref="AA6:AA7"/>
    <mergeCell ref="AB6:AB7"/>
    <mergeCell ref="AC6:AC7"/>
    <mergeCell ref="AD6:AD7"/>
    <mergeCell ref="AE6:AE7"/>
    <mergeCell ref="AF6:AF7"/>
    <mergeCell ref="AG6:AG7"/>
    <mergeCell ref="AH6:AH7"/>
    <mergeCell ref="AI6:AI7"/>
    <mergeCell ref="B1:AM1"/>
    <mergeCell ref="A2:AM2"/>
    <mergeCell ref="A3:AO3"/>
    <mergeCell ref="A5:A7"/>
    <mergeCell ref="B5:I7"/>
    <mergeCell ref="J5:J7"/>
    <mergeCell ref="K5:N7"/>
    <mergeCell ref="O5:O7"/>
    <mergeCell ref="P5:P7"/>
    <mergeCell ref="Q5:Q7"/>
    <mergeCell ref="AO5:AO7"/>
  </mergeCells>
  <printOptions horizontalCentered="1"/>
  <pageMargins left="0.23622047244094491" right="0.11811023622047245" top="0.59055118110236227" bottom="0.39370078740157483" header="0.35433070866141736" footer="0.35433070866141736"/>
  <pageSetup paperSize="257" scale="60" fitToWidth="0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outlinePr summaryBelow="0" summaryRight="0"/>
    <pageSetUpPr autoPageBreaks="0"/>
  </sheetPr>
  <dimension ref="A1:CE725"/>
  <sheetViews>
    <sheetView showOutlineSymbols="0" view="pageBreakPreview" topLeftCell="J1" zoomScale="80" zoomScaleSheetLayoutView="80" workbookViewId="0">
      <pane ySplit="8" topLeftCell="A20" activePane="bottomLeft" state="frozen"/>
      <selection activeCell="Q553" sqref="Q553"/>
      <selection pane="bottomLeft" activeCell="AI29" sqref="AI29"/>
    </sheetView>
  </sheetViews>
  <sheetFormatPr defaultRowHeight="13.5" customHeight="1" x14ac:dyDescent="0.25"/>
  <cols>
    <col min="1" max="1" width="5" style="205" customWidth="1"/>
    <col min="2" max="2" width="1.140625" style="205" hidden="1" customWidth="1"/>
    <col min="3" max="3" width="1.7109375" style="205" hidden="1" customWidth="1"/>
    <col min="4" max="5" width="1.140625" style="205" hidden="1" customWidth="1"/>
    <col min="6" max="6" width="1.7109375" style="205" hidden="1" customWidth="1"/>
    <col min="7" max="7" width="2" style="205" hidden="1" customWidth="1"/>
    <col min="8" max="8" width="8.5703125" style="205" hidden="1" customWidth="1"/>
    <col min="9" max="9" width="1.140625" style="205" hidden="1" customWidth="1"/>
    <col min="10" max="10" width="22.5703125" style="205" customWidth="1"/>
    <col min="11" max="11" width="2.28515625" style="205" customWidth="1"/>
    <col min="12" max="12" width="1.7109375" style="205" customWidth="1"/>
    <col min="13" max="13" width="5.85546875" style="205" customWidth="1"/>
    <col min="14" max="14" width="30.7109375" style="205" customWidth="1"/>
    <col min="15" max="16" width="16.42578125" style="205" hidden="1" customWidth="1"/>
    <col min="17" max="17" width="21.85546875" style="205" customWidth="1"/>
    <col min="18" max="18" width="8.28515625" style="205" customWidth="1"/>
    <col min="19" max="19" width="8" style="205" customWidth="1"/>
    <col min="20" max="20" width="11" style="205" bestFit="1" customWidth="1"/>
    <col min="21" max="21" width="11" style="205" customWidth="1"/>
    <col min="22" max="22" width="11" style="331" customWidth="1"/>
    <col min="23" max="31" width="15.85546875" style="205" hidden="1" customWidth="1"/>
    <col min="32" max="32" width="18.28515625" style="205" hidden="1" customWidth="1"/>
    <col min="33" max="34" width="15.85546875" style="205" hidden="1" customWidth="1"/>
    <col min="35" max="35" width="22.42578125" style="335" customWidth="1"/>
    <col min="36" max="36" width="14.7109375" style="205" customWidth="1"/>
    <col min="37" max="37" width="24.28515625" style="407" customWidth="1"/>
    <col min="38" max="38" width="9.5703125" style="205" customWidth="1"/>
    <col min="39" max="39" width="6.85546875" style="205" customWidth="1"/>
    <col min="40" max="42" width="0" style="205" hidden="1" customWidth="1"/>
    <col min="43" max="43" width="9.140625" style="205"/>
    <col min="44" max="44" width="20.140625" style="205" bestFit="1" customWidth="1"/>
    <col min="45" max="45" width="15.85546875" style="205" bestFit="1" customWidth="1"/>
    <col min="46" max="16384" width="9.140625" style="205"/>
  </cols>
  <sheetData>
    <row r="1" spans="1:45" ht="13.5" customHeight="1" x14ac:dyDescent="0.25">
      <c r="A1" s="203"/>
      <c r="B1" s="646" t="s">
        <v>0</v>
      </c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C1" s="646"/>
      <c r="AD1" s="646"/>
      <c r="AE1" s="646"/>
      <c r="AF1" s="646"/>
      <c r="AG1" s="646"/>
      <c r="AH1" s="646"/>
      <c r="AI1" s="646"/>
      <c r="AJ1" s="646"/>
      <c r="AK1" s="646"/>
      <c r="AL1" s="646"/>
      <c r="AM1" s="646"/>
      <c r="AN1" s="204"/>
      <c r="AO1" s="204"/>
      <c r="AP1" s="204"/>
    </row>
    <row r="2" spans="1:45" s="206" customFormat="1" ht="13.5" customHeight="1" x14ac:dyDescent="0.25">
      <c r="A2" s="646" t="s">
        <v>541</v>
      </c>
      <c r="B2" s="646"/>
      <c r="C2" s="646"/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C2" s="646"/>
      <c r="AD2" s="646"/>
      <c r="AE2" s="646"/>
      <c r="AF2" s="646"/>
      <c r="AG2" s="646"/>
      <c r="AH2" s="646"/>
      <c r="AI2" s="646"/>
      <c r="AJ2" s="646"/>
      <c r="AK2" s="646"/>
      <c r="AL2" s="646"/>
      <c r="AM2" s="646"/>
    </row>
    <row r="3" spans="1:45" ht="13.5" customHeight="1" x14ac:dyDescent="0.25">
      <c r="A3" s="646" t="s">
        <v>640</v>
      </c>
      <c r="B3" s="646"/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C3" s="646"/>
      <c r="AD3" s="646"/>
      <c r="AE3" s="646"/>
      <c r="AF3" s="646"/>
      <c r="AG3" s="646"/>
      <c r="AH3" s="646"/>
      <c r="AI3" s="646"/>
      <c r="AJ3" s="646"/>
      <c r="AK3" s="646"/>
      <c r="AL3" s="646"/>
      <c r="AM3" s="646"/>
      <c r="AN3" s="646"/>
      <c r="AO3" s="646"/>
      <c r="AP3" s="204"/>
    </row>
    <row r="4" spans="1:45" ht="13.5" customHeight="1" x14ac:dyDescent="0.25">
      <c r="A4" s="203" t="s">
        <v>426</v>
      </c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3"/>
      <c r="S4" s="203"/>
      <c r="T4" s="204"/>
      <c r="U4" s="204"/>
      <c r="V4" s="208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402"/>
      <c r="AL4" s="204"/>
      <c r="AM4" s="204"/>
      <c r="AN4" s="204"/>
      <c r="AO4" s="204"/>
      <c r="AP4" s="204"/>
    </row>
    <row r="5" spans="1:45" ht="13.5" customHeight="1" x14ac:dyDescent="0.25">
      <c r="A5" s="497" t="s">
        <v>1</v>
      </c>
      <c r="B5" s="497" t="s">
        <v>56</v>
      </c>
      <c r="C5" s="497"/>
      <c r="D5" s="497"/>
      <c r="E5" s="497"/>
      <c r="F5" s="497"/>
      <c r="G5" s="497"/>
      <c r="H5" s="497"/>
      <c r="I5" s="497"/>
      <c r="J5" s="498" t="s">
        <v>192</v>
      </c>
      <c r="K5" s="497" t="s">
        <v>2</v>
      </c>
      <c r="L5" s="497"/>
      <c r="M5" s="497"/>
      <c r="N5" s="497"/>
      <c r="O5" s="497" t="s">
        <v>57</v>
      </c>
      <c r="P5" s="498" t="s">
        <v>58</v>
      </c>
      <c r="Q5" s="497" t="s">
        <v>3</v>
      </c>
      <c r="R5" s="497" t="s">
        <v>4</v>
      </c>
      <c r="S5" s="497" t="s">
        <v>59</v>
      </c>
      <c r="T5" s="505" t="s">
        <v>60</v>
      </c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0"/>
      <c r="AI5" s="506"/>
      <c r="AJ5" s="497" t="s">
        <v>5</v>
      </c>
      <c r="AK5" s="647" t="s">
        <v>61</v>
      </c>
      <c r="AL5" s="497" t="s">
        <v>5</v>
      </c>
      <c r="AM5" s="497" t="s">
        <v>62</v>
      </c>
      <c r="AN5" s="497" t="s">
        <v>63</v>
      </c>
      <c r="AO5" s="497" t="s">
        <v>64</v>
      </c>
      <c r="AP5" s="497" t="s">
        <v>62</v>
      </c>
    </row>
    <row r="6" spans="1:45" ht="13.5" customHeight="1" x14ac:dyDescent="0.25">
      <c r="A6" s="497"/>
      <c r="B6" s="497"/>
      <c r="C6" s="497"/>
      <c r="D6" s="497"/>
      <c r="E6" s="497"/>
      <c r="F6" s="497"/>
      <c r="G6" s="497"/>
      <c r="H6" s="497"/>
      <c r="I6" s="497"/>
      <c r="J6" s="499"/>
      <c r="K6" s="497"/>
      <c r="L6" s="497"/>
      <c r="M6" s="497"/>
      <c r="N6" s="497"/>
      <c r="O6" s="497"/>
      <c r="P6" s="499"/>
      <c r="Q6" s="497"/>
      <c r="R6" s="497"/>
      <c r="S6" s="497"/>
      <c r="T6" s="505" t="s">
        <v>65</v>
      </c>
      <c r="U6" s="506"/>
      <c r="V6" s="507" t="s">
        <v>66</v>
      </c>
      <c r="W6" s="498" t="s">
        <v>67</v>
      </c>
      <c r="X6" s="498" t="s">
        <v>68</v>
      </c>
      <c r="Y6" s="498" t="s">
        <v>69</v>
      </c>
      <c r="Z6" s="498" t="s">
        <v>70</v>
      </c>
      <c r="AA6" s="498" t="s">
        <v>71</v>
      </c>
      <c r="AB6" s="498" t="s">
        <v>72</v>
      </c>
      <c r="AC6" s="498" t="s">
        <v>73</v>
      </c>
      <c r="AD6" s="498" t="s">
        <v>74</v>
      </c>
      <c r="AE6" s="498" t="s">
        <v>75</v>
      </c>
      <c r="AF6" s="498" t="s">
        <v>76</v>
      </c>
      <c r="AG6" s="498" t="s">
        <v>77</v>
      </c>
      <c r="AH6" s="498" t="s">
        <v>78</v>
      </c>
      <c r="AI6" s="498" t="s">
        <v>79</v>
      </c>
      <c r="AJ6" s="497"/>
      <c r="AK6" s="647"/>
      <c r="AL6" s="497"/>
      <c r="AM6" s="497"/>
      <c r="AN6" s="497"/>
      <c r="AO6" s="497"/>
      <c r="AP6" s="497"/>
    </row>
    <row r="7" spans="1:45" ht="34.5" customHeight="1" x14ac:dyDescent="0.25">
      <c r="A7" s="497"/>
      <c r="B7" s="497"/>
      <c r="C7" s="497"/>
      <c r="D7" s="497"/>
      <c r="E7" s="497"/>
      <c r="F7" s="497"/>
      <c r="G7" s="497"/>
      <c r="H7" s="497"/>
      <c r="I7" s="497"/>
      <c r="J7" s="500"/>
      <c r="K7" s="497"/>
      <c r="L7" s="497"/>
      <c r="M7" s="497"/>
      <c r="N7" s="497"/>
      <c r="O7" s="497"/>
      <c r="P7" s="500"/>
      <c r="Q7" s="497"/>
      <c r="R7" s="497"/>
      <c r="S7" s="497"/>
      <c r="T7" s="408" t="s">
        <v>80</v>
      </c>
      <c r="U7" s="408" t="s">
        <v>6</v>
      </c>
      <c r="V7" s="508"/>
      <c r="W7" s="500"/>
      <c r="X7" s="500"/>
      <c r="Y7" s="500"/>
      <c r="Z7" s="500"/>
      <c r="AA7" s="500"/>
      <c r="AB7" s="500"/>
      <c r="AC7" s="500"/>
      <c r="AD7" s="500"/>
      <c r="AE7" s="500"/>
      <c r="AF7" s="500"/>
      <c r="AG7" s="500"/>
      <c r="AH7" s="500"/>
      <c r="AI7" s="500"/>
      <c r="AJ7" s="497"/>
      <c r="AK7" s="647"/>
      <c r="AL7" s="497"/>
      <c r="AM7" s="497"/>
      <c r="AN7" s="497"/>
      <c r="AO7" s="497"/>
      <c r="AP7" s="497"/>
    </row>
    <row r="8" spans="1:45" s="210" customFormat="1" ht="13.5" customHeight="1" x14ac:dyDescent="0.25">
      <c r="A8" s="409">
        <v>1</v>
      </c>
      <c r="B8" s="509">
        <v>2</v>
      </c>
      <c r="C8" s="509"/>
      <c r="D8" s="509"/>
      <c r="E8" s="509"/>
      <c r="F8" s="509"/>
      <c r="G8" s="509"/>
      <c r="H8" s="509"/>
      <c r="I8" s="509"/>
      <c r="J8" s="409"/>
      <c r="K8" s="509">
        <v>2</v>
      </c>
      <c r="L8" s="509"/>
      <c r="M8" s="509"/>
      <c r="N8" s="509"/>
      <c r="O8" s="409">
        <v>3</v>
      </c>
      <c r="P8" s="409">
        <v>3</v>
      </c>
      <c r="Q8" s="409">
        <v>4</v>
      </c>
      <c r="R8" s="409">
        <v>5</v>
      </c>
      <c r="S8" s="409">
        <v>6</v>
      </c>
      <c r="T8" s="409">
        <v>7</v>
      </c>
      <c r="U8" s="409" t="s">
        <v>81</v>
      </c>
      <c r="V8" s="107" t="s">
        <v>82</v>
      </c>
      <c r="W8" s="409"/>
      <c r="X8" s="409"/>
      <c r="Y8" s="409"/>
      <c r="Z8" s="409"/>
      <c r="AA8" s="409"/>
      <c r="AB8" s="409"/>
      <c r="AC8" s="409"/>
      <c r="AD8" s="409"/>
      <c r="AE8" s="409"/>
      <c r="AF8" s="409"/>
      <c r="AG8" s="409"/>
      <c r="AH8" s="409"/>
      <c r="AI8" s="409">
        <v>10</v>
      </c>
      <c r="AJ8" s="409" t="s">
        <v>83</v>
      </c>
      <c r="AK8" s="403" t="s">
        <v>84</v>
      </c>
      <c r="AL8" s="409" t="s">
        <v>85</v>
      </c>
      <c r="AM8" s="409">
        <v>14</v>
      </c>
      <c r="AN8" s="409"/>
      <c r="AO8" s="409"/>
      <c r="AP8" s="409">
        <v>12</v>
      </c>
    </row>
    <row r="9" spans="1:45" ht="13.5" customHeight="1" thickBot="1" x14ac:dyDescent="0.3">
      <c r="A9" s="211" t="s">
        <v>544</v>
      </c>
      <c r="B9" s="212"/>
      <c r="C9" s="212"/>
      <c r="D9" s="212"/>
      <c r="E9" s="212"/>
      <c r="F9" s="212"/>
      <c r="G9" s="212"/>
      <c r="H9" s="212"/>
      <c r="I9" s="213"/>
      <c r="J9" s="212"/>
      <c r="K9" s="214"/>
      <c r="L9" s="212"/>
      <c r="M9" s="212"/>
      <c r="N9" s="213"/>
      <c r="O9" s="211"/>
      <c r="P9" s="211"/>
      <c r="Q9" s="211"/>
      <c r="R9" s="211"/>
      <c r="S9" s="211"/>
      <c r="T9" s="211"/>
      <c r="U9" s="211"/>
      <c r="V9" s="215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 t="s">
        <v>215</v>
      </c>
      <c r="AJ9" s="211"/>
      <c r="AK9" s="404"/>
      <c r="AL9" s="211"/>
      <c r="AM9" s="211"/>
      <c r="AN9" s="217"/>
      <c r="AO9" s="217"/>
      <c r="AP9" s="217"/>
    </row>
    <row r="10" spans="1:45" s="226" customFormat="1" ht="29.25" customHeight="1" thickTop="1" thickBot="1" x14ac:dyDescent="0.3">
      <c r="A10" s="218"/>
      <c r="B10" s="643" t="s">
        <v>86</v>
      </c>
      <c r="C10" s="644"/>
      <c r="D10" s="644"/>
      <c r="E10" s="644"/>
      <c r="F10" s="644"/>
      <c r="G10" s="644"/>
      <c r="H10" s="644"/>
      <c r="I10" s="645"/>
      <c r="J10" s="427" t="s">
        <v>193</v>
      </c>
      <c r="K10" s="220"/>
      <c r="L10" s="644" t="s">
        <v>87</v>
      </c>
      <c r="M10" s="644"/>
      <c r="N10" s="645"/>
      <c r="O10" s="221">
        <f>SUM(O14,O24,O26)</f>
        <v>57230250000</v>
      </c>
      <c r="P10" s="221">
        <f>SUM(P14,P24,P26)</f>
        <v>57230250000</v>
      </c>
      <c r="Q10" s="221">
        <f>SUM(Q14,Q24,Q26)</f>
        <v>124313865783</v>
      </c>
      <c r="R10" s="222">
        <f>Q10/Q10*100</f>
        <v>100</v>
      </c>
      <c r="S10" s="221">
        <f>S14</f>
        <v>100</v>
      </c>
      <c r="T10" s="221">
        <f>SUM(AJ10)</f>
        <v>49.001053519912482</v>
      </c>
      <c r="U10" s="221">
        <f>AJ10</f>
        <v>49.001053519912482</v>
      </c>
      <c r="V10" s="223">
        <f>S10-T10</f>
        <v>50.998946480087518</v>
      </c>
      <c r="W10" s="221">
        <f t="shared" ref="W10:AI10" si="0">SUM(W14,W24,W26)</f>
        <v>0</v>
      </c>
      <c r="X10" s="221" t="e">
        <f t="shared" si="0"/>
        <v>#REF!</v>
      </c>
      <c r="Y10" s="221" t="e">
        <f t="shared" si="0"/>
        <v>#REF!</v>
      </c>
      <c r="Z10" s="221" t="e">
        <f t="shared" si="0"/>
        <v>#REF!</v>
      </c>
      <c r="AA10" s="221" t="e">
        <f t="shared" si="0"/>
        <v>#REF!</v>
      </c>
      <c r="AB10" s="221">
        <f t="shared" si="0"/>
        <v>33313624753</v>
      </c>
      <c r="AC10" s="221" t="e">
        <f t="shared" si="0"/>
        <v>#REF!</v>
      </c>
      <c r="AD10" s="221" t="e">
        <f t="shared" si="0"/>
        <v>#REF!</v>
      </c>
      <c r="AE10" s="221" t="e">
        <f t="shared" si="0"/>
        <v>#REF!</v>
      </c>
      <c r="AF10" s="221" t="e">
        <f t="shared" si="0"/>
        <v>#REF!</v>
      </c>
      <c r="AG10" s="221" t="e">
        <f t="shared" si="0"/>
        <v>#REF!</v>
      </c>
      <c r="AH10" s="221">
        <f t="shared" si="0"/>
        <v>78185513265</v>
      </c>
      <c r="AI10" s="221">
        <f t="shared" si="0"/>
        <v>60915103905</v>
      </c>
      <c r="AJ10" s="224">
        <f>AI10/Q10*100</f>
        <v>49.001053519912482</v>
      </c>
      <c r="AK10" s="221">
        <f>SUM(AK14,AK24,AK26)</f>
        <v>63398761878</v>
      </c>
      <c r="AL10" s="224">
        <f>AK10/Q10*100</f>
        <v>50.998946480087511</v>
      </c>
      <c r="AM10" s="224"/>
    </row>
    <row r="11" spans="1:45" s="235" customFormat="1" ht="13.5" customHeight="1" thickTop="1" thickBot="1" x14ac:dyDescent="0.3">
      <c r="A11" s="227"/>
      <c r="B11" s="415"/>
      <c r="C11" s="415"/>
      <c r="D11" s="415"/>
      <c r="E11" s="415"/>
      <c r="F11" s="415"/>
      <c r="G11" s="415"/>
      <c r="H11" s="415"/>
      <c r="I11" s="414"/>
      <c r="J11" s="415"/>
      <c r="K11" s="230"/>
      <c r="L11" s="415"/>
      <c r="M11" s="415"/>
      <c r="N11" s="414"/>
      <c r="O11" s="231"/>
      <c r="P11" s="231"/>
      <c r="Q11" s="231"/>
      <c r="R11" s="231"/>
      <c r="S11" s="231"/>
      <c r="T11" s="231"/>
      <c r="U11" s="231"/>
      <c r="V11" s="232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3"/>
      <c r="AK11" s="231"/>
      <c r="AL11" s="233"/>
      <c r="AM11" s="233"/>
    </row>
    <row r="12" spans="1:45" s="226" customFormat="1" ht="29.25" customHeight="1" thickTop="1" thickBot="1" x14ac:dyDescent="0.3">
      <c r="A12" s="218"/>
      <c r="B12" s="643" t="s">
        <v>86</v>
      </c>
      <c r="C12" s="644"/>
      <c r="D12" s="644"/>
      <c r="E12" s="644"/>
      <c r="F12" s="644"/>
      <c r="G12" s="644"/>
      <c r="H12" s="644"/>
      <c r="I12" s="645"/>
      <c r="J12" s="427" t="s">
        <v>194</v>
      </c>
      <c r="K12" s="220"/>
      <c r="L12" s="644" t="s">
        <v>195</v>
      </c>
      <c r="M12" s="644"/>
      <c r="N12" s="645"/>
      <c r="O12" s="221" t="e">
        <f>SUM(#REF!,O26,O33)</f>
        <v>#REF!</v>
      </c>
      <c r="P12" s="221" t="e">
        <f>SUM(#REF!,P26,P33)</f>
        <v>#REF!</v>
      </c>
      <c r="Q12" s="221">
        <f>SUM(Q14+Q24+Q26)</f>
        <v>124313865783</v>
      </c>
      <c r="R12" s="222">
        <f>Q12/Q12*100</f>
        <v>100</v>
      </c>
      <c r="S12" s="221">
        <v>100</v>
      </c>
      <c r="T12" s="221">
        <f>SUM(AJ12)</f>
        <v>49.001053519912482</v>
      </c>
      <c r="U12" s="221">
        <f>AJ12</f>
        <v>49.001053519912482</v>
      </c>
      <c r="V12" s="223">
        <f>S12-T12</f>
        <v>50.998946480087518</v>
      </c>
      <c r="W12" s="221">
        <f t="shared" ref="W12:AH12" si="1">SUM(W16,W26,W33)</f>
        <v>0</v>
      </c>
      <c r="X12" s="221" t="e">
        <f t="shared" si="1"/>
        <v>#REF!</v>
      </c>
      <c r="Y12" s="221" t="e">
        <f t="shared" si="1"/>
        <v>#REF!</v>
      </c>
      <c r="Z12" s="221" t="e">
        <f t="shared" si="1"/>
        <v>#REF!</v>
      </c>
      <c r="AA12" s="221" t="e">
        <f t="shared" si="1"/>
        <v>#REF!</v>
      </c>
      <c r="AB12" s="221">
        <f t="shared" si="1"/>
        <v>5549197752</v>
      </c>
      <c r="AC12" s="221" t="e">
        <f t="shared" si="1"/>
        <v>#REF!</v>
      </c>
      <c r="AD12" s="221" t="e">
        <f t="shared" si="1"/>
        <v>#REF!</v>
      </c>
      <c r="AE12" s="221" t="e">
        <f t="shared" si="1"/>
        <v>#REF!</v>
      </c>
      <c r="AF12" s="221" t="e">
        <f t="shared" si="1"/>
        <v>#REF!</v>
      </c>
      <c r="AG12" s="221" t="e">
        <f t="shared" si="1"/>
        <v>#REF!</v>
      </c>
      <c r="AH12" s="221">
        <f t="shared" si="1"/>
        <v>11081028822</v>
      </c>
      <c r="AI12" s="221">
        <f>SUM(AI14+AI24+AI26)</f>
        <v>60915103905</v>
      </c>
      <c r="AJ12" s="224">
        <f>AI12/Q12*100</f>
        <v>49.001053519912482</v>
      </c>
      <c r="AK12" s="221">
        <f>SUM(AK14+AK24+AK26)</f>
        <v>63398761878</v>
      </c>
      <c r="AL12" s="224">
        <f>AK12/Q12*100</f>
        <v>50.998946480087511</v>
      </c>
      <c r="AM12" s="224"/>
    </row>
    <row r="13" spans="1:45" s="235" customFormat="1" ht="13.5" customHeight="1" thickTop="1" x14ac:dyDescent="0.25">
      <c r="A13" s="227"/>
      <c r="B13" s="415"/>
      <c r="C13" s="415"/>
      <c r="D13" s="415"/>
      <c r="E13" s="415"/>
      <c r="F13" s="415"/>
      <c r="G13" s="415"/>
      <c r="H13" s="415"/>
      <c r="I13" s="414"/>
      <c r="J13" s="415"/>
      <c r="K13" s="230"/>
      <c r="L13" s="415"/>
      <c r="M13" s="415"/>
      <c r="N13" s="414"/>
      <c r="O13" s="231"/>
      <c r="P13" s="231"/>
      <c r="Q13" s="231"/>
      <c r="R13" s="231"/>
      <c r="S13" s="231"/>
      <c r="T13" s="231"/>
      <c r="U13" s="231"/>
      <c r="V13" s="232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3"/>
      <c r="AK13" s="231"/>
      <c r="AL13" s="233"/>
      <c r="AM13" s="233"/>
    </row>
    <row r="14" spans="1:45" s="226" customFormat="1" ht="28.5" customHeight="1" x14ac:dyDescent="0.25">
      <c r="A14" s="236" t="s">
        <v>7</v>
      </c>
      <c r="B14" s="642" t="s">
        <v>88</v>
      </c>
      <c r="C14" s="626"/>
      <c r="D14" s="626"/>
      <c r="E14" s="626"/>
      <c r="F14" s="626"/>
      <c r="G14" s="626"/>
      <c r="H14" s="626"/>
      <c r="I14" s="627"/>
      <c r="J14" s="417" t="s">
        <v>213</v>
      </c>
      <c r="K14" s="238"/>
      <c r="L14" s="626" t="s">
        <v>89</v>
      </c>
      <c r="M14" s="626"/>
      <c r="N14" s="627"/>
      <c r="O14" s="239">
        <v>53000250000</v>
      </c>
      <c r="P14" s="239">
        <f>O14</f>
        <v>53000250000</v>
      </c>
      <c r="Q14" s="239">
        <f>SUM(Q15:Q23)</f>
        <v>114000000000</v>
      </c>
      <c r="R14" s="240">
        <f>Q14/Q14*100</f>
        <v>100</v>
      </c>
      <c r="S14" s="240">
        <v>100</v>
      </c>
      <c r="T14" s="239">
        <f>AJ14</f>
        <v>41.492206974561405</v>
      </c>
      <c r="U14" s="239">
        <f>SUM(R14*T14)</f>
        <v>4149.2206974561404</v>
      </c>
      <c r="V14" s="241">
        <f>S14-T14</f>
        <v>58.507793025438595</v>
      </c>
      <c r="W14" s="239"/>
      <c r="X14" s="239" t="e">
        <f>#REF!</f>
        <v>#REF!</v>
      </c>
      <c r="Y14" s="239" t="e">
        <f>#REF!</f>
        <v>#REF!</v>
      </c>
      <c r="Z14" s="239" t="e">
        <f>#REF!</f>
        <v>#REF!</v>
      </c>
      <c r="AA14" s="239" t="e">
        <f>#REF!</f>
        <v>#REF!</v>
      </c>
      <c r="AB14" s="239">
        <v>27766121137</v>
      </c>
      <c r="AC14" s="239" t="e">
        <f>#REF!</f>
        <v>#REF!</v>
      </c>
      <c r="AD14" s="239" t="e">
        <f>#REF!</f>
        <v>#REF!</v>
      </c>
      <c r="AE14" s="239" t="e">
        <f>#REF!</f>
        <v>#REF!</v>
      </c>
      <c r="AF14" s="239" t="e">
        <f>[1]April!$N$12</f>
        <v>#REF!</v>
      </c>
      <c r="AG14" s="239" t="e">
        <f>[2]april!$N$12</f>
        <v>#REF!</v>
      </c>
      <c r="AH14" s="239">
        <f>'[3]DES SKPD'!$N$12</f>
        <v>67029484443</v>
      </c>
      <c r="AI14" s="239">
        <f>SUM(AI15:AI23)</f>
        <v>47301115951</v>
      </c>
      <c r="AJ14" s="240">
        <f t="shared" ref="AJ14:AJ27" si="2">AI14/Q14*100</f>
        <v>41.492206974561405</v>
      </c>
      <c r="AK14" s="239">
        <f>Q14-AI14</f>
        <v>66698884049</v>
      </c>
      <c r="AL14" s="240">
        <f t="shared" ref="AL14:AL27" si="3">AK14/Q14*100</f>
        <v>58.507793025438595</v>
      </c>
      <c r="AM14" s="236"/>
    </row>
    <row r="15" spans="1:45" ht="28.5" customHeight="1" x14ac:dyDescent="0.25">
      <c r="A15" s="243">
        <v>1</v>
      </c>
      <c r="B15" s="639" t="s">
        <v>90</v>
      </c>
      <c r="C15" s="597"/>
      <c r="D15" s="597"/>
      <c r="E15" s="597"/>
      <c r="F15" s="597"/>
      <c r="G15" s="597"/>
      <c r="H15" s="597"/>
      <c r="I15" s="598"/>
      <c r="J15" s="410" t="s">
        <v>355</v>
      </c>
      <c r="K15" s="245"/>
      <c r="L15" s="597" t="s">
        <v>389</v>
      </c>
      <c r="M15" s="597"/>
      <c r="N15" s="598"/>
      <c r="O15" s="180"/>
      <c r="P15" s="180"/>
      <c r="Q15" s="180">
        <v>4000000000</v>
      </c>
      <c r="R15" s="181">
        <f>Q15/Q$10*100</f>
        <v>3.2176619838870804</v>
      </c>
      <c r="S15" s="181">
        <v>100</v>
      </c>
      <c r="T15" s="180">
        <f>AJ15</f>
        <v>49.809865250000001</v>
      </c>
      <c r="U15" s="180">
        <f>R15*T15/100</f>
        <v>1.6027130983746316</v>
      </c>
      <c r="V15" s="182">
        <f t="shared" ref="V15:V26" si="4">S15-T15</f>
        <v>50.190134749999999</v>
      </c>
      <c r="W15" s="180"/>
      <c r="X15" s="180"/>
      <c r="Y15" s="180"/>
      <c r="Z15" s="180"/>
      <c r="AA15" s="180"/>
      <c r="AB15" s="180">
        <v>0</v>
      </c>
      <c r="AC15" s="180"/>
      <c r="AD15" s="180"/>
      <c r="AE15" s="180"/>
      <c r="AF15" s="180"/>
      <c r="AG15" s="180"/>
      <c r="AH15" s="180"/>
      <c r="AI15" s="180">
        <f>(431044330+333208441+275726549+410229067+542186223)</f>
        <v>1992394610</v>
      </c>
      <c r="AJ15" s="181">
        <f t="shared" si="2"/>
        <v>49.809865250000001</v>
      </c>
      <c r="AK15" s="180">
        <f>SUM(Q15-AI15)</f>
        <v>2007605390</v>
      </c>
      <c r="AL15" s="181">
        <f t="shared" si="3"/>
        <v>50.190134750000006</v>
      </c>
      <c r="AM15" s="243"/>
      <c r="AR15" s="247">
        <v>114000000000</v>
      </c>
      <c r="AS15" s="248">
        <f>Q14-AR15</f>
        <v>0</v>
      </c>
    </row>
    <row r="16" spans="1:45" ht="28.5" customHeight="1" x14ac:dyDescent="0.25">
      <c r="A16" s="243">
        <v>2</v>
      </c>
      <c r="B16" s="639" t="s">
        <v>91</v>
      </c>
      <c r="C16" s="597"/>
      <c r="D16" s="597"/>
      <c r="E16" s="597"/>
      <c r="F16" s="597"/>
      <c r="G16" s="597"/>
      <c r="H16" s="597"/>
      <c r="I16" s="598"/>
      <c r="J16" s="410" t="s">
        <v>356</v>
      </c>
      <c r="K16" s="245"/>
      <c r="L16" s="597" t="s">
        <v>390</v>
      </c>
      <c r="M16" s="597"/>
      <c r="N16" s="598"/>
      <c r="O16" s="180"/>
      <c r="P16" s="180"/>
      <c r="Q16" s="180">
        <v>16748000000</v>
      </c>
      <c r="R16" s="181">
        <f t="shared" ref="R16:R25" si="5">Q16/Q$10*100</f>
        <v>13.472350726535204</v>
      </c>
      <c r="S16" s="181">
        <v>100</v>
      </c>
      <c r="T16" s="180">
        <f>AJ16</f>
        <v>51.406484702651071</v>
      </c>
      <c r="U16" s="180">
        <f>R16*T16/100</f>
        <v>6.9256619153238201</v>
      </c>
      <c r="V16" s="182">
        <f t="shared" si="4"/>
        <v>48.593515297348929</v>
      </c>
      <c r="W16" s="180"/>
      <c r="X16" s="180"/>
      <c r="Y16" s="180"/>
      <c r="Z16" s="180"/>
      <c r="AA16" s="180"/>
      <c r="AB16" s="180">
        <v>0</v>
      </c>
      <c r="AC16" s="180"/>
      <c r="AD16" s="180"/>
      <c r="AE16" s="180"/>
      <c r="AF16" s="180"/>
      <c r="AG16" s="180"/>
      <c r="AH16" s="180"/>
      <c r="AI16" s="180">
        <f>(1914892402+1775904849+1319972393+1696852245+1901936169)</f>
        <v>8609558058</v>
      </c>
      <c r="AJ16" s="181">
        <f t="shared" si="2"/>
        <v>51.406484702651071</v>
      </c>
      <c r="AK16" s="180">
        <f t="shared" ref="AK16:AK32" si="6">SUM(Q16-AI16)</f>
        <v>8138441942</v>
      </c>
      <c r="AL16" s="249">
        <f t="shared" si="3"/>
        <v>48.593515297348937</v>
      </c>
      <c r="AM16" s="243"/>
    </row>
    <row r="17" spans="1:39" ht="28.5" customHeight="1" x14ac:dyDescent="0.25">
      <c r="A17" s="243">
        <v>3</v>
      </c>
      <c r="B17" s="639" t="s">
        <v>92</v>
      </c>
      <c r="C17" s="597"/>
      <c r="D17" s="597"/>
      <c r="E17" s="597"/>
      <c r="F17" s="597"/>
      <c r="G17" s="597"/>
      <c r="H17" s="597"/>
      <c r="I17" s="598"/>
      <c r="J17" s="410" t="s">
        <v>357</v>
      </c>
      <c r="K17" s="245"/>
      <c r="L17" s="597" t="s">
        <v>391</v>
      </c>
      <c r="M17" s="597"/>
      <c r="N17" s="598"/>
      <c r="O17" s="180"/>
      <c r="P17" s="180"/>
      <c r="Q17" s="180">
        <v>714500000</v>
      </c>
      <c r="R17" s="181">
        <f t="shared" si="5"/>
        <v>0.57475487187182972</v>
      </c>
      <c r="S17" s="181">
        <v>100</v>
      </c>
      <c r="T17" s="180">
        <f>AJ17</f>
        <v>155.0698012596221</v>
      </c>
      <c r="U17" s="180">
        <f>R17*T17/100</f>
        <v>0.89127123754164206</v>
      </c>
      <c r="V17" s="182">
        <f t="shared" si="4"/>
        <v>-55.069801259622096</v>
      </c>
      <c r="W17" s="180"/>
      <c r="X17" s="180"/>
      <c r="Y17" s="180"/>
      <c r="Z17" s="180"/>
      <c r="AA17" s="180"/>
      <c r="AB17" s="180">
        <v>0</v>
      </c>
      <c r="AC17" s="180"/>
      <c r="AD17" s="180"/>
      <c r="AE17" s="180"/>
      <c r="AF17" s="180"/>
      <c r="AG17" s="180"/>
      <c r="AH17" s="180"/>
      <c r="AI17" s="180">
        <f>(78879037+65981530+49950581+654064553+259098029)</f>
        <v>1107973730</v>
      </c>
      <c r="AJ17" s="181">
        <f t="shared" si="2"/>
        <v>155.0698012596221</v>
      </c>
      <c r="AK17" s="180">
        <f t="shared" si="6"/>
        <v>-393473730</v>
      </c>
      <c r="AL17" s="181">
        <f t="shared" si="3"/>
        <v>-55.06980125962211</v>
      </c>
      <c r="AM17" s="243"/>
    </row>
    <row r="18" spans="1:39" ht="28.5" customHeight="1" x14ac:dyDescent="0.25">
      <c r="A18" s="243">
        <v>4</v>
      </c>
      <c r="B18" s="639" t="s">
        <v>93</v>
      </c>
      <c r="C18" s="597"/>
      <c r="D18" s="597"/>
      <c r="E18" s="597"/>
      <c r="F18" s="597"/>
      <c r="G18" s="597"/>
      <c r="H18" s="597"/>
      <c r="I18" s="598"/>
      <c r="J18" s="410" t="s">
        <v>358</v>
      </c>
      <c r="K18" s="245"/>
      <c r="L18" s="597" t="s">
        <v>392</v>
      </c>
      <c r="M18" s="597"/>
      <c r="N18" s="598"/>
      <c r="O18" s="180"/>
      <c r="P18" s="180"/>
      <c r="Q18" s="180">
        <v>4296000000</v>
      </c>
      <c r="R18" s="181">
        <f t="shared" si="5"/>
        <v>3.4557689706947241</v>
      </c>
      <c r="S18" s="181">
        <v>100</v>
      </c>
      <c r="T18" s="180">
        <f t="shared" ref="T18:T32" si="7">AJ18</f>
        <v>46.331625931098699</v>
      </c>
      <c r="U18" s="180">
        <f t="shared" ref="U18:U23" si="8">R18*T18/100</f>
        <v>1.6011139525452593</v>
      </c>
      <c r="V18" s="182">
        <f t="shared" si="4"/>
        <v>53.668374068901301</v>
      </c>
      <c r="W18" s="180"/>
      <c r="X18" s="180"/>
      <c r="Y18" s="180"/>
      <c r="Z18" s="180"/>
      <c r="AA18" s="180"/>
      <c r="AB18" s="180">
        <v>0</v>
      </c>
      <c r="AC18" s="180"/>
      <c r="AD18" s="180"/>
      <c r="AE18" s="180"/>
      <c r="AF18" s="180"/>
      <c r="AG18" s="180"/>
      <c r="AH18" s="180"/>
      <c r="AI18" s="180">
        <f>(583660366+480801633+270494857+445824057+209625737)</f>
        <v>1990406650</v>
      </c>
      <c r="AJ18" s="181">
        <f t="shared" si="2"/>
        <v>46.331625931098699</v>
      </c>
      <c r="AK18" s="180">
        <f t="shared" si="6"/>
        <v>2305593350</v>
      </c>
      <c r="AL18" s="249">
        <f t="shared" si="3"/>
        <v>53.668374068901301</v>
      </c>
      <c r="AM18" s="243"/>
    </row>
    <row r="19" spans="1:39" ht="28.5" customHeight="1" x14ac:dyDescent="0.25">
      <c r="A19" s="243">
        <v>5</v>
      </c>
      <c r="B19" s="639" t="s">
        <v>94</v>
      </c>
      <c r="C19" s="597"/>
      <c r="D19" s="597"/>
      <c r="E19" s="597"/>
      <c r="F19" s="597"/>
      <c r="G19" s="597"/>
      <c r="H19" s="597"/>
      <c r="I19" s="598"/>
      <c r="J19" s="410" t="s">
        <v>359</v>
      </c>
      <c r="K19" s="245"/>
      <c r="L19" s="597" t="s">
        <v>393</v>
      </c>
      <c r="M19" s="597"/>
      <c r="N19" s="598"/>
      <c r="O19" s="180"/>
      <c r="P19" s="180"/>
      <c r="Q19" s="180">
        <v>29977500000</v>
      </c>
      <c r="R19" s="181">
        <f t="shared" si="5"/>
        <v>24.114365530493735</v>
      </c>
      <c r="S19" s="181">
        <v>100</v>
      </c>
      <c r="T19" s="180">
        <f t="shared" si="7"/>
        <v>41.626448199482944</v>
      </c>
      <c r="U19" s="180">
        <f t="shared" si="8"/>
        <v>10.037953876184945</v>
      </c>
      <c r="V19" s="182">
        <f t="shared" si="4"/>
        <v>58.373551800517056</v>
      </c>
      <c r="W19" s="180"/>
      <c r="X19" s="180"/>
      <c r="Y19" s="180"/>
      <c r="Z19" s="180"/>
      <c r="AA19" s="180"/>
      <c r="AB19" s="180">
        <v>0</v>
      </c>
      <c r="AC19" s="180"/>
      <c r="AD19" s="180"/>
      <c r="AE19" s="180"/>
      <c r="AF19" s="180"/>
      <c r="AG19" s="180"/>
      <c r="AH19" s="180"/>
      <c r="AI19" s="180">
        <f>(2568866323+2496068783+2393680264+2434431784+2585521355)</f>
        <v>12478568509</v>
      </c>
      <c r="AJ19" s="181">
        <f t="shared" si="2"/>
        <v>41.626448199482944</v>
      </c>
      <c r="AK19" s="180">
        <f t="shared" si="6"/>
        <v>17498931491</v>
      </c>
      <c r="AL19" s="249">
        <f t="shared" si="3"/>
        <v>58.373551800517056</v>
      </c>
      <c r="AM19" s="243"/>
    </row>
    <row r="20" spans="1:39" ht="28.5" customHeight="1" x14ac:dyDescent="0.25">
      <c r="A20" s="243">
        <v>6</v>
      </c>
      <c r="B20" s="639" t="s">
        <v>95</v>
      </c>
      <c r="C20" s="597"/>
      <c r="D20" s="597"/>
      <c r="E20" s="597"/>
      <c r="F20" s="597"/>
      <c r="G20" s="597"/>
      <c r="H20" s="597"/>
      <c r="I20" s="598"/>
      <c r="J20" s="410" t="s">
        <v>360</v>
      </c>
      <c r="K20" s="245"/>
      <c r="L20" s="597" t="s">
        <v>394</v>
      </c>
      <c r="M20" s="597"/>
      <c r="N20" s="598"/>
      <c r="O20" s="180"/>
      <c r="P20" s="180"/>
      <c r="Q20" s="180">
        <v>900000000</v>
      </c>
      <c r="R20" s="181">
        <f t="shared" si="5"/>
        <v>0.72397394637459311</v>
      </c>
      <c r="S20" s="181">
        <v>100</v>
      </c>
      <c r="T20" s="180">
        <f t="shared" si="7"/>
        <v>55.351575333333336</v>
      </c>
      <c r="U20" s="180">
        <f t="shared" si="8"/>
        <v>0.40073098432123921</v>
      </c>
      <c r="V20" s="182">
        <f t="shared" si="4"/>
        <v>44.648424666666664</v>
      </c>
      <c r="W20" s="180"/>
      <c r="X20" s="180"/>
      <c r="Y20" s="180"/>
      <c r="Z20" s="180"/>
      <c r="AA20" s="180"/>
      <c r="AB20" s="180">
        <v>0</v>
      </c>
      <c r="AC20" s="180"/>
      <c r="AD20" s="180"/>
      <c r="AE20" s="180"/>
      <c r="AF20" s="180"/>
      <c r="AG20" s="180"/>
      <c r="AH20" s="180"/>
      <c r="AI20" s="180">
        <f>(106607217+102146277+80605167+99122150+109683367)</f>
        <v>498164178</v>
      </c>
      <c r="AJ20" s="181">
        <f t="shared" si="2"/>
        <v>55.351575333333336</v>
      </c>
      <c r="AK20" s="180">
        <f t="shared" si="6"/>
        <v>401835822</v>
      </c>
      <c r="AL20" s="181">
        <f t="shared" si="3"/>
        <v>44.648424666666664</v>
      </c>
      <c r="AM20" s="243"/>
    </row>
    <row r="21" spans="1:39" ht="28.5" customHeight="1" x14ac:dyDescent="0.25">
      <c r="A21" s="243">
        <v>7</v>
      </c>
      <c r="B21" s="639" t="s">
        <v>96</v>
      </c>
      <c r="C21" s="597"/>
      <c r="D21" s="597"/>
      <c r="E21" s="597"/>
      <c r="F21" s="597"/>
      <c r="G21" s="597"/>
      <c r="H21" s="597"/>
      <c r="I21" s="598"/>
      <c r="J21" s="410" t="s">
        <v>361</v>
      </c>
      <c r="K21" s="245"/>
      <c r="L21" s="597" t="s">
        <v>97</v>
      </c>
      <c r="M21" s="597"/>
      <c r="N21" s="598"/>
      <c r="O21" s="180"/>
      <c r="P21" s="180"/>
      <c r="Q21" s="180">
        <v>300000000</v>
      </c>
      <c r="R21" s="181">
        <f t="shared" si="5"/>
        <v>0.24132464879153101</v>
      </c>
      <c r="S21" s="181">
        <v>100</v>
      </c>
      <c r="T21" s="180">
        <f t="shared" si="7"/>
        <v>39.702973666666672</v>
      </c>
      <c r="U21" s="180">
        <f t="shared" si="8"/>
        <v>9.5813061760877394E-2</v>
      </c>
      <c r="V21" s="182">
        <f t="shared" si="4"/>
        <v>60.297026333333328</v>
      </c>
      <c r="W21" s="180"/>
      <c r="X21" s="180"/>
      <c r="Y21" s="180"/>
      <c r="Z21" s="180"/>
      <c r="AA21" s="180"/>
      <c r="AB21" s="180">
        <v>0</v>
      </c>
      <c r="AC21" s="180"/>
      <c r="AD21" s="180"/>
      <c r="AE21" s="180"/>
      <c r="AF21" s="180"/>
      <c r="AG21" s="180"/>
      <c r="AH21" s="180"/>
      <c r="AI21" s="180">
        <f>(28657603+30376120+28120950+28724784+3229464)</f>
        <v>119108921</v>
      </c>
      <c r="AJ21" s="181">
        <f t="shared" si="2"/>
        <v>39.702973666666672</v>
      </c>
      <c r="AK21" s="180">
        <f t="shared" si="6"/>
        <v>180891079</v>
      </c>
      <c r="AL21" s="181">
        <f t="shared" si="3"/>
        <v>60.297026333333335</v>
      </c>
      <c r="AM21" s="243"/>
    </row>
    <row r="22" spans="1:39" ht="28.5" customHeight="1" x14ac:dyDescent="0.25">
      <c r="A22" s="243">
        <v>8</v>
      </c>
      <c r="B22" s="639" t="s">
        <v>98</v>
      </c>
      <c r="C22" s="597"/>
      <c r="D22" s="597"/>
      <c r="E22" s="597"/>
      <c r="F22" s="597"/>
      <c r="G22" s="597"/>
      <c r="H22" s="597"/>
      <c r="I22" s="598"/>
      <c r="J22" s="410" t="s">
        <v>362</v>
      </c>
      <c r="K22" s="245"/>
      <c r="L22" s="597" t="s">
        <v>363</v>
      </c>
      <c r="M22" s="597"/>
      <c r="N22" s="598"/>
      <c r="O22" s="180"/>
      <c r="P22" s="180"/>
      <c r="Q22" s="180">
        <v>22900000000</v>
      </c>
      <c r="R22" s="181">
        <f t="shared" si="5"/>
        <v>18.421114857753533</v>
      </c>
      <c r="S22" s="181">
        <v>100</v>
      </c>
      <c r="T22" s="180">
        <f t="shared" si="7"/>
        <v>19.055760816593885</v>
      </c>
      <c r="U22" s="180">
        <f t="shared" si="8"/>
        <v>3.5102835870435523</v>
      </c>
      <c r="V22" s="182">
        <f t="shared" si="4"/>
        <v>80.944239183406111</v>
      </c>
      <c r="W22" s="180"/>
      <c r="X22" s="180"/>
      <c r="Y22" s="180"/>
      <c r="Z22" s="180"/>
      <c r="AA22" s="180"/>
      <c r="AB22" s="180">
        <v>0</v>
      </c>
      <c r="AC22" s="180"/>
      <c r="AD22" s="180"/>
      <c r="AE22" s="180"/>
      <c r="AF22" s="180"/>
      <c r="AG22" s="180"/>
      <c r="AH22" s="180"/>
      <c r="AI22" s="180">
        <f>(420432023+534056614+411915844+1363066652+1634298094)</f>
        <v>4363769227</v>
      </c>
      <c r="AJ22" s="181">
        <f t="shared" si="2"/>
        <v>19.055760816593885</v>
      </c>
      <c r="AK22" s="180">
        <f t="shared" si="6"/>
        <v>18536230773</v>
      </c>
      <c r="AL22" s="249">
        <f t="shared" si="3"/>
        <v>80.944239183406111</v>
      </c>
      <c r="AM22" s="243"/>
    </row>
    <row r="23" spans="1:39" ht="32.25" customHeight="1" x14ac:dyDescent="0.25">
      <c r="A23" s="243">
        <v>9</v>
      </c>
      <c r="B23" s="639" t="s">
        <v>99</v>
      </c>
      <c r="C23" s="597"/>
      <c r="D23" s="597"/>
      <c r="E23" s="597"/>
      <c r="F23" s="597"/>
      <c r="G23" s="597"/>
      <c r="H23" s="597"/>
      <c r="I23" s="598"/>
      <c r="J23" s="410" t="s">
        <v>364</v>
      </c>
      <c r="K23" s="245"/>
      <c r="L23" s="597" t="s">
        <v>100</v>
      </c>
      <c r="M23" s="597"/>
      <c r="N23" s="598"/>
      <c r="O23" s="180"/>
      <c r="P23" s="180"/>
      <c r="Q23" s="180">
        <v>34164000000</v>
      </c>
      <c r="R23" s="181">
        <f>Q23/Q$10*100</f>
        <v>27.482051004379553</v>
      </c>
      <c r="S23" s="181">
        <v>100</v>
      </c>
      <c r="T23" s="180">
        <f t="shared" si="7"/>
        <v>47.24614233696289</v>
      </c>
      <c r="U23" s="180">
        <f t="shared" si="8"/>
        <v>12.984208934645903</v>
      </c>
      <c r="V23" s="182">
        <f>S23-T23</f>
        <v>52.75385766303711</v>
      </c>
      <c r="W23" s="180"/>
      <c r="X23" s="180"/>
      <c r="Y23" s="180"/>
      <c r="Z23" s="180"/>
      <c r="AA23" s="180"/>
      <c r="AB23" s="180">
        <v>0</v>
      </c>
      <c r="AC23" s="180"/>
      <c r="AD23" s="180"/>
      <c r="AE23" s="180"/>
      <c r="AF23" s="180"/>
      <c r="AG23" s="180"/>
      <c r="AH23" s="180"/>
      <c r="AI23" s="180">
        <f>(3105790473+2487428016+3324117884+3597921750+3625913945)</f>
        <v>16141172068</v>
      </c>
      <c r="AJ23" s="181">
        <f t="shared" si="2"/>
        <v>47.24614233696289</v>
      </c>
      <c r="AK23" s="180">
        <f t="shared" si="6"/>
        <v>18022827932</v>
      </c>
      <c r="AL23" s="181">
        <f t="shared" si="3"/>
        <v>52.753857663037117</v>
      </c>
      <c r="AM23" s="243"/>
    </row>
    <row r="24" spans="1:39" s="226" customFormat="1" ht="27.75" customHeight="1" x14ac:dyDescent="0.25">
      <c r="A24" s="236" t="s">
        <v>8</v>
      </c>
      <c r="B24" s="642" t="s">
        <v>101</v>
      </c>
      <c r="C24" s="626"/>
      <c r="D24" s="626"/>
      <c r="E24" s="626"/>
      <c r="F24" s="626"/>
      <c r="G24" s="626"/>
      <c r="H24" s="626"/>
      <c r="I24" s="627"/>
      <c r="J24" s="417" t="s">
        <v>214</v>
      </c>
      <c r="K24" s="238"/>
      <c r="L24" s="626" t="s">
        <v>102</v>
      </c>
      <c r="M24" s="626"/>
      <c r="N24" s="627"/>
      <c r="O24" s="239">
        <v>80000000</v>
      </c>
      <c r="P24" s="239">
        <f>O24</f>
        <v>80000000</v>
      </c>
      <c r="Q24" s="239">
        <f>SUM(Q25)</f>
        <v>161362180</v>
      </c>
      <c r="R24" s="240">
        <f>Q24/Q24*100</f>
        <v>100</v>
      </c>
      <c r="S24" s="240">
        <v>100</v>
      </c>
      <c r="T24" s="239">
        <f t="shared" si="7"/>
        <v>37.183434185135575</v>
      </c>
      <c r="U24" s="239">
        <f>AJ24</f>
        <v>37.183434185135575</v>
      </c>
      <c r="V24" s="241">
        <f t="shared" si="4"/>
        <v>62.816565814864425</v>
      </c>
      <c r="W24" s="239"/>
      <c r="X24" s="239" t="e">
        <f>#REF!</f>
        <v>#REF!</v>
      </c>
      <c r="Y24" s="239" t="e">
        <f>#REF!</f>
        <v>#REF!</v>
      </c>
      <c r="Z24" s="239" t="e">
        <f>#REF!</f>
        <v>#REF!</v>
      </c>
      <c r="AA24" s="239" t="e">
        <f>#REF!</f>
        <v>#REF!</v>
      </c>
      <c r="AB24" s="239">
        <v>15000000</v>
      </c>
      <c r="AC24" s="239" t="e">
        <f>#REF!</f>
        <v>#REF!</v>
      </c>
      <c r="AD24" s="239" t="e">
        <f>#REF!</f>
        <v>#REF!</v>
      </c>
      <c r="AE24" s="239" t="e">
        <f>#REF!</f>
        <v>#REF!</v>
      </c>
      <c r="AF24" s="239" t="e">
        <f>[1]April!$N$13</f>
        <v>#REF!</v>
      </c>
      <c r="AG24" s="239" t="e">
        <f>[2]april!$N$13</f>
        <v>#REF!</v>
      </c>
      <c r="AH24" s="239">
        <f>'[3]DES SKPD'!$N$13</f>
        <v>75000000</v>
      </c>
      <c r="AI24" s="239">
        <f>SUM(AI25)</f>
        <v>60000000</v>
      </c>
      <c r="AJ24" s="240">
        <f t="shared" si="2"/>
        <v>37.183434185135575</v>
      </c>
      <c r="AK24" s="239">
        <f t="shared" si="6"/>
        <v>101362180</v>
      </c>
      <c r="AL24" s="240">
        <f t="shared" si="3"/>
        <v>62.816565814864425</v>
      </c>
      <c r="AM24" s="236"/>
    </row>
    <row r="25" spans="1:39" ht="21" customHeight="1" x14ac:dyDescent="0.25">
      <c r="A25" s="243">
        <v>10</v>
      </c>
      <c r="B25" s="639" t="s">
        <v>103</v>
      </c>
      <c r="C25" s="597"/>
      <c r="D25" s="597"/>
      <c r="E25" s="597"/>
      <c r="F25" s="597"/>
      <c r="G25" s="597"/>
      <c r="H25" s="597"/>
      <c r="I25" s="598"/>
      <c r="J25" s="410" t="s">
        <v>365</v>
      </c>
      <c r="K25" s="245"/>
      <c r="L25" s="597" t="s">
        <v>540</v>
      </c>
      <c r="M25" s="597"/>
      <c r="N25" s="598"/>
      <c r="O25" s="180"/>
      <c r="P25" s="180"/>
      <c r="Q25" s="180">
        <v>161362180</v>
      </c>
      <c r="R25" s="181">
        <f t="shared" si="5"/>
        <v>0.12980223805578603</v>
      </c>
      <c r="S25" s="181">
        <v>100</v>
      </c>
      <c r="T25" s="180">
        <f t="shared" si="7"/>
        <v>37.183434185135575</v>
      </c>
      <c r="U25" s="180">
        <f>R25*T25/100</f>
        <v>4.8264929758306201E-2</v>
      </c>
      <c r="V25" s="182">
        <f>S25-T25</f>
        <v>62.816565814864425</v>
      </c>
      <c r="W25" s="180"/>
      <c r="X25" s="180"/>
      <c r="Y25" s="180"/>
      <c r="Z25" s="180"/>
      <c r="AA25" s="180"/>
      <c r="AB25" s="180">
        <v>0</v>
      </c>
      <c r="AC25" s="231" t="e">
        <f>#REF!</f>
        <v>#REF!</v>
      </c>
      <c r="AD25" s="180"/>
      <c r="AE25" s="180"/>
      <c r="AF25" s="180"/>
      <c r="AG25" s="180"/>
      <c r="AH25" s="180"/>
      <c r="AI25" s="180">
        <f>38400000+7200000+14400000</f>
        <v>60000000</v>
      </c>
      <c r="AJ25" s="181">
        <f t="shared" si="2"/>
        <v>37.183434185135575</v>
      </c>
      <c r="AK25" s="180">
        <f t="shared" si="6"/>
        <v>101362180</v>
      </c>
      <c r="AL25" s="181">
        <f t="shared" si="3"/>
        <v>62.816565814864425</v>
      </c>
      <c r="AM25" s="243"/>
    </row>
    <row r="26" spans="1:39" s="226" customFormat="1" ht="27.75" customHeight="1" x14ac:dyDescent="0.25">
      <c r="A26" s="236" t="s">
        <v>29</v>
      </c>
      <c r="B26" s="642" t="s">
        <v>104</v>
      </c>
      <c r="C26" s="626"/>
      <c r="D26" s="626"/>
      <c r="E26" s="626"/>
      <c r="F26" s="626"/>
      <c r="G26" s="626"/>
      <c r="H26" s="626"/>
      <c r="I26" s="627"/>
      <c r="J26" s="417" t="s">
        <v>366</v>
      </c>
      <c r="K26" s="238"/>
      <c r="L26" s="626" t="s">
        <v>105</v>
      </c>
      <c r="M26" s="626"/>
      <c r="N26" s="627"/>
      <c r="O26" s="239">
        <v>4150000000</v>
      </c>
      <c r="P26" s="239">
        <f>O26</f>
        <v>4150000000</v>
      </c>
      <c r="Q26" s="239">
        <f>SUM(Q27:Q34)</f>
        <v>10152503603</v>
      </c>
      <c r="R26" s="240">
        <f>Q26/Q26*100</f>
        <v>100</v>
      </c>
      <c r="S26" s="240">
        <v>100</v>
      </c>
      <c r="T26" s="239">
        <f t="shared" si="7"/>
        <v>133.50389700915628</v>
      </c>
      <c r="U26" s="239">
        <f>AJ26</f>
        <v>133.50389700915628</v>
      </c>
      <c r="V26" s="241">
        <f t="shared" si="4"/>
        <v>-33.503897009156276</v>
      </c>
      <c r="W26" s="239"/>
      <c r="X26" s="239" t="e">
        <f>#REF!</f>
        <v>#REF!</v>
      </c>
      <c r="Y26" s="239" t="e">
        <f>#REF!</f>
        <v>#REF!</v>
      </c>
      <c r="Z26" s="239" t="e">
        <f>#REF!</f>
        <v>#REF!</v>
      </c>
      <c r="AA26" s="239" t="e">
        <f>#REF!</f>
        <v>#REF!</v>
      </c>
      <c r="AB26" s="239">
        <v>5532503616</v>
      </c>
      <c r="AC26" s="239" t="e">
        <f>#REF!</f>
        <v>#REF!</v>
      </c>
      <c r="AD26" s="239" t="e">
        <f>#REF!</f>
        <v>#REF!</v>
      </c>
      <c r="AE26" s="239" t="e">
        <f>#REF!</f>
        <v>#REF!</v>
      </c>
      <c r="AF26" s="239" t="e">
        <f>[1]April!$N$14</f>
        <v>#REF!</v>
      </c>
      <c r="AG26" s="239" t="e">
        <f>[2]april!$N$14</f>
        <v>#REF!</v>
      </c>
      <c r="AH26" s="239">
        <f>'[3]DES SKPD'!$N$14</f>
        <v>11081028822</v>
      </c>
      <c r="AI26" s="239">
        <f>SUM(AI27:AI34)</f>
        <v>13553987954</v>
      </c>
      <c r="AJ26" s="240">
        <f t="shared" si="2"/>
        <v>133.50389700915628</v>
      </c>
      <c r="AK26" s="405">
        <f>SUM(Q26-AI26)</f>
        <v>-3401484351</v>
      </c>
      <c r="AL26" s="240">
        <f t="shared" si="3"/>
        <v>-33.503897009156276</v>
      </c>
      <c r="AM26" s="236"/>
    </row>
    <row r="27" spans="1:39" ht="24.95" customHeight="1" x14ac:dyDescent="0.25">
      <c r="A27" s="243">
        <v>11</v>
      </c>
      <c r="B27" s="639" t="s">
        <v>106</v>
      </c>
      <c r="C27" s="597"/>
      <c r="D27" s="597"/>
      <c r="E27" s="597"/>
      <c r="F27" s="597"/>
      <c r="G27" s="597"/>
      <c r="H27" s="597"/>
      <c r="I27" s="598"/>
      <c r="J27" s="410" t="s">
        <v>367</v>
      </c>
      <c r="K27" s="245"/>
      <c r="L27" s="597" t="s">
        <v>107</v>
      </c>
      <c r="M27" s="597"/>
      <c r="N27" s="598"/>
      <c r="O27" s="180">
        <v>2869514353</v>
      </c>
      <c r="P27" s="180"/>
      <c r="Q27" s="180">
        <v>9463503603</v>
      </c>
      <c r="R27" s="181">
        <f t="shared" ref="R27" si="9">Q27/Q$10*100</f>
        <v>7.6125889444378787</v>
      </c>
      <c r="S27" s="181">
        <v>100</v>
      </c>
      <c r="T27" s="180">
        <f t="shared" si="7"/>
        <v>20.649775632573402</v>
      </c>
      <c r="U27" s="180">
        <f t="shared" ref="U27:U32" si="10">R27*T27/100</f>
        <v>1.5719825368565097</v>
      </c>
      <c r="V27" s="182">
        <f>S27-T27</f>
        <v>79.350224367426591</v>
      </c>
      <c r="W27" s="180">
        <v>0</v>
      </c>
      <c r="X27" s="180">
        <v>0</v>
      </c>
      <c r="Y27" s="180">
        <f>[4]MARET!$N$14</f>
        <v>1079679809</v>
      </c>
      <c r="Z27" s="180">
        <v>3345735931</v>
      </c>
      <c r="AA27" s="180" t="e">
        <f>[5]maret!$Q$166</f>
        <v>#REF!</v>
      </c>
      <c r="AB27" s="180">
        <f>[6]JUNI!$S$166</f>
        <v>2116323666</v>
      </c>
      <c r="AC27" s="180"/>
      <c r="AD27" s="180"/>
      <c r="AE27" s="180"/>
      <c r="AF27" s="180"/>
      <c r="AG27" s="180"/>
      <c r="AH27" s="180"/>
      <c r="AI27" s="180">
        <f>(290269423+304174322+383891482+487632037+488224997)</f>
        <v>1954192261</v>
      </c>
      <c r="AJ27" s="181">
        <f t="shared" si="2"/>
        <v>20.649775632573402</v>
      </c>
      <c r="AK27" s="180">
        <f t="shared" si="6"/>
        <v>7509311342</v>
      </c>
      <c r="AL27" s="181">
        <f t="shared" si="3"/>
        <v>79.350224367426605</v>
      </c>
      <c r="AM27" s="243"/>
    </row>
    <row r="28" spans="1:39" ht="24.95" customHeight="1" x14ac:dyDescent="0.25">
      <c r="A28" s="243">
        <v>12</v>
      </c>
      <c r="B28" s="639" t="s">
        <v>108</v>
      </c>
      <c r="C28" s="597"/>
      <c r="D28" s="597"/>
      <c r="E28" s="597"/>
      <c r="F28" s="597"/>
      <c r="G28" s="597"/>
      <c r="H28" s="597"/>
      <c r="I28" s="598"/>
      <c r="J28" s="410"/>
      <c r="K28" s="245"/>
      <c r="L28" s="597" t="s">
        <v>110</v>
      </c>
      <c r="M28" s="597"/>
      <c r="N28" s="598"/>
      <c r="O28" s="180"/>
      <c r="P28" s="180"/>
      <c r="Q28" s="180">
        <v>0</v>
      </c>
      <c r="R28" s="181">
        <f>AI28/Q$10*100</f>
        <v>8.8687925482466117</v>
      </c>
      <c r="S28" s="181">
        <v>0</v>
      </c>
      <c r="T28" s="180">
        <f>AJ28</f>
        <v>0</v>
      </c>
      <c r="U28" s="180">
        <f>R28*T28/100</f>
        <v>0</v>
      </c>
      <c r="V28" s="182">
        <f>T28-S28</f>
        <v>0</v>
      </c>
      <c r="W28" s="180">
        <v>0</v>
      </c>
      <c r="X28" s="180">
        <v>0</v>
      </c>
      <c r="Y28" s="180" t="e">
        <f>'[7]LRA RINCIAN nBJEK'!$N$334</f>
        <v>#REF!</v>
      </c>
      <c r="Z28" s="180" t="e">
        <f>'[8]DPKD versi ekbang'!$P$334</f>
        <v>#REF!</v>
      </c>
      <c r="AA28" s="180" t="e">
        <f>[5]maret!$Q$224</f>
        <v>#REF!</v>
      </c>
      <c r="AB28" s="180">
        <f>[6]JUNI!$S$224</f>
        <v>1216233073</v>
      </c>
      <c r="AC28" s="180"/>
      <c r="AD28" s="180"/>
      <c r="AE28" s="180"/>
      <c r="AF28" s="180"/>
      <c r="AG28" s="180"/>
      <c r="AH28" s="180"/>
      <c r="AI28" s="180">
        <f xml:space="preserve"> (9193697642 + 221523585+363364923+332978349+913574366)</f>
        <v>11025138865</v>
      </c>
      <c r="AJ28" s="181">
        <v>0</v>
      </c>
      <c r="AK28" s="180">
        <f>SUM(Q28-AI28)</f>
        <v>-11025138865</v>
      </c>
      <c r="AL28" s="181">
        <v>0</v>
      </c>
      <c r="AM28" s="243"/>
    </row>
    <row r="29" spans="1:39" ht="24.95" customHeight="1" x14ac:dyDescent="0.25">
      <c r="A29" s="243">
        <v>13</v>
      </c>
      <c r="B29" s="639" t="s">
        <v>108</v>
      </c>
      <c r="C29" s="597"/>
      <c r="D29" s="597"/>
      <c r="E29" s="597"/>
      <c r="F29" s="597"/>
      <c r="G29" s="597"/>
      <c r="H29" s="597"/>
      <c r="I29" s="598"/>
      <c r="J29" s="410" t="s">
        <v>382</v>
      </c>
      <c r="K29" s="245"/>
      <c r="L29" s="597" t="s">
        <v>368</v>
      </c>
      <c r="M29" s="597"/>
      <c r="N29" s="598"/>
      <c r="O29" s="180"/>
      <c r="P29" s="180"/>
      <c r="Q29" s="180">
        <v>689000000</v>
      </c>
      <c r="R29" s="181">
        <f>AI29/Q$10*100</f>
        <v>0.26886175640570137</v>
      </c>
      <c r="S29" s="181">
        <v>0</v>
      </c>
      <c r="T29" s="180">
        <f t="shared" si="7"/>
        <v>48.5097885341074</v>
      </c>
      <c r="U29" s="180">
        <f t="shared" si="10"/>
        <v>0.13042426948149269</v>
      </c>
      <c r="V29" s="182">
        <f t="shared" ref="V29:V32" si="11">T29-S29</f>
        <v>48.5097885341074</v>
      </c>
      <c r="W29" s="180">
        <v>0</v>
      </c>
      <c r="X29" s="180">
        <v>0</v>
      </c>
      <c r="Y29" s="180" t="e">
        <f>'[7]LRA RINCIAN nBJEK'!$N$334</f>
        <v>#REF!</v>
      </c>
      <c r="Z29" s="180" t="e">
        <f>'[8]DPKD versi ekbang'!$P$334</f>
        <v>#REF!</v>
      </c>
      <c r="AA29" s="180" t="e">
        <f>[5]maret!$Q$265</f>
        <v>#REF!</v>
      </c>
      <c r="AB29" s="180">
        <f>[6]JUNI!$S$265</f>
        <v>727292590</v>
      </c>
      <c r="AC29" s="180"/>
      <c r="AD29" s="180"/>
      <c r="AE29" s="180"/>
      <c r="AF29" s="180"/>
      <c r="AG29" s="180"/>
      <c r="AH29" s="180"/>
      <c r="AI29" s="180">
        <f>(79828289+0+177590471+76813683+0)</f>
        <v>334232443</v>
      </c>
      <c r="AJ29" s="181">
        <f>AI29/Q29*100</f>
        <v>48.5097885341074</v>
      </c>
      <c r="AK29" s="180">
        <f t="shared" si="6"/>
        <v>354767557</v>
      </c>
      <c r="AL29" s="181">
        <f>AK29/Q29*100</f>
        <v>51.4902114658926</v>
      </c>
      <c r="AM29" s="243"/>
    </row>
    <row r="30" spans="1:39" ht="24.95" customHeight="1" x14ac:dyDescent="0.25">
      <c r="A30" s="243">
        <v>14</v>
      </c>
      <c r="B30" s="426"/>
      <c r="C30" s="410"/>
      <c r="D30" s="410"/>
      <c r="E30" s="410"/>
      <c r="F30" s="410"/>
      <c r="G30" s="410"/>
      <c r="H30" s="410"/>
      <c r="I30" s="411"/>
      <c r="J30" s="410"/>
      <c r="K30" s="245"/>
      <c r="L30" s="597" t="s">
        <v>637</v>
      </c>
      <c r="M30" s="597"/>
      <c r="N30" s="598"/>
      <c r="O30" s="180"/>
      <c r="P30" s="180"/>
      <c r="Q30" s="180">
        <v>0</v>
      </c>
      <c r="R30" s="181">
        <f>AI30/Q$10*100</f>
        <v>4.205082005192428E-5</v>
      </c>
      <c r="S30" s="181">
        <v>0</v>
      </c>
      <c r="T30" s="180">
        <f t="shared" si="7"/>
        <v>0</v>
      </c>
      <c r="U30" s="180">
        <f t="shared" si="10"/>
        <v>0</v>
      </c>
      <c r="V30" s="182">
        <f t="shared" si="11"/>
        <v>0</v>
      </c>
      <c r="W30" s="180">
        <v>0</v>
      </c>
      <c r="X30" s="180">
        <v>0</v>
      </c>
      <c r="Y30" s="180" t="e">
        <f>'[7]LRA RINCIAN nBJEK'!$N$334</f>
        <v>#REF!</v>
      </c>
      <c r="Z30" s="180" t="e">
        <f>'[8]DPKD versi ekbang'!$P$334</f>
        <v>#REF!</v>
      </c>
      <c r="AA30" s="180" t="e">
        <f>[5]maret!$Q$265</f>
        <v>#REF!</v>
      </c>
      <c r="AB30" s="180">
        <f>[6]JUNI!$S$265</f>
        <v>727292590</v>
      </c>
      <c r="AC30" s="180"/>
      <c r="AD30" s="180"/>
      <c r="AE30" s="180"/>
      <c r="AF30" s="180"/>
      <c r="AG30" s="180"/>
      <c r="AH30" s="180"/>
      <c r="AI30" s="180">
        <f>(52275+0)</f>
        <v>52275</v>
      </c>
      <c r="AJ30" s="181">
        <v>0</v>
      </c>
      <c r="AK30" s="180">
        <f t="shared" ref="AK30" si="12">SUM(Q30-AI30)</f>
        <v>-52275</v>
      </c>
      <c r="AL30" s="181">
        <v>0</v>
      </c>
      <c r="AM30" s="243"/>
    </row>
    <row r="31" spans="1:39" ht="24.95" customHeight="1" thickBot="1" x14ac:dyDescent="0.3">
      <c r="A31" s="243">
        <v>15</v>
      </c>
      <c r="B31" s="636" t="s">
        <v>108</v>
      </c>
      <c r="C31" s="637"/>
      <c r="D31" s="637"/>
      <c r="E31" s="637"/>
      <c r="F31" s="637"/>
      <c r="G31" s="637"/>
      <c r="H31" s="637"/>
      <c r="I31" s="638"/>
      <c r="J31" s="410"/>
      <c r="K31" s="245"/>
      <c r="L31" s="660" t="s">
        <v>385</v>
      </c>
      <c r="M31" s="660"/>
      <c r="N31" s="661"/>
      <c r="O31" s="180"/>
      <c r="P31" s="180"/>
      <c r="Q31" s="180"/>
      <c r="R31" s="181">
        <f>Q31/Q$10*100</f>
        <v>0</v>
      </c>
      <c r="S31" s="181">
        <v>0</v>
      </c>
      <c r="T31" s="180">
        <f t="shared" si="7"/>
        <v>0</v>
      </c>
      <c r="U31" s="180">
        <f t="shared" si="10"/>
        <v>0</v>
      </c>
      <c r="V31" s="182">
        <f t="shared" si="11"/>
        <v>0</v>
      </c>
      <c r="W31" s="180">
        <v>0</v>
      </c>
      <c r="X31" s="180">
        <v>0</v>
      </c>
      <c r="Y31" s="180" t="e">
        <f>'[7]LRA RINCIAN nBJEK'!$N$334</f>
        <v>#REF!</v>
      </c>
      <c r="Z31" s="180" t="e">
        <f>'[8]DPKD versi ekbang'!$P$334</f>
        <v>#REF!</v>
      </c>
      <c r="AA31" s="180" t="e">
        <f>[5]maret!$Q$269</f>
        <v>#REF!</v>
      </c>
      <c r="AB31" s="180">
        <f>[6]JUNI!$S$269</f>
        <v>319903749</v>
      </c>
      <c r="AC31" s="180"/>
      <c r="AD31" s="180"/>
      <c r="AE31" s="180"/>
      <c r="AF31" s="180"/>
      <c r="AG31" s="180"/>
      <c r="AH31" s="180"/>
      <c r="AI31" s="180">
        <f>(0+20+20+0+160216000)</f>
        <v>160216040</v>
      </c>
      <c r="AJ31" s="181">
        <v>0</v>
      </c>
      <c r="AK31" s="180">
        <f t="shared" si="6"/>
        <v>-160216040</v>
      </c>
      <c r="AL31" s="181">
        <v>0</v>
      </c>
      <c r="AM31" s="243"/>
    </row>
    <row r="32" spans="1:39" ht="24.95" customHeight="1" thickTop="1" thickBot="1" x14ac:dyDescent="0.3">
      <c r="A32" s="243">
        <v>16</v>
      </c>
      <c r="B32" s="424"/>
      <c r="C32" s="424"/>
      <c r="D32" s="424"/>
      <c r="E32" s="424"/>
      <c r="F32" s="424"/>
      <c r="G32" s="424"/>
      <c r="H32" s="424"/>
      <c r="I32" s="425"/>
      <c r="J32" s="410"/>
      <c r="K32" s="245"/>
      <c r="L32" s="597" t="s">
        <v>384</v>
      </c>
      <c r="M32" s="597"/>
      <c r="N32" s="598"/>
      <c r="O32" s="180">
        <v>599994905</v>
      </c>
      <c r="P32" s="180"/>
      <c r="Q32" s="180"/>
      <c r="R32" s="181">
        <f>Q32/Q$10*100</f>
        <v>0</v>
      </c>
      <c r="S32" s="181">
        <v>0</v>
      </c>
      <c r="T32" s="180">
        <f t="shared" si="7"/>
        <v>0</v>
      </c>
      <c r="U32" s="180">
        <f t="shared" si="10"/>
        <v>0</v>
      </c>
      <c r="V32" s="182">
        <f t="shared" si="11"/>
        <v>0</v>
      </c>
      <c r="W32" s="180">
        <v>0</v>
      </c>
      <c r="X32" s="180">
        <v>0</v>
      </c>
      <c r="Y32" s="180" t="e">
        <f>'[7]LRA RINCIAN nBJEK'!$N$334</f>
        <v>#REF!</v>
      </c>
      <c r="Z32" s="180" t="e">
        <f>'[8]DPKD versi ekbang'!$P$334</f>
        <v>#REF!</v>
      </c>
      <c r="AA32" s="180" t="e">
        <f>[5]maret!$Q$269</f>
        <v>#REF!</v>
      </c>
      <c r="AB32" s="180">
        <f>[6]JUNI!$S$269</f>
        <v>319903749</v>
      </c>
      <c r="AC32" s="180"/>
      <c r="AD32" s="180"/>
      <c r="AE32" s="180"/>
      <c r="AF32" s="180"/>
      <c r="AG32" s="180"/>
      <c r="AH32" s="180"/>
      <c r="AI32" s="180">
        <f>(750000+0+750000+500000+0)</f>
        <v>2000000</v>
      </c>
      <c r="AJ32" s="181">
        <v>0</v>
      </c>
      <c r="AK32" s="180">
        <f t="shared" si="6"/>
        <v>-2000000</v>
      </c>
      <c r="AL32" s="181">
        <v>0</v>
      </c>
      <c r="AM32" s="243"/>
    </row>
    <row r="33" spans="1:39" ht="24.95" customHeight="1" thickTop="1" x14ac:dyDescent="0.25">
      <c r="A33" s="243">
        <v>17</v>
      </c>
      <c r="B33" s="639" t="s">
        <v>108</v>
      </c>
      <c r="C33" s="597"/>
      <c r="D33" s="597"/>
      <c r="E33" s="597"/>
      <c r="F33" s="597"/>
      <c r="G33" s="597"/>
      <c r="H33" s="597"/>
      <c r="I33" s="598"/>
      <c r="J33" s="410"/>
      <c r="K33" s="245"/>
      <c r="L33" s="597" t="s">
        <v>109</v>
      </c>
      <c r="M33" s="597"/>
      <c r="N33" s="598"/>
      <c r="O33" s="180"/>
      <c r="P33" s="180"/>
      <c r="Q33" s="180"/>
      <c r="R33" s="181">
        <f>AI33/Q$10*100</f>
        <v>6.2638282149414498E-2</v>
      </c>
      <c r="S33" s="181">
        <v>0</v>
      </c>
      <c r="T33" s="180">
        <f>AJ33</f>
        <v>0</v>
      </c>
      <c r="U33" s="180">
        <f>R33*T33/100</f>
        <v>0</v>
      </c>
      <c r="V33" s="182">
        <f>T33-S33</f>
        <v>0</v>
      </c>
      <c r="W33" s="180">
        <v>0</v>
      </c>
      <c r="X33" s="180">
        <v>0</v>
      </c>
      <c r="Y33" s="180" t="e">
        <f>'[7]LRA RINCIAN nBJEK'!$N$334</f>
        <v>#REF!</v>
      </c>
      <c r="Z33" s="180" t="e">
        <f>'[8]DPKD versi ekbang'!$P$334</f>
        <v>#REF!</v>
      </c>
      <c r="AA33" s="180" t="e">
        <f>[5]maret!$Q$198</f>
        <v>#REF!</v>
      </c>
      <c r="AB33" s="180">
        <f>[6]JUNI!$S$198</f>
        <v>16694136</v>
      </c>
      <c r="AC33" s="180"/>
      <c r="AD33" s="180"/>
      <c r="AE33" s="180"/>
      <c r="AF33" s="180"/>
      <c r="AG33" s="180"/>
      <c r="AH33" s="180"/>
      <c r="AI33" s="180">
        <f>(20455657+28153435+16921231+8293419+4044328)</f>
        <v>77868070</v>
      </c>
      <c r="AJ33" s="181">
        <v>0</v>
      </c>
      <c r="AK33" s="180">
        <f>SUM(Q33-AI33)</f>
        <v>-77868070</v>
      </c>
      <c r="AL33" s="181">
        <v>0</v>
      </c>
      <c r="AM33" s="243"/>
    </row>
    <row r="34" spans="1:39" ht="24.95" customHeight="1" thickBot="1" x14ac:dyDescent="0.3">
      <c r="A34" s="243">
        <v>18</v>
      </c>
      <c r="B34" s="410"/>
      <c r="C34" s="410"/>
      <c r="D34" s="410"/>
      <c r="E34" s="410"/>
      <c r="F34" s="410"/>
      <c r="G34" s="410"/>
      <c r="H34" s="410"/>
      <c r="I34" s="411"/>
      <c r="J34" s="410"/>
      <c r="K34" s="245"/>
      <c r="L34" s="637" t="s">
        <v>638</v>
      </c>
      <c r="M34" s="637"/>
      <c r="N34" s="638"/>
      <c r="O34" s="180"/>
      <c r="P34" s="180"/>
      <c r="Q34" s="180"/>
      <c r="R34" s="181">
        <f>AI34/Q$10*100</f>
        <v>2.316716628398698E-4</v>
      </c>
      <c r="S34" s="181">
        <v>1</v>
      </c>
      <c r="T34" s="180">
        <f>AJ34</f>
        <v>1</v>
      </c>
      <c r="U34" s="180">
        <f>R34*T34/100</f>
        <v>2.3167166283986979E-6</v>
      </c>
      <c r="V34" s="182">
        <f>T34-S34</f>
        <v>0</v>
      </c>
      <c r="W34" s="180">
        <v>0</v>
      </c>
      <c r="X34" s="180">
        <v>0</v>
      </c>
      <c r="Y34" s="180" t="e">
        <f>'[7]LRA RINCIAN nBJEK'!$N$334</f>
        <v>#REF!</v>
      </c>
      <c r="Z34" s="180" t="e">
        <f>'[8]DPKD versi ekbang'!$P$334</f>
        <v>#REF!</v>
      </c>
      <c r="AA34" s="180" t="e">
        <f>[5]maret!$Q$198</f>
        <v>#REF!</v>
      </c>
      <c r="AB34" s="180">
        <f>[6]JUNI!$S$198</f>
        <v>16694136</v>
      </c>
      <c r="AC34" s="180"/>
      <c r="AD34" s="180"/>
      <c r="AE34" s="180"/>
      <c r="AF34" s="180"/>
      <c r="AG34" s="180"/>
      <c r="AH34" s="180"/>
      <c r="AI34" s="180">
        <v>288000</v>
      </c>
      <c r="AJ34" s="181">
        <v>1</v>
      </c>
      <c r="AK34" s="180">
        <f>SUM(Q34-AI34)</f>
        <v>-288000</v>
      </c>
      <c r="AL34" s="181">
        <v>1</v>
      </c>
      <c r="AM34" s="243"/>
    </row>
    <row r="35" spans="1:39" s="256" customFormat="1" ht="27.75" customHeight="1" thickTop="1" thickBot="1" x14ac:dyDescent="0.3">
      <c r="A35" s="218"/>
      <c r="B35" s="254"/>
      <c r="C35" s="254"/>
      <c r="D35" s="254"/>
      <c r="E35" s="254"/>
      <c r="F35" s="254"/>
      <c r="G35" s="254"/>
      <c r="H35" s="254"/>
      <c r="I35" s="255"/>
      <c r="J35" s="254" t="s">
        <v>211</v>
      </c>
      <c r="K35" s="220"/>
      <c r="L35" s="640" t="s">
        <v>9</v>
      </c>
      <c r="M35" s="640"/>
      <c r="N35" s="641"/>
      <c r="O35" s="221" t="e">
        <f>SUM(O37:O58)</f>
        <v>#REF!</v>
      </c>
      <c r="P35" s="221" t="e">
        <f>SUM(P37:P58)</f>
        <v>#REF!</v>
      </c>
      <c r="Q35" s="221">
        <f>SUM(Q37+Q58)</f>
        <v>31786252581</v>
      </c>
      <c r="R35" s="222">
        <f>Q35/Q35*100</f>
        <v>100</v>
      </c>
      <c r="S35" s="221">
        <f>S37</f>
        <v>100</v>
      </c>
      <c r="T35" s="221">
        <f>AJ35</f>
        <v>35.114550079652247</v>
      </c>
      <c r="U35" s="221">
        <f>SUM(R35*T35/100)</f>
        <v>35.114550079652247</v>
      </c>
      <c r="V35" s="223">
        <f>S35-T35</f>
        <v>64.885449920347753</v>
      </c>
      <c r="W35" s="221">
        <f t="shared" ref="W35:AH35" si="13">SUM(W37:W58)</f>
        <v>0</v>
      </c>
      <c r="X35" s="221" t="e">
        <f t="shared" si="13"/>
        <v>#REF!</v>
      </c>
      <c r="Y35" s="221" t="e">
        <f t="shared" si="13"/>
        <v>#REF!</v>
      </c>
      <c r="Z35" s="221" t="e">
        <f t="shared" si="13"/>
        <v>#REF!</v>
      </c>
      <c r="AA35" s="221" t="e">
        <f t="shared" si="13"/>
        <v>#REF!</v>
      </c>
      <c r="AB35" s="221">
        <f t="shared" si="13"/>
        <v>13148060099</v>
      </c>
      <c r="AC35" s="221" t="e">
        <f t="shared" si="13"/>
        <v>#REF!</v>
      </c>
      <c r="AD35" s="221" t="e">
        <f t="shared" si="13"/>
        <v>#REF!</v>
      </c>
      <c r="AE35" s="221" t="e">
        <f t="shared" si="13"/>
        <v>#REF!</v>
      </c>
      <c r="AF35" s="221" t="e">
        <f t="shared" si="13"/>
        <v>#REF!</v>
      </c>
      <c r="AG35" s="221" t="e">
        <f t="shared" si="13"/>
        <v>#REF!</v>
      </c>
      <c r="AH35" s="221" t="e">
        <f t="shared" si="13"/>
        <v>#REF!</v>
      </c>
      <c r="AI35" s="221">
        <f>SUM(AI38+AI58)</f>
        <v>11161599581</v>
      </c>
      <c r="AJ35" s="224">
        <f>AI35/Q35*100</f>
        <v>35.114550079652247</v>
      </c>
      <c r="AK35" s="221">
        <f>SUM(AK38+AK58)</f>
        <v>20624653000</v>
      </c>
      <c r="AL35" s="224">
        <f>AK35/Q35*100</f>
        <v>64.885449920347753</v>
      </c>
      <c r="AM35" s="218"/>
    </row>
    <row r="36" spans="1:39" ht="13.5" customHeight="1" thickTop="1" x14ac:dyDescent="0.25">
      <c r="A36" s="243"/>
      <c r="B36" s="257"/>
      <c r="C36" s="257"/>
      <c r="D36" s="257"/>
      <c r="E36" s="257"/>
      <c r="F36" s="257"/>
      <c r="G36" s="257"/>
      <c r="H36" s="257"/>
      <c r="I36" s="258"/>
      <c r="J36" s="257"/>
      <c r="K36" s="245"/>
      <c r="L36" s="257"/>
      <c r="M36" s="257"/>
      <c r="N36" s="258"/>
      <c r="O36" s="243"/>
      <c r="P36" s="243"/>
      <c r="Q36" s="243"/>
      <c r="R36" s="243"/>
      <c r="S36" s="243"/>
      <c r="T36" s="243"/>
      <c r="U36" s="243"/>
      <c r="V36" s="182"/>
      <c r="W36" s="243"/>
      <c r="X36" s="243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73"/>
      <c r="AL36" s="243"/>
      <c r="AM36" s="243"/>
    </row>
    <row r="37" spans="1:39" s="226" customFormat="1" ht="28.5" customHeight="1" x14ac:dyDescent="0.25">
      <c r="A37" s="260"/>
      <c r="B37" s="633" t="s">
        <v>111</v>
      </c>
      <c r="C37" s="633"/>
      <c r="D37" s="633"/>
      <c r="E37" s="633"/>
      <c r="F37" s="633"/>
      <c r="G37" s="633"/>
      <c r="H37" s="633"/>
      <c r="I37" s="633"/>
      <c r="J37" s="423" t="s">
        <v>212</v>
      </c>
      <c r="K37" s="262"/>
      <c r="L37" s="634" t="s">
        <v>10</v>
      </c>
      <c r="M37" s="633"/>
      <c r="N37" s="633"/>
      <c r="O37" s="263">
        <v>6663803304</v>
      </c>
      <c r="P37" s="263">
        <f>O37</f>
        <v>6663803304</v>
      </c>
      <c r="Q37" s="263">
        <f>SUM(Q38)</f>
        <v>11607289675</v>
      </c>
      <c r="R37" s="222">
        <f>Q37/Q35*100</f>
        <v>36.516697416348386</v>
      </c>
      <c r="S37" s="260">
        <v>100</v>
      </c>
      <c r="T37" s="263">
        <f>AJ37</f>
        <v>45.47769324107955</v>
      </c>
      <c r="U37" s="263">
        <f>R37*T37/100</f>
        <v>16.606951632780138</v>
      </c>
      <c r="V37" s="264">
        <f>S37-T37</f>
        <v>54.52230675892045</v>
      </c>
      <c r="W37" s="263"/>
      <c r="X37" s="263" t="e">
        <f>#REF!</f>
        <v>#REF!</v>
      </c>
      <c r="Y37" s="263" t="e">
        <f>#REF!</f>
        <v>#REF!</v>
      </c>
      <c r="Z37" s="263" t="e">
        <f>#REF!</f>
        <v>#REF!</v>
      </c>
      <c r="AA37" s="263" t="e">
        <f>#REF!</f>
        <v>#REF!</v>
      </c>
      <c r="AB37" s="263">
        <v>2898050817</v>
      </c>
      <c r="AC37" s="263" t="e">
        <f>#REF!</f>
        <v>#REF!</v>
      </c>
      <c r="AD37" s="263" t="e">
        <f>#REF!</f>
        <v>#REF!</v>
      </c>
      <c r="AE37" s="263" t="e">
        <f>#REF!</f>
        <v>#REF!</v>
      </c>
      <c r="AF37" s="263" t="e">
        <f>[1]April!$N$17</f>
        <v>#REF!</v>
      </c>
      <c r="AG37" s="263" t="e">
        <f>[2]april!$N$17</f>
        <v>#REF!</v>
      </c>
      <c r="AH37" s="263">
        <f>'[3]DES SKPD'!$N$17</f>
        <v>8257610364</v>
      </c>
      <c r="AI37" s="263">
        <f>SUM(AI38)</f>
        <v>5278727592</v>
      </c>
      <c r="AJ37" s="260">
        <f>AI37/Q37*100</f>
        <v>45.47769324107955</v>
      </c>
      <c r="AK37" s="263">
        <f>SUM(AK38)</f>
        <v>6328562083</v>
      </c>
      <c r="AL37" s="260">
        <f>AK37/Q37*100</f>
        <v>54.52230675892045</v>
      </c>
      <c r="AM37" s="222"/>
    </row>
    <row r="38" spans="1:39" s="226" customFormat="1" ht="28.5" customHeight="1" x14ac:dyDescent="0.25">
      <c r="A38" s="260"/>
      <c r="B38" s="266"/>
      <c r="C38" s="266"/>
      <c r="D38" s="266"/>
      <c r="E38" s="266"/>
      <c r="F38" s="266"/>
      <c r="G38" s="266"/>
      <c r="H38" s="266"/>
      <c r="I38" s="267"/>
      <c r="J38" s="268" t="s">
        <v>219</v>
      </c>
      <c r="K38" s="262"/>
      <c r="L38" s="635" t="s">
        <v>218</v>
      </c>
      <c r="M38" s="635"/>
      <c r="N38" s="634"/>
      <c r="O38" s="263"/>
      <c r="P38" s="263"/>
      <c r="Q38" s="263">
        <f>SUM(Q39+Q51+Q55)</f>
        <v>11607289675</v>
      </c>
      <c r="R38" s="222">
        <f>Q38/Q35*100</f>
        <v>36.516697416348386</v>
      </c>
      <c r="S38" s="260">
        <v>100</v>
      </c>
      <c r="T38" s="263">
        <f t="shared" ref="T38:T56" si="14">AJ38</f>
        <v>45.47769324107955</v>
      </c>
      <c r="U38" s="263">
        <f>R38*T38/100</f>
        <v>16.606951632780138</v>
      </c>
      <c r="V38" s="264">
        <f t="shared" ref="V38:V56" si="15">S38-T38</f>
        <v>54.52230675892045</v>
      </c>
      <c r="W38" s="263"/>
      <c r="X38" s="263"/>
      <c r="Y38" s="263"/>
      <c r="Z38" s="263"/>
      <c r="AA38" s="263"/>
      <c r="AB38" s="263"/>
      <c r="AC38" s="263"/>
      <c r="AD38" s="263"/>
      <c r="AE38" s="263"/>
      <c r="AF38" s="263"/>
      <c r="AG38" s="263"/>
      <c r="AH38" s="263"/>
      <c r="AI38" s="263">
        <f>SUM(AI39+AI51+AI55)</f>
        <v>5278727592</v>
      </c>
      <c r="AJ38" s="260">
        <f t="shared" ref="AJ38:AJ56" si="16">AI38/Q38*100</f>
        <v>45.47769324107955</v>
      </c>
      <c r="AK38" s="263">
        <f>SUM(AK39+AK51+AK55)</f>
        <v>6328562083</v>
      </c>
      <c r="AL38" s="260">
        <f t="shared" ref="AL38:AL56" si="17">AK38/Q38*100</f>
        <v>54.52230675892045</v>
      </c>
      <c r="AM38" s="222"/>
    </row>
    <row r="39" spans="1:39" s="226" customFormat="1" ht="28.5" customHeight="1" x14ac:dyDescent="0.25">
      <c r="A39" s="269" t="s">
        <v>7</v>
      </c>
      <c r="B39" s="266"/>
      <c r="C39" s="266"/>
      <c r="D39" s="266"/>
      <c r="E39" s="266"/>
      <c r="F39" s="266"/>
      <c r="G39" s="266"/>
      <c r="H39" s="266"/>
      <c r="I39" s="267"/>
      <c r="J39" s="268" t="s">
        <v>220</v>
      </c>
      <c r="K39" s="262"/>
      <c r="L39" s="635" t="s">
        <v>221</v>
      </c>
      <c r="M39" s="635"/>
      <c r="N39" s="634"/>
      <c r="O39" s="263"/>
      <c r="P39" s="263"/>
      <c r="Q39" s="263">
        <f>SUM(Q40:Q50)</f>
        <v>4242771195</v>
      </c>
      <c r="R39" s="222">
        <f>Q39/Q38*100</f>
        <v>36.552643328426285</v>
      </c>
      <c r="S39" s="260">
        <v>100</v>
      </c>
      <c r="T39" s="263">
        <f t="shared" si="14"/>
        <v>35.438036672161388</v>
      </c>
      <c r="U39" s="263">
        <f>R39*T39/100</f>
        <v>12.95353914737206</v>
      </c>
      <c r="V39" s="264">
        <f t="shared" si="15"/>
        <v>64.561963327838612</v>
      </c>
      <c r="W39" s="263"/>
      <c r="X39" s="263"/>
      <c r="Y39" s="263"/>
      <c r="Z39" s="263"/>
      <c r="AA39" s="263"/>
      <c r="AB39" s="263"/>
      <c r="AC39" s="263"/>
      <c r="AD39" s="263"/>
      <c r="AE39" s="263"/>
      <c r="AF39" s="263"/>
      <c r="AG39" s="263"/>
      <c r="AH39" s="263"/>
      <c r="AI39" s="263">
        <f>SUM(AI40:AI50)</f>
        <v>1503554812</v>
      </c>
      <c r="AJ39" s="260">
        <f t="shared" si="16"/>
        <v>35.438036672161388</v>
      </c>
      <c r="AK39" s="263">
        <f t="shared" ref="AK39:AK56" si="18">Q39-AI39</f>
        <v>2739216383</v>
      </c>
      <c r="AL39" s="260">
        <f t="shared" si="17"/>
        <v>64.561963327838612</v>
      </c>
      <c r="AM39" s="222"/>
    </row>
    <row r="40" spans="1:39" s="235" customFormat="1" ht="28.5" customHeight="1" x14ac:dyDescent="0.25">
      <c r="A40" s="259">
        <v>1</v>
      </c>
      <c r="B40" s="418"/>
      <c r="C40" s="418"/>
      <c r="D40" s="418"/>
      <c r="E40" s="418"/>
      <c r="F40" s="418"/>
      <c r="G40" s="418"/>
      <c r="H40" s="418"/>
      <c r="I40" s="419"/>
      <c r="J40" s="418" t="s">
        <v>222</v>
      </c>
      <c r="K40" s="272"/>
      <c r="L40" s="628" t="s">
        <v>223</v>
      </c>
      <c r="M40" s="628"/>
      <c r="N40" s="629"/>
      <c r="O40" s="180"/>
      <c r="P40" s="180"/>
      <c r="Q40" s="180">
        <v>2590996506</v>
      </c>
      <c r="R40" s="181">
        <f>Q40/Q$35*100</f>
        <v>8.1513116382544233</v>
      </c>
      <c r="S40" s="273">
        <v>100</v>
      </c>
      <c r="T40" s="180">
        <f t="shared" si="14"/>
        <v>43.081493835098215</v>
      </c>
      <c r="U40" s="180">
        <f t="shared" ref="U40:U48" si="19">SUM(R40*T40)</f>
        <v>351.17068209142229</v>
      </c>
      <c r="V40" s="274">
        <f t="shared" si="15"/>
        <v>56.918506164901785</v>
      </c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>
        <f>889090600+227149400</f>
        <v>1116240000</v>
      </c>
      <c r="AJ40" s="181">
        <f t="shared" si="16"/>
        <v>43.081493835098215</v>
      </c>
      <c r="AK40" s="180">
        <f t="shared" si="18"/>
        <v>1474756506</v>
      </c>
      <c r="AL40" s="181">
        <f t="shared" si="17"/>
        <v>56.918506164901792</v>
      </c>
      <c r="AM40" s="181"/>
    </row>
    <row r="41" spans="1:39" s="235" customFormat="1" ht="28.5" customHeight="1" x14ac:dyDescent="0.25">
      <c r="A41" s="259">
        <v>2</v>
      </c>
      <c r="B41" s="418"/>
      <c r="C41" s="418"/>
      <c r="D41" s="418"/>
      <c r="E41" s="418"/>
      <c r="F41" s="418"/>
      <c r="G41" s="418"/>
      <c r="H41" s="418"/>
      <c r="I41" s="419"/>
      <c r="J41" s="418" t="s">
        <v>224</v>
      </c>
      <c r="K41" s="272"/>
      <c r="L41" s="628" t="s">
        <v>225</v>
      </c>
      <c r="M41" s="628"/>
      <c r="N41" s="629"/>
      <c r="O41" s="180"/>
      <c r="P41" s="180"/>
      <c r="Q41" s="180">
        <v>327556228</v>
      </c>
      <c r="R41" s="181">
        <f t="shared" ref="R41:R56" si="20">Q41/Q$35*100</f>
        <v>1.0304965241350732</v>
      </c>
      <c r="S41" s="273">
        <v>100</v>
      </c>
      <c r="T41" s="180">
        <f>AJ41</f>
        <v>36.572604566688312</v>
      </c>
      <c r="U41" s="180">
        <f t="shared" si="19"/>
        <v>37.687941884538809</v>
      </c>
      <c r="V41" s="275">
        <f t="shared" si="15"/>
        <v>63.427395433311688</v>
      </c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>
        <f>94829412+24966432</f>
        <v>119795844</v>
      </c>
      <c r="AJ41" s="181">
        <f t="shared" si="16"/>
        <v>36.572604566688312</v>
      </c>
      <c r="AK41" s="180">
        <f t="shared" si="18"/>
        <v>207760384</v>
      </c>
      <c r="AL41" s="181">
        <f t="shared" si="17"/>
        <v>63.427395433311688</v>
      </c>
      <c r="AM41" s="181"/>
    </row>
    <row r="42" spans="1:39" s="235" customFormat="1" ht="28.5" customHeight="1" x14ac:dyDescent="0.25">
      <c r="A42" s="259">
        <v>3</v>
      </c>
      <c r="B42" s="418"/>
      <c r="C42" s="418"/>
      <c r="D42" s="418"/>
      <c r="E42" s="418"/>
      <c r="F42" s="418"/>
      <c r="G42" s="418"/>
      <c r="H42" s="418"/>
      <c r="I42" s="419"/>
      <c r="J42" s="418" t="s">
        <v>226</v>
      </c>
      <c r="K42" s="272"/>
      <c r="L42" s="628" t="s">
        <v>227</v>
      </c>
      <c r="M42" s="628"/>
      <c r="N42" s="629"/>
      <c r="O42" s="180"/>
      <c r="P42" s="180"/>
      <c r="Q42" s="180">
        <v>316058750</v>
      </c>
      <c r="R42" s="181">
        <f t="shared" si="20"/>
        <v>0.99432529580074436</v>
      </c>
      <c r="S42" s="273">
        <v>100</v>
      </c>
      <c r="T42" s="180">
        <f t="shared" si="14"/>
        <v>34.843205574912893</v>
      </c>
      <c r="U42" s="180">
        <f t="shared" si="19"/>
        <v>34.645480689921406</v>
      </c>
      <c r="V42" s="275">
        <f t="shared" si="15"/>
        <v>65.156794425087099</v>
      </c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>
        <f>88100000+22025000</f>
        <v>110125000</v>
      </c>
      <c r="AJ42" s="181">
        <f>AI42/Q42*100</f>
        <v>34.843205574912893</v>
      </c>
      <c r="AK42" s="180">
        <f t="shared" si="18"/>
        <v>205933750</v>
      </c>
      <c r="AL42" s="181">
        <f t="shared" si="17"/>
        <v>65.156794425087099</v>
      </c>
      <c r="AM42" s="181"/>
    </row>
    <row r="43" spans="1:39" s="235" customFormat="1" ht="28.5" customHeight="1" x14ac:dyDescent="0.25">
      <c r="A43" s="259">
        <v>4</v>
      </c>
      <c r="B43" s="418"/>
      <c r="C43" s="418"/>
      <c r="D43" s="418"/>
      <c r="E43" s="418"/>
      <c r="F43" s="418"/>
      <c r="G43" s="418"/>
      <c r="H43" s="418"/>
      <c r="I43" s="419"/>
      <c r="J43" s="418" t="s">
        <v>228</v>
      </c>
      <c r="K43" s="272"/>
      <c r="L43" s="628" t="s">
        <v>229</v>
      </c>
      <c r="M43" s="628"/>
      <c r="N43" s="629"/>
      <c r="O43" s="180"/>
      <c r="P43" s="180"/>
      <c r="Q43" s="180">
        <v>100378250</v>
      </c>
      <c r="R43" s="181">
        <f t="shared" si="20"/>
        <v>0.31579139360391406</v>
      </c>
      <c r="S43" s="273">
        <v>100</v>
      </c>
      <c r="T43" s="180">
        <f t="shared" si="14"/>
        <v>33.622821677006719</v>
      </c>
      <c r="U43" s="180">
        <f t="shared" si="19"/>
        <v>10.617797714277843</v>
      </c>
      <c r="V43" s="275">
        <f t="shared" si="15"/>
        <v>66.377178322993274</v>
      </c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>
        <f>27295000+6455000</f>
        <v>33750000</v>
      </c>
      <c r="AJ43" s="181">
        <f t="shared" si="16"/>
        <v>33.622821677006719</v>
      </c>
      <c r="AK43" s="180">
        <f t="shared" si="18"/>
        <v>66628250</v>
      </c>
      <c r="AL43" s="181">
        <f t="shared" si="17"/>
        <v>66.377178322993274</v>
      </c>
      <c r="AM43" s="181"/>
    </row>
    <row r="44" spans="1:39" s="235" customFormat="1" ht="28.5" customHeight="1" x14ac:dyDescent="0.25">
      <c r="A44" s="259">
        <v>5</v>
      </c>
      <c r="B44" s="418"/>
      <c r="C44" s="418"/>
      <c r="D44" s="418"/>
      <c r="E44" s="418"/>
      <c r="F44" s="418"/>
      <c r="G44" s="418"/>
      <c r="H44" s="418"/>
      <c r="I44" s="419"/>
      <c r="J44" s="418" t="s">
        <v>230</v>
      </c>
      <c r="K44" s="272"/>
      <c r="L44" s="628" t="s">
        <v>231</v>
      </c>
      <c r="M44" s="628"/>
      <c r="N44" s="629"/>
      <c r="O44" s="180"/>
      <c r="P44" s="180"/>
      <c r="Q44" s="180">
        <v>220316124</v>
      </c>
      <c r="R44" s="273">
        <f t="shared" si="20"/>
        <v>0.69311764083726035</v>
      </c>
      <c r="S44" s="273">
        <v>100</v>
      </c>
      <c r="T44" s="180">
        <f t="shared" si="14"/>
        <v>35.07330221550194</v>
      </c>
      <c r="U44" s="180">
        <f t="shared" si="19"/>
        <v>24.309924487980961</v>
      </c>
      <c r="V44" s="275">
        <f t="shared" si="15"/>
        <v>64.92669778449806</v>
      </c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>
        <f>61919100+15353040</f>
        <v>77272140</v>
      </c>
      <c r="AJ44" s="273">
        <f t="shared" si="16"/>
        <v>35.07330221550194</v>
      </c>
      <c r="AK44" s="180">
        <f t="shared" si="18"/>
        <v>143043984</v>
      </c>
      <c r="AL44" s="273">
        <f t="shared" si="17"/>
        <v>64.92669778449806</v>
      </c>
      <c r="AM44" s="181"/>
    </row>
    <row r="45" spans="1:39" s="235" customFormat="1" ht="28.5" customHeight="1" x14ac:dyDescent="0.25">
      <c r="A45" s="259">
        <v>6</v>
      </c>
      <c r="B45" s="418"/>
      <c r="C45" s="418"/>
      <c r="D45" s="418"/>
      <c r="E45" s="418"/>
      <c r="F45" s="418"/>
      <c r="G45" s="418"/>
      <c r="H45" s="418"/>
      <c r="I45" s="419"/>
      <c r="J45" s="418" t="s">
        <v>232</v>
      </c>
      <c r="K45" s="272"/>
      <c r="L45" s="628" t="s">
        <v>234</v>
      </c>
      <c r="M45" s="628"/>
      <c r="N45" s="629"/>
      <c r="O45" s="180"/>
      <c r="P45" s="180"/>
      <c r="Q45" s="180">
        <v>868720</v>
      </c>
      <c r="R45" s="273">
        <f t="shared" si="20"/>
        <v>2.7330054015844291E-3</v>
      </c>
      <c r="S45" s="273">
        <v>100</v>
      </c>
      <c r="T45" s="180">
        <f t="shared" si="14"/>
        <v>52.418731006538351</v>
      </c>
      <c r="U45" s="180">
        <f t="shared" si="19"/>
        <v>0.1432606749850705</v>
      </c>
      <c r="V45" s="275">
        <f t="shared" si="15"/>
        <v>47.581268993461649</v>
      </c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>
        <f>363234+92138</f>
        <v>455372</v>
      </c>
      <c r="AJ45" s="273">
        <f t="shared" si="16"/>
        <v>52.418731006538351</v>
      </c>
      <c r="AK45" s="180">
        <f t="shared" si="18"/>
        <v>413348</v>
      </c>
      <c r="AL45" s="273">
        <f t="shared" si="17"/>
        <v>47.581268993461649</v>
      </c>
      <c r="AM45" s="181"/>
    </row>
    <row r="46" spans="1:39" s="235" customFormat="1" ht="28.5" customHeight="1" x14ac:dyDescent="0.25">
      <c r="A46" s="259">
        <v>7</v>
      </c>
      <c r="B46" s="418"/>
      <c r="C46" s="418"/>
      <c r="D46" s="418"/>
      <c r="E46" s="418"/>
      <c r="F46" s="418"/>
      <c r="G46" s="418"/>
      <c r="H46" s="418"/>
      <c r="I46" s="419"/>
      <c r="J46" s="418" t="s">
        <v>233</v>
      </c>
      <c r="K46" s="272"/>
      <c r="L46" s="628" t="s">
        <v>235</v>
      </c>
      <c r="M46" s="628"/>
      <c r="N46" s="629"/>
      <c r="O46" s="180"/>
      <c r="P46" s="180"/>
      <c r="Q46" s="180">
        <v>45647</v>
      </c>
      <c r="R46" s="273">
        <f t="shared" si="20"/>
        <v>1.4360610733737503E-4</v>
      </c>
      <c r="S46" s="273">
        <v>100</v>
      </c>
      <c r="T46" s="180">
        <f t="shared" si="14"/>
        <v>44.051087694700634</v>
      </c>
      <c r="U46" s="180">
        <f t="shared" si="19"/>
        <v>6.3260052278132995E-3</v>
      </c>
      <c r="V46" s="275">
        <f t="shared" si="15"/>
        <v>55.948912305299366</v>
      </c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>
        <f>14589+5519</f>
        <v>20108</v>
      </c>
      <c r="AJ46" s="273">
        <f t="shared" si="16"/>
        <v>44.051087694700634</v>
      </c>
      <c r="AK46" s="180">
        <f t="shared" si="18"/>
        <v>25539</v>
      </c>
      <c r="AL46" s="273">
        <f t="shared" si="17"/>
        <v>55.948912305299359</v>
      </c>
      <c r="AM46" s="181"/>
    </row>
    <row r="47" spans="1:39" s="235" customFormat="1" ht="28.5" customHeight="1" x14ac:dyDescent="0.25">
      <c r="A47" s="259">
        <v>8</v>
      </c>
      <c r="B47" s="418"/>
      <c r="C47" s="418"/>
      <c r="D47" s="418"/>
      <c r="E47" s="418"/>
      <c r="F47" s="418"/>
      <c r="G47" s="418"/>
      <c r="H47" s="418"/>
      <c r="I47" s="419"/>
      <c r="J47" s="418" t="s">
        <v>236</v>
      </c>
      <c r="K47" s="272"/>
      <c r="L47" s="628" t="s">
        <v>237</v>
      </c>
      <c r="M47" s="628"/>
      <c r="N47" s="629"/>
      <c r="O47" s="180"/>
      <c r="P47" s="180"/>
      <c r="Q47" s="180">
        <v>104506702</v>
      </c>
      <c r="R47" s="273">
        <f t="shared" si="20"/>
        <v>0.32877956196216762</v>
      </c>
      <c r="S47" s="273">
        <v>100</v>
      </c>
      <c r="T47" s="180">
        <f t="shared" si="14"/>
        <v>35.482027745933465</v>
      </c>
      <c r="U47" s="180">
        <f t="shared" si="19"/>
        <v>11.665765539837482</v>
      </c>
      <c r="V47" s="275">
        <f t="shared" si="15"/>
        <v>64.517972254066535</v>
      </c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>
        <f>29517615+7563482</f>
        <v>37081097</v>
      </c>
      <c r="AJ47" s="273">
        <f t="shared" si="16"/>
        <v>35.482027745933465</v>
      </c>
      <c r="AK47" s="180">
        <f t="shared" si="18"/>
        <v>67425605</v>
      </c>
      <c r="AL47" s="273">
        <f t="shared" si="17"/>
        <v>64.517972254066535</v>
      </c>
      <c r="AM47" s="181"/>
    </row>
    <row r="48" spans="1:39" s="235" customFormat="1" ht="28.5" customHeight="1" x14ac:dyDescent="0.25">
      <c r="A48" s="259">
        <v>9</v>
      </c>
      <c r="B48" s="418"/>
      <c r="C48" s="418"/>
      <c r="D48" s="418"/>
      <c r="E48" s="418"/>
      <c r="F48" s="418"/>
      <c r="G48" s="418"/>
      <c r="H48" s="418"/>
      <c r="I48" s="419"/>
      <c r="J48" s="418" t="s">
        <v>238</v>
      </c>
      <c r="K48" s="272"/>
      <c r="L48" s="628" t="s">
        <v>239</v>
      </c>
      <c r="M48" s="628"/>
      <c r="N48" s="629"/>
      <c r="O48" s="180"/>
      <c r="P48" s="180"/>
      <c r="Q48" s="180">
        <v>17042404</v>
      </c>
      <c r="R48" s="273">
        <f t="shared" si="20"/>
        <v>5.3615643922073949E-2</v>
      </c>
      <c r="S48" s="273">
        <v>100</v>
      </c>
      <c r="T48" s="180">
        <f t="shared" si="14"/>
        <v>51.725396252782176</v>
      </c>
      <c r="U48" s="180">
        <f t="shared" si="19"/>
        <v>2.7732904272173471</v>
      </c>
      <c r="V48" s="275">
        <f t="shared" si="15"/>
        <v>48.274603747217824</v>
      </c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>
        <f>6663947+2151304</f>
        <v>8815251</v>
      </c>
      <c r="AJ48" s="273">
        <f t="shared" si="16"/>
        <v>51.725396252782176</v>
      </c>
      <c r="AK48" s="180">
        <f t="shared" si="18"/>
        <v>8227153</v>
      </c>
      <c r="AL48" s="273">
        <f t="shared" si="17"/>
        <v>48.274603747217817</v>
      </c>
      <c r="AM48" s="181"/>
    </row>
    <row r="49" spans="1:39" s="235" customFormat="1" ht="28.5" customHeight="1" x14ac:dyDescent="0.25">
      <c r="A49" s="259">
        <v>10</v>
      </c>
      <c r="B49" s="433"/>
      <c r="C49" s="433"/>
      <c r="D49" s="433"/>
      <c r="E49" s="433"/>
      <c r="F49" s="433"/>
      <c r="G49" s="433"/>
      <c r="H49" s="433"/>
      <c r="I49" s="434"/>
      <c r="J49" s="433" t="s">
        <v>641</v>
      </c>
      <c r="K49" s="272"/>
      <c r="L49" s="628" t="s">
        <v>643</v>
      </c>
      <c r="M49" s="628"/>
      <c r="N49" s="629"/>
      <c r="O49" s="180"/>
      <c r="P49" s="180"/>
      <c r="Q49" s="180">
        <v>269688283</v>
      </c>
      <c r="R49" s="273">
        <f t="shared" si="20"/>
        <v>0.84844315105330848</v>
      </c>
      <c r="S49" s="273">
        <v>100</v>
      </c>
      <c r="T49" s="180">
        <f t="shared" ref="T49:T50" si="21">AJ49</f>
        <v>0</v>
      </c>
      <c r="U49" s="180">
        <f t="shared" ref="U49:U50" si="22">SUM(R49*T49)</f>
        <v>0</v>
      </c>
      <c r="V49" s="275">
        <f t="shared" ref="V49:V50" si="23">S49-T49</f>
        <v>100</v>
      </c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>
        <v>0</v>
      </c>
      <c r="AJ49" s="273">
        <f t="shared" ref="AJ49:AJ50" si="24">AI49/Q49*100</f>
        <v>0</v>
      </c>
      <c r="AK49" s="180">
        <f t="shared" ref="AK49:AK50" si="25">Q49-AI49</f>
        <v>269688283</v>
      </c>
      <c r="AL49" s="273">
        <f t="shared" ref="AL49:AL50" si="26">AK49/Q49*100</f>
        <v>100</v>
      </c>
      <c r="AM49" s="181"/>
    </row>
    <row r="50" spans="1:39" s="235" customFormat="1" ht="28.5" customHeight="1" x14ac:dyDescent="0.25">
      <c r="A50" s="259">
        <v>11</v>
      </c>
      <c r="B50" s="433"/>
      <c r="C50" s="433"/>
      <c r="D50" s="433"/>
      <c r="E50" s="433"/>
      <c r="F50" s="433"/>
      <c r="G50" s="433"/>
      <c r="H50" s="433"/>
      <c r="I50" s="434"/>
      <c r="J50" s="433" t="s">
        <v>642</v>
      </c>
      <c r="K50" s="272"/>
      <c r="L50" s="654" t="s">
        <v>644</v>
      </c>
      <c r="M50" s="654"/>
      <c r="N50" s="655"/>
      <c r="O50" s="180"/>
      <c r="P50" s="180"/>
      <c r="Q50" s="180">
        <v>295313581</v>
      </c>
      <c r="R50" s="273">
        <f t="shared" si="20"/>
        <v>0.929060700840594</v>
      </c>
      <c r="S50" s="273">
        <v>100</v>
      </c>
      <c r="T50" s="180">
        <f t="shared" si="21"/>
        <v>0</v>
      </c>
      <c r="U50" s="180">
        <f t="shared" si="22"/>
        <v>0</v>
      </c>
      <c r="V50" s="276">
        <f t="shared" si="23"/>
        <v>100</v>
      </c>
      <c r="W50" s="180"/>
      <c r="X50" s="180"/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>
        <v>0</v>
      </c>
      <c r="AJ50" s="273">
        <f t="shared" si="24"/>
        <v>0</v>
      </c>
      <c r="AK50" s="180">
        <f t="shared" si="25"/>
        <v>295313581</v>
      </c>
      <c r="AL50" s="273">
        <f t="shared" si="26"/>
        <v>100</v>
      </c>
      <c r="AM50" s="181"/>
    </row>
    <row r="51" spans="1:39" s="235" customFormat="1" ht="28.5" customHeight="1" x14ac:dyDescent="0.25">
      <c r="A51" s="277" t="s">
        <v>8</v>
      </c>
      <c r="B51" s="421"/>
      <c r="C51" s="421"/>
      <c r="D51" s="421"/>
      <c r="E51" s="421"/>
      <c r="F51" s="421"/>
      <c r="G51" s="421"/>
      <c r="H51" s="421"/>
      <c r="I51" s="421"/>
      <c r="J51" s="421" t="s">
        <v>240</v>
      </c>
      <c r="K51" s="279"/>
      <c r="L51" s="630" t="s">
        <v>241</v>
      </c>
      <c r="M51" s="631"/>
      <c r="N51" s="631"/>
      <c r="O51" s="280"/>
      <c r="P51" s="280"/>
      <c r="Q51" s="280">
        <f>SUM(Q52:Q54)</f>
        <v>2764518480</v>
      </c>
      <c r="R51" s="222">
        <f>Q51/Q38*100</f>
        <v>23.817088721015313</v>
      </c>
      <c r="S51" s="281">
        <v>100</v>
      </c>
      <c r="T51" s="280">
        <f t="shared" si="14"/>
        <v>36.544302644705056</v>
      </c>
      <c r="U51" s="280">
        <f t="shared" ref="U51:U56" si="27">R51*T51/100</f>
        <v>8.7037889833657474</v>
      </c>
      <c r="V51" s="282">
        <f t="shared" si="15"/>
        <v>63.455697355294944</v>
      </c>
      <c r="W51" s="280"/>
      <c r="X51" s="280"/>
      <c r="Y51" s="280"/>
      <c r="Z51" s="280"/>
      <c r="AA51" s="280"/>
      <c r="AB51" s="280"/>
      <c r="AC51" s="280"/>
      <c r="AD51" s="280"/>
      <c r="AE51" s="280"/>
      <c r="AF51" s="280"/>
      <c r="AG51" s="280"/>
      <c r="AH51" s="280"/>
      <c r="AI51" s="280">
        <f>SUM(AI52:AI54)</f>
        <v>1010274000</v>
      </c>
      <c r="AJ51" s="281">
        <f t="shared" si="16"/>
        <v>36.544302644705056</v>
      </c>
      <c r="AK51" s="280">
        <f t="shared" si="18"/>
        <v>1754244480</v>
      </c>
      <c r="AL51" s="281">
        <f t="shared" si="17"/>
        <v>63.455697355294951</v>
      </c>
      <c r="AM51" s="284"/>
    </row>
    <row r="52" spans="1:39" s="235" customFormat="1" ht="28.5" customHeight="1" x14ac:dyDescent="0.25">
      <c r="A52" s="259">
        <v>1</v>
      </c>
      <c r="B52" s="418"/>
      <c r="C52" s="418"/>
      <c r="D52" s="418"/>
      <c r="E52" s="418"/>
      <c r="F52" s="418"/>
      <c r="G52" s="418"/>
      <c r="H52" s="418"/>
      <c r="I52" s="419"/>
      <c r="J52" s="418" t="s">
        <v>242</v>
      </c>
      <c r="K52" s="272"/>
      <c r="L52" s="628" t="s">
        <v>243</v>
      </c>
      <c r="M52" s="628"/>
      <c r="N52" s="629"/>
      <c r="O52" s="180"/>
      <c r="P52" s="180"/>
      <c r="Q52" s="180">
        <v>2501913480</v>
      </c>
      <c r="R52" s="273">
        <f t="shared" si="20"/>
        <v>7.87105517904146</v>
      </c>
      <c r="S52" s="273">
        <v>100</v>
      </c>
      <c r="T52" s="180">
        <f t="shared" si="14"/>
        <v>37.408567781488586</v>
      </c>
      <c r="U52" s="285">
        <f t="shared" si="27"/>
        <v>2.9444490117700921</v>
      </c>
      <c r="V52" s="275">
        <f t="shared" si="15"/>
        <v>62.591432218511414</v>
      </c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>
        <f>698105000+237825000</f>
        <v>935930000</v>
      </c>
      <c r="AJ52" s="273">
        <f t="shared" si="16"/>
        <v>37.408567781488586</v>
      </c>
      <c r="AK52" s="180">
        <f t="shared" si="18"/>
        <v>1565983480</v>
      </c>
      <c r="AL52" s="273">
        <f t="shared" si="17"/>
        <v>62.591432218511414</v>
      </c>
      <c r="AM52" s="181"/>
    </row>
    <row r="53" spans="1:39" s="235" customFormat="1" ht="28.5" customHeight="1" x14ac:dyDescent="0.25">
      <c r="A53" s="259">
        <v>2</v>
      </c>
      <c r="B53" s="418"/>
      <c r="C53" s="418"/>
      <c r="D53" s="418"/>
      <c r="E53" s="418"/>
      <c r="F53" s="418"/>
      <c r="G53" s="418"/>
      <c r="H53" s="418"/>
      <c r="I53" s="419"/>
      <c r="J53" s="418" t="s">
        <v>244</v>
      </c>
      <c r="K53" s="272"/>
      <c r="L53" s="628" t="s">
        <v>245</v>
      </c>
      <c r="M53" s="628"/>
      <c r="N53" s="629"/>
      <c r="O53" s="180"/>
      <c r="P53" s="180"/>
      <c r="Q53" s="180">
        <v>218325000</v>
      </c>
      <c r="R53" s="273">
        <f t="shared" si="20"/>
        <v>0.68685353658361781</v>
      </c>
      <c r="S53" s="273">
        <v>100</v>
      </c>
      <c r="T53" s="180">
        <f t="shared" si="14"/>
        <v>34.051986717050269</v>
      </c>
      <c r="U53" s="180">
        <f t="shared" si="27"/>
        <v>0.23388727504304355</v>
      </c>
      <c r="V53" s="275">
        <f t="shared" si="15"/>
        <v>65.948013282949731</v>
      </c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>
        <f>55640000+18704000</f>
        <v>74344000</v>
      </c>
      <c r="AJ53" s="273">
        <f t="shared" si="16"/>
        <v>34.051986717050269</v>
      </c>
      <c r="AK53" s="180">
        <f t="shared" si="18"/>
        <v>143981000</v>
      </c>
      <c r="AL53" s="273">
        <f t="shared" si="17"/>
        <v>65.948013282949731</v>
      </c>
      <c r="AM53" s="181"/>
    </row>
    <row r="54" spans="1:39" s="235" customFormat="1" ht="28.5" customHeight="1" x14ac:dyDescent="0.25">
      <c r="A54" s="259">
        <v>3</v>
      </c>
      <c r="B54" s="433"/>
      <c r="C54" s="433"/>
      <c r="D54" s="433"/>
      <c r="E54" s="433"/>
      <c r="F54" s="433"/>
      <c r="G54" s="433"/>
      <c r="H54" s="433"/>
      <c r="I54" s="434"/>
      <c r="J54" s="433" t="s">
        <v>645</v>
      </c>
      <c r="K54" s="272"/>
      <c r="L54" s="654" t="s">
        <v>646</v>
      </c>
      <c r="M54" s="654"/>
      <c r="N54" s="655"/>
      <c r="O54" s="180"/>
      <c r="P54" s="180"/>
      <c r="Q54" s="180">
        <v>44280000</v>
      </c>
      <c r="R54" s="273">
        <f t="shared" si="20"/>
        <v>0.1393055060113253</v>
      </c>
      <c r="S54" s="273">
        <v>100</v>
      </c>
      <c r="T54" s="180">
        <f t="shared" ref="T54" si="28">AJ54</f>
        <v>0</v>
      </c>
      <c r="U54" s="286">
        <f t="shared" si="27"/>
        <v>0</v>
      </c>
      <c r="V54" s="276">
        <f t="shared" ref="V54" si="29">S54-T54</f>
        <v>100</v>
      </c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>
        <v>0</v>
      </c>
      <c r="AJ54" s="273">
        <f t="shared" ref="AJ54" si="30">AI54/Q54*100</f>
        <v>0</v>
      </c>
      <c r="AK54" s="180">
        <f t="shared" ref="AK54" si="31">Q54-AI54</f>
        <v>44280000</v>
      </c>
      <c r="AL54" s="273">
        <f t="shared" ref="AL54" si="32">AK54/Q54*100</f>
        <v>100</v>
      </c>
      <c r="AM54" s="181"/>
    </row>
    <row r="55" spans="1:39" s="235" customFormat="1" ht="28.5" customHeight="1" x14ac:dyDescent="0.25">
      <c r="A55" s="277" t="s">
        <v>29</v>
      </c>
      <c r="B55" s="422"/>
      <c r="C55" s="422"/>
      <c r="D55" s="422"/>
      <c r="E55" s="422"/>
      <c r="F55" s="422"/>
      <c r="G55" s="422"/>
      <c r="H55" s="422"/>
      <c r="I55" s="420"/>
      <c r="J55" s="422" t="s">
        <v>246</v>
      </c>
      <c r="K55" s="279"/>
      <c r="L55" s="632" t="s">
        <v>247</v>
      </c>
      <c r="M55" s="632"/>
      <c r="N55" s="630"/>
      <c r="O55" s="280"/>
      <c r="P55" s="280"/>
      <c r="Q55" s="280">
        <f>SUM(Q56)</f>
        <v>4600000000</v>
      </c>
      <c r="R55" s="222">
        <f>Q55/Q38*100</f>
        <v>39.630267950558405</v>
      </c>
      <c r="S55" s="281">
        <v>100</v>
      </c>
      <c r="T55" s="280">
        <f t="shared" si="14"/>
        <v>60.106495217391313</v>
      </c>
      <c r="U55" s="280">
        <f t="shared" si="27"/>
        <v>23.820365110341751</v>
      </c>
      <c r="V55" s="282">
        <f t="shared" si="15"/>
        <v>39.893504782608687</v>
      </c>
      <c r="W55" s="280"/>
      <c r="X55" s="280"/>
      <c r="Y55" s="280"/>
      <c r="Z55" s="280"/>
      <c r="AA55" s="280"/>
      <c r="AB55" s="280"/>
      <c r="AC55" s="280"/>
      <c r="AD55" s="280"/>
      <c r="AE55" s="280"/>
      <c r="AF55" s="280"/>
      <c r="AG55" s="280"/>
      <c r="AH55" s="280"/>
      <c r="AI55" s="263">
        <f>SUM(AI56)</f>
        <v>2764898780</v>
      </c>
      <c r="AJ55" s="281">
        <f t="shared" si="16"/>
        <v>60.106495217391313</v>
      </c>
      <c r="AK55" s="280">
        <f t="shared" si="18"/>
        <v>1835101220</v>
      </c>
      <c r="AL55" s="281">
        <f t="shared" si="17"/>
        <v>39.893504782608694</v>
      </c>
      <c r="AM55" s="284"/>
    </row>
    <row r="56" spans="1:39" s="235" customFormat="1" ht="28.5" customHeight="1" x14ac:dyDescent="0.25">
      <c r="A56" s="259">
        <v>1</v>
      </c>
      <c r="B56" s="418"/>
      <c r="C56" s="418"/>
      <c r="D56" s="418"/>
      <c r="E56" s="418"/>
      <c r="F56" s="418"/>
      <c r="G56" s="418"/>
      <c r="H56" s="418"/>
      <c r="I56" s="419"/>
      <c r="J56" s="418" t="s">
        <v>248</v>
      </c>
      <c r="K56" s="272"/>
      <c r="L56" s="628" t="s">
        <v>427</v>
      </c>
      <c r="M56" s="628"/>
      <c r="N56" s="629"/>
      <c r="O56" s="180"/>
      <c r="P56" s="180"/>
      <c r="Q56" s="180">
        <v>4600000000</v>
      </c>
      <c r="R56" s="273">
        <f t="shared" si="20"/>
        <v>14.471665032793505</v>
      </c>
      <c r="S56" s="273">
        <v>100</v>
      </c>
      <c r="T56" s="180">
        <f t="shared" si="14"/>
        <v>60.106495217391313</v>
      </c>
      <c r="U56" s="285">
        <f t="shared" si="27"/>
        <v>8.6984106508129191</v>
      </c>
      <c r="V56" s="274">
        <f t="shared" si="15"/>
        <v>39.893504782608687</v>
      </c>
      <c r="W56" s="180"/>
      <c r="X56" s="180"/>
      <c r="Y56" s="180"/>
      <c r="Z56" s="180"/>
      <c r="AA56" s="180"/>
      <c r="AB56" s="180"/>
      <c r="AC56" s="180"/>
      <c r="AD56" s="180"/>
      <c r="AE56" s="180"/>
      <c r="AF56" s="180"/>
      <c r="AG56" s="180"/>
      <c r="AH56" s="180"/>
      <c r="AI56" s="180">
        <v>2764898780</v>
      </c>
      <c r="AJ56" s="273">
        <f t="shared" si="16"/>
        <v>60.106495217391313</v>
      </c>
      <c r="AK56" s="180">
        <f t="shared" si="18"/>
        <v>1835101220</v>
      </c>
      <c r="AL56" s="273">
        <f t="shared" si="17"/>
        <v>39.893504782608694</v>
      </c>
      <c r="AM56" s="181"/>
    </row>
    <row r="57" spans="1:39" ht="13.5" customHeight="1" x14ac:dyDescent="0.25">
      <c r="A57" s="243"/>
      <c r="B57" s="257"/>
      <c r="C57" s="257"/>
      <c r="D57" s="257"/>
      <c r="E57" s="257"/>
      <c r="F57" s="257"/>
      <c r="G57" s="257"/>
      <c r="H57" s="257"/>
      <c r="I57" s="258"/>
      <c r="J57" s="257"/>
      <c r="K57" s="245"/>
      <c r="L57" s="257"/>
      <c r="M57" s="257"/>
      <c r="N57" s="258"/>
      <c r="O57" s="243"/>
      <c r="P57" s="243"/>
      <c r="Q57" s="243"/>
      <c r="R57" s="243"/>
      <c r="S57" s="243"/>
      <c r="T57" s="243"/>
      <c r="U57" s="243"/>
      <c r="V57" s="182"/>
      <c r="W57" s="243"/>
      <c r="X57" s="243"/>
      <c r="Y57" s="243"/>
      <c r="Z57" s="243"/>
      <c r="AA57" s="243"/>
      <c r="AB57" s="243"/>
      <c r="AC57" s="243"/>
      <c r="AD57" s="243"/>
      <c r="AE57" s="243"/>
      <c r="AF57" s="243"/>
      <c r="AG57" s="243"/>
      <c r="AH57" s="243"/>
      <c r="AI57" s="243"/>
      <c r="AJ57" s="243"/>
      <c r="AK57" s="273"/>
      <c r="AL57" s="243"/>
      <c r="AM57" s="243"/>
    </row>
    <row r="58" spans="1:39" s="226" customFormat="1" ht="24.75" customHeight="1" x14ac:dyDescent="0.25">
      <c r="A58" s="289"/>
      <c r="B58" s="607" t="s">
        <v>112</v>
      </c>
      <c r="C58" s="607"/>
      <c r="D58" s="607"/>
      <c r="E58" s="607"/>
      <c r="F58" s="607"/>
      <c r="G58" s="607"/>
      <c r="H58" s="607"/>
      <c r="I58" s="608"/>
      <c r="J58" s="413" t="s">
        <v>441</v>
      </c>
      <c r="K58" s="291"/>
      <c r="L58" s="607" t="s">
        <v>11</v>
      </c>
      <c r="M58" s="607"/>
      <c r="N58" s="608"/>
      <c r="O58" s="263" t="e">
        <f>SUM(O59,O124,O161,O168,O180,O248,O688)</f>
        <v>#REF!</v>
      </c>
      <c r="P58" s="263" t="e">
        <f>SUM(P59,P124,P161,P168,P180,P248,P688)</f>
        <v>#REF!</v>
      </c>
      <c r="Q58" s="263">
        <f>SUM(Q59,Q124,Q161,Q168,Q180,Q248+Q679)</f>
        <v>20178962906</v>
      </c>
      <c r="R58" s="222">
        <f>Q58/Q35*100</f>
        <v>63.483302583651614</v>
      </c>
      <c r="S58" s="222">
        <f>S59</f>
        <v>100</v>
      </c>
      <c r="T58" s="263">
        <f t="shared" ref="T58:T143" si="33">AJ58</f>
        <v>29.153490277990407</v>
      </c>
      <c r="U58" s="263">
        <f t="shared" ref="U58:U94" si="34">R58*T58/100</f>
        <v>18.507598446872109</v>
      </c>
      <c r="V58" s="292">
        <f t="shared" ref="V58:V131" si="35">S58-T58</f>
        <v>70.846509722009586</v>
      </c>
      <c r="W58" s="263">
        <f>SUM(W59:W92)</f>
        <v>0</v>
      </c>
      <c r="X58" s="263" t="e">
        <f t="shared" ref="X58:AH58" si="36">SUM(X59,X124,X161,X168,X180,X248,X688)</f>
        <v>#REF!</v>
      </c>
      <c r="Y58" s="263" t="e">
        <f t="shared" si="36"/>
        <v>#REF!</v>
      </c>
      <c r="Z58" s="263" t="e">
        <f t="shared" si="36"/>
        <v>#REF!</v>
      </c>
      <c r="AA58" s="263" t="e">
        <f t="shared" si="36"/>
        <v>#REF!</v>
      </c>
      <c r="AB58" s="263">
        <f t="shared" si="36"/>
        <v>10250009282</v>
      </c>
      <c r="AC58" s="263" t="e">
        <f t="shared" si="36"/>
        <v>#REF!</v>
      </c>
      <c r="AD58" s="263" t="e">
        <f t="shared" si="36"/>
        <v>#REF!</v>
      </c>
      <c r="AE58" s="263" t="e">
        <f t="shared" si="36"/>
        <v>#REF!</v>
      </c>
      <c r="AF58" s="263" t="e">
        <f t="shared" si="36"/>
        <v>#REF!</v>
      </c>
      <c r="AG58" s="263" t="e">
        <f t="shared" si="36"/>
        <v>#REF!</v>
      </c>
      <c r="AH58" s="263" t="e">
        <f t="shared" si="36"/>
        <v>#REF!</v>
      </c>
      <c r="AI58" s="263">
        <f>SUM(AI59,AI124,AI161,AI168,AI180,AI248,AI679)</f>
        <v>5882871989</v>
      </c>
      <c r="AJ58" s="222">
        <f t="shared" ref="AJ58:AJ143" si="37">AI58/Q58*100</f>
        <v>29.153490277990407</v>
      </c>
      <c r="AK58" s="263">
        <f>SUM(Q58-AI58)</f>
        <v>14296090917</v>
      </c>
      <c r="AL58" s="222">
        <f t="shared" ref="AL58:AL143" si="38">AK58/Q58*100</f>
        <v>70.8465097220096</v>
      </c>
      <c r="AM58" s="240"/>
    </row>
    <row r="59" spans="1:39" s="226" customFormat="1" ht="28.5" customHeight="1" x14ac:dyDescent="0.25">
      <c r="A59" s="236" t="s">
        <v>7</v>
      </c>
      <c r="B59" s="626" t="s">
        <v>113</v>
      </c>
      <c r="C59" s="626"/>
      <c r="D59" s="626"/>
      <c r="E59" s="626"/>
      <c r="F59" s="626"/>
      <c r="G59" s="626"/>
      <c r="H59" s="626"/>
      <c r="I59" s="627"/>
      <c r="J59" s="417" t="s">
        <v>439</v>
      </c>
      <c r="K59" s="238"/>
      <c r="L59" s="626" t="s">
        <v>12</v>
      </c>
      <c r="M59" s="626"/>
      <c r="N59" s="627"/>
      <c r="O59" s="239">
        <f>SUM(O60:O94)</f>
        <v>1502806500</v>
      </c>
      <c r="P59" s="239">
        <f>SUM(P60:P94)</f>
        <v>1794406500</v>
      </c>
      <c r="Q59" s="239">
        <f>SUM(Q60+Q62+Q66+Q68+Q72+Q75+Q81+Q83+Q86+Q89+Q92+Q94+Q96+Q110)</f>
        <v>2525913744</v>
      </c>
      <c r="R59" s="240">
        <f>Q59/Q$58*100</f>
        <v>12.517559776320052</v>
      </c>
      <c r="S59" s="240">
        <f>S60</f>
        <v>100</v>
      </c>
      <c r="T59" s="293">
        <f t="shared" si="33"/>
        <v>34.916502279422254</v>
      </c>
      <c r="U59" s="293">
        <f t="shared" si="34"/>
        <v>4.3706940446268341</v>
      </c>
      <c r="V59" s="241">
        <f t="shared" si="35"/>
        <v>65.083497720577753</v>
      </c>
      <c r="W59" s="239">
        <f t="shared" ref="W59:AH59" si="39">SUM(W60:W94)</f>
        <v>0</v>
      </c>
      <c r="X59" s="239" t="e">
        <f t="shared" si="39"/>
        <v>#REF!</v>
      </c>
      <c r="Y59" s="239" t="e">
        <f t="shared" si="39"/>
        <v>#REF!</v>
      </c>
      <c r="Z59" s="239" t="e">
        <f t="shared" si="39"/>
        <v>#REF!</v>
      </c>
      <c r="AA59" s="239" t="e">
        <f t="shared" si="39"/>
        <v>#REF!</v>
      </c>
      <c r="AB59" s="239">
        <f t="shared" si="39"/>
        <v>1228213226</v>
      </c>
      <c r="AC59" s="239" t="e">
        <f t="shared" si="39"/>
        <v>#REF!</v>
      </c>
      <c r="AD59" s="239" t="e">
        <f t="shared" si="39"/>
        <v>#REF!</v>
      </c>
      <c r="AE59" s="239" t="e">
        <f t="shared" si="39"/>
        <v>#REF!</v>
      </c>
      <c r="AF59" s="239" t="e">
        <f t="shared" si="39"/>
        <v>#REF!</v>
      </c>
      <c r="AG59" s="239" t="e">
        <f t="shared" si="39"/>
        <v>#REF!</v>
      </c>
      <c r="AH59" s="239">
        <f t="shared" si="39"/>
        <v>3676337600</v>
      </c>
      <c r="AI59" s="239">
        <f>SUM(AI60+AI62+AI66+AI68+AI72+AI75+AI81+AI83+AI86+AI89+AI92+AI94+AI96+AI110)</f>
        <v>881960730</v>
      </c>
      <c r="AJ59" s="240">
        <f t="shared" si="37"/>
        <v>34.916502279422254</v>
      </c>
      <c r="AK59" s="239">
        <f>SUM(Q59-AI59)</f>
        <v>1643953014</v>
      </c>
      <c r="AL59" s="240">
        <f t="shared" si="38"/>
        <v>65.083497720577739</v>
      </c>
      <c r="AM59" s="236"/>
    </row>
    <row r="60" spans="1:39" s="297" customFormat="1" ht="24.75" customHeight="1" x14ac:dyDescent="0.25">
      <c r="A60" s="227">
        <v>1</v>
      </c>
      <c r="B60" s="615" t="s">
        <v>114</v>
      </c>
      <c r="C60" s="615"/>
      <c r="D60" s="615"/>
      <c r="E60" s="615"/>
      <c r="F60" s="615"/>
      <c r="G60" s="615"/>
      <c r="H60" s="615"/>
      <c r="I60" s="614"/>
      <c r="J60" s="415" t="s">
        <v>442</v>
      </c>
      <c r="K60" s="230"/>
      <c r="L60" s="294"/>
      <c r="M60" s="615" t="s">
        <v>13</v>
      </c>
      <c r="N60" s="614"/>
      <c r="O60" s="295">
        <v>26300000</v>
      </c>
      <c r="P60" s="231">
        <v>28400000</v>
      </c>
      <c r="Q60" s="231">
        <f>SUM(Q61)</f>
        <v>27000000</v>
      </c>
      <c r="R60" s="233">
        <f>Q60/Q$59*100</f>
        <v>1.0689201111532491</v>
      </c>
      <c r="S60" s="233">
        <v>100</v>
      </c>
      <c r="T60" s="231">
        <f t="shared" si="33"/>
        <v>29.07037037037037</v>
      </c>
      <c r="U60" s="231">
        <f t="shared" si="34"/>
        <v>0.31073903527562413</v>
      </c>
      <c r="V60" s="296">
        <f t="shared" si="35"/>
        <v>70.92962962962963</v>
      </c>
      <c r="W60" s="231"/>
      <c r="X60" s="231" t="e">
        <f>#REF!</f>
        <v>#REF!</v>
      </c>
      <c r="Y60" s="231" t="e">
        <f>#REF!</f>
        <v>#REF!</v>
      </c>
      <c r="Z60" s="231" t="e">
        <f>#REF!</f>
        <v>#REF!</v>
      </c>
      <c r="AA60" s="231" t="e">
        <f>#REF!</f>
        <v>#REF!</v>
      </c>
      <c r="AB60" s="231">
        <v>5828000</v>
      </c>
      <c r="AC60" s="231" t="e">
        <f>#REF!</f>
        <v>#REF!</v>
      </c>
      <c r="AD60" s="231" t="e">
        <f>#REF!</f>
        <v>#REF!</v>
      </c>
      <c r="AE60" s="231" t="e">
        <f>#REF!</f>
        <v>#REF!</v>
      </c>
      <c r="AF60" s="231" t="e">
        <f>[1]April!N21</f>
        <v>#REF!</v>
      </c>
      <c r="AG60" s="231" t="e">
        <f>[2]april!N21</f>
        <v>#REF!</v>
      </c>
      <c r="AH60" s="231">
        <f>'[3]DES SKPD'!$N21</f>
        <v>14378000</v>
      </c>
      <c r="AI60" s="231">
        <f>SUM(AI61)</f>
        <v>7849000</v>
      </c>
      <c r="AJ60" s="233">
        <f>AI60/Q60*100</f>
        <v>29.07037037037037</v>
      </c>
      <c r="AK60" s="231">
        <f>Q60-AI60</f>
        <v>19151000</v>
      </c>
      <c r="AL60" s="233">
        <f>AK60/Q60*100</f>
        <v>70.92962962962963</v>
      </c>
      <c r="AM60" s="227"/>
    </row>
    <row r="61" spans="1:39" ht="29.25" customHeight="1" x14ac:dyDescent="0.25">
      <c r="A61" s="243"/>
      <c r="B61" s="410"/>
      <c r="C61" s="410"/>
      <c r="D61" s="410"/>
      <c r="E61" s="410"/>
      <c r="F61" s="410"/>
      <c r="G61" s="410"/>
      <c r="H61" s="410"/>
      <c r="I61" s="411"/>
      <c r="J61" s="410" t="s">
        <v>249</v>
      </c>
      <c r="K61" s="245"/>
      <c r="L61" s="257"/>
      <c r="M61" s="597" t="s">
        <v>250</v>
      </c>
      <c r="N61" s="598"/>
      <c r="O61" s="299"/>
      <c r="P61" s="180"/>
      <c r="Q61" s="180">
        <v>27000000</v>
      </c>
      <c r="R61" s="181">
        <f>Q61/Q$60*100</f>
        <v>100</v>
      </c>
      <c r="S61" s="181">
        <v>100</v>
      </c>
      <c r="T61" s="180">
        <f t="shared" si="33"/>
        <v>29.07037037037037</v>
      </c>
      <c r="U61" s="180">
        <f t="shared" si="34"/>
        <v>29.07037037037037</v>
      </c>
      <c r="V61" s="182">
        <f t="shared" si="35"/>
        <v>70.92962962962963</v>
      </c>
      <c r="W61" s="180"/>
      <c r="X61" s="180" t="e">
        <f>#REF!</f>
        <v>#REF!</v>
      </c>
      <c r="Y61" s="180" t="e">
        <f>#REF!</f>
        <v>#REF!</v>
      </c>
      <c r="Z61" s="180" t="e">
        <f>#REF!</f>
        <v>#REF!</v>
      </c>
      <c r="AA61" s="180" t="e">
        <f>#REF!</f>
        <v>#REF!</v>
      </c>
      <c r="AB61" s="180">
        <v>5828001</v>
      </c>
      <c r="AC61" s="180" t="e">
        <f>#REF!</f>
        <v>#REF!</v>
      </c>
      <c r="AD61" s="180" t="e">
        <f>#REF!</f>
        <v>#REF!</v>
      </c>
      <c r="AE61" s="180" t="e">
        <f>#REF!</f>
        <v>#REF!</v>
      </c>
      <c r="AF61" s="180" t="e">
        <f>[1]April!N22</f>
        <v>#REF!</v>
      </c>
      <c r="AG61" s="180" t="e">
        <f>[2]april!N22</f>
        <v>#REF!</v>
      </c>
      <c r="AH61" s="180">
        <f>'[3]DES SKPD'!$N22</f>
        <v>238296148</v>
      </c>
      <c r="AI61" s="180">
        <v>7849000</v>
      </c>
      <c r="AJ61" s="181">
        <f>AI61/Q61*100</f>
        <v>29.07037037037037</v>
      </c>
      <c r="AK61" s="180">
        <f>Q61-AI61</f>
        <v>19151000</v>
      </c>
      <c r="AL61" s="181">
        <f>AK61/Q61*100</f>
        <v>70.92962962962963</v>
      </c>
      <c r="AM61" s="243"/>
    </row>
    <row r="62" spans="1:39" s="297" customFormat="1" ht="29.25" customHeight="1" x14ac:dyDescent="0.25">
      <c r="A62" s="227">
        <f>A60+1</f>
        <v>2</v>
      </c>
      <c r="B62" s="615" t="s">
        <v>115</v>
      </c>
      <c r="C62" s="615"/>
      <c r="D62" s="615"/>
      <c r="E62" s="615"/>
      <c r="F62" s="615"/>
      <c r="G62" s="615"/>
      <c r="H62" s="615"/>
      <c r="I62" s="614"/>
      <c r="J62" s="415" t="s">
        <v>443</v>
      </c>
      <c r="K62" s="230"/>
      <c r="L62" s="294"/>
      <c r="M62" s="615" t="s">
        <v>14</v>
      </c>
      <c r="N62" s="614"/>
      <c r="O62" s="295">
        <v>31000000</v>
      </c>
      <c r="P62" s="231">
        <f>[9]Sheet1!$U$35</f>
        <v>320500000</v>
      </c>
      <c r="Q62" s="231">
        <f>SUM(Q63:Q65)</f>
        <v>380000000</v>
      </c>
      <c r="R62" s="233">
        <f>Q62/Q$59*100</f>
        <v>15.044060823638322</v>
      </c>
      <c r="S62" s="233">
        <v>100</v>
      </c>
      <c r="T62" s="231">
        <f t="shared" si="33"/>
        <v>35.508213157894737</v>
      </c>
      <c r="U62" s="231">
        <f t="shared" si="34"/>
        <v>5.34187718486083</v>
      </c>
      <c r="V62" s="296">
        <f t="shared" si="35"/>
        <v>64.491786842105256</v>
      </c>
      <c r="W62" s="231"/>
      <c r="X62" s="231" t="e">
        <f>#REF!</f>
        <v>#REF!</v>
      </c>
      <c r="Y62" s="231" t="e">
        <f>#REF!</f>
        <v>#REF!</v>
      </c>
      <c r="Z62" s="231" t="e">
        <f>#REF!</f>
        <v>#REF!</v>
      </c>
      <c r="AA62" s="231" t="e">
        <f>#REF!</f>
        <v>#REF!</v>
      </c>
      <c r="AB62" s="231">
        <v>61516789</v>
      </c>
      <c r="AC62" s="231" t="e">
        <f>#REF!</f>
        <v>#REF!</v>
      </c>
      <c r="AD62" s="231" t="e">
        <f>#REF!</f>
        <v>#REF!</v>
      </c>
      <c r="AE62" s="231" t="e">
        <f>#REF!</f>
        <v>#REF!</v>
      </c>
      <c r="AF62" s="231" t="e">
        <f>[1]April!N22</f>
        <v>#REF!</v>
      </c>
      <c r="AG62" s="231" t="e">
        <f>[2]april!N22</f>
        <v>#REF!</v>
      </c>
      <c r="AH62" s="231">
        <f>'[3]DES SKPD'!$N22</f>
        <v>238296148</v>
      </c>
      <c r="AI62" s="231">
        <f>SUM(AI63:AI65)</f>
        <v>134931210</v>
      </c>
      <c r="AJ62" s="233">
        <f t="shared" si="37"/>
        <v>35.508213157894737</v>
      </c>
      <c r="AK62" s="231">
        <f t="shared" ref="AK62:AK123" si="40">Q62-AI62</f>
        <v>245068790</v>
      </c>
      <c r="AL62" s="233">
        <f t="shared" si="38"/>
        <v>64.491786842105256</v>
      </c>
      <c r="AM62" s="227"/>
    </row>
    <row r="63" spans="1:39" ht="23.25" customHeight="1" x14ac:dyDescent="0.25">
      <c r="A63" s="243"/>
      <c r="B63" s="410"/>
      <c r="C63" s="410"/>
      <c r="D63" s="410"/>
      <c r="E63" s="410"/>
      <c r="F63" s="410"/>
      <c r="G63" s="410"/>
      <c r="H63" s="410"/>
      <c r="I63" s="411"/>
      <c r="J63" s="410" t="s">
        <v>251</v>
      </c>
      <c r="K63" s="245"/>
      <c r="L63" s="257"/>
      <c r="M63" s="597" t="s">
        <v>252</v>
      </c>
      <c r="N63" s="598"/>
      <c r="O63" s="299"/>
      <c r="P63" s="180"/>
      <c r="Q63" s="180">
        <v>2808000</v>
      </c>
      <c r="R63" s="181">
        <f>Q63/Q$62*100</f>
        <v>0.73894736842105269</v>
      </c>
      <c r="S63" s="181">
        <v>101</v>
      </c>
      <c r="T63" s="180">
        <f t="shared" si="33"/>
        <v>13.910434472934474</v>
      </c>
      <c r="U63" s="180">
        <f t="shared" si="34"/>
        <v>0.10279078947368422</v>
      </c>
      <c r="V63" s="182">
        <f t="shared" si="35"/>
        <v>87.089565527065531</v>
      </c>
      <c r="W63" s="180"/>
      <c r="X63" s="180" t="e">
        <f>#REF!</f>
        <v>#REF!</v>
      </c>
      <c r="Y63" s="180" t="e">
        <f>#REF!</f>
        <v>#REF!</v>
      </c>
      <c r="Z63" s="180" t="e">
        <f>#REF!</f>
        <v>#REF!</v>
      </c>
      <c r="AA63" s="180" t="e">
        <f>#REF!</f>
        <v>#REF!</v>
      </c>
      <c r="AB63" s="180">
        <v>61516790</v>
      </c>
      <c r="AC63" s="180" t="e">
        <f>#REF!</f>
        <v>#REF!</v>
      </c>
      <c r="AD63" s="180" t="e">
        <f>#REF!</f>
        <v>#REF!</v>
      </c>
      <c r="AE63" s="180" t="e">
        <f>#REF!</f>
        <v>#REF!</v>
      </c>
      <c r="AF63" s="180" t="e">
        <f>[1]April!N23</f>
        <v>#REF!</v>
      </c>
      <c r="AG63" s="180" t="e">
        <f>[2]april!N23</f>
        <v>#REF!</v>
      </c>
      <c r="AH63" s="180">
        <f>'[3]DES SKPD'!$N23</f>
        <v>24482700</v>
      </c>
      <c r="AI63" s="180">
        <f>292951+97654</f>
        <v>390605</v>
      </c>
      <c r="AJ63" s="181">
        <f t="shared" si="37"/>
        <v>13.910434472934474</v>
      </c>
      <c r="AK63" s="180">
        <f t="shared" si="40"/>
        <v>2417395</v>
      </c>
      <c r="AL63" s="181">
        <f t="shared" si="38"/>
        <v>86.089565527065531</v>
      </c>
      <c r="AM63" s="243"/>
    </row>
    <row r="64" spans="1:39" ht="23.25" customHeight="1" x14ac:dyDescent="0.25">
      <c r="A64" s="243"/>
      <c r="B64" s="410"/>
      <c r="C64" s="410"/>
      <c r="D64" s="410"/>
      <c r="E64" s="410"/>
      <c r="F64" s="410"/>
      <c r="G64" s="410"/>
      <c r="H64" s="410"/>
      <c r="I64" s="411"/>
      <c r="J64" s="410" t="s">
        <v>409</v>
      </c>
      <c r="K64" s="245"/>
      <c r="L64" s="257"/>
      <c r="M64" s="597" t="s">
        <v>410</v>
      </c>
      <c r="N64" s="598"/>
      <c r="O64" s="299"/>
      <c r="P64" s="180"/>
      <c r="Q64" s="180">
        <v>24000000</v>
      </c>
      <c r="R64" s="181">
        <f>Q64/Q$62*100</f>
        <v>6.3157894736842106</v>
      </c>
      <c r="S64" s="181">
        <v>102</v>
      </c>
      <c r="T64" s="180">
        <f t="shared" si="33"/>
        <v>0</v>
      </c>
      <c r="U64" s="180">
        <f t="shared" si="34"/>
        <v>0</v>
      </c>
      <c r="V64" s="182">
        <f t="shared" si="35"/>
        <v>102</v>
      </c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>
        <v>0</v>
      </c>
      <c r="AJ64" s="181">
        <f>AI64/Q64*100</f>
        <v>0</v>
      </c>
      <c r="AK64" s="180">
        <f>Q64-AI64</f>
        <v>24000000</v>
      </c>
      <c r="AL64" s="181">
        <f>AK64/Q64*100</f>
        <v>100</v>
      </c>
      <c r="AM64" s="243"/>
    </row>
    <row r="65" spans="1:39" ht="48.75" customHeight="1" x14ac:dyDescent="0.25">
      <c r="A65" s="243"/>
      <c r="B65" s="410"/>
      <c r="C65" s="410"/>
      <c r="D65" s="410"/>
      <c r="E65" s="410"/>
      <c r="F65" s="410"/>
      <c r="G65" s="410"/>
      <c r="H65" s="410"/>
      <c r="I65" s="411"/>
      <c r="J65" s="410" t="s">
        <v>253</v>
      </c>
      <c r="K65" s="245"/>
      <c r="L65" s="257"/>
      <c r="M65" s="597" t="s">
        <v>254</v>
      </c>
      <c r="N65" s="598"/>
      <c r="O65" s="299"/>
      <c r="P65" s="180"/>
      <c r="Q65" s="180">
        <v>353192000</v>
      </c>
      <c r="R65" s="181">
        <f>Q65/Q$62*100</f>
        <v>92.945263157894743</v>
      </c>
      <c r="S65" s="181">
        <v>102</v>
      </c>
      <c r="T65" s="180">
        <f t="shared" si="33"/>
        <v>38.092766823710619</v>
      </c>
      <c r="U65" s="180">
        <f t="shared" si="34"/>
        <v>35.405422368421057</v>
      </c>
      <c r="V65" s="182">
        <f t="shared" si="35"/>
        <v>63.907233176289381</v>
      </c>
      <c r="W65" s="180"/>
      <c r="X65" s="180" t="e">
        <f>#REF!</f>
        <v>#REF!</v>
      </c>
      <c r="Y65" s="180" t="e">
        <f>#REF!</f>
        <v>#REF!</v>
      </c>
      <c r="Z65" s="180" t="e">
        <f>#REF!</f>
        <v>#REF!</v>
      </c>
      <c r="AA65" s="180" t="e">
        <f>#REF!</f>
        <v>#REF!</v>
      </c>
      <c r="AB65" s="180">
        <v>61516791</v>
      </c>
      <c r="AC65" s="180" t="e">
        <f>#REF!</f>
        <v>#REF!</v>
      </c>
      <c r="AD65" s="180" t="e">
        <f>#REF!</f>
        <v>#REF!</v>
      </c>
      <c r="AE65" s="180" t="e">
        <f>#REF!</f>
        <v>#REF!</v>
      </c>
      <c r="AF65" s="180" t="e">
        <f>[1]April!N24</f>
        <v>#REF!</v>
      </c>
      <c r="AG65" s="180" t="e">
        <f>[2]april!N24</f>
        <v>#REF!</v>
      </c>
      <c r="AH65" s="180">
        <f>'[3]DES SKPD'!$N24</f>
        <v>201339002</v>
      </c>
      <c r="AI65" s="180">
        <f>117195+33599500+100768500+55410</f>
        <v>134540605</v>
      </c>
      <c r="AJ65" s="181">
        <f t="shared" si="37"/>
        <v>38.092766823710619</v>
      </c>
      <c r="AK65" s="180">
        <f t="shared" si="40"/>
        <v>218651395</v>
      </c>
      <c r="AL65" s="181">
        <f t="shared" si="38"/>
        <v>61.907233176289388</v>
      </c>
      <c r="AM65" s="243"/>
    </row>
    <row r="66" spans="1:39" s="297" customFormat="1" ht="45.75" customHeight="1" x14ac:dyDescent="0.25">
      <c r="A66" s="227">
        <f>A62+1</f>
        <v>3</v>
      </c>
      <c r="B66" s="615" t="s">
        <v>116</v>
      </c>
      <c r="C66" s="615"/>
      <c r="D66" s="615"/>
      <c r="E66" s="615"/>
      <c r="F66" s="615"/>
      <c r="G66" s="615"/>
      <c r="H66" s="615"/>
      <c r="I66" s="614"/>
      <c r="J66" s="415" t="s">
        <v>444</v>
      </c>
      <c r="K66" s="230"/>
      <c r="L66" s="294"/>
      <c r="M66" s="615" t="s">
        <v>117</v>
      </c>
      <c r="N66" s="614"/>
      <c r="O66" s="295">
        <v>32800000</v>
      </c>
      <c r="P66" s="231">
        <f>O66</f>
        <v>32800000</v>
      </c>
      <c r="Q66" s="231">
        <f>SUM(Q67)</f>
        <v>66540000</v>
      </c>
      <c r="R66" s="233">
        <f>Q66/Q$59*100</f>
        <v>2.6342942294865632</v>
      </c>
      <c r="S66" s="233">
        <v>100</v>
      </c>
      <c r="T66" s="231">
        <f t="shared" si="33"/>
        <v>43.05425308085362</v>
      </c>
      <c r="U66" s="231">
        <f t="shared" si="34"/>
        <v>1.1341757044574678</v>
      </c>
      <c r="V66" s="296">
        <f t="shared" si="35"/>
        <v>56.94574691914638</v>
      </c>
      <c r="W66" s="231"/>
      <c r="X66" s="231" t="e">
        <f>#REF!</f>
        <v>#REF!</v>
      </c>
      <c r="Y66" s="231" t="e">
        <f>#REF!</f>
        <v>#REF!</v>
      </c>
      <c r="Z66" s="231" t="e">
        <f>#REF!</f>
        <v>#REF!</v>
      </c>
      <c r="AA66" s="231" t="e">
        <f>#REF!</f>
        <v>#REF!</v>
      </c>
      <c r="AB66" s="231">
        <v>9127800</v>
      </c>
      <c r="AC66" s="231" t="e">
        <f>#REF!</f>
        <v>#REF!</v>
      </c>
      <c r="AD66" s="231" t="e">
        <f>#REF!</f>
        <v>#REF!</v>
      </c>
      <c r="AE66" s="231" t="e">
        <f>#REF!</f>
        <v>#REF!</v>
      </c>
      <c r="AF66" s="231" t="e">
        <f>[1]April!N23</f>
        <v>#REF!</v>
      </c>
      <c r="AG66" s="231" t="e">
        <f>[2]april!N23</f>
        <v>#REF!</v>
      </c>
      <c r="AH66" s="231">
        <f>'[3]DES SKPD'!$N23</f>
        <v>24482700</v>
      </c>
      <c r="AI66" s="231">
        <f>SUM(AI67)</f>
        <v>28648300</v>
      </c>
      <c r="AJ66" s="233">
        <f t="shared" si="37"/>
        <v>43.05425308085362</v>
      </c>
      <c r="AK66" s="231">
        <f t="shared" si="40"/>
        <v>37891700</v>
      </c>
      <c r="AL66" s="233">
        <f t="shared" si="38"/>
        <v>56.94574691914638</v>
      </c>
      <c r="AM66" s="227"/>
    </row>
    <row r="67" spans="1:39" s="297" customFormat="1" ht="28.5" customHeight="1" x14ac:dyDescent="0.25">
      <c r="A67" s="227"/>
      <c r="B67" s="415"/>
      <c r="C67" s="415"/>
      <c r="D67" s="415"/>
      <c r="E67" s="415"/>
      <c r="F67" s="415"/>
      <c r="G67" s="415"/>
      <c r="H67" s="415"/>
      <c r="I67" s="414"/>
      <c r="J67" s="410" t="s">
        <v>255</v>
      </c>
      <c r="K67" s="245"/>
      <c r="L67" s="257"/>
      <c r="M67" s="597" t="s">
        <v>256</v>
      </c>
      <c r="N67" s="598"/>
      <c r="O67" s="299"/>
      <c r="P67" s="180"/>
      <c r="Q67" s="180">
        <v>66540000</v>
      </c>
      <c r="R67" s="181">
        <f>Q67/Q$66*100</f>
        <v>100</v>
      </c>
      <c r="S67" s="181">
        <v>100</v>
      </c>
      <c r="T67" s="180">
        <f t="shared" si="33"/>
        <v>43.05425308085362</v>
      </c>
      <c r="U67" s="180">
        <f t="shared" si="34"/>
        <v>43.05425308085362</v>
      </c>
      <c r="V67" s="182">
        <f t="shared" si="35"/>
        <v>56.94574691914638</v>
      </c>
      <c r="W67" s="180"/>
      <c r="X67" s="180" t="e">
        <f>#REF!</f>
        <v>#REF!</v>
      </c>
      <c r="Y67" s="180" t="e">
        <f>#REF!</f>
        <v>#REF!</v>
      </c>
      <c r="Z67" s="180" t="e">
        <f>#REF!</f>
        <v>#REF!</v>
      </c>
      <c r="AA67" s="180" t="e">
        <f>#REF!</f>
        <v>#REF!</v>
      </c>
      <c r="AB67" s="180">
        <v>9127801</v>
      </c>
      <c r="AC67" s="180" t="e">
        <f>#REF!</f>
        <v>#REF!</v>
      </c>
      <c r="AD67" s="180" t="e">
        <f>#REF!</f>
        <v>#REF!</v>
      </c>
      <c r="AE67" s="180" t="e">
        <f>#REF!</f>
        <v>#REF!</v>
      </c>
      <c r="AF67" s="180" t="e">
        <f>[1]April!N24</f>
        <v>#REF!</v>
      </c>
      <c r="AG67" s="180" t="e">
        <f>[2]april!N24</f>
        <v>#REF!</v>
      </c>
      <c r="AH67" s="180">
        <f>'[3]DES SKPD'!$N24</f>
        <v>201339002</v>
      </c>
      <c r="AI67" s="180">
        <f>19325100+9323200</f>
        <v>28648300</v>
      </c>
      <c r="AJ67" s="181">
        <f t="shared" si="37"/>
        <v>43.05425308085362</v>
      </c>
      <c r="AK67" s="180">
        <f t="shared" si="40"/>
        <v>37891700</v>
      </c>
      <c r="AL67" s="181">
        <f t="shared" si="38"/>
        <v>56.94574691914638</v>
      </c>
      <c r="AM67" s="227"/>
    </row>
    <row r="68" spans="1:39" s="297" customFormat="1" ht="24.75" customHeight="1" x14ac:dyDescent="0.25">
      <c r="A68" s="227">
        <f>A66+1</f>
        <v>4</v>
      </c>
      <c r="B68" s="615" t="s">
        <v>118</v>
      </c>
      <c r="C68" s="615"/>
      <c r="D68" s="615"/>
      <c r="E68" s="615"/>
      <c r="F68" s="615"/>
      <c r="G68" s="615"/>
      <c r="H68" s="615"/>
      <c r="I68" s="614"/>
      <c r="J68" s="415" t="s">
        <v>445</v>
      </c>
      <c r="K68" s="230"/>
      <c r="L68" s="294"/>
      <c r="M68" s="615" t="s">
        <v>15</v>
      </c>
      <c r="N68" s="614"/>
      <c r="O68" s="295">
        <v>218550000</v>
      </c>
      <c r="P68" s="231">
        <f>O68</f>
        <v>218550000</v>
      </c>
      <c r="Q68" s="231">
        <f>SUM(Q69:Q71)</f>
        <v>336900000</v>
      </c>
      <c r="R68" s="233">
        <f>Q68/Q$59*100</f>
        <v>13.337747609167765</v>
      </c>
      <c r="S68" s="233">
        <v>100</v>
      </c>
      <c r="T68" s="231">
        <f t="shared" si="33"/>
        <v>19.537845057880677</v>
      </c>
      <c r="U68" s="231">
        <f t="shared" si="34"/>
        <v>2.6059084620903827</v>
      </c>
      <c r="V68" s="296">
        <f t="shared" si="35"/>
        <v>80.462154942119327</v>
      </c>
      <c r="W68" s="231"/>
      <c r="X68" s="231" t="e">
        <f>#REF!</f>
        <v>#REF!</v>
      </c>
      <c r="Y68" s="231" t="e">
        <f>#REF!</f>
        <v>#REF!</v>
      </c>
      <c r="Z68" s="231" t="e">
        <f>#REF!</f>
        <v>#REF!</v>
      </c>
      <c r="AA68" s="231" t="e">
        <f>#REF!</f>
        <v>#REF!</v>
      </c>
      <c r="AB68" s="231">
        <v>103406334</v>
      </c>
      <c r="AC68" s="231" t="e">
        <f>#REF!</f>
        <v>#REF!</v>
      </c>
      <c r="AD68" s="231" t="e">
        <f>#REF!</f>
        <v>#REF!</v>
      </c>
      <c r="AE68" s="231" t="e">
        <f>#REF!</f>
        <v>#REF!</v>
      </c>
      <c r="AF68" s="231" t="e">
        <f>[1]April!N24</f>
        <v>#REF!</v>
      </c>
      <c r="AG68" s="231" t="e">
        <f>[2]april!N24</f>
        <v>#REF!</v>
      </c>
      <c r="AH68" s="231">
        <f>'[3]DES SKPD'!$N24</f>
        <v>201339002</v>
      </c>
      <c r="AI68" s="231">
        <f>SUM(AI69:AI71)</f>
        <v>65823000</v>
      </c>
      <c r="AJ68" s="233">
        <f t="shared" si="37"/>
        <v>19.537845057880677</v>
      </c>
      <c r="AK68" s="231">
        <f t="shared" si="40"/>
        <v>271077000</v>
      </c>
      <c r="AL68" s="233">
        <f t="shared" si="38"/>
        <v>80.462154942119327</v>
      </c>
      <c r="AM68" s="227"/>
    </row>
    <row r="69" spans="1:39" ht="24.75" customHeight="1" x14ac:dyDescent="0.25">
      <c r="A69" s="243"/>
      <c r="B69" s="410"/>
      <c r="C69" s="410"/>
      <c r="D69" s="410"/>
      <c r="E69" s="410"/>
      <c r="F69" s="410"/>
      <c r="G69" s="410"/>
      <c r="H69" s="410"/>
      <c r="I69" s="411"/>
      <c r="J69" s="410" t="s">
        <v>259</v>
      </c>
      <c r="K69" s="245"/>
      <c r="L69" s="257"/>
      <c r="M69" s="597" t="s">
        <v>260</v>
      </c>
      <c r="N69" s="598"/>
      <c r="O69" s="299"/>
      <c r="P69" s="180"/>
      <c r="Q69" s="180">
        <v>1500000</v>
      </c>
      <c r="R69" s="181">
        <f>Q69/Q$68*100</f>
        <v>0.44523597506678536</v>
      </c>
      <c r="S69" s="181">
        <v>100</v>
      </c>
      <c r="T69" s="180">
        <f t="shared" si="33"/>
        <v>0</v>
      </c>
      <c r="U69" s="180">
        <f t="shared" si="34"/>
        <v>0</v>
      </c>
      <c r="V69" s="182">
        <f t="shared" si="35"/>
        <v>100</v>
      </c>
      <c r="W69" s="180"/>
      <c r="X69" s="180" t="e">
        <f>#REF!</f>
        <v>#REF!</v>
      </c>
      <c r="Y69" s="180" t="e">
        <f>#REF!</f>
        <v>#REF!</v>
      </c>
      <c r="Z69" s="180" t="e">
        <f>#REF!</f>
        <v>#REF!</v>
      </c>
      <c r="AA69" s="180" t="e">
        <f>#REF!</f>
        <v>#REF!</v>
      </c>
      <c r="AB69" s="180">
        <v>103406335</v>
      </c>
      <c r="AC69" s="180" t="e">
        <f>#REF!</f>
        <v>#REF!</v>
      </c>
      <c r="AD69" s="180" t="e">
        <f>#REF!</f>
        <v>#REF!</v>
      </c>
      <c r="AE69" s="180" t="e">
        <f>#REF!</f>
        <v>#REF!</v>
      </c>
      <c r="AF69" s="180" t="e">
        <f>[1]April!N26</f>
        <v>#REF!</v>
      </c>
      <c r="AG69" s="180" t="e">
        <f>[2]april!N26</f>
        <v>#REF!</v>
      </c>
      <c r="AH69" s="180">
        <f>'[3]DES SKPD'!$N26</f>
        <v>449102800</v>
      </c>
      <c r="AI69" s="180">
        <v>0</v>
      </c>
      <c r="AJ69" s="181">
        <f t="shared" si="37"/>
        <v>0</v>
      </c>
      <c r="AK69" s="180">
        <f t="shared" si="40"/>
        <v>1500000</v>
      </c>
      <c r="AL69" s="181">
        <f t="shared" si="38"/>
        <v>100</v>
      </c>
      <c r="AM69" s="243"/>
    </row>
    <row r="70" spans="1:39" ht="26.25" customHeight="1" x14ac:dyDescent="0.25">
      <c r="A70" s="243"/>
      <c r="B70" s="410"/>
      <c r="C70" s="410"/>
      <c r="D70" s="410"/>
      <c r="E70" s="410"/>
      <c r="F70" s="410"/>
      <c r="G70" s="410"/>
      <c r="H70" s="410"/>
      <c r="I70" s="411"/>
      <c r="J70" s="410" t="s">
        <v>261</v>
      </c>
      <c r="K70" s="245"/>
      <c r="L70" s="257"/>
      <c r="M70" s="597" t="s">
        <v>262</v>
      </c>
      <c r="N70" s="598"/>
      <c r="O70" s="299"/>
      <c r="P70" s="180"/>
      <c r="Q70" s="180">
        <v>120000000</v>
      </c>
      <c r="R70" s="181">
        <f>Q70/Q$68*100</f>
        <v>35.618878005342829</v>
      </c>
      <c r="S70" s="181">
        <v>100</v>
      </c>
      <c r="T70" s="180">
        <f t="shared" si="33"/>
        <v>22.852499999999999</v>
      </c>
      <c r="U70" s="180">
        <f t="shared" si="34"/>
        <v>8.1398040961709697</v>
      </c>
      <c r="V70" s="182">
        <f t="shared" si="35"/>
        <v>77.147500000000008</v>
      </c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G70" s="180"/>
      <c r="AH70" s="180"/>
      <c r="AI70" s="180">
        <v>27423000</v>
      </c>
      <c r="AJ70" s="181">
        <f t="shared" si="37"/>
        <v>22.852499999999999</v>
      </c>
      <c r="AK70" s="180">
        <f t="shared" si="40"/>
        <v>92577000</v>
      </c>
      <c r="AL70" s="181">
        <f t="shared" si="38"/>
        <v>77.147500000000008</v>
      </c>
      <c r="AM70" s="243"/>
    </row>
    <row r="71" spans="1:39" ht="24.75" customHeight="1" x14ac:dyDescent="0.25">
      <c r="A71" s="243"/>
      <c r="B71" s="410"/>
      <c r="C71" s="410"/>
      <c r="D71" s="410"/>
      <c r="E71" s="410"/>
      <c r="F71" s="410"/>
      <c r="G71" s="410"/>
      <c r="H71" s="410"/>
      <c r="I71" s="411"/>
      <c r="J71" s="410" t="s">
        <v>263</v>
      </c>
      <c r="K71" s="245"/>
      <c r="L71" s="257"/>
      <c r="M71" s="597" t="s">
        <v>264</v>
      </c>
      <c r="N71" s="598"/>
      <c r="O71" s="299"/>
      <c r="P71" s="180"/>
      <c r="Q71" s="180">
        <v>215400000</v>
      </c>
      <c r="R71" s="181">
        <f>Q71/Q$68*100</f>
        <v>63.935886019590384</v>
      </c>
      <c r="S71" s="181">
        <v>100</v>
      </c>
      <c r="T71" s="180">
        <f t="shared" si="33"/>
        <v>17.827298050139277</v>
      </c>
      <c r="U71" s="180">
        <f t="shared" si="34"/>
        <v>11.398040961709707</v>
      </c>
      <c r="V71" s="182">
        <f t="shared" si="35"/>
        <v>82.172701949860723</v>
      </c>
      <c r="W71" s="180"/>
      <c r="X71" s="180" t="e">
        <f>#REF!</f>
        <v>#REF!</v>
      </c>
      <c r="Y71" s="180" t="e">
        <f>#REF!</f>
        <v>#REF!</v>
      </c>
      <c r="Z71" s="180" t="e">
        <f>#REF!</f>
        <v>#REF!</v>
      </c>
      <c r="AA71" s="180" t="e">
        <f>#REF!</f>
        <v>#REF!</v>
      </c>
      <c r="AB71" s="180">
        <v>103406335</v>
      </c>
      <c r="AC71" s="180" t="e">
        <f>#REF!</f>
        <v>#REF!</v>
      </c>
      <c r="AD71" s="180" t="e">
        <f>#REF!</f>
        <v>#REF!</v>
      </c>
      <c r="AE71" s="180" t="e">
        <f>#REF!</f>
        <v>#REF!</v>
      </c>
      <c r="AF71" s="180" t="e">
        <f>[1]April!N26</f>
        <v>#REF!</v>
      </c>
      <c r="AG71" s="180" t="e">
        <f>[2]april!N26</f>
        <v>#REF!</v>
      </c>
      <c r="AH71" s="180">
        <f>'[3]DES SKPD'!$N26</f>
        <v>449102800</v>
      </c>
      <c r="AI71" s="180">
        <v>38400000</v>
      </c>
      <c r="AJ71" s="181">
        <f t="shared" si="37"/>
        <v>17.827298050139277</v>
      </c>
      <c r="AK71" s="180">
        <f t="shared" si="40"/>
        <v>177000000</v>
      </c>
      <c r="AL71" s="181">
        <f t="shared" si="38"/>
        <v>82.172701949860723</v>
      </c>
      <c r="AM71" s="243"/>
    </row>
    <row r="72" spans="1:39" s="297" customFormat="1" ht="24.75" customHeight="1" x14ac:dyDescent="0.25">
      <c r="A72" s="227">
        <f>A68+1</f>
        <v>5</v>
      </c>
      <c r="B72" s="615" t="s">
        <v>119</v>
      </c>
      <c r="C72" s="615"/>
      <c r="D72" s="615"/>
      <c r="E72" s="615"/>
      <c r="F72" s="615"/>
      <c r="G72" s="615"/>
      <c r="H72" s="615"/>
      <c r="I72" s="614"/>
      <c r="J72" s="415" t="s">
        <v>446</v>
      </c>
      <c r="K72" s="230"/>
      <c r="L72" s="294"/>
      <c r="M72" s="615" t="s">
        <v>16</v>
      </c>
      <c r="N72" s="614"/>
      <c r="O72" s="295">
        <v>201527500</v>
      </c>
      <c r="P72" s="231">
        <f>O72</f>
        <v>201527500</v>
      </c>
      <c r="Q72" s="231">
        <f>SUM(Q73:Q74)</f>
        <v>411693900</v>
      </c>
      <c r="R72" s="233">
        <f>Q72/Q$59*100</f>
        <v>16.298810716633877</v>
      </c>
      <c r="S72" s="233">
        <v>100</v>
      </c>
      <c r="T72" s="231">
        <f t="shared" si="33"/>
        <v>49.611786815398531</v>
      </c>
      <c r="U72" s="231">
        <f t="shared" si="34"/>
        <v>8.0861312261817275</v>
      </c>
      <c r="V72" s="296">
        <f t="shared" si="35"/>
        <v>50.388213184601469</v>
      </c>
      <c r="W72" s="231"/>
      <c r="X72" s="231" t="e">
        <f>#REF!</f>
        <v>#REF!</v>
      </c>
      <c r="Y72" s="231" t="e">
        <f>#REF!</f>
        <v>#REF!</v>
      </c>
      <c r="Z72" s="231" t="e">
        <f>#REF!</f>
        <v>#REF!</v>
      </c>
      <c r="AA72" s="231" t="e">
        <f>#REF!</f>
        <v>#REF!</v>
      </c>
      <c r="AB72" s="231">
        <v>99905000</v>
      </c>
      <c r="AC72" s="231" t="e">
        <f>#REF!</f>
        <v>#REF!</v>
      </c>
      <c r="AD72" s="231" t="e">
        <f>#REF!</f>
        <v>#REF!</v>
      </c>
      <c r="AE72" s="231" t="e">
        <f>#REF!</f>
        <v>#REF!</v>
      </c>
      <c r="AF72" s="231" t="e">
        <f>[1]April!N25</f>
        <v>#REF!</v>
      </c>
      <c r="AG72" s="231" t="e">
        <f>[2]april!N25</f>
        <v>#REF!</v>
      </c>
      <c r="AH72" s="231">
        <f>'[3]DES SKPD'!$N25</f>
        <v>229473500</v>
      </c>
      <c r="AI72" s="231">
        <f>SUM(AI73:AI74)</f>
        <v>204248700</v>
      </c>
      <c r="AJ72" s="233">
        <f>AI72/Q72*100</f>
        <v>49.611786815398531</v>
      </c>
      <c r="AK72" s="231">
        <f>Q72-AI72</f>
        <v>207445200</v>
      </c>
      <c r="AL72" s="233">
        <f>AK72/Q72*100</f>
        <v>50.388213184601469</v>
      </c>
      <c r="AM72" s="227"/>
    </row>
    <row r="73" spans="1:39" ht="29.25" customHeight="1" x14ac:dyDescent="0.25">
      <c r="A73" s="243"/>
      <c r="B73" s="410"/>
      <c r="C73" s="410"/>
      <c r="D73" s="410"/>
      <c r="E73" s="410"/>
      <c r="F73" s="410"/>
      <c r="G73" s="410"/>
      <c r="H73" s="410"/>
      <c r="I73" s="411"/>
      <c r="J73" s="410" t="s">
        <v>259</v>
      </c>
      <c r="K73" s="245"/>
      <c r="L73" s="257"/>
      <c r="M73" s="597" t="s">
        <v>260</v>
      </c>
      <c r="N73" s="598"/>
      <c r="O73" s="299"/>
      <c r="P73" s="180"/>
      <c r="Q73" s="180">
        <v>2400000</v>
      </c>
      <c r="R73" s="181">
        <f>Q73/Q$72*100</f>
        <v>0.58295738654374041</v>
      </c>
      <c r="S73" s="181">
        <v>100</v>
      </c>
      <c r="T73" s="180">
        <f t="shared" si="33"/>
        <v>0</v>
      </c>
      <c r="U73" s="180">
        <f t="shared" si="34"/>
        <v>0</v>
      </c>
      <c r="V73" s="182">
        <f t="shared" si="35"/>
        <v>100</v>
      </c>
      <c r="W73" s="180"/>
      <c r="X73" s="180"/>
      <c r="Y73" s="180"/>
      <c r="Z73" s="180"/>
      <c r="AA73" s="180"/>
      <c r="AB73" s="180"/>
      <c r="AC73" s="180"/>
      <c r="AD73" s="180"/>
      <c r="AE73" s="180"/>
      <c r="AF73" s="180"/>
      <c r="AG73" s="180"/>
      <c r="AH73" s="180"/>
      <c r="AI73" s="180">
        <v>0</v>
      </c>
      <c r="AJ73" s="181">
        <f t="shared" si="37"/>
        <v>0</v>
      </c>
      <c r="AK73" s="180">
        <f t="shared" si="40"/>
        <v>2400000</v>
      </c>
      <c r="AL73" s="181">
        <f t="shared" si="38"/>
        <v>100</v>
      </c>
      <c r="AM73" s="243"/>
    </row>
    <row r="74" spans="1:39" ht="24.75" customHeight="1" x14ac:dyDescent="0.25">
      <c r="A74" s="243"/>
      <c r="B74" s="410"/>
      <c r="C74" s="410"/>
      <c r="D74" s="410"/>
      <c r="E74" s="410"/>
      <c r="F74" s="410"/>
      <c r="G74" s="410"/>
      <c r="H74" s="410"/>
      <c r="I74" s="411"/>
      <c r="J74" s="410" t="s">
        <v>265</v>
      </c>
      <c r="K74" s="245"/>
      <c r="L74" s="257"/>
      <c r="M74" s="597" t="s">
        <v>266</v>
      </c>
      <c r="N74" s="598"/>
      <c r="O74" s="299"/>
      <c r="P74" s="180"/>
      <c r="Q74" s="180">
        <v>409293900</v>
      </c>
      <c r="R74" s="181">
        <f>Q74/Q$72*100</f>
        <v>99.41704261345626</v>
      </c>
      <c r="S74" s="181">
        <v>100</v>
      </c>
      <c r="T74" s="180">
        <f t="shared" si="33"/>
        <v>49.902698281112912</v>
      </c>
      <c r="U74" s="180">
        <f t="shared" si="34"/>
        <v>49.611786815398524</v>
      </c>
      <c r="V74" s="182">
        <f t="shared" si="35"/>
        <v>50.097301718887088</v>
      </c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>
        <f>101874100+102374600</f>
        <v>204248700</v>
      </c>
      <c r="AJ74" s="181">
        <f t="shared" si="37"/>
        <v>49.902698281112912</v>
      </c>
      <c r="AK74" s="180">
        <f t="shared" si="40"/>
        <v>205045200</v>
      </c>
      <c r="AL74" s="181">
        <f t="shared" si="38"/>
        <v>50.097301718887088</v>
      </c>
      <c r="AM74" s="243"/>
    </row>
    <row r="75" spans="1:39" s="297" customFormat="1" ht="27.75" customHeight="1" x14ac:dyDescent="0.25">
      <c r="A75" s="227">
        <f>A72+1</f>
        <v>6</v>
      </c>
      <c r="B75" s="615" t="s">
        <v>120</v>
      </c>
      <c r="C75" s="615"/>
      <c r="D75" s="615"/>
      <c r="E75" s="615"/>
      <c r="F75" s="615"/>
      <c r="G75" s="615"/>
      <c r="H75" s="615"/>
      <c r="I75" s="614"/>
      <c r="J75" s="415" t="s">
        <v>447</v>
      </c>
      <c r="K75" s="230"/>
      <c r="L75" s="294"/>
      <c r="M75" s="615" t="s">
        <v>17</v>
      </c>
      <c r="N75" s="614"/>
      <c r="O75" s="295">
        <v>261210000</v>
      </c>
      <c r="P75" s="231">
        <f>O75</f>
        <v>261210000</v>
      </c>
      <c r="Q75" s="231">
        <f>SUM(Q76:Q80)</f>
        <v>422840000</v>
      </c>
      <c r="R75" s="233">
        <f>Q75/Q$59*100</f>
        <v>16.740080733334811</v>
      </c>
      <c r="S75" s="233">
        <v>100</v>
      </c>
      <c r="T75" s="231">
        <f t="shared" si="33"/>
        <v>33.567779774855737</v>
      </c>
      <c r="U75" s="231">
        <f t="shared" si="34"/>
        <v>5.6192734346988846</v>
      </c>
      <c r="V75" s="296">
        <f t="shared" si="35"/>
        <v>66.432220225144263</v>
      </c>
      <c r="W75" s="231"/>
      <c r="X75" s="231" t="e">
        <f>#REF!</f>
        <v>#REF!</v>
      </c>
      <c r="Y75" s="231" t="e">
        <f>#REF!</f>
        <v>#REF!</v>
      </c>
      <c r="Z75" s="231" t="e">
        <f>#REF!</f>
        <v>#REF!</v>
      </c>
      <c r="AA75" s="231" t="e">
        <f>#REF!</f>
        <v>#REF!</v>
      </c>
      <c r="AB75" s="231">
        <v>171140000</v>
      </c>
      <c r="AC75" s="231" t="e">
        <f>#REF!</f>
        <v>#REF!</v>
      </c>
      <c r="AD75" s="231" t="e">
        <f>#REF!</f>
        <v>#REF!</v>
      </c>
      <c r="AE75" s="231" t="e">
        <f>#REF!</f>
        <v>#REF!</v>
      </c>
      <c r="AF75" s="231" t="e">
        <f>[1]April!N26</f>
        <v>#REF!</v>
      </c>
      <c r="AG75" s="231" t="e">
        <f>[2]april!N26</f>
        <v>#REF!</v>
      </c>
      <c r="AH75" s="231">
        <f>'[3]DES SKPD'!$N26</f>
        <v>449102800</v>
      </c>
      <c r="AI75" s="231">
        <f>SUM(AI76:AI80)</f>
        <v>141938000</v>
      </c>
      <c r="AJ75" s="233">
        <f t="shared" si="37"/>
        <v>33.567779774855737</v>
      </c>
      <c r="AK75" s="231">
        <f t="shared" si="40"/>
        <v>280902000</v>
      </c>
      <c r="AL75" s="233">
        <f t="shared" si="38"/>
        <v>66.432220225144263</v>
      </c>
      <c r="AM75" s="227"/>
    </row>
    <row r="76" spans="1:39" s="297" customFormat="1" ht="27.75" customHeight="1" x14ac:dyDescent="0.25">
      <c r="A76" s="227"/>
      <c r="B76" s="415"/>
      <c r="C76" s="415"/>
      <c r="D76" s="415"/>
      <c r="E76" s="415"/>
      <c r="F76" s="415"/>
      <c r="G76" s="415"/>
      <c r="H76" s="415"/>
      <c r="I76" s="414"/>
      <c r="J76" s="410" t="s">
        <v>259</v>
      </c>
      <c r="K76" s="245"/>
      <c r="L76" s="257"/>
      <c r="M76" s="597" t="s">
        <v>260</v>
      </c>
      <c r="N76" s="598"/>
      <c r="O76" s="299"/>
      <c r="P76" s="180"/>
      <c r="Q76" s="180">
        <v>2400000</v>
      </c>
      <c r="R76" s="181">
        <f>Q76/Q$75*100</f>
        <v>0.56759057799640522</v>
      </c>
      <c r="S76" s="181">
        <v>100</v>
      </c>
      <c r="T76" s="180">
        <f t="shared" si="33"/>
        <v>0</v>
      </c>
      <c r="U76" s="180">
        <f t="shared" si="34"/>
        <v>0</v>
      </c>
      <c r="V76" s="182">
        <f t="shared" si="35"/>
        <v>100</v>
      </c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>
        <v>0</v>
      </c>
      <c r="AJ76" s="181">
        <f t="shared" si="37"/>
        <v>0</v>
      </c>
      <c r="AK76" s="180">
        <f t="shared" si="40"/>
        <v>2400000</v>
      </c>
      <c r="AL76" s="181">
        <f t="shared" si="38"/>
        <v>100</v>
      </c>
      <c r="AM76" s="227"/>
    </row>
    <row r="77" spans="1:39" s="297" customFormat="1" ht="27.75" customHeight="1" x14ac:dyDescent="0.25">
      <c r="A77" s="227"/>
      <c r="B77" s="415"/>
      <c r="C77" s="415"/>
      <c r="D77" s="415"/>
      <c r="E77" s="415"/>
      <c r="F77" s="415"/>
      <c r="G77" s="415"/>
      <c r="H77" s="415"/>
      <c r="I77" s="414"/>
      <c r="J77" s="410" t="s">
        <v>267</v>
      </c>
      <c r="K77" s="245"/>
      <c r="L77" s="257"/>
      <c r="M77" s="597" t="s">
        <v>268</v>
      </c>
      <c r="N77" s="598"/>
      <c r="O77" s="299"/>
      <c r="P77" s="180"/>
      <c r="Q77" s="180">
        <v>8000000</v>
      </c>
      <c r="R77" s="181">
        <f>Q77/Q$75*100</f>
        <v>1.8919685933213508</v>
      </c>
      <c r="S77" s="181">
        <v>100</v>
      </c>
      <c r="T77" s="180">
        <f t="shared" si="33"/>
        <v>0</v>
      </c>
      <c r="U77" s="180">
        <f t="shared" si="34"/>
        <v>0</v>
      </c>
      <c r="V77" s="182">
        <f t="shared" si="35"/>
        <v>100</v>
      </c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>
        <v>0</v>
      </c>
      <c r="AJ77" s="181">
        <f t="shared" si="37"/>
        <v>0</v>
      </c>
      <c r="AK77" s="180">
        <f t="shared" si="40"/>
        <v>8000000</v>
      </c>
      <c r="AL77" s="181">
        <f t="shared" si="38"/>
        <v>100</v>
      </c>
      <c r="AM77" s="227"/>
    </row>
    <row r="78" spans="1:39" s="297" customFormat="1" ht="27.75" customHeight="1" x14ac:dyDescent="0.25">
      <c r="A78" s="227"/>
      <c r="B78" s="415"/>
      <c r="C78" s="415"/>
      <c r="D78" s="415"/>
      <c r="E78" s="415"/>
      <c r="F78" s="415"/>
      <c r="G78" s="415"/>
      <c r="H78" s="415"/>
      <c r="I78" s="414"/>
      <c r="J78" s="410" t="s">
        <v>269</v>
      </c>
      <c r="K78" s="245"/>
      <c r="L78" s="257"/>
      <c r="M78" s="597" t="s">
        <v>270</v>
      </c>
      <c r="N78" s="598"/>
      <c r="O78" s="299"/>
      <c r="P78" s="180"/>
      <c r="Q78" s="180">
        <v>383113000</v>
      </c>
      <c r="R78" s="181">
        <f>Q78/Q$75*100</f>
        <v>90.604720461640326</v>
      </c>
      <c r="S78" s="181">
        <v>100</v>
      </c>
      <c r="T78" s="180">
        <f t="shared" si="33"/>
        <v>34.960442480417001</v>
      </c>
      <c r="U78" s="180">
        <f t="shared" si="34"/>
        <v>31.675811181534378</v>
      </c>
      <c r="V78" s="182">
        <f t="shared" si="35"/>
        <v>65.039557519582999</v>
      </c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>
        <f>125938000+8000000</f>
        <v>133938000</v>
      </c>
      <c r="AJ78" s="181">
        <f t="shared" si="37"/>
        <v>34.960442480417001</v>
      </c>
      <c r="AK78" s="180">
        <f t="shared" si="40"/>
        <v>249175000</v>
      </c>
      <c r="AL78" s="181">
        <f t="shared" si="38"/>
        <v>65.039557519582985</v>
      </c>
      <c r="AM78" s="227"/>
    </row>
    <row r="79" spans="1:39" s="297" customFormat="1" ht="27.75" customHeight="1" x14ac:dyDescent="0.25">
      <c r="A79" s="227"/>
      <c r="B79" s="415"/>
      <c r="C79" s="415"/>
      <c r="D79" s="415"/>
      <c r="E79" s="415"/>
      <c r="F79" s="415"/>
      <c r="G79" s="415"/>
      <c r="H79" s="415"/>
      <c r="I79" s="414"/>
      <c r="J79" s="410" t="s">
        <v>315</v>
      </c>
      <c r="K79" s="245"/>
      <c r="L79" s="257"/>
      <c r="M79" s="597" t="s">
        <v>271</v>
      </c>
      <c r="N79" s="598"/>
      <c r="O79" s="299"/>
      <c r="P79" s="180"/>
      <c r="Q79" s="180">
        <v>19327000</v>
      </c>
      <c r="R79" s="181">
        <f>Q79/Q$75*100</f>
        <v>4.5707596253902185</v>
      </c>
      <c r="S79" s="181">
        <v>100</v>
      </c>
      <c r="T79" s="180">
        <f t="shared" si="33"/>
        <v>41.392870078129043</v>
      </c>
      <c r="U79" s="180">
        <f t="shared" si="34"/>
        <v>1.8919685933213508</v>
      </c>
      <c r="V79" s="182">
        <f t="shared" si="35"/>
        <v>58.607129921870957</v>
      </c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>
        <v>8000000</v>
      </c>
      <c r="AJ79" s="181">
        <f t="shared" si="37"/>
        <v>41.392870078129043</v>
      </c>
      <c r="AK79" s="180">
        <f t="shared" si="40"/>
        <v>11327000</v>
      </c>
      <c r="AL79" s="181">
        <f t="shared" si="38"/>
        <v>58.607129921870957</v>
      </c>
      <c r="AM79" s="227"/>
    </row>
    <row r="80" spans="1:39" s="297" customFormat="1" ht="27.75" customHeight="1" x14ac:dyDescent="0.25">
      <c r="A80" s="227"/>
      <c r="B80" s="415"/>
      <c r="C80" s="415"/>
      <c r="D80" s="415"/>
      <c r="E80" s="415"/>
      <c r="F80" s="415"/>
      <c r="G80" s="415"/>
      <c r="H80" s="415"/>
      <c r="I80" s="414"/>
      <c r="J80" s="410" t="s">
        <v>316</v>
      </c>
      <c r="K80" s="245"/>
      <c r="L80" s="257"/>
      <c r="M80" s="597" t="s">
        <v>317</v>
      </c>
      <c r="N80" s="598"/>
      <c r="O80" s="299"/>
      <c r="P80" s="180"/>
      <c r="Q80" s="180">
        <v>10000000</v>
      </c>
      <c r="R80" s="181">
        <f>Q80/Q$75*100</f>
        <v>2.3649607416516885</v>
      </c>
      <c r="S80" s="181">
        <v>100</v>
      </c>
      <c r="T80" s="180">
        <f t="shared" si="33"/>
        <v>0</v>
      </c>
      <c r="U80" s="180">
        <f t="shared" si="34"/>
        <v>0</v>
      </c>
      <c r="V80" s="182">
        <f t="shared" si="35"/>
        <v>100</v>
      </c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>
        <v>0</v>
      </c>
      <c r="AJ80" s="181">
        <f t="shared" si="37"/>
        <v>0</v>
      </c>
      <c r="AK80" s="180">
        <f t="shared" si="40"/>
        <v>10000000</v>
      </c>
      <c r="AL80" s="181">
        <f t="shared" si="38"/>
        <v>100</v>
      </c>
      <c r="AM80" s="227"/>
    </row>
    <row r="81" spans="1:39" s="297" customFormat="1" ht="28.5" customHeight="1" x14ac:dyDescent="0.25">
      <c r="A81" s="227">
        <f>A75+1</f>
        <v>7</v>
      </c>
      <c r="B81" s="615" t="s">
        <v>121</v>
      </c>
      <c r="C81" s="615"/>
      <c r="D81" s="615"/>
      <c r="E81" s="615"/>
      <c r="F81" s="615"/>
      <c r="G81" s="615"/>
      <c r="H81" s="615"/>
      <c r="I81" s="614"/>
      <c r="J81" s="415" t="s">
        <v>448</v>
      </c>
      <c r="K81" s="230"/>
      <c r="L81" s="294"/>
      <c r="M81" s="615" t="s">
        <v>18</v>
      </c>
      <c r="N81" s="614"/>
      <c r="O81" s="295">
        <v>20900000</v>
      </c>
      <c r="P81" s="231">
        <f>O81</f>
        <v>20900000</v>
      </c>
      <c r="Q81" s="231">
        <f>SUM(Q82:Q82)</f>
        <v>21100000</v>
      </c>
      <c r="R81" s="233">
        <f>Q81/Q$59*100</f>
        <v>0.83534127204939101</v>
      </c>
      <c r="S81" s="233">
        <v>100</v>
      </c>
      <c r="T81" s="231">
        <f t="shared" si="33"/>
        <v>47.324644549763036</v>
      </c>
      <c r="U81" s="231">
        <f t="shared" si="34"/>
        <v>0.39532228777484335</v>
      </c>
      <c r="V81" s="296">
        <f t="shared" si="35"/>
        <v>52.675355450236964</v>
      </c>
      <c r="W81" s="231"/>
      <c r="X81" s="231" t="e">
        <f>#REF!</f>
        <v>#REF!</v>
      </c>
      <c r="Y81" s="231" t="e">
        <f>#REF!</f>
        <v>#REF!</v>
      </c>
      <c r="Z81" s="231" t="e">
        <f>#REF!</f>
        <v>#REF!</v>
      </c>
      <c r="AA81" s="231" t="e">
        <f>#REF!</f>
        <v>#REF!</v>
      </c>
      <c r="AB81" s="231">
        <v>12597300</v>
      </c>
      <c r="AC81" s="231" t="e">
        <f>#REF!</f>
        <v>#REF!</v>
      </c>
      <c r="AD81" s="231" t="e">
        <f>#REF!</f>
        <v>#REF!</v>
      </c>
      <c r="AE81" s="231" t="e">
        <f>#REF!</f>
        <v>#REF!</v>
      </c>
      <c r="AF81" s="231" t="e">
        <f>[1]April!N27</f>
        <v>#REF!</v>
      </c>
      <c r="AG81" s="231">
        <v>27808300</v>
      </c>
      <c r="AH81" s="231">
        <f>'[3]DES SKPD'!$N27</f>
        <v>35785800</v>
      </c>
      <c r="AI81" s="231">
        <f>SUM(AI82:AI82)</f>
        <v>9985500</v>
      </c>
      <c r="AJ81" s="233">
        <f t="shared" si="37"/>
        <v>47.324644549763036</v>
      </c>
      <c r="AK81" s="231">
        <f t="shared" si="40"/>
        <v>11114500</v>
      </c>
      <c r="AL81" s="233">
        <f t="shared" si="38"/>
        <v>52.675355450236971</v>
      </c>
      <c r="AM81" s="227"/>
    </row>
    <row r="82" spans="1:39" ht="36" customHeight="1" x14ac:dyDescent="0.25">
      <c r="A82" s="243"/>
      <c r="B82" s="410"/>
      <c r="C82" s="410"/>
      <c r="D82" s="410"/>
      <c r="E82" s="410"/>
      <c r="F82" s="410"/>
      <c r="G82" s="410"/>
      <c r="H82" s="410"/>
      <c r="I82" s="411"/>
      <c r="J82" s="410" t="s">
        <v>272</v>
      </c>
      <c r="K82" s="245"/>
      <c r="L82" s="257"/>
      <c r="M82" s="597" t="s">
        <v>429</v>
      </c>
      <c r="N82" s="598"/>
      <c r="O82" s="299"/>
      <c r="P82" s="180"/>
      <c r="Q82" s="180">
        <v>21100000</v>
      </c>
      <c r="R82" s="181">
        <f>Q82/Q$81*100</f>
        <v>100</v>
      </c>
      <c r="S82" s="181">
        <v>100</v>
      </c>
      <c r="T82" s="180">
        <f t="shared" si="33"/>
        <v>47.324644549763036</v>
      </c>
      <c r="U82" s="180">
        <f t="shared" si="34"/>
        <v>47.324644549763036</v>
      </c>
      <c r="V82" s="182">
        <f t="shared" si="35"/>
        <v>52.675355450236964</v>
      </c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231"/>
      <c r="AH82" s="180"/>
      <c r="AI82" s="180">
        <v>9985500</v>
      </c>
      <c r="AJ82" s="181">
        <f t="shared" si="37"/>
        <v>47.324644549763036</v>
      </c>
      <c r="AK82" s="180">
        <f t="shared" si="40"/>
        <v>11114500</v>
      </c>
      <c r="AL82" s="181">
        <f t="shared" si="38"/>
        <v>52.675355450236971</v>
      </c>
      <c r="AM82" s="243"/>
    </row>
    <row r="83" spans="1:39" s="297" customFormat="1" ht="29.25" customHeight="1" x14ac:dyDescent="0.25">
      <c r="A83" s="227">
        <f>A81+1</f>
        <v>8</v>
      </c>
      <c r="B83" s="415"/>
      <c r="C83" s="415"/>
      <c r="D83" s="415"/>
      <c r="E83" s="415"/>
      <c r="F83" s="415"/>
      <c r="G83" s="415"/>
      <c r="H83" s="415"/>
      <c r="I83" s="414"/>
      <c r="J83" s="415" t="s">
        <v>449</v>
      </c>
      <c r="K83" s="230"/>
      <c r="L83" s="294"/>
      <c r="M83" s="615" t="s">
        <v>196</v>
      </c>
      <c r="N83" s="614"/>
      <c r="O83" s="300"/>
      <c r="P83" s="231"/>
      <c r="Q83" s="231">
        <f>SUM(Q84:Q85)</f>
        <v>36200000</v>
      </c>
      <c r="R83" s="233">
        <f>Q83/Q$59*100</f>
        <v>1.4331447416202823</v>
      </c>
      <c r="S83" s="233">
        <v>100</v>
      </c>
      <c r="T83" s="231">
        <f t="shared" si="33"/>
        <v>52.872928176795575</v>
      </c>
      <c r="U83" s="231">
        <f t="shared" si="34"/>
        <v>0.75774558990641439</v>
      </c>
      <c r="V83" s="296">
        <f t="shared" si="35"/>
        <v>47.127071823204425</v>
      </c>
      <c r="W83" s="231"/>
      <c r="X83" s="231" t="e">
        <f>#REF!</f>
        <v>#REF!</v>
      </c>
      <c r="Y83" s="231" t="e">
        <f>#REF!</f>
        <v>#REF!</v>
      </c>
      <c r="Z83" s="231" t="e">
        <f>#REF!</f>
        <v>#REF!</v>
      </c>
      <c r="AA83" s="231" t="e">
        <f>#REF!</f>
        <v>#REF!</v>
      </c>
      <c r="AB83" s="231">
        <v>12597300</v>
      </c>
      <c r="AC83" s="231" t="e">
        <f>#REF!</f>
        <v>#REF!</v>
      </c>
      <c r="AD83" s="231" t="e">
        <f>#REF!</f>
        <v>#REF!</v>
      </c>
      <c r="AE83" s="231" t="e">
        <f>#REF!</f>
        <v>#REF!</v>
      </c>
      <c r="AF83" s="231" t="e">
        <f>[1]April!N28</f>
        <v>#REF!</v>
      </c>
      <c r="AG83" s="231">
        <v>27808300</v>
      </c>
      <c r="AH83" s="231">
        <f>'[3]DES SKPD'!$N28</f>
        <v>46904000</v>
      </c>
      <c r="AI83" s="231">
        <f>SUM(AI84:AI85)</f>
        <v>19140000</v>
      </c>
      <c r="AJ83" s="233">
        <f t="shared" si="37"/>
        <v>52.872928176795575</v>
      </c>
      <c r="AK83" s="231">
        <f t="shared" si="40"/>
        <v>17060000</v>
      </c>
      <c r="AL83" s="233">
        <f t="shared" si="38"/>
        <v>47.127071823204417</v>
      </c>
      <c r="AM83" s="227"/>
    </row>
    <row r="84" spans="1:39" s="297" customFormat="1" ht="24.75" customHeight="1" x14ac:dyDescent="0.25">
      <c r="A84" s="227"/>
      <c r="B84" s="415"/>
      <c r="C84" s="415"/>
      <c r="D84" s="415"/>
      <c r="E84" s="415"/>
      <c r="F84" s="415"/>
      <c r="G84" s="415"/>
      <c r="H84" s="415"/>
      <c r="I84" s="414"/>
      <c r="J84" s="410" t="s">
        <v>411</v>
      </c>
      <c r="K84" s="230"/>
      <c r="L84" s="294"/>
      <c r="M84" s="597" t="s">
        <v>412</v>
      </c>
      <c r="N84" s="598"/>
      <c r="O84" s="300"/>
      <c r="P84" s="231"/>
      <c r="Q84" s="180">
        <v>17000000</v>
      </c>
      <c r="R84" s="181">
        <f>Q84/Q$83*100</f>
        <v>46.961325966850829</v>
      </c>
      <c r="S84" s="181">
        <v>100</v>
      </c>
      <c r="T84" s="180">
        <f t="shared" si="33"/>
        <v>0</v>
      </c>
      <c r="U84" s="180">
        <f t="shared" si="34"/>
        <v>0</v>
      </c>
      <c r="V84" s="182">
        <f t="shared" si="35"/>
        <v>100</v>
      </c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231"/>
      <c r="AH84" s="180"/>
      <c r="AI84" s="180">
        <v>0</v>
      </c>
      <c r="AJ84" s="181">
        <f t="shared" si="37"/>
        <v>0</v>
      </c>
      <c r="AK84" s="180">
        <f t="shared" si="40"/>
        <v>17000000</v>
      </c>
      <c r="AL84" s="181">
        <f t="shared" si="38"/>
        <v>100</v>
      </c>
      <c r="AM84" s="227"/>
    </row>
    <row r="85" spans="1:39" ht="24.75" customHeight="1" x14ac:dyDescent="0.25">
      <c r="A85" s="243"/>
      <c r="B85" s="410"/>
      <c r="C85" s="410"/>
      <c r="D85" s="410"/>
      <c r="E85" s="410"/>
      <c r="F85" s="410"/>
      <c r="G85" s="410"/>
      <c r="H85" s="410"/>
      <c r="I85" s="411"/>
      <c r="J85" s="410" t="s">
        <v>546</v>
      </c>
      <c r="K85" s="245"/>
      <c r="L85" s="257"/>
      <c r="M85" s="597" t="s">
        <v>431</v>
      </c>
      <c r="N85" s="598"/>
      <c r="O85" s="301"/>
      <c r="P85" s="180"/>
      <c r="Q85" s="180">
        <v>19200000</v>
      </c>
      <c r="R85" s="181">
        <f>Q85/Q$83*100</f>
        <v>53.038674033149171</v>
      </c>
      <c r="S85" s="181">
        <v>100</v>
      </c>
      <c r="T85" s="180">
        <f t="shared" si="33"/>
        <v>99.6875</v>
      </c>
      <c r="U85" s="180">
        <f t="shared" si="34"/>
        <v>52.872928176795575</v>
      </c>
      <c r="V85" s="182">
        <f t="shared" si="35"/>
        <v>0.3125</v>
      </c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231"/>
      <c r="AH85" s="180"/>
      <c r="AI85" s="180">
        <v>19140000</v>
      </c>
      <c r="AJ85" s="181">
        <f t="shared" si="37"/>
        <v>99.6875</v>
      </c>
      <c r="AK85" s="180">
        <f t="shared" si="40"/>
        <v>60000</v>
      </c>
      <c r="AL85" s="181">
        <f t="shared" si="38"/>
        <v>0.3125</v>
      </c>
      <c r="AM85" s="243"/>
    </row>
    <row r="86" spans="1:39" s="297" customFormat="1" ht="31.5" customHeight="1" x14ac:dyDescent="0.25">
      <c r="A86" s="227">
        <f>A83+1</f>
        <v>9</v>
      </c>
      <c r="B86" s="615" t="s">
        <v>121</v>
      </c>
      <c r="C86" s="615"/>
      <c r="D86" s="615"/>
      <c r="E86" s="615"/>
      <c r="F86" s="615"/>
      <c r="G86" s="615"/>
      <c r="H86" s="615"/>
      <c r="I86" s="614"/>
      <c r="J86" s="415" t="s">
        <v>450</v>
      </c>
      <c r="K86" s="230"/>
      <c r="L86" s="294"/>
      <c r="M86" s="615" t="s">
        <v>19</v>
      </c>
      <c r="N86" s="614"/>
      <c r="O86" s="295">
        <v>50800000</v>
      </c>
      <c r="P86" s="231">
        <f>O86</f>
        <v>50800000</v>
      </c>
      <c r="Q86" s="302">
        <f>SUM(Q87:Q88)</f>
        <v>42270000</v>
      </c>
      <c r="R86" s="233">
        <f>Q86/Q$59*100</f>
        <v>1.6734538184610313</v>
      </c>
      <c r="S86" s="233">
        <v>100</v>
      </c>
      <c r="T86" s="231">
        <f t="shared" si="33"/>
        <v>22.214336408800566</v>
      </c>
      <c r="U86" s="231">
        <f t="shared" si="34"/>
        <v>0.37174666087885222</v>
      </c>
      <c r="V86" s="296">
        <f t="shared" si="35"/>
        <v>77.785663591199437</v>
      </c>
      <c r="W86" s="231"/>
      <c r="X86" s="231" t="e">
        <f>#REF!</f>
        <v>#REF!</v>
      </c>
      <c r="Y86" s="231" t="e">
        <f>#REF!</f>
        <v>#REF!</v>
      </c>
      <c r="Z86" s="231" t="e">
        <f>#REF!</f>
        <v>#REF!</v>
      </c>
      <c r="AA86" s="231" t="e">
        <f>#REF!</f>
        <v>#REF!</v>
      </c>
      <c r="AB86" s="231">
        <v>23113500</v>
      </c>
      <c r="AC86" s="231" t="e">
        <f>#REF!</f>
        <v>#REF!</v>
      </c>
      <c r="AD86" s="231" t="e">
        <f>#REF!</f>
        <v>#REF!</v>
      </c>
      <c r="AE86" s="231" t="e">
        <f>#REF!</f>
        <v>#REF!</v>
      </c>
      <c r="AF86" s="231" t="e">
        <f>[1]April!N28</f>
        <v>#REF!</v>
      </c>
      <c r="AG86" s="231" t="e">
        <f>[2]april!N28</f>
        <v>#REF!</v>
      </c>
      <c r="AH86" s="231">
        <f>'[3]DES SKPD'!$N28</f>
        <v>46904000</v>
      </c>
      <c r="AI86" s="231">
        <f>SUM(AI87:AI88)</f>
        <v>9390000</v>
      </c>
      <c r="AJ86" s="233">
        <f t="shared" si="37"/>
        <v>22.214336408800566</v>
      </c>
      <c r="AK86" s="231">
        <f t="shared" si="40"/>
        <v>32880000</v>
      </c>
      <c r="AL86" s="233">
        <f t="shared" si="38"/>
        <v>77.785663591199423</v>
      </c>
      <c r="AM86" s="227"/>
    </row>
    <row r="87" spans="1:39" ht="24.75" customHeight="1" x14ac:dyDescent="0.25">
      <c r="A87" s="243"/>
      <c r="B87" s="410"/>
      <c r="C87" s="410"/>
      <c r="D87" s="410"/>
      <c r="E87" s="410"/>
      <c r="F87" s="410"/>
      <c r="G87" s="410"/>
      <c r="H87" s="410"/>
      <c r="I87" s="411"/>
      <c r="J87" s="410" t="s">
        <v>276</v>
      </c>
      <c r="K87" s="245"/>
      <c r="L87" s="257"/>
      <c r="M87" s="597" t="s">
        <v>277</v>
      </c>
      <c r="N87" s="598"/>
      <c r="O87" s="299"/>
      <c r="P87" s="180"/>
      <c r="Q87" s="180">
        <v>37600000</v>
      </c>
      <c r="R87" s="181">
        <f>Q87/Q$86*100</f>
        <v>88.951975396262128</v>
      </c>
      <c r="S87" s="181">
        <v>100</v>
      </c>
      <c r="T87" s="180">
        <f t="shared" si="33"/>
        <v>24.973404255319149</v>
      </c>
      <c r="U87" s="180">
        <f t="shared" si="34"/>
        <v>22.21433640880057</v>
      </c>
      <c r="V87" s="182">
        <f t="shared" si="35"/>
        <v>75.026595744680847</v>
      </c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>
        <f>3130000+6260000</f>
        <v>9390000</v>
      </c>
      <c r="AJ87" s="181">
        <f t="shared" si="37"/>
        <v>24.973404255319149</v>
      </c>
      <c r="AK87" s="180">
        <f t="shared" si="40"/>
        <v>28210000</v>
      </c>
      <c r="AL87" s="181">
        <f t="shared" si="38"/>
        <v>75.026595744680847</v>
      </c>
      <c r="AM87" s="243"/>
    </row>
    <row r="88" spans="1:39" ht="39.75" customHeight="1" x14ac:dyDescent="0.25">
      <c r="A88" s="243"/>
      <c r="B88" s="410"/>
      <c r="C88" s="410"/>
      <c r="D88" s="410"/>
      <c r="E88" s="410"/>
      <c r="F88" s="410"/>
      <c r="G88" s="410"/>
      <c r="H88" s="410"/>
      <c r="I88" s="411"/>
      <c r="J88" s="410" t="s">
        <v>432</v>
      </c>
      <c r="K88" s="245"/>
      <c r="L88" s="257"/>
      <c r="M88" s="597" t="s">
        <v>433</v>
      </c>
      <c r="N88" s="598"/>
      <c r="O88" s="299"/>
      <c r="P88" s="180"/>
      <c r="Q88" s="180">
        <v>4670000</v>
      </c>
      <c r="R88" s="181">
        <f>Q88/Q$86*100</f>
        <v>11.048024603737876</v>
      </c>
      <c r="S88" s="181">
        <v>100</v>
      </c>
      <c r="T88" s="180">
        <f t="shared" si="33"/>
        <v>0</v>
      </c>
      <c r="U88" s="180">
        <f t="shared" si="34"/>
        <v>0</v>
      </c>
      <c r="V88" s="182">
        <f t="shared" si="35"/>
        <v>100</v>
      </c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>
        <v>0</v>
      </c>
      <c r="AJ88" s="181">
        <f t="shared" si="37"/>
        <v>0</v>
      </c>
      <c r="AK88" s="180">
        <f t="shared" si="40"/>
        <v>4670000</v>
      </c>
      <c r="AL88" s="181">
        <f t="shared" si="38"/>
        <v>100</v>
      </c>
      <c r="AM88" s="243"/>
    </row>
    <row r="89" spans="1:39" s="297" customFormat="1" ht="30.75" customHeight="1" x14ac:dyDescent="0.25">
      <c r="A89" s="227">
        <f>A86+1</f>
        <v>10</v>
      </c>
      <c r="B89" s="615" t="s">
        <v>122</v>
      </c>
      <c r="C89" s="615"/>
      <c r="D89" s="615"/>
      <c r="E89" s="615"/>
      <c r="F89" s="615"/>
      <c r="G89" s="615"/>
      <c r="H89" s="615"/>
      <c r="I89" s="614"/>
      <c r="J89" s="415" t="s">
        <v>451</v>
      </c>
      <c r="K89" s="230"/>
      <c r="L89" s="294"/>
      <c r="M89" s="615" t="s">
        <v>20</v>
      </c>
      <c r="N89" s="614"/>
      <c r="O89" s="295">
        <v>124190000</v>
      </c>
      <c r="P89" s="231">
        <f>O89</f>
        <v>124190000</v>
      </c>
      <c r="Q89" s="231">
        <f>SUM(Q90:Q91)</f>
        <v>118340000</v>
      </c>
      <c r="R89" s="233">
        <f>Q89/Q$59*100</f>
        <v>4.6850372575509454</v>
      </c>
      <c r="S89" s="233">
        <v>100</v>
      </c>
      <c r="T89" s="231">
        <f>AJ89</f>
        <v>32.533378401216837</v>
      </c>
      <c r="U89" s="231">
        <f t="shared" si="34"/>
        <v>1.5242008992370411</v>
      </c>
      <c r="V89" s="296">
        <f t="shared" si="35"/>
        <v>67.466621598783163</v>
      </c>
      <c r="W89" s="231"/>
      <c r="X89" s="231" t="e">
        <f>#REF!</f>
        <v>#REF!</v>
      </c>
      <c r="Y89" s="231" t="e">
        <f>#REF!</f>
        <v>#REF!</v>
      </c>
      <c r="Z89" s="231" t="e">
        <f>#REF!</f>
        <v>#REF!</v>
      </c>
      <c r="AA89" s="231" t="e">
        <f>#REF!</f>
        <v>#REF!</v>
      </c>
      <c r="AB89" s="231">
        <v>53635000</v>
      </c>
      <c r="AC89" s="231" t="e">
        <f>#REF!</f>
        <v>#REF!</v>
      </c>
      <c r="AD89" s="231" t="e">
        <f>#REF!</f>
        <v>#REF!</v>
      </c>
      <c r="AE89" s="231" t="e">
        <f>#REF!</f>
        <v>#REF!</v>
      </c>
      <c r="AF89" s="231" t="e">
        <f>[1]April!N29</f>
        <v>#REF!</v>
      </c>
      <c r="AG89" s="231" t="e">
        <f>[2]april!N29</f>
        <v>#REF!</v>
      </c>
      <c r="AH89" s="231">
        <f>'[3]DES SKPD'!$N29</f>
        <v>138020848</v>
      </c>
      <c r="AI89" s="231">
        <f>SUM(AI90:AI91)</f>
        <v>38500000</v>
      </c>
      <c r="AJ89" s="233">
        <f t="shared" si="37"/>
        <v>32.533378401216837</v>
      </c>
      <c r="AK89" s="231">
        <f t="shared" si="40"/>
        <v>79840000</v>
      </c>
      <c r="AL89" s="233">
        <f t="shared" si="38"/>
        <v>67.466621598783178</v>
      </c>
      <c r="AM89" s="227"/>
    </row>
    <row r="90" spans="1:39" ht="32.25" customHeight="1" x14ac:dyDescent="0.25">
      <c r="A90" s="243"/>
      <c r="B90" s="410"/>
      <c r="C90" s="410"/>
      <c r="D90" s="410"/>
      <c r="E90" s="410"/>
      <c r="F90" s="410"/>
      <c r="G90" s="410"/>
      <c r="H90" s="410"/>
      <c r="I90" s="411"/>
      <c r="J90" s="410" t="s">
        <v>278</v>
      </c>
      <c r="K90" s="245"/>
      <c r="L90" s="257"/>
      <c r="M90" s="597" t="s">
        <v>279</v>
      </c>
      <c r="N90" s="598"/>
      <c r="O90" s="299"/>
      <c r="P90" s="180"/>
      <c r="Q90" s="180">
        <v>54000000</v>
      </c>
      <c r="R90" s="181">
        <f>Q90/Q$89*100</f>
        <v>45.631232043265172</v>
      </c>
      <c r="S90" s="181">
        <v>100</v>
      </c>
      <c r="T90" s="180">
        <f>AJ90</f>
        <v>35.185185185185183</v>
      </c>
      <c r="U90" s="180">
        <f t="shared" si="34"/>
        <v>16.05543349670441</v>
      </c>
      <c r="V90" s="182">
        <f t="shared" si="35"/>
        <v>64.81481481481481</v>
      </c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>
        <f>9500000+9500000</f>
        <v>19000000</v>
      </c>
      <c r="AJ90" s="181">
        <f t="shared" si="37"/>
        <v>35.185185185185183</v>
      </c>
      <c r="AK90" s="180">
        <f t="shared" si="40"/>
        <v>35000000</v>
      </c>
      <c r="AL90" s="181">
        <f t="shared" si="38"/>
        <v>64.81481481481481</v>
      </c>
      <c r="AM90" s="243"/>
    </row>
    <row r="91" spans="1:39" ht="24.75" customHeight="1" x14ac:dyDescent="0.25">
      <c r="A91" s="243"/>
      <c r="B91" s="410"/>
      <c r="C91" s="410"/>
      <c r="D91" s="410"/>
      <c r="E91" s="410"/>
      <c r="F91" s="410"/>
      <c r="G91" s="410"/>
      <c r="H91" s="410"/>
      <c r="I91" s="411"/>
      <c r="J91" s="410" t="s">
        <v>280</v>
      </c>
      <c r="K91" s="245"/>
      <c r="L91" s="257"/>
      <c r="M91" s="597" t="s">
        <v>281</v>
      </c>
      <c r="N91" s="598"/>
      <c r="O91" s="299"/>
      <c r="P91" s="180"/>
      <c r="Q91" s="180">
        <v>64340000</v>
      </c>
      <c r="R91" s="181">
        <f>Q91/Q$89*100</f>
        <v>54.368767956734828</v>
      </c>
      <c r="S91" s="181">
        <v>100</v>
      </c>
      <c r="T91" s="180">
        <f>AJ91</f>
        <v>30.307740130556422</v>
      </c>
      <c r="U91" s="180">
        <f t="shared" si="34"/>
        <v>16.477944904512423</v>
      </c>
      <c r="V91" s="182">
        <f t="shared" si="35"/>
        <v>69.692259869443575</v>
      </c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>
        <f>14000000+5500000</f>
        <v>19500000</v>
      </c>
      <c r="AJ91" s="181">
        <f t="shared" si="37"/>
        <v>30.307740130556422</v>
      </c>
      <c r="AK91" s="180">
        <f t="shared" si="40"/>
        <v>44840000</v>
      </c>
      <c r="AL91" s="181">
        <f t="shared" si="38"/>
        <v>69.692259869443589</v>
      </c>
      <c r="AM91" s="243"/>
    </row>
    <row r="92" spans="1:39" s="297" customFormat="1" ht="31.5" customHeight="1" x14ac:dyDescent="0.25">
      <c r="A92" s="227">
        <f>A89+1</f>
        <v>11</v>
      </c>
      <c r="B92" s="615" t="s">
        <v>123</v>
      </c>
      <c r="C92" s="615"/>
      <c r="D92" s="615"/>
      <c r="E92" s="615"/>
      <c r="F92" s="615"/>
      <c r="G92" s="615"/>
      <c r="H92" s="615"/>
      <c r="I92" s="614"/>
      <c r="J92" s="415" t="s">
        <v>452</v>
      </c>
      <c r="K92" s="230"/>
      <c r="L92" s="294"/>
      <c r="M92" s="615" t="s">
        <v>21</v>
      </c>
      <c r="N92" s="614"/>
      <c r="O92" s="295">
        <v>517929000</v>
      </c>
      <c r="P92" s="231">
        <f>O92</f>
        <v>517929000</v>
      </c>
      <c r="Q92" s="231">
        <f>SUM(Q93:Q93)</f>
        <v>483349844</v>
      </c>
      <c r="R92" s="233">
        <f>Q92/Q$59*100</f>
        <v>19.135643295347617</v>
      </c>
      <c r="S92" s="233">
        <v>100</v>
      </c>
      <c r="T92" s="231">
        <f t="shared" si="33"/>
        <v>38.671165889524936</v>
      </c>
      <c r="U92" s="231">
        <f>R92*T92/100</f>
        <v>7.3999763627716337</v>
      </c>
      <c r="V92" s="296">
        <f t="shared" si="35"/>
        <v>61.328834110475064</v>
      </c>
      <c r="W92" s="231"/>
      <c r="X92" s="231" t="e">
        <f>#REF!</f>
        <v>#REF!</v>
      </c>
      <c r="Y92" s="231" t="e">
        <f>#REF!</f>
        <v>#REF!</v>
      </c>
      <c r="Z92" s="231" t="e">
        <f>#REF!</f>
        <v>#REF!</v>
      </c>
      <c r="AA92" s="231" t="e">
        <f>#REF!</f>
        <v>#REF!</v>
      </c>
      <c r="AB92" s="231">
        <v>317394150</v>
      </c>
      <c r="AC92" s="231" t="e">
        <f>#REF!</f>
        <v>#REF!</v>
      </c>
      <c r="AD92" s="231" t="e">
        <f>#REF!</f>
        <v>#REF!</v>
      </c>
      <c r="AE92" s="231" t="e">
        <f>#REF!</f>
        <v>#REF!</v>
      </c>
      <c r="AF92" s="231" t="e">
        <f>[1]April!N30</f>
        <v>#REF!</v>
      </c>
      <c r="AG92" s="231" t="e">
        <f>[2]april!N30</f>
        <v>#REF!</v>
      </c>
      <c r="AH92" s="231">
        <f>'[3]DES SKPD'!$N30</f>
        <v>660543350</v>
      </c>
      <c r="AI92" s="231">
        <f>SUM(AI93:AI93)</f>
        <v>186917020</v>
      </c>
      <c r="AJ92" s="233">
        <f t="shared" si="37"/>
        <v>38.671165889524936</v>
      </c>
      <c r="AK92" s="231">
        <f t="shared" si="40"/>
        <v>296432824</v>
      </c>
      <c r="AL92" s="233">
        <f t="shared" si="38"/>
        <v>61.328834110475064</v>
      </c>
      <c r="AM92" s="227"/>
    </row>
    <row r="93" spans="1:39" ht="26.25" customHeight="1" x14ac:dyDescent="0.25">
      <c r="A93" s="243"/>
      <c r="B93" s="410"/>
      <c r="C93" s="410"/>
      <c r="D93" s="410"/>
      <c r="E93" s="410"/>
      <c r="F93" s="410"/>
      <c r="G93" s="410"/>
      <c r="H93" s="410"/>
      <c r="I93" s="411"/>
      <c r="J93" s="410" t="s">
        <v>282</v>
      </c>
      <c r="K93" s="245"/>
      <c r="L93" s="257"/>
      <c r="M93" s="597" t="s">
        <v>283</v>
      </c>
      <c r="N93" s="598"/>
      <c r="O93" s="299"/>
      <c r="P93" s="180"/>
      <c r="Q93" s="180">
        <v>483349844</v>
      </c>
      <c r="R93" s="181">
        <f>Q93/Q$92*100</f>
        <v>100</v>
      </c>
      <c r="S93" s="181">
        <v>100</v>
      </c>
      <c r="T93" s="180">
        <f t="shared" si="33"/>
        <v>38.671165889524936</v>
      </c>
      <c r="U93" s="180">
        <f>R93*T93/100</f>
        <v>38.671165889524936</v>
      </c>
      <c r="V93" s="182">
        <f t="shared" si="35"/>
        <v>61.328834110475064</v>
      </c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>
        <f>50584820+136332200</f>
        <v>186917020</v>
      </c>
      <c r="AJ93" s="181">
        <f t="shared" si="37"/>
        <v>38.671165889524936</v>
      </c>
      <c r="AK93" s="180">
        <f t="shared" si="40"/>
        <v>296432824</v>
      </c>
      <c r="AL93" s="181">
        <f t="shared" si="38"/>
        <v>61.328834110475064</v>
      </c>
      <c r="AM93" s="243"/>
    </row>
    <row r="94" spans="1:39" s="297" customFormat="1" ht="30.75" customHeight="1" x14ac:dyDescent="0.25">
      <c r="A94" s="227">
        <f>A92+1</f>
        <v>12</v>
      </c>
      <c r="B94" s="615" t="s">
        <v>124</v>
      </c>
      <c r="C94" s="615"/>
      <c r="D94" s="615"/>
      <c r="E94" s="615"/>
      <c r="F94" s="615"/>
      <c r="G94" s="615"/>
      <c r="H94" s="615"/>
      <c r="I94" s="614"/>
      <c r="J94" s="415" t="s">
        <v>453</v>
      </c>
      <c r="K94" s="230"/>
      <c r="L94" s="294"/>
      <c r="M94" s="615" t="s">
        <v>22</v>
      </c>
      <c r="N94" s="614"/>
      <c r="O94" s="295">
        <v>17600000</v>
      </c>
      <c r="P94" s="231">
        <f>O94</f>
        <v>17600000</v>
      </c>
      <c r="Q94" s="231">
        <f>SUM(Q95:Q95)</f>
        <v>31400000</v>
      </c>
      <c r="R94" s="233">
        <f>Q94/Q$59*100</f>
        <v>1.2431144996374826</v>
      </c>
      <c r="S94" s="233">
        <v>100</v>
      </c>
      <c r="T94" s="231">
        <f t="shared" si="33"/>
        <v>0</v>
      </c>
      <c r="U94" s="231">
        <f t="shared" si="34"/>
        <v>0</v>
      </c>
      <c r="V94" s="296">
        <f t="shared" si="35"/>
        <v>100</v>
      </c>
      <c r="W94" s="231"/>
      <c r="X94" s="231" t="e">
        <f>#REF!</f>
        <v>#REF!</v>
      </c>
      <c r="Y94" s="231" t="e">
        <f>#REF!</f>
        <v>#REF!</v>
      </c>
      <c r="Z94" s="231" t="e">
        <f>#REF!</f>
        <v>#REF!</v>
      </c>
      <c r="AA94" s="231" t="e">
        <f>#REF!</f>
        <v>#REF!</v>
      </c>
      <c r="AB94" s="231">
        <v>13150000</v>
      </c>
      <c r="AC94" s="231" t="e">
        <f>#REF!</f>
        <v>#REF!</v>
      </c>
      <c r="AD94" s="231" t="e">
        <f>#REF!</f>
        <v>#REF!</v>
      </c>
      <c r="AE94" s="231" t="e">
        <f>#REF!</f>
        <v>#REF!</v>
      </c>
      <c r="AF94" s="231" t="e">
        <f>[1]April!N31</f>
        <v>#REF!</v>
      </c>
      <c r="AG94" s="231" t="e">
        <f>[2]april!N31</f>
        <v>#REF!</v>
      </c>
      <c r="AH94" s="231">
        <f>'[3]DES SKPD'!$N31</f>
        <v>27445000</v>
      </c>
      <c r="AI94" s="231">
        <f>SUM(AI95:AI95)</f>
        <v>0</v>
      </c>
      <c r="AJ94" s="233">
        <f t="shared" si="37"/>
        <v>0</v>
      </c>
      <c r="AK94" s="231">
        <f t="shared" si="40"/>
        <v>31400000</v>
      </c>
      <c r="AL94" s="233">
        <f t="shared" si="38"/>
        <v>100</v>
      </c>
      <c r="AM94" s="227"/>
    </row>
    <row r="95" spans="1:39" ht="26.25" customHeight="1" x14ac:dyDescent="0.25">
      <c r="A95" s="243"/>
      <c r="B95" s="410"/>
      <c r="C95" s="410"/>
      <c r="D95" s="410"/>
      <c r="E95" s="410"/>
      <c r="F95" s="410"/>
      <c r="G95" s="410"/>
      <c r="H95" s="410"/>
      <c r="I95" s="411"/>
      <c r="J95" s="410" t="s">
        <v>284</v>
      </c>
      <c r="K95" s="245"/>
      <c r="L95" s="257"/>
      <c r="M95" s="597" t="s">
        <v>285</v>
      </c>
      <c r="N95" s="598"/>
      <c r="O95" s="299"/>
      <c r="P95" s="180"/>
      <c r="Q95" s="180">
        <v>31400000</v>
      </c>
      <c r="R95" s="181">
        <f>Q95/Q$94*100</f>
        <v>100</v>
      </c>
      <c r="S95" s="181">
        <v>100</v>
      </c>
      <c r="T95" s="180">
        <f t="shared" si="33"/>
        <v>0</v>
      </c>
      <c r="U95" s="180">
        <f>R95*T95/100</f>
        <v>0</v>
      </c>
      <c r="V95" s="182">
        <f t="shared" si="35"/>
        <v>100</v>
      </c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>
        <v>0</v>
      </c>
      <c r="AJ95" s="181">
        <f t="shared" si="37"/>
        <v>0</v>
      </c>
      <c r="AK95" s="180">
        <f t="shared" si="40"/>
        <v>31400000</v>
      </c>
      <c r="AL95" s="181">
        <f t="shared" si="38"/>
        <v>100</v>
      </c>
      <c r="AM95" s="243"/>
    </row>
    <row r="96" spans="1:39" ht="26.25" customHeight="1" x14ac:dyDescent="0.25">
      <c r="A96" s="227">
        <f>A94+1</f>
        <v>13</v>
      </c>
      <c r="B96" s="615" t="s">
        <v>124</v>
      </c>
      <c r="C96" s="615"/>
      <c r="D96" s="615"/>
      <c r="E96" s="615"/>
      <c r="F96" s="615"/>
      <c r="G96" s="615"/>
      <c r="H96" s="615"/>
      <c r="I96" s="614"/>
      <c r="J96" s="415" t="s">
        <v>547</v>
      </c>
      <c r="K96" s="230"/>
      <c r="L96" s="294"/>
      <c r="M96" s="615" t="s">
        <v>548</v>
      </c>
      <c r="N96" s="614"/>
      <c r="O96" s="295">
        <v>17600000</v>
      </c>
      <c r="P96" s="231">
        <f>O96</f>
        <v>17600000</v>
      </c>
      <c r="Q96" s="231">
        <f>SUM(Q97:Q109)</f>
        <v>71640000</v>
      </c>
      <c r="R96" s="233">
        <f>Q96/Q$59*100</f>
        <v>2.8362013615932877</v>
      </c>
      <c r="S96" s="233">
        <v>100</v>
      </c>
      <c r="T96" s="231">
        <f t="shared" si="33"/>
        <v>21.929089893914014</v>
      </c>
      <c r="U96" s="231">
        <f t="shared" ref="U96" si="41">R96*T96/100</f>
        <v>0.62195314615620534</v>
      </c>
      <c r="V96" s="296">
        <f t="shared" si="35"/>
        <v>78.070910106085989</v>
      </c>
      <c r="W96" s="231"/>
      <c r="X96" s="231" t="e">
        <f>#REF!</f>
        <v>#REF!</v>
      </c>
      <c r="Y96" s="231" t="e">
        <f>#REF!</f>
        <v>#REF!</v>
      </c>
      <c r="Z96" s="231" t="e">
        <f>#REF!</f>
        <v>#REF!</v>
      </c>
      <c r="AA96" s="231" t="e">
        <f>#REF!</f>
        <v>#REF!</v>
      </c>
      <c r="AB96" s="231">
        <v>13150000</v>
      </c>
      <c r="AC96" s="231" t="e">
        <f>#REF!</f>
        <v>#REF!</v>
      </c>
      <c r="AD96" s="231" t="e">
        <f>#REF!</f>
        <v>#REF!</v>
      </c>
      <c r="AE96" s="231" t="e">
        <f>#REF!</f>
        <v>#REF!</v>
      </c>
      <c r="AF96" s="231" t="e">
        <f>[1]April!N33</f>
        <v>#REF!</v>
      </c>
      <c r="AG96" s="231" t="e">
        <f>[2]april!N33</f>
        <v>#REF!</v>
      </c>
      <c r="AH96" s="231" t="e">
        <f>'[3]DES SKPD'!$N33</f>
        <v>#REF!</v>
      </c>
      <c r="AI96" s="231">
        <f>SUM(AI97:AI109)</f>
        <v>15710000</v>
      </c>
      <c r="AJ96" s="233">
        <f t="shared" si="37"/>
        <v>21.929089893914014</v>
      </c>
      <c r="AK96" s="231">
        <f t="shared" si="40"/>
        <v>55930000</v>
      </c>
      <c r="AL96" s="233">
        <f t="shared" si="38"/>
        <v>78.070910106085989</v>
      </c>
      <c r="AM96" s="227"/>
    </row>
    <row r="97" spans="1:39" ht="26.25" customHeight="1" x14ac:dyDescent="0.25">
      <c r="A97" s="243"/>
      <c r="B97" s="410"/>
      <c r="C97" s="410"/>
      <c r="D97" s="410"/>
      <c r="E97" s="410"/>
      <c r="F97" s="410"/>
      <c r="G97" s="410"/>
      <c r="H97" s="410"/>
      <c r="I97" s="411"/>
      <c r="J97" s="410" t="s">
        <v>265</v>
      </c>
      <c r="K97" s="245"/>
      <c r="L97" s="257"/>
      <c r="M97" s="597" t="s">
        <v>266</v>
      </c>
      <c r="N97" s="598"/>
      <c r="O97" s="299"/>
      <c r="P97" s="180"/>
      <c r="Q97" s="180">
        <v>12590000</v>
      </c>
      <c r="R97" s="181">
        <f>Q97/Q$94*100</f>
        <v>40.095541401273884</v>
      </c>
      <c r="S97" s="181">
        <v>100</v>
      </c>
      <c r="T97" s="180">
        <f t="shared" si="33"/>
        <v>52.343129467831616</v>
      </c>
      <c r="U97" s="180">
        <f>R97*T97/100</f>
        <v>20.987261146496817</v>
      </c>
      <c r="V97" s="182">
        <f t="shared" si="35"/>
        <v>47.656870532168384</v>
      </c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>
        <f>3000000+3590000</f>
        <v>6590000</v>
      </c>
      <c r="AJ97" s="181">
        <f t="shared" si="37"/>
        <v>52.343129467831616</v>
      </c>
      <c r="AK97" s="180">
        <f t="shared" si="40"/>
        <v>6000000</v>
      </c>
      <c r="AL97" s="181">
        <f t="shared" si="38"/>
        <v>47.656870532168391</v>
      </c>
      <c r="AM97" s="243"/>
    </row>
    <row r="98" spans="1:39" ht="26.25" customHeight="1" x14ac:dyDescent="0.25">
      <c r="A98" s="243"/>
      <c r="B98" s="410"/>
      <c r="C98" s="410"/>
      <c r="D98" s="410"/>
      <c r="E98" s="410"/>
      <c r="F98" s="410"/>
      <c r="G98" s="410"/>
      <c r="H98" s="410"/>
      <c r="I98" s="411"/>
      <c r="J98" s="410" t="s">
        <v>272</v>
      </c>
      <c r="K98" s="245"/>
      <c r="L98" s="257"/>
      <c r="M98" s="597" t="s">
        <v>429</v>
      </c>
      <c r="N98" s="598"/>
      <c r="O98" s="299"/>
      <c r="P98" s="180"/>
      <c r="Q98" s="180">
        <v>3000000</v>
      </c>
      <c r="R98" s="181">
        <f t="shared" ref="R98:R109" si="42">Q98/Q$94*100</f>
        <v>9.5541401273885356</v>
      </c>
      <c r="S98" s="181">
        <v>100</v>
      </c>
      <c r="T98" s="180">
        <f t="shared" si="33"/>
        <v>25</v>
      </c>
      <c r="U98" s="180">
        <f t="shared" ref="U98:U110" si="43">R98*T98/100</f>
        <v>2.3885350318471339</v>
      </c>
      <c r="V98" s="182">
        <f t="shared" si="35"/>
        <v>75</v>
      </c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>
        <v>750000</v>
      </c>
      <c r="AJ98" s="181">
        <f t="shared" si="37"/>
        <v>25</v>
      </c>
      <c r="AK98" s="180">
        <f t="shared" si="40"/>
        <v>2250000</v>
      </c>
      <c r="AL98" s="181">
        <f t="shared" si="38"/>
        <v>75</v>
      </c>
      <c r="AM98" s="243"/>
    </row>
    <row r="99" spans="1:39" ht="26.25" customHeight="1" x14ac:dyDescent="0.25">
      <c r="A99" s="243"/>
      <c r="B99" s="410"/>
      <c r="C99" s="410"/>
      <c r="D99" s="410"/>
      <c r="E99" s="410"/>
      <c r="F99" s="410"/>
      <c r="G99" s="410"/>
      <c r="H99" s="410"/>
      <c r="I99" s="411"/>
      <c r="J99" s="410" t="s">
        <v>249</v>
      </c>
      <c r="K99" s="245"/>
      <c r="L99" s="257"/>
      <c r="M99" s="597" t="s">
        <v>250</v>
      </c>
      <c r="N99" s="598"/>
      <c r="O99" s="299"/>
      <c r="P99" s="180"/>
      <c r="Q99" s="180">
        <v>390000</v>
      </c>
      <c r="R99" s="181">
        <f t="shared" si="42"/>
        <v>1.2420382165605097</v>
      </c>
      <c r="S99" s="181">
        <v>100</v>
      </c>
      <c r="T99" s="180">
        <f t="shared" si="33"/>
        <v>100</v>
      </c>
      <c r="U99" s="180">
        <f t="shared" si="43"/>
        <v>1.2420382165605097</v>
      </c>
      <c r="V99" s="182">
        <f t="shared" si="35"/>
        <v>0</v>
      </c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>
        <v>390000</v>
      </c>
      <c r="AJ99" s="181">
        <f t="shared" si="37"/>
        <v>100</v>
      </c>
      <c r="AK99" s="180">
        <f t="shared" si="40"/>
        <v>0</v>
      </c>
      <c r="AL99" s="181">
        <f t="shared" si="38"/>
        <v>0</v>
      </c>
      <c r="AM99" s="243"/>
    </row>
    <row r="100" spans="1:39" ht="26.25" customHeight="1" x14ac:dyDescent="0.25">
      <c r="A100" s="243"/>
      <c r="B100" s="410"/>
      <c r="C100" s="410"/>
      <c r="D100" s="410"/>
      <c r="E100" s="410"/>
      <c r="F100" s="410"/>
      <c r="G100" s="410"/>
      <c r="H100" s="410"/>
      <c r="I100" s="411"/>
      <c r="J100" s="410" t="s">
        <v>261</v>
      </c>
      <c r="K100" s="245"/>
      <c r="L100" s="257"/>
      <c r="M100" s="597" t="s">
        <v>262</v>
      </c>
      <c r="N100" s="598"/>
      <c r="O100" s="299"/>
      <c r="P100" s="180"/>
      <c r="Q100" s="180">
        <v>3700000</v>
      </c>
      <c r="R100" s="181">
        <f t="shared" si="42"/>
        <v>11.783439490445859</v>
      </c>
      <c r="S100" s="181">
        <v>100</v>
      </c>
      <c r="T100" s="180">
        <f t="shared" si="33"/>
        <v>54.054054054054056</v>
      </c>
      <c r="U100" s="180">
        <f t="shared" si="43"/>
        <v>6.369426751592357</v>
      </c>
      <c r="V100" s="182">
        <f t="shared" si="35"/>
        <v>45.945945945945944</v>
      </c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>
        <f>1000000+1000000</f>
        <v>2000000</v>
      </c>
      <c r="AJ100" s="181">
        <f t="shared" si="37"/>
        <v>54.054054054054056</v>
      </c>
      <c r="AK100" s="180">
        <f t="shared" si="40"/>
        <v>1700000</v>
      </c>
      <c r="AL100" s="181">
        <f t="shared" si="38"/>
        <v>45.945945945945951</v>
      </c>
      <c r="AM100" s="243"/>
    </row>
    <row r="101" spans="1:39" ht="26.25" customHeight="1" x14ac:dyDescent="0.25">
      <c r="A101" s="243"/>
      <c r="B101" s="410"/>
      <c r="C101" s="410"/>
      <c r="D101" s="410"/>
      <c r="E101" s="410"/>
      <c r="F101" s="410"/>
      <c r="G101" s="410"/>
      <c r="H101" s="410"/>
      <c r="I101" s="411"/>
      <c r="J101" s="410" t="s">
        <v>315</v>
      </c>
      <c r="K101" s="245"/>
      <c r="L101" s="257"/>
      <c r="M101" s="597" t="s">
        <v>271</v>
      </c>
      <c r="N101" s="598"/>
      <c r="O101" s="299"/>
      <c r="P101" s="180"/>
      <c r="Q101" s="180">
        <v>2000000</v>
      </c>
      <c r="R101" s="181">
        <f t="shared" si="42"/>
        <v>6.369426751592357</v>
      </c>
      <c r="S101" s="181">
        <v>100</v>
      </c>
      <c r="T101" s="180">
        <f t="shared" si="33"/>
        <v>40</v>
      </c>
      <c r="U101" s="180">
        <f t="shared" si="43"/>
        <v>2.547770700636943</v>
      </c>
      <c r="V101" s="182">
        <f t="shared" si="35"/>
        <v>60</v>
      </c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>
        <f>400000+400000</f>
        <v>800000</v>
      </c>
      <c r="AJ101" s="181">
        <f t="shared" si="37"/>
        <v>40</v>
      </c>
      <c r="AK101" s="180">
        <f t="shared" si="40"/>
        <v>1200000</v>
      </c>
      <c r="AL101" s="181">
        <f t="shared" si="38"/>
        <v>60</v>
      </c>
      <c r="AM101" s="243"/>
    </row>
    <row r="102" spans="1:39" ht="26.25" customHeight="1" x14ac:dyDescent="0.25">
      <c r="A102" s="243"/>
      <c r="B102" s="410"/>
      <c r="C102" s="410"/>
      <c r="D102" s="410"/>
      <c r="E102" s="410"/>
      <c r="F102" s="410"/>
      <c r="G102" s="410"/>
      <c r="H102" s="410"/>
      <c r="I102" s="411"/>
      <c r="J102" s="410" t="s">
        <v>278</v>
      </c>
      <c r="K102" s="245"/>
      <c r="L102" s="257"/>
      <c r="M102" s="597" t="s">
        <v>279</v>
      </c>
      <c r="N102" s="598"/>
      <c r="O102" s="299"/>
      <c r="P102" s="180"/>
      <c r="Q102" s="180">
        <v>2160000</v>
      </c>
      <c r="R102" s="181">
        <f t="shared" si="42"/>
        <v>6.8789808917197455</v>
      </c>
      <c r="S102" s="181">
        <v>100</v>
      </c>
      <c r="T102" s="180">
        <f t="shared" si="33"/>
        <v>50</v>
      </c>
      <c r="U102" s="180">
        <f t="shared" si="43"/>
        <v>3.4394904458598727</v>
      </c>
      <c r="V102" s="182">
        <f t="shared" si="35"/>
        <v>50</v>
      </c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>
        <f>540000+540000</f>
        <v>1080000</v>
      </c>
      <c r="AJ102" s="181">
        <f t="shared" si="37"/>
        <v>50</v>
      </c>
      <c r="AK102" s="180">
        <f t="shared" si="40"/>
        <v>1080000</v>
      </c>
      <c r="AL102" s="181">
        <f t="shared" si="38"/>
        <v>50</v>
      </c>
      <c r="AM102" s="243"/>
    </row>
    <row r="103" spans="1:39" ht="26.25" customHeight="1" x14ac:dyDescent="0.25">
      <c r="A103" s="243"/>
      <c r="B103" s="410"/>
      <c r="C103" s="410"/>
      <c r="D103" s="410"/>
      <c r="E103" s="410"/>
      <c r="F103" s="410"/>
      <c r="G103" s="410"/>
      <c r="H103" s="410"/>
      <c r="I103" s="411"/>
      <c r="J103" s="410" t="s">
        <v>284</v>
      </c>
      <c r="K103" s="245"/>
      <c r="L103" s="257"/>
      <c r="M103" s="597" t="s">
        <v>285</v>
      </c>
      <c r="N103" s="598"/>
      <c r="O103" s="299"/>
      <c r="P103" s="180"/>
      <c r="Q103" s="180">
        <v>15000000</v>
      </c>
      <c r="R103" s="181">
        <f t="shared" si="42"/>
        <v>47.770700636942678</v>
      </c>
      <c r="S103" s="181">
        <v>100</v>
      </c>
      <c r="T103" s="180">
        <f t="shared" si="33"/>
        <v>0</v>
      </c>
      <c r="U103" s="180">
        <f t="shared" si="43"/>
        <v>0</v>
      </c>
      <c r="V103" s="182">
        <f t="shared" si="35"/>
        <v>100</v>
      </c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>
        <v>0</v>
      </c>
      <c r="AJ103" s="181">
        <f t="shared" si="37"/>
        <v>0</v>
      </c>
      <c r="AK103" s="180">
        <f t="shared" si="40"/>
        <v>15000000</v>
      </c>
      <c r="AL103" s="181">
        <f t="shared" si="38"/>
        <v>100</v>
      </c>
      <c r="AM103" s="243"/>
    </row>
    <row r="104" spans="1:39" ht="26.25" customHeight="1" x14ac:dyDescent="0.25">
      <c r="A104" s="243"/>
      <c r="B104" s="410"/>
      <c r="C104" s="410"/>
      <c r="D104" s="410"/>
      <c r="E104" s="410"/>
      <c r="F104" s="410"/>
      <c r="G104" s="410"/>
      <c r="H104" s="410"/>
      <c r="I104" s="411"/>
      <c r="J104" s="410" t="s">
        <v>282</v>
      </c>
      <c r="K104" s="245"/>
      <c r="L104" s="257"/>
      <c r="M104" s="597" t="s">
        <v>503</v>
      </c>
      <c r="N104" s="598"/>
      <c r="O104" s="299"/>
      <c r="P104" s="180"/>
      <c r="Q104" s="180">
        <v>10000000</v>
      </c>
      <c r="R104" s="181">
        <f t="shared" si="42"/>
        <v>31.847133757961782</v>
      </c>
      <c r="S104" s="181">
        <v>100</v>
      </c>
      <c r="T104" s="180">
        <f t="shared" si="33"/>
        <v>0</v>
      </c>
      <c r="U104" s="180">
        <f t="shared" si="43"/>
        <v>0</v>
      </c>
      <c r="V104" s="182">
        <f t="shared" si="35"/>
        <v>100</v>
      </c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>
        <v>0</v>
      </c>
      <c r="AJ104" s="181">
        <f t="shared" si="37"/>
        <v>0</v>
      </c>
      <c r="AK104" s="180">
        <f t="shared" si="40"/>
        <v>10000000</v>
      </c>
      <c r="AL104" s="181">
        <f t="shared" si="38"/>
        <v>100</v>
      </c>
      <c r="AM104" s="243"/>
    </row>
    <row r="105" spans="1:39" ht="26.25" customHeight="1" x14ac:dyDescent="0.25">
      <c r="A105" s="243"/>
      <c r="B105" s="410"/>
      <c r="C105" s="410"/>
      <c r="D105" s="410"/>
      <c r="E105" s="410"/>
      <c r="F105" s="410"/>
      <c r="G105" s="410"/>
      <c r="H105" s="410"/>
      <c r="I105" s="411"/>
      <c r="J105" s="410" t="s">
        <v>304</v>
      </c>
      <c r="K105" s="245"/>
      <c r="L105" s="257"/>
      <c r="M105" s="597" t="s">
        <v>549</v>
      </c>
      <c r="N105" s="598"/>
      <c r="O105" s="299"/>
      <c r="P105" s="180"/>
      <c r="Q105" s="180">
        <v>6000000</v>
      </c>
      <c r="R105" s="181">
        <f t="shared" si="42"/>
        <v>19.108280254777071</v>
      </c>
      <c r="S105" s="181">
        <v>100</v>
      </c>
      <c r="T105" s="180">
        <f t="shared" si="33"/>
        <v>8.3333333333333321</v>
      </c>
      <c r="U105" s="180">
        <f t="shared" si="43"/>
        <v>1.592356687898089</v>
      </c>
      <c r="V105" s="182">
        <f t="shared" si="35"/>
        <v>91.666666666666671</v>
      </c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>
        <v>500000</v>
      </c>
      <c r="AJ105" s="181">
        <f t="shared" si="37"/>
        <v>8.3333333333333321</v>
      </c>
      <c r="AK105" s="180">
        <f t="shared" si="40"/>
        <v>5500000</v>
      </c>
      <c r="AL105" s="181">
        <f t="shared" si="38"/>
        <v>91.666666666666657</v>
      </c>
      <c r="AM105" s="243"/>
    </row>
    <row r="106" spans="1:39" ht="26.25" customHeight="1" x14ac:dyDescent="0.25">
      <c r="A106" s="243"/>
      <c r="B106" s="410"/>
      <c r="C106" s="410"/>
      <c r="D106" s="410"/>
      <c r="E106" s="410"/>
      <c r="F106" s="410"/>
      <c r="G106" s="410"/>
      <c r="H106" s="410"/>
      <c r="I106" s="411"/>
      <c r="J106" s="410" t="s">
        <v>551</v>
      </c>
      <c r="K106" s="245"/>
      <c r="L106" s="257"/>
      <c r="M106" s="597" t="s">
        <v>550</v>
      </c>
      <c r="N106" s="598"/>
      <c r="O106" s="299"/>
      <c r="P106" s="180"/>
      <c r="Q106" s="180">
        <v>10800000</v>
      </c>
      <c r="R106" s="181">
        <f t="shared" si="42"/>
        <v>34.394904458598724</v>
      </c>
      <c r="S106" s="181">
        <v>100</v>
      </c>
      <c r="T106" s="180">
        <f t="shared" si="33"/>
        <v>33.333333333333329</v>
      </c>
      <c r="U106" s="180">
        <f t="shared" si="43"/>
        <v>11.464968152866241</v>
      </c>
      <c r="V106" s="182">
        <f t="shared" si="35"/>
        <v>66.666666666666671</v>
      </c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>
        <f>1800000+900000+900000</f>
        <v>3600000</v>
      </c>
      <c r="AJ106" s="181">
        <f t="shared" si="37"/>
        <v>33.333333333333329</v>
      </c>
      <c r="AK106" s="180">
        <f t="shared" si="40"/>
        <v>7200000</v>
      </c>
      <c r="AL106" s="181">
        <f t="shared" si="38"/>
        <v>66.666666666666657</v>
      </c>
      <c r="AM106" s="243"/>
    </row>
    <row r="107" spans="1:39" ht="26.25" customHeight="1" x14ac:dyDescent="0.25">
      <c r="A107" s="243"/>
      <c r="B107" s="410"/>
      <c r="C107" s="410"/>
      <c r="D107" s="410"/>
      <c r="E107" s="410"/>
      <c r="F107" s="410"/>
      <c r="G107" s="410"/>
      <c r="H107" s="410"/>
      <c r="I107" s="411"/>
      <c r="J107" s="410" t="s">
        <v>553</v>
      </c>
      <c r="K107" s="245"/>
      <c r="L107" s="257"/>
      <c r="M107" s="597" t="s">
        <v>552</v>
      </c>
      <c r="N107" s="598"/>
      <c r="O107" s="299"/>
      <c r="P107" s="180"/>
      <c r="Q107" s="180">
        <v>1500000</v>
      </c>
      <c r="R107" s="181">
        <f t="shared" si="42"/>
        <v>4.7770700636942678</v>
      </c>
      <c r="S107" s="181">
        <v>100</v>
      </c>
      <c r="T107" s="180">
        <f t="shared" si="33"/>
        <v>0</v>
      </c>
      <c r="U107" s="180">
        <f t="shared" si="43"/>
        <v>0</v>
      </c>
      <c r="V107" s="182">
        <f t="shared" si="35"/>
        <v>100</v>
      </c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>
        <v>0</v>
      </c>
      <c r="AJ107" s="181">
        <f t="shared" si="37"/>
        <v>0</v>
      </c>
      <c r="AK107" s="180">
        <f t="shared" si="40"/>
        <v>1500000</v>
      </c>
      <c r="AL107" s="181">
        <f t="shared" si="38"/>
        <v>100</v>
      </c>
      <c r="AM107" s="243"/>
    </row>
    <row r="108" spans="1:39" ht="26.25" customHeight="1" x14ac:dyDescent="0.25">
      <c r="A108" s="243"/>
      <c r="B108" s="410"/>
      <c r="C108" s="410"/>
      <c r="D108" s="410"/>
      <c r="E108" s="410"/>
      <c r="F108" s="410"/>
      <c r="G108" s="410"/>
      <c r="H108" s="410"/>
      <c r="I108" s="411"/>
      <c r="J108" s="410" t="s">
        <v>554</v>
      </c>
      <c r="K108" s="245"/>
      <c r="L108" s="257"/>
      <c r="M108" s="597" t="s">
        <v>431</v>
      </c>
      <c r="N108" s="598"/>
      <c r="O108" s="299"/>
      <c r="P108" s="180"/>
      <c r="Q108" s="180">
        <v>2000000</v>
      </c>
      <c r="R108" s="181">
        <f t="shared" si="42"/>
        <v>6.369426751592357</v>
      </c>
      <c r="S108" s="181">
        <v>100</v>
      </c>
      <c r="T108" s="180">
        <f t="shared" si="33"/>
        <v>0</v>
      </c>
      <c r="U108" s="180">
        <f t="shared" si="43"/>
        <v>0</v>
      </c>
      <c r="V108" s="182">
        <f t="shared" si="35"/>
        <v>100</v>
      </c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>
        <v>0</v>
      </c>
      <c r="AJ108" s="181">
        <f t="shared" si="37"/>
        <v>0</v>
      </c>
      <c r="AK108" s="180">
        <f t="shared" si="40"/>
        <v>2000000</v>
      </c>
      <c r="AL108" s="181">
        <f t="shared" si="38"/>
        <v>100</v>
      </c>
      <c r="AM108" s="243"/>
    </row>
    <row r="109" spans="1:39" ht="26.25" customHeight="1" x14ac:dyDescent="0.25">
      <c r="A109" s="243"/>
      <c r="B109" s="410"/>
      <c r="C109" s="410"/>
      <c r="D109" s="410"/>
      <c r="E109" s="410"/>
      <c r="F109" s="410"/>
      <c r="G109" s="410"/>
      <c r="H109" s="410"/>
      <c r="I109" s="411"/>
      <c r="J109" s="410" t="s">
        <v>274</v>
      </c>
      <c r="K109" s="245"/>
      <c r="L109" s="257"/>
      <c r="M109" s="597" t="s">
        <v>555</v>
      </c>
      <c r="N109" s="598"/>
      <c r="O109" s="299"/>
      <c r="P109" s="180"/>
      <c r="Q109" s="180">
        <v>2500000</v>
      </c>
      <c r="R109" s="181">
        <f t="shared" si="42"/>
        <v>7.9617834394904454</v>
      </c>
      <c r="S109" s="181">
        <v>100</v>
      </c>
      <c r="T109" s="180">
        <f t="shared" si="33"/>
        <v>0</v>
      </c>
      <c r="U109" s="180">
        <f t="shared" si="43"/>
        <v>0</v>
      </c>
      <c r="V109" s="182">
        <f t="shared" si="35"/>
        <v>100</v>
      </c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>
        <v>0</v>
      </c>
      <c r="AJ109" s="181">
        <f t="shared" si="37"/>
        <v>0</v>
      </c>
      <c r="AK109" s="180">
        <f t="shared" si="40"/>
        <v>2500000</v>
      </c>
      <c r="AL109" s="181">
        <f t="shared" si="38"/>
        <v>100</v>
      </c>
      <c r="AM109" s="243"/>
    </row>
    <row r="110" spans="1:39" ht="26.25" customHeight="1" x14ac:dyDescent="0.25">
      <c r="A110" s="227">
        <f>A96+1</f>
        <v>14</v>
      </c>
      <c r="B110" s="615" t="s">
        <v>124</v>
      </c>
      <c r="C110" s="615"/>
      <c r="D110" s="615"/>
      <c r="E110" s="615"/>
      <c r="F110" s="615"/>
      <c r="G110" s="615"/>
      <c r="H110" s="615"/>
      <c r="I110" s="614"/>
      <c r="J110" s="415" t="s">
        <v>547</v>
      </c>
      <c r="K110" s="230"/>
      <c r="L110" s="294"/>
      <c r="M110" s="615" t="s">
        <v>556</v>
      </c>
      <c r="N110" s="614"/>
      <c r="O110" s="295">
        <v>17600000</v>
      </c>
      <c r="P110" s="231">
        <f>O110</f>
        <v>17600000</v>
      </c>
      <c r="Q110" s="231">
        <f>SUM(Q111:Q123)</f>
        <v>76640000</v>
      </c>
      <c r="R110" s="233">
        <f>Q110/Q$59*100</f>
        <v>3.0341495303253714</v>
      </c>
      <c r="S110" s="233">
        <v>100</v>
      </c>
      <c r="T110" s="231">
        <f t="shared" si="33"/>
        <v>24.63465553235908</v>
      </c>
      <c r="U110" s="231">
        <f t="shared" si="43"/>
        <v>0.74745228513234607</v>
      </c>
      <c r="V110" s="296">
        <f t="shared" si="35"/>
        <v>75.365344467640924</v>
      </c>
      <c r="W110" s="231"/>
      <c r="X110" s="231" t="e">
        <f>#REF!</f>
        <v>#REF!</v>
      </c>
      <c r="Y110" s="231" t="e">
        <f>#REF!</f>
        <v>#REF!</v>
      </c>
      <c r="Z110" s="231" t="e">
        <f>#REF!</f>
        <v>#REF!</v>
      </c>
      <c r="AA110" s="231" t="e">
        <f>#REF!</f>
        <v>#REF!</v>
      </c>
      <c r="AB110" s="231">
        <v>13150000</v>
      </c>
      <c r="AC110" s="231" t="e">
        <f>#REF!</f>
        <v>#REF!</v>
      </c>
      <c r="AD110" s="231" t="e">
        <f>#REF!</f>
        <v>#REF!</v>
      </c>
      <c r="AE110" s="231" t="e">
        <f>#REF!</f>
        <v>#REF!</v>
      </c>
      <c r="AF110" s="231" t="e">
        <f>[1]April!N47</f>
        <v>#REF!</v>
      </c>
      <c r="AG110" s="231" t="e">
        <f>[2]april!N47</f>
        <v>#REF!</v>
      </c>
      <c r="AH110" s="231" t="e">
        <f>'[3]DES SKPD'!$N47</f>
        <v>#REF!</v>
      </c>
      <c r="AI110" s="231">
        <f>SUM(AI111:AI123)</f>
        <v>18880000</v>
      </c>
      <c r="AJ110" s="233">
        <f t="shared" si="37"/>
        <v>24.63465553235908</v>
      </c>
      <c r="AK110" s="231">
        <f t="shared" si="40"/>
        <v>57760000</v>
      </c>
      <c r="AL110" s="233">
        <f t="shared" si="38"/>
        <v>75.365344467640909</v>
      </c>
      <c r="AM110" s="243"/>
    </row>
    <row r="111" spans="1:39" ht="26.25" customHeight="1" x14ac:dyDescent="0.25">
      <c r="A111" s="243"/>
      <c r="B111" s="410"/>
      <c r="C111" s="410"/>
      <c r="D111" s="410"/>
      <c r="E111" s="410"/>
      <c r="F111" s="410"/>
      <c r="G111" s="410"/>
      <c r="H111" s="410"/>
      <c r="I111" s="411"/>
      <c r="J111" s="410" t="s">
        <v>265</v>
      </c>
      <c r="K111" s="245"/>
      <c r="L111" s="257"/>
      <c r="M111" s="597" t="s">
        <v>266</v>
      </c>
      <c r="N111" s="598"/>
      <c r="O111" s="299"/>
      <c r="P111" s="180"/>
      <c r="Q111" s="180">
        <v>6530000</v>
      </c>
      <c r="R111" s="181">
        <f t="shared" ref="R111:R123" si="44">Q111/Q$94*100</f>
        <v>20.796178343949045</v>
      </c>
      <c r="S111" s="181">
        <v>100</v>
      </c>
      <c r="T111" s="180">
        <f t="shared" si="33"/>
        <v>24.502297090352222</v>
      </c>
      <c r="U111" s="180">
        <f>R111*T111/100</f>
        <v>5.095541401273886</v>
      </c>
      <c r="V111" s="182">
        <f t="shared" si="35"/>
        <v>75.497702909647785</v>
      </c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>
        <v>1600000</v>
      </c>
      <c r="AJ111" s="181">
        <f t="shared" si="37"/>
        <v>24.502297090352222</v>
      </c>
      <c r="AK111" s="180">
        <f t="shared" si="40"/>
        <v>4930000</v>
      </c>
      <c r="AL111" s="181">
        <f t="shared" si="38"/>
        <v>75.497702909647785</v>
      </c>
      <c r="AM111" s="243"/>
    </row>
    <row r="112" spans="1:39" ht="26.25" customHeight="1" x14ac:dyDescent="0.25">
      <c r="A112" s="243"/>
      <c r="B112" s="410"/>
      <c r="C112" s="410"/>
      <c r="D112" s="410"/>
      <c r="E112" s="410"/>
      <c r="F112" s="410"/>
      <c r="G112" s="410"/>
      <c r="H112" s="410"/>
      <c r="I112" s="411"/>
      <c r="J112" s="410" t="s">
        <v>272</v>
      </c>
      <c r="K112" s="245"/>
      <c r="L112" s="257"/>
      <c r="M112" s="597" t="s">
        <v>429</v>
      </c>
      <c r="N112" s="598"/>
      <c r="O112" s="299"/>
      <c r="P112" s="180"/>
      <c r="Q112" s="180">
        <v>2000000</v>
      </c>
      <c r="R112" s="181">
        <f t="shared" si="44"/>
        <v>6.369426751592357</v>
      </c>
      <c r="S112" s="181">
        <v>100</v>
      </c>
      <c r="T112" s="180">
        <f t="shared" si="33"/>
        <v>25</v>
      </c>
      <c r="U112" s="180">
        <f t="shared" ref="U112:U123" si="45">R112*T112/100</f>
        <v>1.5923566878980893</v>
      </c>
      <c r="V112" s="182">
        <f t="shared" si="35"/>
        <v>75</v>
      </c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>
        <v>500000</v>
      </c>
      <c r="AJ112" s="181">
        <f t="shared" si="37"/>
        <v>25</v>
      </c>
      <c r="AK112" s="180">
        <f t="shared" si="40"/>
        <v>1500000</v>
      </c>
      <c r="AL112" s="181">
        <f t="shared" si="38"/>
        <v>75</v>
      </c>
      <c r="AM112" s="243"/>
    </row>
    <row r="113" spans="1:39" ht="26.25" customHeight="1" x14ac:dyDescent="0.25">
      <c r="A113" s="243"/>
      <c r="B113" s="410"/>
      <c r="C113" s="410"/>
      <c r="D113" s="410"/>
      <c r="E113" s="410"/>
      <c r="F113" s="410"/>
      <c r="G113" s="410"/>
      <c r="H113" s="410"/>
      <c r="I113" s="411"/>
      <c r="J113" s="410" t="s">
        <v>249</v>
      </c>
      <c r="K113" s="245"/>
      <c r="L113" s="257"/>
      <c r="M113" s="597" t="s">
        <v>250</v>
      </c>
      <c r="N113" s="598"/>
      <c r="O113" s="299"/>
      <c r="P113" s="180"/>
      <c r="Q113" s="180">
        <v>240000</v>
      </c>
      <c r="R113" s="181">
        <f t="shared" si="44"/>
        <v>0.76433121019108285</v>
      </c>
      <c r="S113" s="181">
        <v>100</v>
      </c>
      <c r="T113" s="180">
        <f t="shared" si="33"/>
        <v>25</v>
      </c>
      <c r="U113" s="180">
        <f t="shared" si="45"/>
        <v>0.19108280254777071</v>
      </c>
      <c r="V113" s="182">
        <f t="shared" si="35"/>
        <v>75</v>
      </c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>
        <v>60000</v>
      </c>
      <c r="AJ113" s="181">
        <f t="shared" si="37"/>
        <v>25</v>
      </c>
      <c r="AK113" s="180">
        <f t="shared" si="40"/>
        <v>180000</v>
      </c>
      <c r="AL113" s="181">
        <f t="shared" si="38"/>
        <v>75</v>
      </c>
      <c r="AM113" s="243"/>
    </row>
    <row r="114" spans="1:39" ht="26.25" customHeight="1" x14ac:dyDescent="0.25">
      <c r="A114" s="243"/>
      <c r="B114" s="410"/>
      <c r="C114" s="410"/>
      <c r="D114" s="410"/>
      <c r="E114" s="410"/>
      <c r="F114" s="410"/>
      <c r="G114" s="410"/>
      <c r="H114" s="410"/>
      <c r="I114" s="411"/>
      <c r="J114" s="410" t="s">
        <v>261</v>
      </c>
      <c r="K114" s="245"/>
      <c r="L114" s="257"/>
      <c r="M114" s="597" t="s">
        <v>262</v>
      </c>
      <c r="N114" s="598"/>
      <c r="O114" s="299"/>
      <c r="P114" s="180"/>
      <c r="Q114" s="180">
        <v>3300000</v>
      </c>
      <c r="R114" s="181">
        <f t="shared" si="44"/>
        <v>10.509554140127388</v>
      </c>
      <c r="S114" s="181">
        <v>100</v>
      </c>
      <c r="T114" s="180">
        <f t="shared" si="33"/>
        <v>24.242424242424242</v>
      </c>
      <c r="U114" s="180">
        <f t="shared" si="45"/>
        <v>2.5477707006369426</v>
      </c>
      <c r="V114" s="182">
        <f t="shared" si="35"/>
        <v>75.757575757575751</v>
      </c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>
        <v>800000</v>
      </c>
      <c r="AJ114" s="181">
        <f t="shared" si="37"/>
        <v>24.242424242424242</v>
      </c>
      <c r="AK114" s="180">
        <f t="shared" si="40"/>
        <v>2500000</v>
      </c>
      <c r="AL114" s="181">
        <f t="shared" si="38"/>
        <v>75.757575757575751</v>
      </c>
      <c r="AM114" s="243"/>
    </row>
    <row r="115" spans="1:39" ht="26.25" customHeight="1" x14ac:dyDescent="0.25">
      <c r="A115" s="243"/>
      <c r="B115" s="410"/>
      <c r="C115" s="410"/>
      <c r="D115" s="410"/>
      <c r="E115" s="410"/>
      <c r="F115" s="410"/>
      <c r="G115" s="410"/>
      <c r="H115" s="410"/>
      <c r="I115" s="411"/>
      <c r="J115" s="410" t="s">
        <v>409</v>
      </c>
      <c r="K115" s="245"/>
      <c r="L115" s="257"/>
      <c r="M115" s="597" t="s">
        <v>410</v>
      </c>
      <c r="N115" s="598"/>
      <c r="O115" s="299"/>
      <c r="P115" s="180"/>
      <c r="Q115" s="180">
        <v>12000000</v>
      </c>
      <c r="R115" s="181">
        <f t="shared" si="44"/>
        <v>38.216560509554142</v>
      </c>
      <c r="S115" s="181">
        <v>101</v>
      </c>
      <c r="T115" s="180">
        <f t="shared" si="33"/>
        <v>24.75</v>
      </c>
      <c r="U115" s="180">
        <f t="shared" si="45"/>
        <v>9.4585987261146496</v>
      </c>
      <c r="V115" s="182">
        <f t="shared" si="35"/>
        <v>76.25</v>
      </c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>
        <f>982500+1987500</f>
        <v>2970000</v>
      </c>
      <c r="AJ115" s="181">
        <f t="shared" si="37"/>
        <v>24.75</v>
      </c>
      <c r="AK115" s="180">
        <f t="shared" si="40"/>
        <v>9030000</v>
      </c>
      <c r="AL115" s="181">
        <f t="shared" si="38"/>
        <v>75.25</v>
      </c>
      <c r="AM115" s="243"/>
    </row>
    <row r="116" spans="1:39" ht="26.25" customHeight="1" x14ac:dyDescent="0.25">
      <c r="A116" s="243"/>
      <c r="B116" s="410"/>
      <c r="C116" s="410"/>
      <c r="D116" s="410"/>
      <c r="E116" s="410"/>
      <c r="F116" s="410"/>
      <c r="G116" s="410"/>
      <c r="H116" s="410"/>
      <c r="I116" s="411"/>
      <c r="J116" s="410" t="s">
        <v>315</v>
      </c>
      <c r="K116" s="245"/>
      <c r="L116" s="257"/>
      <c r="M116" s="597" t="s">
        <v>271</v>
      </c>
      <c r="N116" s="598"/>
      <c r="O116" s="299"/>
      <c r="P116" s="180"/>
      <c r="Q116" s="180">
        <v>2000000</v>
      </c>
      <c r="R116" s="181">
        <f t="shared" si="44"/>
        <v>6.369426751592357</v>
      </c>
      <c r="S116" s="181">
        <v>100</v>
      </c>
      <c r="T116" s="180">
        <f t="shared" si="33"/>
        <v>25</v>
      </c>
      <c r="U116" s="180">
        <f t="shared" si="45"/>
        <v>1.5923566878980893</v>
      </c>
      <c r="V116" s="182">
        <f t="shared" si="35"/>
        <v>75</v>
      </c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>
        <v>500000</v>
      </c>
      <c r="AJ116" s="181">
        <f t="shared" si="37"/>
        <v>25</v>
      </c>
      <c r="AK116" s="180">
        <f t="shared" si="40"/>
        <v>1500000</v>
      </c>
      <c r="AL116" s="181">
        <f t="shared" si="38"/>
        <v>75</v>
      </c>
      <c r="AM116" s="243"/>
    </row>
    <row r="117" spans="1:39" ht="26.25" customHeight="1" x14ac:dyDescent="0.25">
      <c r="A117" s="243"/>
      <c r="B117" s="410"/>
      <c r="C117" s="410"/>
      <c r="D117" s="410"/>
      <c r="E117" s="410"/>
      <c r="F117" s="410"/>
      <c r="G117" s="410"/>
      <c r="H117" s="410"/>
      <c r="I117" s="411"/>
      <c r="J117" s="410" t="s">
        <v>278</v>
      </c>
      <c r="K117" s="245"/>
      <c r="L117" s="257"/>
      <c r="M117" s="597" t="s">
        <v>279</v>
      </c>
      <c r="N117" s="598"/>
      <c r="O117" s="299"/>
      <c r="P117" s="180"/>
      <c r="Q117" s="180">
        <v>2160000</v>
      </c>
      <c r="R117" s="181">
        <f t="shared" si="44"/>
        <v>6.8789808917197455</v>
      </c>
      <c r="S117" s="181">
        <v>100</v>
      </c>
      <c r="T117" s="180">
        <f t="shared" si="33"/>
        <v>23.148148148148149</v>
      </c>
      <c r="U117" s="180">
        <f t="shared" si="45"/>
        <v>1.5923566878980893</v>
      </c>
      <c r="V117" s="182">
        <f t="shared" si="35"/>
        <v>76.851851851851848</v>
      </c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>
        <v>500000</v>
      </c>
      <c r="AJ117" s="181">
        <f t="shared" si="37"/>
        <v>23.148148148148149</v>
      </c>
      <c r="AK117" s="180">
        <f t="shared" si="40"/>
        <v>1660000</v>
      </c>
      <c r="AL117" s="181">
        <f t="shared" si="38"/>
        <v>76.851851851851848</v>
      </c>
      <c r="AM117" s="243"/>
    </row>
    <row r="118" spans="1:39" ht="26.25" customHeight="1" x14ac:dyDescent="0.25">
      <c r="A118" s="243"/>
      <c r="B118" s="410"/>
      <c r="C118" s="410"/>
      <c r="D118" s="410"/>
      <c r="E118" s="410"/>
      <c r="F118" s="410"/>
      <c r="G118" s="410"/>
      <c r="H118" s="410"/>
      <c r="I118" s="411"/>
      <c r="J118" s="410" t="s">
        <v>284</v>
      </c>
      <c r="K118" s="245"/>
      <c r="L118" s="257"/>
      <c r="M118" s="597" t="s">
        <v>285</v>
      </c>
      <c r="N118" s="598"/>
      <c r="O118" s="299"/>
      <c r="P118" s="180"/>
      <c r="Q118" s="180">
        <v>18900000</v>
      </c>
      <c r="R118" s="181">
        <f t="shared" si="44"/>
        <v>60.191082802547768</v>
      </c>
      <c r="S118" s="181">
        <v>100</v>
      </c>
      <c r="T118" s="180">
        <f t="shared" si="33"/>
        <v>24.603174603174601</v>
      </c>
      <c r="U118" s="180">
        <f t="shared" si="45"/>
        <v>14.808917197452226</v>
      </c>
      <c r="V118" s="182">
        <f t="shared" si="35"/>
        <v>75.396825396825392</v>
      </c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>
        <v>4650000</v>
      </c>
      <c r="AJ118" s="181">
        <f t="shared" si="37"/>
        <v>24.603174603174601</v>
      </c>
      <c r="AK118" s="180">
        <f t="shared" si="40"/>
        <v>14250000</v>
      </c>
      <c r="AL118" s="181">
        <f t="shared" si="38"/>
        <v>75.396825396825392</v>
      </c>
      <c r="AM118" s="243"/>
    </row>
    <row r="119" spans="1:39" ht="26.25" customHeight="1" x14ac:dyDescent="0.25">
      <c r="A119" s="243"/>
      <c r="B119" s="410"/>
      <c r="C119" s="410"/>
      <c r="D119" s="410"/>
      <c r="E119" s="410"/>
      <c r="F119" s="410"/>
      <c r="G119" s="410"/>
      <c r="H119" s="410"/>
      <c r="I119" s="411"/>
      <c r="J119" s="410" t="s">
        <v>282</v>
      </c>
      <c r="K119" s="245"/>
      <c r="L119" s="257"/>
      <c r="M119" s="597" t="s">
        <v>503</v>
      </c>
      <c r="N119" s="598"/>
      <c r="O119" s="299"/>
      <c r="P119" s="180"/>
      <c r="Q119" s="180">
        <v>4110000</v>
      </c>
      <c r="R119" s="181">
        <f t="shared" si="44"/>
        <v>13.089171974522293</v>
      </c>
      <c r="S119" s="181">
        <v>100</v>
      </c>
      <c r="T119" s="180">
        <f t="shared" si="33"/>
        <v>0</v>
      </c>
      <c r="U119" s="180">
        <f t="shared" si="45"/>
        <v>0</v>
      </c>
      <c r="V119" s="182">
        <f t="shared" si="35"/>
        <v>100</v>
      </c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>
        <v>0</v>
      </c>
      <c r="AJ119" s="181">
        <f t="shared" si="37"/>
        <v>0</v>
      </c>
      <c r="AK119" s="180">
        <f t="shared" si="40"/>
        <v>4110000</v>
      </c>
      <c r="AL119" s="181">
        <f t="shared" si="38"/>
        <v>100</v>
      </c>
      <c r="AM119" s="243"/>
    </row>
    <row r="120" spans="1:39" ht="26.25" customHeight="1" x14ac:dyDescent="0.25">
      <c r="A120" s="243"/>
      <c r="B120" s="410"/>
      <c r="C120" s="410"/>
      <c r="D120" s="410"/>
      <c r="E120" s="410"/>
      <c r="F120" s="410"/>
      <c r="G120" s="410"/>
      <c r="H120" s="410"/>
      <c r="I120" s="411"/>
      <c r="J120" s="410" t="s">
        <v>304</v>
      </c>
      <c r="K120" s="245"/>
      <c r="L120" s="257"/>
      <c r="M120" s="597" t="s">
        <v>549</v>
      </c>
      <c r="N120" s="598"/>
      <c r="O120" s="299"/>
      <c r="P120" s="180"/>
      <c r="Q120" s="180">
        <v>2000000</v>
      </c>
      <c r="R120" s="181">
        <f t="shared" si="44"/>
        <v>6.369426751592357</v>
      </c>
      <c r="S120" s="181">
        <v>100</v>
      </c>
      <c r="T120" s="180">
        <f t="shared" si="33"/>
        <v>25</v>
      </c>
      <c r="U120" s="180">
        <f t="shared" si="45"/>
        <v>1.5923566878980893</v>
      </c>
      <c r="V120" s="182">
        <f t="shared" si="35"/>
        <v>75</v>
      </c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>
        <v>500000</v>
      </c>
      <c r="AJ120" s="181">
        <f t="shared" si="37"/>
        <v>25</v>
      </c>
      <c r="AK120" s="180">
        <f t="shared" si="40"/>
        <v>1500000</v>
      </c>
      <c r="AL120" s="181">
        <f t="shared" si="38"/>
        <v>75</v>
      </c>
      <c r="AM120" s="243"/>
    </row>
    <row r="121" spans="1:39" ht="26.25" customHeight="1" x14ac:dyDescent="0.25">
      <c r="A121" s="243"/>
      <c r="B121" s="410"/>
      <c r="C121" s="410"/>
      <c r="D121" s="410"/>
      <c r="E121" s="410"/>
      <c r="F121" s="410"/>
      <c r="G121" s="410"/>
      <c r="H121" s="410"/>
      <c r="I121" s="411"/>
      <c r="J121" s="410" t="s">
        <v>551</v>
      </c>
      <c r="K121" s="245"/>
      <c r="L121" s="257"/>
      <c r="M121" s="597" t="s">
        <v>550</v>
      </c>
      <c r="N121" s="598"/>
      <c r="O121" s="299"/>
      <c r="P121" s="180"/>
      <c r="Q121" s="180">
        <v>20400000</v>
      </c>
      <c r="R121" s="181">
        <f t="shared" si="44"/>
        <v>64.968152866242036</v>
      </c>
      <c r="S121" s="181">
        <v>100</v>
      </c>
      <c r="T121" s="180">
        <f t="shared" si="33"/>
        <v>33.333333333333329</v>
      </c>
      <c r="U121" s="180">
        <f t="shared" si="45"/>
        <v>21.656050955414006</v>
      </c>
      <c r="V121" s="182">
        <f t="shared" si="35"/>
        <v>66.666666666666671</v>
      </c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>
        <f>3400000+1700000+1700000</f>
        <v>6800000</v>
      </c>
      <c r="AJ121" s="181">
        <f t="shared" si="37"/>
        <v>33.333333333333329</v>
      </c>
      <c r="AK121" s="180">
        <f t="shared" si="40"/>
        <v>13600000</v>
      </c>
      <c r="AL121" s="181">
        <f t="shared" si="38"/>
        <v>66.666666666666657</v>
      </c>
      <c r="AM121" s="243"/>
    </row>
    <row r="122" spans="1:39" ht="26.25" customHeight="1" x14ac:dyDescent="0.25">
      <c r="A122" s="243"/>
      <c r="B122" s="410"/>
      <c r="C122" s="410"/>
      <c r="D122" s="410"/>
      <c r="E122" s="410"/>
      <c r="F122" s="410"/>
      <c r="G122" s="410"/>
      <c r="H122" s="410"/>
      <c r="I122" s="411"/>
      <c r="J122" s="410" t="s">
        <v>554</v>
      </c>
      <c r="K122" s="245"/>
      <c r="L122" s="257"/>
      <c r="M122" s="597" t="s">
        <v>431</v>
      </c>
      <c r="N122" s="598"/>
      <c r="O122" s="299"/>
      <c r="P122" s="180"/>
      <c r="Q122" s="180">
        <v>2000000</v>
      </c>
      <c r="R122" s="181">
        <f t="shared" si="44"/>
        <v>6.369426751592357</v>
      </c>
      <c r="S122" s="181">
        <v>100</v>
      </c>
      <c r="T122" s="180">
        <f t="shared" si="33"/>
        <v>0</v>
      </c>
      <c r="U122" s="180">
        <f t="shared" si="45"/>
        <v>0</v>
      </c>
      <c r="V122" s="182">
        <f t="shared" si="35"/>
        <v>100</v>
      </c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>
        <v>0</v>
      </c>
      <c r="AJ122" s="181">
        <f t="shared" si="37"/>
        <v>0</v>
      </c>
      <c r="AK122" s="180">
        <f t="shared" si="40"/>
        <v>2000000</v>
      </c>
      <c r="AL122" s="181">
        <f t="shared" si="38"/>
        <v>100</v>
      </c>
      <c r="AM122" s="243"/>
    </row>
    <row r="123" spans="1:39" ht="26.25" customHeight="1" x14ac:dyDescent="0.25">
      <c r="A123" s="243"/>
      <c r="B123" s="410"/>
      <c r="C123" s="410"/>
      <c r="D123" s="410"/>
      <c r="E123" s="410"/>
      <c r="F123" s="410"/>
      <c r="G123" s="410"/>
      <c r="H123" s="410"/>
      <c r="I123" s="411"/>
      <c r="J123" s="410" t="s">
        <v>274</v>
      </c>
      <c r="K123" s="245"/>
      <c r="L123" s="257"/>
      <c r="M123" s="597" t="s">
        <v>555</v>
      </c>
      <c r="N123" s="598"/>
      <c r="O123" s="299"/>
      <c r="P123" s="180"/>
      <c r="Q123" s="180">
        <v>1000000</v>
      </c>
      <c r="R123" s="181">
        <f t="shared" si="44"/>
        <v>3.1847133757961785</v>
      </c>
      <c r="S123" s="181">
        <v>100</v>
      </c>
      <c r="T123" s="180">
        <f t="shared" si="33"/>
        <v>0</v>
      </c>
      <c r="U123" s="180">
        <f t="shared" si="45"/>
        <v>0</v>
      </c>
      <c r="V123" s="182">
        <f t="shared" si="35"/>
        <v>100</v>
      </c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>
        <v>0</v>
      </c>
      <c r="AJ123" s="181">
        <f t="shared" si="37"/>
        <v>0</v>
      </c>
      <c r="AK123" s="180">
        <f t="shared" si="40"/>
        <v>1000000</v>
      </c>
      <c r="AL123" s="181">
        <f t="shared" si="38"/>
        <v>100</v>
      </c>
      <c r="AM123" s="243"/>
    </row>
    <row r="124" spans="1:39" s="226" customFormat="1" ht="27" customHeight="1" x14ac:dyDescent="0.25">
      <c r="A124" s="289" t="s">
        <v>8</v>
      </c>
      <c r="B124" s="625" t="s">
        <v>125</v>
      </c>
      <c r="C124" s="625"/>
      <c r="D124" s="625"/>
      <c r="E124" s="625"/>
      <c r="F124" s="625"/>
      <c r="G124" s="625"/>
      <c r="H124" s="625"/>
      <c r="I124" s="625"/>
      <c r="J124" s="416" t="s">
        <v>440</v>
      </c>
      <c r="K124" s="291"/>
      <c r="L124" s="608" t="s">
        <v>23</v>
      </c>
      <c r="M124" s="625"/>
      <c r="N124" s="625"/>
      <c r="O124" s="263">
        <f>SUM(O127:O158)</f>
        <v>2275595000</v>
      </c>
      <c r="P124" s="263">
        <f>SUM(P127:P158)</f>
        <v>1979635000</v>
      </c>
      <c r="Q124" s="263">
        <f>SUM(Q125+Q127+Q139+Q141+Q144+Q148+Q155+Q157+Q159)</f>
        <v>3511736000</v>
      </c>
      <c r="R124" s="222">
        <f>Q124/Q$58*100</f>
        <v>17.402955822649453</v>
      </c>
      <c r="S124" s="222">
        <v>100</v>
      </c>
      <c r="T124" s="263">
        <f t="shared" si="33"/>
        <v>37.745178595429721</v>
      </c>
      <c r="U124" s="263">
        <f>SUM(R124*T124/100)</f>
        <v>6.5687767561427712</v>
      </c>
      <c r="V124" s="292">
        <f>SUM(S124-T124)</f>
        <v>62.254821404570279</v>
      </c>
      <c r="W124" s="263">
        <f t="shared" ref="W124:AH124" si="46">SUM(W127:W158)</f>
        <v>0</v>
      </c>
      <c r="X124" s="263" t="e">
        <f t="shared" si="46"/>
        <v>#REF!</v>
      </c>
      <c r="Y124" s="263" t="e">
        <f t="shared" si="46"/>
        <v>#REF!</v>
      </c>
      <c r="Z124" s="263" t="e">
        <f t="shared" si="46"/>
        <v>#REF!</v>
      </c>
      <c r="AA124" s="263" t="e">
        <f t="shared" si="46"/>
        <v>#REF!</v>
      </c>
      <c r="AB124" s="263">
        <f t="shared" si="46"/>
        <v>3331855358</v>
      </c>
      <c r="AC124" s="263" t="e">
        <f t="shared" si="46"/>
        <v>#REF!</v>
      </c>
      <c r="AD124" s="263" t="e">
        <f t="shared" si="46"/>
        <v>#REF!</v>
      </c>
      <c r="AE124" s="263" t="e">
        <f t="shared" si="46"/>
        <v>#REF!</v>
      </c>
      <c r="AF124" s="263" t="e">
        <f t="shared" si="46"/>
        <v>#REF!</v>
      </c>
      <c r="AG124" s="263" t="e">
        <f t="shared" si="46"/>
        <v>#REF!</v>
      </c>
      <c r="AH124" s="263" t="e">
        <f t="shared" si="46"/>
        <v>#REF!</v>
      </c>
      <c r="AI124" s="263">
        <f>SUM(AI125+AI127+AI139+AI141+AI144+AI148+AI155+AI157+AI159)</f>
        <v>1325511025</v>
      </c>
      <c r="AJ124" s="222">
        <f t="shared" si="37"/>
        <v>37.745178595429721</v>
      </c>
      <c r="AK124" s="263">
        <f>SUM(Q124-AI124)</f>
        <v>2186224975</v>
      </c>
      <c r="AL124" s="222">
        <f t="shared" si="38"/>
        <v>62.254821404570272</v>
      </c>
      <c r="AM124" s="236"/>
    </row>
    <row r="125" spans="1:39" s="235" customFormat="1" ht="27" customHeight="1" x14ac:dyDescent="0.25">
      <c r="A125" s="227">
        <f>A110+1</f>
        <v>15</v>
      </c>
      <c r="B125" s="615" t="s">
        <v>126</v>
      </c>
      <c r="C125" s="615"/>
      <c r="D125" s="615"/>
      <c r="E125" s="615"/>
      <c r="F125" s="615"/>
      <c r="G125" s="615"/>
      <c r="H125" s="615"/>
      <c r="I125" s="614"/>
      <c r="J125" s="304" t="s">
        <v>557</v>
      </c>
      <c r="K125" s="230"/>
      <c r="L125" s="294"/>
      <c r="M125" s="615" t="s">
        <v>558</v>
      </c>
      <c r="N125" s="614"/>
      <c r="O125" s="295">
        <v>833155000</v>
      </c>
      <c r="P125" s="231">
        <f>O125</f>
        <v>833155000</v>
      </c>
      <c r="Q125" s="231">
        <f>SUM(Q126)</f>
        <v>318296000</v>
      </c>
      <c r="R125" s="233">
        <f>Q125/Q$59*100</f>
        <v>12.60122206294943</v>
      </c>
      <c r="S125" s="233">
        <v>100</v>
      </c>
      <c r="T125" s="231">
        <f t="shared" si="33"/>
        <v>35.419860758539222</v>
      </c>
      <c r="U125" s="231">
        <f t="shared" ref="U125:U140" si="47">R125*T125/100</f>
        <v>4.4633353085710121</v>
      </c>
      <c r="V125" s="296">
        <f t="shared" ref="V125:V126" si="48">S125-T125</f>
        <v>64.580139241460785</v>
      </c>
      <c r="W125" s="231"/>
      <c r="X125" s="231" t="e">
        <f>#REF!</f>
        <v>#REF!</v>
      </c>
      <c r="Y125" s="231" t="e">
        <f>#REF!</f>
        <v>#REF!</v>
      </c>
      <c r="Z125" s="231" t="e">
        <f>#REF!</f>
        <v>#REF!</v>
      </c>
      <c r="AA125" s="231" t="e">
        <f>#REF!</f>
        <v>#REF!</v>
      </c>
      <c r="AB125" s="231">
        <v>139212000</v>
      </c>
      <c r="AC125" s="231" t="e">
        <f>#REF!</f>
        <v>#REF!</v>
      </c>
      <c r="AD125" s="231" t="e">
        <f>#REF!</f>
        <v>#REF!</v>
      </c>
      <c r="AE125" s="231" t="e">
        <f>#REF!</f>
        <v>#REF!</v>
      </c>
      <c r="AF125" s="231" t="e">
        <f>[1]April!N30</f>
        <v>#REF!</v>
      </c>
      <c r="AG125" s="231" t="e">
        <f>[2]april!N30</f>
        <v>#REF!</v>
      </c>
      <c r="AH125" s="231">
        <f>'[3]DES SKPD'!$N30</f>
        <v>660543350</v>
      </c>
      <c r="AI125" s="231">
        <f>SUM(AI126)</f>
        <v>112740000</v>
      </c>
      <c r="AJ125" s="233">
        <f t="shared" si="37"/>
        <v>35.419860758539222</v>
      </c>
      <c r="AK125" s="231">
        <f t="shared" ref="AK125:AK160" si="49">Q125-AI125</f>
        <v>205556000</v>
      </c>
      <c r="AL125" s="233">
        <f t="shared" si="38"/>
        <v>64.58013924146077</v>
      </c>
      <c r="AM125" s="227"/>
    </row>
    <row r="126" spans="1:39" s="235" customFormat="1" ht="27" customHeight="1" x14ac:dyDescent="0.25">
      <c r="A126" s="243"/>
      <c r="B126" s="410"/>
      <c r="C126" s="410"/>
      <c r="D126" s="410"/>
      <c r="E126" s="410"/>
      <c r="F126" s="410"/>
      <c r="G126" s="410"/>
      <c r="H126" s="410"/>
      <c r="I126" s="411"/>
      <c r="J126" s="410" t="s">
        <v>434</v>
      </c>
      <c r="K126" s="245"/>
      <c r="L126" s="257"/>
      <c r="M126" s="597" t="s">
        <v>559</v>
      </c>
      <c r="N126" s="598"/>
      <c r="O126" s="299"/>
      <c r="P126" s="180"/>
      <c r="Q126" s="180">
        <v>318296000</v>
      </c>
      <c r="R126" s="181">
        <f t="shared" ref="R126" si="50">Q126/Q$94*100</f>
        <v>1013.6815286624204</v>
      </c>
      <c r="S126" s="181">
        <v>100</v>
      </c>
      <c r="T126" s="180">
        <f t="shared" si="33"/>
        <v>35.419860758539222</v>
      </c>
      <c r="U126" s="180">
        <f t="shared" si="47"/>
        <v>359.04458598726114</v>
      </c>
      <c r="V126" s="182">
        <f t="shared" si="48"/>
        <v>64.580139241460785</v>
      </c>
      <c r="W126" s="180"/>
      <c r="X126" s="180" t="e">
        <f>#REF!</f>
        <v>#REF!</v>
      </c>
      <c r="Y126" s="180" t="e">
        <f>#REF!</f>
        <v>#REF!</v>
      </c>
      <c r="Z126" s="180" t="e">
        <f>#REF!</f>
        <v>#REF!</v>
      </c>
      <c r="AA126" s="180" t="e">
        <f>#REF!</f>
        <v>#REF!</v>
      </c>
      <c r="AB126" s="180">
        <v>139212001</v>
      </c>
      <c r="AC126" s="180" t="e">
        <f>#REF!</f>
        <v>#REF!</v>
      </c>
      <c r="AD126" s="180" t="e">
        <f>#REF!</f>
        <v>#REF!</v>
      </c>
      <c r="AE126" s="180" t="e">
        <f>#REF!</f>
        <v>#REF!</v>
      </c>
      <c r="AF126" s="180" t="e">
        <f>[1]April!N32</f>
        <v>#REF!</v>
      </c>
      <c r="AG126" s="180" t="e">
        <f>[2]april!N32</f>
        <v>#REF!</v>
      </c>
      <c r="AH126" s="180" t="e">
        <f>'[3]DES SKPD'!$N32</f>
        <v>#REF!</v>
      </c>
      <c r="AI126" s="180">
        <f>61250000+51490000</f>
        <v>112740000</v>
      </c>
      <c r="AJ126" s="181">
        <f t="shared" si="37"/>
        <v>35.419860758539222</v>
      </c>
      <c r="AK126" s="180">
        <f t="shared" si="49"/>
        <v>205556000</v>
      </c>
      <c r="AL126" s="181">
        <f t="shared" si="38"/>
        <v>64.58013924146077</v>
      </c>
      <c r="AM126" s="227"/>
    </row>
    <row r="127" spans="1:39" s="297" customFormat="1" ht="33" customHeight="1" x14ac:dyDescent="0.25">
      <c r="A127" s="227">
        <f>A125+1</f>
        <v>16</v>
      </c>
      <c r="B127" s="615" t="s">
        <v>126</v>
      </c>
      <c r="C127" s="615"/>
      <c r="D127" s="615"/>
      <c r="E127" s="615"/>
      <c r="F127" s="615"/>
      <c r="G127" s="615"/>
      <c r="H127" s="615"/>
      <c r="I127" s="614"/>
      <c r="J127" s="304" t="s">
        <v>455</v>
      </c>
      <c r="K127" s="230"/>
      <c r="L127" s="294"/>
      <c r="M127" s="615" t="s">
        <v>24</v>
      </c>
      <c r="N127" s="614"/>
      <c r="O127" s="295">
        <v>833155000</v>
      </c>
      <c r="P127" s="231">
        <f>O127</f>
        <v>833155000</v>
      </c>
      <c r="Q127" s="231">
        <f>SUM(Q128:Q138)</f>
        <v>1068800000</v>
      </c>
      <c r="R127" s="233">
        <f>Q127/Q$59*100</f>
        <v>42.313400548170108</v>
      </c>
      <c r="S127" s="233">
        <v>100</v>
      </c>
      <c r="T127" s="231">
        <f t="shared" si="33"/>
        <v>17.271706586826348</v>
      </c>
      <c r="U127" s="231">
        <f t="shared" si="47"/>
        <v>7.3082463895885121</v>
      </c>
      <c r="V127" s="296">
        <f t="shared" si="35"/>
        <v>82.728293413173645</v>
      </c>
      <c r="W127" s="231"/>
      <c r="X127" s="231" t="e">
        <f>#REF!</f>
        <v>#REF!</v>
      </c>
      <c r="Y127" s="231" t="e">
        <f>#REF!</f>
        <v>#REF!</v>
      </c>
      <c r="Z127" s="231" t="e">
        <f>#REF!</f>
        <v>#REF!</v>
      </c>
      <c r="AA127" s="231" t="e">
        <f>#REF!</f>
        <v>#REF!</v>
      </c>
      <c r="AB127" s="231">
        <v>139212000</v>
      </c>
      <c r="AC127" s="231" t="e">
        <f>#REF!</f>
        <v>#REF!</v>
      </c>
      <c r="AD127" s="231" t="e">
        <f>#REF!</f>
        <v>#REF!</v>
      </c>
      <c r="AE127" s="231" t="e">
        <f>#REF!</f>
        <v>#REF!</v>
      </c>
      <c r="AF127" s="231" t="e">
        <f>[1]April!N35</f>
        <v>#REF!</v>
      </c>
      <c r="AG127" s="231" t="e">
        <f>[2]april!N35</f>
        <v>#REF!</v>
      </c>
      <c r="AH127" s="231">
        <f>'[3]DES SKPD'!$N35</f>
        <v>979532000</v>
      </c>
      <c r="AI127" s="231">
        <f>SUM(AI128:AI138)</f>
        <v>184600000</v>
      </c>
      <c r="AJ127" s="233">
        <f t="shared" si="37"/>
        <v>17.271706586826348</v>
      </c>
      <c r="AK127" s="231">
        <f t="shared" si="49"/>
        <v>884200000</v>
      </c>
      <c r="AL127" s="233">
        <f t="shared" si="38"/>
        <v>82.728293413173645</v>
      </c>
      <c r="AM127" s="227"/>
    </row>
    <row r="128" spans="1:39" ht="24.75" customHeight="1" x14ac:dyDescent="0.25">
      <c r="A128" s="243"/>
      <c r="B128" s="410"/>
      <c r="C128" s="410"/>
      <c r="D128" s="410"/>
      <c r="E128" s="410"/>
      <c r="F128" s="410"/>
      <c r="G128" s="410"/>
      <c r="H128" s="410"/>
      <c r="I128" s="411"/>
      <c r="J128" s="410" t="s">
        <v>561</v>
      </c>
      <c r="K128" s="245"/>
      <c r="L128" s="257"/>
      <c r="M128" s="597" t="s">
        <v>560</v>
      </c>
      <c r="N128" s="598"/>
      <c r="O128" s="299"/>
      <c r="P128" s="180"/>
      <c r="Q128" s="180">
        <v>35000000</v>
      </c>
      <c r="R128" s="181">
        <f t="shared" ref="R128:R138" si="51">Q128/Q$127*100</f>
        <v>3.2747005988023949</v>
      </c>
      <c r="S128" s="181">
        <v>100</v>
      </c>
      <c r="T128" s="180">
        <f t="shared" si="33"/>
        <v>99.285714285714292</v>
      </c>
      <c r="U128" s="180">
        <f t="shared" si="47"/>
        <v>3.2513098802395213</v>
      </c>
      <c r="V128" s="182">
        <f t="shared" si="35"/>
        <v>0.7142857142857082</v>
      </c>
      <c r="W128" s="180"/>
      <c r="X128" s="180" t="e">
        <f>#REF!</f>
        <v>#REF!</v>
      </c>
      <c r="Y128" s="180" t="e">
        <f>#REF!</f>
        <v>#REF!</v>
      </c>
      <c r="Z128" s="180" t="e">
        <f>#REF!</f>
        <v>#REF!</v>
      </c>
      <c r="AA128" s="180" t="e">
        <f>#REF!</f>
        <v>#REF!</v>
      </c>
      <c r="AB128" s="180">
        <v>139212001</v>
      </c>
      <c r="AC128" s="180" t="e">
        <f>#REF!</f>
        <v>#REF!</v>
      </c>
      <c r="AD128" s="180" t="e">
        <f>#REF!</f>
        <v>#REF!</v>
      </c>
      <c r="AE128" s="180" t="e">
        <f>#REF!</f>
        <v>#REF!</v>
      </c>
      <c r="AF128" s="180" t="e">
        <f>[1]April!N37</f>
        <v>#REF!</v>
      </c>
      <c r="AG128" s="180" t="e">
        <f>[2]april!N37</f>
        <v>#REF!</v>
      </c>
      <c r="AH128" s="180">
        <f>'[3]DES SKPD'!$N37</f>
        <v>0</v>
      </c>
      <c r="AI128" s="180">
        <v>34750000</v>
      </c>
      <c r="AJ128" s="181">
        <f t="shared" si="37"/>
        <v>99.285714285714292</v>
      </c>
      <c r="AK128" s="180">
        <f t="shared" si="49"/>
        <v>250000</v>
      </c>
      <c r="AL128" s="181">
        <f t="shared" si="38"/>
        <v>0.7142857142857143</v>
      </c>
      <c r="AM128" s="243"/>
    </row>
    <row r="129" spans="1:39" ht="33" customHeight="1" x14ac:dyDescent="0.25">
      <c r="A129" s="243"/>
      <c r="B129" s="410"/>
      <c r="C129" s="410"/>
      <c r="D129" s="410"/>
      <c r="E129" s="410"/>
      <c r="F129" s="410"/>
      <c r="G129" s="410"/>
      <c r="H129" s="410"/>
      <c r="I129" s="411"/>
      <c r="J129" s="410" t="s">
        <v>563</v>
      </c>
      <c r="K129" s="245"/>
      <c r="L129" s="257"/>
      <c r="M129" s="597" t="s">
        <v>562</v>
      </c>
      <c r="N129" s="598"/>
      <c r="O129" s="299"/>
      <c r="P129" s="180"/>
      <c r="Q129" s="180">
        <v>110000000</v>
      </c>
      <c r="R129" s="181">
        <f t="shared" si="51"/>
        <v>10.29191616766467</v>
      </c>
      <c r="S129" s="181">
        <v>100</v>
      </c>
      <c r="T129" s="180">
        <f t="shared" si="33"/>
        <v>98.636363636363626</v>
      </c>
      <c r="U129" s="180">
        <f t="shared" si="47"/>
        <v>10.151571856287424</v>
      </c>
      <c r="V129" s="182">
        <f t="shared" si="35"/>
        <v>1.363636363636374</v>
      </c>
      <c r="W129" s="180"/>
      <c r="X129" s="180" t="e">
        <f>#REF!</f>
        <v>#REF!</v>
      </c>
      <c r="Y129" s="180" t="e">
        <f>#REF!</f>
        <v>#REF!</v>
      </c>
      <c r="Z129" s="180" t="e">
        <f>#REF!</f>
        <v>#REF!</v>
      </c>
      <c r="AA129" s="180" t="e">
        <f>#REF!</f>
        <v>#REF!</v>
      </c>
      <c r="AB129" s="180">
        <v>139212002</v>
      </c>
      <c r="AC129" s="180" t="e">
        <f>#REF!</f>
        <v>#REF!</v>
      </c>
      <c r="AD129" s="180" t="e">
        <f>#REF!</f>
        <v>#REF!</v>
      </c>
      <c r="AE129" s="180" t="e">
        <f>#REF!</f>
        <v>#REF!</v>
      </c>
      <c r="AF129" s="180" t="e">
        <f>[1]April!N37</f>
        <v>#REF!</v>
      </c>
      <c r="AG129" s="180" t="e">
        <f>[2]april!N37</f>
        <v>#REF!</v>
      </c>
      <c r="AH129" s="180">
        <f>'[3]DES SKPD'!$N37</f>
        <v>0</v>
      </c>
      <c r="AI129" s="180">
        <v>108500000</v>
      </c>
      <c r="AJ129" s="181">
        <f t="shared" si="37"/>
        <v>98.636363636363626</v>
      </c>
      <c r="AK129" s="180">
        <f t="shared" si="49"/>
        <v>1500000</v>
      </c>
      <c r="AL129" s="181">
        <f t="shared" si="38"/>
        <v>1.3636363636363635</v>
      </c>
      <c r="AM129" s="243"/>
    </row>
    <row r="130" spans="1:39" ht="27" customHeight="1" x14ac:dyDescent="0.25">
      <c r="A130" s="243"/>
      <c r="B130" s="410"/>
      <c r="C130" s="410"/>
      <c r="D130" s="410"/>
      <c r="E130" s="410"/>
      <c r="F130" s="410"/>
      <c r="G130" s="410"/>
      <c r="H130" s="410"/>
      <c r="I130" s="411"/>
      <c r="J130" s="410" t="s">
        <v>564</v>
      </c>
      <c r="K130" s="245"/>
      <c r="L130" s="257"/>
      <c r="M130" s="597" t="s">
        <v>565</v>
      </c>
      <c r="N130" s="598"/>
      <c r="O130" s="299"/>
      <c r="P130" s="180"/>
      <c r="Q130" s="180">
        <v>25000000</v>
      </c>
      <c r="R130" s="181">
        <f t="shared" si="51"/>
        <v>2.3390718562874251</v>
      </c>
      <c r="S130" s="181">
        <v>100</v>
      </c>
      <c r="T130" s="180">
        <f t="shared" si="33"/>
        <v>0</v>
      </c>
      <c r="U130" s="180">
        <f t="shared" si="47"/>
        <v>0</v>
      </c>
      <c r="V130" s="182">
        <f t="shared" si="35"/>
        <v>100</v>
      </c>
      <c r="W130" s="180"/>
      <c r="X130" s="180" t="e">
        <f>#REF!</f>
        <v>#REF!</v>
      </c>
      <c r="Y130" s="180" t="e">
        <f>#REF!</f>
        <v>#REF!</v>
      </c>
      <c r="Z130" s="180" t="e">
        <f>#REF!</f>
        <v>#REF!</v>
      </c>
      <c r="AA130" s="180" t="e">
        <f>#REF!</f>
        <v>#REF!</v>
      </c>
      <c r="AB130" s="180">
        <v>139212003</v>
      </c>
      <c r="AC130" s="180" t="e">
        <f>#REF!</f>
        <v>#REF!</v>
      </c>
      <c r="AD130" s="180" t="e">
        <f>#REF!</f>
        <v>#REF!</v>
      </c>
      <c r="AE130" s="180" t="e">
        <f>#REF!</f>
        <v>#REF!</v>
      </c>
      <c r="AF130" s="180" t="e">
        <f>[1]April!N38</f>
        <v>#REF!</v>
      </c>
      <c r="AG130" s="180" t="e">
        <f>[2]april!N38</f>
        <v>#REF!</v>
      </c>
      <c r="AH130" s="180">
        <f>'[3]DES SKPD'!$N38</f>
        <v>322038365</v>
      </c>
      <c r="AI130" s="180">
        <v>0</v>
      </c>
      <c r="AJ130" s="181">
        <f t="shared" si="37"/>
        <v>0</v>
      </c>
      <c r="AK130" s="180">
        <f t="shared" si="49"/>
        <v>25000000</v>
      </c>
      <c r="AL130" s="181">
        <f t="shared" si="38"/>
        <v>100</v>
      </c>
      <c r="AM130" s="243"/>
    </row>
    <row r="131" spans="1:39" ht="27.75" customHeight="1" x14ac:dyDescent="0.25">
      <c r="A131" s="243"/>
      <c r="B131" s="410"/>
      <c r="C131" s="410"/>
      <c r="D131" s="410"/>
      <c r="E131" s="410"/>
      <c r="F131" s="410"/>
      <c r="G131" s="410"/>
      <c r="H131" s="410"/>
      <c r="I131" s="411"/>
      <c r="J131" s="410" t="s">
        <v>566</v>
      </c>
      <c r="K131" s="245"/>
      <c r="L131" s="257"/>
      <c r="M131" s="597" t="s">
        <v>567</v>
      </c>
      <c r="N131" s="598"/>
      <c r="O131" s="299"/>
      <c r="P131" s="180"/>
      <c r="Q131" s="180">
        <v>12000000</v>
      </c>
      <c r="R131" s="181">
        <f t="shared" si="51"/>
        <v>1.1227544910179641</v>
      </c>
      <c r="S131" s="181">
        <v>100</v>
      </c>
      <c r="T131" s="180">
        <f t="shared" si="33"/>
        <v>0</v>
      </c>
      <c r="U131" s="180">
        <f t="shared" si="47"/>
        <v>0</v>
      </c>
      <c r="V131" s="182">
        <f t="shared" si="35"/>
        <v>100</v>
      </c>
      <c r="W131" s="180"/>
      <c r="X131" s="180" t="e">
        <f>#REF!</f>
        <v>#REF!</v>
      </c>
      <c r="Y131" s="180" t="e">
        <f>#REF!</f>
        <v>#REF!</v>
      </c>
      <c r="Z131" s="180" t="e">
        <f>#REF!</f>
        <v>#REF!</v>
      </c>
      <c r="AA131" s="180" t="e">
        <f>#REF!</f>
        <v>#REF!</v>
      </c>
      <c r="AB131" s="180">
        <v>139212004</v>
      </c>
      <c r="AC131" s="180" t="e">
        <f>#REF!</f>
        <v>#REF!</v>
      </c>
      <c r="AD131" s="180" t="e">
        <f>#REF!</f>
        <v>#REF!</v>
      </c>
      <c r="AE131" s="180" t="e">
        <f>#REF!</f>
        <v>#REF!</v>
      </c>
      <c r="AF131" s="180" t="e">
        <f>[1]April!N39</f>
        <v>#REF!</v>
      </c>
      <c r="AG131" s="180" t="e">
        <f>[2]april!N39</f>
        <v>#REF!</v>
      </c>
      <c r="AH131" s="180">
        <f>'[3]DES SKPD'!$N39</f>
        <v>676934270</v>
      </c>
      <c r="AI131" s="180">
        <v>0</v>
      </c>
      <c r="AJ131" s="181">
        <f t="shared" si="37"/>
        <v>0</v>
      </c>
      <c r="AK131" s="180">
        <f t="shared" si="49"/>
        <v>12000000</v>
      </c>
      <c r="AL131" s="181">
        <f t="shared" si="38"/>
        <v>100</v>
      </c>
      <c r="AM131" s="243"/>
    </row>
    <row r="132" spans="1:39" ht="27.75" customHeight="1" x14ac:dyDescent="0.25">
      <c r="A132" s="243"/>
      <c r="B132" s="410"/>
      <c r="C132" s="410"/>
      <c r="D132" s="410"/>
      <c r="E132" s="410"/>
      <c r="F132" s="410"/>
      <c r="G132" s="410"/>
      <c r="H132" s="410"/>
      <c r="I132" s="411"/>
      <c r="J132" s="410" t="s">
        <v>435</v>
      </c>
      <c r="K132" s="245"/>
      <c r="L132" s="257"/>
      <c r="M132" s="597" t="s">
        <v>396</v>
      </c>
      <c r="N132" s="598"/>
      <c r="O132" s="299"/>
      <c r="P132" s="180"/>
      <c r="Q132" s="180">
        <v>42500000</v>
      </c>
      <c r="R132" s="181">
        <f t="shared" si="51"/>
        <v>3.9764221556886228</v>
      </c>
      <c r="S132" s="181">
        <v>100</v>
      </c>
      <c r="T132" s="180">
        <f t="shared" si="33"/>
        <v>97.294117647058826</v>
      </c>
      <c r="U132" s="180">
        <f t="shared" si="47"/>
        <v>3.8688248502994016</v>
      </c>
      <c r="V132" s="182">
        <f t="shared" ref="V132:V153" si="52">S132-T132</f>
        <v>2.705882352941174</v>
      </c>
      <c r="W132" s="180"/>
      <c r="X132" s="180" t="e">
        <f>#REF!</f>
        <v>#REF!</v>
      </c>
      <c r="Y132" s="180" t="e">
        <f>#REF!</f>
        <v>#REF!</v>
      </c>
      <c r="Z132" s="180" t="e">
        <f>#REF!</f>
        <v>#REF!</v>
      </c>
      <c r="AA132" s="180" t="e">
        <f>#REF!</f>
        <v>#REF!</v>
      </c>
      <c r="AB132" s="180">
        <v>139212004</v>
      </c>
      <c r="AC132" s="180" t="e">
        <f>#REF!</f>
        <v>#REF!</v>
      </c>
      <c r="AD132" s="180" t="e">
        <f>#REF!</f>
        <v>#REF!</v>
      </c>
      <c r="AE132" s="180" t="e">
        <f>#REF!</f>
        <v>#REF!</v>
      </c>
      <c r="AF132" s="180" t="e">
        <f>[1]April!N40</f>
        <v>#REF!</v>
      </c>
      <c r="AG132" s="180" t="e">
        <f>[2]april!N40</f>
        <v>#REF!</v>
      </c>
      <c r="AH132" s="180">
        <f>'[3]DES SKPD'!$N40</f>
        <v>140440000</v>
      </c>
      <c r="AI132" s="180">
        <v>41350000</v>
      </c>
      <c r="AJ132" s="181">
        <f t="shared" si="37"/>
        <v>97.294117647058826</v>
      </c>
      <c r="AK132" s="180">
        <f t="shared" si="49"/>
        <v>1150000</v>
      </c>
      <c r="AL132" s="181">
        <f t="shared" si="38"/>
        <v>2.7058823529411762</v>
      </c>
      <c r="AM132" s="243"/>
    </row>
    <row r="133" spans="1:39" ht="27.75" customHeight="1" x14ac:dyDescent="0.25">
      <c r="A133" s="243"/>
      <c r="B133" s="410"/>
      <c r="C133" s="410"/>
      <c r="D133" s="410"/>
      <c r="E133" s="410"/>
      <c r="F133" s="410"/>
      <c r="G133" s="410"/>
      <c r="H133" s="410"/>
      <c r="I133" s="411"/>
      <c r="J133" s="410" t="s">
        <v>400</v>
      </c>
      <c r="K133" s="245"/>
      <c r="L133" s="257"/>
      <c r="M133" s="597" t="s">
        <v>568</v>
      </c>
      <c r="N133" s="598"/>
      <c r="O133" s="299"/>
      <c r="P133" s="180"/>
      <c r="Q133" s="180">
        <v>493300000</v>
      </c>
      <c r="R133" s="181">
        <f t="shared" si="51"/>
        <v>46.154565868263475</v>
      </c>
      <c r="S133" s="181">
        <v>100</v>
      </c>
      <c r="T133" s="180">
        <f t="shared" si="33"/>
        <v>0</v>
      </c>
      <c r="U133" s="180">
        <f t="shared" si="47"/>
        <v>0</v>
      </c>
      <c r="V133" s="182">
        <f t="shared" si="52"/>
        <v>100</v>
      </c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>
        <v>0</v>
      </c>
      <c r="AJ133" s="181">
        <f t="shared" si="37"/>
        <v>0</v>
      </c>
      <c r="AK133" s="180">
        <f t="shared" si="49"/>
        <v>493300000</v>
      </c>
      <c r="AL133" s="181">
        <f t="shared" si="38"/>
        <v>100</v>
      </c>
      <c r="AM133" s="243"/>
    </row>
    <row r="134" spans="1:39" ht="27.75" customHeight="1" x14ac:dyDescent="0.25">
      <c r="A134" s="243"/>
      <c r="B134" s="410"/>
      <c r="C134" s="410"/>
      <c r="D134" s="410"/>
      <c r="E134" s="410"/>
      <c r="F134" s="410"/>
      <c r="G134" s="410"/>
      <c r="H134" s="410"/>
      <c r="I134" s="411"/>
      <c r="J134" s="410" t="s">
        <v>569</v>
      </c>
      <c r="K134" s="245"/>
      <c r="L134" s="257"/>
      <c r="M134" s="597" t="s">
        <v>570</v>
      </c>
      <c r="N134" s="598"/>
      <c r="O134" s="299"/>
      <c r="P134" s="180"/>
      <c r="Q134" s="180">
        <v>50000000</v>
      </c>
      <c r="R134" s="181">
        <f t="shared" si="51"/>
        <v>4.6781437125748502</v>
      </c>
      <c r="S134" s="181">
        <v>100</v>
      </c>
      <c r="T134" s="180">
        <f t="shared" si="33"/>
        <v>0</v>
      </c>
      <c r="U134" s="180">
        <f t="shared" si="47"/>
        <v>0</v>
      </c>
      <c r="V134" s="182">
        <f t="shared" si="52"/>
        <v>100</v>
      </c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>
        <v>0</v>
      </c>
      <c r="AJ134" s="181">
        <f t="shared" si="37"/>
        <v>0</v>
      </c>
      <c r="AK134" s="180">
        <f t="shared" si="49"/>
        <v>50000000</v>
      </c>
      <c r="AL134" s="181">
        <f t="shared" si="38"/>
        <v>100</v>
      </c>
      <c r="AM134" s="243"/>
    </row>
    <row r="135" spans="1:39" ht="27.75" customHeight="1" x14ac:dyDescent="0.25">
      <c r="A135" s="243"/>
      <c r="B135" s="410"/>
      <c r="C135" s="410"/>
      <c r="D135" s="410"/>
      <c r="E135" s="410"/>
      <c r="F135" s="410"/>
      <c r="G135" s="410"/>
      <c r="H135" s="410"/>
      <c r="I135" s="411"/>
      <c r="J135" s="410" t="s">
        <v>286</v>
      </c>
      <c r="K135" s="245"/>
      <c r="L135" s="257"/>
      <c r="M135" s="597" t="s">
        <v>571</v>
      </c>
      <c r="N135" s="598"/>
      <c r="O135" s="299"/>
      <c r="P135" s="180"/>
      <c r="Q135" s="180">
        <v>50000000</v>
      </c>
      <c r="R135" s="181">
        <f t="shared" si="51"/>
        <v>4.6781437125748502</v>
      </c>
      <c r="S135" s="181">
        <v>100</v>
      </c>
      <c r="T135" s="180">
        <f t="shared" si="33"/>
        <v>0</v>
      </c>
      <c r="U135" s="180">
        <f t="shared" si="47"/>
        <v>0</v>
      </c>
      <c r="V135" s="182">
        <f t="shared" si="52"/>
        <v>100</v>
      </c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>
        <v>0</v>
      </c>
      <c r="AJ135" s="181">
        <f t="shared" si="37"/>
        <v>0</v>
      </c>
      <c r="AK135" s="180">
        <f t="shared" si="49"/>
        <v>50000000</v>
      </c>
      <c r="AL135" s="181">
        <f t="shared" si="38"/>
        <v>100</v>
      </c>
      <c r="AM135" s="243"/>
    </row>
    <row r="136" spans="1:39" ht="27.75" customHeight="1" x14ac:dyDescent="0.25">
      <c r="A136" s="243"/>
      <c r="B136" s="410"/>
      <c r="C136" s="410"/>
      <c r="D136" s="410"/>
      <c r="E136" s="410"/>
      <c r="F136" s="410"/>
      <c r="G136" s="410"/>
      <c r="H136" s="410"/>
      <c r="I136" s="411"/>
      <c r="J136" s="410" t="s">
        <v>402</v>
      </c>
      <c r="K136" s="245"/>
      <c r="L136" s="257"/>
      <c r="M136" s="597" t="s">
        <v>572</v>
      </c>
      <c r="N136" s="598"/>
      <c r="O136" s="299"/>
      <c r="P136" s="180"/>
      <c r="Q136" s="180">
        <v>192000000</v>
      </c>
      <c r="R136" s="181">
        <f t="shared" si="51"/>
        <v>17.964071856287426</v>
      </c>
      <c r="S136" s="181">
        <v>100</v>
      </c>
      <c r="T136" s="180">
        <f t="shared" si="33"/>
        <v>0</v>
      </c>
      <c r="U136" s="180">
        <f t="shared" si="47"/>
        <v>0</v>
      </c>
      <c r="V136" s="182">
        <f t="shared" si="52"/>
        <v>100</v>
      </c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>
        <v>0</v>
      </c>
      <c r="AJ136" s="181">
        <f t="shared" si="37"/>
        <v>0</v>
      </c>
      <c r="AK136" s="180">
        <f t="shared" si="49"/>
        <v>192000000</v>
      </c>
      <c r="AL136" s="181">
        <f t="shared" si="38"/>
        <v>100</v>
      </c>
      <c r="AM136" s="243"/>
    </row>
    <row r="137" spans="1:39" ht="27.75" customHeight="1" x14ac:dyDescent="0.25">
      <c r="A137" s="243"/>
      <c r="B137" s="410"/>
      <c r="C137" s="410"/>
      <c r="D137" s="410"/>
      <c r="E137" s="410"/>
      <c r="F137" s="410"/>
      <c r="G137" s="410"/>
      <c r="H137" s="410"/>
      <c r="I137" s="411"/>
      <c r="J137" s="410" t="s">
        <v>573</v>
      </c>
      <c r="K137" s="245"/>
      <c r="L137" s="257"/>
      <c r="M137" s="597" t="s">
        <v>574</v>
      </c>
      <c r="N137" s="598"/>
      <c r="O137" s="299"/>
      <c r="P137" s="180"/>
      <c r="Q137" s="180">
        <v>15000000</v>
      </c>
      <c r="R137" s="181">
        <f t="shared" si="51"/>
        <v>1.403443113772455</v>
      </c>
      <c r="S137" s="181">
        <v>100</v>
      </c>
      <c r="T137" s="180">
        <f t="shared" si="33"/>
        <v>0</v>
      </c>
      <c r="U137" s="180">
        <f t="shared" si="47"/>
        <v>0</v>
      </c>
      <c r="V137" s="182">
        <f t="shared" si="52"/>
        <v>100</v>
      </c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>
        <v>0</v>
      </c>
      <c r="AJ137" s="181">
        <f t="shared" si="37"/>
        <v>0</v>
      </c>
      <c r="AK137" s="180">
        <f t="shared" si="49"/>
        <v>15000000</v>
      </c>
      <c r="AL137" s="181">
        <f t="shared" si="38"/>
        <v>100</v>
      </c>
      <c r="AM137" s="243"/>
    </row>
    <row r="138" spans="1:39" ht="27.75" customHeight="1" x14ac:dyDescent="0.25">
      <c r="A138" s="243"/>
      <c r="B138" s="410"/>
      <c r="C138" s="410"/>
      <c r="D138" s="410"/>
      <c r="E138" s="410"/>
      <c r="F138" s="410"/>
      <c r="G138" s="410"/>
      <c r="H138" s="410"/>
      <c r="I138" s="411"/>
      <c r="J138" s="410" t="s">
        <v>575</v>
      </c>
      <c r="K138" s="245"/>
      <c r="L138" s="257"/>
      <c r="M138" s="597" t="s">
        <v>576</v>
      </c>
      <c r="N138" s="598"/>
      <c r="O138" s="299"/>
      <c r="P138" s="180"/>
      <c r="Q138" s="180">
        <v>44000000</v>
      </c>
      <c r="R138" s="181">
        <f t="shared" si="51"/>
        <v>4.1167664670658679</v>
      </c>
      <c r="S138" s="181">
        <v>100</v>
      </c>
      <c r="T138" s="180">
        <f t="shared" si="33"/>
        <v>0</v>
      </c>
      <c r="U138" s="180">
        <f t="shared" si="47"/>
        <v>0</v>
      </c>
      <c r="V138" s="182">
        <f t="shared" si="52"/>
        <v>100</v>
      </c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>
        <v>0</v>
      </c>
      <c r="AJ138" s="181">
        <f t="shared" si="37"/>
        <v>0</v>
      </c>
      <c r="AK138" s="180">
        <f t="shared" si="49"/>
        <v>44000000</v>
      </c>
      <c r="AL138" s="181">
        <f t="shared" si="38"/>
        <v>100</v>
      </c>
      <c r="AM138" s="243"/>
    </row>
    <row r="139" spans="1:39" s="297" customFormat="1" ht="24.75" customHeight="1" x14ac:dyDescent="0.25">
      <c r="A139" s="227">
        <f>A127+1</f>
        <v>17</v>
      </c>
      <c r="B139" s="615" t="s">
        <v>127</v>
      </c>
      <c r="C139" s="615"/>
      <c r="D139" s="615"/>
      <c r="E139" s="615"/>
      <c r="F139" s="615"/>
      <c r="G139" s="615"/>
      <c r="H139" s="615"/>
      <c r="I139" s="614"/>
      <c r="J139" s="304" t="s">
        <v>456</v>
      </c>
      <c r="K139" s="230"/>
      <c r="L139" s="294"/>
      <c r="M139" s="615" t="s">
        <v>579</v>
      </c>
      <c r="N139" s="614"/>
      <c r="O139" s="295">
        <v>68210000</v>
      </c>
      <c r="P139" s="231">
        <f>O139</f>
        <v>68210000</v>
      </c>
      <c r="Q139" s="231">
        <f>SUM(Q140:Q140)</f>
        <v>190800000</v>
      </c>
      <c r="R139" s="233">
        <f>Q139/Q$59*100</f>
        <v>7.5537021188162949</v>
      </c>
      <c r="S139" s="233">
        <v>100</v>
      </c>
      <c r="T139" s="231">
        <f t="shared" si="33"/>
        <v>46.80293501048218</v>
      </c>
      <c r="U139" s="231">
        <f t="shared" si="47"/>
        <v>3.535354293555006</v>
      </c>
      <c r="V139" s="296">
        <f t="shared" si="52"/>
        <v>53.19706498951782</v>
      </c>
      <c r="W139" s="231"/>
      <c r="X139" s="231" t="e">
        <f>#REF!</f>
        <v>#REF!</v>
      </c>
      <c r="Y139" s="231" t="e">
        <f>#REF!</f>
        <v>#REF!</v>
      </c>
      <c r="Z139" s="231" t="e">
        <f>#REF!</f>
        <v>#REF!</v>
      </c>
      <c r="AA139" s="231" t="e">
        <f>#REF!</f>
        <v>#REF!</v>
      </c>
      <c r="AB139" s="231">
        <v>139212000</v>
      </c>
      <c r="AC139" s="231" t="e">
        <f>#REF!</f>
        <v>#REF!</v>
      </c>
      <c r="AD139" s="231" t="e">
        <f>#REF!</f>
        <v>#REF!</v>
      </c>
      <c r="AE139" s="231" t="e">
        <f>#REF!</f>
        <v>#REF!</v>
      </c>
      <c r="AF139" s="231" t="e">
        <f>[1]April!N47</f>
        <v>#REF!</v>
      </c>
      <c r="AG139" s="231" t="e">
        <f>[2]april!N47</f>
        <v>#REF!</v>
      </c>
      <c r="AH139" s="231" t="e">
        <f>'[3]DES SKPD'!$N47</f>
        <v>#REF!</v>
      </c>
      <c r="AI139" s="231">
        <f>SUM(AI140)</f>
        <v>89300000</v>
      </c>
      <c r="AJ139" s="233">
        <f t="shared" si="37"/>
        <v>46.80293501048218</v>
      </c>
      <c r="AK139" s="231">
        <f t="shared" si="49"/>
        <v>101500000</v>
      </c>
      <c r="AL139" s="233">
        <f t="shared" si="38"/>
        <v>53.19706498951782</v>
      </c>
      <c r="AM139" s="227"/>
    </row>
    <row r="140" spans="1:39" ht="29.25" customHeight="1" x14ac:dyDescent="0.25">
      <c r="A140" s="243"/>
      <c r="B140" s="410"/>
      <c r="C140" s="410"/>
      <c r="D140" s="410"/>
      <c r="E140" s="410"/>
      <c r="F140" s="410"/>
      <c r="G140" s="410"/>
      <c r="H140" s="410"/>
      <c r="I140" s="411"/>
      <c r="J140" s="410" t="s">
        <v>577</v>
      </c>
      <c r="K140" s="245"/>
      <c r="L140" s="257"/>
      <c r="M140" s="597" t="s">
        <v>578</v>
      </c>
      <c r="N140" s="598"/>
      <c r="O140" s="299"/>
      <c r="P140" s="180"/>
      <c r="Q140" s="180">
        <v>190800000</v>
      </c>
      <c r="R140" s="181">
        <f t="shared" ref="R140" si="53">Q140/Q$127*100</f>
        <v>17.851796407185631</v>
      </c>
      <c r="S140" s="181">
        <v>100</v>
      </c>
      <c r="T140" s="180">
        <f t="shared" si="33"/>
        <v>46.80293501048218</v>
      </c>
      <c r="U140" s="180">
        <f t="shared" si="47"/>
        <v>8.3551646706586844</v>
      </c>
      <c r="V140" s="182">
        <f t="shared" si="52"/>
        <v>53.19706498951782</v>
      </c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>
        <v>89300000</v>
      </c>
      <c r="AJ140" s="181">
        <f t="shared" si="37"/>
        <v>46.80293501048218</v>
      </c>
      <c r="AK140" s="180">
        <f t="shared" si="49"/>
        <v>101500000</v>
      </c>
      <c r="AL140" s="181">
        <f t="shared" si="38"/>
        <v>53.19706498951782</v>
      </c>
      <c r="AM140" s="243"/>
    </row>
    <row r="141" spans="1:39" s="297" customFormat="1" ht="31.5" customHeight="1" x14ac:dyDescent="0.25">
      <c r="A141" s="227">
        <f>A139+1</f>
        <v>18</v>
      </c>
      <c r="B141" s="615" t="s">
        <v>128</v>
      </c>
      <c r="C141" s="615"/>
      <c r="D141" s="615"/>
      <c r="E141" s="615"/>
      <c r="F141" s="615"/>
      <c r="G141" s="615"/>
      <c r="H141" s="615"/>
      <c r="I141" s="614"/>
      <c r="J141" s="304" t="s">
        <v>457</v>
      </c>
      <c r="K141" s="230"/>
      <c r="L141" s="294"/>
      <c r="M141" s="615" t="s">
        <v>129</v>
      </c>
      <c r="N141" s="614"/>
      <c r="O141" s="295">
        <v>295960000</v>
      </c>
      <c r="P141" s="231">
        <v>0</v>
      </c>
      <c r="Q141" s="231">
        <f>SUM(Q142:Q143)</f>
        <v>326040000</v>
      </c>
      <c r="R141" s="233">
        <f>Q141/Q$59*100</f>
        <v>12.907804186681682</v>
      </c>
      <c r="S141" s="233">
        <v>100</v>
      </c>
      <c r="T141" s="231">
        <f t="shared" si="33"/>
        <v>98.760888234572448</v>
      </c>
      <c r="U141" s="231">
        <f>R141*T141/100</f>
        <v>12.747862066346158</v>
      </c>
      <c r="V141" s="296">
        <f t="shared" si="52"/>
        <v>1.2391117654275519</v>
      </c>
      <c r="W141" s="231"/>
      <c r="X141" s="231"/>
      <c r="Y141" s="231"/>
      <c r="Z141" s="231"/>
      <c r="AA141" s="231"/>
      <c r="AB141" s="231"/>
      <c r="AC141" s="231"/>
      <c r="AD141" s="231"/>
      <c r="AE141" s="231"/>
      <c r="AF141" s="231"/>
      <c r="AG141" s="231" t="e">
        <f>[2]april!N37</f>
        <v>#REF!</v>
      </c>
      <c r="AH141" s="231">
        <f>'[3]DES SKPD'!$N37</f>
        <v>0</v>
      </c>
      <c r="AI141" s="231">
        <f>SUM(AI142:AI143)</f>
        <v>322000000</v>
      </c>
      <c r="AJ141" s="233">
        <f t="shared" si="37"/>
        <v>98.760888234572448</v>
      </c>
      <c r="AK141" s="231">
        <f t="shared" si="49"/>
        <v>4040000</v>
      </c>
      <c r="AL141" s="233">
        <f t="shared" si="38"/>
        <v>1.239111765427555</v>
      </c>
      <c r="AM141" s="227"/>
    </row>
    <row r="142" spans="1:39" ht="24.75" customHeight="1" x14ac:dyDescent="0.25">
      <c r="A142" s="243"/>
      <c r="B142" s="410"/>
      <c r="C142" s="410"/>
      <c r="D142" s="410"/>
      <c r="E142" s="410"/>
      <c r="F142" s="410"/>
      <c r="G142" s="410"/>
      <c r="H142" s="410"/>
      <c r="I142" s="411"/>
      <c r="J142" s="410" t="s">
        <v>259</v>
      </c>
      <c r="K142" s="245"/>
      <c r="L142" s="257"/>
      <c r="M142" s="623" t="s">
        <v>260</v>
      </c>
      <c r="N142" s="624"/>
      <c r="O142" s="299"/>
      <c r="P142" s="180"/>
      <c r="Q142" s="180">
        <v>1040000</v>
      </c>
      <c r="R142" s="181">
        <f>Q142/Q$35*100</f>
        <v>3.271854703066358E-3</v>
      </c>
      <c r="S142" s="181">
        <v>100</v>
      </c>
      <c r="T142" s="180">
        <f t="shared" si="33"/>
        <v>0</v>
      </c>
      <c r="U142" s="180">
        <f>R142*T142/100</f>
        <v>0</v>
      </c>
      <c r="V142" s="182">
        <f t="shared" si="52"/>
        <v>100</v>
      </c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>
        <v>0</v>
      </c>
      <c r="AJ142" s="181">
        <f t="shared" si="37"/>
        <v>0</v>
      </c>
      <c r="AK142" s="180">
        <f t="shared" si="49"/>
        <v>1040000</v>
      </c>
      <c r="AL142" s="181">
        <f t="shared" si="38"/>
        <v>100</v>
      </c>
      <c r="AM142" s="243"/>
    </row>
    <row r="143" spans="1:39" ht="24.75" customHeight="1" x14ac:dyDescent="0.25">
      <c r="A143" s="243"/>
      <c r="B143" s="410"/>
      <c r="C143" s="410"/>
      <c r="D143" s="410"/>
      <c r="E143" s="410"/>
      <c r="F143" s="410"/>
      <c r="G143" s="410"/>
      <c r="H143" s="410"/>
      <c r="I143" s="411"/>
      <c r="J143" s="410" t="s">
        <v>288</v>
      </c>
      <c r="K143" s="245"/>
      <c r="L143" s="257"/>
      <c r="M143" s="597" t="s">
        <v>289</v>
      </c>
      <c r="N143" s="598"/>
      <c r="O143" s="299"/>
      <c r="P143" s="180"/>
      <c r="Q143" s="180">
        <v>325000000</v>
      </c>
      <c r="R143" s="181">
        <f>Q143/Q$141*100</f>
        <v>99.681020733652318</v>
      </c>
      <c r="S143" s="181">
        <v>100</v>
      </c>
      <c r="T143" s="180">
        <f t="shared" si="33"/>
        <v>99.07692307692308</v>
      </c>
      <c r="U143" s="180">
        <f>R143*T143/100</f>
        <v>98.760888234572448</v>
      </c>
      <c r="V143" s="182">
        <f t="shared" si="52"/>
        <v>0.9230769230769198</v>
      </c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 t="e">
        <f>[2]april!N39</f>
        <v>#REF!</v>
      </c>
      <c r="AH143" s="180">
        <f>'[3]DES SKPD'!$N39</f>
        <v>676934270</v>
      </c>
      <c r="AI143" s="180">
        <v>322000000</v>
      </c>
      <c r="AJ143" s="181">
        <f t="shared" si="37"/>
        <v>99.07692307692308</v>
      </c>
      <c r="AK143" s="180">
        <f t="shared" si="49"/>
        <v>3000000</v>
      </c>
      <c r="AL143" s="181">
        <f t="shared" si="38"/>
        <v>0.92307692307692313</v>
      </c>
      <c r="AM143" s="243"/>
    </row>
    <row r="144" spans="1:39" s="297" customFormat="1" ht="31.5" customHeight="1" x14ac:dyDescent="0.25">
      <c r="A144" s="227">
        <f>A141+1</f>
        <v>19</v>
      </c>
      <c r="B144" s="615" t="s">
        <v>128</v>
      </c>
      <c r="C144" s="615"/>
      <c r="D144" s="615"/>
      <c r="E144" s="615"/>
      <c r="F144" s="615"/>
      <c r="G144" s="615"/>
      <c r="H144" s="615"/>
      <c r="I144" s="614"/>
      <c r="J144" s="304" t="s">
        <v>458</v>
      </c>
      <c r="K144" s="230"/>
      <c r="L144" s="294"/>
      <c r="M144" s="615" t="s">
        <v>26</v>
      </c>
      <c r="N144" s="614"/>
      <c r="O144" s="295">
        <v>295960000</v>
      </c>
      <c r="P144" s="231">
        <f>O144</f>
        <v>295960000</v>
      </c>
      <c r="Q144" s="231">
        <f>SUM(Q145:Q147)</f>
        <v>151500000</v>
      </c>
      <c r="R144" s="233">
        <f>Q144/Q$59*100</f>
        <v>5.997829512582121</v>
      </c>
      <c r="S144" s="233">
        <v>100</v>
      </c>
      <c r="T144" s="231">
        <f t="shared" ref="T144:T207" si="54">AJ144</f>
        <v>51.320132013201324</v>
      </c>
      <c r="U144" s="231">
        <f>R144*T144/100</f>
        <v>3.0780940237838941</v>
      </c>
      <c r="V144" s="296">
        <f t="shared" si="52"/>
        <v>48.679867986798676</v>
      </c>
      <c r="W144" s="231"/>
      <c r="X144" s="231" t="e">
        <f>#REF!</f>
        <v>#REF!</v>
      </c>
      <c r="Y144" s="231" t="e">
        <f>#REF!</f>
        <v>#REF!</v>
      </c>
      <c r="Z144" s="231" t="e">
        <f>#REF!</f>
        <v>#REF!</v>
      </c>
      <c r="AA144" s="231" t="e">
        <f>#REF!</f>
        <v>#REF!</v>
      </c>
      <c r="AB144" s="231">
        <v>91844000</v>
      </c>
      <c r="AC144" s="231" t="e">
        <f>#REF!</f>
        <v>#REF!</v>
      </c>
      <c r="AD144" s="231" t="e">
        <f>#REF!</f>
        <v>#REF!</v>
      </c>
      <c r="AE144" s="231" t="e">
        <f>#REF!</f>
        <v>#REF!</v>
      </c>
      <c r="AF144" s="231" t="e">
        <f>[1]April!N38</f>
        <v>#REF!</v>
      </c>
      <c r="AG144" s="231" t="e">
        <f>[2]april!N38</f>
        <v>#REF!</v>
      </c>
      <c r="AH144" s="231">
        <f>'[3]DES SKPD'!$N38</f>
        <v>322038365</v>
      </c>
      <c r="AI144" s="231">
        <f>SUM(AI145:AI147)</f>
        <v>77750000</v>
      </c>
      <c r="AJ144" s="233">
        <f t="shared" ref="AJ144:AJ207" si="55">AI144/Q144*100</f>
        <v>51.320132013201324</v>
      </c>
      <c r="AK144" s="231">
        <f t="shared" si="49"/>
        <v>73750000</v>
      </c>
      <c r="AL144" s="233">
        <f t="shared" ref="AL144:AL207" si="56">AK144/Q144*100</f>
        <v>48.679867986798683</v>
      </c>
      <c r="AM144" s="227"/>
    </row>
    <row r="145" spans="1:39" ht="30.75" customHeight="1" x14ac:dyDescent="0.25">
      <c r="A145" s="243"/>
      <c r="B145" s="410"/>
      <c r="C145" s="410"/>
      <c r="D145" s="410"/>
      <c r="E145" s="410"/>
      <c r="F145" s="410"/>
      <c r="G145" s="410"/>
      <c r="H145" s="410"/>
      <c r="I145" s="411"/>
      <c r="J145" s="410" t="s">
        <v>259</v>
      </c>
      <c r="K145" s="245"/>
      <c r="L145" s="257"/>
      <c r="M145" s="597" t="s">
        <v>260</v>
      </c>
      <c r="N145" s="598"/>
      <c r="O145" s="299"/>
      <c r="P145" s="180"/>
      <c r="Q145" s="180">
        <v>800000</v>
      </c>
      <c r="R145" s="181">
        <f>Q145/Q$144*100</f>
        <v>0.528052805280528</v>
      </c>
      <c r="S145" s="181">
        <v>100</v>
      </c>
      <c r="T145" s="180">
        <f t="shared" si="54"/>
        <v>0</v>
      </c>
      <c r="U145" s="180">
        <f t="shared" ref="U145:U160" si="57">R145*T145/100</f>
        <v>0</v>
      </c>
      <c r="V145" s="182">
        <f t="shared" si="52"/>
        <v>100</v>
      </c>
      <c r="W145" s="180"/>
      <c r="X145" s="180" t="e">
        <f>#REF!</f>
        <v>#REF!</v>
      </c>
      <c r="Y145" s="180" t="e">
        <f>#REF!</f>
        <v>#REF!</v>
      </c>
      <c r="Z145" s="180" t="e">
        <f>#REF!</f>
        <v>#REF!</v>
      </c>
      <c r="AA145" s="180" t="e">
        <f>#REF!</f>
        <v>#REF!</v>
      </c>
      <c r="AB145" s="180">
        <v>91844002</v>
      </c>
      <c r="AC145" s="180" t="e">
        <f>#REF!</f>
        <v>#REF!</v>
      </c>
      <c r="AD145" s="180" t="e">
        <f>#REF!</f>
        <v>#REF!</v>
      </c>
      <c r="AE145" s="180" t="e">
        <f>#REF!</f>
        <v>#REF!</v>
      </c>
      <c r="AF145" s="180" t="e">
        <f>[1]April!N40</f>
        <v>#REF!</v>
      </c>
      <c r="AG145" s="180" t="e">
        <f>[2]april!N40</f>
        <v>#REF!</v>
      </c>
      <c r="AH145" s="180">
        <f>'[3]DES SKPD'!$N40</f>
        <v>140440000</v>
      </c>
      <c r="AI145" s="180">
        <v>0</v>
      </c>
      <c r="AJ145" s="181">
        <f t="shared" si="55"/>
        <v>0</v>
      </c>
      <c r="AK145" s="180">
        <f t="shared" si="49"/>
        <v>800000</v>
      </c>
      <c r="AL145" s="181">
        <f t="shared" si="56"/>
        <v>100</v>
      </c>
      <c r="AM145" s="243"/>
    </row>
    <row r="146" spans="1:39" ht="24.75" customHeight="1" x14ac:dyDescent="0.25">
      <c r="A146" s="243"/>
      <c r="B146" s="410"/>
      <c r="C146" s="410"/>
      <c r="D146" s="410"/>
      <c r="E146" s="410"/>
      <c r="F146" s="410"/>
      <c r="G146" s="410"/>
      <c r="H146" s="410"/>
      <c r="I146" s="411"/>
      <c r="J146" s="410" t="s">
        <v>290</v>
      </c>
      <c r="K146" s="245"/>
      <c r="L146" s="257"/>
      <c r="M146" s="597" t="s">
        <v>291</v>
      </c>
      <c r="N146" s="598"/>
      <c r="O146" s="299"/>
      <c r="P146" s="180"/>
      <c r="Q146" s="180">
        <v>95400000</v>
      </c>
      <c r="R146" s="181">
        <f>Q146/Q$144*100</f>
        <v>62.970297029702969</v>
      </c>
      <c r="S146" s="181">
        <v>100</v>
      </c>
      <c r="T146" s="180">
        <f t="shared" si="54"/>
        <v>23.846960167714883</v>
      </c>
      <c r="U146" s="180">
        <f t="shared" si="57"/>
        <v>15.016501650165015</v>
      </c>
      <c r="V146" s="182">
        <f t="shared" si="52"/>
        <v>76.153039832285117</v>
      </c>
      <c r="W146" s="180"/>
      <c r="X146" s="180" t="e">
        <f>#REF!</f>
        <v>#REF!</v>
      </c>
      <c r="Y146" s="180" t="e">
        <f>#REF!</f>
        <v>#REF!</v>
      </c>
      <c r="Z146" s="180" t="e">
        <f>#REF!</f>
        <v>#REF!</v>
      </c>
      <c r="AA146" s="180" t="e">
        <f>#REF!</f>
        <v>#REF!</v>
      </c>
      <c r="AB146" s="180">
        <v>91844003</v>
      </c>
      <c r="AC146" s="180" t="e">
        <f>#REF!</f>
        <v>#REF!</v>
      </c>
      <c r="AD146" s="180" t="e">
        <f>#REF!</f>
        <v>#REF!</v>
      </c>
      <c r="AE146" s="180" t="e">
        <f>#REF!</f>
        <v>#REF!</v>
      </c>
      <c r="AF146" s="180" t="e">
        <f>[1]April!N41</f>
        <v>#REF!</v>
      </c>
      <c r="AG146" s="180" t="e">
        <f>[2]april!N41</f>
        <v>#REF!</v>
      </c>
      <c r="AH146" s="180">
        <f>'[3]DES SKPD'!$N41</f>
        <v>231767600</v>
      </c>
      <c r="AI146" s="180">
        <f>10400000+5200000+7150000</f>
        <v>22750000</v>
      </c>
      <c r="AJ146" s="181">
        <f t="shared" si="55"/>
        <v>23.846960167714883</v>
      </c>
      <c r="AK146" s="180">
        <f t="shared" si="49"/>
        <v>72650000</v>
      </c>
      <c r="AL146" s="181">
        <f t="shared" si="56"/>
        <v>76.153039832285117</v>
      </c>
      <c r="AM146" s="243"/>
    </row>
    <row r="147" spans="1:39" ht="36" customHeight="1" x14ac:dyDescent="0.25">
      <c r="A147" s="243"/>
      <c r="B147" s="410"/>
      <c r="C147" s="410"/>
      <c r="D147" s="410"/>
      <c r="E147" s="410"/>
      <c r="F147" s="410"/>
      <c r="G147" s="410"/>
      <c r="H147" s="410"/>
      <c r="I147" s="411"/>
      <c r="J147" s="410" t="s">
        <v>292</v>
      </c>
      <c r="K147" s="245"/>
      <c r="L147" s="257"/>
      <c r="M147" s="597" t="s">
        <v>293</v>
      </c>
      <c r="N147" s="598"/>
      <c r="O147" s="299"/>
      <c r="P147" s="180"/>
      <c r="Q147" s="180">
        <v>55300000</v>
      </c>
      <c r="R147" s="181">
        <f>Q147/Q$144*100</f>
        <v>36.5016501650165</v>
      </c>
      <c r="S147" s="181">
        <v>100</v>
      </c>
      <c r="T147" s="180">
        <f t="shared" si="54"/>
        <v>99.457504520795652</v>
      </c>
      <c r="U147" s="180">
        <f t="shared" si="57"/>
        <v>36.303630363036298</v>
      </c>
      <c r="V147" s="182">
        <f t="shared" si="52"/>
        <v>0.54249547920434793</v>
      </c>
      <c r="W147" s="180"/>
      <c r="X147" s="180" t="e">
        <f>#REF!</f>
        <v>#REF!</v>
      </c>
      <c r="Y147" s="180" t="e">
        <f>#REF!</f>
        <v>#REF!</v>
      </c>
      <c r="Z147" s="180" t="e">
        <f>#REF!</f>
        <v>#REF!</v>
      </c>
      <c r="AA147" s="180" t="e">
        <f>#REF!</f>
        <v>#REF!</v>
      </c>
      <c r="AB147" s="180">
        <v>91844004</v>
      </c>
      <c r="AC147" s="180" t="e">
        <f>#REF!</f>
        <v>#REF!</v>
      </c>
      <c r="AD147" s="180" t="e">
        <f>#REF!</f>
        <v>#REF!</v>
      </c>
      <c r="AE147" s="180" t="e">
        <f>#REF!</f>
        <v>#REF!</v>
      </c>
      <c r="AF147" s="180" t="e">
        <f>[1]April!N42</f>
        <v>#REF!</v>
      </c>
      <c r="AG147" s="180" t="e">
        <f>[2]april!N42</f>
        <v>#REF!</v>
      </c>
      <c r="AH147" s="180" t="e">
        <f>'[3]DES SKPD'!$N42</f>
        <v>#REF!</v>
      </c>
      <c r="AI147" s="180">
        <v>55000000</v>
      </c>
      <c r="AJ147" s="181">
        <f t="shared" si="55"/>
        <v>99.457504520795652</v>
      </c>
      <c r="AK147" s="180">
        <f t="shared" si="49"/>
        <v>300000</v>
      </c>
      <c r="AL147" s="181">
        <f t="shared" si="56"/>
        <v>0.54249547920433994</v>
      </c>
      <c r="AM147" s="243"/>
    </row>
    <row r="148" spans="1:39" s="297" customFormat="1" ht="32.25" customHeight="1" x14ac:dyDescent="0.25">
      <c r="A148" s="227">
        <f>A144+1</f>
        <v>20</v>
      </c>
      <c r="B148" s="615" t="s">
        <v>130</v>
      </c>
      <c r="C148" s="615"/>
      <c r="D148" s="615"/>
      <c r="E148" s="615"/>
      <c r="F148" s="615"/>
      <c r="G148" s="615"/>
      <c r="H148" s="615"/>
      <c r="I148" s="614"/>
      <c r="J148" s="304" t="s">
        <v>459</v>
      </c>
      <c r="K148" s="230"/>
      <c r="L148" s="294"/>
      <c r="M148" s="615" t="s">
        <v>27</v>
      </c>
      <c r="N148" s="614"/>
      <c r="O148" s="295">
        <v>641710000</v>
      </c>
      <c r="P148" s="231">
        <f>O148</f>
        <v>641710000</v>
      </c>
      <c r="Q148" s="231">
        <f>SUM(Q149:Q154)</f>
        <v>1030500000</v>
      </c>
      <c r="R148" s="233">
        <f>Q148/Q$59*100</f>
        <v>40.797117575682343</v>
      </c>
      <c r="S148" s="233">
        <v>100</v>
      </c>
      <c r="T148" s="231">
        <f>AJ148</f>
        <v>32.737265890344489</v>
      </c>
      <c r="U148" s="231">
        <f>R148*T148/100</f>
        <v>13.355860856347592</v>
      </c>
      <c r="V148" s="296">
        <f>S148-T148</f>
        <v>67.262734109655511</v>
      </c>
      <c r="W148" s="231"/>
      <c r="X148" s="231" t="e">
        <f>#REF!</f>
        <v>#REF!</v>
      </c>
      <c r="Y148" s="231" t="e">
        <f>#REF!</f>
        <v>#REF!</v>
      </c>
      <c r="Z148" s="231" t="e">
        <f>#REF!</f>
        <v>#REF!</v>
      </c>
      <c r="AA148" s="231" t="e">
        <f>#REF!</f>
        <v>#REF!</v>
      </c>
      <c r="AB148" s="231">
        <v>335806263</v>
      </c>
      <c r="AC148" s="231" t="e">
        <f>#REF!</f>
        <v>#REF!</v>
      </c>
      <c r="AD148" s="231" t="e">
        <f>#REF!</f>
        <v>#REF!</v>
      </c>
      <c r="AE148" s="231" t="e">
        <f>#REF!</f>
        <v>#REF!</v>
      </c>
      <c r="AF148" s="231" t="e">
        <f>[1]April!N39</f>
        <v>#REF!</v>
      </c>
      <c r="AG148" s="231" t="e">
        <f>[2]april!N39</f>
        <v>#REF!</v>
      </c>
      <c r="AH148" s="231">
        <f>'[3]DES SKPD'!$N39</f>
        <v>676934270</v>
      </c>
      <c r="AI148" s="231">
        <f>SUM(AI149:AI154)</f>
        <v>337357525</v>
      </c>
      <c r="AJ148" s="233">
        <f>AI148/Q148*100</f>
        <v>32.737265890344489</v>
      </c>
      <c r="AK148" s="231">
        <f>Q148-AI148</f>
        <v>693142475</v>
      </c>
      <c r="AL148" s="233">
        <f>AK148/Q148*100</f>
        <v>67.262734109655511</v>
      </c>
      <c r="AM148" s="227"/>
    </row>
    <row r="149" spans="1:39" s="297" customFormat="1" ht="32.25" customHeight="1" x14ac:dyDescent="0.25">
      <c r="A149" s="227"/>
      <c r="B149" s="415"/>
      <c r="C149" s="415"/>
      <c r="D149" s="415"/>
      <c r="E149" s="415"/>
      <c r="F149" s="415"/>
      <c r="G149" s="415"/>
      <c r="H149" s="415"/>
      <c r="I149" s="414"/>
      <c r="J149" s="410" t="s">
        <v>259</v>
      </c>
      <c r="K149" s="245"/>
      <c r="L149" s="257"/>
      <c r="M149" s="597" t="s">
        <v>260</v>
      </c>
      <c r="N149" s="598"/>
      <c r="O149" s="299"/>
      <c r="P149" s="180"/>
      <c r="Q149" s="180">
        <v>800000</v>
      </c>
      <c r="R149" s="181">
        <f>Q149/Q$144*100</f>
        <v>0.528052805280528</v>
      </c>
      <c r="S149" s="181">
        <v>100</v>
      </c>
      <c r="T149" s="180">
        <f t="shared" ref="T149" si="58">AJ149</f>
        <v>0</v>
      </c>
      <c r="U149" s="180">
        <f t="shared" ref="U149" si="59">R149*T149/100</f>
        <v>0</v>
      </c>
      <c r="V149" s="182">
        <f t="shared" ref="V149" si="60">S149-T149</f>
        <v>100</v>
      </c>
      <c r="W149" s="180"/>
      <c r="X149" s="180" t="e">
        <f>#REF!</f>
        <v>#REF!</v>
      </c>
      <c r="Y149" s="180" t="e">
        <f>#REF!</f>
        <v>#REF!</v>
      </c>
      <c r="Z149" s="180" t="e">
        <f>#REF!</f>
        <v>#REF!</v>
      </c>
      <c r="AA149" s="180" t="e">
        <f>#REF!</f>
        <v>#REF!</v>
      </c>
      <c r="AB149" s="180">
        <v>91844002</v>
      </c>
      <c r="AC149" s="180" t="e">
        <f>#REF!</f>
        <v>#REF!</v>
      </c>
      <c r="AD149" s="180" t="e">
        <f>#REF!</f>
        <v>#REF!</v>
      </c>
      <c r="AE149" s="180" t="e">
        <f>#REF!</f>
        <v>#REF!</v>
      </c>
      <c r="AF149" s="180" t="e">
        <f>[1]April!N44</f>
        <v>#REF!</v>
      </c>
      <c r="AG149" s="180" t="e">
        <f>[2]april!N44</f>
        <v>#REF!</v>
      </c>
      <c r="AH149" s="180" t="e">
        <f>'[3]DES SKPD'!$N44</f>
        <v>#REF!</v>
      </c>
      <c r="AI149" s="180">
        <v>0</v>
      </c>
      <c r="AJ149" s="181">
        <f t="shared" ref="AJ149" si="61">AI149/Q149*100</f>
        <v>0</v>
      </c>
      <c r="AK149" s="180">
        <f t="shared" ref="AK149" si="62">Q149-AI149</f>
        <v>800000</v>
      </c>
      <c r="AL149" s="181">
        <f t="shared" ref="AL149" si="63">AK149/Q149*100</f>
        <v>100</v>
      </c>
      <c r="AM149" s="227"/>
    </row>
    <row r="150" spans="1:39" ht="28.5" customHeight="1" x14ac:dyDescent="0.25">
      <c r="A150" s="243"/>
      <c r="B150" s="410"/>
      <c r="C150" s="410"/>
      <c r="D150" s="410"/>
      <c r="E150" s="410"/>
      <c r="F150" s="410"/>
      <c r="G150" s="410"/>
      <c r="H150" s="410"/>
      <c r="I150" s="411"/>
      <c r="J150" s="410" t="s">
        <v>294</v>
      </c>
      <c r="K150" s="245"/>
      <c r="L150" s="257"/>
      <c r="M150" s="597" t="s">
        <v>295</v>
      </c>
      <c r="N150" s="598"/>
      <c r="O150" s="299"/>
      <c r="P150" s="180"/>
      <c r="Q150" s="180">
        <v>67090000</v>
      </c>
      <c r="R150" s="181">
        <f t="shared" ref="R150:R154" si="64">Q150/Q$148*100</f>
        <v>6.5104318292091223</v>
      </c>
      <c r="S150" s="181">
        <v>100</v>
      </c>
      <c r="T150" s="180">
        <f t="shared" si="54"/>
        <v>99.604710090922637</v>
      </c>
      <c r="U150" s="180">
        <f t="shared" si="57"/>
        <v>6.4846967491508973</v>
      </c>
      <c r="V150" s="182">
        <f t="shared" si="52"/>
        <v>0.39528990907736272</v>
      </c>
      <c r="W150" s="180"/>
      <c r="X150" s="180" t="e">
        <f>#REF!</f>
        <v>#REF!</v>
      </c>
      <c r="Y150" s="180" t="e">
        <f>#REF!</f>
        <v>#REF!</v>
      </c>
      <c r="Z150" s="180" t="e">
        <f>#REF!</f>
        <v>#REF!</v>
      </c>
      <c r="AA150" s="180" t="e">
        <f>#REF!</f>
        <v>#REF!</v>
      </c>
      <c r="AB150" s="180">
        <v>335806265</v>
      </c>
      <c r="AC150" s="180" t="e">
        <f>#REF!</f>
        <v>#REF!</v>
      </c>
      <c r="AD150" s="180" t="e">
        <f>#REF!</f>
        <v>#REF!</v>
      </c>
      <c r="AE150" s="180" t="e">
        <f>#REF!</f>
        <v>#REF!</v>
      </c>
      <c r="AF150" s="180" t="e">
        <f>[1]April!N41</f>
        <v>#REF!</v>
      </c>
      <c r="AG150" s="180" t="e">
        <f>[2]april!N41</f>
        <v>#REF!</v>
      </c>
      <c r="AH150" s="180">
        <f>'[3]DES SKPD'!$N41</f>
        <v>231767600</v>
      </c>
      <c r="AI150" s="180">
        <v>66824800</v>
      </c>
      <c r="AJ150" s="181">
        <f t="shared" si="55"/>
        <v>99.604710090922637</v>
      </c>
      <c r="AK150" s="180">
        <f t="shared" si="49"/>
        <v>265200</v>
      </c>
      <c r="AL150" s="181">
        <f t="shared" si="56"/>
        <v>0.39528990907735878</v>
      </c>
      <c r="AM150" s="243"/>
    </row>
    <row r="151" spans="1:39" ht="28.5" customHeight="1" x14ac:dyDescent="0.25">
      <c r="A151" s="243"/>
      <c r="B151" s="410"/>
      <c r="C151" s="410"/>
      <c r="D151" s="410"/>
      <c r="E151" s="410"/>
      <c r="F151" s="410"/>
      <c r="G151" s="410"/>
      <c r="H151" s="410"/>
      <c r="I151" s="411"/>
      <c r="J151" s="410" t="s">
        <v>296</v>
      </c>
      <c r="K151" s="245"/>
      <c r="L151" s="257"/>
      <c r="M151" s="597" t="s">
        <v>297</v>
      </c>
      <c r="N151" s="598"/>
      <c r="O151" s="299"/>
      <c r="P151" s="180"/>
      <c r="Q151" s="180">
        <v>297450000</v>
      </c>
      <c r="R151" s="181">
        <f t="shared" si="64"/>
        <v>28.864628820960696</v>
      </c>
      <c r="S151" s="181">
        <v>100</v>
      </c>
      <c r="T151" s="180">
        <f t="shared" si="54"/>
        <v>3.0182551689359558</v>
      </c>
      <c r="U151" s="180">
        <f t="shared" si="57"/>
        <v>0.87120815138282381</v>
      </c>
      <c r="V151" s="182">
        <f t="shared" si="52"/>
        <v>96.981744831064049</v>
      </c>
      <c r="W151" s="180"/>
      <c r="X151" s="180" t="e">
        <f>#REF!</f>
        <v>#REF!</v>
      </c>
      <c r="Y151" s="180" t="e">
        <f>#REF!</f>
        <v>#REF!</v>
      </c>
      <c r="Z151" s="180" t="e">
        <f>#REF!</f>
        <v>#REF!</v>
      </c>
      <c r="AA151" s="180" t="e">
        <f>#REF!</f>
        <v>#REF!</v>
      </c>
      <c r="AB151" s="180">
        <v>335806266</v>
      </c>
      <c r="AC151" s="180" t="e">
        <f>#REF!</f>
        <v>#REF!</v>
      </c>
      <c r="AD151" s="180" t="e">
        <f>#REF!</f>
        <v>#REF!</v>
      </c>
      <c r="AE151" s="180" t="e">
        <f>#REF!</f>
        <v>#REF!</v>
      </c>
      <c r="AF151" s="180" t="e">
        <f>[1]April!N42</f>
        <v>#REF!</v>
      </c>
      <c r="AG151" s="180" t="e">
        <f>[2]april!N42</f>
        <v>#REF!</v>
      </c>
      <c r="AH151" s="180" t="e">
        <f>'[3]DES SKPD'!$N42</f>
        <v>#REF!</v>
      </c>
      <c r="AI151" s="180">
        <v>8977800</v>
      </c>
      <c r="AJ151" s="181">
        <f t="shared" si="55"/>
        <v>3.0182551689359558</v>
      </c>
      <c r="AK151" s="180">
        <f t="shared" si="49"/>
        <v>288472200</v>
      </c>
      <c r="AL151" s="181">
        <f t="shared" si="56"/>
        <v>96.981744831064049</v>
      </c>
      <c r="AM151" s="243"/>
    </row>
    <row r="152" spans="1:39" ht="28.5" customHeight="1" x14ac:dyDescent="0.25">
      <c r="A152" s="243"/>
      <c r="B152" s="410"/>
      <c r="C152" s="410"/>
      <c r="D152" s="410"/>
      <c r="E152" s="410"/>
      <c r="F152" s="410"/>
      <c r="G152" s="410"/>
      <c r="H152" s="410"/>
      <c r="I152" s="411"/>
      <c r="J152" s="410" t="s">
        <v>298</v>
      </c>
      <c r="K152" s="245"/>
      <c r="L152" s="257"/>
      <c r="M152" s="597" t="s">
        <v>299</v>
      </c>
      <c r="N152" s="598"/>
      <c r="O152" s="299"/>
      <c r="P152" s="180"/>
      <c r="Q152" s="180">
        <v>241500000</v>
      </c>
      <c r="R152" s="181">
        <f t="shared" si="64"/>
        <v>23.435225618631733</v>
      </c>
      <c r="S152" s="181">
        <v>100</v>
      </c>
      <c r="T152" s="180">
        <f t="shared" si="54"/>
        <v>24.461190476190474</v>
      </c>
      <c r="U152" s="180">
        <f t="shared" si="57"/>
        <v>5.7325351770984954</v>
      </c>
      <c r="V152" s="182">
        <f t="shared" si="52"/>
        <v>75.538809523809533</v>
      </c>
      <c r="W152" s="180"/>
      <c r="X152" s="180" t="e">
        <f>#REF!</f>
        <v>#REF!</v>
      </c>
      <c r="Y152" s="180" t="e">
        <f>#REF!</f>
        <v>#REF!</v>
      </c>
      <c r="Z152" s="180" t="e">
        <f>#REF!</f>
        <v>#REF!</v>
      </c>
      <c r="AA152" s="180" t="e">
        <f>#REF!</f>
        <v>#REF!</v>
      </c>
      <c r="AB152" s="180">
        <v>335806267</v>
      </c>
      <c r="AC152" s="180" t="e">
        <f>#REF!</f>
        <v>#REF!</v>
      </c>
      <c r="AD152" s="180" t="e">
        <f>#REF!</f>
        <v>#REF!</v>
      </c>
      <c r="AE152" s="180" t="e">
        <f>#REF!</f>
        <v>#REF!</v>
      </c>
      <c r="AF152" s="180" t="e">
        <f>[1]April!N43</f>
        <v>#REF!</v>
      </c>
      <c r="AG152" s="180" t="e">
        <f>[2]april!N43</f>
        <v>#REF!</v>
      </c>
      <c r="AH152" s="180">
        <f>'[3]DES SKPD'!$N43</f>
        <v>38085000</v>
      </c>
      <c r="AI152" s="180">
        <v>59073775</v>
      </c>
      <c r="AJ152" s="181">
        <f t="shared" si="55"/>
        <v>24.461190476190474</v>
      </c>
      <c r="AK152" s="180">
        <f t="shared" si="49"/>
        <v>182426225</v>
      </c>
      <c r="AL152" s="181">
        <f t="shared" si="56"/>
        <v>75.538809523809519</v>
      </c>
      <c r="AM152" s="243"/>
    </row>
    <row r="153" spans="1:39" ht="28.5" customHeight="1" x14ac:dyDescent="0.25">
      <c r="A153" s="243"/>
      <c r="B153" s="410"/>
      <c r="C153" s="410"/>
      <c r="D153" s="410"/>
      <c r="E153" s="410"/>
      <c r="F153" s="410"/>
      <c r="G153" s="410"/>
      <c r="H153" s="410"/>
      <c r="I153" s="411"/>
      <c r="J153" s="410" t="s">
        <v>581</v>
      </c>
      <c r="K153" s="245"/>
      <c r="L153" s="257"/>
      <c r="M153" s="597" t="s">
        <v>580</v>
      </c>
      <c r="N153" s="598"/>
      <c r="O153" s="299"/>
      <c r="P153" s="180"/>
      <c r="Q153" s="180">
        <v>411660000</v>
      </c>
      <c r="R153" s="181">
        <f t="shared" si="64"/>
        <v>39.94759825327511</v>
      </c>
      <c r="S153" s="181">
        <v>100</v>
      </c>
      <c r="T153" s="180">
        <f t="shared" si="54"/>
        <v>48.214825341301079</v>
      </c>
      <c r="U153" s="180">
        <f t="shared" si="57"/>
        <v>19.260664725861236</v>
      </c>
      <c r="V153" s="182">
        <f t="shared" si="52"/>
        <v>51.785174658698921</v>
      </c>
      <c r="W153" s="180"/>
      <c r="X153" s="180" t="e">
        <f>#REF!</f>
        <v>#REF!</v>
      </c>
      <c r="Y153" s="180" t="e">
        <f>#REF!</f>
        <v>#REF!</v>
      </c>
      <c r="Z153" s="180" t="e">
        <f>#REF!</f>
        <v>#REF!</v>
      </c>
      <c r="AA153" s="180" t="e">
        <f>#REF!</f>
        <v>#REF!</v>
      </c>
      <c r="AB153" s="180">
        <v>335806268</v>
      </c>
      <c r="AC153" s="180" t="e">
        <f>#REF!</f>
        <v>#REF!</v>
      </c>
      <c r="AD153" s="180" t="e">
        <f>#REF!</f>
        <v>#REF!</v>
      </c>
      <c r="AE153" s="180" t="e">
        <f>#REF!</f>
        <v>#REF!</v>
      </c>
      <c r="AF153" s="180" t="e">
        <f>[1]April!N44</f>
        <v>#REF!</v>
      </c>
      <c r="AG153" s="180" t="e">
        <f>[2]april!N44</f>
        <v>#REF!</v>
      </c>
      <c r="AH153" s="180" t="e">
        <f>'[3]DES SKPD'!$N44</f>
        <v>#REF!</v>
      </c>
      <c r="AI153" s="180">
        <f>6981150+38300000+153200000</f>
        <v>198481150</v>
      </c>
      <c r="AJ153" s="181">
        <f t="shared" si="55"/>
        <v>48.214825341301079</v>
      </c>
      <c r="AK153" s="180">
        <f t="shared" si="49"/>
        <v>213178850</v>
      </c>
      <c r="AL153" s="181">
        <f t="shared" si="56"/>
        <v>51.785174658698928</v>
      </c>
      <c r="AM153" s="243"/>
    </row>
    <row r="154" spans="1:39" ht="32.25" customHeight="1" x14ac:dyDescent="0.25">
      <c r="A154" s="243"/>
      <c r="B154" s="410"/>
      <c r="C154" s="410"/>
      <c r="D154" s="410"/>
      <c r="E154" s="410"/>
      <c r="F154" s="410"/>
      <c r="G154" s="410"/>
      <c r="H154" s="410"/>
      <c r="I154" s="411"/>
      <c r="J154" s="410" t="s">
        <v>551</v>
      </c>
      <c r="K154" s="245"/>
      <c r="L154" s="257"/>
      <c r="M154" s="597" t="s">
        <v>550</v>
      </c>
      <c r="N154" s="598"/>
      <c r="O154" s="299"/>
      <c r="P154" s="180"/>
      <c r="Q154" s="180">
        <v>12000000</v>
      </c>
      <c r="R154" s="181">
        <f t="shared" si="64"/>
        <v>1.1644832605531297</v>
      </c>
      <c r="S154" s="181"/>
      <c r="T154" s="180">
        <f t="shared" si="54"/>
        <v>33.333333333333329</v>
      </c>
      <c r="U154" s="180">
        <f t="shared" si="57"/>
        <v>0.38816108685104317</v>
      </c>
      <c r="V154" s="182">
        <f>S154-T154</f>
        <v>-33.333333333333329</v>
      </c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>
        <f>2000000+1000000+1000000</f>
        <v>4000000</v>
      </c>
      <c r="AJ154" s="181">
        <f t="shared" si="55"/>
        <v>33.333333333333329</v>
      </c>
      <c r="AK154" s="180">
        <f t="shared" si="49"/>
        <v>8000000</v>
      </c>
      <c r="AL154" s="181">
        <f t="shared" si="56"/>
        <v>66.666666666666657</v>
      </c>
      <c r="AM154" s="243"/>
    </row>
    <row r="155" spans="1:39" s="297" customFormat="1" ht="33.75" customHeight="1" x14ac:dyDescent="0.25">
      <c r="A155" s="227">
        <f>A148+1</f>
        <v>21</v>
      </c>
      <c r="B155" s="615" t="s">
        <v>131</v>
      </c>
      <c r="C155" s="615"/>
      <c r="D155" s="615"/>
      <c r="E155" s="615"/>
      <c r="F155" s="615"/>
      <c r="G155" s="615"/>
      <c r="H155" s="615"/>
      <c r="I155" s="614"/>
      <c r="J155" s="304" t="s">
        <v>460</v>
      </c>
      <c r="K155" s="230"/>
      <c r="L155" s="294"/>
      <c r="M155" s="615" t="s">
        <v>28</v>
      </c>
      <c r="N155" s="614"/>
      <c r="O155" s="295">
        <v>140600000</v>
      </c>
      <c r="P155" s="231">
        <f>O155</f>
        <v>140600000</v>
      </c>
      <c r="Q155" s="231">
        <f>SUM(Q156:Q156)</f>
        <v>96500000</v>
      </c>
      <c r="R155" s="233">
        <f>Q155/Q$124*100</f>
        <v>2.7479286597853601</v>
      </c>
      <c r="S155" s="233">
        <v>100</v>
      </c>
      <c r="T155" s="231">
        <f t="shared" si="54"/>
        <v>99.52435233160621</v>
      </c>
      <c r="U155" s="231">
        <f t="shared" si="57"/>
        <v>2.7348582011859661</v>
      </c>
      <c r="V155" s="296">
        <f>S155-T155</f>
        <v>0.47564766839379047</v>
      </c>
      <c r="W155" s="231"/>
      <c r="X155" s="231" t="e">
        <f>#REF!</f>
        <v>#REF!</v>
      </c>
      <c r="Y155" s="231" t="e">
        <f>#REF!</f>
        <v>#REF!</v>
      </c>
      <c r="Z155" s="231" t="e">
        <f>#REF!</f>
        <v>#REF!</v>
      </c>
      <c r="AA155" s="231" t="e">
        <f>#REF!</f>
        <v>#REF!</v>
      </c>
      <c r="AB155" s="231">
        <v>54780000</v>
      </c>
      <c r="AC155" s="231" t="e">
        <f>#REF!</f>
        <v>#REF!</v>
      </c>
      <c r="AD155" s="231" t="e">
        <f>#REF!</f>
        <v>#REF!</v>
      </c>
      <c r="AE155" s="231" t="e">
        <f>#REF!</f>
        <v>#REF!</v>
      </c>
      <c r="AF155" s="231" t="e">
        <f>[1]April!N40</f>
        <v>#REF!</v>
      </c>
      <c r="AG155" s="231">
        <v>140440000</v>
      </c>
      <c r="AH155" s="231">
        <f>'[3]DES SKPD'!$N40</f>
        <v>140440000</v>
      </c>
      <c r="AI155" s="231">
        <f>SUM(AI156:AI156)</f>
        <v>96041000</v>
      </c>
      <c r="AJ155" s="233">
        <f t="shared" si="55"/>
        <v>99.52435233160621</v>
      </c>
      <c r="AK155" s="231">
        <f t="shared" si="49"/>
        <v>459000</v>
      </c>
      <c r="AL155" s="233">
        <f t="shared" si="56"/>
        <v>0.47564766839378236</v>
      </c>
      <c r="AM155" s="227"/>
    </row>
    <row r="156" spans="1:39" ht="29.25" customHeight="1" x14ac:dyDescent="0.25">
      <c r="A156" s="243"/>
      <c r="B156" s="410"/>
      <c r="C156" s="410"/>
      <c r="D156" s="410"/>
      <c r="E156" s="410"/>
      <c r="F156" s="410"/>
      <c r="G156" s="410"/>
      <c r="H156" s="410"/>
      <c r="I156" s="411"/>
      <c r="J156" s="410" t="s">
        <v>302</v>
      </c>
      <c r="K156" s="245"/>
      <c r="L156" s="257"/>
      <c r="M156" s="597" t="s">
        <v>303</v>
      </c>
      <c r="N156" s="598"/>
      <c r="O156" s="299"/>
      <c r="P156" s="180"/>
      <c r="Q156" s="180">
        <v>96500000</v>
      </c>
      <c r="R156" s="181">
        <f>Q156/Q$155*100</f>
        <v>100</v>
      </c>
      <c r="S156" s="181">
        <v>100</v>
      </c>
      <c r="T156" s="180">
        <f t="shared" si="54"/>
        <v>99.52435233160621</v>
      </c>
      <c r="U156" s="180">
        <f t="shared" si="57"/>
        <v>99.52435233160621</v>
      </c>
      <c r="V156" s="182">
        <f t="shared" ref="V156:V219" si="65">S156-T156</f>
        <v>0.47564766839379047</v>
      </c>
      <c r="W156" s="180"/>
      <c r="X156" s="180" t="e">
        <f>#REF!</f>
        <v>#REF!</v>
      </c>
      <c r="Y156" s="180" t="e">
        <f>#REF!</f>
        <v>#REF!</v>
      </c>
      <c r="Z156" s="180" t="e">
        <f>#REF!</f>
        <v>#REF!</v>
      </c>
      <c r="AA156" s="180" t="e">
        <f>#REF!</f>
        <v>#REF!</v>
      </c>
      <c r="AB156" s="180">
        <v>54780002</v>
      </c>
      <c r="AC156" s="180" t="e">
        <f>#REF!</f>
        <v>#REF!</v>
      </c>
      <c r="AD156" s="180" t="e">
        <f>#REF!</f>
        <v>#REF!</v>
      </c>
      <c r="AE156" s="180" t="e">
        <f>#REF!</f>
        <v>#REF!</v>
      </c>
      <c r="AF156" s="180" t="e">
        <f>[1]April!N42</f>
        <v>#REF!</v>
      </c>
      <c r="AG156" s="231">
        <v>140440002</v>
      </c>
      <c r="AH156" s="180" t="e">
        <f>'[3]DES SKPD'!$N42</f>
        <v>#REF!</v>
      </c>
      <c r="AI156" s="180">
        <v>96041000</v>
      </c>
      <c r="AJ156" s="181">
        <f t="shared" si="55"/>
        <v>99.52435233160621</v>
      </c>
      <c r="AK156" s="180">
        <f t="shared" si="49"/>
        <v>459000</v>
      </c>
      <c r="AL156" s="181">
        <f t="shared" si="56"/>
        <v>0.47564766839378236</v>
      </c>
      <c r="AM156" s="243"/>
    </row>
    <row r="157" spans="1:39" s="297" customFormat="1" ht="33" customHeight="1" x14ac:dyDescent="0.25">
      <c r="A157" s="227">
        <f>SUM(A155+1)</f>
        <v>22</v>
      </c>
      <c r="B157" s="415"/>
      <c r="C157" s="415"/>
      <c r="D157" s="415"/>
      <c r="E157" s="415"/>
      <c r="F157" s="415"/>
      <c r="G157" s="415"/>
      <c r="H157" s="415"/>
      <c r="I157" s="414"/>
      <c r="J157" s="304" t="s">
        <v>461</v>
      </c>
      <c r="K157" s="230"/>
      <c r="L157" s="294"/>
      <c r="M157" s="615" t="s">
        <v>197</v>
      </c>
      <c r="N157" s="614"/>
      <c r="O157" s="295"/>
      <c r="P157" s="231"/>
      <c r="Q157" s="231">
        <f>SUM(Q158:Q158)</f>
        <v>230100000</v>
      </c>
      <c r="R157" s="233">
        <f>Q157/Q$124*100</f>
        <v>6.552314866493381</v>
      </c>
      <c r="S157" s="233">
        <v>100</v>
      </c>
      <c r="T157" s="231">
        <f t="shared" si="54"/>
        <v>45.94632768361582</v>
      </c>
      <c r="U157" s="231">
        <f t="shared" si="57"/>
        <v>3.010548059421323</v>
      </c>
      <c r="V157" s="296">
        <f t="shared" si="65"/>
        <v>54.05367231638418</v>
      </c>
      <c r="W157" s="231"/>
      <c r="X157" s="231" t="e">
        <f>#REF!</f>
        <v>#REF!</v>
      </c>
      <c r="Y157" s="231" t="e">
        <f>#REF!</f>
        <v>#REF!</v>
      </c>
      <c r="Z157" s="231" t="e">
        <f>#REF!</f>
        <v>#REF!</v>
      </c>
      <c r="AA157" s="231" t="e">
        <f>#REF!</f>
        <v>#REF!</v>
      </c>
      <c r="AB157" s="231">
        <v>54780000</v>
      </c>
      <c r="AC157" s="231" t="e">
        <f>#REF!</f>
        <v>#REF!</v>
      </c>
      <c r="AD157" s="231" t="e">
        <f>#REF!</f>
        <v>#REF!</v>
      </c>
      <c r="AE157" s="231" t="e">
        <f>#REF!</f>
        <v>#REF!</v>
      </c>
      <c r="AF157" s="231" t="e">
        <f>[1]April!N41</f>
        <v>#REF!</v>
      </c>
      <c r="AG157" s="231">
        <v>140440000</v>
      </c>
      <c r="AH157" s="231">
        <f>'[3]DES SKPD'!$N41</f>
        <v>231767600</v>
      </c>
      <c r="AI157" s="231">
        <f>SUM(AI158:AI158)</f>
        <v>105722500</v>
      </c>
      <c r="AJ157" s="233">
        <f t="shared" si="55"/>
        <v>45.94632768361582</v>
      </c>
      <c r="AK157" s="231">
        <f t="shared" si="49"/>
        <v>124377500</v>
      </c>
      <c r="AL157" s="233">
        <f t="shared" si="56"/>
        <v>54.05367231638418</v>
      </c>
      <c r="AM157" s="227"/>
    </row>
    <row r="158" spans="1:39" ht="28.5" customHeight="1" x14ac:dyDescent="0.25">
      <c r="A158" s="243"/>
      <c r="B158" s="410"/>
      <c r="C158" s="410"/>
      <c r="D158" s="410"/>
      <c r="E158" s="410"/>
      <c r="F158" s="410"/>
      <c r="G158" s="410"/>
      <c r="H158" s="410"/>
      <c r="I158" s="411"/>
      <c r="J158" s="410" t="s">
        <v>304</v>
      </c>
      <c r="K158" s="245"/>
      <c r="L158" s="257"/>
      <c r="M158" s="597" t="s">
        <v>305</v>
      </c>
      <c r="N158" s="598"/>
      <c r="O158" s="299"/>
      <c r="P158" s="180"/>
      <c r="Q158" s="180">
        <v>230100000</v>
      </c>
      <c r="R158" s="181">
        <f>Q158/Q$157*100</f>
        <v>100</v>
      </c>
      <c r="S158" s="181">
        <v>100</v>
      </c>
      <c r="T158" s="180">
        <f t="shared" si="54"/>
        <v>45.94632768361582</v>
      </c>
      <c r="U158" s="180">
        <f t="shared" si="57"/>
        <v>45.94632768361582</v>
      </c>
      <c r="V158" s="182">
        <f t="shared" si="65"/>
        <v>54.05367231638418</v>
      </c>
      <c r="W158" s="180"/>
      <c r="X158" s="180" t="e">
        <f>#REF!</f>
        <v>#REF!</v>
      </c>
      <c r="Y158" s="180" t="e">
        <f>#REF!</f>
        <v>#REF!</v>
      </c>
      <c r="Z158" s="180" t="e">
        <f>#REF!</f>
        <v>#REF!</v>
      </c>
      <c r="AA158" s="180" t="e">
        <f>#REF!</f>
        <v>#REF!</v>
      </c>
      <c r="AB158" s="180">
        <v>54780002</v>
      </c>
      <c r="AC158" s="180" t="e">
        <f>#REF!</f>
        <v>#REF!</v>
      </c>
      <c r="AD158" s="180" t="e">
        <f>#REF!</f>
        <v>#REF!</v>
      </c>
      <c r="AE158" s="180" t="e">
        <f>#REF!</f>
        <v>#REF!</v>
      </c>
      <c r="AF158" s="180" t="e">
        <f>[1]April!N43</f>
        <v>#REF!</v>
      </c>
      <c r="AG158" s="231">
        <v>140440002</v>
      </c>
      <c r="AH158" s="180">
        <f>'[3]DES SKPD'!$N43</f>
        <v>38085000</v>
      </c>
      <c r="AI158" s="180">
        <f>42345000+52672500+10705000</f>
        <v>105722500</v>
      </c>
      <c r="AJ158" s="181">
        <f t="shared" si="55"/>
        <v>45.94632768361582</v>
      </c>
      <c r="AK158" s="180">
        <f t="shared" si="49"/>
        <v>124377500</v>
      </c>
      <c r="AL158" s="181">
        <f t="shared" si="56"/>
        <v>54.05367231638418</v>
      </c>
      <c r="AM158" s="243"/>
    </row>
    <row r="159" spans="1:39" ht="28.5" customHeight="1" x14ac:dyDescent="0.25">
      <c r="A159" s="227">
        <f>SUM(A157+1)</f>
        <v>23</v>
      </c>
      <c r="B159" s="415"/>
      <c r="C159" s="415"/>
      <c r="D159" s="415"/>
      <c r="E159" s="415"/>
      <c r="F159" s="415"/>
      <c r="G159" s="415"/>
      <c r="H159" s="415"/>
      <c r="I159" s="414"/>
      <c r="J159" s="304" t="s">
        <v>582</v>
      </c>
      <c r="K159" s="230"/>
      <c r="L159" s="294"/>
      <c r="M159" s="615" t="s">
        <v>583</v>
      </c>
      <c r="N159" s="614"/>
      <c r="O159" s="295"/>
      <c r="P159" s="231"/>
      <c r="Q159" s="231">
        <f>SUM(Q160:Q160)</f>
        <v>99200000</v>
      </c>
      <c r="R159" s="233">
        <f>Q159/Q$124*100</f>
        <v>2.8248137103700275</v>
      </c>
      <c r="S159" s="233">
        <v>100</v>
      </c>
      <c r="T159" s="231">
        <f t="shared" si="54"/>
        <v>0</v>
      </c>
      <c r="U159" s="231">
        <f t="shared" si="57"/>
        <v>0</v>
      </c>
      <c r="V159" s="296">
        <f t="shared" si="65"/>
        <v>100</v>
      </c>
      <c r="W159" s="231"/>
      <c r="X159" s="231" t="e">
        <f>#REF!</f>
        <v>#REF!</v>
      </c>
      <c r="Y159" s="231" t="e">
        <f>#REF!</f>
        <v>#REF!</v>
      </c>
      <c r="Z159" s="231" t="e">
        <f>#REF!</f>
        <v>#REF!</v>
      </c>
      <c r="AA159" s="231" t="e">
        <f>#REF!</f>
        <v>#REF!</v>
      </c>
      <c r="AB159" s="231">
        <v>54780000</v>
      </c>
      <c r="AC159" s="231" t="e">
        <f>#REF!</f>
        <v>#REF!</v>
      </c>
      <c r="AD159" s="231" t="e">
        <f>#REF!</f>
        <v>#REF!</v>
      </c>
      <c r="AE159" s="231" t="e">
        <f>#REF!</f>
        <v>#REF!</v>
      </c>
      <c r="AF159" s="231" t="e">
        <f>[1]April!N43</f>
        <v>#REF!</v>
      </c>
      <c r="AG159" s="231">
        <v>140440000</v>
      </c>
      <c r="AH159" s="231">
        <f>'[3]DES SKPD'!$N43</f>
        <v>38085000</v>
      </c>
      <c r="AI159" s="231">
        <f>SUM(AI160)</f>
        <v>0</v>
      </c>
      <c r="AJ159" s="233">
        <f t="shared" si="55"/>
        <v>0</v>
      </c>
      <c r="AK159" s="231">
        <f t="shared" si="49"/>
        <v>99200000</v>
      </c>
      <c r="AL159" s="233">
        <f t="shared" si="56"/>
        <v>100</v>
      </c>
      <c r="AM159" s="243"/>
    </row>
    <row r="160" spans="1:39" ht="28.5" customHeight="1" x14ac:dyDescent="0.25">
      <c r="A160" s="243"/>
      <c r="B160" s="410"/>
      <c r="C160" s="410"/>
      <c r="D160" s="410"/>
      <c r="E160" s="410"/>
      <c r="F160" s="410"/>
      <c r="G160" s="410"/>
      <c r="H160" s="410"/>
      <c r="I160" s="411"/>
      <c r="J160" s="410" t="s">
        <v>292</v>
      </c>
      <c r="K160" s="245"/>
      <c r="L160" s="257"/>
      <c r="M160" s="597" t="s">
        <v>584</v>
      </c>
      <c r="N160" s="598"/>
      <c r="O160" s="299"/>
      <c r="P160" s="180"/>
      <c r="Q160" s="180">
        <v>99200000</v>
      </c>
      <c r="R160" s="181">
        <f>Q160/Q$157*100</f>
        <v>43.111690569317688</v>
      </c>
      <c r="S160" s="181">
        <v>100</v>
      </c>
      <c r="T160" s="180">
        <f t="shared" si="54"/>
        <v>0</v>
      </c>
      <c r="U160" s="180">
        <f t="shared" si="57"/>
        <v>0</v>
      </c>
      <c r="V160" s="182">
        <f t="shared" si="65"/>
        <v>100</v>
      </c>
      <c r="W160" s="180"/>
      <c r="X160" s="180" t="e">
        <f>#REF!</f>
        <v>#REF!</v>
      </c>
      <c r="Y160" s="180" t="e">
        <f>#REF!</f>
        <v>#REF!</v>
      </c>
      <c r="Z160" s="180" t="e">
        <f>#REF!</f>
        <v>#REF!</v>
      </c>
      <c r="AA160" s="180" t="e">
        <f>#REF!</f>
        <v>#REF!</v>
      </c>
      <c r="AB160" s="180">
        <v>54780002</v>
      </c>
      <c r="AC160" s="180" t="e">
        <f>#REF!</f>
        <v>#REF!</v>
      </c>
      <c r="AD160" s="180" t="e">
        <f>#REF!</f>
        <v>#REF!</v>
      </c>
      <c r="AE160" s="180" t="e">
        <f>#REF!</f>
        <v>#REF!</v>
      </c>
      <c r="AF160" s="180" t="e">
        <f>[1]April!N45</f>
        <v>#REF!</v>
      </c>
      <c r="AG160" s="231">
        <v>140440002</v>
      </c>
      <c r="AH160" s="180">
        <f>'[3]DES SKPD'!$N45</f>
        <v>320566100</v>
      </c>
      <c r="AI160" s="180">
        <v>0</v>
      </c>
      <c r="AJ160" s="181">
        <f t="shared" si="55"/>
        <v>0</v>
      </c>
      <c r="AK160" s="180">
        <f t="shared" si="49"/>
        <v>99200000</v>
      </c>
      <c r="AL160" s="181">
        <f t="shared" si="56"/>
        <v>100</v>
      </c>
      <c r="AM160" s="243"/>
    </row>
    <row r="161" spans="1:39" s="226" customFormat="1" ht="29.25" customHeight="1" x14ac:dyDescent="0.25">
      <c r="A161" s="289" t="s">
        <v>29</v>
      </c>
      <c r="B161" s="607" t="s">
        <v>132</v>
      </c>
      <c r="C161" s="607"/>
      <c r="D161" s="607"/>
      <c r="E161" s="607"/>
      <c r="F161" s="607"/>
      <c r="G161" s="607"/>
      <c r="H161" s="607"/>
      <c r="I161" s="608"/>
      <c r="J161" s="416" t="s">
        <v>454</v>
      </c>
      <c r="K161" s="291"/>
      <c r="L161" s="607" t="s">
        <v>383</v>
      </c>
      <c r="M161" s="607"/>
      <c r="N161" s="608"/>
      <c r="O161" s="263">
        <f>SUM(O165)</f>
        <v>39710000</v>
      </c>
      <c r="P161" s="263">
        <f>SUM(P165)</f>
        <v>39710000</v>
      </c>
      <c r="Q161" s="263">
        <f>SUM(Q162+Q165)</f>
        <v>103000000</v>
      </c>
      <c r="R161" s="222">
        <f>Q161/Q$35*100</f>
        <v>0.32403945616907198</v>
      </c>
      <c r="S161" s="222">
        <v>100</v>
      </c>
      <c r="T161" s="263">
        <f t="shared" si="54"/>
        <v>26.844660194174757</v>
      </c>
      <c r="U161" s="263">
        <f>SUM(R161*T161/100)</f>
        <v>8.6987290903639228E-2</v>
      </c>
      <c r="V161" s="292">
        <f t="shared" si="65"/>
        <v>73.155339805825236</v>
      </c>
      <c r="W161" s="263">
        <f>SUM(W165)</f>
        <v>0</v>
      </c>
      <c r="X161" s="263" t="e">
        <f>SUM(X165)</f>
        <v>#REF!</v>
      </c>
      <c r="Y161" s="263" t="e">
        <f t="shared" ref="Y161:AH161" si="66">SUM(Y165)</f>
        <v>#REF!</v>
      </c>
      <c r="Z161" s="263" t="e">
        <f t="shared" si="66"/>
        <v>#REF!</v>
      </c>
      <c r="AA161" s="263" t="e">
        <f t="shared" si="66"/>
        <v>#REF!</v>
      </c>
      <c r="AB161" s="263">
        <f t="shared" si="66"/>
        <v>38085000</v>
      </c>
      <c r="AC161" s="263" t="e">
        <f t="shared" si="66"/>
        <v>#REF!</v>
      </c>
      <c r="AD161" s="263" t="e">
        <f t="shared" si="66"/>
        <v>#REF!</v>
      </c>
      <c r="AE161" s="263" t="e">
        <f t="shared" si="66"/>
        <v>#REF!</v>
      </c>
      <c r="AF161" s="263" t="e">
        <f t="shared" si="66"/>
        <v>#REF!</v>
      </c>
      <c r="AG161" s="263" t="e">
        <f t="shared" si="66"/>
        <v>#REF!</v>
      </c>
      <c r="AH161" s="263">
        <f t="shared" si="66"/>
        <v>38085000</v>
      </c>
      <c r="AI161" s="263">
        <f>SUM(AI162+AI165)</f>
        <v>27650000</v>
      </c>
      <c r="AJ161" s="222">
        <f t="shared" si="55"/>
        <v>26.844660194174757</v>
      </c>
      <c r="AK161" s="263">
        <f>SUM(Q161-AI161)</f>
        <v>75350000</v>
      </c>
      <c r="AL161" s="222">
        <f t="shared" si="56"/>
        <v>73.15533980582525</v>
      </c>
      <c r="AM161" s="289"/>
    </row>
    <row r="162" spans="1:39" s="235" customFormat="1" ht="29.25" customHeight="1" x14ac:dyDescent="0.25">
      <c r="A162" s="227">
        <f>A159+1</f>
        <v>24</v>
      </c>
      <c r="B162" s="415"/>
      <c r="C162" s="415"/>
      <c r="D162" s="415"/>
      <c r="E162" s="415"/>
      <c r="F162" s="415"/>
      <c r="G162" s="415"/>
      <c r="H162" s="415"/>
      <c r="I162" s="414"/>
      <c r="J162" s="304" t="s">
        <v>462</v>
      </c>
      <c r="K162" s="230"/>
      <c r="L162" s="415"/>
      <c r="M162" s="615" t="s">
        <v>386</v>
      </c>
      <c r="N162" s="614"/>
      <c r="O162" s="231"/>
      <c r="P162" s="231"/>
      <c r="Q162" s="231">
        <f>SUM(Q163:Q164)</f>
        <v>71000000</v>
      </c>
      <c r="R162" s="233">
        <f>Q162/Q$35*100</f>
        <v>0.2233670037670302</v>
      </c>
      <c r="S162" s="233">
        <v>100</v>
      </c>
      <c r="T162" s="231">
        <f t="shared" si="54"/>
        <v>0</v>
      </c>
      <c r="U162" s="231">
        <f t="shared" ref="U162:U167" si="67">R162*T162/100</f>
        <v>0</v>
      </c>
      <c r="V162" s="296">
        <f t="shared" si="65"/>
        <v>100</v>
      </c>
      <c r="W162" s="231"/>
      <c r="X162" s="231" t="e">
        <f>#REF!</f>
        <v>#REF!</v>
      </c>
      <c r="Y162" s="231" t="e">
        <f>#REF!</f>
        <v>#REF!</v>
      </c>
      <c r="Z162" s="231" t="e">
        <f>#REF!</f>
        <v>#REF!</v>
      </c>
      <c r="AA162" s="231" t="e">
        <f>#REF!</f>
        <v>#REF!</v>
      </c>
      <c r="AB162" s="231">
        <v>38085000</v>
      </c>
      <c r="AC162" s="231" t="e">
        <f>#REF!</f>
        <v>#REF!</v>
      </c>
      <c r="AD162" s="231" t="e">
        <f>#REF!</f>
        <v>#REF!</v>
      </c>
      <c r="AE162" s="231" t="e">
        <f>#REF!</f>
        <v>#REF!</v>
      </c>
      <c r="AF162" s="231" t="e">
        <f>[1]April!$N$43</f>
        <v>#REF!</v>
      </c>
      <c r="AG162" s="231" t="e">
        <f>[2]april!$N$43</f>
        <v>#REF!</v>
      </c>
      <c r="AH162" s="231">
        <f>'[3]DES SKPD'!$N39</f>
        <v>676934270</v>
      </c>
      <c r="AI162" s="231">
        <f>SUM(AI163:AI164)</f>
        <v>0</v>
      </c>
      <c r="AJ162" s="233">
        <f t="shared" si="55"/>
        <v>0</v>
      </c>
      <c r="AK162" s="231">
        <f t="shared" ref="AK162:AK167" si="68">Q162-AI162</f>
        <v>71000000</v>
      </c>
      <c r="AL162" s="233">
        <f t="shared" si="56"/>
        <v>100</v>
      </c>
      <c r="AM162" s="227"/>
    </row>
    <row r="163" spans="1:39" s="235" customFormat="1" ht="29.25" customHeight="1" x14ac:dyDescent="0.25">
      <c r="A163" s="227"/>
      <c r="B163" s="415"/>
      <c r="C163" s="415"/>
      <c r="D163" s="415"/>
      <c r="E163" s="415"/>
      <c r="F163" s="415"/>
      <c r="G163" s="415"/>
      <c r="H163" s="415"/>
      <c r="I163" s="414"/>
      <c r="J163" s="410" t="s">
        <v>259</v>
      </c>
      <c r="K163" s="245"/>
      <c r="L163" s="257"/>
      <c r="M163" s="597" t="s">
        <v>260</v>
      </c>
      <c r="N163" s="598"/>
      <c r="O163" s="231"/>
      <c r="P163" s="231"/>
      <c r="Q163" s="180">
        <v>800000</v>
      </c>
      <c r="R163" s="181">
        <f>Q163/Q$162*100</f>
        <v>1.1267605633802817</v>
      </c>
      <c r="S163" s="181">
        <v>100</v>
      </c>
      <c r="T163" s="180">
        <f t="shared" si="54"/>
        <v>0</v>
      </c>
      <c r="U163" s="180">
        <f t="shared" si="67"/>
        <v>0</v>
      </c>
      <c r="V163" s="182">
        <f t="shared" si="65"/>
        <v>100</v>
      </c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>
        <v>0</v>
      </c>
      <c r="AJ163" s="181">
        <f t="shared" si="55"/>
        <v>0</v>
      </c>
      <c r="AK163" s="180">
        <f t="shared" si="68"/>
        <v>800000</v>
      </c>
      <c r="AL163" s="181">
        <f t="shared" si="56"/>
        <v>100</v>
      </c>
      <c r="AM163" s="243"/>
    </row>
    <row r="164" spans="1:39" s="235" customFormat="1" ht="29.25" customHeight="1" x14ac:dyDescent="0.25">
      <c r="A164" s="227"/>
      <c r="B164" s="415"/>
      <c r="C164" s="415"/>
      <c r="D164" s="415"/>
      <c r="E164" s="415"/>
      <c r="F164" s="415"/>
      <c r="G164" s="415"/>
      <c r="H164" s="415"/>
      <c r="I164" s="414"/>
      <c r="J164" s="410" t="s">
        <v>387</v>
      </c>
      <c r="K164" s="230"/>
      <c r="L164" s="415"/>
      <c r="M164" s="597" t="s">
        <v>388</v>
      </c>
      <c r="N164" s="598"/>
      <c r="O164" s="231"/>
      <c r="P164" s="231"/>
      <c r="Q164" s="180">
        <v>70200000</v>
      </c>
      <c r="R164" s="181">
        <f>Q164/Q$162*100</f>
        <v>98.873239436619713</v>
      </c>
      <c r="S164" s="181">
        <v>100</v>
      </c>
      <c r="T164" s="180">
        <f t="shared" si="54"/>
        <v>0</v>
      </c>
      <c r="U164" s="180">
        <f t="shared" si="67"/>
        <v>0</v>
      </c>
      <c r="V164" s="182">
        <f t="shared" si="65"/>
        <v>100</v>
      </c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>
        <v>0</v>
      </c>
      <c r="AJ164" s="181">
        <f t="shared" si="55"/>
        <v>0</v>
      </c>
      <c r="AK164" s="180">
        <f t="shared" si="68"/>
        <v>70200000</v>
      </c>
      <c r="AL164" s="181">
        <f t="shared" si="56"/>
        <v>100</v>
      </c>
      <c r="AM164" s="243"/>
    </row>
    <row r="165" spans="1:39" s="297" customFormat="1" ht="28.5" customHeight="1" x14ac:dyDescent="0.25">
      <c r="A165" s="227">
        <f>A162+1</f>
        <v>25</v>
      </c>
      <c r="B165" s="615" t="s">
        <v>133</v>
      </c>
      <c r="C165" s="615"/>
      <c r="D165" s="615"/>
      <c r="E165" s="615"/>
      <c r="F165" s="615"/>
      <c r="G165" s="615"/>
      <c r="H165" s="615"/>
      <c r="I165" s="614"/>
      <c r="J165" s="304" t="s">
        <v>463</v>
      </c>
      <c r="K165" s="230"/>
      <c r="L165" s="294"/>
      <c r="M165" s="615" t="s">
        <v>134</v>
      </c>
      <c r="N165" s="614"/>
      <c r="O165" s="231">
        <v>39710000</v>
      </c>
      <c r="P165" s="231">
        <f>O165</f>
        <v>39710000</v>
      </c>
      <c r="Q165" s="231">
        <f>SUM(Q166:Q167)</f>
        <v>32000000</v>
      </c>
      <c r="R165" s="233">
        <f>Q165/Q$35*100</f>
        <v>0.10067245240204178</v>
      </c>
      <c r="S165" s="233">
        <v>100</v>
      </c>
      <c r="T165" s="231">
        <f t="shared" si="54"/>
        <v>86.40625</v>
      </c>
      <c r="U165" s="231">
        <f t="shared" si="67"/>
        <v>8.6987290903639228E-2</v>
      </c>
      <c r="V165" s="296">
        <f t="shared" si="65"/>
        <v>13.59375</v>
      </c>
      <c r="W165" s="231"/>
      <c r="X165" s="231" t="e">
        <f>#REF!</f>
        <v>#REF!</v>
      </c>
      <c r="Y165" s="231" t="e">
        <f>#REF!</f>
        <v>#REF!</v>
      </c>
      <c r="Z165" s="231" t="e">
        <f>#REF!</f>
        <v>#REF!</v>
      </c>
      <c r="AA165" s="231" t="e">
        <f>#REF!</f>
        <v>#REF!</v>
      </c>
      <c r="AB165" s="231">
        <v>38085000</v>
      </c>
      <c r="AC165" s="231" t="e">
        <f>#REF!</f>
        <v>#REF!</v>
      </c>
      <c r="AD165" s="231" t="e">
        <f>#REF!</f>
        <v>#REF!</v>
      </c>
      <c r="AE165" s="231" t="e">
        <f>#REF!</f>
        <v>#REF!</v>
      </c>
      <c r="AF165" s="231" t="e">
        <f>[1]April!$N$43</f>
        <v>#REF!</v>
      </c>
      <c r="AG165" s="231" t="e">
        <f>[2]april!$N$43</f>
        <v>#REF!</v>
      </c>
      <c r="AH165" s="231">
        <f>'[3]DES SKPD'!$N43</f>
        <v>38085000</v>
      </c>
      <c r="AI165" s="231">
        <f>SUM(AI166:AI167)</f>
        <v>27650000</v>
      </c>
      <c r="AJ165" s="233">
        <f t="shared" si="55"/>
        <v>86.40625</v>
      </c>
      <c r="AK165" s="231">
        <f t="shared" si="68"/>
        <v>4350000</v>
      </c>
      <c r="AL165" s="233">
        <f t="shared" si="56"/>
        <v>13.593749999999998</v>
      </c>
      <c r="AM165" s="227"/>
    </row>
    <row r="166" spans="1:39" ht="24.75" customHeight="1" x14ac:dyDescent="0.25">
      <c r="A166" s="243"/>
      <c r="B166" s="410"/>
      <c r="C166" s="410"/>
      <c r="D166" s="410"/>
      <c r="E166" s="410"/>
      <c r="F166" s="410"/>
      <c r="G166" s="410"/>
      <c r="H166" s="410"/>
      <c r="I166" s="411"/>
      <c r="J166" s="410" t="s">
        <v>259</v>
      </c>
      <c r="K166" s="245"/>
      <c r="L166" s="257"/>
      <c r="M166" s="597" t="s">
        <v>260</v>
      </c>
      <c r="N166" s="598"/>
      <c r="O166" s="180"/>
      <c r="P166" s="180"/>
      <c r="Q166" s="180">
        <v>800000</v>
      </c>
      <c r="R166" s="181">
        <f>Q166/Q$165*100</f>
        <v>2.5</v>
      </c>
      <c r="S166" s="181">
        <v>100</v>
      </c>
      <c r="T166" s="180">
        <f t="shared" si="54"/>
        <v>0</v>
      </c>
      <c r="U166" s="180">
        <f t="shared" si="67"/>
        <v>0</v>
      </c>
      <c r="V166" s="182">
        <f t="shared" si="65"/>
        <v>100</v>
      </c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>
        <v>0</v>
      </c>
      <c r="AJ166" s="181">
        <f t="shared" si="55"/>
        <v>0</v>
      </c>
      <c r="AK166" s="180">
        <f t="shared" si="68"/>
        <v>800000</v>
      </c>
      <c r="AL166" s="181">
        <f t="shared" si="56"/>
        <v>100</v>
      </c>
      <c r="AM166" s="243"/>
    </row>
    <row r="167" spans="1:39" ht="24.75" customHeight="1" x14ac:dyDescent="0.25">
      <c r="A167" s="243"/>
      <c r="B167" s="410"/>
      <c r="C167" s="410"/>
      <c r="D167" s="410"/>
      <c r="E167" s="410"/>
      <c r="F167" s="410"/>
      <c r="G167" s="410"/>
      <c r="H167" s="410"/>
      <c r="I167" s="411"/>
      <c r="J167" s="410" t="s">
        <v>311</v>
      </c>
      <c r="K167" s="245"/>
      <c r="L167" s="257"/>
      <c r="M167" s="597" t="s">
        <v>312</v>
      </c>
      <c r="N167" s="598"/>
      <c r="O167" s="180"/>
      <c r="P167" s="180"/>
      <c r="Q167" s="180">
        <v>31200000</v>
      </c>
      <c r="R167" s="181">
        <f>Q167/Q$165*100</f>
        <v>97.5</v>
      </c>
      <c r="S167" s="181">
        <v>100</v>
      </c>
      <c r="T167" s="180">
        <f t="shared" si="54"/>
        <v>88.621794871794862</v>
      </c>
      <c r="U167" s="180">
        <f t="shared" si="67"/>
        <v>86.406249999999986</v>
      </c>
      <c r="V167" s="182">
        <f t="shared" si="65"/>
        <v>11.378205128205138</v>
      </c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>
        <v>27650000</v>
      </c>
      <c r="AJ167" s="181">
        <f t="shared" si="55"/>
        <v>88.621794871794862</v>
      </c>
      <c r="AK167" s="180">
        <f t="shared" si="68"/>
        <v>3550000</v>
      </c>
      <c r="AL167" s="181">
        <f t="shared" si="56"/>
        <v>11.378205128205128</v>
      </c>
      <c r="AM167" s="243"/>
    </row>
    <row r="168" spans="1:39" s="226" customFormat="1" ht="28.5" customHeight="1" x14ac:dyDescent="0.25">
      <c r="A168" s="289" t="s">
        <v>30</v>
      </c>
      <c r="B168" s="607" t="s">
        <v>135</v>
      </c>
      <c r="C168" s="607"/>
      <c r="D168" s="607"/>
      <c r="E168" s="607"/>
      <c r="F168" s="607"/>
      <c r="G168" s="607"/>
      <c r="H168" s="607"/>
      <c r="I168" s="608"/>
      <c r="J168" s="416" t="s">
        <v>464</v>
      </c>
      <c r="K168" s="291"/>
      <c r="L168" s="607" t="s">
        <v>31</v>
      </c>
      <c r="M168" s="607"/>
      <c r="N168" s="608"/>
      <c r="O168" s="263">
        <f>SUM(O169:O171)</f>
        <v>789320000</v>
      </c>
      <c r="P168" s="263">
        <f>SUM(P169:P171)</f>
        <v>789320000</v>
      </c>
      <c r="Q168" s="263">
        <f>SUM(Q169+Q171)</f>
        <v>102870000</v>
      </c>
      <c r="R168" s="222">
        <f>Q168/Q$58*100</f>
        <v>0.50978833986266314</v>
      </c>
      <c r="S168" s="305">
        <v>100</v>
      </c>
      <c r="T168" s="306">
        <f t="shared" si="54"/>
        <v>47.905122970739768</v>
      </c>
      <c r="U168" s="263">
        <f>SUM(R168*T168/100)</f>
        <v>0.24421473110170155</v>
      </c>
      <c r="V168" s="307">
        <f t="shared" si="65"/>
        <v>52.094877029260232</v>
      </c>
      <c r="W168" s="263">
        <f t="shared" ref="W168:AH168" si="69">SUM(W169:W171)</f>
        <v>0</v>
      </c>
      <c r="X168" s="263" t="e">
        <f t="shared" si="69"/>
        <v>#REF!</v>
      </c>
      <c r="Y168" s="263" t="e">
        <f t="shared" si="69"/>
        <v>#REF!</v>
      </c>
      <c r="Z168" s="263" t="e">
        <f t="shared" si="69"/>
        <v>#REF!</v>
      </c>
      <c r="AA168" s="263" t="e">
        <f t="shared" si="69"/>
        <v>#REF!</v>
      </c>
      <c r="AB168" s="263">
        <f t="shared" si="69"/>
        <v>189087374</v>
      </c>
      <c r="AC168" s="263" t="e">
        <f t="shared" si="69"/>
        <v>#REF!</v>
      </c>
      <c r="AD168" s="263" t="e">
        <f t="shared" si="69"/>
        <v>#REF!</v>
      </c>
      <c r="AE168" s="263" t="e">
        <f t="shared" si="69"/>
        <v>#REF!</v>
      </c>
      <c r="AF168" s="263" t="e">
        <f t="shared" si="69"/>
        <v>#REF!</v>
      </c>
      <c r="AG168" s="263" t="e">
        <f t="shared" si="69"/>
        <v>#REF!</v>
      </c>
      <c r="AH168" s="263">
        <f t="shared" si="69"/>
        <v>663965174</v>
      </c>
      <c r="AI168" s="263">
        <f>SUM(AI169+AI171)</f>
        <v>49280000</v>
      </c>
      <c r="AJ168" s="222">
        <f t="shared" si="55"/>
        <v>47.905122970739768</v>
      </c>
      <c r="AK168" s="263">
        <f>SUM(Q168-AI168)</f>
        <v>53590000</v>
      </c>
      <c r="AL168" s="222">
        <f t="shared" si="56"/>
        <v>52.094877029260232</v>
      </c>
      <c r="AM168" s="289"/>
    </row>
    <row r="169" spans="1:39" s="297" customFormat="1" ht="29.25" customHeight="1" x14ac:dyDescent="0.25">
      <c r="A169" s="227">
        <f>A165+1</f>
        <v>26</v>
      </c>
      <c r="B169" s="615" t="s">
        <v>136</v>
      </c>
      <c r="C169" s="615"/>
      <c r="D169" s="615"/>
      <c r="E169" s="615"/>
      <c r="F169" s="615"/>
      <c r="G169" s="615"/>
      <c r="H169" s="615"/>
      <c r="I169" s="614"/>
      <c r="J169" s="304" t="s">
        <v>465</v>
      </c>
      <c r="K169" s="230"/>
      <c r="L169" s="294"/>
      <c r="M169" s="615" t="s">
        <v>32</v>
      </c>
      <c r="N169" s="614"/>
      <c r="O169" s="295">
        <v>350000000</v>
      </c>
      <c r="P169" s="231">
        <f>O169</f>
        <v>350000000</v>
      </c>
      <c r="Q169" s="231">
        <f>SUM(Q170:Q170)</f>
        <v>37300000</v>
      </c>
      <c r="R169" s="233">
        <f>Q169/Q$168*100</f>
        <v>36.259356469330221</v>
      </c>
      <c r="S169" s="233">
        <v>100</v>
      </c>
      <c r="T169" s="231">
        <f t="shared" si="54"/>
        <v>33.512064343163537</v>
      </c>
      <c r="U169" s="231">
        <f>R169*T169/100</f>
        <v>12.151258870418975</v>
      </c>
      <c r="V169" s="296">
        <f t="shared" si="65"/>
        <v>66.48793565683647</v>
      </c>
      <c r="W169" s="231"/>
      <c r="X169" s="231" t="e">
        <f>#REF!</f>
        <v>#REF!</v>
      </c>
      <c r="Y169" s="231" t="e">
        <f>#REF!</f>
        <v>#REF!</v>
      </c>
      <c r="Z169" s="231" t="e">
        <f>#REF!</f>
        <v>#REF!</v>
      </c>
      <c r="AA169" s="231" t="e">
        <f>#REF!</f>
        <v>#REF!</v>
      </c>
      <c r="AB169" s="231">
        <v>112882300</v>
      </c>
      <c r="AC169" s="231" t="e">
        <f>#REF!</f>
        <v>#REF!</v>
      </c>
      <c r="AD169" s="231" t="e">
        <f>#REF!</f>
        <v>#REF!</v>
      </c>
      <c r="AE169" s="231" t="e">
        <f>#REF!</f>
        <v>#REF!</v>
      </c>
      <c r="AF169" s="231" t="e">
        <f>[1]April!N45</f>
        <v>#REF!</v>
      </c>
      <c r="AG169" s="231" t="e">
        <f>[2]april!N45</f>
        <v>#REF!</v>
      </c>
      <c r="AH169" s="231">
        <f>'[3]DES SKPD'!$N45</f>
        <v>320566100</v>
      </c>
      <c r="AI169" s="231">
        <f>SUM(AI170:AI170)</f>
        <v>12500000</v>
      </c>
      <c r="AJ169" s="233">
        <f t="shared" si="55"/>
        <v>33.512064343163537</v>
      </c>
      <c r="AK169" s="231">
        <f t="shared" ref="AK169:AK179" si="70">Q169-AI169</f>
        <v>24800000</v>
      </c>
      <c r="AL169" s="233">
        <f t="shared" si="56"/>
        <v>66.487935656836456</v>
      </c>
      <c r="AM169" s="227"/>
    </row>
    <row r="170" spans="1:39" ht="29.25" customHeight="1" x14ac:dyDescent="0.25">
      <c r="A170" s="243"/>
      <c r="B170" s="410"/>
      <c r="C170" s="410"/>
      <c r="D170" s="410"/>
      <c r="E170" s="410"/>
      <c r="F170" s="410"/>
      <c r="G170" s="410"/>
      <c r="H170" s="410"/>
      <c r="I170" s="411"/>
      <c r="J170" s="410" t="s">
        <v>313</v>
      </c>
      <c r="K170" s="245"/>
      <c r="L170" s="257"/>
      <c r="M170" s="597" t="s">
        <v>314</v>
      </c>
      <c r="N170" s="598"/>
      <c r="O170" s="299"/>
      <c r="P170" s="180"/>
      <c r="Q170" s="180">
        <v>37300000</v>
      </c>
      <c r="R170" s="181">
        <f>Q170/Q$169*100</f>
        <v>100</v>
      </c>
      <c r="S170" s="181">
        <v>100</v>
      </c>
      <c r="T170" s="180">
        <f t="shared" si="54"/>
        <v>33.512064343163537</v>
      </c>
      <c r="U170" s="180">
        <f>R170*T170/100</f>
        <v>33.512064343163537</v>
      </c>
      <c r="V170" s="182">
        <f t="shared" si="65"/>
        <v>66.48793565683647</v>
      </c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>
        <v>12500000</v>
      </c>
      <c r="AJ170" s="181">
        <f t="shared" si="55"/>
        <v>33.512064343163537</v>
      </c>
      <c r="AK170" s="180">
        <f t="shared" si="70"/>
        <v>24800000</v>
      </c>
      <c r="AL170" s="181">
        <f t="shared" si="56"/>
        <v>66.487935656836456</v>
      </c>
      <c r="AM170" s="243"/>
    </row>
    <row r="171" spans="1:39" s="297" customFormat="1" ht="33.75" customHeight="1" x14ac:dyDescent="0.25">
      <c r="A171" s="227">
        <f>A169+1</f>
        <v>27</v>
      </c>
      <c r="B171" s="615" t="s">
        <v>137</v>
      </c>
      <c r="C171" s="615"/>
      <c r="D171" s="615"/>
      <c r="E171" s="615"/>
      <c r="F171" s="615"/>
      <c r="G171" s="615"/>
      <c r="H171" s="615"/>
      <c r="I171" s="614"/>
      <c r="J171" s="304" t="s">
        <v>466</v>
      </c>
      <c r="K171" s="230"/>
      <c r="L171" s="294"/>
      <c r="M171" s="615" t="s">
        <v>33</v>
      </c>
      <c r="N171" s="614"/>
      <c r="O171" s="295">
        <v>439320000</v>
      </c>
      <c r="P171" s="231">
        <f>O171</f>
        <v>439320000</v>
      </c>
      <c r="Q171" s="231">
        <f>SUM(Q172:Q179)</f>
        <v>65570000</v>
      </c>
      <c r="R171" s="233">
        <f>Q171/Q$168*100</f>
        <v>63.740643530669786</v>
      </c>
      <c r="S171" s="233">
        <v>100</v>
      </c>
      <c r="T171" s="231">
        <f t="shared" si="54"/>
        <v>56.092725331706575</v>
      </c>
      <c r="U171" s="231">
        <f>R171*T171/100</f>
        <v>35.753864100320797</v>
      </c>
      <c r="V171" s="296">
        <f t="shared" si="65"/>
        <v>43.907274668293425</v>
      </c>
      <c r="W171" s="231"/>
      <c r="X171" s="231" t="e">
        <f>#REF!</f>
        <v>#REF!</v>
      </c>
      <c r="Y171" s="231" t="e">
        <f>#REF!</f>
        <v>#REF!</v>
      </c>
      <c r="Z171" s="231" t="e">
        <f>#REF!</f>
        <v>#REF!</v>
      </c>
      <c r="AA171" s="231" t="e">
        <f>#REF!</f>
        <v>#REF!</v>
      </c>
      <c r="AB171" s="231">
        <v>76205074</v>
      </c>
      <c r="AC171" s="231" t="e">
        <f>#REF!</f>
        <v>#REF!</v>
      </c>
      <c r="AD171" s="231" t="e">
        <f>#REF!</f>
        <v>#REF!</v>
      </c>
      <c r="AE171" s="231" t="e">
        <f>#REF!</f>
        <v>#REF!</v>
      </c>
      <c r="AF171" s="231" t="e">
        <f>[1]April!N46</f>
        <v>#REF!</v>
      </c>
      <c r="AG171" s="231" t="e">
        <f>[2]april!N46</f>
        <v>#REF!</v>
      </c>
      <c r="AH171" s="231">
        <f>'[3]DES SKPD'!$N46</f>
        <v>343399074</v>
      </c>
      <c r="AI171" s="231">
        <f>SUM(AI172:AI179)</f>
        <v>36780000</v>
      </c>
      <c r="AJ171" s="233">
        <f t="shared" si="55"/>
        <v>56.092725331706575</v>
      </c>
      <c r="AK171" s="231">
        <f t="shared" si="70"/>
        <v>28790000</v>
      </c>
      <c r="AL171" s="233">
        <f t="shared" si="56"/>
        <v>43.907274668293425</v>
      </c>
      <c r="AM171" s="227"/>
    </row>
    <row r="172" spans="1:39" ht="28.5" customHeight="1" x14ac:dyDescent="0.25">
      <c r="A172" s="243"/>
      <c r="B172" s="410"/>
      <c r="C172" s="410"/>
      <c r="D172" s="410"/>
      <c r="E172" s="410"/>
      <c r="F172" s="410"/>
      <c r="G172" s="410"/>
      <c r="H172" s="410"/>
      <c r="I172" s="411"/>
      <c r="J172" s="410" t="s">
        <v>259</v>
      </c>
      <c r="K172" s="245"/>
      <c r="L172" s="257"/>
      <c r="M172" s="597" t="s">
        <v>260</v>
      </c>
      <c r="N172" s="598"/>
      <c r="O172" s="299"/>
      <c r="P172" s="180"/>
      <c r="Q172" s="180">
        <v>770000</v>
      </c>
      <c r="R172" s="181">
        <f t="shared" ref="R172:R179" si="71">Q172/Q$171*100</f>
        <v>1.1743175232575873</v>
      </c>
      <c r="S172" s="181">
        <v>100</v>
      </c>
      <c r="T172" s="180">
        <f t="shared" si="54"/>
        <v>100</v>
      </c>
      <c r="U172" s="180">
        <f t="shared" ref="U172:U180" si="72">R172*T172/100</f>
        <v>1.1743175232575873</v>
      </c>
      <c r="V172" s="182">
        <f t="shared" si="65"/>
        <v>0</v>
      </c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>
        <v>770000</v>
      </c>
      <c r="AJ172" s="181">
        <f t="shared" si="55"/>
        <v>100</v>
      </c>
      <c r="AK172" s="180">
        <f t="shared" si="70"/>
        <v>0</v>
      </c>
      <c r="AL172" s="181">
        <f t="shared" si="56"/>
        <v>0</v>
      </c>
      <c r="AM172" s="243"/>
    </row>
    <row r="173" spans="1:39" ht="32.25" customHeight="1" x14ac:dyDescent="0.25">
      <c r="A173" s="243"/>
      <c r="B173" s="410"/>
      <c r="C173" s="410"/>
      <c r="D173" s="410"/>
      <c r="E173" s="410"/>
      <c r="F173" s="410"/>
      <c r="G173" s="410"/>
      <c r="H173" s="410"/>
      <c r="I173" s="411"/>
      <c r="J173" s="410" t="s">
        <v>315</v>
      </c>
      <c r="K173" s="245"/>
      <c r="L173" s="257"/>
      <c r="M173" s="597" t="s">
        <v>428</v>
      </c>
      <c r="N173" s="598"/>
      <c r="O173" s="299"/>
      <c r="P173" s="180"/>
      <c r="Q173" s="180">
        <v>1500000</v>
      </c>
      <c r="R173" s="181">
        <f t="shared" si="71"/>
        <v>2.2876315388134816</v>
      </c>
      <c r="S173" s="181">
        <v>100</v>
      </c>
      <c r="T173" s="180">
        <f t="shared" si="54"/>
        <v>60</v>
      </c>
      <c r="U173" s="180">
        <f t="shared" si="72"/>
        <v>1.3725789232880892</v>
      </c>
      <c r="V173" s="182">
        <f t="shared" si="65"/>
        <v>40</v>
      </c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>
        <v>900000</v>
      </c>
      <c r="AJ173" s="181">
        <f t="shared" si="55"/>
        <v>60</v>
      </c>
      <c r="AK173" s="180">
        <f t="shared" si="70"/>
        <v>600000</v>
      </c>
      <c r="AL173" s="181">
        <f t="shared" si="56"/>
        <v>40</v>
      </c>
      <c r="AM173" s="243"/>
    </row>
    <row r="174" spans="1:39" ht="32.25" customHeight="1" x14ac:dyDescent="0.25">
      <c r="A174" s="243"/>
      <c r="B174" s="410"/>
      <c r="C174" s="410"/>
      <c r="D174" s="410"/>
      <c r="E174" s="410"/>
      <c r="F174" s="410"/>
      <c r="G174" s="410"/>
      <c r="H174" s="410"/>
      <c r="I174" s="411"/>
      <c r="J174" s="410" t="s">
        <v>316</v>
      </c>
      <c r="K174" s="245"/>
      <c r="L174" s="257"/>
      <c r="M174" s="597" t="s">
        <v>317</v>
      </c>
      <c r="N174" s="598"/>
      <c r="O174" s="299"/>
      <c r="P174" s="180"/>
      <c r="Q174" s="180">
        <v>300000</v>
      </c>
      <c r="R174" s="181">
        <f t="shared" si="71"/>
        <v>0.45752630776269632</v>
      </c>
      <c r="S174" s="181">
        <v>100</v>
      </c>
      <c r="T174" s="180">
        <f t="shared" si="54"/>
        <v>50</v>
      </c>
      <c r="U174" s="180">
        <f t="shared" si="72"/>
        <v>0.22876315388134816</v>
      </c>
      <c r="V174" s="182">
        <f t="shared" si="65"/>
        <v>50</v>
      </c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>
        <v>150000</v>
      </c>
      <c r="AJ174" s="181">
        <f t="shared" si="55"/>
        <v>50</v>
      </c>
      <c r="AK174" s="180">
        <f t="shared" si="70"/>
        <v>150000</v>
      </c>
      <c r="AL174" s="181">
        <f t="shared" si="56"/>
        <v>50</v>
      </c>
      <c r="AM174" s="243"/>
    </row>
    <row r="175" spans="1:39" ht="30.75" customHeight="1" x14ac:dyDescent="0.25">
      <c r="A175" s="243"/>
      <c r="B175" s="410"/>
      <c r="C175" s="410"/>
      <c r="D175" s="410"/>
      <c r="E175" s="410"/>
      <c r="F175" s="410"/>
      <c r="G175" s="410"/>
      <c r="H175" s="410"/>
      <c r="I175" s="411"/>
      <c r="J175" s="410" t="s">
        <v>318</v>
      </c>
      <c r="K175" s="245"/>
      <c r="L175" s="257"/>
      <c r="M175" s="597" t="s">
        <v>319</v>
      </c>
      <c r="N175" s="598"/>
      <c r="O175" s="299"/>
      <c r="P175" s="180"/>
      <c r="Q175" s="180">
        <v>26250000</v>
      </c>
      <c r="R175" s="181">
        <f t="shared" si="71"/>
        <v>40.033551929235934</v>
      </c>
      <c r="S175" s="181">
        <v>100</v>
      </c>
      <c r="T175" s="180">
        <f t="shared" si="54"/>
        <v>93.333333333333329</v>
      </c>
      <c r="U175" s="180">
        <f t="shared" si="72"/>
        <v>37.36464846728687</v>
      </c>
      <c r="V175" s="182">
        <f t="shared" si="65"/>
        <v>6.6666666666666714</v>
      </c>
      <c r="W175" s="180"/>
      <c r="X175" s="180"/>
      <c r="Y175" s="180"/>
      <c r="Z175" s="180"/>
      <c r="AA175" s="180"/>
      <c r="AB175" s="180"/>
      <c r="AC175" s="180"/>
      <c r="AD175" s="180"/>
      <c r="AE175" s="180"/>
      <c r="AF175" s="180"/>
      <c r="AG175" s="180"/>
      <c r="AH175" s="180"/>
      <c r="AI175" s="180">
        <v>24500000</v>
      </c>
      <c r="AJ175" s="181">
        <f t="shared" si="55"/>
        <v>93.333333333333329</v>
      </c>
      <c r="AK175" s="180">
        <f t="shared" si="70"/>
        <v>1750000</v>
      </c>
      <c r="AL175" s="181">
        <f t="shared" si="56"/>
        <v>6.666666666666667</v>
      </c>
      <c r="AM175" s="243"/>
    </row>
    <row r="176" spans="1:39" ht="24.75" customHeight="1" x14ac:dyDescent="0.25">
      <c r="A176" s="243"/>
      <c r="B176" s="410"/>
      <c r="C176" s="410"/>
      <c r="D176" s="410"/>
      <c r="E176" s="410"/>
      <c r="F176" s="410"/>
      <c r="G176" s="410"/>
      <c r="H176" s="410"/>
      <c r="I176" s="411"/>
      <c r="J176" s="410" t="s">
        <v>284</v>
      </c>
      <c r="K176" s="245"/>
      <c r="L176" s="257"/>
      <c r="M176" s="597" t="s">
        <v>585</v>
      </c>
      <c r="N176" s="598"/>
      <c r="O176" s="299"/>
      <c r="P176" s="180"/>
      <c r="Q176" s="180">
        <v>12900000</v>
      </c>
      <c r="R176" s="181">
        <f t="shared" si="71"/>
        <v>19.673631233795945</v>
      </c>
      <c r="S176" s="181">
        <v>100</v>
      </c>
      <c r="T176" s="180">
        <f t="shared" si="54"/>
        <v>46.589147286821699</v>
      </c>
      <c r="U176" s="180">
        <f t="shared" si="72"/>
        <v>9.1657770321793492</v>
      </c>
      <c r="V176" s="182">
        <f t="shared" si="65"/>
        <v>53.410852713178301</v>
      </c>
      <c r="W176" s="180"/>
      <c r="X176" s="180"/>
      <c r="Y176" s="180"/>
      <c r="Z176" s="180"/>
      <c r="AA176" s="180"/>
      <c r="AB176" s="180"/>
      <c r="AC176" s="180"/>
      <c r="AD176" s="180"/>
      <c r="AE176" s="180"/>
      <c r="AF176" s="180"/>
      <c r="AG176" s="180"/>
      <c r="AH176" s="180"/>
      <c r="AI176" s="180">
        <v>6010000</v>
      </c>
      <c r="AJ176" s="181">
        <f t="shared" si="55"/>
        <v>46.589147286821699</v>
      </c>
      <c r="AK176" s="180">
        <f t="shared" si="70"/>
        <v>6890000</v>
      </c>
      <c r="AL176" s="181">
        <f t="shared" si="56"/>
        <v>53.410852713178294</v>
      </c>
      <c r="AM176" s="243"/>
    </row>
    <row r="177" spans="1:44" ht="24.75" customHeight="1" x14ac:dyDescent="0.25">
      <c r="A177" s="243"/>
      <c r="B177" s="410"/>
      <c r="C177" s="410"/>
      <c r="D177" s="410"/>
      <c r="E177" s="410"/>
      <c r="F177" s="410"/>
      <c r="G177" s="410"/>
      <c r="H177" s="410"/>
      <c r="I177" s="411"/>
      <c r="J177" s="410" t="s">
        <v>282</v>
      </c>
      <c r="K177" s="245"/>
      <c r="L177" s="257"/>
      <c r="M177" s="597" t="s">
        <v>586</v>
      </c>
      <c r="N177" s="598"/>
      <c r="O177" s="299"/>
      <c r="P177" s="180"/>
      <c r="Q177" s="180">
        <v>5000000</v>
      </c>
      <c r="R177" s="181">
        <f t="shared" si="71"/>
        <v>7.6254384627116059</v>
      </c>
      <c r="S177" s="181">
        <v>100</v>
      </c>
      <c r="T177" s="180">
        <f t="shared" si="54"/>
        <v>0</v>
      </c>
      <c r="U177" s="180">
        <f t="shared" si="72"/>
        <v>0</v>
      </c>
      <c r="V177" s="182">
        <f>S177-T177</f>
        <v>100</v>
      </c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>
        <v>0</v>
      </c>
      <c r="AJ177" s="181">
        <f t="shared" si="55"/>
        <v>0</v>
      </c>
      <c r="AK177" s="180">
        <f t="shared" si="70"/>
        <v>5000000</v>
      </c>
      <c r="AL177" s="181">
        <f t="shared" si="56"/>
        <v>100</v>
      </c>
      <c r="AM177" s="243"/>
    </row>
    <row r="178" spans="1:44" ht="24.75" customHeight="1" x14ac:dyDescent="0.25">
      <c r="A178" s="243"/>
      <c r="B178" s="410"/>
      <c r="C178" s="410"/>
      <c r="D178" s="410"/>
      <c r="E178" s="410"/>
      <c r="F178" s="410"/>
      <c r="G178" s="410"/>
      <c r="H178" s="410"/>
      <c r="I178" s="411"/>
      <c r="J178" s="410" t="s">
        <v>320</v>
      </c>
      <c r="K178" s="245"/>
      <c r="L178" s="257"/>
      <c r="M178" s="597" t="s">
        <v>321</v>
      </c>
      <c r="N178" s="598"/>
      <c r="O178" s="299"/>
      <c r="P178" s="180"/>
      <c r="Q178" s="180">
        <v>18400000</v>
      </c>
      <c r="R178" s="181">
        <f t="shared" si="71"/>
        <v>28.061613542778709</v>
      </c>
      <c r="S178" s="181">
        <v>100</v>
      </c>
      <c r="T178" s="180">
        <f t="shared" si="54"/>
        <v>21.739130434782609</v>
      </c>
      <c r="U178" s="180">
        <f t="shared" si="72"/>
        <v>6.1003507701692845</v>
      </c>
      <c r="V178" s="182">
        <f t="shared" ref="V178:V179" si="73">S178-T178</f>
        <v>78.260869565217391</v>
      </c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>
        <v>4000000</v>
      </c>
      <c r="AJ178" s="181">
        <f t="shared" si="55"/>
        <v>21.739130434782609</v>
      </c>
      <c r="AK178" s="180">
        <f t="shared" si="70"/>
        <v>14400000</v>
      </c>
      <c r="AL178" s="181">
        <f t="shared" si="56"/>
        <v>78.260869565217391</v>
      </c>
      <c r="AM178" s="243"/>
    </row>
    <row r="179" spans="1:44" ht="24.75" customHeight="1" x14ac:dyDescent="0.25">
      <c r="A179" s="243"/>
      <c r="B179" s="410"/>
      <c r="C179" s="410"/>
      <c r="D179" s="410"/>
      <c r="E179" s="410"/>
      <c r="F179" s="410"/>
      <c r="G179" s="410"/>
      <c r="H179" s="410"/>
      <c r="I179" s="411"/>
      <c r="J179" s="410" t="s">
        <v>407</v>
      </c>
      <c r="K179" s="245"/>
      <c r="L179" s="257"/>
      <c r="M179" s="597" t="s">
        <v>414</v>
      </c>
      <c r="N179" s="598"/>
      <c r="O179" s="299"/>
      <c r="P179" s="180"/>
      <c r="Q179" s="180">
        <v>450000</v>
      </c>
      <c r="R179" s="181">
        <f t="shared" si="71"/>
        <v>0.68628946164404447</v>
      </c>
      <c r="S179" s="181">
        <v>100</v>
      </c>
      <c r="T179" s="180">
        <f t="shared" si="54"/>
        <v>100</v>
      </c>
      <c r="U179" s="180">
        <f t="shared" si="72"/>
        <v>0.68628946164404458</v>
      </c>
      <c r="V179" s="182">
        <f t="shared" si="73"/>
        <v>0</v>
      </c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>
        <v>450000</v>
      </c>
      <c r="AJ179" s="181">
        <f t="shared" si="55"/>
        <v>100</v>
      </c>
      <c r="AK179" s="180">
        <f t="shared" si="70"/>
        <v>0</v>
      </c>
      <c r="AL179" s="181">
        <f t="shared" si="56"/>
        <v>0</v>
      </c>
      <c r="AM179" s="243"/>
    </row>
    <row r="180" spans="1:44" s="226" customFormat="1" ht="36.75" customHeight="1" x14ac:dyDescent="0.25">
      <c r="A180" s="289" t="s">
        <v>34</v>
      </c>
      <c r="B180" s="607" t="s">
        <v>138</v>
      </c>
      <c r="C180" s="607"/>
      <c r="D180" s="607"/>
      <c r="E180" s="607"/>
      <c r="F180" s="607"/>
      <c r="G180" s="607"/>
      <c r="H180" s="607"/>
      <c r="I180" s="608"/>
      <c r="J180" s="416" t="s">
        <v>467</v>
      </c>
      <c r="K180" s="291"/>
      <c r="L180" s="607" t="s">
        <v>35</v>
      </c>
      <c r="M180" s="607"/>
      <c r="N180" s="608"/>
      <c r="O180" s="263">
        <f>SUM(O181:O230)</f>
        <v>2212865000</v>
      </c>
      <c r="P180" s="263">
        <f>SUM(P181:P230)</f>
        <v>1923365000</v>
      </c>
      <c r="Q180" s="263">
        <f>SUM(Q181+Q193+Q201+Q209+Q216+Q222+Q230+Q241)</f>
        <v>1358098427</v>
      </c>
      <c r="R180" s="222">
        <f>Q180/Q$58*100</f>
        <v>6.7302687126511538</v>
      </c>
      <c r="S180" s="222">
        <f>S181</f>
        <v>100</v>
      </c>
      <c r="T180" s="263">
        <f t="shared" si="54"/>
        <v>20.53177917420561</v>
      </c>
      <c r="U180" s="263">
        <f t="shared" si="72"/>
        <v>1.3818439099121855</v>
      </c>
      <c r="V180" s="292">
        <f t="shared" si="65"/>
        <v>79.46822082579439</v>
      </c>
      <c r="W180" s="263">
        <f t="shared" ref="W180:AH180" si="74">SUM(W181:W230)</f>
        <v>0</v>
      </c>
      <c r="X180" s="263" t="e">
        <f t="shared" si="74"/>
        <v>#REF!</v>
      </c>
      <c r="Y180" s="263" t="e">
        <f t="shared" si="74"/>
        <v>#REF!</v>
      </c>
      <c r="Z180" s="263" t="e">
        <f t="shared" si="74"/>
        <v>#REF!</v>
      </c>
      <c r="AA180" s="263" t="e">
        <f t="shared" si="74"/>
        <v>#REF!</v>
      </c>
      <c r="AB180" s="263">
        <f t="shared" si="74"/>
        <v>1160108089</v>
      </c>
      <c r="AC180" s="263" t="e">
        <f t="shared" si="74"/>
        <v>#REF!</v>
      </c>
      <c r="AD180" s="263" t="e">
        <f t="shared" si="74"/>
        <v>#REF!</v>
      </c>
      <c r="AE180" s="263" t="e">
        <f t="shared" si="74"/>
        <v>#REF!</v>
      </c>
      <c r="AF180" s="263" t="e">
        <f t="shared" si="74"/>
        <v>#REF!</v>
      </c>
      <c r="AG180" s="263" t="e">
        <f t="shared" si="74"/>
        <v>#REF!</v>
      </c>
      <c r="AH180" s="263" t="e">
        <f t="shared" si="74"/>
        <v>#REF!</v>
      </c>
      <c r="AI180" s="263">
        <f>SUM(AI181+AI193+AI201+AI209+AI216+AI222+AI230+AI241)</f>
        <v>278841770</v>
      </c>
      <c r="AJ180" s="222">
        <f t="shared" si="55"/>
        <v>20.53177917420561</v>
      </c>
      <c r="AK180" s="263">
        <f>SUM(Q180-AI180)</f>
        <v>1079256657</v>
      </c>
      <c r="AL180" s="222">
        <f t="shared" si="56"/>
        <v>79.46822082579439</v>
      </c>
      <c r="AM180" s="289"/>
    </row>
    <row r="181" spans="1:44" s="297" customFormat="1" ht="42" customHeight="1" x14ac:dyDescent="0.25">
      <c r="A181" s="227">
        <f>A171+1</f>
        <v>28</v>
      </c>
      <c r="B181" s="615" t="s">
        <v>139</v>
      </c>
      <c r="C181" s="615"/>
      <c r="D181" s="615"/>
      <c r="E181" s="615"/>
      <c r="F181" s="615"/>
      <c r="G181" s="615"/>
      <c r="H181" s="615"/>
      <c r="I181" s="614"/>
      <c r="J181" s="304" t="s">
        <v>468</v>
      </c>
      <c r="K181" s="230"/>
      <c r="L181" s="294"/>
      <c r="M181" s="615" t="s">
        <v>36</v>
      </c>
      <c r="N181" s="614"/>
      <c r="O181" s="300">
        <v>1093890000</v>
      </c>
      <c r="P181" s="231">
        <f>[9]Sheet1!$U$80</f>
        <v>804390000</v>
      </c>
      <c r="Q181" s="231">
        <f>SUM(Q182:Q192)</f>
        <v>496093427</v>
      </c>
      <c r="R181" s="233">
        <f>Q181/Q$180*100</f>
        <v>36.528532626008264</v>
      </c>
      <c r="S181" s="233">
        <v>100</v>
      </c>
      <c r="T181" s="231">
        <f t="shared" si="54"/>
        <v>25.204581071782673</v>
      </c>
      <c r="U181" s="231">
        <f>R181*T181/100</f>
        <v>9.2068636200548379</v>
      </c>
      <c r="V181" s="296">
        <f t="shared" si="65"/>
        <v>74.79541892821733</v>
      </c>
      <c r="W181" s="231"/>
      <c r="X181" s="231" t="e">
        <f>#REF!</f>
        <v>#REF!</v>
      </c>
      <c r="Y181" s="231" t="e">
        <f>#REF!</f>
        <v>#REF!</v>
      </c>
      <c r="Z181" s="231" t="e">
        <f>#REF!</f>
        <v>#REF!</v>
      </c>
      <c r="AA181" s="231" t="e">
        <f>#REF!</f>
        <v>#REF!</v>
      </c>
      <c r="AB181" s="231">
        <v>258208050</v>
      </c>
      <c r="AC181" s="231" t="e">
        <f>#REF!</f>
        <v>#REF!</v>
      </c>
      <c r="AD181" s="231" t="e">
        <f>#REF!</f>
        <v>#REF!</v>
      </c>
      <c r="AE181" s="231" t="e">
        <f>#REF!</f>
        <v>#REF!</v>
      </c>
      <c r="AF181" s="231" t="e">
        <f>[1]April!N48</f>
        <v>#REF!</v>
      </c>
      <c r="AG181" s="231" t="e">
        <f>[2]april!N48</f>
        <v>#REF!</v>
      </c>
      <c r="AH181" s="231">
        <f>'[3]DES SKPD'!$N48</f>
        <v>531334050</v>
      </c>
      <c r="AI181" s="231">
        <f>SUM(AI182:AI192)</f>
        <v>125038270</v>
      </c>
      <c r="AJ181" s="233">
        <f t="shared" si="55"/>
        <v>25.204581071782673</v>
      </c>
      <c r="AK181" s="231">
        <f>Q181-AI181</f>
        <v>371055157</v>
      </c>
      <c r="AL181" s="233">
        <f t="shared" si="56"/>
        <v>74.79541892821733</v>
      </c>
      <c r="AM181" s="227"/>
    </row>
    <row r="182" spans="1:44" ht="28.5" customHeight="1" x14ac:dyDescent="0.25">
      <c r="A182" s="243"/>
      <c r="B182" s="410"/>
      <c r="C182" s="410"/>
      <c r="D182" s="410"/>
      <c r="E182" s="410"/>
      <c r="F182" s="410"/>
      <c r="G182" s="410"/>
      <c r="H182" s="410"/>
      <c r="I182" s="411"/>
      <c r="J182" s="410" t="s">
        <v>259</v>
      </c>
      <c r="K182" s="245"/>
      <c r="L182" s="257"/>
      <c r="M182" s="597" t="s">
        <v>260</v>
      </c>
      <c r="N182" s="598"/>
      <c r="O182" s="301"/>
      <c r="P182" s="180"/>
      <c r="Q182" s="180">
        <v>1096000</v>
      </c>
      <c r="R182" s="181">
        <f t="shared" ref="R182:R192" si="75">Q182/Q$181*100</f>
        <v>0.22092612809401324</v>
      </c>
      <c r="S182" s="181">
        <v>100</v>
      </c>
      <c r="T182" s="180">
        <f t="shared" si="54"/>
        <v>0</v>
      </c>
      <c r="U182" s="180">
        <f t="shared" ref="U182:U190" si="76">R182*T182/100</f>
        <v>0</v>
      </c>
      <c r="V182" s="182">
        <f t="shared" si="65"/>
        <v>100</v>
      </c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>
        <v>0</v>
      </c>
      <c r="AJ182" s="181">
        <f t="shared" si="55"/>
        <v>0</v>
      </c>
      <c r="AK182" s="180">
        <f t="shared" ref="AK182:AK245" si="77">Q182-AI182</f>
        <v>1096000</v>
      </c>
      <c r="AL182" s="181">
        <f t="shared" si="56"/>
        <v>100</v>
      </c>
      <c r="AM182" s="243"/>
      <c r="AR182" s="205">
        <f>SUM(69300000-48250000)</f>
        <v>21050000</v>
      </c>
    </row>
    <row r="183" spans="1:44" ht="28.5" customHeight="1" x14ac:dyDescent="0.25">
      <c r="A183" s="243"/>
      <c r="B183" s="410"/>
      <c r="C183" s="410"/>
      <c r="D183" s="410"/>
      <c r="E183" s="410"/>
      <c r="F183" s="410"/>
      <c r="G183" s="410"/>
      <c r="H183" s="410"/>
      <c r="I183" s="411"/>
      <c r="J183" s="410" t="s">
        <v>273</v>
      </c>
      <c r="K183" s="245"/>
      <c r="L183" s="257"/>
      <c r="M183" s="597" t="s">
        <v>322</v>
      </c>
      <c r="N183" s="598"/>
      <c r="O183" s="301"/>
      <c r="P183" s="180"/>
      <c r="Q183" s="180">
        <v>6900000</v>
      </c>
      <c r="R183" s="181">
        <f t="shared" si="75"/>
        <v>1.3908670473072002</v>
      </c>
      <c r="S183" s="181">
        <v>100</v>
      </c>
      <c r="T183" s="180">
        <f>AJ183</f>
        <v>100</v>
      </c>
      <c r="U183" s="180">
        <f t="shared" si="76"/>
        <v>1.3908670473072002</v>
      </c>
      <c r="V183" s="182">
        <f t="shared" si="65"/>
        <v>0</v>
      </c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>
        <v>6900000</v>
      </c>
      <c r="AJ183" s="181">
        <f>AI183/Q183*100</f>
        <v>100</v>
      </c>
      <c r="AK183" s="180">
        <f t="shared" si="77"/>
        <v>0</v>
      </c>
      <c r="AL183" s="181">
        <f t="shared" si="56"/>
        <v>0</v>
      </c>
      <c r="AM183" s="243"/>
    </row>
    <row r="184" spans="1:44" ht="28.5" customHeight="1" x14ac:dyDescent="0.25">
      <c r="A184" s="243"/>
      <c r="B184" s="410"/>
      <c r="C184" s="410"/>
      <c r="D184" s="410"/>
      <c r="E184" s="410"/>
      <c r="F184" s="410"/>
      <c r="G184" s="410"/>
      <c r="H184" s="410"/>
      <c r="I184" s="411"/>
      <c r="J184" s="410" t="s">
        <v>587</v>
      </c>
      <c r="K184" s="245"/>
      <c r="L184" s="257"/>
      <c r="M184" s="597" t="s">
        <v>588</v>
      </c>
      <c r="N184" s="598"/>
      <c r="O184" s="301"/>
      <c r="P184" s="180"/>
      <c r="Q184" s="180">
        <v>80900000</v>
      </c>
      <c r="R184" s="181">
        <f t="shared" si="75"/>
        <v>16.307412192340941</v>
      </c>
      <c r="S184" s="181">
        <v>100</v>
      </c>
      <c r="T184" s="180">
        <f>AJ184</f>
        <v>0</v>
      </c>
      <c r="U184" s="180">
        <f t="shared" si="76"/>
        <v>0</v>
      </c>
      <c r="V184" s="182">
        <f t="shared" si="65"/>
        <v>100</v>
      </c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>
        <v>0</v>
      </c>
      <c r="AJ184" s="181">
        <f>AI184/Q184*100</f>
        <v>0</v>
      </c>
      <c r="AK184" s="180">
        <f t="shared" si="77"/>
        <v>80900000</v>
      </c>
      <c r="AL184" s="181"/>
      <c r="AM184" s="243"/>
    </row>
    <row r="185" spans="1:44" ht="28.5" customHeight="1" x14ac:dyDescent="0.25">
      <c r="A185" s="243"/>
      <c r="B185" s="410"/>
      <c r="C185" s="410"/>
      <c r="D185" s="410"/>
      <c r="E185" s="410"/>
      <c r="F185" s="410"/>
      <c r="G185" s="410"/>
      <c r="H185" s="410"/>
      <c r="I185" s="411"/>
      <c r="J185" s="410" t="s">
        <v>323</v>
      </c>
      <c r="K185" s="245"/>
      <c r="L185" s="257"/>
      <c r="M185" s="597" t="s">
        <v>324</v>
      </c>
      <c r="N185" s="598"/>
      <c r="O185" s="301"/>
      <c r="P185" s="180"/>
      <c r="Q185" s="180">
        <v>23150000</v>
      </c>
      <c r="R185" s="181">
        <f t="shared" si="75"/>
        <v>4.6664597311828526</v>
      </c>
      <c r="S185" s="181">
        <v>100</v>
      </c>
      <c r="T185" s="180">
        <f t="shared" si="54"/>
        <v>57.8488120950324</v>
      </c>
      <c r="U185" s="180">
        <f t="shared" si="76"/>
        <v>2.6994915213823223</v>
      </c>
      <c r="V185" s="182">
        <f t="shared" si="65"/>
        <v>42.1511879049676</v>
      </c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>
        <v>13392000</v>
      </c>
      <c r="AJ185" s="181">
        <f t="shared" si="55"/>
        <v>57.8488120950324</v>
      </c>
      <c r="AK185" s="180">
        <f t="shared" si="77"/>
        <v>9758000</v>
      </c>
      <c r="AL185" s="181">
        <f t="shared" si="56"/>
        <v>42.1511879049676</v>
      </c>
      <c r="AM185" s="243"/>
    </row>
    <row r="186" spans="1:44" ht="28.5" customHeight="1" x14ac:dyDescent="0.25">
      <c r="A186" s="243"/>
      <c r="B186" s="410"/>
      <c r="C186" s="410"/>
      <c r="D186" s="410"/>
      <c r="E186" s="410"/>
      <c r="F186" s="410"/>
      <c r="G186" s="410"/>
      <c r="H186" s="410"/>
      <c r="I186" s="411"/>
      <c r="J186" s="410" t="s">
        <v>269</v>
      </c>
      <c r="K186" s="245"/>
      <c r="L186" s="257"/>
      <c r="M186" s="597" t="s">
        <v>589</v>
      </c>
      <c r="N186" s="598"/>
      <c r="O186" s="301"/>
      <c r="P186" s="180"/>
      <c r="Q186" s="180">
        <v>23500000</v>
      </c>
      <c r="R186" s="181">
        <f t="shared" si="75"/>
        <v>4.737010958220174</v>
      </c>
      <c r="S186" s="181">
        <v>100</v>
      </c>
      <c r="T186" s="180">
        <f t="shared" si="54"/>
        <v>27.659574468085108</v>
      </c>
      <c r="U186" s="180">
        <f t="shared" si="76"/>
        <v>1.3102370735502609</v>
      </c>
      <c r="V186" s="182">
        <f t="shared" si="65"/>
        <v>72.340425531914889</v>
      </c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>
        <v>6500000</v>
      </c>
      <c r="AJ186" s="181">
        <f t="shared" si="55"/>
        <v>27.659574468085108</v>
      </c>
      <c r="AK186" s="180">
        <f t="shared" si="77"/>
        <v>17000000</v>
      </c>
      <c r="AL186" s="181">
        <f t="shared" si="56"/>
        <v>72.340425531914903</v>
      </c>
      <c r="AM186" s="243"/>
    </row>
    <row r="187" spans="1:44" ht="28.5" customHeight="1" x14ac:dyDescent="0.25">
      <c r="A187" s="243"/>
      <c r="B187" s="410"/>
      <c r="C187" s="410"/>
      <c r="D187" s="410"/>
      <c r="E187" s="410"/>
      <c r="F187" s="410"/>
      <c r="G187" s="410"/>
      <c r="H187" s="410"/>
      <c r="I187" s="411"/>
      <c r="J187" s="410" t="s">
        <v>315</v>
      </c>
      <c r="K187" s="245"/>
      <c r="L187" s="257"/>
      <c r="M187" s="597" t="s">
        <v>271</v>
      </c>
      <c r="N187" s="598"/>
      <c r="O187" s="301"/>
      <c r="P187" s="180"/>
      <c r="Q187" s="180">
        <v>5200000</v>
      </c>
      <c r="R187" s="181">
        <f t="shared" si="75"/>
        <v>1.0481896588402086</v>
      </c>
      <c r="S187" s="181">
        <v>100</v>
      </c>
      <c r="T187" s="180">
        <f t="shared" si="54"/>
        <v>7.6730769230769225</v>
      </c>
      <c r="U187" s="180">
        <f t="shared" si="76"/>
        <v>8.0428398822546765E-2</v>
      </c>
      <c r="V187" s="182">
        <f t="shared" si="65"/>
        <v>92.32692307692308</v>
      </c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>
        <v>399000</v>
      </c>
      <c r="AJ187" s="181">
        <f t="shared" si="55"/>
        <v>7.6730769230769225</v>
      </c>
      <c r="AK187" s="180">
        <f t="shared" si="77"/>
        <v>4801000</v>
      </c>
      <c r="AL187" s="181">
        <f t="shared" si="56"/>
        <v>92.326923076923066</v>
      </c>
      <c r="AM187" s="243"/>
    </row>
    <row r="188" spans="1:44" ht="28.5" customHeight="1" x14ac:dyDescent="0.25">
      <c r="A188" s="243"/>
      <c r="B188" s="410"/>
      <c r="C188" s="410"/>
      <c r="D188" s="410"/>
      <c r="E188" s="410"/>
      <c r="F188" s="410"/>
      <c r="G188" s="410"/>
      <c r="H188" s="410"/>
      <c r="I188" s="411"/>
      <c r="J188" s="410" t="s">
        <v>328</v>
      </c>
      <c r="K188" s="245"/>
      <c r="L188" s="257"/>
      <c r="M188" s="597" t="s">
        <v>329</v>
      </c>
      <c r="N188" s="598"/>
      <c r="O188" s="301"/>
      <c r="P188" s="180"/>
      <c r="Q188" s="180">
        <v>36000000</v>
      </c>
      <c r="R188" s="181">
        <f t="shared" si="75"/>
        <v>7.2566976381245221</v>
      </c>
      <c r="S188" s="181">
        <v>100</v>
      </c>
      <c r="T188" s="180">
        <f t="shared" si="54"/>
        <v>50</v>
      </c>
      <c r="U188" s="180">
        <f t="shared" si="76"/>
        <v>3.628348819062261</v>
      </c>
      <c r="V188" s="182">
        <f t="shared" si="65"/>
        <v>50</v>
      </c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>
        <v>18000000</v>
      </c>
      <c r="AJ188" s="181">
        <f t="shared" si="55"/>
        <v>50</v>
      </c>
      <c r="AK188" s="180">
        <f t="shared" si="77"/>
        <v>18000000</v>
      </c>
      <c r="AL188" s="181">
        <f t="shared" si="56"/>
        <v>50</v>
      </c>
      <c r="AM188" s="243"/>
    </row>
    <row r="189" spans="1:44" ht="28.5" customHeight="1" x14ac:dyDescent="0.25">
      <c r="A189" s="243"/>
      <c r="B189" s="410"/>
      <c r="C189" s="410"/>
      <c r="D189" s="410"/>
      <c r="E189" s="410"/>
      <c r="F189" s="410"/>
      <c r="G189" s="410"/>
      <c r="H189" s="410"/>
      <c r="I189" s="411"/>
      <c r="J189" s="410" t="s">
        <v>280</v>
      </c>
      <c r="K189" s="245"/>
      <c r="L189" s="257"/>
      <c r="M189" s="597" t="s">
        <v>425</v>
      </c>
      <c r="N189" s="598"/>
      <c r="O189" s="301"/>
      <c r="P189" s="180"/>
      <c r="Q189" s="180">
        <v>40500000</v>
      </c>
      <c r="R189" s="181">
        <f t="shared" si="75"/>
        <v>8.1637848428900881</v>
      </c>
      <c r="S189" s="181">
        <v>100</v>
      </c>
      <c r="T189" s="180">
        <f t="shared" si="54"/>
        <v>4.3209876543209873</v>
      </c>
      <c r="U189" s="180">
        <f t="shared" si="76"/>
        <v>0.3527561351866087</v>
      </c>
      <c r="V189" s="182">
        <f t="shared" si="65"/>
        <v>95.679012345679013</v>
      </c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>
        <v>1750000</v>
      </c>
      <c r="AJ189" s="181">
        <f t="shared" si="55"/>
        <v>4.3209876543209873</v>
      </c>
      <c r="AK189" s="180">
        <f t="shared" si="77"/>
        <v>38750000</v>
      </c>
      <c r="AL189" s="181">
        <f t="shared" si="56"/>
        <v>95.679012345679013</v>
      </c>
      <c r="AM189" s="243"/>
    </row>
    <row r="190" spans="1:44" ht="28.5" customHeight="1" x14ac:dyDescent="0.25">
      <c r="A190" s="243"/>
      <c r="B190" s="410"/>
      <c r="C190" s="410"/>
      <c r="D190" s="410"/>
      <c r="E190" s="410"/>
      <c r="F190" s="410"/>
      <c r="G190" s="410"/>
      <c r="H190" s="410"/>
      <c r="I190" s="411"/>
      <c r="J190" s="410" t="s">
        <v>282</v>
      </c>
      <c r="K190" s="245"/>
      <c r="L190" s="257"/>
      <c r="M190" s="597" t="s">
        <v>590</v>
      </c>
      <c r="N190" s="598"/>
      <c r="O190" s="301"/>
      <c r="P190" s="180"/>
      <c r="Q190" s="180">
        <v>40047427</v>
      </c>
      <c r="R190" s="181">
        <f t="shared" si="75"/>
        <v>8.0725574701073395</v>
      </c>
      <c r="S190" s="181">
        <v>100</v>
      </c>
      <c r="T190" s="180">
        <f t="shared" si="54"/>
        <v>31.206174618908726</v>
      </c>
      <c r="U190" s="180">
        <f t="shared" si="76"/>
        <v>2.5191363803334572</v>
      </c>
      <c r="V190" s="182">
        <f t="shared" si="65"/>
        <v>68.793825381091267</v>
      </c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>
        <v>12497270</v>
      </c>
      <c r="AJ190" s="181">
        <f t="shared" si="55"/>
        <v>31.206174618908726</v>
      </c>
      <c r="AK190" s="180">
        <f t="shared" si="77"/>
        <v>27550157</v>
      </c>
      <c r="AL190" s="181">
        <f t="shared" si="56"/>
        <v>68.793825381091281</v>
      </c>
      <c r="AM190" s="243"/>
    </row>
    <row r="191" spans="1:44" ht="28.5" customHeight="1" x14ac:dyDescent="0.25">
      <c r="A191" s="243"/>
      <c r="B191" s="410"/>
      <c r="C191" s="410"/>
      <c r="D191" s="410"/>
      <c r="E191" s="410"/>
      <c r="F191" s="410"/>
      <c r="G191" s="410"/>
      <c r="H191" s="410"/>
      <c r="I191" s="411"/>
      <c r="J191" s="410" t="s">
        <v>306</v>
      </c>
      <c r="K191" s="245"/>
      <c r="L191" s="257"/>
      <c r="M191" s="597" t="s">
        <v>591</v>
      </c>
      <c r="N191" s="598"/>
      <c r="O191" s="301"/>
      <c r="P191" s="180"/>
      <c r="Q191" s="180">
        <v>40000000</v>
      </c>
      <c r="R191" s="181">
        <f t="shared" si="75"/>
        <v>8.0629973756939126</v>
      </c>
      <c r="S191" s="181">
        <v>100</v>
      </c>
      <c r="T191" s="180">
        <f>AJ192</f>
        <v>0</v>
      </c>
      <c r="U191" s="180">
        <f>R191*T191/100</f>
        <v>0</v>
      </c>
      <c r="V191" s="182">
        <f>S191-T191</f>
        <v>100</v>
      </c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>
        <v>0</v>
      </c>
      <c r="AJ191" s="181">
        <f>AI191/Q191*100</f>
        <v>0</v>
      </c>
      <c r="AK191" s="180">
        <f t="shared" si="77"/>
        <v>40000000</v>
      </c>
      <c r="AL191" s="181">
        <f t="shared" si="56"/>
        <v>100</v>
      </c>
      <c r="AM191" s="243"/>
    </row>
    <row r="192" spans="1:44" ht="28.5" customHeight="1" x14ac:dyDescent="0.25">
      <c r="A192" s="243"/>
      <c r="B192" s="410"/>
      <c r="C192" s="410"/>
      <c r="D192" s="410"/>
      <c r="E192" s="410"/>
      <c r="F192" s="410"/>
      <c r="G192" s="410"/>
      <c r="H192" s="410"/>
      <c r="I192" s="411"/>
      <c r="J192" s="410" t="s">
        <v>551</v>
      </c>
      <c r="K192" s="245"/>
      <c r="L192" s="257"/>
      <c r="M192" s="597" t="s">
        <v>550</v>
      </c>
      <c r="N192" s="598"/>
      <c r="O192" s="301"/>
      <c r="P192" s="180"/>
      <c r="Q192" s="180">
        <v>198800000</v>
      </c>
      <c r="R192" s="181">
        <f t="shared" si="75"/>
        <v>40.07309695719875</v>
      </c>
      <c r="S192" s="181">
        <v>100</v>
      </c>
      <c r="T192" s="180">
        <f>AJ193</f>
        <v>0</v>
      </c>
      <c r="U192" s="180">
        <f>R192*T192/100</f>
        <v>0</v>
      </c>
      <c r="V192" s="182">
        <f>S192-T192</f>
        <v>100</v>
      </c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>
        <f>32800000+16400000+16400000</f>
        <v>65600000</v>
      </c>
      <c r="AJ192" s="181">
        <f>AI191/Q191*100</f>
        <v>0</v>
      </c>
      <c r="AK192" s="180">
        <f t="shared" si="77"/>
        <v>133200000</v>
      </c>
      <c r="AL192" s="181">
        <f t="shared" si="56"/>
        <v>67.002012072434596</v>
      </c>
      <c r="AM192" s="243"/>
    </row>
    <row r="193" spans="1:39" s="297" customFormat="1" ht="28.5" customHeight="1" x14ac:dyDescent="0.25">
      <c r="A193" s="227">
        <f>A181+1</f>
        <v>29</v>
      </c>
      <c r="B193" s="615" t="s">
        <v>140</v>
      </c>
      <c r="C193" s="615"/>
      <c r="D193" s="615"/>
      <c r="E193" s="615"/>
      <c r="F193" s="615"/>
      <c r="G193" s="615"/>
      <c r="H193" s="615"/>
      <c r="I193" s="614"/>
      <c r="J193" s="304" t="s">
        <v>469</v>
      </c>
      <c r="K193" s="230"/>
      <c r="L193" s="294"/>
      <c r="M193" s="615" t="s">
        <v>37</v>
      </c>
      <c r="N193" s="614"/>
      <c r="O193" s="295">
        <v>144225000</v>
      </c>
      <c r="P193" s="231">
        <f>O193</f>
        <v>144225000</v>
      </c>
      <c r="Q193" s="231">
        <f>SUM(Q194:Q200)</f>
        <v>131070000</v>
      </c>
      <c r="R193" s="233">
        <f>Q193/Q$180*100</f>
        <v>9.6509941690698966</v>
      </c>
      <c r="S193" s="233">
        <v>100</v>
      </c>
      <c r="T193" s="231">
        <f t="shared" si="54"/>
        <v>0</v>
      </c>
      <c r="U193" s="231">
        <f>R193*T193/100</f>
        <v>0</v>
      </c>
      <c r="V193" s="296">
        <f t="shared" si="65"/>
        <v>100</v>
      </c>
      <c r="W193" s="231"/>
      <c r="X193" s="231" t="e">
        <f>#REF!</f>
        <v>#REF!</v>
      </c>
      <c r="Y193" s="231" t="e">
        <f>#REF!</f>
        <v>#REF!</v>
      </c>
      <c r="Z193" s="231" t="e">
        <f>#REF!</f>
        <v>#REF!</v>
      </c>
      <c r="AA193" s="231" t="e">
        <f>#REF!</f>
        <v>#REF!</v>
      </c>
      <c r="AB193" s="231">
        <v>0</v>
      </c>
      <c r="AC193" s="231" t="e">
        <f>#REF!</f>
        <v>#REF!</v>
      </c>
      <c r="AD193" s="231" t="e">
        <f>#REF!</f>
        <v>#REF!</v>
      </c>
      <c r="AE193" s="231" t="e">
        <f>#REF!</f>
        <v>#REF!</v>
      </c>
      <c r="AF193" s="231" t="e">
        <f>[1]April!N49</f>
        <v>#REF!</v>
      </c>
      <c r="AG193" s="231" t="e">
        <f>[2]april!N49</f>
        <v>#REF!</v>
      </c>
      <c r="AH193" s="231">
        <f>'[3]DES SKPD'!$N49</f>
        <v>143100490</v>
      </c>
      <c r="AI193" s="231">
        <f>SUM(AI194:AI200)</f>
        <v>0</v>
      </c>
      <c r="AJ193" s="233">
        <f t="shared" si="55"/>
        <v>0</v>
      </c>
      <c r="AK193" s="231">
        <f t="shared" si="77"/>
        <v>131070000</v>
      </c>
      <c r="AL193" s="233">
        <f t="shared" si="56"/>
        <v>100</v>
      </c>
      <c r="AM193" s="227"/>
    </row>
    <row r="194" spans="1:39" ht="28.5" customHeight="1" x14ac:dyDescent="0.25">
      <c r="A194" s="243"/>
      <c r="B194" s="410"/>
      <c r="C194" s="410"/>
      <c r="D194" s="410"/>
      <c r="E194" s="410"/>
      <c r="F194" s="410"/>
      <c r="G194" s="410"/>
      <c r="H194" s="410"/>
      <c r="I194" s="411"/>
      <c r="J194" s="410" t="s">
        <v>326</v>
      </c>
      <c r="K194" s="245"/>
      <c r="L194" s="257"/>
      <c r="M194" s="597" t="s">
        <v>327</v>
      </c>
      <c r="N194" s="598"/>
      <c r="O194" s="299"/>
      <c r="P194" s="180"/>
      <c r="Q194" s="180">
        <v>16750000</v>
      </c>
      <c r="R194" s="181">
        <f t="shared" ref="R194:R200" si="78">Q194/Q$193*100</f>
        <v>12.779430838483252</v>
      </c>
      <c r="S194" s="181">
        <v>100</v>
      </c>
      <c r="T194" s="180">
        <f t="shared" si="54"/>
        <v>0</v>
      </c>
      <c r="U194" s="180">
        <f t="shared" ref="U194:U200" si="79">R194*T194/100</f>
        <v>0</v>
      </c>
      <c r="V194" s="182">
        <f t="shared" si="65"/>
        <v>100</v>
      </c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>
        <v>0</v>
      </c>
      <c r="AJ194" s="181">
        <f t="shared" si="55"/>
        <v>0</v>
      </c>
      <c r="AK194" s="180">
        <f t="shared" si="77"/>
        <v>16750000</v>
      </c>
      <c r="AL194" s="181">
        <f t="shared" si="56"/>
        <v>100</v>
      </c>
      <c r="AM194" s="243"/>
    </row>
    <row r="195" spans="1:39" ht="28.5" customHeight="1" x14ac:dyDescent="0.25">
      <c r="A195" s="243"/>
      <c r="B195" s="410"/>
      <c r="C195" s="410"/>
      <c r="D195" s="410"/>
      <c r="E195" s="410"/>
      <c r="F195" s="410"/>
      <c r="G195" s="410"/>
      <c r="H195" s="410"/>
      <c r="I195" s="411"/>
      <c r="J195" s="410" t="s">
        <v>323</v>
      </c>
      <c r="K195" s="245"/>
      <c r="L195" s="257"/>
      <c r="M195" s="597" t="s">
        <v>324</v>
      </c>
      <c r="N195" s="598"/>
      <c r="O195" s="299"/>
      <c r="P195" s="180"/>
      <c r="Q195" s="180">
        <v>9132000</v>
      </c>
      <c r="R195" s="181">
        <f t="shared" si="78"/>
        <v>6.9672693980315863</v>
      </c>
      <c r="S195" s="181">
        <v>100</v>
      </c>
      <c r="T195" s="180">
        <f t="shared" si="54"/>
        <v>0</v>
      </c>
      <c r="U195" s="180">
        <f t="shared" si="79"/>
        <v>0</v>
      </c>
      <c r="V195" s="182">
        <f t="shared" si="65"/>
        <v>100</v>
      </c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>
        <v>0</v>
      </c>
      <c r="AJ195" s="181">
        <f t="shared" si="55"/>
        <v>0</v>
      </c>
      <c r="AK195" s="180">
        <f t="shared" si="77"/>
        <v>9132000</v>
      </c>
      <c r="AL195" s="181">
        <f t="shared" si="56"/>
        <v>100</v>
      </c>
      <c r="AM195" s="243"/>
    </row>
    <row r="196" spans="1:39" ht="28.5" customHeight="1" x14ac:dyDescent="0.25">
      <c r="A196" s="243"/>
      <c r="B196" s="410"/>
      <c r="C196" s="410"/>
      <c r="D196" s="410"/>
      <c r="E196" s="410"/>
      <c r="F196" s="410"/>
      <c r="G196" s="410"/>
      <c r="H196" s="410"/>
      <c r="I196" s="411"/>
      <c r="J196" s="410" t="s">
        <v>269</v>
      </c>
      <c r="K196" s="245"/>
      <c r="L196" s="257"/>
      <c r="M196" s="597" t="s">
        <v>270</v>
      </c>
      <c r="N196" s="598"/>
      <c r="O196" s="299"/>
      <c r="P196" s="180"/>
      <c r="Q196" s="180">
        <v>13650000</v>
      </c>
      <c r="R196" s="181">
        <f t="shared" si="78"/>
        <v>10.414282444495308</v>
      </c>
      <c r="S196" s="181">
        <v>100</v>
      </c>
      <c r="T196" s="180">
        <f t="shared" si="54"/>
        <v>0</v>
      </c>
      <c r="U196" s="180">
        <f t="shared" si="79"/>
        <v>0</v>
      </c>
      <c r="V196" s="182">
        <f t="shared" si="65"/>
        <v>100</v>
      </c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>
        <v>0</v>
      </c>
      <c r="AJ196" s="181">
        <f t="shared" si="55"/>
        <v>0</v>
      </c>
      <c r="AK196" s="180">
        <f t="shared" si="77"/>
        <v>13650000</v>
      </c>
      <c r="AL196" s="181">
        <f t="shared" si="56"/>
        <v>100</v>
      </c>
      <c r="AM196" s="243"/>
    </row>
    <row r="197" spans="1:39" ht="28.5" customHeight="1" x14ac:dyDescent="0.25">
      <c r="A197" s="243"/>
      <c r="B197" s="410"/>
      <c r="C197" s="410"/>
      <c r="D197" s="410"/>
      <c r="E197" s="410"/>
      <c r="F197" s="410"/>
      <c r="G197" s="410"/>
      <c r="H197" s="410"/>
      <c r="I197" s="411"/>
      <c r="J197" s="410" t="s">
        <v>315</v>
      </c>
      <c r="K197" s="245"/>
      <c r="L197" s="257"/>
      <c r="M197" s="597" t="s">
        <v>271</v>
      </c>
      <c r="N197" s="598"/>
      <c r="O197" s="299"/>
      <c r="P197" s="180"/>
      <c r="Q197" s="180">
        <v>1418000</v>
      </c>
      <c r="R197" s="181">
        <f t="shared" si="78"/>
        <v>1.0818646524757762</v>
      </c>
      <c r="S197" s="181">
        <v>100</v>
      </c>
      <c r="T197" s="180">
        <f t="shared" si="54"/>
        <v>0</v>
      </c>
      <c r="U197" s="180">
        <f t="shared" si="79"/>
        <v>0</v>
      </c>
      <c r="V197" s="182">
        <f t="shared" si="65"/>
        <v>100</v>
      </c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>
        <v>0</v>
      </c>
      <c r="AJ197" s="181">
        <f t="shared" si="55"/>
        <v>0</v>
      </c>
      <c r="AK197" s="180">
        <f t="shared" si="77"/>
        <v>1418000</v>
      </c>
      <c r="AL197" s="181">
        <f t="shared" si="56"/>
        <v>100</v>
      </c>
      <c r="AM197" s="243"/>
    </row>
    <row r="198" spans="1:39" ht="28.5" customHeight="1" x14ac:dyDescent="0.25">
      <c r="A198" s="243"/>
      <c r="B198" s="410"/>
      <c r="C198" s="410"/>
      <c r="D198" s="410"/>
      <c r="E198" s="410"/>
      <c r="F198" s="410"/>
      <c r="G198" s="410"/>
      <c r="H198" s="410"/>
      <c r="I198" s="411"/>
      <c r="J198" s="410" t="s">
        <v>328</v>
      </c>
      <c r="K198" s="245"/>
      <c r="L198" s="257"/>
      <c r="M198" s="597" t="s">
        <v>329</v>
      </c>
      <c r="N198" s="598"/>
      <c r="O198" s="299"/>
      <c r="P198" s="180"/>
      <c r="Q198" s="180">
        <v>82500000</v>
      </c>
      <c r="R198" s="181">
        <f t="shared" si="78"/>
        <v>62.943465323872736</v>
      </c>
      <c r="S198" s="181">
        <v>100</v>
      </c>
      <c r="T198" s="180">
        <f t="shared" si="54"/>
        <v>0</v>
      </c>
      <c r="U198" s="180">
        <f t="shared" si="79"/>
        <v>0</v>
      </c>
      <c r="V198" s="182">
        <f t="shared" si="65"/>
        <v>100</v>
      </c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>
        <v>0</v>
      </c>
      <c r="AJ198" s="181">
        <f t="shared" si="55"/>
        <v>0</v>
      </c>
      <c r="AK198" s="180">
        <f t="shared" si="77"/>
        <v>82500000</v>
      </c>
      <c r="AL198" s="181">
        <f t="shared" si="56"/>
        <v>100</v>
      </c>
      <c r="AM198" s="243"/>
    </row>
    <row r="199" spans="1:39" ht="28.5" customHeight="1" x14ac:dyDescent="0.25">
      <c r="A199" s="243"/>
      <c r="B199" s="410"/>
      <c r="C199" s="410"/>
      <c r="D199" s="410"/>
      <c r="E199" s="410"/>
      <c r="F199" s="410"/>
      <c r="G199" s="410"/>
      <c r="H199" s="410"/>
      <c r="I199" s="411"/>
      <c r="J199" s="410" t="s">
        <v>284</v>
      </c>
      <c r="K199" s="245"/>
      <c r="L199" s="257"/>
      <c r="M199" s="597" t="s">
        <v>285</v>
      </c>
      <c r="N199" s="598"/>
      <c r="O199" s="299"/>
      <c r="P199" s="180"/>
      <c r="Q199" s="180">
        <v>2120000</v>
      </c>
      <c r="R199" s="181">
        <f t="shared" si="78"/>
        <v>1.617456321049821</v>
      </c>
      <c r="S199" s="181">
        <v>100</v>
      </c>
      <c r="T199" s="180">
        <f t="shared" si="54"/>
        <v>0</v>
      </c>
      <c r="U199" s="180">
        <f t="shared" si="79"/>
        <v>0</v>
      </c>
      <c r="V199" s="182">
        <f t="shared" si="65"/>
        <v>100</v>
      </c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>
        <v>0</v>
      </c>
      <c r="AJ199" s="181">
        <f t="shared" si="55"/>
        <v>0</v>
      </c>
      <c r="AK199" s="180">
        <f t="shared" si="77"/>
        <v>2120000</v>
      </c>
      <c r="AL199" s="181">
        <f t="shared" si="56"/>
        <v>100</v>
      </c>
      <c r="AM199" s="243"/>
    </row>
    <row r="200" spans="1:39" ht="28.5" customHeight="1" x14ac:dyDescent="0.25">
      <c r="A200" s="243"/>
      <c r="B200" s="410"/>
      <c r="C200" s="410"/>
      <c r="D200" s="410"/>
      <c r="E200" s="410"/>
      <c r="F200" s="410"/>
      <c r="G200" s="410"/>
      <c r="H200" s="410"/>
      <c r="I200" s="411"/>
      <c r="J200" s="410" t="s">
        <v>282</v>
      </c>
      <c r="K200" s="245"/>
      <c r="L200" s="257"/>
      <c r="M200" s="597" t="s">
        <v>283</v>
      </c>
      <c r="N200" s="598"/>
      <c r="O200" s="299"/>
      <c r="P200" s="180"/>
      <c r="Q200" s="180">
        <v>5500000</v>
      </c>
      <c r="R200" s="181">
        <f t="shared" si="78"/>
        <v>4.1962310215915153</v>
      </c>
      <c r="S200" s="181">
        <v>100</v>
      </c>
      <c r="T200" s="180">
        <f t="shared" si="54"/>
        <v>0</v>
      </c>
      <c r="U200" s="180">
        <f t="shared" si="79"/>
        <v>0</v>
      </c>
      <c r="V200" s="182">
        <f t="shared" si="65"/>
        <v>100</v>
      </c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>
        <v>0</v>
      </c>
      <c r="AJ200" s="181">
        <f t="shared" si="55"/>
        <v>0</v>
      </c>
      <c r="AK200" s="180">
        <f t="shared" si="77"/>
        <v>5500000</v>
      </c>
      <c r="AL200" s="181">
        <f t="shared" si="56"/>
        <v>100</v>
      </c>
      <c r="AM200" s="243"/>
    </row>
    <row r="201" spans="1:39" ht="28.5" customHeight="1" x14ac:dyDescent="0.25">
      <c r="A201" s="227">
        <v>30</v>
      </c>
      <c r="B201" s="410"/>
      <c r="C201" s="410"/>
      <c r="D201" s="410"/>
      <c r="E201" s="410"/>
      <c r="F201" s="410"/>
      <c r="G201" s="410"/>
      <c r="H201" s="410"/>
      <c r="I201" s="411"/>
      <c r="J201" s="304" t="s">
        <v>474</v>
      </c>
      <c r="K201" s="230"/>
      <c r="L201" s="294"/>
      <c r="M201" s="615" t="s">
        <v>470</v>
      </c>
      <c r="N201" s="614"/>
      <c r="O201" s="295">
        <v>144225000</v>
      </c>
      <c r="P201" s="231">
        <f>O201</f>
        <v>144225000</v>
      </c>
      <c r="Q201" s="231">
        <f>SUM(Q202:Q208)</f>
        <v>168774000</v>
      </c>
      <c r="R201" s="233">
        <f>Q201/Q$180*100</f>
        <v>12.427228884493804</v>
      </c>
      <c r="S201" s="233">
        <v>100</v>
      </c>
      <c r="T201" s="231">
        <f t="shared" si="54"/>
        <v>32.871473094196972</v>
      </c>
      <c r="U201" s="231">
        <f>R201*T201/100</f>
        <v>4.0850131991206551</v>
      </c>
      <c r="V201" s="296">
        <f t="shared" si="65"/>
        <v>67.128526905803028</v>
      </c>
      <c r="W201" s="231"/>
      <c r="X201" s="231" t="e">
        <f>#REF!</f>
        <v>#REF!</v>
      </c>
      <c r="Y201" s="231" t="e">
        <f>#REF!</f>
        <v>#REF!</v>
      </c>
      <c r="Z201" s="231" t="e">
        <f>#REF!</f>
        <v>#REF!</v>
      </c>
      <c r="AA201" s="231" t="e">
        <f>#REF!</f>
        <v>#REF!</v>
      </c>
      <c r="AB201" s="231">
        <v>0</v>
      </c>
      <c r="AC201" s="231" t="e">
        <f>#REF!</f>
        <v>#REF!</v>
      </c>
      <c r="AD201" s="231" t="e">
        <f>#REF!</f>
        <v>#REF!</v>
      </c>
      <c r="AE201" s="231" t="e">
        <f>#REF!</f>
        <v>#REF!</v>
      </c>
      <c r="AF201" s="231" t="e">
        <f>[1]April!N58</f>
        <v>#REF!</v>
      </c>
      <c r="AG201" s="231" t="e">
        <f>[2]april!N58</f>
        <v>#REF!</v>
      </c>
      <c r="AH201" s="231">
        <f>'[3]DES SKPD'!$N58</f>
        <v>133587000</v>
      </c>
      <c r="AI201" s="231">
        <f>SUM(AI202:AI208)</f>
        <v>55478500</v>
      </c>
      <c r="AJ201" s="233">
        <f t="shared" si="55"/>
        <v>32.871473094196972</v>
      </c>
      <c r="AK201" s="231">
        <f t="shared" si="77"/>
        <v>113295500</v>
      </c>
      <c r="AL201" s="233">
        <f t="shared" si="56"/>
        <v>67.128526905803028</v>
      </c>
      <c r="AM201" s="243"/>
    </row>
    <row r="202" spans="1:39" ht="28.5" customHeight="1" x14ac:dyDescent="0.25">
      <c r="A202" s="243"/>
      <c r="B202" s="410"/>
      <c r="C202" s="410"/>
      <c r="D202" s="410"/>
      <c r="E202" s="410"/>
      <c r="F202" s="410"/>
      <c r="G202" s="410"/>
      <c r="H202" s="410"/>
      <c r="I202" s="411"/>
      <c r="J202" s="410" t="s">
        <v>273</v>
      </c>
      <c r="K202" s="245"/>
      <c r="L202" s="257"/>
      <c r="M202" s="597" t="s">
        <v>322</v>
      </c>
      <c r="N202" s="598"/>
      <c r="O202" s="299"/>
      <c r="P202" s="180"/>
      <c r="Q202" s="180">
        <v>34600000</v>
      </c>
      <c r="R202" s="181">
        <f t="shared" ref="R202:R208" si="80">Q202/Q$201*100</f>
        <v>20.500788036071906</v>
      </c>
      <c r="S202" s="181">
        <v>100</v>
      </c>
      <c r="T202" s="180">
        <f t="shared" si="54"/>
        <v>52.312138728323696</v>
      </c>
      <c r="U202" s="180">
        <f t="shared" ref="U202:U208" si="81">R202*T202/100</f>
        <v>10.724400677829522</v>
      </c>
      <c r="V202" s="182">
        <f t="shared" si="65"/>
        <v>47.687861271676304</v>
      </c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>
        <v>18100000</v>
      </c>
      <c r="AJ202" s="181">
        <f t="shared" si="55"/>
        <v>52.312138728323696</v>
      </c>
      <c r="AK202" s="180">
        <f t="shared" si="77"/>
        <v>16500000</v>
      </c>
      <c r="AL202" s="181">
        <f t="shared" si="56"/>
        <v>47.687861271676304</v>
      </c>
      <c r="AM202" s="243"/>
    </row>
    <row r="203" spans="1:39" ht="28.5" customHeight="1" x14ac:dyDescent="0.25">
      <c r="A203" s="243"/>
      <c r="B203" s="410"/>
      <c r="C203" s="410"/>
      <c r="D203" s="410"/>
      <c r="E203" s="410"/>
      <c r="F203" s="410"/>
      <c r="G203" s="410"/>
      <c r="H203" s="410"/>
      <c r="I203" s="411"/>
      <c r="J203" s="410" t="s">
        <v>323</v>
      </c>
      <c r="K203" s="245"/>
      <c r="L203" s="257"/>
      <c r="M203" s="597" t="s">
        <v>324</v>
      </c>
      <c r="N203" s="598"/>
      <c r="O203" s="299"/>
      <c r="P203" s="180"/>
      <c r="Q203" s="180">
        <v>100464000</v>
      </c>
      <c r="R203" s="181">
        <f t="shared" si="80"/>
        <v>59.525756336876533</v>
      </c>
      <c r="S203" s="181">
        <v>100</v>
      </c>
      <c r="T203" s="180">
        <f t="shared" si="54"/>
        <v>24.409738811912725</v>
      </c>
      <c r="U203" s="180">
        <f t="shared" si="81"/>
        <v>14.530081647647147</v>
      </c>
      <c r="V203" s="182">
        <f t="shared" si="65"/>
        <v>75.590261188087283</v>
      </c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>
        <f>18502000+6021000</f>
        <v>24523000</v>
      </c>
      <c r="AJ203" s="181">
        <f t="shared" si="55"/>
        <v>24.409738811912725</v>
      </c>
      <c r="AK203" s="180">
        <f t="shared" si="77"/>
        <v>75941000</v>
      </c>
      <c r="AL203" s="181">
        <f t="shared" si="56"/>
        <v>75.590261188087268</v>
      </c>
      <c r="AM203" s="243"/>
    </row>
    <row r="204" spans="1:39" ht="28.5" customHeight="1" x14ac:dyDescent="0.25">
      <c r="A204" s="243"/>
      <c r="B204" s="410"/>
      <c r="C204" s="410"/>
      <c r="D204" s="410"/>
      <c r="E204" s="410"/>
      <c r="F204" s="410"/>
      <c r="G204" s="410"/>
      <c r="H204" s="410"/>
      <c r="I204" s="411"/>
      <c r="J204" s="410" t="s">
        <v>269</v>
      </c>
      <c r="K204" s="245"/>
      <c r="L204" s="257"/>
      <c r="M204" s="597" t="s">
        <v>270</v>
      </c>
      <c r="N204" s="598"/>
      <c r="O204" s="299"/>
      <c r="P204" s="180"/>
      <c r="Q204" s="180">
        <v>9000000</v>
      </c>
      <c r="R204" s="181">
        <f t="shared" si="80"/>
        <v>5.3325749226776642</v>
      </c>
      <c r="S204" s="181">
        <v>100</v>
      </c>
      <c r="T204" s="180">
        <f t="shared" si="54"/>
        <v>37.777777777777779</v>
      </c>
      <c r="U204" s="180">
        <f t="shared" si="81"/>
        <v>2.0145283041226731</v>
      </c>
      <c r="V204" s="182">
        <f t="shared" si="65"/>
        <v>62.222222222222221</v>
      </c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>
        <v>3400000</v>
      </c>
      <c r="AJ204" s="181">
        <f t="shared" si="55"/>
        <v>37.777777777777779</v>
      </c>
      <c r="AK204" s="180">
        <f t="shared" si="77"/>
        <v>5600000</v>
      </c>
      <c r="AL204" s="181">
        <f t="shared" si="56"/>
        <v>62.222222222222221</v>
      </c>
      <c r="AM204" s="243"/>
    </row>
    <row r="205" spans="1:39" ht="28.5" customHeight="1" x14ac:dyDescent="0.25">
      <c r="A205" s="243"/>
      <c r="B205" s="410"/>
      <c r="C205" s="410"/>
      <c r="D205" s="410"/>
      <c r="E205" s="410"/>
      <c r="F205" s="410"/>
      <c r="G205" s="410"/>
      <c r="H205" s="410"/>
      <c r="I205" s="411"/>
      <c r="J205" s="410" t="s">
        <v>315</v>
      </c>
      <c r="K205" s="245"/>
      <c r="L205" s="257"/>
      <c r="M205" s="597" t="s">
        <v>271</v>
      </c>
      <c r="N205" s="598"/>
      <c r="O205" s="299"/>
      <c r="P205" s="180"/>
      <c r="Q205" s="180">
        <v>360000</v>
      </c>
      <c r="R205" s="181">
        <f t="shared" si="80"/>
        <v>0.21330299690710655</v>
      </c>
      <c r="S205" s="181">
        <v>100</v>
      </c>
      <c r="T205" s="180">
        <f t="shared" si="54"/>
        <v>0</v>
      </c>
      <c r="U205" s="180">
        <f t="shared" si="81"/>
        <v>0</v>
      </c>
      <c r="V205" s="182">
        <f t="shared" si="65"/>
        <v>100</v>
      </c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>
        <v>0</v>
      </c>
      <c r="AJ205" s="181">
        <f t="shared" si="55"/>
        <v>0</v>
      </c>
      <c r="AK205" s="180">
        <f t="shared" si="77"/>
        <v>360000</v>
      </c>
      <c r="AL205" s="181">
        <f t="shared" si="56"/>
        <v>100</v>
      </c>
      <c r="AM205" s="243"/>
    </row>
    <row r="206" spans="1:39" ht="28.5" customHeight="1" x14ac:dyDescent="0.25">
      <c r="A206" s="243"/>
      <c r="B206" s="410"/>
      <c r="C206" s="410"/>
      <c r="D206" s="410"/>
      <c r="E206" s="410"/>
      <c r="F206" s="410"/>
      <c r="G206" s="410"/>
      <c r="H206" s="410"/>
      <c r="I206" s="411"/>
      <c r="J206" s="410" t="s">
        <v>280</v>
      </c>
      <c r="K206" s="245"/>
      <c r="L206" s="257"/>
      <c r="M206" s="597" t="s">
        <v>425</v>
      </c>
      <c r="N206" s="598"/>
      <c r="O206" s="299"/>
      <c r="P206" s="180"/>
      <c r="Q206" s="180">
        <v>3500000</v>
      </c>
      <c r="R206" s="181">
        <f t="shared" si="80"/>
        <v>2.073779136596869</v>
      </c>
      <c r="S206" s="181">
        <v>100</v>
      </c>
      <c r="T206" s="180">
        <f t="shared" si="54"/>
        <v>100</v>
      </c>
      <c r="U206" s="180">
        <f t="shared" si="81"/>
        <v>2.073779136596869</v>
      </c>
      <c r="V206" s="182">
        <f t="shared" si="65"/>
        <v>0</v>
      </c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>
        <v>3500000</v>
      </c>
      <c r="AJ206" s="181">
        <f t="shared" si="55"/>
        <v>100</v>
      </c>
      <c r="AK206" s="180">
        <f t="shared" si="77"/>
        <v>0</v>
      </c>
      <c r="AL206" s="181">
        <f t="shared" si="56"/>
        <v>0</v>
      </c>
      <c r="AM206" s="243"/>
    </row>
    <row r="207" spans="1:39" ht="28.5" customHeight="1" x14ac:dyDescent="0.25">
      <c r="A207" s="243"/>
      <c r="B207" s="410"/>
      <c r="C207" s="410"/>
      <c r="D207" s="410"/>
      <c r="E207" s="410"/>
      <c r="F207" s="410"/>
      <c r="G207" s="410"/>
      <c r="H207" s="410"/>
      <c r="I207" s="411"/>
      <c r="J207" s="410" t="s">
        <v>284</v>
      </c>
      <c r="K207" s="245"/>
      <c r="L207" s="257"/>
      <c r="M207" s="597" t="s">
        <v>285</v>
      </c>
      <c r="N207" s="598"/>
      <c r="O207" s="299"/>
      <c r="P207" s="180"/>
      <c r="Q207" s="180">
        <v>5250000</v>
      </c>
      <c r="R207" s="181">
        <f t="shared" si="80"/>
        <v>3.1106687048953039</v>
      </c>
      <c r="S207" s="181">
        <v>100</v>
      </c>
      <c r="T207" s="180">
        <f t="shared" si="54"/>
        <v>41.714285714285715</v>
      </c>
      <c r="U207" s="180">
        <f t="shared" si="81"/>
        <v>1.2975932311848981</v>
      </c>
      <c r="V207" s="182">
        <f t="shared" si="65"/>
        <v>58.285714285714285</v>
      </c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>
        <v>2190000</v>
      </c>
      <c r="AJ207" s="181">
        <f t="shared" si="55"/>
        <v>41.714285714285715</v>
      </c>
      <c r="AK207" s="180">
        <f t="shared" si="77"/>
        <v>3060000</v>
      </c>
      <c r="AL207" s="181">
        <f t="shared" si="56"/>
        <v>58.285714285714285</v>
      </c>
      <c r="AM207" s="243"/>
    </row>
    <row r="208" spans="1:39" ht="28.5" customHeight="1" x14ac:dyDescent="0.25">
      <c r="A208" s="243"/>
      <c r="B208" s="410"/>
      <c r="C208" s="410"/>
      <c r="D208" s="410"/>
      <c r="E208" s="410"/>
      <c r="F208" s="410"/>
      <c r="G208" s="410"/>
      <c r="H208" s="410"/>
      <c r="I208" s="411"/>
      <c r="J208" s="410" t="s">
        <v>282</v>
      </c>
      <c r="K208" s="245"/>
      <c r="L208" s="257"/>
      <c r="M208" s="597" t="s">
        <v>283</v>
      </c>
      <c r="N208" s="598"/>
      <c r="O208" s="299"/>
      <c r="P208" s="180"/>
      <c r="Q208" s="180">
        <v>15600000</v>
      </c>
      <c r="R208" s="181">
        <f t="shared" si="80"/>
        <v>9.2431298659746162</v>
      </c>
      <c r="S208" s="181">
        <v>100</v>
      </c>
      <c r="T208" s="180">
        <f t="shared" ref="T208:T280" si="82">AJ208</f>
        <v>24.137820512820511</v>
      </c>
      <c r="U208" s="180">
        <f t="shared" si="81"/>
        <v>2.2310900968158602</v>
      </c>
      <c r="V208" s="182">
        <f t="shared" si="65"/>
        <v>75.862179487179489</v>
      </c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80"/>
      <c r="AH208" s="180"/>
      <c r="AI208" s="180">
        <v>3765500</v>
      </c>
      <c r="AJ208" s="181">
        <f t="shared" ref="AJ208:AJ280" si="83">AI208/Q208*100</f>
        <v>24.137820512820511</v>
      </c>
      <c r="AK208" s="180">
        <f t="shared" si="77"/>
        <v>11834500</v>
      </c>
      <c r="AL208" s="181">
        <f t="shared" ref="AL208:AL280" si="84">AK208/Q208*100</f>
        <v>75.862179487179475</v>
      </c>
      <c r="AM208" s="243"/>
    </row>
    <row r="209" spans="1:39" s="297" customFormat="1" ht="28.5" customHeight="1" x14ac:dyDescent="0.25">
      <c r="A209" s="227">
        <f>A201+1</f>
        <v>31</v>
      </c>
      <c r="B209" s="615" t="s">
        <v>141</v>
      </c>
      <c r="C209" s="615"/>
      <c r="D209" s="615"/>
      <c r="E209" s="615"/>
      <c r="F209" s="615"/>
      <c r="G209" s="615"/>
      <c r="H209" s="615"/>
      <c r="I209" s="614"/>
      <c r="J209" s="304" t="s">
        <v>475</v>
      </c>
      <c r="K209" s="230"/>
      <c r="L209" s="294"/>
      <c r="M209" s="615" t="s">
        <v>142</v>
      </c>
      <c r="N209" s="614"/>
      <c r="O209" s="295">
        <v>299485000</v>
      </c>
      <c r="P209" s="231">
        <f>O209</f>
        <v>299485000</v>
      </c>
      <c r="Q209" s="231">
        <f>SUM(Q210:Q215)</f>
        <v>142716000</v>
      </c>
      <c r="R209" s="233">
        <f>Q209/Q$180*100</f>
        <v>10.508516699725181</v>
      </c>
      <c r="S209" s="233">
        <v>100</v>
      </c>
      <c r="T209" s="231">
        <f t="shared" si="82"/>
        <v>0</v>
      </c>
      <c r="U209" s="231">
        <f>R209*T209/100</f>
        <v>0</v>
      </c>
      <c r="V209" s="296">
        <f t="shared" si="65"/>
        <v>100</v>
      </c>
      <c r="W209" s="231"/>
      <c r="X209" s="231" t="e">
        <f>#REF!</f>
        <v>#REF!</v>
      </c>
      <c r="Y209" s="231" t="e">
        <f>#REF!</f>
        <v>#REF!</v>
      </c>
      <c r="Z209" s="231" t="e">
        <f>#REF!</f>
        <v>#REF!</v>
      </c>
      <c r="AA209" s="231" t="e">
        <f>#REF!</f>
        <v>#REF!</v>
      </c>
      <c r="AB209" s="231">
        <v>4600000</v>
      </c>
      <c r="AC209" s="231" t="e">
        <f>#REF!</f>
        <v>#REF!</v>
      </c>
      <c r="AD209" s="231" t="e">
        <f>#REF!</f>
        <v>#REF!</v>
      </c>
      <c r="AE209" s="231" t="e">
        <f>#REF!</f>
        <v>#REF!</v>
      </c>
      <c r="AF209" s="231" t="e">
        <f>[1]April!N50</f>
        <v>#REF!</v>
      </c>
      <c r="AG209" s="231" t="e">
        <f>[2]april!N50</f>
        <v>#REF!</v>
      </c>
      <c r="AH209" s="231">
        <f>'[3]DES SKPD'!$N50</f>
        <v>221288650</v>
      </c>
      <c r="AI209" s="231">
        <f>SUM(AI210:AI215)</f>
        <v>0</v>
      </c>
      <c r="AJ209" s="233">
        <f t="shared" si="83"/>
        <v>0</v>
      </c>
      <c r="AK209" s="231">
        <f t="shared" si="77"/>
        <v>142716000</v>
      </c>
      <c r="AL209" s="233">
        <f t="shared" si="84"/>
        <v>100</v>
      </c>
      <c r="AM209" s="227"/>
    </row>
    <row r="210" spans="1:39" ht="28.5" customHeight="1" x14ac:dyDescent="0.25">
      <c r="A210" s="243"/>
      <c r="B210" s="410"/>
      <c r="C210" s="410"/>
      <c r="D210" s="410"/>
      <c r="E210" s="410"/>
      <c r="F210" s="410"/>
      <c r="G210" s="410"/>
      <c r="H210" s="410"/>
      <c r="I210" s="411"/>
      <c r="J210" s="410" t="s">
        <v>323</v>
      </c>
      <c r="K210" s="245"/>
      <c r="L210" s="257"/>
      <c r="M210" s="597" t="s">
        <v>324</v>
      </c>
      <c r="N210" s="598"/>
      <c r="O210" s="299"/>
      <c r="P210" s="180"/>
      <c r="Q210" s="180">
        <v>27408000</v>
      </c>
      <c r="R210" s="181">
        <f t="shared" ref="R210:R215" si="85">Q210/Q$209*100</f>
        <v>19.2045741192298</v>
      </c>
      <c r="S210" s="181">
        <v>100</v>
      </c>
      <c r="T210" s="180">
        <f t="shared" si="82"/>
        <v>0</v>
      </c>
      <c r="U210" s="180">
        <f t="shared" ref="U210:U229" si="86">R210*T210/100</f>
        <v>0</v>
      </c>
      <c r="V210" s="182">
        <f t="shared" si="65"/>
        <v>100</v>
      </c>
      <c r="W210" s="180"/>
      <c r="X210" s="180" t="e">
        <f>#REF!</f>
        <v>#REF!</v>
      </c>
      <c r="Y210" s="180" t="e">
        <f>#REF!</f>
        <v>#REF!</v>
      </c>
      <c r="Z210" s="180" t="e">
        <f>#REF!</f>
        <v>#REF!</v>
      </c>
      <c r="AA210" s="180" t="e">
        <f>#REF!</f>
        <v>#REF!</v>
      </c>
      <c r="AB210" s="180">
        <v>4600002</v>
      </c>
      <c r="AC210" s="180" t="e">
        <f>#REF!</f>
        <v>#REF!</v>
      </c>
      <c r="AD210" s="180" t="e">
        <f>#REF!</f>
        <v>#REF!</v>
      </c>
      <c r="AE210" s="180" t="e">
        <f>#REF!</f>
        <v>#REF!</v>
      </c>
      <c r="AF210" s="180" t="e">
        <f>[1]April!N52</f>
        <v>#REF!</v>
      </c>
      <c r="AG210" s="180" t="e">
        <f>[2]april!N52</f>
        <v>#REF!</v>
      </c>
      <c r="AH210" s="180">
        <f>'[3]DES SKPD'!$N52</f>
        <v>73668000</v>
      </c>
      <c r="AI210" s="180">
        <v>0</v>
      </c>
      <c r="AJ210" s="181">
        <f t="shared" si="83"/>
        <v>0</v>
      </c>
      <c r="AK210" s="180">
        <f t="shared" si="77"/>
        <v>27408000</v>
      </c>
      <c r="AL210" s="181">
        <f t="shared" si="84"/>
        <v>100</v>
      </c>
      <c r="AM210" s="243"/>
    </row>
    <row r="211" spans="1:39" ht="28.5" customHeight="1" x14ac:dyDescent="0.25">
      <c r="A211" s="243"/>
      <c r="B211" s="410"/>
      <c r="C211" s="410"/>
      <c r="D211" s="410"/>
      <c r="E211" s="410"/>
      <c r="F211" s="410"/>
      <c r="G211" s="410"/>
      <c r="H211" s="410"/>
      <c r="I211" s="411"/>
      <c r="J211" s="410" t="s">
        <v>269</v>
      </c>
      <c r="K211" s="245"/>
      <c r="L211" s="257"/>
      <c r="M211" s="597" t="s">
        <v>270</v>
      </c>
      <c r="N211" s="598"/>
      <c r="O211" s="299"/>
      <c r="P211" s="180"/>
      <c r="Q211" s="180">
        <v>17800000</v>
      </c>
      <c r="R211" s="181">
        <f t="shared" si="85"/>
        <v>12.472322654782927</v>
      </c>
      <c r="S211" s="181">
        <v>100</v>
      </c>
      <c r="T211" s="180">
        <f t="shared" si="82"/>
        <v>0</v>
      </c>
      <c r="U211" s="180">
        <f t="shared" si="86"/>
        <v>0</v>
      </c>
      <c r="V211" s="182">
        <f t="shared" si="65"/>
        <v>100</v>
      </c>
      <c r="W211" s="180"/>
      <c r="X211" s="180" t="e">
        <f>#REF!</f>
        <v>#REF!</v>
      </c>
      <c r="Y211" s="180" t="e">
        <f>#REF!</f>
        <v>#REF!</v>
      </c>
      <c r="Z211" s="180" t="e">
        <f>#REF!</f>
        <v>#REF!</v>
      </c>
      <c r="AA211" s="180" t="e">
        <f>#REF!</f>
        <v>#REF!</v>
      </c>
      <c r="AB211" s="180">
        <v>4600003</v>
      </c>
      <c r="AC211" s="180" t="e">
        <f>#REF!</f>
        <v>#REF!</v>
      </c>
      <c r="AD211" s="180" t="e">
        <f>#REF!</f>
        <v>#REF!</v>
      </c>
      <c r="AE211" s="180" t="e">
        <f>#REF!</f>
        <v>#REF!</v>
      </c>
      <c r="AF211" s="180" t="e">
        <f>[1]April!N53</f>
        <v>#REF!</v>
      </c>
      <c r="AG211" s="180" t="e">
        <f>[2]april!N53</f>
        <v>#REF!</v>
      </c>
      <c r="AH211" s="180" t="e">
        <f>'[3]DES SKPD'!$N53</f>
        <v>#REF!</v>
      </c>
      <c r="AI211" s="180">
        <v>0</v>
      </c>
      <c r="AJ211" s="181">
        <f t="shared" si="83"/>
        <v>0</v>
      </c>
      <c r="AK211" s="180">
        <f t="shared" si="77"/>
        <v>17800000</v>
      </c>
      <c r="AL211" s="181">
        <f t="shared" si="84"/>
        <v>100</v>
      </c>
      <c r="AM211" s="243"/>
    </row>
    <row r="212" spans="1:39" ht="28.5" customHeight="1" x14ac:dyDescent="0.25">
      <c r="A212" s="243"/>
      <c r="B212" s="410"/>
      <c r="C212" s="410"/>
      <c r="D212" s="410"/>
      <c r="E212" s="410"/>
      <c r="F212" s="410"/>
      <c r="G212" s="410"/>
      <c r="H212" s="410"/>
      <c r="I212" s="411"/>
      <c r="J212" s="410" t="s">
        <v>315</v>
      </c>
      <c r="K212" s="245"/>
      <c r="L212" s="257"/>
      <c r="M212" s="597" t="s">
        <v>271</v>
      </c>
      <c r="N212" s="598"/>
      <c r="O212" s="299"/>
      <c r="P212" s="180"/>
      <c r="Q212" s="180">
        <v>3648000</v>
      </c>
      <c r="R212" s="181">
        <f t="shared" si="85"/>
        <v>2.5561254519465235</v>
      </c>
      <c r="S212" s="181">
        <v>100</v>
      </c>
      <c r="T212" s="180">
        <f t="shared" si="82"/>
        <v>0</v>
      </c>
      <c r="U212" s="180">
        <f t="shared" si="86"/>
        <v>0</v>
      </c>
      <c r="V212" s="182">
        <f t="shared" si="65"/>
        <v>100</v>
      </c>
      <c r="W212" s="180"/>
      <c r="X212" s="180" t="e">
        <f>#REF!</f>
        <v>#REF!</v>
      </c>
      <c r="Y212" s="180" t="e">
        <f>#REF!</f>
        <v>#REF!</v>
      </c>
      <c r="Z212" s="180" t="e">
        <f>#REF!</f>
        <v>#REF!</v>
      </c>
      <c r="AA212" s="180" t="e">
        <f>#REF!</f>
        <v>#REF!</v>
      </c>
      <c r="AB212" s="180">
        <v>4600004</v>
      </c>
      <c r="AC212" s="180" t="e">
        <f>#REF!</f>
        <v>#REF!</v>
      </c>
      <c r="AD212" s="180" t="e">
        <f>#REF!</f>
        <v>#REF!</v>
      </c>
      <c r="AE212" s="180" t="e">
        <f>#REF!</f>
        <v>#REF!</v>
      </c>
      <c r="AF212" s="180" t="e">
        <f>[1]April!N54</f>
        <v>#REF!</v>
      </c>
      <c r="AG212" s="180" t="e">
        <f>[2]april!N54</f>
        <v>#REF!</v>
      </c>
      <c r="AH212" s="180">
        <f>'[3]DES SKPD'!$N54</f>
        <v>508172500</v>
      </c>
      <c r="AI212" s="180">
        <v>0</v>
      </c>
      <c r="AJ212" s="181">
        <f t="shared" si="83"/>
        <v>0</v>
      </c>
      <c r="AK212" s="180">
        <f t="shared" si="77"/>
        <v>3648000</v>
      </c>
      <c r="AL212" s="181">
        <f t="shared" si="84"/>
        <v>100</v>
      </c>
      <c r="AM212" s="243"/>
    </row>
    <row r="213" spans="1:39" ht="28.5" customHeight="1" x14ac:dyDescent="0.25">
      <c r="A213" s="243"/>
      <c r="B213" s="410"/>
      <c r="C213" s="410"/>
      <c r="D213" s="410"/>
      <c r="E213" s="410"/>
      <c r="F213" s="410"/>
      <c r="G213" s="410"/>
      <c r="H213" s="410"/>
      <c r="I213" s="411"/>
      <c r="J213" s="410" t="s">
        <v>328</v>
      </c>
      <c r="K213" s="245"/>
      <c r="L213" s="257"/>
      <c r="M213" s="597" t="s">
        <v>329</v>
      </c>
      <c r="N213" s="598"/>
      <c r="O213" s="299"/>
      <c r="P213" s="180"/>
      <c r="Q213" s="180">
        <v>36000000</v>
      </c>
      <c r="R213" s="181">
        <f t="shared" si="85"/>
        <v>25.224922223156476</v>
      </c>
      <c r="S213" s="181">
        <v>100</v>
      </c>
      <c r="T213" s="180">
        <f t="shared" si="82"/>
        <v>0</v>
      </c>
      <c r="U213" s="180">
        <f t="shared" si="86"/>
        <v>0</v>
      </c>
      <c r="V213" s="182">
        <f t="shared" si="65"/>
        <v>100</v>
      </c>
      <c r="W213" s="180"/>
      <c r="X213" s="180" t="e">
        <f>#REF!</f>
        <v>#REF!</v>
      </c>
      <c r="Y213" s="180" t="e">
        <f>#REF!</f>
        <v>#REF!</v>
      </c>
      <c r="Z213" s="180" t="e">
        <f>#REF!</f>
        <v>#REF!</v>
      </c>
      <c r="AA213" s="180" t="e">
        <f>#REF!</f>
        <v>#REF!</v>
      </c>
      <c r="AB213" s="180">
        <v>4600004</v>
      </c>
      <c r="AC213" s="180" t="e">
        <f>#REF!</f>
        <v>#REF!</v>
      </c>
      <c r="AD213" s="180" t="e">
        <f>#REF!</f>
        <v>#REF!</v>
      </c>
      <c r="AE213" s="180" t="e">
        <f>#REF!</f>
        <v>#REF!</v>
      </c>
      <c r="AF213" s="180" t="e">
        <f>[1]April!N55</f>
        <v>#REF!</v>
      </c>
      <c r="AG213" s="180" t="e">
        <f>[2]april!N55</f>
        <v>#REF!</v>
      </c>
      <c r="AH213" s="180" t="e">
        <f>'[3]DES SKPD'!$N55</f>
        <v>#REF!</v>
      </c>
      <c r="AI213" s="180">
        <v>0</v>
      </c>
      <c r="AJ213" s="181">
        <f t="shared" si="83"/>
        <v>0</v>
      </c>
      <c r="AK213" s="180">
        <f t="shared" si="77"/>
        <v>36000000</v>
      </c>
      <c r="AL213" s="181">
        <f t="shared" si="84"/>
        <v>100</v>
      </c>
      <c r="AM213" s="243"/>
    </row>
    <row r="214" spans="1:39" ht="28.5" customHeight="1" x14ac:dyDescent="0.25">
      <c r="A214" s="243"/>
      <c r="B214" s="410"/>
      <c r="C214" s="410"/>
      <c r="D214" s="410"/>
      <c r="E214" s="410"/>
      <c r="F214" s="410"/>
      <c r="G214" s="410"/>
      <c r="H214" s="410"/>
      <c r="I214" s="411"/>
      <c r="J214" s="410" t="s">
        <v>280</v>
      </c>
      <c r="K214" s="245"/>
      <c r="L214" s="257"/>
      <c r="M214" s="597" t="s">
        <v>281</v>
      </c>
      <c r="N214" s="598"/>
      <c r="O214" s="299"/>
      <c r="P214" s="180"/>
      <c r="Q214" s="180">
        <v>15750000</v>
      </c>
      <c r="R214" s="181">
        <f t="shared" si="85"/>
        <v>11.035903472630959</v>
      </c>
      <c r="S214" s="181">
        <v>100</v>
      </c>
      <c r="T214" s="180">
        <f t="shared" si="82"/>
        <v>0</v>
      </c>
      <c r="U214" s="180">
        <f t="shared" si="86"/>
        <v>0</v>
      </c>
      <c r="V214" s="182">
        <f t="shared" si="65"/>
        <v>100</v>
      </c>
      <c r="W214" s="180"/>
      <c r="X214" s="180" t="e">
        <f>#REF!</f>
        <v>#REF!</v>
      </c>
      <c r="Y214" s="180" t="e">
        <f>#REF!</f>
        <v>#REF!</v>
      </c>
      <c r="Z214" s="180" t="e">
        <f>#REF!</f>
        <v>#REF!</v>
      </c>
      <c r="AA214" s="180" t="e">
        <f>#REF!</f>
        <v>#REF!</v>
      </c>
      <c r="AB214" s="180">
        <v>4600005</v>
      </c>
      <c r="AC214" s="180" t="e">
        <f>#REF!</f>
        <v>#REF!</v>
      </c>
      <c r="AD214" s="180" t="e">
        <f>#REF!</f>
        <v>#REF!</v>
      </c>
      <c r="AE214" s="180" t="e">
        <f>#REF!</f>
        <v>#REF!</v>
      </c>
      <c r="AF214" s="180" t="e">
        <f>[1]April!N55</f>
        <v>#REF!</v>
      </c>
      <c r="AG214" s="180" t="e">
        <f>[2]april!N55</f>
        <v>#REF!</v>
      </c>
      <c r="AH214" s="180" t="e">
        <f>'[3]DES SKPD'!$N55</f>
        <v>#REF!</v>
      </c>
      <c r="AI214" s="180">
        <v>0</v>
      </c>
      <c r="AJ214" s="181">
        <f t="shared" si="83"/>
        <v>0</v>
      </c>
      <c r="AK214" s="180">
        <f t="shared" si="77"/>
        <v>15750000</v>
      </c>
      <c r="AL214" s="181">
        <f t="shared" si="84"/>
        <v>100</v>
      </c>
      <c r="AM214" s="243"/>
    </row>
    <row r="215" spans="1:39" ht="28.5" customHeight="1" x14ac:dyDescent="0.25">
      <c r="A215" s="243"/>
      <c r="B215" s="410"/>
      <c r="C215" s="410"/>
      <c r="D215" s="410"/>
      <c r="E215" s="410"/>
      <c r="F215" s="410"/>
      <c r="G215" s="410"/>
      <c r="H215" s="410"/>
      <c r="I215" s="411"/>
      <c r="J215" s="410" t="s">
        <v>282</v>
      </c>
      <c r="K215" s="245"/>
      <c r="L215" s="257"/>
      <c r="M215" s="597" t="s">
        <v>283</v>
      </c>
      <c r="N215" s="598"/>
      <c r="O215" s="299"/>
      <c r="P215" s="180"/>
      <c r="Q215" s="180">
        <v>42110000</v>
      </c>
      <c r="R215" s="181">
        <f t="shared" si="85"/>
        <v>29.506152078253312</v>
      </c>
      <c r="S215" s="181">
        <v>100</v>
      </c>
      <c r="T215" s="180">
        <f t="shared" si="82"/>
        <v>0</v>
      </c>
      <c r="U215" s="180">
        <f t="shared" si="86"/>
        <v>0</v>
      </c>
      <c r="V215" s="182">
        <f t="shared" si="65"/>
        <v>100</v>
      </c>
      <c r="W215" s="180"/>
      <c r="X215" s="180" t="e">
        <f>#REF!</f>
        <v>#REF!</v>
      </c>
      <c r="Y215" s="180" t="e">
        <f>#REF!</f>
        <v>#REF!</v>
      </c>
      <c r="Z215" s="180" t="e">
        <f>#REF!</f>
        <v>#REF!</v>
      </c>
      <c r="AA215" s="180" t="e">
        <f>#REF!</f>
        <v>#REF!</v>
      </c>
      <c r="AB215" s="180">
        <v>4600006</v>
      </c>
      <c r="AC215" s="180" t="e">
        <f>#REF!</f>
        <v>#REF!</v>
      </c>
      <c r="AD215" s="180" t="e">
        <f>#REF!</f>
        <v>#REF!</v>
      </c>
      <c r="AE215" s="180" t="e">
        <f>#REF!</f>
        <v>#REF!</v>
      </c>
      <c r="AF215" s="180" t="e">
        <f>[1]April!N56</f>
        <v>#REF!</v>
      </c>
      <c r="AG215" s="180" t="e">
        <f>[2]april!N56</f>
        <v>#REF!</v>
      </c>
      <c r="AH215" s="180">
        <f>'[3]DES SKPD'!$N56</f>
        <v>260098500</v>
      </c>
      <c r="AI215" s="180">
        <v>0</v>
      </c>
      <c r="AJ215" s="181">
        <f t="shared" si="83"/>
        <v>0</v>
      </c>
      <c r="AK215" s="180">
        <f t="shared" si="77"/>
        <v>42110000</v>
      </c>
      <c r="AL215" s="181">
        <f t="shared" si="84"/>
        <v>100</v>
      </c>
      <c r="AM215" s="243"/>
    </row>
    <row r="216" spans="1:39" s="297" customFormat="1" ht="32.25" customHeight="1" x14ac:dyDescent="0.25">
      <c r="A216" s="227">
        <f>A209+1</f>
        <v>32</v>
      </c>
      <c r="B216" s="615" t="s">
        <v>141</v>
      </c>
      <c r="C216" s="615"/>
      <c r="D216" s="615"/>
      <c r="E216" s="615"/>
      <c r="F216" s="615"/>
      <c r="G216" s="615"/>
      <c r="H216" s="615"/>
      <c r="I216" s="614"/>
      <c r="J216" s="304" t="s">
        <v>476</v>
      </c>
      <c r="K216" s="230"/>
      <c r="L216" s="294"/>
      <c r="M216" s="615" t="s">
        <v>143</v>
      </c>
      <c r="N216" s="614"/>
      <c r="O216" s="295">
        <v>359210000</v>
      </c>
      <c r="P216" s="231">
        <f>O216</f>
        <v>359210000</v>
      </c>
      <c r="Q216" s="231">
        <f>SUM(Q217:Q221)</f>
        <v>138060000</v>
      </c>
      <c r="R216" s="233">
        <f>Q216/Q$180*100</f>
        <v>10.16568440514069</v>
      </c>
      <c r="S216" s="233">
        <v>100</v>
      </c>
      <c r="T216" s="231">
        <f t="shared" si="82"/>
        <v>37.918296392872662</v>
      </c>
      <c r="U216" s="231">
        <f t="shared" si="86"/>
        <v>3.8546543431052811</v>
      </c>
      <c r="V216" s="296">
        <f t="shared" si="65"/>
        <v>62.081703607127338</v>
      </c>
      <c r="W216" s="231"/>
      <c r="X216" s="231" t="e">
        <f>#REF!</f>
        <v>#REF!</v>
      </c>
      <c r="Y216" s="231" t="e">
        <f>#REF!</f>
        <v>#REF!</v>
      </c>
      <c r="Z216" s="231" t="e">
        <f>#REF!</f>
        <v>#REF!</v>
      </c>
      <c r="AA216" s="231" t="e">
        <f>#REF!</f>
        <v>#REF!</v>
      </c>
      <c r="AB216" s="231">
        <v>173940000</v>
      </c>
      <c r="AC216" s="231" t="e">
        <f>#REF!</f>
        <v>#REF!</v>
      </c>
      <c r="AD216" s="231" t="e">
        <f>#REF!</f>
        <v>#REF!</v>
      </c>
      <c r="AE216" s="231" t="e">
        <f>#REF!</f>
        <v>#REF!</v>
      </c>
      <c r="AF216" s="231" t="e">
        <f>[1]April!N51</f>
        <v>#REF!</v>
      </c>
      <c r="AG216" s="231" t="e">
        <f>[2]april!N51</f>
        <v>#REF!</v>
      </c>
      <c r="AH216" s="231">
        <f>'[3]DES SKPD'!$N51</f>
        <v>317812000</v>
      </c>
      <c r="AI216" s="231">
        <f>SUM(AI217:AI221)</f>
        <v>52350000</v>
      </c>
      <c r="AJ216" s="233">
        <f t="shared" si="83"/>
        <v>37.918296392872662</v>
      </c>
      <c r="AK216" s="231">
        <f t="shared" si="77"/>
        <v>85710000</v>
      </c>
      <c r="AL216" s="233">
        <f t="shared" si="84"/>
        <v>62.081703607127338</v>
      </c>
      <c r="AM216" s="227"/>
    </row>
    <row r="217" spans="1:39" ht="28.5" customHeight="1" x14ac:dyDescent="0.25">
      <c r="A217" s="243"/>
      <c r="B217" s="410"/>
      <c r="C217" s="410"/>
      <c r="D217" s="410"/>
      <c r="E217" s="410"/>
      <c r="F217" s="410"/>
      <c r="G217" s="410"/>
      <c r="H217" s="410"/>
      <c r="I217" s="411"/>
      <c r="J217" s="410" t="s">
        <v>332</v>
      </c>
      <c r="K217" s="245"/>
      <c r="L217" s="257"/>
      <c r="M217" s="597" t="s">
        <v>335</v>
      </c>
      <c r="N217" s="598"/>
      <c r="O217" s="299"/>
      <c r="P217" s="180"/>
      <c r="Q217" s="180">
        <v>1000000</v>
      </c>
      <c r="R217" s="181">
        <f>Q217/Q$216*100</f>
        <v>0.72432275822106329</v>
      </c>
      <c r="S217" s="181">
        <v>100</v>
      </c>
      <c r="T217" s="180">
        <f t="shared" si="82"/>
        <v>25</v>
      </c>
      <c r="U217" s="180">
        <f t="shared" si="86"/>
        <v>0.18108068955526582</v>
      </c>
      <c r="V217" s="182">
        <f t="shared" si="65"/>
        <v>75</v>
      </c>
      <c r="W217" s="180"/>
      <c r="X217" s="180" t="e">
        <f>#REF!</f>
        <v>#REF!</v>
      </c>
      <c r="Y217" s="180" t="e">
        <f>#REF!</f>
        <v>#REF!</v>
      </c>
      <c r="Z217" s="180" t="e">
        <f>#REF!</f>
        <v>#REF!</v>
      </c>
      <c r="AA217" s="180" t="e">
        <f>#REF!</f>
        <v>#REF!</v>
      </c>
      <c r="AB217" s="180">
        <v>173940002</v>
      </c>
      <c r="AC217" s="180" t="e">
        <f>#REF!</f>
        <v>#REF!</v>
      </c>
      <c r="AD217" s="180" t="e">
        <f>#REF!</f>
        <v>#REF!</v>
      </c>
      <c r="AE217" s="180" t="e">
        <f>#REF!</f>
        <v>#REF!</v>
      </c>
      <c r="AF217" s="180" t="e">
        <f>[1]April!N53</f>
        <v>#REF!</v>
      </c>
      <c r="AG217" s="180" t="e">
        <f>[2]april!N53</f>
        <v>#REF!</v>
      </c>
      <c r="AH217" s="180" t="e">
        <f>'[3]DES SKPD'!$N53</f>
        <v>#REF!</v>
      </c>
      <c r="AI217" s="180">
        <v>250000</v>
      </c>
      <c r="AJ217" s="181">
        <f t="shared" si="83"/>
        <v>25</v>
      </c>
      <c r="AK217" s="180">
        <f t="shared" si="77"/>
        <v>750000</v>
      </c>
      <c r="AL217" s="181">
        <f t="shared" si="84"/>
        <v>75</v>
      </c>
      <c r="AM217" s="243"/>
    </row>
    <row r="218" spans="1:39" ht="28.5" customHeight="1" x14ac:dyDescent="0.25">
      <c r="A218" s="243"/>
      <c r="B218" s="410"/>
      <c r="C218" s="410"/>
      <c r="D218" s="410"/>
      <c r="E218" s="410"/>
      <c r="F218" s="410"/>
      <c r="G218" s="410"/>
      <c r="H218" s="410"/>
      <c r="I218" s="411"/>
      <c r="J218" s="410" t="s">
        <v>333</v>
      </c>
      <c r="K218" s="245"/>
      <c r="L218" s="257"/>
      <c r="M218" s="597" t="s">
        <v>334</v>
      </c>
      <c r="N218" s="598"/>
      <c r="O218" s="299"/>
      <c r="P218" s="180"/>
      <c r="Q218" s="180">
        <v>20000000</v>
      </c>
      <c r="R218" s="181">
        <f>Q218/Q$216*100</f>
        <v>14.486455164421267</v>
      </c>
      <c r="S218" s="181">
        <v>100</v>
      </c>
      <c r="T218" s="180">
        <f t="shared" si="82"/>
        <v>25</v>
      </c>
      <c r="U218" s="180">
        <f t="shared" si="86"/>
        <v>3.6216137911053168</v>
      </c>
      <c r="V218" s="182">
        <f t="shared" si="65"/>
        <v>75</v>
      </c>
      <c r="W218" s="180"/>
      <c r="X218" s="180" t="e">
        <f>#REF!</f>
        <v>#REF!</v>
      </c>
      <c r="Y218" s="180" t="e">
        <f>#REF!</f>
        <v>#REF!</v>
      </c>
      <c r="Z218" s="180" t="e">
        <f>#REF!</f>
        <v>#REF!</v>
      </c>
      <c r="AA218" s="180" t="e">
        <f>#REF!</f>
        <v>#REF!</v>
      </c>
      <c r="AB218" s="180">
        <v>173940003</v>
      </c>
      <c r="AC218" s="180" t="e">
        <f>#REF!</f>
        <v>#REF!</v>
      </c>
      <c r="AD218" s="180" t="e">
        <f>#REF!</f>
        <v>#REF!</v>
      </c>
      <c r="AE218" s="180" t="e">
        <f>#REF!</f>
        <v>#REF!</v>
      </c>
      <c r="AF218" s="180" t="e">
        <f>[1]April!N54</f>
        <v>#REF!</v>
      </c>
      <c r="AG218" s="180" t="e">
        <f>[2]april!N54</f>
        <v>#REF!</v>
      </c>
      <c r="AH218" s="180">
        <f>'[3]DES SKPD'!$N54</f>
        <v>508172500</v>
      </c>
      <c r="AI218" s="180">
        <v>5000000</v>
      </c>
      <c r="AJ218" s="181">
        <f t="shared" si="83"/>
        <v>25</v>
      </c>
      <c r="AK218" s="180">
        <f t="shared" si="77"/>
        <v>15000000</v>
      </c>
      <c r="AL218" s="181">
        <f t="shared" si="84"/>
        <v>75</v>
      </c>
      <c r="AM218" s="243"/>
    </row>
    <row r="219" spans="1:39" ht="28.5" customHeight="1" x14ac:dyDescent="0.25">
      <c r="A219" s="243"/>
      <c r="B219" s="410"/>
      <c r="C219" s="410"/>
      <c r="D219" s="410"/>
      <c r="E219" s="410"/>
      <c r="F219" s="410"/>
      <c r="G219" s="410"/>
      <c r="H219" s="410"/>
      <c r="I219" s="411"/>
      <c r="J219" s="410" t="s">
        <v>336</v>
      </c>
      <c r="K219" s="245"/>
      <c r="L219" s="257"/>
      <c r="M219" s="597" t="s">
        <v>337</v>
      </c>
      <c r="N219" s="598"/>
      <c r="O219" s="299"/>
      <c r="P219" s="180"/>
      <c r="Q219" s="180">
        <v>92100000</v>
      </c>
      <c r="R219" s="181">
        <f>Q219/Q$216*100</f>
        <v>66.710126032159934</v>
      </c>
      <c r="S219" s="181">
        <v>100</v>
      </c>
      <c r="T219" s="180">
        <f t="shared" si="82"/>
        <v>47.23127035830619</v>
      </c>
      <c r="U219" s="180">
        <f t="shared" si="86"/>
        <v>31.508039982616257</v>
      </c>
      <c r="V219" s="182">
        <f t="shared" si="65"/>
        <v>52.76872964169381</v>
      </c>
      <c r="W219" s="180"/>
      <c r="X219" s="180" t="e">
        <f>#REF!</f>
        <v>#REF!</v>
      </c>
      <c r="Y219" s="180" t="e">
        <f>#REF!</f>
        <v>#REF!</v>
      </c>
      <c r="Z219" s="180" t="e">
        <f>#REF!</f>
        <v>#REF!</v>
      </c>
      <c r="AA219" s="180" t="e">
        <f>#REF!</f>
        <v>#REF!</v>
      </c>
      <c r="AB219" s="180">
        <v>173940004</v>
      </c>
      <c r="AC219" s="180" t="e">
        <f>#REF!</f>
        <v>#REF!</v>
      </c>
      <c r="AD219" s="180" t="e">
        <f>#REF!</f>
        <v>#REF!</v>
      </c>
      <c r="AE219" s="180" t="e">
        <f>#REF!</f>
        <v>#REF!</v>
      </c>
      <c r="AF219" s="180" t="e">
        <f>[1]April!N55</f>
        <v>#REF!</v>
      </c>
      <c r="AG219" s="180" t="e">
        <f>[2]april!N55</f>
        <v>#REF!</v>
      </c>
      <c r="AH219" s="180" t="e">
        <f>'[3]DES SKPD'!$N55</f>
        <v>#REF!</v>
      </c>
      <c r="AI219" s="180">
        <f>25500000+18000000</f>
        <v>43500000</v>
      </c>
      <c r="AJ219" s="181">
        <f t="shared" si="83"/>
        <v>47.23127035830619</v>
      </c>
      <c r="AK219" s="180">
        <f t="shared" si="77"/>
        <v>48600000</v>
      </c>
      <c r="AL219" s="181">
        <f t="shared" si="84"/>
        <v>52.76872964169381</v>
      </c>
      <c r="AM219" s="243"/>
    </row>
    <row r="220" spans="1:39" ht="28.5" customHeight="1" x14ac:dyDescent="0.25">
      <c r="A220" s="243"/>
      <c r="B220" s="410"/>
      <c r="C220" s="410"/>
      <c r="D220" s="410"/>
      <c r="E220" s="410"/>
      <c r="F220" s="410"/>
      <c r="G220" s="410"/>
      <c r="H220" s="410"/>
      <c r="I220" s="411"/>
      <c r="J220" s="410" t="s">
        <v>309</v>
      </c>
      <c r="K220" s="245"/>
      <c r="L220" s="257"/>
      <c r="M220" s="597" t="s">
        <v>310</v>
      </c>
      <c r="N220" s="598"/>
      <c r="O220" s="299"/>
      <c r="P220" s="180"/>
      <c r="Q220" s="180">
        <v>21600000</v>
      </c>
      <c r="R220" s="181">
        <f>Q220/Q$216*100</f>
        <v>15.645371577574968</v>
      </c>
      <c r="S220" s="181">
        <v>100</v>
      </c>
      <c r="T220" s="180">
        <f t="shared" si="82"/>
        <v>16.666666666666664</v>
      </c>
      <c r="U220" s="180">
        <f t="shared" si="86"/>
        <v>2.6075619295958279</v>
      </c>
      <c r="V220" s="182">
        <f t="shared" ref="V220:V297" si="87">S220-T220</f>
        <v>83.333333333333343</v>
      </c>
      <c r="W220" s="180"/>
      <c r="X220" s="180" t="e">
        <f>#REF!</f>
        <v>#REF!</v>
      </c>
      <c r="Y220" s="180" t="e">
        <f>#REF!</f>
        <v>#REF!</v>
      </c>
      <c r="Z220" s="180" t="e">
        <f>#REF!</f>
        <v>#REF!</v>
      </c>
      <c r="AA220" s="180" t="e">
        <f>#REF!</f>
        <v>#REF!</v>
      </c>
      <c r="AB220" s="180">
        <v>173940006</v>
      </c>
      <c r="AC220" s="180" t="e">
        <f>#REF!</f>
        <v>#REF!</v>
      </c>
      <c r="AD220" s="180" t="e">
        <f>#REF!</f>
        <v>#REF!</v>
      </c>
      <c r="AE220" s="180" t="e">
        <f>#REF!</f>
        <v>#REF!</v>
      </c>
      <c r="AF220" s="180" t="e">
        <f>[1]April!N57</f>
        <v>#REF!</v>
      </c>
      <c r="AG220" s="180" t="e">
        <f>[2]april!N57</f>
        <v>#REF!</v>
      </c>
      <c r="AH220" s="180">
        <f>'[3]DES SKPD'!$N57</f>
        <v>371775000</v>
      </c>
      <c r="AI220" s="180">
        <f>900000+2700000</f>
        <v>3600000</v>
      </c>
      <c r="AJ220" s="181">
        <f>AI220/Q220*100</f>
        <v>16.666666666666664</v>
      </c>
      <c r="AK220" s="180">
        <f>Q220-AI220</f>
        <v>18000000</v>
      </c>
      <c r="AL220" s="181">
        <f t="shared" si="84"/>
        <v>83.333333333333343</v>
      </c>
      <c r="AM220" s="243"/>
    </row>
    <row r="221" spans="1:39" s="428" customFormat="1" ht="28.5" customHeight="1" x14ac:dyDescent="0.25">
      <c r="A221" s="243"/>
      <c r="B221" s="430"/>
      <c r="C221" s="430"/>
      <c r="D221" s="430"/>
      <c r="E221" s="430"/>
      <c r="F221" s="430"/>
      <c r="G221" s="430"/>
      <c r="H221" s="430"/>
      <c r="I221" s="431"/>
      <c r="J221" s="430" t="s">
        <v>551</v>
      </c>
      <c r="K221" s="245"/>
      <c r="L221" s="257"/>
      <c r="M221" s="597" t="s">
        <v>550</v>
      </c>
      <c r="N221" s="598"/>
      <c r="O221" s="432"/>
      <c r="P221" s="180"/>
      <c r="Q221" s="180">
        <v>3360000</v>
      </c>
      <c r="R221" s="181">
        <f>Q221/Q$216*100</f>
        <v>2.4337244676227727</v>
      </c>
      <c r="S221" s="181">
        <v>100</v>
      </c>
      <c r="T221" s="180">
        <f t="shared" si="82"/>
        <v>0</v>
      </c>
      <c r="U221" s="180">
        <f t="shared" si="86"/>
        <v>0</v>
      </c>
      <c r="V221" s="182">
        <f t="shared" si="87"/>
        <v>100</v>
      </c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>
        <f>1800000+900000-2700000</f>
        <v>0</v>
      </c>
      <c r="AJ221" s="181">
        <f>AI221/Q221*100</f>
        <v>0</v>
      </c>
      <c r="AK221" s="180">
        <f>Q221-AI221</f>
        <v>3360000</v>
      </c>
      <c r="AL221" s="181">
        <f t="shared" si="84"/>
        <v>100</v>
      </c>
      <c r="AM221" s="243"/>
    </row>
    <row r="222" spans="1:39" ht="28.5" customHeight="1" x14ac:dyDescent="0.25">
      <c r="A222" s="227">
        <v>33</v>
      </c>
      <c r="B222" s="410"/>
      <c r="C222" s="410"/>
      <c r="D222" s="410"/>
      <c r="E222" s="410"/>
      <c r="F222" s="410"/>
      <c r="G222" s="410"/>
      <c r="H222" s="410"/>
      <c r="I222" s="411"/>
      <c r="J222" s="304" t="s">
        <v>477</v>
      </c>
      <c r="K222" s="230"/>
      <c r="L222" s="294"/>
      <c r="M222" s="615" t="s">
        <v>472</v>
      </c>
      <c r="N222" s="614"/>
      <c r="O222" s="295">
        <v>85915000</v>
      </c>
      <c r="P222" s="231">
        <f>O222</f>
        <v>85915000</v>
      </c>
      <c r="Q222" s="231">
        <f>SUM(Q223:Q229)</f>
        <v>102020000</v>
      </c>
      <c r="R222" s="233">
        <f>Q222/Q$180*100</f>
        <v>7.5119739462005866</v>
      </c>
      <c r="S222" s="233">
        <v>100</v>
      </c>
      <c r="T222" s="231">
        <f t="shared" si="82"/>
        <v>0</v>
      </c>
      <c r="U222" s="231">
        <f t="shared" si="86"/>
        <v>0</v>
      </c>
      <c r="V222" s="296">
        <f t="shared" si="87"/>
        <v>100</v>
      </c>
      <c r="W222" s="231"/>
      <c r="X222" s="231" t="e">
        <f>#REF!</f>
        <v>#REF!</v>
      </c>
      <c r="Y222" s="231" t="e">
        <f>#REF!</f>
        <v>#REF!</v>
      </c>
      <c r="Z222" s="231" t="e">
        <f>#REF!</f>
        <v>#REF!</v>
      </c>
      <c r="AA222" s="231" t="e">
        <f>#REF!</f>
        <v>#REF!</v>
      </c>
      <c r="AB222" s="231">
        <v>0</v>
      </c>
      <c r="AC222" s="231" t="e">
        <f>#REF!</f>
        <v>#REF!</v>
      </c>
      <c r="AD222" s="231" t="e">
        <f>#REF!</f>
        <v>#REF!</v>
      </c>
      <c r="AE222" s="231" t="e">
        <f>#REF!</f>
        <v>#REF!</v>
      </c>
      <c r="AF222" s="231" t="e">
        <f>[1]April!N45</f>
        <v>#REF!</v>
      </c>
      <c r="AG222" s="231" t="e">
        <f>[2]april!N45</f>
        <v>#REF!</v>
      </c>
      <c r="AH222" s="231">
        <f>'[3]DES SKPD'!$N45</f>
        <v>320566100</v>
      </c>
      <c r="AI222" s="231">
        <f>SUM(AI223:AI229)</f>
        <v>0</v>
      </c>
      <c r="AJ222" s="233">
        <f t="shared" si="83"/>
        <v>0</v>
      </c>
      <c r="AK222" s="231">
        <f t="shared" si="77"/>
        <v>102020000</v>
      </c>
      <c r="AL222" s="233">
        <f t="shared" si="84"/>
        <v>100</v>
      </c>
      <c r="AM222" s="243"/>
    </row>
    <row r="223" spans="1:39" ht="28.5" customHeight="1" x14ac:dyDescent="0.25">
      <c r="A223" s="243"/>
      <c r="B223" s="410"/>
      <c r="C223" s="410"/>
      <c r="D223" s="410"/>
      <c r="E223" s="410"/>
      <c r="F223" s="410"/>
      <c r="G223" s="410"/>
      <c r="H223" s="410"/>
      <c r="I223" s="411"/>
      <c r="J223" s="410" t="s">
        <v>257</v>
      </c>
      <c r="K223" s="245"/>
      <c r="L223" s="257"/>
      <c r="M223" s="597" t="s">
        <v>592</v>
      </c>
      <c r="N223" s="598"/>
      <c r="O223" s="299"/>
      <c r="P223" s="180"/>
      <c r="Q223" s="180">
        <v>1600000</v>
      </c>
      <c r="R223" s="181">
        <f t="shared" ref="R223:R229" si="88">Q223/Q$222*100</f>
        <v>1.5683199372672023</v>
      </c>
      <c r="S223" s="181">
        <v>100</v>
      </c>
      <c r="T223" s="180">
        <f t="shared" si="82"/>
        <v>0</v>
      </c>
      <c r="U223" s="180">
        <f t="shared" si="86"/>
        <v>0</v>
      </c>
      <c r="V223" s="182">
        <f t="shared" si="87"/>
        <v>100</v>
      </c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>
        <v>0</v>
      </c>
      <c r="AJ223" s="181">
        <f t="shared" si="83"/>
        <v>0</v>
      </c>
      <c r="AK223" s="180">
        <f t="shared" si="77"/>
        <v>1600000</v>
      </c>
      <c r="AL223" s="181">
        <f t="shared" si="84"/>
        <v>100</v>
      </c>
      <c r="AM223" s="243"/>
    </row>
    <row r="224" spans="1:39" ht="28.5" customHeight="1" x14ac:dyDescent="0.25">
      <c r="A224" s="243"/>
      <c r="B224" s="410"/>
      <c r="C224" s="410"/>
      <c r="D224" s="410"/>
      <c r="E224" s="410"/>
      <c r="F224" s="410"/>
      <c r="G224" s="410"/>
      <c r="H224" s="410"/>
      <c r="I224" s="411"/>
      <c r="J224" s="410" t="s">
        <v>593</v>
      </c>
      <c r="K224" s="245"/>
      <c r="L224" s="257"/>
      <c r="M224" s="597" t="s">
        <v>270</v>
      </c>
      <c r="N224" s="598"/>
      <c r="O224" s="299"/>
      <c r="P224" s="180"/>
      <c r="Q224" s="180">
        <v>2000000</v>
      </c>
      <c r="R224" s="181">
        <f t="shared" si="88"/>
        <v>1.9603999215840031</v>
      </c>
      <c r="S224" s="181">
        <v>100</v>
      </c>
      <c r="T224" s="180">
        <f t="shared" si="82"/>
        <v>0</v>
      </c>
      <c r="U224" s="180">
        <f t="shared" si="86"/>
        <v>0</v>
      </c>
      <c r="V224" s="182">
        <f t="shared" si="87"/>
        <v>100</v>
      </c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>
        <v>0</v>
      </c>
      <c r="AJ224" s="181">
        <f t="shared" si="83"/>
        <v>0</v>
      </c>
      <c r="AK224" s="180">
        <f t="shared" si="77"/>
        <v>2000000</v>
      </c>
      <c r="AL224" s="181">
        <f t="shared" si="84"/>
        <v>100</v>
      </c>
      <c r="AM224" s="243"/>
    </row>
    <row r="225" spans="1:39" ht="28.5" customHeight="1" x14ac:dyDescent="0.25">
      <c r="A225" s="243"/>
      <c r="B225" s="410"/>
      <c r="C225" s="410"/>
      <c r="D225" s="410"/>
      <c r="E225" s="410"/>
      <c r="F225" s="410"/>
      <c r="G225" s="410"/>
      <c r="H225" s="410"/>
      <c r="I225" s="411"/>
      <c r="J225" s="410" t="s">
        <v>593</v>
      </c>
      <c r="K225" s="245"/>
      <c r="L225" s="257"/>
      <c r="M225" s="597" t="s">
        <v>428</v>
      </c>
      <c r="N225" s="598"/>
      <c r="O225" s="299"/>
      <c r="P225" s="180"/>
      <c r="Q225" s="180">
        <v>1500000</v>
      </c>
      <c r="R225" s="181">
        <f t="shared" si="88"/>
        <v>1.4702999411880022</v>
      </c>
      <c r="S225" s="181">
        <v>100</v>
      </c>
      <c r="T225" s="180">
        <f t="shared" si="82"/>
        <v>0</v>
      </c>
      <c r="U225" s="180">
        <f t="shared" si="86"/>
        <v>0</v>
      </c>
      <c r="V225" s="182">
        <f t="shared" si="87"/>
        <v>100</v>
      </c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>
        <v>0</v>
      </c>
      <c r="AJ225" s="181">
        <f t="shared" si="83"/>
        <v>0</v>
      </c>
      <c r="AK225" s="180">
        <f t="shared" si="77"/>
        <v>1500000</v>
      </c>
      <c r="AL225" s="181">
        <f t="shared" si="84"/>
        <v>100</v>
      </c>
      <c r="AM225" s="243"/>
    </row>
    <row r="226" spans="1:39" ht="28.5" customHeight="1" x14ac:dyDescent="0.25">
      <c r="A226" s="243"/>
      <c r="B226" s="410"/>
      <c r="C226" s="410"/>
      <c r="D226" s="410"/>
      <c r="E226" s="410"/>
      <c r="F226" s="410"/>
      <c r="G226" s="410"/>
      <c r="H226" s="410"/>
      <c r="I226" s="411"/>
      <c r="J226" s="410" t="s">
        <v>318</v>
      </c>
      <c r="K226" s="245"/>
      <c r="L226" s="257"/>
      <c r="M226" s="597" t="s">
        <v>319</v>
      </c>
      <c r="N226" s="598"/>
      <c r="O226" s="299"/>
      <c r="P226" s="180"/>
      <c r="Q226" s="180">
        <v>22750000</v>
      </c>
      <c r="R226" s="181">
        <f t="shared" si="88"/>
        <v>22.299549108018034</v>
      </c>
      <c r="S226" s="181">
        <v>100</v>
      </c>
      <c r="T226" s="180">
        <f t="shared" si="82"/>
        <v>0</v>
      </c>
      <c r="U226" s="180">
        <f t="shared" si="86"/>
        <v>0</v>
      </c>
      <c r="V226" s="182">
        <f t="shared" si="87"/>
        <v>100</v>
      </c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>
        <v>0</v>
      </c>
      <c r="AJ226" s="181">
        <f t="shared" si="83"/>
        <v>0</v>
      </c>
      <c r="AK226" s="180">
        <f t="shared" si="77"/>
        <v>22750000</v>
      </c>
      <c r="AL226" s="181">
        <f t="shared" si="84"/>
        <v>100</v>
      </c>
      <c r="AM226" s="243"/>
    </row>
    <row r="227" spans="1:39" ht="28.5" customHeight="1" x14ac:dyDescent="0.25">
      <c r="A227" s="243"/>
      <c r="B227" s="410"/>
      <c r="C227" s="410"/>
      <c r="D227" s="410"/>
      <c r="E227" s="410"/>
      <c r="F227" s="410"/>
      <c r="G227" s="410"/>
      <c r="H227" s="410"/>
      <c r="I227" s="411"/>
      <c r="J227" s="410" t="s">
        <v>280</v>
      </c>
      <c r="K227" s="245"/>
      <c r="L227" s="257"/>
      <c r="M227" s="597" t="s">
        <v>425</v>
      </c>
      <c r="N227" s="598"/>
      <c r="O227" s="299"/>
      <c r="P227" s="180"/>
      <c r="Q227" s="180">
        <v>7000000</v>
      </c>
      <c r="R227" s="181">
        <f t="shared" si="88"/>
        <v>6.8613997255440111</v>
      </c>
      <c r="S227" s="181">
        <v>100</v>
      </c>
      <c r="T227" s="180">
        <f t="shared" si="82"/>
        <v>0</v>
      </c>
      <c r="U227" s="180">
        <f t="shared" si="86"/>
        <v>0</v>
      </c>
      <c r="V227" s="182">
        <f t="shared" si="87"/>
        <v>100</v>
      </c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>
        <v>0</v>
      </c>
      <c r="AJ227" s="181">
        <f t="shared" si="83"/>
        <v>0</v>
      </c>
      <c r="AK227" s="180">
        <f t="shared" si="77"/>
        <v>7000000</v>
      </c>
      <c r="AL227" s="181">
        <f t="shared" si="84"/>
        <v>100</v>
      </c>
      <c r="AM227" s="243"/>
    </row>
    <row r="228" spans="1:39" ht="28.5" customHeight="1" x14ac:dyDescent="0.25">
      <c r="A228" s="243"/>
      <c r="B228" s="410"/>
      <c r="C228" s="410"/>
      <c r="D228" s="410"/>
      <c r="E228" s="410"/>
      <c r="F228" s="410"/>
      <c r="G228" s="410"/>
      <c r="H228" s="410"/>
      <c r="I228" s="411"/>
      <c r="J228" s="410" t="s">
        <v>282</v>
      </c>
      <c r="K228" s="245"/>
      <c r="L228" s="257"/>
      <c r="M228" s="597" t="s">
        <v>590</v>
      </c>
      <c r="N228" s="598"/>
      <c r="O228" s="299"/>
      <c r="P228" s="180"/>
      <c r="Q228" s="180">
        <v>27170000</v>
      </c>
      <c r="R228" s="181">
        <f t="shared" si="88"/>
        <v>26.63203293471868</v>
      </c>
      <c r="S228" s="181">
        <v>100</v>
      </c>
      <c r="T228" s="180">
        <f t="shared" si="82"/>
        <v>0</v>
      </c>
      <c r="U228" s="180">
        <f t="shared" si="86"/>
        <v>0</v>
      </c>
      <c r="V228" s="182">
        <f>S228-T228</f>
        <v>100</v>
      </c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>
        <v>0</v>
      </c>
      <c r="AJ228" s="181">
        <f t="shared" si="83"/>
        <v>0</v>
      </c>
      <c r="AK228" s="180">
        <f t="shared" si="77"/>
        <v>27170000</v>
      </c>
      <c r="AL228" s="181">
        <f t="shared" si="84"/>
        <v>100</v>
      </c>
      <c r="AM228" s="243"/>
    </row>
    <row r="229" spans="1:39" ht="28.5" customHeight="1" x14ac:dyDescent="0.25">
      <c r="A229" s="243"/>
      <c r="B229" s="410"/>
      <c r="C229" s="410"/>
      <c r="D229" s="410"/>
      <c r="E229" s="410"/>
      <c r="F229" s="410"/>
      <c r="G229" s="410"/>
      <c r="H229" s="410"/>
      <c r="I229" s="411"/>
      <c r="J229" s="410" t="s">
        <v>594</v>
      </c>
      <c r="K229" s="245"/>
      <c r="L229" s="257"/>
      <c r="M229" s="597" t="s">
        <v>591</v>
      </c>
      <c r="N229" s="598"/>
      <c r="O229" s="299"/>
      <c r="P229" s="180"/>
      <c r="Q229" s="180">
        <v>40000000</v>
      </c>
      <c r="R229" s="181">
        <f t="shared" si="88"/>
        <v>39.20799843168006</v>
      </c>
      <c r="S229" s="181">
        <v>100</v>
      </c>
      <c r="T229" s="180">
        <f t="shared" si="82"/>
        <v>0</v>
      </c>
      <c r="U229" s="180">
        <f t="shared" si="86"/>
        <v>0</v>
      </c>
      <c r="V229" s="182">
        <f>S229-T229</f>
        <v>100</v>
      </c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>
        <v>0</v>
      </c>
      <c r="AJ229" s="181">
        <f t="shared" si="83"/>
        <v>0</v>
      </c>
      <c r="AK229" s="180">
        <f t="shared" si="77"/>
        <v>40000000</v>
      </c>
      <c r="AL229" s="181">
        <f t="shared" si="84"/>
        <v>100</v>
      </c>
      <c r="AM229" s="243"/>
    </row>
    <row r="230" spans="1:39" s="297" customFormat="1" ht="24.75" customHeight="1" x14ac:dyDescent="0.25">
      <c r="A230" s="227">
        <f>A222+1</f>
        <v>34</v>
      </c>
      <c r="B230" s="615" t="s">
        <v>144</v>
      </c>
      <c r="C230" s="615"/>
      <c r="D230" s="615"/>
      <c r="E230" s="615"/>
      <c r="F230" s="615"/>
      <c r="G230" s="615"/>
      <c r="H230" s="615"/>
      <c r="I230" s="614"/>
      <c r="J230" s="304" t="s">
        <v>478</v>
      </c>
      <c r="K230" s="230"/>
      <c r="L230" s="294"/>
      <c r="M230" s="615" t="s">
        <v>167</v>
      </c>
      <c r="N230" s="614"/>
      <c r="O230" s="295">
        <v>85915000</v>
      </c>
      <c r="P230" s="231">
        <f>O230</f>
        <v>85915000</v>
      </c>
      <c r="Q230" s="231">
        <f>SUM(Q231:Q240)</f>
        <v>131325000</v>
      </c>
      <c r="R230" s="233">
        <f>Q230/Q$180*100</f>
        <v>9.6697704223171161</v>
      </c>
      <c r="S230" s="233">
        <v>100</v>
      </c>
      <c r="T230" s="231">
        <f t="shared" si="82"/>
        <v>31.962687987816484</v>
      </c>
      <c r="U230" s="231">
        <f>R230*T230/100</f>
        <v>3.090718549223384</v>
      </c>
      <c r="V230" s="296">
        <f t="shared" si="87"/>
        <v>68.03731201218352</v>
      </c>
      <c r="W230" s="231"/>
      <c r="X230" s="231" t="e">
        <f>#REF!</f>
        <v>#REF!</v>
      </c>
      <c r="Y230" s="231" t="e">
        <f>#REF!</f>
        <v>#REF!</v>
      </c>
      <c r="Z230" s="231" t="e">
        <f>#REF!</f>
        <v>#REF!</v>
      </c>
      <c r="AA230" s="231" t="e">
        <f>#REF!</f>
        <v>#REF!</v>
      </c>
      <c r="AB230" s="231">
        <v>0</v>
      </c>
      <c r="AC230" s="231" t="e">
        <f>#REF!</f>
        <v>#REF!</v>
      </c>
      <c r="AD230" s="231" t="e">
        <f>#REF!</f>
        <v>#REF!</v>
      </c>
      <c r="AE230" s="231" t="e">
        <f>#REF!</f>
        <v>#REF!</v>
      </c>
      <c r="AF230" s="231" t="e">
        <f>[1]April!N52</f>
        <v>#REF!</v>
      </c>
      <c r="AG230" s="231" t="e">
        <f>[2]april!N52</f>
        <v>#REF!</v>
      </c>
      <c r="AH230" s="231">
        <f>'[3]DES SKPD'!$N52</f>
        <v>73668000</v>
      </c>
      <c r="AI230" s="231">
        <f>SUM(AI231:AI240)</f>
        <v>41975000</v>
      </c>
      <c r="AJ230" s="233">
        <f t="shared" si="83"/>
        <v>31.962687987816484</v>
      </c>
      <c r="AK230" s="231">
        <f t="shared" si="77"/>
        <v>89350000</v>
      </c>
      <c r="AL230" s="233">
        <f t="shared" si="84"/>
        <v>68.03731201218352</v>
      </c>
      <c r="AM230" s="227"/>
    </row>
    <row r="231" spans="1:39" ht="24.75" customHeight="1" x14ac:dyDescent="0.25">
      <c r="A231" s="243"/>
      <c r="B231" s="410"/>
      <c r="C231" s="410"/>
      <c r="D231" s="410"/>
      <c r="E231" s="410"/>
      <c r="F231" s="410"/>
      <c r="G231" s="410"/>
      <c r="H231" s="410"/>
      <c r="I231" s="411"/>
      <c r="J231" s="410" t="s">
        <v>273</v>
      </c>
      <c r="K231" s="245"/>
      <c r="L231" s="257"/>
      <c r="M231" s="597" t="s">
        <v>322</v>
      </c>
      <c r="N231" s="598"/>
      <c r="O231" s="299"/>
      <c r="P231" s="180"/>
      <c r="Q231" s="180">
        <v>4600000</v>
      </c>
      <c r="R231" s="181">
        <f t="shared" ref="R231:R240" si="89">Q231/Q$230*100</f>
        <v>3.5027603274319441</v>
      </c>
      <c r="S231" s="181">
        <v>100</v>
      </c>
      <c r="T231" s="180">
        <f t="shared" si="82"/>
        <v>0</v>
      </c>
      <c r="U231" s="180">
        <f t="shared" ref="U231:U301" si="90">R231*T231/100</f>
        <v>0</v>
      </c>
      <c r="V231" s="182">
        <f t="shared" si="87"/>
        <v>100</v>
      </c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>
        <v>0</v>
      </c>
      <c r="AJ231" s="181">
        <f t="shared" si="83"/>
        <v>0</v>
      </c>
      <c r="AK231" s="180">
        <f t="shared" si="77"/>
        <v>4600000</v>
      </c>
      <c r="AL231" s="181">
        <f t="shared" si="84"/>
        <v>100</v>
      </c>
      <c r="AM231" s="243"/>
    </row>
    <row r="232" spans="1:39" ht="24.75" customHeight="1" x14ac:dyDescent="0.25">
      <c r="A232" s="243"/>
      <c r="B232" s="410"/>
      <c r="C232" s="410"/>
      <c r="D232" s="410"/>
      <c r="E232" s="410"/>
      <c r="F232" s="410"/>
      <c r="G232" s="410"/>
      <c r="H232" s="410"/>
      <c r="I232" s="411"/>
      <c r="J232" s="410" t="s">
        <v>323</v>
      </c>
      <c r="K232" s="245"/>
      <c r="L232" s="257"/>
      <c r="M232" s="597" t="s">
        <v>324</v>
      </c>
      <c r="N232" s="598"/>
      <c r="O232" s="299"/>
      <c r="P232" s="180"/>
      <c r="Q232" s="180">
        <v>13776000</v>
      </c>
      <c r="R232" s="181">
        <f t="shared" si="89"/>
        <v>10.490005711022272</v>
      </c>
      <c r="S232" s="181">
        <v>100</v>
      </c>
      <c r="T232" s="180">
        <f t="shared" si="82"/>
        <v>0</v>
      </c>
      <c r="U232" s="180">
        <f t="shared" si="90"/>
        <v>0</v>
      </c>
      <c r="V232" s="182">
        <f t="shared" si="87"/>
        <v>100</v>
      </c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>
        <v>0</v>
      </c>
      <c r="AJ232" s="181">
        <f t="shared" si="83"/>
        <v>0</v>
      </c>
      <c r="AK232" s="180">
        <f t="shared" si="77"/>
        <v>13776000</v>
      </c>
      <c r="AL232" s="181">
        <f t="shared" si="84"/>
        <v>100</v>
      </c>
      <c r="AM232" s="243"/>
    </row>
    <row r="233" spans="1:39" ht="24.75" customHeight="1" x14ac:dyDescent="0.25">
      <c r="A233" s="243"/>
      <c r="B233" s="410"/>
      <c r="C233" s="410"/>
      <c r="D233" s="410"/>
      <c r="E233" s="410"/>
      <c r="F233" s="410"/>
      <c r="G233" s="410"/>
      <c r="H233" s="410"/>
      <c r="I233" s="411"/>
      <c r="J233" s="410" t="s">
        <v>269</v>
      </c>
      <c r="K233" s="245"/>
      <c r="L233" s="257"/>
      <c r="M233" s="597" t="s">
        <v>270</v>
      </c>
      <c r="N233" s="598"/>
      <c r="O233" s="299"/>
      <c r="P233" s="180"/>
      <c r="Q233" s="180">
        <v>4000000</v>
      </c>
      <c r="R233" s="181">
        <f t="shared" si="89"/>
        <v>3.0458785455929944</v>
      </c>
      <c r="S233" s="181">
        <v>100</v>
      </c>
      <c r="T233" s="180">
        <f t="shared" si="82"/>
        <v>0</v>
      </c>
      <c r="U233" s="180">
        <f t="shared" si="90"/>
        <v>0</v>
      </c>
      <c r="V233" s="182">
        <f t="shared" si="87"/>
        <v>100</v>
      </c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>
        <v>0</v>
      </c>
      <c r="AJ233" s="181">
        <f t="shared" si="83"/>
        <v>0</v>
      </c>
      <c r="AK233" s="180">
        <f t="shared" si="77"/>
        <v>4000000</v>
      </c>
      <c r="AL233" s="181">
        <f t="shared" si="84"/>
        <v>100</v>
      </c>
      <c r="AM233" s="243"/>
    </row>
    <row r="234" spans="1:39" ht="24.75" customHeight="1" x14ac:dyDescent="0.25">
      <c r="A234" s="243"/>
      <c r="B234" s="410"/>
      <c r="C234" s="410"/>
      <c r="D234" s="410"/>
      <c r="E234" s="410"/>
      <c r="F234" s="410"/>
      <c r="G234" s="410"/>
      <c r="H234" s="410"/>
      <c r="I234" s="411"/>
      <c r="J234" s="410" t="s">
        <v>315</v>
      </c>
      <c r="K234" s="245"/>
      <c r="L234" s="257"/>
      <c r="M234" s="597" t="s">
        <v>271</v>
      </c>
      <c r="N234" s="598"/>
      <c r="O234" s="299"/>
      <c r="P234" s="180"/>
      <c r="Q234" s="180">
        <v>2889000</v>
      </c>
      <c r="R234" s="181">
        <f t="shared" si="89"/>
        <v>2.1998857795545406</v>
      </c>
      <c r="S234" s="181">
        <v>100</v>
      </c>
      <c r="T234" s="180">
        <f t="shared" si="82"/>
        <v>18.172377985462099</v>
      </c>
      <c r="U234" s="180">
        <f t="shared" si="90"/>
        <v>0.39977155910908058</v>
      </c>
      <c r="V234" s="182">
        <f t="shared" si="87"/>
        <v>81.827622014537894</v>
      </c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>
        <v>525000</v>
      </c>
      <c r="AJ234" s="181">
        <f t="shared" si="83"/>
        <v>18.172377985462099</v>
      </c>
      <c r="AK234" s="180">
        <f t="shared" si="77"/>
        <v>2364000</v>
      </c>
      <c r="AL234" s="181">
        <f t="shared" si="84"/>
        <v>81.827622014537909</v>
      </c>
      <c r="AM234" s="243"/>
    </row>
    <row r="235" spans="1:39" ht="24.75" customHeight="1" x14ac:dyDescent="0.25">
      <c r="A235" s="243"/>
      <c r="B235" s="410"/>
      <c r="C235" s="410"/>
      <c r="D235" s="410"/>
      <c r="E235" s="410"/>
      <c r="F235" s="410"/>
      <c r="G235" s="410"/>
      <c r="H235" s="410"/>
      <c r="I235" s="411"/>
      <c r="J235" s="410" t="s">
        <v>328</v>
      </c>
      <c r="K235" s="245"/>
      <c r="L235" s="257"/>
      <c r="M235" s="597" t="s">
        <v>329</v>
      </c>
      <c r="N235" s="598"/>
      <c r="O235" s="299"/>
      <c r="P235" s="180"/>
      <c r="Q235" s="180">
        <v>47750000</v>
      </c>
      <c r="R235" s="181">
        <f t="shared" si="89"/>
        <v>36.360175138016373</v>
      </c>
      <c r="S235" s="181">
        <v>100</v>
      </c>
      <c r="T235" s="180">
        <f t="shared" si="82"/>
        <v>58.638743455497377</v>
      </c>
      <c r="U235" s="180">
        <f t="shared" si="90"/>
        <v>21.321149819150961</v>
      </c>
      <c r="V235" s="182">
        <f t="shared" si="87"/>
        <v>41.361256544502623</v>
      </c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>
        <v>28000000</v>
      </c>
      <c r="AJ235" s="181">
        <f t="shared" si="83"/>
        <v>58.638743455497377</v>
      </c>
      <c r="AK235" s="180">
        <f t="shared" si="77"/>
        <v>19750000</v>
      </c>
      <c r="AL235" s="181">
        <f t="shared" si="84"/>
        <v>41.361256544502616</v>
      </c>
      <c r="AM235" s="243"/>
    </row>
    <row r="236" spans="1:39" ht="24.75" customHeight="1" x14ac:dyDescent="0.25">
      <c r="A236" s="243"/>
      <c r="B236" s="410"/>
      <c r="C236" s="410"/>
      <c r="D236" s="410"/>
      <c r="E236" s="410"/>
      <c r="F236" s="410"/>
      <c r="G236" s="410"/>
      <c r="H236" s="410"/>
      <c r="I236" s="411"/>
      <c r="J236" s="410" t="s">
        <v>280</v>
      </c>
      <c r="K236" s="245"/>
      <c r="L236" s="257"/>
      <c r="M236" s="597" t="s">
        <v>281</v>
      </c>
      <c r="N236" s="598"/>
      <c r="O236" s="299"/>
      <c r="P236" s="180"/>
      <c r="Q236" s="180">
        <v>15750000</v>
      </c>
      <c r="R236" s="181">
        <f t="shared" si="89"/>
        <v>11.993146773272416</v>
      </c>
      <c r="S236" s="181">
        <v>100</v>
      </c>
      <c r="T236" s="180">
        <f t="shared" si="82"/>
        <v>14.285714285714285</v>
      </c>
      <c r="U236" s="180">
        <f t="shared" si="90"/>
        <v>1.7133066818960594</v>
      </c>
      <c r="V236" s="182">
        <f t="shared" si="87"/>
        <v>85.714285714285722</v>
      </c>
      <c r="W236" s="180"/>
      <c r="X236" s="180"/>
      <c r="Y236" s="180"/>
      <c r="Z236" s="180"/>
      <c r="AA236" s="180"/>
      <c r="AB236" s="180"/>
      <c r="AC236" s="180"/>
      <c r="AD236" s="180"/>
      <c r="AE236" s="180"/>
      <c r="AF236" s="180"/>
      <c r="AG236" s="180"/>
      <c r="AH236" s="180"/>
      <c r="AI236" s="180">
        <v>2250000</v>
      </c>
      <c r="AJ236" s="181">
        <f t="shared" si="83"/>
        <v>14.285714285714285</v>
      </c>
      <c r="AK236" s="180">
        <f t="shared" si="77"/>
        <v>13500000</v>
      </c>
      <c r="AL236" s="181">
        <f t="shared" si="84"/>
        <v>85.714285714285708</v>
      </c>
      <c r="AM236" s="243"/>
    </row>
    <row r="237" spans="1:39" ht="24.75" customHeight="1" x14ac:dyDescent="0.25">
      <c r="A237" s="243"/>
      <c r="B237" s="410"/>
      <c r="C237" s="410"/>
      <c r="D237" s="410"/>
      <c r="E237" s="410"/>
      <c r="F237" s="410"/>
      <c r="G237" s="410"/>
      <c r="H237" s="410"/>
      <c r="I237" s="411"/>
      <c r="J237" s="410" t="s">
        <v>284</v>
      </c>
      <c r="K237" s="245"/>
      <c r="L237" s="257"/>
      <c r="M237" s="597" t="s">
        <v>585</v>
      </c>
      <c r="N237" s="598"/>
      <c r="O237" s="299"/>
      <c r="P237" s="180"/>
      <c r="Q237" s="180">
        <v>5550000</v>
      </c>
      <c r="R237" s="181">
        <f t="shared" si="89"/>
        <v>4.2261564820102802</v>
      </c>
      <c r="S237" s="181">
        <v>100</v>
      </c>
      <c r="T237" s="180">
        <f t="shared" si="82"/>
        <v>49.549549549549546</v>
      </c>
      <c r="U237" s="180">
        <f t="shared" si="90"/>
        <v>2.0940415000951837</v>
      </c>
      <c r="V237" s="182">
        <f t="shared" si="87"/>
        <v>50.450450450450454</v>
      </c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>
        <v>2750000</v>
      </c>
      <c r="AJ237" s="181">
        <f t="shared" si="83"/>
        <v>49.549549549549546</v>
      </c>
      <c r="AK237" s="180">
        <f t="shared" si="77"/>
        <v>2800000</v>
      </c>
      <c r="AL237" s="181">
        <f t="shared" si="84"/>
        <v>50.450450450450447</v>
      </c>
      <c r="AM237" s="243"/>
    </row>
    <row r="238" spans="1:39" ht="24.75" customHeight="1" x14ac:dyDescent="0.25">
      <c r="A238" s="243"/>
      <c r="B238" s="410"/>
      <c r="C238" s="410"/>
      <c r="D238" s="410"/>
      <c r="E238" s="410"/>
      <c r="F238" s="410"/>
      <c r="G238" s="410"/>
      <c r="H238" s="410"/>
      <c r="I238" s="411"/>
      <c r="J238" s="410" t="s">
        <v>282</v>
      </c>
      <c r="K238" s="245"/>
      <c r="L238" s="257"/>
      <c r="M238" s="597" t="s">
        <v>503</v>
      </c>
      <c r="N238" s="598"/>
      <c r="O238" s="299"/>
      <c r="P238" s="180"/>
      <c r="Q238" s="180">
        <v>21160000</v>
      </c>
      <c r="R238" s="181">
        <f t="shared" si="89"/>
        <v>16.11269750618694</v>
      </c>
      <c r="S238" s="181">
        <v>100</v>
      </c>
      <c r="T238" s="180">
        <f t="shared" si="82"/>
        <v>0</v>
      </c>
      <c r="U238" s="180">
        <f t="shared" si="90"/>
        <v>0</v>
      </c>
      <c r="V238" s="182">
        <f t="shared" si="87"/>
        <v>100</v>
      </c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180"/>
      <c r="AI238" s="180">
        <v>0</v>
      </c>
      <c r="AJ238" s="181">
        <f t="shared" si="83"/>
        <v>0</v>
      </c>
      <c r="AK238" s="180">
        <f t="shared" si="77"/>
        <v>21160000</v>
      </c>
      <c r="AL238" s="181">
        <f t="shared" si="84"/>
        <v>100</v>
      </c>
      <c r="AM238" s="243"/>
    </row>
    <row r="239" spans="1:39" ht="24.75" customHeight="1" x14ac:dyDescent="0.25">
      <c r="A239" s="243"/>
      <c r="B239" s="410"/>
      <c r="C239" s="410"/>
      <c r="D239" s="410"/>
      <c r="E239" s="410"/>
      <c r="F239" s="410"/>
      <c r="G239" s="410"/>
      <c r="H239" s="410"/>
      <c r="I239" s="411"/>
      <c r="J239" s="410" t="s">
        <v>320</v>
      </c>
      <c r="K239" s="245"/>
      <c r="L239" s="257"/>
      <c r="M239" s="597" t="s">
        <v>321</v>
      </c>
      <c r="N239" s="598"/>
      <c r="O239" s="299"/>
      <c r="P239" s="180"/>
      <c r="Q239" s="180">
        <v>11200000</v>
      </c>
      <c r="R239" s="181">
        <f t="shared" si="89"/>
        <v>8.5284599276603839</v>
      </c>
      <c r="S239" s="181">
        <v>100</v>
      </c>
      <c r="T239" s="180">
        <f t="shared" si="82"/>
        <v>33.928571428571431</v>
      </c>
      <c r="U239" s="180">
        <f t="shared" si="90"/>
        <v>2.8935846183133447</v>
      </c>
      <c r="V239" s="182">
        <f t="shared" si="87"/>
        <v>66.071428571428569</v>
      </c>
      <c r="W239" s="180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80"/>
      <c r="AH239" s="180"/>
      <c r="AI239" s="180">
        <v>3800000</v>
      </c>
      <c r="AJ239" s="181">
        <f t="shared" si="83"/>
        <v>33.928571428571431</v>
      </c>
      <c r="AK239" s="180">
        <f t="shared" si="77"/>
        <v>7400000</v>
      </c>
      <c r="AL239" s="181">
        <f t="shared" si="84"/>
        <v>66.071428571428569</v>
      </c>
      <c r="AM239" s="243"/>
    </row>
    <row r="240" spans="1:39" ht="24.75" customHeight="1" x14ac:dyDescent="0.25">
      <c r="A240" s="243"/>
      <c r="B240" s="410"/>
      <c r="C240" s="410"/>
      <c r="D240" s="410"/>
      <c r="E240" s="410"/>
      <c r="F240" s="410"/>
      <c r="G240" s="410"/>
      <c r="H240" s="410"/>
      <c r="I240" s="411"/>
      <c r="J240" s="410" t="s">
        <v>407</v>
      </c>
      <c r="K240" s="245"/>
      <c r="L240" s="257"/>
      <c r="M240" s="597" t="s">
        <v>595</v>
      </c>
      <c r="N240" s="598"/>
      <c r="O240" s="299"/>
      <c r="P240" s="180"/>
      <c r="Q240" s="180">
        <v>4650000</v>
      </c>
      <c r="R240" s="181">
        <f t="shared" si="89"/>
        <v>3.5408338092518559</v>
      </c>
      <c r="S240" s="181">
        <v>100</v>
      </c>
      <c r="T240" s="180">
        <f t="shared" si="82"/>
        <v>100</v>
      </c>
      <c r="U240" s="180">
        <f t="shared" si="90"/>
        <v>3.5408338092518559</v>
      </c>
      <c r="V240" s="182">
        <f t="shared" si="87"/>
        <v>0</v>
      </c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180"/>
      <c r="AI240" s="180">
        <v>4650000</v>
      </c>
      <c r="AJ240" s="181">
        <f t="shared" si="83"/>
        <v>100</v>
      </c>
      <c r="AK240" s="180">
        <f t="shared" si="77"/>
        <v>0</v>
      </c>
      <c r="AL240" s="181">
        <f t="shared" si="84"/>
        <v>0</v>
      </c>
      <c r="AM240" s="243"/>
    </row>
    <row r="241" spans="1:39" s="297" customFormat="1" ht="24.75" customHeight="1" x14ac:dyDescent="0.25">
      <c r="A241" s="227">
        <f>A230+1</f>
        <v>35</v>
      </c>
      <c r="B241" s="618" t="s">
        <v>144</v>
      </c>
      <c r="C241" s="615"/>
      <c r="D241" s="615"/>
      <c r="E241" s="615"/>
      <c r="F241" s="615"/>
      <c r="G241" s="615"/>
      <c r="H241" s="615"/>
      <c r="I241" s="614"/>
      <c r="J241" s="304" t="s">
        <v>596</v>
      </c>
      <c r="K241" s="230"/>
      <c r="L241" s="294"/>
      <c r="M241" s="615" t="s">
        <v>639</v>
      </c>
      <c r="N241" s="614"/>
      <c r="O241" s="295">
        <v>85915000</v>
      </c>
      <c r="P241" s="231">
        <f>O241</f>
        <v>85915000</v>
      </c>
      <c r="Q241" s="231">
        <f>SUM(Q242:Q247)</f>
        <v>48040000</v>
      </c>
      <c r="R241" s="233">
        <f>Q241/Q$180*100</f>
        <v>3.5372988470444637</v>
      </c>
      <c r="S241" s="233">
        <v>100</v>
      </c>
      <c r="T241" s="231">
        <f>AJ241</f>
        <v>8.3263946711074102</v>
      </c>
      <c r="U241" s="231">
        <f>R241*T241/100</f>
        <v>0.29452946270145408</v>
      </c>
      <c r="V241" s="296">
        <f t="shared" si="87"/>
        <v>91.673605328892592</v>
      </c>
      <c r="W241" s="231"/>
      <c r="X241" s="231" t="e">
        <f>#REF!</f>
        <v>#REF!</v>
      </c>
      <c r="Y241" s="231" t="e">
        <f>#REF!</f>
        <v>#REF!</v>
      </c>
      <c r="Z241" s="231" t="e">
        <f>#REF!</f>
        <v>#REF!</v>
      </c>
      <c r="AA241" s="231" t="e">
        <f>#REF!</f>
        <v>#REF!</v>
      </c>
      <c r="AB241" s="231">
        <v>0</v>
      </c>
      <c r="AC241" s="231" t="e">
        <f>#REF!</f>
        <v>#REF!</v>
      </c>
      <c r="AD241" s="231" t="e">
        <f>#REF!</f>
        <v>#REF!</v>
      </c>
      <c r="AE241" s="231" t="e">
        <f>#REF!</f>
        <v>#REF!</v>
      </c>
      <c r="AF241" s="231" t="e">
        <f>[1]April!N63</f>
        <v>#REF!</v>
      </c>
      <c r="AG241" s="231" t="e">
        <f>[2]april!N63</f>
        <v>#REF!</v>
      </c>
      <c r="AH241" s="231">
        <f>'[3]DES SKPD'!$N63</f>
        <v>174573000</v>
      </c>
      <c r="AI241" s="231">
        <f>SUM(AI242:AI247)</f>
        <v>4000000</v>
      </c>
      <c r="AJ241" s="233">
        <f>AI241/Q241*100</f>
        <v>8.3263946711074102</v>
      </c>
      <c r="AK241" s="231">
        <f t="shared" si="77"/>
        <v>44040000</v>
      </c>
      <c r="AL241" s="233">
        <f t="shared" si="84"/>
        <v>91.673605328892592</v>
      </c>
      <c r="AM241" s="227"/>
    </row>
    <row r="242" spans="1:39" ht="24.75" customHeight="1" x14ac:dyDescent="0.25">
      <c r="A242" s="243"/>
      <c r="B242" s="410"/>
      <c r="C242" s="410"/>
      <c r="D242" s="410"/>
      <c r="E242" s="410"/>
      <c r="F242" s="410"/>
      <c r="G242" s="410"/>
      <c r="H242" s="410"/>
      <c r="I242" s="411"/>
      <c r="J242" s="410" t="s">
        <v>273</v>
      </c>
      <c r="K242" s="245"/>
      <c r="L242" s="257"/>
      <c r="M242" s="597" t="s">
        <v>322</v>
      </c>
      <c r="N242" s="598"/>
      <c r="O242" s="299"/>
      <c r="P242" s="180"/>
      <c r="Q242" s="180">
        <v>12400000</v>
      </c>
      <c r="R242" s="181">
        <f t="shared" ref="R242:R247" si="91">Q242/Q$230*100</f>
        <v>9.4422234913382841</v>
      </c>
      <c r="S242" s="181">
        <v>100</v>
      </c>
      <c r="T242" s="180">
        <f t="shared" ref="T242:T247" si="92">AJ242</f>
        <v>0</v>
      </c>
      <c r="U242" s="180">
        <f t="shared" ref="U242:U247" si="93">R242*T242/100</f>
        <v>0</v>
      </c>
      <c r="V242" s="182">
        <f t="shared" si="87"/>
        <v>100</v>
      </c>
      <c r="W242" s="180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180"/>
      <c r="AI242" s="180">
        <v>0</v>
      </c>
      <c r="AJ242" s="181">
        <f t="shared" ref="AJ242:AJ247" si="94">AI242/Q242*100</f>
        <v>0</v>
      </c>
      <c r="AK242" s="180">
        <f t="shared" si="77"/>
        <v>12400000</v>
      </c>
      <c r="AL242" s="181">
        <f t="shared" si="84"/>
        <v>100</v>
      </c>
      <c r="AM242" s="243"/>
    </row>
    <row r="243" spans="1:39" ht="24.75" customHeight="1" x14ac:dyDescent="0.25">
      <c r="A243" s="243"/>
      <c r="B243" s="410"/>
      <c r="C243" s="410"/>
      <c r="D243" s="410"/>
      <c r="E243" s="410"/>
      <c r="F243" s="410"/>
      <c r="G243" s="410"/>
      <c r="H243" s="410"/>
      <c r="I243" s="411"/>
      <c r="J243" s="410" t="s">
        <v>315</v>
      </c>
      <c r="K243" s="245"/>
      <c r="L243" s="257"/>
      <c r="M243" s="597" t="s">
        <v>599</v>
      </c>
      <c r="N243" s="598"/>
      <c r="O243" s="299"/>
      <c r="P243" s="180"/>
      <c r="Q243" s="180">
        <v>1000000</v>
      </c>
      <c r="R243" s="181">
        <f t="shared" si="91"/>
        <v>0.76146963639824861</v>
      </c>
      <c r="S243" s="181">
        <v>100</v>
      </c>
      <c r="T243" s="180">
        <f t="shared" si="92"/>
        <v>0</v>
      </c>
      <c r="U243" s="180">
        <f t="shared" si="93"/>
        <v>0</v>
      </c>
      <c r="V243" s="182">
        <f t="shared" si="87"/>
        <v>100</v>
      </c>
      <c r="W243" s="180"/>
      <c r="X243" s="180"/>
      <c r="Y243" s="180"/>
      <c r="Z243" s="180"/>
      <c r="AA243" s="180"/>
      <c r="AB243" s="180"/>
      <c r="AC243" s="180"/>
      <c r="AD243" s="180"/>
      <c r="AE243" s="180"/>
      <c r="AF243" s="180"/>
      <c r="AG243" s="180"/>
      <c r="AH243" s="180"/>
      <c r="AI243" s="180">
        <v>0</v>
      </c>
      <c r="AJ243" s="181">
        <f t="shared" si="94"/>
        <v>0</v>
      </c>
      <c r="AK243" s="180">
        <f t="shared" si="77"/>
        <v>1000000</v>
      </c>
      <c r="AL243" s="181">
        <f t="shared" si="84"/>
        <v>100</v>
      </c>
      <c r="AM243" s="243"/>
    </row>
    <row r="244" spans="1:39" ht="24.75" customHeight="1" x14ac:dyDescent="0.25">
      <c r="A244" s="243"/>
      <c r="B244" s="410"/>
      <c r="C244" s="410"/>
      <c r="D244" s="410"/>
      <c r="E244" s="410"/>
      <c r="F244" s="410"/>
      <c r="G244" s="410"/>
      <c r="H244" s="410"/>
      <c r="I244" s="411"/>
      <c r="J244" s="410" t="s">
        <v>318</v>
      </c>
      <c r="K244" s="245"/>
      <c r="L244" s="257"/>
      <c r="M244" s="597" t="s">
        <v>319</v>
      </c>
      <c r="N244" s="598"/>
      <c r="O244" s="299"/>
      <c r="P244" s="180"/>
      <c r="Q244" s="180">
        <v>14000000</v>
      </c>
      <c r="R244" s="181">
        <f t="shared" si="91"/>
        <v>10.66057490957548</v>
      </c>
      <c r="S244" s="181">
        <v>100</v>
      </c>
      <c r="T244" s="180">
        <f t="shared" si="92"/>
        <v>0</v>
      </c>
      <c r="U244" s="180">
        <f>R244*T244/100</f>
        <v>0</v>
      </c>
      <c r="V244" s="182">
        <f t="shared" si="87"/>
        <v>100</v>
      </c>
      <c r="W244" s="180"/>
      <c r="X244" s="180"/>
      <c r="Y244" s="180"/>
      <c r="Z244" s="180"/>
      <c r="AA244" s="180"/>
      <c r="AB244" s="180"/>
      <c r="AC244" s="180"/>
      <c r="AD244" s="180"/>
      <c r="AE244" s="180"/>
      <c r="AF244" s="180"/>
      <c r="AG244" s="180"/>
      <c r="AH244" s="180"/>
      <c r="AI244" s="180">
        <v>0</v>
      </c>
      <c r="AJ244" s="181">
        <f t="shared" si="94"/>
        <v>0</v>
      </c>
      <c r="AK244" s="180">
        <f t="shared" si="77"/>
        <v>14000000</v>
      </c>
      <c r="AL244" s="181">
        <f t="shared" si="84"/>
        <v>100</v>
      </c>
      <c r="AM244" s="243"/>
    </row>
    <row r="245" spans="1:39" ht="24.75" customHeight="1" x14ac:dyDescent="0.25">
      <c r="A245" s="243"/>
      <c r="B245" s="410"/>
      <c r="C245" s="410"/>
      <c r="D245" s="410"/>
      <c r="E245" s="410"/>
      <c r="F245" s="410"/>
      <c r="G245" s="410"/>
      <c r="H245" s="410"/>
      <c r="I245" s="411"/>
      <c r="J245" s="410" t="s">
        <v>537</v>
      </c>
      <c r="K245" s="245"/>
      <c r="L245" s="257"/>
      <c r="M245" s="597" t="s">
        <v>600</v>
      </c>
      <c r="N245" s="598"/>
      <c r="O245" s="299"/>
      <c r="P245" s="180"/>
      <c r="Q245" s="180">
        <v>2640000</v>
      </c>
      <c r="R245" s="181">
        <f t="shared" si="91"/>
        <v>2.0102798400913762</v>
      </c>
      <c r="S245" s="181">
        <v>100</v>
      </c>
      <c r="T245" s="180">
        <f t="shared" si="92"/>
        <v>0</v>
      </c>
      <c r="U245" s="180">
        <f t="shared" si="93"/>
        <v>0</v>
      </c>
      <c r="V245" s="182">
        <f t="shared" si="87"/>
        <v>100</v>
      </c>
      <c r="W245" s="180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180"/>
      <c r="AI245" s="180">
        <v>0</v>
      </c>
      <c r="AJ245" s="181">
        <f t="shared" si="94"/>
        <v>0</v>
      </c>
      <c r="AK245" s="180">
        <f t="shared" si="77"/>
        <v>2640000</v>
      </c>
      <c r="AL245" s="181">
        <f t="shared" si="84"/>
        <v>100</v>
      </c>
      <c r="AM245" s="243"/>
    </row>
    <row r="246" spans="1:39" ht="24.75" customHeight="1" x14ac:dyDescent="0.25">
      <c r="A246" s="243"/>
      <c r="B246" s="410"/>
      <c r="C246" s="410"/>
      <c r="D246" s="410"/>
      <c r="E246" s="410"/>
      <c r="F246" s="410"/>
      <c r="G246" s="410"/>
      <c r="H246" s="410"/>
      <c r="I246" s="411"/>
      <c r="J246" s="410" t="s">
        <v>320</v>
      </c>
      <c r="K246" s="245"/>
      <c r="L246" s="257"/>
      <c r="M246" s="597" t="s">
        <v>321</v>
      </c>
      <c r="N246" s="598"/>
      <c r="O246" s="299"/>
      <c r="P246" s="180"/>
      <c r="Q246" s="180">
        <v>6000000</v>
      </c>
      <c r="R246" s="181">
        <f t="shared" si="91"/>
        <v>4.5688178183894914</v>
      </c>
      <c r="S246" s="181">
        <v>100</v>
      </c>
      <c r="T246" s="180">
        <f t="shared" si="92"/>
        <v>0</v>
      </c>
      <c r="U246" s="180">
        <f t="shared" si="93"/>
        <v>0</v>
      </c>
      <c r="V246" s="182">
        <f t="shared" si="87"/>
        <v>100</v>
      </c>
      <c r="W246" s="180"/>
      <c r="X246" s="180"/>
      <c r="Y246" s="180"/>
      <c r="Z246" s="180"/>
      <c r="AA246" s="180"/>
      <c r="AB246" s="180"/>
      <c r="AC246" s="180"/>
      <c r="AD246" s="180"/>
      <c r="AE246" s="180"/>
      <c r="AF246" s="180"/>
      <c r="AG246" s="180"/>
      <c r="AH246" s="180"/>
      <c r="AI246" s="180">
        <v>0</v>
      </c>
      <c r="AJ246" s="181">
        <f t="shared" si="94"/>
        <v>0</v>
      </c>
      <c r="AK246" s="180">
        <f t="shared" ref="AK246:AK247" si="95">Q246-AI246</f>
        <v>6000000</v>
      </c>
      <c r="AL246" s="181">
        <f t="shared" si="84"/>
        <v>100</v>
      </c>
      <c r="AM246" s="243"/>
    </row>
    <row r="247" spans="1:39" ht="24.75" customHeight="1" x14ac:dyDescent="0.25">
      <c r="A247" s="243"/>
      <c r="B247" s="410"/>
      <c r="C247" s="410"/>
      <c r="D247" s="410"/>
      <c r="E247" s="410"/>
      <c r="F247" s="410"/>
      <c r="G247" s="410"/>
      <c r="H247" s="410"/>
      <c r="I247" s="411"/>
      <c r="J247" s="410" t="s">
        <v>598</v>
      </c>
      <c r="K247" s="245"/>
      <c r="L247" s="257"/>
      <c r="M247" s="621" t="s">
        <v>550</v>
      </c>
      <c r="N247" s="622"/>
      <c r="O247" s="299"/>
      <c r="P247" s="180"/>
      <c r="Q247" s="180">
        <v>12000000</v>
      </c>
      <c r="R247" s="181">
        <f t="shared" si="91"/>
        <v>9.1376356367789828</v>
      </c>
      <c r="S247" s="181">
        <v>100</v>
      </c>
      <c r="T247" s="180">
        <f t="shared" si="92"/>
        <v>33.333333333333329</v>
      </c>
      <c r="U247" s="180">
        <f t="shared" si="93"/>
        <v>3.045878545592994</v>
      </c>
      <c r="V247" s="182">
        <f t="shared" si="87"/>
        <v>66.666666666666671</v>
      </c>
      <c r="W247" s="180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>
        <f>3000000+1000000</f>
        <v>4000000</v>
      </c>
      <c r="AJ247" s="181">
        <f t="shared" si="94"/>
        <v>33.333333333333329</v>
      </c>
      <c r="AK247" s="180">
        <f t="shared" si="95"/>
        <v>8000000</v>
      </c>
      <c r="AL247" s="181">
        <f t="shared" si="84"/>
        <v>66.666666666666657</v>
      </c>
      <c r="AM247" s="243"/>
    </row>
    <row r="248" spans="1:39" s="226" customFormat="1" ht="27.75" customHeight="1" x14ac:dyDescent="0.25">
      <c r="A248" s="289" t="s">
        <v>38</v>
      </c>
      <c r="B248" s="607" t="s">
        <v>145</v>
      </c>
      <c r="C248" s="607"/>
      <c r="D248" s="607"/>
      <c r="E248" s="607"/>
      <c r="F248" s="607"/>
      <c r="G248" s="607"/>
      <c r="H248" s="607"/>
      <c r="I248" s="608"/>
      <c r="J248" s="416" t="s">
        <v>473</v>
      </c>
      <c r="K248" s="291"/>
      <c r="L248" s="607" t="s">
        <v>39</v>
      </c>
      <c r="M248" s="607"/>
      <c r="N248" s="608"/>
      <c r="O248" s="263" t="e">
        <f>SUM(O249:O680)</f>
        <v>#REF!</v>
      </c>
      <c r="P248" s="263" t="e">
        <f>SUM(P249:P680)</f>
        <v>#REF!</v>
      </c>
      <c r="Q248" s="263">
        <f>SUM(Q249+Q264+Q275+Q287+Q297+Q309+Q317+Q325+Q332+Q339+Q350+Q356+Q364+Q377+Q387+Q400+Q408+Q422+Q425+Q436+Q447+Q457+Q466+Q476+Q483+Q490+Q495+Q504+Q511+Q523+Q530+Q542+Q553+Q562+Q572+Q585+Q594+Q608+Q618+Q627+Q637+Q644+Q659+Q673)</f>
        <v>11927844735</v>
      </c>
      <c r="R248" s="222">
        <f>Q248/Q$35*100</f>
        <v>37.525168166976002</v>
      </c>
      <c r="S248" s="222">
        <f>S249</f>
        <v>100</v>
      </c>
      <c r="T248" s="263">
        <f>AJ248</f>
        <v>26.956659274455252</v>
      </c>
      <c r="U248" s="308">
        <f t="shared" si="90"/>
        <v>10.115531724938066</v>
      </c>
      <c r="V248" s="292">
        <f t="shared" si="87"/>
        <v>73.043340725544752</v>
      </c>
      <c r="W248" s="263">
        <f t="shared" ref="W248:AH248" si="96">SUM(W249:W680)</f>
        <v>0</v>
      </c>
      <c r="X248" s="263" t="e">
        <f t="shared" si="96"/>
        <v>#REF!</v>
      </c>
      <c r="Y248" s="263" t="e">
        <f t="shared" si="96"/>
        <v>#REF!</v>
      </c>
      <c r="Z248" s="263" t="e">
        <f t="shared" si="96"/>
        <v>#REF!</v>
      </c>
      <c r="AA248" s="263" t="e">
        <f t="shared" si="96"/>
        <v>#REF!</v>
      </c>
      <c r="AB248" s="263">
        <f t="shared" si="96"/>
        <v>4302660235</v>
      </c>
      <c r="AC248" s="263" t="e">
        <f t="shared" si="96"/>
        <v>#REF!</v>
      </c>
      <c r="AD248" s="263" t="e">
        <f t="shared" si="96"/>
        <v>#REF!</v>
      </c>
      <c r="AE248" s="263" t="e">
        <f t="shared" si="96"/>
        <v>#REF!</v>
      </c>
      <c r="AF248" s="263" t="e">
        <f t="shared" si="96"/>
        <v>#REF!</v>
      </c>
      <c r="AG248" s="263" t="e">
        <f t="shared" si="96"/>
        <v>#REF!</v>
      </c>
      <c r="AH248" s="263" t="e">
        <f t="shared" si="96"/>
        <v>#REF!</v>
      </c>
      <c r="AI248" s="263">
        <f>SUM(AI249+AI264+AI275+AI287+AI297+AI309+AI317+AI325+AI332+AI339+AI350+AI356+AI364+AI377+AI387+AI400+AI408+AI422+AI425+AI436+AI447+AI457+AI466+AI476+AI483+AI490+AI495+AI504+AI511+AI523+AI530+AI542+AI553+AI562+AI572+AI585+AI594+AI608+AI618+AI627+AI637+AI644+AI659+AI673)</f>
        <v>3215348464</v>
      </c>
      <c r="AJ248" s="222">
        <f>AI248/Q248*100</f>
        <v>26.956659274455252</v>
      </c>
      <c r="AK248" s="263">
        <f>SUM(Q248-AI248)</f>
        <v>8712496271</v>
      </c>
      <c r="AL248" s="222">
        <f t="shared" si="84"/>
        <v>73.043340725544752</v>
      </c>
      <c r="AM248" s="289"/>
    </row>
    <row r="249" spans="1:39" s="297" customFormat="1" ht="24.75" customHeight="1" x14ac:dyDescent="0.25">
      <c r="A249" s="227">
        <f>A241+1</f>
        <v>36</v>
      </c>
      <c r="B249" s="615" t="s">
        <v>146</v>
      </c>
      <c r="C249" s="615"/>
      <c r="D249" s="615"/>
      <c r="E249" s="615"/>
      <c r="F249" s="615"/>
      <c r="G249" s="615"/>
      <c r="H249" s="615"/>
      <c r="I249" s="614"/>
      <c r="J249" s="304" t="s">
        <v>479</v>
      </c>
      <c r="K249" s="230"/>
      <c r="L249" s="294"/>
      <c r="M249" s="609" t="s">
        <v>40</v>
      </c>
      <c r="N249" s="609"/>
      <c r="O249" s="309">
        <v>628725000</v>
      </c>
      <c r="P249" s="231">
        <f>O249</f>
        <v>628725000</v>
      </c>
      <c r="Q249" s="231">
        <f>SUM(Q250:Q263)</f>
        <v>462073720</v>
      </c>
      <c r="R249" s="233">
        <f>Q249/Q$248*100</f>
        <v>3.8739079042849394</v>
      </c>
      <c r="S249" s="233">
        <v>100</v>
      </c>
      <c r="T249" s="231">
        <f t="shared" si="82"/>
        <v>33.045268187941957</v>
      </c>
      <c r="U249" s="231">
        <f t="shared" si="90"/>
        <v>1.2801432563248401</v>
      </c>
      <c r="V249" s="296">
        <f t="shared" si="87"/>
        <v>66.954731812058043</v>
      </c>
      <c r="W249" s="231"/>
      <c r="X249" s="231" t="e">
        <f>#REF!</f>
        <v>#REF!</v>
      </c>
      <c r="Y249" s="231" t="e">
        <f>#REF!</f>
        <v>#REF!</v>
      </c>
      <c r="Z249" s="231" t="e">
        <f>#REF!</f>
        <v>#REF!</v>
      </c>
      <c r="AA249" s="231" t="e">
        <f>#REF!</f>
        <v>#REF!</v>
      </c>
      <c r="AB249" s="231">
        <v>391775000</v>
      </c>
      <c r="AC249" s="231" t="e">
        <f>#REF!</f>
        <v>#REF!</v>
      </c>
      <c r="AD249" s="231" t="e">
        <f>#REF!</f>
        <v>#REF!</v>
      </c>
      <c r="AE249" s="231" t="e">
        <f>#REF!</f>
        <v>#REF!</v>
      </c>
      <c r="AF249" s="231" t="e">
        <f>[1]April!N54</f>
        <v>#REF!</v>
      </c>
      <c r="AG249" s="231" t="e">
        <f>[2]april!N54</f>
        <v>#REF!</v>
      </c>
      <c r="AH249" s="231">
        <f>'[3]DES SKPD'!$N54</f>
        <v>508172500</v>
      </c>
      <c r="AI249" s="231">
        <f>SUM(AI250:AI263)</f>
        <v>152693500</v>
      </c>
      <c r="AJ249" s="233">
        <f t="shared" si="83"/>
        <v>33.045268187941957</v>
      </c>
      <c r="AK249" s="231">
        <f t="shared" ref="AK249:AK312" si="97">Q249-AI249</f>
        <v>309380220</v>
      </c>
      <c r="AL249" s="233">
        <f t="shared" si="84"/>
        <v>66.954731812058043</v>
      </c>
      <c r="AM249" s="227"/>
    </row>
    <row r="250" spans="1:39" ht="28.5" customHeight="1" x14ac:dyDescent="0.25">
      <c r="A250" s="243"/>
      <c r="B250" s="410"/>
      <c r="C250" s="410"/>
      <c r="D250" s="410"/>
      <c r="E250" s="410"/>
      <c r="F250" s="410"/>
      <c r="G250" s="410"/>
      <c r="H250" s="410"/>
      <c r="I250" s="411"/>
      <c r="J250" s="410" t="s">
        <v>259</v>
      </c>
      <c r="K250" s="245"/>
      <c r="L250" s="257"/>
      <c r="M250" s="591" t="s">
        <v>260</v>
      </c>
      <c r="N250" s="592"/>
      <c r="O250" s="179"/>
      <c r="P250" s="180"/>
      <c r="Q250" s="180">
        <v>3080000</v>
      </c>
      <c r="R250" s="181">
        <f t="shared" ref="R250:R261" si="98">Q250/Q$249*100</f>
        <v>0.66656030557202006</v>
      </c>
      <c r="S250" s="181">
        <v>100</v>
      </c>
      <c r="T250" s="180">
        <f>AJ250</f>
        <v>24.350649350649352</v>
      </c>
      <c r="U250" s="180">
        <f t="shared" si="90"/>
        <v>0.16231176272045944</v>
      </c>
      <c r="V250" s="182">
        <f t="shared" si="87"/>
        <v>75.649350649350652</v>
      </c>
      <c r="W250" s="180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180"/>
      <c r="AI250" s="180">
        <v>750000</v>
      </c>
      <c r="AJ250" s="181">
        <f t="shared" si="83"/>
        <v>24.350649350649352</v>
      </c>
      <c r="AK250" s="180">
        <f t="shared" si="97"/>
        <v>2330000</v>
      </c>
      <c r="AL250" s="181">
        <f t="shared" si="84"/>
        <v>75.649350649350637</v>
      </c>
      <c r="AM250" s="243"/>
    </row>
    <row r="251" spans="1:39" ht="24.75" customHeight="1" x14ac:dyDescent="0.25">
      <c r="A251" s="243"/>
      <c r="B251" s="410"/>
      <c r="C251" s="410"/>
      <c r="D251" s="410"/>
      <c r="E251" s="410"/>
      <c r="F251" s="410"/>
      <c r="G251" s="410"/>
      <c r="H251" s="410"/>
      <c r="I251" s="411"/>
      <c r="J251" s="410" t="s">
        <v>326</v>
      </c>
      <c r="K251" s="245"/>
      <c r="L251" s="257"/>
      <c r="M251" s="591" t="s">
        <v>327</v>
      </c>
      <c r="N251" s="592"/>
      <c r="O251" s="179"/>
      <c r="P251" s="180"/>
      <c r="Q251" s="180">
        <v>128800000</v>
      </c>
      <c r="R251" s="181">
        <f t="shared" si="98"/>
        <v>27.874340051193563</v>
      </c>
      <c r="S251" s="181">
        <v>100</v>
      </c>
      <c r="T251" s="180">
        <f t="shared" si="82"/>
        <v>50</v>
      </c>
      <c r="U251" s="180">
        <f t="shared" si="90"/>
        <v>13.937170025596782</v>
      </c>
      <c r="V251" s="182">
        <f t="shared" si="87"/>
        <v>50</v>
      </c>
      <c r="W251" s="180"/>
      <c r="X251" s="180"/>
      <c r="Y251" s="180"/>
      <c r="Z251" s="180"/>
      <c r="AA251" s="180"/>
      <c r="AB251" s="180"/>
      <c r="AC251" s="180"/>
      <c r="AD251" s="180"/>
      <c r="AE251" s="180"/>
      <c r="AF251" s="180"/>
      <c r="AG251" s="180"/>
      <c r="AH251" s="180"/>
      <c r="AI251" s="180">
        <v>64400000</v>
      </c>
      <c r="AJ251" s="181">
        <f t="shared" si="83"/>
        <v>50</v>
      </c>
      <c r="AK251" s="180">
        <f t="shared" si="97"/>
        <v>64400000</v>
      </c>
      <c r="AL251" s="181">
        <f t="shared" si="84"/>
        <v>50</v>
      </c>
      <c r="AM251" s="243"/>
    </row>
    <row r="252" spans="1:39" ht="24.75" customHeight="1" x14ac:dyDescent="0.25">
      <c r="A252" s="243"/>
      <c r="B252" s="410"/>
      <c r="C252" s="410"/>
      <c r="D252" s="410"/>
      <c r="E252" s="410"/>
      <c r="F252" s="410"/>
      <c r="G252" s="410"/>
      <c r="H252" s="410"/>
      <c r="I252" s="411"/>
      <c r="J252" s="410" t="s">
        <v>323</v>
      </c>
      <c r="K252" s="245"/>
      <c r="L252" s="257"/>
      <c r="M252" s="591" t="s">
        <v>324</v>
      </c>
      <c r="N252" s="592"/>
      <c r="O252" s="179"/>
      <c r="P252" s="180"/>
      <c r="Q252" s="180">
        <v>3000000</v>
      </c>
      <c r="R252" s="181">
        <f t="shared" si="98"/>
        <v>0.64924705088183765</v>
      </c>
      <c r="S252" s="181">
        <v>100</v>
      </c>
      <c r="T252" s="180">
        <f t="shared" si="82"/>
        <v>0</v>
      </c>
      <c r="U252" s="180">
        <f t="shared" si="90"/>
        <v>0</v>
      </c>
      <c r="V252" s="182">
        <f t="shared" si="87"/>
        <v>100</v>
      </c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180"/>
      <c r="AI252" s="180">
        <v>0</v>
      </c>
      <c r="AJ252" s="181">
        <f t="shared" si="83"/>
        <v>0</v>
      </c>
      <c r="AK252" s="180">
        <f t="shared" si="97"/>
        <v>3000000</v>
      </c>
      <c r="AL252" s="181">
        <f t="shared" si="84"/>
        <v>100</v>
      </c>
      <c r="AM252" s="243"/>
    </row>
    <row r="253" spans="1:39" ht="24.75" customHeight="1" x14ac:dyDescent="0.25">
      <c r="A253" s="243"/>
      <c r="B253" s="410"/>
      <c r="C253" s="410"/>
      <c r="D253" s="410"/>
      <c r="E253" s="410"/>
      <c r="F253" s="410"/>
      <c r="G253" s="410"/>
      <c r="H253" s="410"/>
      <c r="I253" s="411"/>
      <c r="J253" s="410" t="s">
        <v>269</v>
      </c>
      <c r="K253" s="245"/>
      <c r="L253" s="257"/>
      <c r="M253" s="591" t="s">
        <v>270</v>
      </c>
      <c r="N253" s="592"/>
      <c r="O253" s="179"/>
      <c r="P253" s="180"/>
      <c r="Q253" s="180">
        <v>52000000</v>
      </c>
      <c r="R253" s="181">
        <f t="shared" si="98"/>
        <v>11.253615548618519</v>
      </c>
      <c r="S253" s="181">
        <v>100</v>
      </c>
      <c r="T253" s="180">
        <f t="shared" si="82"/>
        <v>9.6153846153846168</v>
      </c>
      <c r="U253" s="180">
        <f t="shared" si="90"/>
        <v>1.0820784181363963</v>
      </c>
      <c r="V253" s="182">
        <f t="shared" si="87"/>
        <v>90.384615384615387</v>
      </c>
      <c r="W253" s="180"/>
      <c r="X253" s="180"/>
      <c r="Y253" s="180"/>
      <c r="Z253" s="180"/>
      <c r="AA253" s="180"/>
      <c r="AB253" s="180"/>
      <c r="AC253" s="180"/>
      <c r="AD253" s="180"/>
      <c r="AE253" s="180"/>
      <c r="AF253" s="180"/>
      <c r="AG253" s="180"/>
      <c r="AH253" s="180"/>
      <c r="AI253" s="180">
        <v>5000000</v>
      </c>
      <c r="AJ253" s="181">
        <f t="shared" si="83"/>
        <v>9.6153846153846168</v>
      </c>
      <c r="AK253" s="180">
        <f t="shared" si="97"/>
        <v>47000000</v>
      </c>
      <c r="AL253" s="181">
        <f t="shared" si="84"/>
        <v>90.384615384615387</v>
      </c>
      <c r="AM253" s="243"/>
    </row>
    <row r="254" spans="1:39" ht="24.75" customHeight="1" x14ac:dyDescent="0.25">
      <c r="A254" s="243"/>
      <c r="B254" s="410"/>
      <c r="C254" s="410"/>
      <c r="D254" s="410"/>
      <c r="E254" s="410"/>
      <c r="F254" s="410"/>
      <c r="G254" s="410"/>
      <c r="H254" s="410"/>
      <c r="I254" s="411"/>
      <c r="J254" s="410" t="s">
        <v>315</v>
      </c>
      <c r="K254" s="245"/>
      <c r="L254" s="257"/>
      <c r="M254" s="591" t="s">
        <v>271</v>
      </c>
      <c r="N254" s="592"/>
      <c r="O254" s="179"/>
      <c r="P254" s="180"/>
      <c r="Q254" s="180">
        <v>4000000</v>
      </c>
      <c r="R254" s="181">
        <f t="shared" si="98"/>
        <v>0.8656627345091169</v>
      </c>
      <c r="S254" s="181">
        <v>100</v>
      </c>
      <c r="T254" s="180">
        <f t="shared" si="82"/>
        <v>50</v>
      </c>
      <c r="U254" s="180">
        <f t="shared" si="90"/>
        <v>0.43283136725455845</v>
      </c>
      <c r="V254" s="182">
        <f t="shared" si="87"/>
        <v>50</v>
      </c>
      <c r="W254" s="180"/>
      <c r="X254" s="180"/>
      <c r="Y254" s="180"/>
      <c r="Z254" s="180"/>
      <c r="AA254" s="180"/>
      <c r="AB254" s="180"/>
      <c r="AC254" s="180"/>
      <c r="AD254" s="180"/>
      <c r="AE254" s="180"/>
      <c r="AF254" s="180"/>
      <c r="AG254" s="180"/>
      <c r="AH254" s="180"/>
      <c r="AI254" s="180">
        <v>2000000</v>
      </c>
      <c r="AJ254" s="181">
        <f t="shared" si="83"/>
        <v>50</v>
      </c>
      <c r="AK254" s="180">
        <f t="shared" si="97"/>
        <v>2000000</v>
      </c>
      <c r="AL254" s="181">
        <f t="shared" si="84"/>
        <v>50</v>
      </c>
      <c r="AM254" s="243"/>
    </row>
    <row r="255" spans="1:39" ht="24.75" customHeight="1" x14ac:dyDescent="0.25">
      <c r="A255" s="243"/>
      <c r="B255" s="410"/>
      <c r="C255" s="410"/>
      <c r="D255" s="410"/>
      <c r="E255" s="410"/>
      <c r="F255" s="410"/>
      <c r="G255" s="410"/>
      <c r="H255" s="410"/>
      <c r="I255" s="411"/>
      <c r="J255" s="410" t="s">
        <v>328</v>
      </c>
      <c r="K255" s="245"/>
      <c r="L255" s="257"/>
      <c r="M255" s="591" t="s">
        <v>329</v>
      </c>
      <c r="N255" s="592"/>
      <c r="O255" s="179"/>
      <c r="P255" s="180"/>
      <c r="Q255" s="180">
        <v>20000000</v>
      </c>
      <c r="R255" s="181">
        <f t="shared" si="98"/>
        <v>4.3283136725455842</v>
      </c>
      <c r="S255" s="181">
        <v>100</v>
      </c>
      <c r="T255" s="180">
        <f t="shared" si="82"/>
        <v>50</v>
      </c>
      <c r="U255" s="180">
        <f t="shared" si="90"/>
        <v>2.1641568362727921</v>
      </c>
      <c r="V255" s="182">
        <f t="shared" si="87"/>
        <v>50</v>
      </c>
      <c r="W255" s="180"/>
      <c r="X255" s="180"/>
      <c r="Y255" s="180"/>
      <c r="Z255" s="180"/>
      <c r="AA255" s="180"/>
      <c r="AB255" s="180"/>
      <c r="AC255" s="180"/>
      <c r="AD255" s="180"/>
      <c r="AE255" s="180"/>
      <c r="AF255" s="180"/>
      <c r="AG255" s="180"/>
      <c r="AH255" s="180"/>
      <c r="AI255" s="180">
        <v>10000000</v>
      </c>
      <c r="AJ255" s="181">
        <f t="shared" si="83"/>
        <v>50</v>
      </c>
      <c r="AK255" s="180">
        <f t="shared" si="97"/>
        <v>10000000</v>
      </c>
      <c r="AL255" s="181">
        <f t="shared" si="84"/>
        <v>50</v>
      </c>
      <c r="AM255" s="243"/>
    </row>
    <row r="256" spans="1:39" ht="31.5" customHeight="1" x14ac:dyDescent="0.25">
      <c r="A256" s="243"/>
      <c r="B256" s="410"/>
      <c r="C256" s="410"/>
      <c r="D256" s="410"/>
      <c r="E256" s="410"/>
      <c r="F256" s="410"/>
      <c r="G256" s="410"/>
      <c r="H256" s="410"/>
      <c r="I256" s="411"/>
      <c r="J256" s="410" t="s">
        <v>318</v>
      </c>
      <c r="K256" s="245"/>
      <c r="L256" s="257"/>
      <c r="M256" s="591" t="s">
        <v>319</v>
      </c>
      <c r="N256" s="592"/>
      <c r="O256" s="179"/>
      <c r="P256" s="180"/>
      <c r="Q256" s="180">
        <v>61500000</v>
      </c>
      <c r="R256" s="181">
        <f t="shared" si="98"/>
        <v>13.30956454307767</v>
      </c>
      <c r="S256" s="181">
        <v>100</v>
      </c>
      <c r="T256" s="180">
        <f t="shared" si="82"/>
        <v>78.455284552845526</v>
      </c>
      <c r="U256" s="180">
        <f t="shared" si="90"/>
        <v>10.442056735016219</v>
      </c>
      <c r="V256" s="182">
        <f t="shared" si="87"/>
        <v>21.544715447154474</v>
      </c>
      <c r="W256" s="180"/>
      <c r="X256" s="180"/>
      <c r="Y256" s="180"/>
      <c r="Z256" s="180"/>
      <c r="AA256" s="180"/>
      <c r="AB256" s="180"/>
      <c r="AC256" s="180"/>
      <c r="AD256" s="180"/>
      <c r="AE256" s="180"/>
      <c r="AF256" s="180"/>
      <c r="AG256" s="180"/>
      <c r="AH256" s="180"/>
      <c r="AI256" s="180">
        <v>48250000</v>
      </c>
      <c r="AJ256" s="181">
        <f t="shared" si="83"/>
        <v>78.455284552845526</v>
      </c>
      <c r="AK256" s="180">
        <f t="shared" si="97"/>
        <v>13250000</v>
      </c>
      <c r="AL256" s="181">
        <f t="shared" si="84"/>
        <v>21.544715447154474</v>
      </c>
      <c r="AM256" s="243"/>
    </row>
    <row r="257" spans="1:39" ht="24.75" customHeight="1" x14ac:dyDescent="0.25">
      <c r="A257" s="243"/>
      <c r="B257" s="410"/>
      <c r="C257" s="410"/>
      <c r="D257" s="410"/>
      <c r="E257" s="410"/>
      <c r="F257" s="410"/>
      <c r="G257" s="410"/>
      <c r="H257" s="410"/>
      <c r="I257" s="411"/>
      <c r="J257" s="410" t="s">
        <v>280</v>
      </c>
      <c r="K257" s="245"/>
      <c r="L257" s="257"/>
      <c r="M257" s="591" t="s">
        <v>281</v>
      </c>
      <c r="N257" s="592"/>
      <c r="O257" s="179"/>
      <c r="P257" s="180"/>
      <c r="Q257" s="180">
        <v>15000000</v>
      </c>
      <c r="R257" s="181">
        <f t="shared" si="98"/>
        <v>3.2462352544091884</v>
      </c>
      <c r="S257" s="181">
        <v>100</v>
      </c>
      <c r="T257" s="180">
        <f t="shared" si="82"/>
        <v>0</v>
      </c>
      <c r="U257" s="180">
        <f t="shared" si="90"/>
        <v>0</v>
      </c>
      <c r="V257" s="182">
        <f t="shared" si="87"/>
        <v>100</v>
      </c>
      <c r="W257" s="180"/>
      <c r="X257" s="180"/>
      <c r="Y257" s="180"/>
      <c r="Z257" s="180"/>
      <c r="AA257" s="180"/>
      <c r="AB257" s="180"/>
      <c r="AC257" s="180"/>
      <c r="AD257" s="180"/>
      <c r="AE257" s="180"/>
      <c r="AF257" s="180"/>
      <c r="AG257" s="180"/>
      <c r="AH257" s="180"/>
      <c r="AI257" s="180">
        <v>0</v>
      </c>
      <c r="AJ257" s="181">
        <f t="shared" si="83"/>
        <v>0</v>
      </c>
      <c r="AK257" s="180">
        <f t="shared" si="97"/>
        <v>15000000</v>
      </c>
      <c r="AL257" s="181">
        <f t="shared" si="84"/>
        <v>100</v>
      </c>
      <c r="AM257" s="243"/>
    </row>
    <row r="258" spans="1:39" ht="24.75" customHeight="1" x14ac:dyDescent="0.25">
      <c r="A258" s="243"/>
      <c r="B258" s="410"/>
      <c r="C258" s="410"/>
      <c r="D258" s="410"/>
      <c r="E258" s="410"/>
      <c r="F258" s="410"/>
      <c r="G258" s="410"/>
      <c r="H258" s="410"/>
      <c r="I258" s="411"/>
      <c r="J258" s="410" t="s">
        <v>284</v>
      </c>
      <c r="K258" s="245"/>
      <c r="L258" s="257"/>
      <c r="M258" s="591" t="s">
        <v>285</v>
      </c>
      <c r="N258" s="592"/>
      <c r="O258" s="179"/>
      <c r="P258" s="180"/>
      <c r="Q258" s="180">
        <v>6600000</v>
      </c>
      <c r="R258" s="181">
        <f t="shared" si="98"/>
        <v>1.4283435119400427</v>
      </c>
      <c r="S258" s="181">
        <v>100</v>
      </c>
      <c r="T258" s="180">
        <f t="shared" si="82"/>
        <v>0</v>
      </c>
      <c r="U258" s="180">
        <f t="shared" si="90"/>
        <v>0</v>
      </c>
      <c r="V258" s="182">
        <f t="shared" si="87"/>
        <v>100</v>
      </c>
      <c r="W258" s="180"/>
      <c r="X258" s="180"/>
      <c r="Y258" s="180"/>
      <c r="Z258" s="180"/>
      <c r="AA258" s="180"/>
      <c r="AB258" s="180"/>
      <c r="AC258" s="180"/>
      <c r="AD258" s="180"/>
      <c r="AE258" s="180"/>
      <c r="AF258" s="180"/>
      <c r="AG258" s="180"/>
      <c r="AH258" s="180"/>
      <c r="AI258" s="180">
        <v>0</v>
      </c>
      <c r="AJ258" s="181">
        <f t="shared" si="83"/>
        <v>0</v>
      </c>
      <c r="AK258" s="180">
        <f t="shared" si="97"/>
        <v>6600000</v>
      </c>
      <c r="AL258" s="181">
        <f t="shared" si="84"/>
        <v>100</v>
      </c>
      <c r="AM258" s="243"/>
    </row>
    <row r="259" spans="1:39" ht="24.75" customHeight="1" x14ac:dyDescent="0.25">
      <c r="A259" s="243"/>
      <c r="B259" s="410"/>
      <c r="C259" s="410"/>
      <c r="D259" s="410"/>
      <c r="E259" s="410"/>
      <c r="F259" s="410"/>
      <c r="G259" s="410"/>
      <c r="H259" s="410"/>
      <c r="I259" s="411"/>
      <c r="J259" s="410" t="s">
        <v>282</v>
      </c>
      <c r="K259" s="245"/>
      <c r="L259" s="257"/>
      <c r="M259" s="591" t="s">
        <v>283</v>
      </c>
      <c r="N259" s="592"/>
      <c r="O259" s="179"/>
      <c r="P259" s="180"/>
      <c r="Q259" s="180">
        <v>33250000</v>
      </c>
      <c r="R259" s="181">
        <f t="shared" si="98"/>
        <v>7.1958214806070337</v>
      </c>
      <c r="S259" s="181">
        <v>100</v>
      </c>
      <c r="T259" s="180">
        <f t="shared" si="82"/>
        <v>46.145864661654137</v>
      </c>
      <c r="U259" s="180">
        <f t="shared" si="90"/>
        <v>3.3205740417351586</v>
      </c>
      <c r="V259" s="182">
        <f t="shared" si="87"/>
        <v>53.854135338345863</v>
      </c>
      <c r="W259" s="180"/>
      <c r="X259" s="180"/>
      <c r="Y259" s="180"/>
      <c r="Z259" s="180"/>
      <c r="AA259" s="180"/>
      <c r="AB259" s="180"/>
      <c r="AC259" s="180"/>
      <c r="AD259" s="180"/>
      <c r="AE259" s="180"/>
      <c r="AF259" s="180"/>
      <c r="AG259" s="180"/>
      <c r="AH259" s="180"/>
      <c r="AI259" s="180">
        <v>15343500</v>
      </c>
      <c r="AJ259" s="181">
        <f t="shared" si="83"/>
        <v>46.145864661654137</v>
      </c>
      <c r="AK259" s="180">
        <f t="shared" si="97"/>
        <v>17906500</v>
      </c>
      <c r="AL259" s="181">
        <f t="shared" si="84"/>
        <v>53.854135338345863</v>
      </c>
      <c r="AM259" s="243"/>
    </row>
    <row r="260" spans="1:39" ht="24.75" customHeight="1" x14ac:dyDescent="0.25">
      <c r="A260" s="243"/>
      <c r="B260" s="410"/>
      <c r="C260" s="410"/>
      <c r="D260" s="410"/>
      <c r="E260" s="410"/>
      <c r="F260" s="410"/>
      <c r="G260" s="410"/>
      <c r="H260" s="410"/>
      <c r="I260" s="411"/>
      <c r="J260" s="410" t="s">
        <v>306</v>
      </c>
      <c r="K260" s="245"/>
      <c r="L260" s="257"/>
      <c r="M260" s="591" t="s">
        <v>325</v>
      </c>
      <c r="N260" s="592"/>
      <c r="O260" s="179"/>
      <c r="P260" s="180"/>
      <c r="Q260" s="180">
        <v>45000000</v>
      </c>
      <c r="R260" s="181">
        <f t="shared" si="98"/>
        <v>9.7387057632275642</v>
      </c>
      <c r="S260" s="181">
        <v>100</v>
      </c>
      <c r="T260" s="180">
        <f t="shared" si="82"/>
        <v>0</v>
      </c>
      <c r="U260" s="180">
        <f t="shared" si="90"/>
        <v>0</v>
      </c>
      <c r="V260" s="182">
        <f t="shared" si="87"/>
        <v>100</v>
      </c>
      <c r="W260" s="180"/>
      <c r="X260" s="180"/>
      <c r="Y260" s="180"/>
      <c r="Z260" s="180"/>
      <c r="AA260" s="180"/>
      <c r="AB260" s="180"/>
      <c r="AC260" s="180"/>
      <c r="AD260" s="180"/>
      <c r="AE260" s="180"/>
      <c r="AF260" s="180"/>
      <c r="AG260" s="180"/>
      <c r="AH260" s="180"/>
      <c r="AI260" s="180">
        <v>0</v>
      </c>
      <c r="AJ260" s="181">
        <f t="shared" si="83"/>
        <v>0</v>
      </c>
      <c r="AK260" s="180">
        <f t="shared" si="97"/>
        <v>45000000</v>
      </c>
      <c r="AL260" s="181">
        <f t="shared" si="84"/>
        <v>100</v>
      </c>
      <c r="AM260" s="243"/>
    </row>
    <row r="261" spans="1:39" ht="24.75" customHeight="1" x14ac:dyDescent="0.25">
      <c r="A261" s="243"/>
      <c r="B261" s="410"/>
      <c r="C261" s="410"/>
      <c r="D261" s="410"/>
      <c r="E261" s="410"/>
      <c r="F261" s="410"/>
      <c r="G261" s="410"/>
      <c r="H261" s="410"/>
      <c r="I261" s="411"/>
      <c r="J261" s="410" t="s">
        <v>379</v>
      </c>
      <c r="K261" s="245"/>
      <c r="L261" s="257"/>
      <c r="M261" s="591" t="s">
        <v>601</v>
      </c>
      <c r="N261" s="592"/>
      <c r="O261" s="179"/>
      <c r="P261" s="180"/>
      <c r="Q261" s="180">
        <v>31843720</v>
      </c>
      <c r="R261" s="181">
        <f t="shared" si="98"/>
        <v>6.8914804330356638</v>
      </c>
      <c r="S261" s="181">
        <v>100</v>
      </c>
      <c r="T261" s="180">
        <f t="shared" si="82"/>
        <v>0</v>
      </c>
      <c r="U261" s="180">
        <f t="shared" si="90"/>
        <v>0</v>
      </c>
      <c r="V261" s="182">
        <f t="shared" si="87"/>
        <v>100</v>
      </c>
      <c r="W261" s="180"/>
      <c r="X261" s="180"/>
      <c r="Y261" s="180"/>
      <c r="Z261" s="180"/>
      <c r="AA261" s="180"/>
      <c r="AB261" s="180"/>
      <c r="AC261" s="180"/>
      <c r="AD261" s="180"/>
      <c r="AE261" s="180"/>
      <c r="AF261" s="180"/>
      <c r="AG261" s="180"/>
      <c r="AH261" s="180"/>
      <c r="AI261" s="180">
        <v>0</v>
      </c>
      <c r="AJ261" s="181">
        <f t="shared" si="83"/>
        <v>0</v>
      </c>
      <c r="AK261" s="180">
        <f t="shared" si="97"/>
        <v>31843720</v>
      </c>
      <c r="AL261" s="181">
        <f t="shared" si="84"/>
        <v>100</v>
      </c>
      <c r="AM261" s="243"/>
    </row>
    <row r="262" spans="1:39" ht="24.75" customHeight="1" x14ac:dyDescent="0.25">
      <c r="A262" s="243"/>
      <c r="B262" s="410"/>
      <c r="C262" s="410"/>
      <c r="D262" s="410"/>
      <c r="E262" s="410"/>
      <c r="F262" s="410"/>
      <c r="G262" s="410"/>
      <c r="H262" s="410"/>
      <c r="I262" s="411"/>
      <c r="J262" s="410" t="s">
        <v>380</v>
      </c>
      <c r="K262" s="245"/>
      <c r="L262" s="257"/>
      <c r="M262" s="591" t="s">
        <v>321</v>
      </c>
      <c r="N262" s="592"/>
      <c r="O262" s="179"/>
      <c r="P262" s="180"/>
      <c r="Q262" s="180">
        <v>40000000</v>
      </c>
      <c r="R262" s="181">
        <f>Q262/Q$249*100</f>
        <v>8.6566273450911684</v>
      </c>
      <c r="S262" s="181">
        <v>100</v>
      </c>
      <c r="T262" s="180">
        <f t="shared" si="82"/>
        <v>13.5</v>
      </c>
      <c r="U262" s="180">
        <f t="shared" si="90"/>
        <v>1.1686446915873077</v>
      </c>
      <c r="V262" s="182">
        <f t="shared" si="87"/>
        <v>86.5</v>
      </c>
      <c r="W262" s="180"/>
      <c r="X262" s="180"/>
      <c r="Y262" s="180"/>
      <c r="Z262" s="180"/>
      <c r="AA262" s="180"/>
      <c r="AB262" s="180"/>
      <c r="AC262" s="180"/>
      <c r="AD262" s="180"/>
      <c r="AE262" s="180"/>
      <c r="AF262" s="180"/>
      <c r="AG262" s="180"/>
      <c r="AH262" s="180"/>
      <c r="AI262" s="180">
        <v>5400000</v>
      </c>
      <c r="AJ262" s="181">
        <f t="shared" si="83"/>
        <v>13.5</v>
      </c>
      <c r="AK262" s="180">
        <f t="shared" si="97"/>
        <v>34600000</v>
      </c>
      <c r="AL262" s="181">
        <f t="shared" si="84"/>
        <v>86.5</v>
      </c>
      <c r="AM262" s="243"/>
    </row>
    <row r="263" spans="1:39" ht="24.75" customHeight="1" x14ac:dyDescent="0.25">
      <c r="A263" s="243"/>
      <c r="B263" s="410"/>
      <c r="C263" s="410"/>
      <c r="D263" s="410"/>
      <c r="E263" s="410"/>
      <c r="F263" s="410"/>
      <c r="G263" s="410"/>
      <c r="H263" s="410"/>
      <c r="I263" s="411"/>
      <c r="J263" s="410" t="s">
        <v>413</v>
      </c>
      <c r="K263" s="245"/>
      <c r="L263" s="257"/>
      <c r="M263" s="591" t="s">
        <v>414</v>
      </c>
      <c r="N263" s="592"/>
      <c r="O263" s="179"/>
      <c r="P263" s="180"/>
      <c r="Q263" s="180">
        <v>18000000</v>
      </c>
      <c r="R263" s="181">
        <f>Q263/Q$249*100</f>
        <v>3.8954823052910257</v>
      </c>
      <c r="S263" s="181">
        <v>100</v>
      </c>
      <c r="T263" s="180">
        <f t="shared" si="82"/>
        <v>8.6111111111111107</v>
      </c>
      <c r="U263" s="180">
        <f t="shared" si="90"/>
        <v>0.33544430962228278</v>
      </c>
      <c r="V263" s="182">
        <f t="shared" si="87"/>
        <v>91.388888888888886</v>
      </c>
      <c r="W263" s="180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180"/>
      <c r="AI263" s="180">
        <v>1550000</v>
      </c>
      <c r="AJ263" s="181">
        <f t="shared" si="83"/>
        <v>8.6111111111111107</v>
      </c>
      <c r="AK263" s="180">
        <f t="shared" si="97"/>
        <v>16450000</v>
      </c>
      <c r="AL263" s="181">
        <f t="shared" si="84"/>
        <v>91.388888888888886</v>
      </c>
      <c r="AM263" s="243"/>
    </row>
    <row r="264" spans="1:39" s="297" customFormat="1" ht="30.75" customHeight="1" x14ac:dyDescent="0.25">
      <c r="A264" s="227">
        <f>SUM(A249+1)</f>
        <v>37</v>
      </c>
      <c r="B264" s="415"/>
      <c r="C264" s="415"/>
      <c r="D264" s="415"/>
      <c r="E264" s="415"/>
      <c r="F264" s="415"/>
      <c r="G264" s="415"/>
      <c r="H264" s="415"/>
      <c r="I264" s="414"/>
      <c r="J264" s="304" t="s">
        <v>480</v>
      </c>
      <c r="K264" s="230"/>
      <c r="L264" s="294"/>
      <c r="M264" s="610" t="s">
        <v>338</v>
      </c>
      <c r="N264" s="612"/>
      <c r="O264" s="309"/>
      <c r="P264" s="231"/>
      <c r="Q264" s="231">
        <f>SUM(Q265:Q274)</f>
        <v>64057069</v>
      </c>
      <c r="R264" s="233">
        <f>Q264/Q$248*100</f>
        <v>0.53703808544754672</v>
      </c>
      <c r="S264" s="233">
        <v>100</v>
      </c>
      <c r="T264" s="231">
        <f t="shared" si="82"/>
        <v>0</v>
      </c>
      <c r="U264" s="231">
        <f>R264*T264/100</f>
        <v>0</v>
      </c>
      <c r="V264" s="296">
        <f t="shared" si="87"/>
        <v>100</v>
      </c>
      <c r="W264" s="231"/>
      <c r="X264" s="231" t="e">
        <f>#REF!</f>
        <v>#REF!</v>
      </c>
      <c r="Y264" s="231" t="e">
        <f>#REF!</f>
        <v>#REF!</v>
      </c>
      <c r="Z264" s="231" t="e">
        <f>#REF!</f>
        <v>#REF!</v>
      </c>
      <c r="AA264" s="231" t="e">
        <f>#REF!</f>
        <v>#REF!</v>
      </c>
      <c r="AB264" s="231">
        <v>391775001</v>
      </c>
      <c r="AC264" s="231" t="e">
        <f>#REF!</f>
        <v>#REF!</v>
      </c>
      <c r="AD264" s="231" t="e">
        <f>#REF!</f>
        <v>#REF!</v>
      </c>
      <c r="AE264" s="231" t="e">
        <f>#REF!</f>
        <v>#REF!</v>
      </c>
      <c r="AF264" s="231" t="e">
        <f>[1]April!N55</f>
        <v>#REF!</v>
      </c>
      <c r="AG264" s="231" t="e">
        <f>[2]april!N55</f>
        <v>#REF!</v>
      </c>
      <c r="AH264" s="231" t="e">
        <f>'[3]DES SKPD'!$N55</f>
        <v>#REF!</v>
      </c>
      <c r="AI264" s="231">
        <f>SUM(AI265:AI274)</f>
        <v>0</v>
      </c>
      <c r="AJ264" s="233">
        <f t="shared" si="83"/>
        <v>0</v>
      </c>
      <c r="AK264" s="231">
        <f t="shared" si="97"/>
        <v>64057069</v>
      </c>
      <c r="AL264" s="233">
        <f t="shared" si="84"/>
        <v>100</v>
      </c>
      <c r="AM264" s="227"/>
    </row>
    <row r="265" spans="1:39" ht="24.75" customHeight="1" x14ac:dyDescent="0.25">
      <c r="A265" s="243"/>
      <c r="B265" s="410"/>
      <c r="C265" s="410"/>
      <c r="D265" s="410"/>
      <c r="E265" s="410"/>
      <c r="F265" s="410"/>
      <c r="G265" s="410"/>
      <c r="H265" s="410"/>
      <c r="I265" s="411"/>
      <c r="J265" s="410" t="s">
        <v>326</v>
      </c>
      <c r="K265" s="245"/>
      <c r="L265" s="257"/>
      <c r="M265" s="591" t="s">
        <v>327</v>
      </c>
      <c r="N265" s="592"/>
      <c r="O265" s="179"/>
      <c r="P265" s="180"/>
      <c r="Q265" s="180">
        <v>15750000</v>
      </c>
      <c r="R265" s="181">
        <f>Q265/Q$264*100</f>
        <v>24.587450293737291</v>
      </c>
      <c r="S265" s="181">
        <v>100</v>
      </c>
      <c r="T265" s="180">
        <f t="shared" si="82"/>
        <v>0</v>
      </c>
      <c r="U265" s="180">
        <f t="shared" si="90"/>
        <v>0</v>
      </c>
      <c r="V265" s="182">
        <f t="shared" si="87"/>
        <v>100</v>
      </c>
      <c r="W265" s="180"/>
      <c r="X265" s="180"/>
      <c r="Y265" s="180"/>
      <c r="Z265" s="180"/>
      <c r="AA265" s="180"/>
      <c r="AB265" s="180"/>
      <c r="AC265" s="180"/>
      <c r="AD265" s="180"/>
      <c r="AE265" s="180"/>
      <c r="AF265" s="180"/>
      <c r="AG265" s="180"/>
      <c r="AH265" s="180"/>
      <c r="AI265" s="180">
        <v>0</v>
      </c>
      <c r="AJ265" s="181">
        <f t="shared" si="83"/>
        <v>0</v>
      </c>
      <c r="AK265" s="180">
        <f t="shared" si="97"/>
        <v>15750000</v>
      </c>
      <c r="AL265" s="181">
        <f t="shared" si="84"/>
        <v>100</v>
      </c>
      <c r="AM265" s="243"/>
    </row>
    <row r="266" spans="1:39" ht="24.75" customHeight="1" x14ac:dyDescent="0.25">
      <c r="A266" s="243"/>
      <c r="B266" s="410"/>
      <c r="C266" s="410"/>
      <c r="D266" s="410"/>
      <c r="E266" s="410"/>
      <c r="F266" s="410"/>
      <c r="G266" s="410"/>
      <c r="H266" s="410"/>
      <c r="I266" s="411"/>
      <c r="J266" s="410" t="s">
        <v>323</v>
      </c>
      <c r="K266" s="245"/>
      <c r="L266" s="257"/>
      <c r="M266" s="591" t="s">
        <v>324</v>
      </c>
      <c r="N266" s="592"/>
      <c r="O266" s="179"/>
      <c r="P266" s="180"/>
      <c r="Q266" s="180">
        <v>2468000</v>
      </c>
      <c r="R266" s="181">
        <f t="shared" ref="R266:R274" si="99">Q266/Q$264*100</f>
        <v>3.8528144333297552</v>
      </c>
      <c r="S266" s="181">
        <v>100</v>
      </c>
      <c r="T266" s="180">
        <f t="shared" si="82"/>
        <v>0</v>
      </c>
      <c r="U266" s="180">
        <f t="shared" si="90"/>
        <v>0</v>
      </c>
      <c r="V266" s="182">
        <f t="shared" si="87"/>
        <v>100</v>
      </c>
      <c r="W266" s="180"/>
      <c r="X266" s="180"/>
      <c r="Y266" s="180"/>
      <c r="Z266" s="180"/>
      <c r="AA266" s="180"/>
      <c r="AB266" s="180"/>
      <c r="AC266" s="180"/>
      <c r="AD266" s="180"/>
      <c r="AE266" s="180"/>
      <c r="AF266" s="180"/>
      <c r="AG266" s="180"/>
      <c r="AH266" s="180"/>
      <c r="AI266" s="180">
        <v>0</v>
      </c>
      <c r="AJ266" s="181">
        <f t="shared" si="83"/>
        <v>0</v>
      </c>
      <c r="AK266" s="180">
        <f t="shared" si="97"/>
        <v>2468000</v>
      </c>
      <c r="AL266" s="181">
        <f t="shared" si="84"/>
        <v>100</v>
      </c>
      <c r="AM266" s="243"/>
    </row>
    <row r="267" spans="1:39" ht="24.75" customHeight="1" x14ac:dyDescent="0.25">
      <c r="A267" s="243"/>
      <c r="B267" s="410"/>
      <c r="C267" s="410"/>
      <c r="D267" s="410"/>
      <c r="E267" s="410"/>
      <c r="F267" s="410"/>
      <c r="G267" s="410"/>
      <c r="H267" s="410"/>
      <c r="I267" s="411"/>
      <c r="J267" s="410" t="s">
        <v>269</v>
      </c>
      <c r="K267" s="245"/>
      <c r="L267" s="257"/>
      <c r="M267" s="591" t="s">
        <v>352</v>
      </c>
      <c r="N267" s="592"/>
      <c r="O267" s="179"/>
      <c r="P267" s="180"/>
      <c r="Q267" s="180">
        <v>3000000</v>
      </c>
      <c r="R267" s="181">
        <f t="shared" si="99"/>
        <v>4.6833238654737697</v>
      </c>
      <c r="S267" s="181">
        <v>100</v>
      </c>
      <c r="T267" s="180">
        <f t="shared" si="82"/>
        <v>0</v>
      </c>
      <c r="U267" s="180">
        <f t="shared" si="90"/>
        <v>0</v>
      </c>
      <c r="V267" s="182">
        <f t="shared" si="87"/>
        <v>100</v>
      </c>
      <c r="W267" s="180"/>
      <c r="X267" s="180"/>
      <c r="Y267" s="180"/>
      <c r="Z267" s="180"/>
      <c r="AA267" s="180"/>
      <c r="AB267" s="180"/>
      <c r="AC267" s="180"/>
      <c r="AD267" s="180"/>
      <c r="AE267" s="180"/>
      <c r="AF267" s="180"/>
      <c r="AG267" s="180"/>
      <c r="AH267" s="180"/>
      <c r="AI267" s="180">
        <v>0</v>
      </c>
      <c r="AJ267" s="181">
        <f t="shared" si="83"/>
        <v>0</v>
      </c>
      <c r="AK267" s="180">
        <f t="shared" si="97"/>
        <v>3000000</v>
      </c>
      <c r="AL267" s="181">
        <f t="shared" si="84"/>
        <v>100</v>
      </c>
      <c r="AM267" s="243"/>
    </row>
    <row r="268" spans="1:39" ht="29.25" customHeight="1" x14ac:dyDescent="0.25">
      <c r="A268" s="243"/>
      <c r="B268" s="410"/>
      <c r="C268" s="410"/>
      <c r="D268" s="410"/>
      <c r="E268" s="410"/>
      <c r="F268" s="410"/>
      <c r="G268" s="410"/>
      <c r="H268" s="410"/>
      <c r="I268" s="411"/>
      <c r="J268" s="410" t="s">
        <v>315</v>
      </c>
      <c r="K268" s="245"/>
      <c r="L268" s="257"/>
      <c r="M268" s="591" t="s">
        <v>428</v>
      </c>
      <c r="N268" s="592"/>
      <c r="O268" s="179"/>
      <c r="P268" s="180"/>
      <c r="Q268" s="180">
        <v>2820000</v>
      </c>
      <c r="R268" s="181">
        <f t="shared" si="99"/>
        <v>4.4023244335453438</v>
      </c>
      <c r="S268" s="181">
        <v>100</v>
      </c>
      <c r="T268" s="180">
        <f t="shared" si="82"/>
        <v>0</v>
      </c>
      <c r="U268" s="180">
        <f t="shared" si="90"/>
        <v>0</v>
      </c>
      <c r="V268" s="182">
        <f t="shared" si="87"/>
        <v>100</v>
      </c>
      <c r="W268" s="180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180"/>
      <c r="AI268" s="180">
        <v>0</v>
      </c>
      <c r="AJ268" s="181">
        <f t="shared" si="83"/>
        <v>0</v>
      </c>
      <c r="AK268" s="180">
        <f t="shared" si="97"/>
        <v>2820000</v>
      </c>
      <c r="AL268" s="181">
        <f t="shared" si="84"/>
        <v>100</v>
      </c>
      <c r="AM268" s="243"/>
    </row>
    <row r="269" spans="1:39" ht="29.25" customHeight="1" x14ac:dyDescent="0.25">
      <c r="A269" s="243"/>
      <c r="B269" s="410"/>
      <c r="C269" s="410"/>
      <c r="D269" s="410"/>
      <c r="E269" s="410"/>
      <c r="F269" s="410"/>
      <c r="G269" s="410"/>
      <c r="H269" s="410"/>
      <c r="I269" s="411"/>
      <c r="J269" s="410" t="s">
        <v>318</v>
      </c>
      <c r="K269" s="245"/>
      <c r="L269" s="257"/>
      <c r="M269" s="591" t="s">
        <v>602</v>
      </c>
      <c r="N269" s="592"/>
      <c r="O269" s="179"/>
      <c r="P269" s="180"/>
      <c r="Q269" s="180">
        <v>20000000</v>
      </c>
      <c r="R269" s="181">
        <f t="shared" si="99"/>
        <v>31.222159103158464</v>
      </c>
      <c r="S269" s="181">
        <v>100</v>
      </c>
      <c r="T269" s="180">
        <f t="shared" si="82"/>
        <v>0</v>
      </c>
      <c r="U269" s="180">
        <f t="shared" si="90"/>
        <v>0</v>
      </c>
      <c r="V269" s="182">
        <f t="shared" si="87"/>
        <v>100</v>
      </c>
      <c r="W269" s="180"/>
      <c r="X269" s="180"/>
      <c r="Y269" s="180"/>
      <c r="Z269" s="180"/>
      <c r="AA269" s="180"/>
      <c r="AB269" s="180"/>
      <c r="AC269" s="180"/>
      <c r="AD269" s="180"/>
      <c r="AE269" s="180"/>
      <c r="AF269" s="180"/>
      <c r="AG269" s="180"/>
      <c r="AH269" s="180"/>
      <c r="AI269" s="180">
        <v>0</v>
      </c>
      <c r="AJ269" s="181">
        <f t="shared" si="83"/>
        <v>0</v>
      </c>
      <c r="AK269" s="180">
        <f t="shared" si="97"/>
        <v>20000000</v>
      </c>
      <c r="AL269" s="181">
        <f t="shared" si="84"/>
        <v>100</v>
      </c>
      <c r="AM269" s="243"/>
    </row>
    <row r="270" spans="1:39" ht="29.25" customHeight="1" x14ac:dyDescent="0.25">
      <c r="A270" s="243"/>
      <c r="B270" s="410"/>
      <c r="C270" s="410"/>
      <c r="D270" s="410"/>
      <c r="E270" s="410"/>
      <c r="F270" s="410"/>
      <c r="G270" s="410"/>
      <c r="H270" s="410"/>
      <c r="I270" s="411"/>
      <c r="J270" s="410" t="s">
        <v>339</v>
      </c>
      <c r="K270" s="245"/>
      <c r="L270" s="257"/>
      <c r="M270" s="591" t="s">
        <v>340</v>
      </c>
      <c r="N270" s="592"/>
      <c r="O270" s="179"/>
      <c r="P270" s="180"/>
      <c r="Q270" s="180">
        <v>2000000</v>
      </c>
      <c r="R270" s="181">
        <f t="shared" si="99"/>
        <v>3.1222159103158469</v>
      </c>
      <c r="S270" s="181">
        <v>100</v>
      </c>
      <c r="T270" s="180">
        <f t="shared" si="82"/>
        <v>0</v>
      </c>
      <c r="U270" s="180">
        <f t="shared" si="90"/>
        <v>0</v>
      </c>
      <c r="V270" s="182">
        <f t="shared" si="87"/>
        <v>100</v>
      </c>
      <c r="W270" s="180"/>
      <c r="X270" s="180"/>
      <c r="Y270" s="180"/>
      <c r="Z270" s="180"/>
      <c r="AA270" s="180"/>
      <c r="AB270" s="180"/>
      <c r="AC270" s="180"/>
      <c r="AD270" s="180"/>
      <c r="AE270" s="180"/>
      <c r="AF270" s="180"/>
      <c r="AG270" s="180"/>
      <c r="AH270" s="180"/>
      <c r="AI270" s="180">
        <v>0</v>
      </c>
      <c r="AJ270" s="181">
        <f t="shared" si="83"/>
        <v>0</v>
      </c>
      <c r="AK270" s="180">
        <f t="shared" si="97"/>
        <v>2000000</v>
      </c>
      <c r="AL270" s="181">
        <f t="shared" si="84"/>
        <v>100</v>
      </c>
      <c r="AM270" s="243"/>
    </row>
    <row r="271" spans="1:39" ht="29.25" customHeight="1" x14ac:dyDescent="0.25">
      <c r="A271" s="243"/>
      <c r="B271" s="410"/>
      <c r="C271" s="410"/>
      <c r="D271" s="410"/>
      <c r="E271" s="410"/>
      <c r="F271" s="410"/>
      <c r="G271" s="410"/>
      <c r="H271" s="410"/>
      <c r="I271" s="411"/>
      <c r="J271" s="410" t="s">
        <v>284</v>
      </c>
      <c r="K271" s="245"/>
      <c r="L271" s="257"/>
      <c r="M271" s="591" t="s">
        <v>603</v>
      </c>
      <c r="N271" s="592"/>
      <c r="O271" s="179"/>
      <c r="P271" s="180"/>
      <c r="Q271" s="180">
        <v>1119069</v>
      </c>
      <c r="R271" s="181">
        <f t="shared" si="99"/>
        <v>1.746987518270622</v>
      </c>
      <c r="S271" s="181">
        <v>100</v>
      </c>
      <c r="T271" s="180">
        <f t="shared" si="82"/>
        <v>0</v>
      </c>
      <c r="U271" s="180">
        <f t="shared" si="90"/>
        <v>0</v>
      </c>
      <c r="V271" s="182">
        <f t="shared" si="87"/>
        <v>100</v>
      </c>
      <c r="W271" s="180"/>
      <c r="X271" s="180"/>
      <c r="Y271" s="180"/>
      <c r="Z271" s="180"/>
      <c r="AA271" s="180"/>
      <c r="AB271" s="180"/>
      <c r="AC271" s="180"/>
      <c r="AD271" s="180"/>
      <c r="AE271" s="180"/>
      <c r="AF271" s="180"/>
      <c r="AG271" s="180"/>
      <c r="AH271" s="180"/>
      <c r="AI271" s="180">
        <v>0</v>
      </c>
      <c r="AJ271" s="181">
        <f t="shared" si="83"/>
        <v>0</v>
      </c>
      <c r="AK271" s="180">
        <f t="shared" si="97"/>
        <v>1119069</v>
      </c>
      <c r="AL271" s="181">
        <f t="shared" si="84"/>
        <v>100</v>
      </c>
      <c r="AM271" s="243"/>
    </row>
    <row r="272" spans="1:39" ht="29.25" customHeight="1" x14ac:dyDescent="0.25">
      <c r="A272" s="243"/>
      <c r="B272" s="410"/>
      <c r="C272" s="410"/>
      <c r="D272" s="410"/>
      <c r="E272" s="410"/>
      <c r="F272" s="410"/>
      <c r="G272" s="410"/>
      <c r="H272" s="410"/>
      <c r="I272" s="411"/>
      <c r="J272" s="410" t="s">
        <v>282</v>
      </c>
      <c r="K272" s="245"/>
      <c r="L272" s="257"/>
      <c r="M272" s="591" t="s">
        <v>283</v>
      </c>
      <c r="N272" s="592"/>
      <c r="O272" s="179"/>
      <c r="P272" s="180"/>
      <c r="Q272" s="180">
        <v>6900000</v>
      </c>
      <c r="R272" s="181">
        <f t="shared" si="99"/>
        <v>10.771644890589672</v>
      </c>
      <c r="S272" s="181">
        <v>100</v>
      </c>
      <c r="T272" s="180">
        <f t="shared" si="82"/>
        <v>0</v>
      </c>
      <c r="U272" s="180">
        <f t="shared" si="90"/>
        <v>0</v>
      </c>
      <c r="V272" s="182">
        <f t="shared" si="87"/>
        <v>100</v>
      </c>
      <c r="W272" s="180"/>
      <c r="X272" s="180"/>
      <c r="Y272" s="180"/>
      <c r="Z272" s="180"/>
      <c r="AA272" s="180"/>
      <c r="AB272" s="180"/>
      <c r="AC272" s="180"/>
      <c r="AD272" s="180"/>
      <c r="AE272" s="180"/>
      <c r="AF272" s="180"/>
      <c r="AG272" s="180"/>
      <c r="AH272" s="180"/>
      <c r="AI272" s="180">
        <v>0</v>
      </c>
      <c r="AJ272" s="181">
        <f t="shared" si="83"/>
        <v>0</v>
      </c>
      <c r="AK272" s="180">
        <f t="shared" si="97"/>
        <v>6900000</v>
      </c>
      <c r="AL272" s="181">
        <f t="shared" si="84"/>
        <v>100</v>
      </c>
      <c r="AM272" s="243"/>
    </row>
    <row r="273" spans="1:39" ht="29.25" customHeight="1" x14ac:dyDescent="0.25">
      <c r="A273" s="243"/>
      <c r="B273" s="410"/>
      <c r="C273" s="410"/>
      <c r="D273" s="410"/>
      <c r="E273" s="410"/>
      <c r="F273" s="410"/>
      <c r="G273" s="410"/>
      <c r="H273" s="410"/>
      <c r="I273" s="411"/>
      <c r="J273" s="410" t="s">
        <v>320</v>
      </c>
      <c r="K273" s="245"/>
      <c r="L273" s="257"/>
      <c r="M273" s="591" t="s">
        <v>321</v>
      </c>
      <c r="N273" s="592"/>
      <c r="O273" s="179"/>
      <c r="P273" s="180"/>
      <c r="Q273" s="180">
        <v>7200000</v>
      </c>
      <c r="R273" s="181">
        <f t="shared" si="99"/>
        <v>11.239977277137047</v>
      </c>
      <c r="S273" s="181">
        <v>100</v>
      </c>
      <c r="T273" s="180">
        <f t="shared" si="82"/>
        <v>0</v>
      </c>
      <c r="U273" s="180">
        <f t="shared" si="90"/>
        <v>0</v>
      </c>
      <c r="V273" s="182">
        <f t="shared" si="87"/>
        <v>100</v>
      </c>
      <c r="W273" s="180"/>
      <c r="X273" s="180"/>
      <c r="Y273" s="180"/>
      <c r="Z273" s="180"/>
      <c r="AA273" s="180"/>
      <c r="AB273" s="180"/>
      <c r="AC273" s="180"/>
      <c r="AD273" s="180"/>
      <c r="AE273" s="180"/>
      <c r="AF273" s="180"/>
      <c r="AG273" s="180"/>
      <c r="AH273" s="180"/>
      <c r="AI273" s="180">
        <v>0</v>
      </c>
      <c r="AJ273" s="181">
        <f t="shared" si="83"/>
        <v>0</v>
      </c>
      <c r="AK273" s="180">
        <f t="shared" si="97"/>
        <v>7200000</v>
      </c>
      <c r="AL273" s="181">
        <f t="shared" si="84"/>
        <v>100</v>
      </c>
      <c r="AM273" s="243"/>
    </row>
    <row r="274" spans="1:39" ht="24.75" customHeight="1" x14ac:dyDescent="0.25">
      <c r="A274" s="243"/>
      <c r="B274" s="410"/>
      <c r="C274" s="410"/>
      <c r="D274" s="410"/>
      <c r="E274" s="410"/>
      <c r="F274" s="410"/>
      <c r="G274" s="410"/>
      <c r="H274" s="410"/>
      <c r="I274" s="411"/>
      <c r="J274" s="410" t="s">
        <v>407</v>
      </c>
      <c r="K274" s="245"/>
      <c r="L274" s="257"/>
      <c r="M274" s="591" t="s">
        <v>414</v>
      </c>
      <c r="N274" s="592"/>
      <c r="O274" s="179"/>
      <c r="P274" s="180"/>
      <c r="Q274" s="180">
        <v>2800000</v>
      </c>
      <c r="R274" s="181">
        <f t="shared" si="99"/>
        <v>4.371102274442185</v>
      </c>
      <c r="S274" s="181">
        <v>100</v>
      </c>
      <c r="T274" s="180">
        <f t="shared" si="82"/>
        <v>0</v>
      </c>
      <c r="U274" s="180">
        <f t="shared" si="90"/>
        <v>0</v>
      </c>
      <c r="V274" s="182">
        <f t="shared" si="87"/>
        <v>100</v>
      </c>
      <c r="W274" s="180"/>
      <c r="X274" s="180"/>
      <c r="Y274" s="180"/>
      <c r="Z274" s="180"/>
      <c r="AA274" s="180"/>
      <c r="AB274" s="180"/>
      <c r="AC274" s="180"/>
      <c r="AD274" s="180"/>
      <c r="AE274" s="180"/>
      <c r="AF274" s="180"/>
      <c r="AG274" s="180"/>
      <c r="AH274" s="180"/>
      <c r="AI274" s="180">
        <v>0</v>
      </c>
      <c r="AJ274" s="181">
        <f t="shared" si="83"/>
        <v>0</v>
      </c>
      <c r="AK274" s="180">
        <f t="shared" si="97"/>
        <v>2800000</v>
      </c>
      <c r="AL274" s="181">
        <f t="shared" si="84"/>
        <v>100</v>
      </c>
      <c r="AM274" s="243"/>
    </row>
    <row r="275" spans="1:39" s="311" customFormat="1" ht="34.5" customHeight="1" x14ac:dyDescent="0.25">
      <c r="A275" s="227">
        <f>(A264+1)</f>
        <v>38</v>
      </c>
      <c r="B275" s="615" t="s">
        <v>150</v>
      </c>
      <c r="C275" s="615"/>
      <c r="D275" s="615"/>
      <c r="E275" s="615"/>
      <c r="F275" s="615"/>
      <c r="G275" s="615"/>
      <c r="H275" s="615"/>
      <c r="I275" s="614"/>
      <c r="J275" s="304" t="s">
        <v>482</v>
      </c>
      <c r="K275" s="230"/>
      <c r="L275" s="294"/>
      <c r="M275" s="609" t="s">
        <v>41</v>
      </c>
      <c r="N275" s="609"/>
      <c r="O275" s="310">
        <v>461840000</v>
      </c>
      <c r="P275" s="231">
        <f>O275</f>
        <v>461840000</v>
      </c>
      <c r="Q275" s="231">
        <f>SUM(Q276:Q286)</f>
        <v>300818900</v>
      </c>
      <c r="R275" s="233">
        <f>Q275/Q$248*100</f>
        <v>2.5219887304309383</v>
      </c>
      <c r="S275" s="233">
        <v>100</v>
      </c>
      <c r="T275" s="231">
        <f t="shared" si="82"/>
        <v>9.3689259551178452</v>
      </c>
      <c r="U275" s="231">
        <f t="shared" si="90"/>
        <v>0.23628325675049119</v>
      </c>
      <c r="V275" s="296">
        <f t="shared" si="87"/>
        <v>90.631074044882155</v>
      </c>
      <c r="W275" s="231"/>
      <c r="X275" s="231" t="e">
        <f>#REF!</f>
        <v>#REF!</v>
      </c>
      <c r="Y275" s="231" t="e">
        <f>#REF!</f>
        <v>#REF!</v>
      </c>
      <c r="Z275" s="231" t="e">
        <f>#REF!</f>
        <v>#REF!</v>
      </c>
      <c r="AA275" s="231" t="e">
        <f>#REF!</f>
        <v>#REF!</v>
      </c>
      <c r="AB275" s="231">
        <v>26033000</v>
      </c>
      <c r="AC275" s="231" t="e">
        <f>#REF!</f>
        <v>#REF!</v>
      </c>
      <c r="AD275" s="231" t="e">
        <f>#REF!</f>
        <v>#REF!</v>
      </c>
      <c r="AE275" s="231" t="e">
        <f>#REF!</f>
        <v>#REF!</v>
      </c>
      <c r="AF275" s="231" t="e">
        <f>[1]April!N57</f>
        <v>#REF!</v>
      </c>
      <c r="AG275" s="231" t="e">
        <f>[2]april!N57</f>
        <v>#REF!</v>
      </c>
      <c r="AH275" s="231">
        <f>'[3]DES SKPD'!$N57</f>
        <v>371775000</v>
      </c>
      <c r="AI275" s="231">
        <f>SUM(AI276:AI286)</f>
        <v>28183500</v>
      </c>
      <c r="AJ275" s="233">
        <f t="shared" si="83"/>
        <v>9.3689259551178452</v>
      </c>
      <c r="AK275" s="231">
        <f t="shared" si="97"/>
        <v>272635400</v>
      </c>
      <c r="AL275" s="233">
        <f t="shared" si="84"/>
        <v>90.631074044882155</v>
      </c>
      <c r="AM275" s="227"/>
    </row>
    <row r="276" spans="1:39" ht="28.5" customHeight="1" x14ac:dyDescent="0.25">
      <c r="A276" s="243"/>
      <c r="B276" s="410"/>
      <c r="C276" s="410"/>
      <c r="D276" s="410"/>
      <c r="E276" s="410"/>
      <c r="F276" s="410"/>
      <c r="G276" s="410"/>
      <c r="H276" s="410"/>
      <c r="I276" s="411"/>
      <c r="J276" s="410" t="s">
        <v>257</v>
      </c>
      <c r="K276" s="245"/>
      <c r="L276" s="257"/>
      <c r="M276" s="591" t="s">
        <v>260</v>
      </c>
      <c r="N276" s="592"/>
      <c r="O276" s="179"/>
      <c r="P276" s="180"/>
      <c r="Q276" s="180">
        <v>1540000</v>
      </c>
      <c r="R276" s="181">
        <f>Q276/Q$275*100</f>
        <v>0.51193591891998813</v>
      </c>
      <c r="S276" s="181">
        <v>100</v>
      </c>
      <c r="T276" s="180">
        <f t="shared" si="82"/>
        <v>0</v>
      </c>
      <c r="U276" s="180">
        <f t="shared" si="90"/>
        <v>0</v>
      </c>
      <c r="V276" s="182">
        <f t="shared" si="87"/>
        <v>100</v>
      </c>
      <c r="W276" s="180"/>
      <c r="X276" s="180"/>
      <c r="Y276" s="180"/>
      <c r="Z276" s="180"/>
      <c r="AA276" s="180"/>
      <c r="AB276" s="180"/>
      <c r="AC276" s="180"/>
      <c r="AD276" s="180"/>
      <c r="AE276" s="180"/>
      <c r="AF276" s="180"/>
      <c r="AG276" s="180"/>
      <c r="AH276" s="180"/>
      <c r="AI276" s="180">
        <v>0</v>
      </c>
      <c r="AJ276" s="181">
        <f t="shared" si="83"/>
        <v>0</v>
      </c>
      <c r="AK276" s="180">
        <f t="shared" si="97"/>
        <v>1540000</v>
      </c>
      <c r="AL276" s="181">
        <f t="shared" si="84"/>
        <v>100</v>
      </c>
      <c r="AM276" s="243"/>
    </row>
    <row r="277" spans="1:39" ht="28.5" customHeight="1" x14ac:dyDescent="0.25">
      <c r="A277" s="243"/>
      <c r="B277" s="410"/>
      <c r="C277" s="410"/>
      <c r="D277" s="410"/>
      <c r="E277" s="410"/>
      <c r="F277" s="410"/>
      <c r="G277" s="410"/>
      <c r="H277" s="410"/>
      <c r="I277" s="411"/>
      <c r="J277" s="410" t="s">
        <v>326</v>
      </c>
      <c r="K277" s="245"/>
      <c r="L277" s="257"/>
      <c r="M277" s="591" t="s">
        <v>327</v>
      </c>
      <c r="N277" s="592"/>
      <c r="O277" s="179"/>
      <c r="P277" s="180"/>
      <c r="Q277" s="180">
        <v>140400000</v>
      </c>
      <c r="R277" s="181">
        <f t="shared" ref="R277:R286" si="100">Q277/Q$275*100</f>
        <v>46.672599361276838</v>
      </c>
      <c r="S277" s="181">
        <v>100</v>
      </c>
      <c r="T277" s="180">
        <f t="shared" si="82"/>
        <v>0</v>
      </c>
      <c r="U277" s="180">
        <f t="shared" si="90"/>
        <v>0</v>
      </c>
      <c r="V277" s="182">
        <f t="shared" si="87"/>
        <v>100</v>
      </c>
      <c r="W277" s="180"/>
      <c r="X277" s="180"/>
      <c r="Y277" s="180"/>
      <c r="Z277" s="180"/>
      <c r="AA277" s="180"/>
      <c r="AB277" s="180"/>
      <c r="AC277" s="180"/>
      <c r="AD277" s="180"/>
      <c r="AE277" s="180"/>
      <c r="AF277" s="180"/>
      <c r="AG277" s="180"/>
      <c r="AH277" s="180"/>
      <c r="AI277" s="180">
        <v>0</v>
      </c>
      <c r="AJ277" s="181">
        <f t="shared" si="83"/>
        <v>0</v>
      </c>
      <c r="AK277" s="180">
        <f t="shared" si="97"/>
        <v>140400000</v>
      </c>
      <c r="AL277" s="181">
        <f t="shared" si="84"/>
        <v>100</v>
      </c>
      <c r="AM277" s="243"/>
    </row>
    <row r="278" spans="1:39" ht="28.5" customHeight="1" x14ac:dyDescent="0.25">
      <c r="A278" s="243"/>
      <c r="B278" s="410"/>
      <c r="C278" s="410"/>
      <c r="D278" s="410"/>
      <c r="E278" s="410"/>
      <c r="F278" s="410"/>
      <c r="G278" s="410"/>
      <c r="H278" s="410"/>
      <c r="I278" s="411"/>
      <c r="J278" s="410" t="s">
        <v>323</v>
      </c>
      <c r="K278" s="245"/>
      <c r="L278" s="257"/>
      <c r="M278" s="591" t="s">
        <v>324</v>
      </c>
      <c r="N278" s="592"/>
      <c r="O278" s="179"/>
      <c r="P278" s="180"/>
      <c r="Q278" s="180">
        <v>10250000</v>
      </c>
      <c r="R278" s="181">
        <f t="shared" si="100"/>
        <v>3.4073656941103101</v>
      </c>
      <c r="S278" s="181">
        <v>100</v>
      </c>
      <c r="T278" s="180">
        <f t="shared" si="82"/>
        <v>0</v>
      </c>
      <c r="U278" s="180">
        <f t="shared" si="90"/>
        <v>0</v>
      </c>
      <c r="V278" s="182">
        <f t="shared" si="87"/>
        <v>100</v>
      </c>
      <c r="W278" s="180"/>
      <c r="X278" s="180"/>
      <c r="Y278" s="180"/>
      <c r="Z278" s="180"/>
      <c r="AA278" s="180"/>
      <c r="AB278" s="180"/>
      <c r="AC278" s="180"/>
      <c r="AD278" s="180"/>
      <c r="AE278" s="180"/>
      <c r="AF278" s="180"/>
      <c r="AG278" s="180"/>
      <c r="AH278" s="180"/>
      <c r="AI278" s="180">
        <v>0</v>
      </c>
      <c r="AJ278" s="181">
        <f t="shared" si="83"/>
        <v>0</v>
      </c>
      <c r="AK278" s="180">
        <f t="shared" si="97"/>
        <v>10250000</v>
      </c>
      <c r="AL278" s="181">
        <f t="shared" si="84"/>
        <v>100</v>
      </c>
      <c r="AM278" s="243"/>
    </row>
    <row r="279" spans="1:39" ht="28.5" customHeight="1" x14ac:dyDescent="0.25">
      <c r="A279" s="243"/>
      <c r="B279" s="410"/>
      <c r="C279" s="410"/>
      <c r="D279" s="410"/>
      <c r="E279" s="410"/>
      <c r="F279" s="410"/>
      <c r="G279" s="410"/>
      <c r="H279" s="410"/>
      <c r="I279" s="411"/>
      <c r="J279" s="410" t="s">
        <v>336</v>
      </c>
      <c r="K279" s="245"/>
      <c r="L279" s="257"/>
      <c r="M279" s="591" t="s">
        <v>337</v>
      </c>
      <c r="N279" s="592"/>
      <c r="O279" s="179"/>
      <c r="P279" s="180"/>
      <c r="Q279" s="180">
        <v>10000000</v>
      </c>
      <c r="R279" s="181">
        <f t="shared" si="100"/>
        <v>3.3242592137661564</v>
      </c>
      <c r="S279" s="181">
        <v>100</v>
      </c>
      <c r="T279" s="180">
        <f t="shared" si="82"/>
        <v>0</v>
      </c>
      <c r="U279" s="180">
        <f t="shared" si="90"/>
        <v>0</v>
      </c>
      <c r="V279" s="182">
        <f t="shared" si="87"/>
        <v>100</v>
      </c>
      <c r="W279" s="180"/>
      <c r="X279" s="180"/>
      <c r="Y279" s="180"/>
      <c r="Z279" s="180"/>
      <c r="AA279" s="180"/>
      <c r="AB279" s="180"/>
      <c r="AC279" s="180"/>
      <c r="AD279" s="180"/>
      <c r="AE279" s="180"/>
      <c r="AF279" s="180"/>
      <c r="AG279" s="180"/>
      <c r="AH279" s="180"/>
      <c r="AI279" s="180">
        <v>0</v>
      </c>
      <c r="AJ279" s="181">
        <f t="shared" si="83"/>
        <v>0</v>
      </c>
      <c r="AK279" s="180">
        <f t="shared" si="97"/>
        <v>10000000</v>
      </c>
      <c r="AL279" s="181">
        <f t="shared" si="84"/>
        <v>100</v>
      </c>
      <c r="AM279" s="243"/>
    </row>
    <row r="280" spans="1:39" ht="28.5" customHeight="1" x14ac:dyDescent="0.25">
      <c r="A280" s="243"/>
      <c r="B280" s="410"/>
      <c r="C280" s="410"/>
      <c r="D280" s="410"/>
      <c r="E280" s="410"/>
      <c r="F280" s="410"/>
      <c r="G280" s="410"/>
      <c r="H280" s="410"/>
      <c r="I280" s="411"/>
      <c r="J280" s="410" t="s">
        <v>269</v>
      </c>
      <c r="K280" s="245"/>
      <c r="L280" s="257"/>
      <c r="M280" s="591" t="s">
        <v>270</v>
      </c>
      <c r="N280" s="592"/>
      <c r="O280" s="179"/>
      <c r="P280" s="180"/>
      <c r="Q280" s="180">
        <v>23000000</v>
      </c>
      <c r="R280" s="181">
        <f t="shared" si="100"/>
        <v>7.6457961916621588</v>
      </c>
      <c r="S280" s="181">
        <v>100</v>
      </c>
      <c r="T280" s="180">
        <f t="shared" si="82"/>
        <v>67.391304347826093</v>
      </c>
      <c r="U280" s="180">
        <f t="shared" si="90"/>
        <v>5.1526017813375429</v>
      </c>
      <c r="V280" s="182">
        <f t="shared" si="87"/>
        <v>32.608695652173907</v>
      </c>
      <c r="W280" s="180"/>
      <c r="X280" s="180"/>
      <c r="Y280" s="180"/>
      <c r="Z280" s="180"/>
      <c r="AA280" s="180"/>
      <c r="AB280" s="180"/>
      <c r="AC280" s="180"/>
      <c r="AD280" s="180"/>
      <c r="AE280" s="180"/>
      <c r="AF280" s="180"/>
      <c r="AG280" s="180"/>
      <c r="AH280" s="180"/>
      <c r="AI280" s="180">
        <v>15500000</v>
      </c>
      <c r="AJ280" s="181">
        <f t="shared" si="83"/>
        <v>67.391304347826093</v>
      </c>
      <c r="AK280" s="180">
        <f t="shared" si="97"/>
        <v>7500000</v>
      </c>
      <c r="AL280" s="181">
        <f t="shared" si="84"/>
        <v>32.608695652173914</v>
      </c>
      <c r="AM280" s="243"/>
    </row>
    <row r="281" spans="1:39" ht="28.5" customHeight="1" x14ac:dyDescent="0.25">
      <c r="A281" s="243"/>
      <c r="B281" s="410"/>
      <c r="C281" s="410"/>
      <c r="D281" s="410"/>
      <c r="E281" s="410"/>
      <c r="F281" s="410"/>
      <c r="G281" s="410"/>
      <c r="H281" s="410"/>
      <c r="I281" s="411"/>
      <c r="J281" s="410" t="s">
        <v>315</v>
      </c>
      <c r="K281" s="245"/>
      <c r="L281" s="257"/>
      <c r="M281" s="591" t="s">
        <v>271</v>
      </c>
      <c r="N281" s="592"/>
      <c r="O281" s="179"/>
      <c r="P281" s="180"/>
      <c r="Q281" s="180">
        <v>17250000</v>
      </c>
      <c r="R281" s="181">
        <f t="shared" si="100"/>
        <v>5.7343471437466196</v>
      </c>
      <c r="S281" s="181">
        <v>100</v>
      </c>
      <c r="T281" s="180">
        <f t="shared" ref="T281:T344" si="101">AJ281</f>
        <v>0</v>
      </c>
      <c r="U281" s="180">
        <f t="shared" si="90"/>
        <v>0</v>
      </c>
      <c r="V281" s="182">
        <f t="shared" si="87"/>
        <v>100</v>
      </c>
      <c r="W281" s="180"/>
      <c r="X281" s="180"/>
      <c r="Y281" s="180"/>
      <c r="Z281" s="180"/>
      <c r="AA281" s="180"/>
      <c r="AB281" s="180"/>
      <c r="AC281" s="180"/>
      <c r="AD281" s="180"/>
      <c r="AE281" s="180"/>
      <c r="AF281" s="180"/>
      <c r="AG281" s="180"/>
      <c r="AH281" s="180"/>
      <c r="AI281" s="180">
        <v>0</v>
      </c>
      <c r="AJ281" s="181">
        <f t="shared" ref="AJ281:AJ344" si="102">AI281/Q281*100</f>
        <v>0</v>
      </c>
      <c r="AK281" s="180">
        <f t="shared" si="97"/>
        <v>17250000</v>
      </c>
      <c r="AL281" s="181">
        <f t="shared" ref="AL281:AL344" si="103">AK281/Q281*100</f>
        <v>100</v>
      </c>
      <c r="AM281" s="243"/>
    </row>
    <row r="282" spans="1:39" ht="28.5" customHeight="1" x14ac:dyDescent="0.25">
      <c r="A282" s="243"/>
      <c r="B282" s="410"/>
      <c r="C282" s="410"/>
      <c r="D282" s="410"/>
      <c r="E282" s="410"/>
      <c r="F282" s="410"/>
      <c r="G282" s="410"/>
      <c r="H282" s="410"/>
      <c r="I282" s="411"/>
      <c r="J282" s="410" t="s">
        <v>318</v>
      </c>
      <c r="K282" s="245"/>
      <c r="L282" s="257"/>
      <c r="M282" s="591" t="s">
        <v>319</v>
      </c>
      <c r="N282" s="592"/>
      <c r="O282" s="179"/>
      <c r="P282" s="180"/>
      <c r="Q282" s="180">
        <v>32500000</v>
      </c>
      <c r="R282" s="181">
        <f t="shared" si="100"/>
        <v>10.803842444740008</v>
      </c>
      <c r="S282" s="181">
        <v>100</v>
      </c>
      <c r="T282" s="180">
        <f t="shared" si="101"/>
        <v>0</v>
      </c>
      <c r="U282" s="180">
        <f t="shared" si="90"/>
        <v>0</v>
      </c>
      <c r="V282" s="182">
        <f t="shared" si="87"/>
        <v>100</v>
      </c>
      <c r="W282" s="180"/>
      <c r="X282" s="180"/>
      <c r="Y282" s="180"/>
      <c r="Z282" s="180"/>
      <c r="AA282" s="180"/>
      <c r="AB282" s="180"/>
      <c r="AC282" s="180"/>
      <c r="AD282" s="180"/>
      <c r="AE282" s="180"/>
      <c r="AF282" s="180"/>
      <c r="AG282" s="180"/>
      <c r="AH282" s="180"/>
      <c r="AI282" s="180">
        <v>0</v>
      </c>
      <c r="AJ282" s="181">
        <f t="shared" si="102"/>
        <v>0</v>
      </c>
      <c r="AK282" s="180">
        <f t="shared" si="97"/>
        <v>32500000</v>
      </c>
      <c r="AL282" s="181">
        <f t="shared" si="103"/>
        <v>100</v>
      </c>
      <c r="AM282" s="243"/>
    </row>
    <row r="283" spans="1:39" ht="28.5" customHeight="1" x14ac:dyDescent="0.25">
      <c r="A283" s="243"/>
      <c r="B283" s="410"/>
      <c r="C283" s="410"/>
      <c r="D283" s="410"/>
      <c r="E283" s="410"/>
      <c r="F283" s="410"/>
      <c r="G283" s="410"/>
      <c r="H283" s="410"/>
      <c r="I283" s="411"/>
      <c r="J283" s="410" t="s">
        <v>280</v>
      </c>
      <c r="K283" s="245"/>
      <c r="L283" s="257"/>
      <c r="M283" s="591" t="s">
        <v>281</v>
      </c>
      <c r="N283" s="592"/>
      <c r="O283" s="179"/>
      <c r="P283" s="180"/>
      <c r="Q283" s="180">
        <v>6500000</v>
      </c>
      <c r="R283" s="181">
        <f t="shared" si="100"/>
        <v>2.1607684889480017</v>
      </c>
      <c r="S283" s="181">
        <v>100</v>
      </c>
      <c r="T283" s="180">
        <f t="shared" si="101"/>
        <v>0</v>
      </c>
      <c r="U283" s="180">
        <f t="shared" si="90"/>
        <v>0</v>
      </c>
      <c r="V283" s="182">
        <f t="shared" si="87"/>
        <v>100</v>
      </c>
      <c r="W283" s="180"/>
      <c r="X283" s="180"/>
      <c r="Y283" s="180"/>
      <c r="Z283" s="180"/>
      <c r="AA283" s="180"/>
      <c r="AB283" s="180"/>
      <c r="AC283" s="180"/>
      <c r="AD283" s="180"/>
      <c r="AE283" s="180"/>
      <c r="AF283" s="180"/>
      <c r="AG283" s="180"/>
      <c r="AH283" s="180"/>
      <c r="AI283" s="180">
        <v>0</v>
      </c>
      <c r="AJ283" s="181">
        <f t="shared" si="102"/>
        <v>0</v>
      </c>
      <c r="AK283" s="180">
        <f t="shared" si="97"/>
        <v>6500000</v>
      </c>
      <c r="AL283" s="181">
        <f t="shared" si="103"/>
        <v>100</v>
      </c>
      <c r="AM283" s="243"/>
    </row>
    <row r="284" spans="1:39" ht="28.5" customHeight="1" x14ac:dyDescent="0.25">
      <c r="A284" s="243"/>
      <c r="B284" s="410"/>
      <c r="C284" s="410"/>
      <c r="D284" s="410"/>
      <c r="E284" s="410"/>
      <c r="F284" s="410"/>
      <c r="G284" s="410"/>
      <c r="H284" s="410"/>
      <c r="I284" s="411"/>
      <c r="J284" s="410" t="s">
        <v>284</v>
      </c>
      <c r="K284" s="245"/>
      <c r="L284" s="257"/>
      <c r="M284" s="591" t="s">
        <v>285</v>
      </c>
      <c r="N284" s="592"/>
      <c r="O284" s="179"/>
      <c r="P284" s="180"/>
      <c r="Q284" s="180">
        <v>2700000</v>
      </c>
      <c r="R284" s="181">
        <f t="shared" si="100"/>
        <v>0.89754998771686223</v>
      </c>
      <c r="S284" s="181">
        <v>100</v>
      </c>
      <c r="T284" s="180">
        <f t="shared" si="101"/>
        <v>16.296296296296298</v>
      </c>
      <c r="U284" s="180">
        <f t="shared" si="90"/>
        <v>0.1462674054057109</v>
      </c>
      <c r="V284" s="182">
        <f t="shared" si="87"/>
        <v>83.703703703703695</v>
      </c>
      <c r="W284" s="180"/>
      <c r="X284" s="180"/>
      <c r="Y284" s="180"/>
      <c r="Z284" s="180"/>
      <c r="AA284" s="180"/>
      <c r="AB284" s="180"/>
      <c r="AC284" s="180"/>
      <c r="AD284" s="180"/>
      <c r="AE284" s="180"/>
      <c r="AF284" s="180"/>
      <c r="AG284" s="180"/>
      <c r="AH284" s="180"/>
      <c r="AI284" s="180">
        <v>440000</v>
      </c>
      <c r="AJ284" s="181">
        <f t="shared" si="102"/>
        <v>16.296296296296298</v>
      </c>
      <c r="AK284" s="180">
        <f t="shared" si="97"/>
        <v>2260000</v>
      </c>
      <c r="AL284" s="181">
        <f t="shared" si="103"/>
        <v>83.703703703703695</v>
      </c>
      <c r="AM284" s="243"/>
    </row>
    <row r="285" spans="1:39" ht="28.5" customHeight="1" x14ac:dyDescent="0.25">
      <c r="A285" s="243"/>
      <c r="B285" s="410"/>
      <c r="C285" s="410"/>
      <c r="D285" s="410"/>
      <c r="E285" s="410"/>
      <c r="F285" s="410"/>
      <c r="G285" s="410"/>
      <c r="H285" s="410"/>
      <c r="I285" s="411"/>
      <c r="J285" s="410" t="s">
        <v>282</v>
      </c>
      <c r="K285" s="245"/>
      <c r="L285" s="257"/>
      <c r="M285" s="591" t="s">
        <v>283</v>
      </c>
      <c r="N285" s="592"/>
      <c r="O285" s="179"/>
      <c r="P285" s="180"/>
      <c r="Q285" s="180">
        <v>55878900</v>
      </c>
      <c r="R285" s="181">
        <f t="shared" si="100"/>
        <v>18.575594818011769</v>
      </c>
      <c r="S285" s="181">
        <v>100</v>
      </c>
      <c r="T285" s="180">
        <f t="shared" si="101"/>
        <v>21.910774907881152</v>
      </c>
      <c r="U285" s="180">
        <f t="shared" si="90"/>
        <v>4.0700567683745943</v>
      </c>
      <c r="V285" s="182">
        <f t="shared" si="87"/>
        <v>78.089225092118852</v>
      </c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  <c r="AG285" s="180"/>
      <c r="AH285" s="180"/>
      <c r="AI285" s="180">
        <v>12243500</v>
      </c>
      <c r="AJ285" s="181">
        <f t="shared" si="102"/>
        <v>21.910774907881152</v>
      </c>
      <c r="AK285" s="180">
        <f t="shared" si="97"/>
        <v>43635400</v>
      </c>
      <c r="AL285" s="181">
        <f t="shared" si="103"/>
        <v>78.089225092118852</v>
      </c>
      <c r="AM285" s="243"/>
    </row>
    <row r="286" spans="1:39" ht="28.5" customHeight="1" x14ac:dyDescent="0.25">
      <c r="A286" s="243"/>
      <c r="B286" s="410"/>
      <c r="C286" s="410"/>
      <c r="D286" s="410"/>
      <c r="E286" s="410"/>
      <c r="F286" s="410"/>
      <c r="G286" s="410"/>
      <c r="H286" s="410"/>
      <c r="I286" s="411"/>
      <c r="J286" s="410" t="s">
        <v>320</v>
      </c>
      <c r="K286" s="245"/>
      <c r="L286" s="257"/>
      <c r="M286" s="591" t="s">
        <v>414</v>
      </c>
      <c r="N286" s="592"/>
      <c r="O286" s="179"/>
      <c r="P286" s="180"/>
      <c r="Q286" s="180">
        <v>800000</v>
      </c>
      <c r="R286" s="181">
        <f t="shared" si="100"/>
        <v>0.26594073710129251</v>
      </c>
      <c r="S286" s="181">
        <v>100</v>
      </c>
      <c r="T286" s="180">
        <f t="shared" si="101"/>
        <v>0</v>
      </c>
      <c r="U286" s="180">
        <f t="shared" si="90"/>
        <v>0</v>
      </c>
      <c r="V286" s="182">
        <f t="shared" si="87"/>
        <v>100</v>
      </c>
      <c r="W286" s="180"/>
      <c r="X286" s="180"/>
      <c r="Y286" s="180"/>
      <c r="Z286" s="180"/>
      <c r="AA286" s="180"/>
      <c r="AB286" s="180"/>
      <c r="AC286" s="180"/>
      <c r="AD286" s="180"/>
      <c r="AE286" s="180"/>
      <c r="AF286" s="180"/>
      <c r="AG286" s="180"/>
      <c r="AH286" s="180"/>
      <c r="AI286" s="180">
        <v>0</v>
      </c>
      <c r="AJ286" s="181">
        <f t="shared" si="102"/>
        <v>0</v>
      </c>
      <c r="AK286" s="180">
        <f t="shared" si="97"/>
        <v>800000</v>
      </c>
      <c r="AL286" s="181">
        <f t="shared" si="103"/>
        <v>100</v>
      </c>
      <c r="AM286" s="243"/>
    </row>
    <row r="287" spans="1:39" s="297" customFormat="1" ht="28.5" customHeight="1" x14ac:dyDescent="0.25">
      <c r="A287" s="227">
        <f>A275+1</f>
        <v>39</v>
      </c>
      <c r="B287" s="615" t="s">
        <v>151</v>
      </c>
      <c r="C287" s="615"/>
      <c r="D287" s="615"/>
      <c r="E287" s="615"/>
      <c r="F287" s="615"/>
      <c r="G287" s="615"/>
      <c r="H287" s="615"/>
      <c r="I287" s="614"/>
      <c r="J287" s="304" t="s">
        <v>483</v>
      </c>
      <c r="K287" s="230"/>
      <c r="L287" s="294"/>
      <c r="M287" s="610" t="s">
        <v>42</v>
      </c>
      <c r="N287" s="610"/>
      <c r="O287" s="309">
        <v>128761142</v>
      </c>
      <c r="P287" s="231">
        <f>O287</f>
        <v>128761142</v>
      </c>
      <c r="Q287" s="231">
        <f>SUM(Q288:Q296)</f>
        <v>412682320</v>
      </c>
      <c r="R287" s="233">
        <f>Q287/Q$248*100</f>
        <v>3.4598230373427139</v>
      </c>
      <c r="S287" s="233">
        <v>100</v>
      </c>
      <c r="T287" s="231">
        <f t="shared" si="101"/>
        <v>6.0579285296254035</v>
      </c>
      <c r="U287" s="231">
        <f t="shared" si="90"/>
        <v>0.20959360685373646</v>
      </c>
      <c r="V287" s="296">
        <f t="shared" si="87"/>
        <v>93.9420714703746</v>
      </c>
      <c r="W287" s="231"/>
      <c r="X287" s="231" t="e">
        <f>#REF!</f>
        <v>#REF!</v>
      </c>
      <c r="Y287" s="231" t="e">
        <f>#REF!</f>
        <v>#REF!</v>
      </c>
      <c r="Z287" s="231" t="e">
        <f>#REF!</f>
        <v>#REF!</v>
      </c>
      <c r="AA287" s="231" t="e">
        <f>#REF!</f>
        <v>#REF!</v>
      </c>
      <c r="AB287" s="231">
        <v>11060000</v>
      </c>
      <c r="AC287" s="231" t="e">
        <f>#REF!</f>
        <v>#REF!</v>
      </c>
      <c r="AD287" s="231" t="e">
        <f>#REF!</f>
        <v>#REF!</v>
      </c>
      <c r="AE287" s="231" t="e">
        <f>#REF!</f>
        <v>#REF!</v>
      </c>
      <c r="AF287" s="231" t="e">
        <f>[1]April!N58</f>
        <v>#REF!</v>
      </c>
      <c r="AG287" s="231">
        <v>137440000</v>
      </c>
      <c r="AH287" s="231">
        <f>'[3]DES SKPD'!$N58</f>
        <v>133587000</v>
      </c>
      <c r="AI287" s="231">
        <f>SUM(AI288:AI296)</f>
        <v>25000000</v>
      </c>
      <c r="AJ287" s="233">
        <f t="shared" si="102"/>
        <v>6.0579285296254035</v>
      </c>
      <c r="AK287" s="231">
        <f t="shared" si="97"/>
        <v>387682320</v>
      </c>
      <c r="AL287" s="233">
        <f t="shared" si="103"/>
        <v>93.9420714703746</v>
      </c>
      <c r="AM287" s="227"/>
    </row>
    <row r="288" spans="1:39" ht="28.5" customHeight="1" x14ac:dyDescent="0.25">
      <c r="A288" s="243"/>
      <c r="B288" s="410"/>
      <c r="C288" s="410"/>
      <c r="D288" s="410"/>
      <c r="E288" s="410"/>
      <c r="F288" s="410"/>
      <c r="G288" s="410"/>
      <c r="H288" s="410"/>
      <c r="I288" s="411"/>
      <c r="J288" s="410" t="s">
        <v>257</v>
      </c>
      <c r="K288" s="245"/>
      <c r="L288" s="257"/>
      <c r="M288" s="591" t="s">
        <v>260</v>
      </c>
      <c r="N288" s="592"/>
      <c r="O288" s="179"/>
      <c r="P288" s="180"/>
      <c r="Q288" s="180">
        <v>1540000</v>
      </c>
      <c r="R288" s="181">
        <f>Q288/Q$297*100</f>
        <v>0.51971035259647624</v>
      </c>
      <c r="S288" s="181">
        <v>100</v>
      </c>
      <c r="T288" s="180">
        <f t="shared" si="101"/>
        <v>0</v>
      </c>
      <c r="U288" s="180">
        <f t="shared" si="90"/>
        <v>0</v>
      </c>
      <c r="V288" s="182">
        <f t="shared" si="87"/>
        <v>100</v>
      </c>
      <c r="W288" s="180"/>
      <c r="X288" s="180"/>
      <c r="Y288" s="180"/>
      <c r="Z288" s="180"/>
      <c r="AA288" s="180"/>
      <c r="AB288" s="180"/>
      <c r="AC288" s="180"/>
      <c r="AD288" s="180"/>
      <c r="AE288" s="180"/>
      <c r="AF288" s="180"/>
      <c r="AG288" s="180"/>
      <c r="AH288" s="180"/>
      <c r="AI288" s="180">
        <v>0</v>
      </c>
      <c r="AJ288" s="181">
        <f t="shared" si="102"/>
        <v>0</v>
      </c>
      <c r="AK288" s="180">
        <f t="shared" si="97"/>
        <v>1540000</v>
      </c>
      <c r="AL288" s="181">
        <f t="shared" si="103"/>
        <v>100</v>
      </c>
      <c r="AM288" s="243"/>
    </row>
    <row r="289" spans="1:39" ht="28.5" customHeight="1" x14ac:dyDescent="0.25">
      <c r="A289" s="243"/>
      <c r="B289" s="410"/>
      <c r="C289" s="410"/>
      <c r="D289" s="410"/>
      <c r="E289" s="410"/>
      <c r="F289" s="410"/>
      <c r="G289" s="410"/>
      <c r="H289" s="410"/>
      <c r="I289" s="411"/>
      <c r="J289" s="410" t="s">
        <v>326</v>
      </c>
      <c r="K289" s="245"/>
      <c r="L289" s="257"/>
      <c r="M289" s="591" t="s">
        <v>327</v>
      </c>
      <c r="N289" s="592"/>
      <c r="O289" s="179"/>
      <c r="P289" s="180"/>
      <c r="Q289" s="180">
        <v>255600000</v>
      </c>
      <c r="R289" s="181">
        <f>Q289/Q$297*100</f>
        <v>86.258419560817757</v>
      </c>
      <c r="S289" s="181">
        <v>100</v>
      </c>
      <c r="T289" s="180">
        <f>AJ289</f>
        <v>0</v>
      </c>
      <c r="U289" s="180">
        <f>R289*T289/100</f>
        <v>0</v>
      </c>
      <c r="V289" s="182">
        <f>S289-T289</f>
        <v>100</v>
      </c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  <c r="AG289" s="180"/>
      <c r="AH289" s="180"/>
      <c r="AI289" s="180">
        <v>0</v>
      </c>
      <c r="AJ289" s="181">
        <f t="shared" si="102"/>
        <v>0</v>
      </c>
      <c r="AK289" s="180">
        <f t="shared" si="97"/>
        <v>255600000</v>
      </c>
      <c r="AL289" s="181">
        <f t="shared" si="103"/>
        <v>100</v>
      </c>
      <c r="AM289" s="243"/>
    </row>
    <row r="290" spans="1:39" ht="28.5" customHeight="1" x14ac:dyDescent="0.25">
      <c r="A290" s="243"/>
      <c r="B290" s="410"/>
      <c r="C290" s="410"/>
      <c r="D290" s="410"/>
      <c r="E290" s="410"/>
      <c r="F290" s="410"/>
      <c r="G290" s="410"/>
      <c r="H290" s="410"/>
      <c r="I290" s="411"/>
      <c r="J290" s="410" t="s">
        <v>604</v>
      </c>
      <c r="K290" s="245"/>
      <c r="L290" s="257"/>
      <c r="M290" s="591" t="s">
        <v>324</v>
      </c>
      <c r="N290" s="592"/>
      <c r="O290" s="179"/>
      <c r="P290" s="180"/>
      <c r="Q290" s="180">
        <v>10000000</v>
      </c>
      <c r="R290" s="181"/>
      <c r="S290" s="181">
        <v>100</v>
      </c>
      <c r="T290" s="180">
        <f>AJ290</f>
        <v>0</v>
      </c>
      <c r="U290" s="180"/>
      <c r="V290" s="182">
        <f>S290-T290</f>
        <v>100</v>
      </c>
      <c r="W290" s="180"/>
      <c r="X290" s="180"/>
      <c r="Y290" s="180"/>
      <c r="Z290" s="180"/>
      <c r="AA290" s="180"/>
      <c r="AB290" s="180"/>
      <c r="AC290" s="180"/>
      <c r="AD290" s="180"/>
      <c r="AE290" s="180"/>
      <c r="AF290" s="180"/>
      <c r="AG290" s="180"/>
      <c r="AH290" s="180"/>
      <c r="AI290" s="180">
        <v>0</v>
      </c>
      <c r="AJ290" s="181">
        <f t="shared" si="102"/>
        <v>0</v>
      </c>
      <c r="AK290" s="180">
        <f t="shared" si="97"/>
        <v>10000000</v>
      </c>
      <c r="AL290" s="181">
        <f t="shared" si="103"/>
        <v>100</v>
      </c>
      <c r="AM290" s="243"/>
    </row>
    <row r="291" spans="1:39" ht="28.5" customHeight="1" x14ac:dyDescent="0.25">
      <c r="A291" s="243"/>
      <c r="B291" s="410"/>
      <c r="C291" s="410"/>
      <c r="D291" s="410"/>
      <c r="E291" s="410"/>
      <c r="F291" s="410"/>
      <c r="G291" s="410"/>
      <c r="H291" s="410"/>
      <c r="I291" s="411"/>
      <c r="J291" s="410" t="s">
        <v>269</v>
      </c>
      <c r="K291" s="245"/>
      <c r="L291" s="257"/>
      <c r="M291" s="591" t="s">
        <v>270</v>
      </c>
      <c r="N291" s="592"/>
      <c r="O291" s="179"/>
      <c r="P291" s="180"/>
      <c r="Q291" s="180">
        <v>25000000</v>
      </c>
      <c r="R291" s="181">
        <f t="shared" ref="R291:R296" si="104">Q291/Q$297*100</f>
        <v>8.4368563733194204</v>
      </c>
      <c r="S291" s="181">
        <v>100</v>
      </c>
      <c r="T291" s="180">
        <f t="shared" si="101"/>
        <v>100</v>
      </c>
      <c r="U291" s="180">
        <f t="shared" si="90"/>
        <v>8.4368563733194204</v>
      </c>
      <c r="V291" s="182">
        <f t="shared" si="87"/>
        <v>0</v>
      </c>
      <c r="W291" s="180"/>
      <c r="X291" s="180"/>
      <c r="Y291" s="180"/>
      <c r="Z291" s="180"/>
      <c r="AA291" s="180"/>
      <c r="AB291" s="180"/>
      <c r="AC291" s="180"/>
      <c r="AD291" s="180"/>
      <c r="AE291" s="180"/>
      <c r="AF291" s="180"/>
      <c r="AG291" s="180"/>
      <c r="AH291" s="180"/>
      <c r="AI291" s="180">
        <v>25000000</v>
      </c>
      <c r="AJ291" s="181">
        <f t="shared" si="102"/>
        <v>100</v>
      </c>
      <c r="AK291" s="180">
        <f t="shared" si="97"/>
        <v>0</v>
      </c>
      <c r="AL291" s="181">
        <f t="shared" si="103"/>
        <v>0</v>
      </c>
      <c r="AM291" s="243"/>
    </row>
    <row r="292" spans="1:39" ht="28.5" customHeight="1" x14ac:dyDescent="0.25">
      <c r="A292" s="243"/>
      <c r="B292" s="410"/>
      <c r="C292" s="410"/>
      <c r="D292" s="410"/>
      <c r="E292" s="410"/>
      <c r="F292" s="410"/>
      <c r="G292" s="410"/>
      <c r="H292" s="410"/>
      <c r="I292" s="411"/>
      <c r="J292" s="410" t="s">
        <v>315</v>
      </c>
      <c r="K292" s="245"/>
      <c r="L292" s="257"/>
      <c r="M292" s="591" t="s">
        <v>271</v>
      </c>
      <c r="N292" s="592"/>
      <c r="O292" s="179"/>
      <c r="P292" s="180"/>
      <c r="Q292" s="180">
        <v>1000000</v>
      </c>
      <c r="R292" s="181">
        <f t="shared" si="104"/>
        <v>0.33747425493277683</v>
      </c>
      <c r="S292" s="181">
        <v>100</v>
      </c>
      <c r="T292" s="180">
        <f t="shared" si="101"/>
        <v>0</v>
      </c>
      <c r="U292" s="180">
        <f t="shared" si="90"/>
        <v>0</v>
      </c>
      <c r="V292" s="182">
        <f t="shared" si="87"/>
        <v>100</v>
      </c>
      <c r="W292" s="180"/>
      <c r="X292" s="180"/>
      <c r="Y292" s="180"/>
      <c r="Z292" s="180"/>
      <c r="AA292" s="180"/>
      <c r="AB292" s="180"/>
      <c r="AC292" s="180"/>
      <c r="AD292" s="180"/>
      <c r="AE292" s="180"/>
      <c r="AF292" s="180"/>
      <c r="AG292" s="180"/>
      <c r="AH292" s="180"/>
      <c r="AI292" s="180">
        <v>0</v>
      </c>
      <c r="AJ292" s="181">
        <f t="shared" si="102"/>
        <v>0</v>
      </c>
      <c r="AK292" s="180">
        <f t="shared" si="97"/>
        <v>1000000</v>
      </c>
      <c r="AL292" s="181">
        <f t="shared" si="103"/>
        <v>100</v>
      </c>
      <c r="AM292" s="243"/>
    </row>
    <row r="293" spans="1:39" ht="28.5" customHeight="1" x14ac:dyDescent="0.25">
      <c r="A293" s="243"/>
      <c r="B293" s="410"/>
      <c r="C293" s="410"/>
      <c r="D293" s="410"/>
      <c r="E293" s="410"/>
      <c r="F293" s="410"/>
      <c r="G293" s="410"/>
      <c r="H293" s="410"/>
      <c r="I293" s="411"/>
      <c r="J293" s="410" t="s">
        <v>318</v>
      </c>
      <c r="K293" s="245"/>
      <c r="L293" s="257"/>
      <c r="M293" s="591" t="s">
        <v>319</v>
      </c>
      <c r="N293" s="592"/>
      <c r="O293" s="179"/>
      <c r="P293" s="180"/>
      <c r="Q293" s="180">
        <v>105482320</v>
      </c>
      <c r="R293" s="181">
        <f t="shared" si="104"/>
        <v>35.597567350580746</v>
      </c>
      <c r="S293" s="181">
        <v>100</v>
      </c>
      <c r="T293" s="180">
        <f t="shared" si="101"/>
        <v>0</v>
      </c>
      <c r="U293" s="180"/>
      <c r="V293" s="182">
        <f t="shared" si="87"/>
        <v>100</v>
      </c>
      <c r="W293" s="180"/>
      <c r="X293" s="180"/>
      <c r="Y293" s="180"/>
      <c r="Z293" s="180"/>
      <c r="AA293" s="180"/>
      <c r="AB293" s="180"/>
      <c r="AC293" s="180"/>
      <c r="AD293" s="180"/>
      <c r="AE293" s="180"/>
      <c r="AF293" s="180"/>
      <c r="AG293" s="180"/>
      <c r="AH293" s="180"/>
      <c r="AI293" s="180">
        <v>0</v>
      </c>
      <c r="AJ293" s="181">
        <f t="shared" si="102"/>
        <v>0</v>
      </c>
      <c r="AK293" s="180">
        <f t="shared" si="97"/>
        <v>105482320</v>
      </c>
      <c r="AL293" s="181">
        <f t="shared" si="103"/>
        <v>100</v>
      </c>
      <c r="AM293" s="243"/>
    </row>
    <row r="294" spans="1:39" ht="28.5" customHeight="1" x14ac:dyDescent="0.25">
      <c r="A294" s="243"/>
      <c r="B294" s="410"/>
      <c r="C294" s="410"/>
      <c r="D294" s="410"/>
      <c r="E294" s="410"/>
      <c r="F294" s="410"/>
      <c r="G294" s="410"/>
      <c r="H294" s="410"/>
      <c r="I294" s="411"/>
      <c r="J294" s="410" t="s">
        <v>280</v>
      </c>
      <c r="K294" s="245"/>
      <c r="L294" s="257"/>
      <c r="M294" s="591" t="s">
        <v>281</v>
      </c>
      <c r="N294" s="592"/>
      <c r="O294" s="179"/>
      <c r="P294" s="180"/>
      <c r="Q294" s="180">
        <v>13000000</v>
      </c>
      <c r="R294" s="181">
        <f t="shared" si="104"/>
        <v>4.3871653141260989</v>
      </c>
      <c r="S294" s="181">
        <v>100</v>
      </c>
      <c r="T294" s="180">
        <f t="shared" si="101"/>
        <v>0</v>
      </c>
      <c r="U294" s="180">
        <f t="shared" si="90"/>
        <v>0</v>
      </c>
      <c r="V294" s="182">
        <f t="shared" si="87"/>
        <v>100</v>
      </c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>
        <v>0</v>
      </c>
      <c r="AJ294" s="181">
        <f t="shared" si="102"/>
        <v>0</v>
      </c>
      <c r="AK294" s="180">
        <f t="shared" si="97"/>
        <v>13000000</v>
      </c>
      <c r="AL294" s="181">
        <f t="shared" si="103"/>
        <v>100</v>
      </c>
      <c r="AM294" s="243"/>
    </row>
    <row r="295" spans="1:39" ht="28.5" customHeight="1" x14ac:dyDescent="0.25">
      <c r="A295" s="243"/>
      <c r="B295" s="410"/>
      <c r="C295" s="410"/>
      <c r="D295" s="410"/>
      <c r="E295" s="410"/>
      <c r="F295" s="410"/>
      <c r="G295" s="410"/>
      <c r="H295" s="410"/>
      <c r="I295" s="411"/>
      <c r="J295" s="410" t="s">
        <v>284</v>
      </c>
      <c r="K295" s="245"/>
      <c r="L295" s="257"/>
      <c r="M295" s="591" t="s">
        <v>600</v>
      </c>
      <c r="N295" s="592"/>
      <c r="O295" s="179"/>
      <c r="P295" s="180"/>
      <c r="Q295" s="180">
        <v>660000</v>
      </c>
      <c r="R295" s="181">
        <f t="shared" si="104"/>
        <v>0.22273300825563269</v>
      </c>
      <c r="S295" s="181">
        <v>100</v>
      </c>
      <c r="T295" s="180">
        <f t="shared" si="101"/>
        <v>0</v>
      </c>
      <c r="U295" s="180"/>
      <c r="V295" s="182">
        <f t="shared" si="87"/>
        <v>100</v>
      </c>
      <c r="W295" s="180"/>
      <c r="X295" s="180"/>
      <c r="Y295" s="180"/>
      <c r="Z295" s="180"/>
      <c r="AA295" s="180"/>
      <c r="AB295" s="180"/>
      <c r="AC295" s="180"/>
      <c r="AD295" s="180"/>
      <c r="AE295" s="180"/>
      <c r="AF295" s="180"/>
      <c r="AG295" s="180"/>
      <c r="AH295" s="180"/>
      <c r="AI295" s="180">
        <v>0</v>
      </c>
      <c r="AJ295" s="181">
        <f t="shared" si="102"/>
        <v>0</v>
      </c>
      <c r="AK295" s="180">
        <f t="shared" si="97"/>
        <v>660000</v>
      </c>
      <c r="AL295" s="181">
        <f t="shared" si="103"/>
        <v>100</v>
      </c>
      <c r="AM295" s="243"/>
    </row>
    <row r="296" spans="1:39" ht="28.5" customHeight="1" x14ac:dyDescent="0.25">
      <c r="A296" s="243"/>
      <c r="B296" s="410"/>
      <c r="C296" s="410"/>
      <c r="D296" s="410"/>
      <c r="E296" s="410"/>
      <c r="F296" s="410"/>
      <c r="G296" s="410"/>
      <c r="H296" s="410"/>
      <c r="I296" s="411"/>
      <c r="J296" s="410" t="s">
        <v>407</v>
      </c>
      <c r="K296" s="245"/>
      <c r="L296" s="257"/>
      <c r="M296" s="591" t="s">
        <v>414</v>
      </c>
      <c r="N296" s="592"/>
      <c r="O296" s="179"/>
      <c r="P296" s="180"/>
      <c r="Q296" s="180">
        <v>400000</v>
      </c>
      <c r="R296" s="181">
        <f t="shared" si="104"/>
        <v>0.13498970197311072</v>
      </c>
      <c r="S296" s="181">
        <v>100</v>
      </c>
      <c r="T296" s="180">
        <f t="shared" si="101"/>
        <v>0</v>
      </c>
      <c r="U296" s="180">
        <f t="shared" si="90"/>
        <v>0</v>
      </c>
      <c r="V296" s="182">
        <f t="shared" si="87"/>
        <v>100</v>
      </c>
      <c r="W296" s="180"/>
      <c r="X296" s="180"/>
      <c r="Y296" s="180"/>
      <c r="Z296" s="180"/>
      <c r="AA296" s="180"/>
      <c r="AB296" s="180"/>
      <c r="AC296" s="180"/>
      <c r="AD296" s="180"/>
      <c r="AE296" s="180"/>
      <c r="AF296" s="180"/>
      <c r="AG296" s="180"/>
      <c r="AH296" s="180"/>
      <c r="AI296" s="180">
        <v>0</v>
      </c>
      <c r="AJ296" s="181">
        <f t="shared" si="102"/>
        <v>0</v>
      </c>
      <c r="AK296" s="180">
        <f t="shared" si="97"/>
        <v>400000</v>
      </c>
      <c r="AL296" s="181">
        <f t="shared" si="103"/>
        <v>100</v>
      </c>
      <c r="AM296" s="243"/>
    </row>
    <row r="297" spans="1:39" s="311" customFormat="1" ht="33" customHeight="1" x14ac:dyDescent="0.25">
      <c r="A297" s="227">
        <f>A287+1</f>
        <v>40</v>
      </c>
      <c r="B297" s="615" t="s">
        <v>147</v>
      </c>
      <c r="C297" s="615"/>
      <c r="D297" s="615"/>
      <c r="E297" s="615"/>
      <c r="F297" s="615"/>
      <c r="G297" s="615"/>
      <c r="H297" s="615"/>
      <c r="I297" s="614"/>
      <c r="J297" s="304" t="s">
        <v>484</v>
      </c>
      <c r="K297" s="230"/>
      <c r="L297" s="294"/>
      <c r="M297" s="609" t="s">
        <v>43</v>
      </c>
      <c r="N297" s="609"/>
      <c r="O297" s="310">
        <v>450820000</v>
      </c>
      <c r="P297" s="231">
        <f>O297</f>
        <v>450820000</v>
      </c>
      <c r="Q297" s="231">
        <f>SUM(Q298:Q308)</f>
        <v>296318900</v>
      </c>
      <c r="R297" s="233">
        <f>Q297/Q$248*100</f>
        <v>2.4842618811972654</v>
      </c>
      <c r="S297" s="233">
        <v>100</v>
      </c>
      <c r="T297" s="231">
        <f t="shared" si="101"/>
        <v>0</v>
      </c>
      <c r="U297" s="231">
        <f t="shared" si="90"/>
        <v>0</v>
      </c>
      <c r="V297" s="296">
        <f t="shared" si="87"/>
        <v>100</v>
      </c>
      <c r="W297" s="231"/>
      <c r="X297" s="231" t="e">
        <f>#REF!</f>
        <v>#REF!</v>
      </c>
      <c r="Y297" s="231" t="e">
        <f>#REF!</f>
        <v>#REF!</v>
      </c>
      <c r="Z297" s="231" t="e">
        <f>#REF!</f>
        <v>#REF!</v>
      </c>
      <c r="AA297" s="231" t="e">
        <f>#REF!</f>
        <v>#REF!</v>
      </c>
      <c r="AB297" s="231">
        <v>0</v>
      </c>
      <c r="AC297" s="231" t="e">
        <f>#REF!</f>
        <v>#REF!</v>
      </c>
      <c r="AD297" s="231" t="e">
        <f>#REF!</f>
        <v>#REF!</v>
      </c>
      <c r="AE297" s="231" t="e">
        <f>#REF!</f>
        <v>#REF!</v>
      </c>
      <c r="AF297" s="231" t="e">
        <f>[1]April!N59</f>
        <v>#REF!</v>
      </c>
      <c r="AG297" s="231" t="e">
        <f>[2]april!N59</f>
        <v>#REF!</v>
      </c>
      <c r="AH297" s="231">
        <f>'[3]DES SKPD'!$N59</f>
        <v>395224250</v>
      </c>
      <c r="AI297" s="231">
        <f>SUM(AI298:AI308)</f>
        <v>0</v>
      </c>
      <c r="AJ297" s="233">
        <f t="shared" si="102"/>
        <v>0</v>
      </c>
      <c r="AK297" s="231">
        <f t="shared" si="97"/>
        <v>296318900</v>
      </c>
      <c r="AL297" s="233">
        <f t="shared" si="103"/>
        <v>100</v>
      </c>
      <c r="AM297" s="227"/>
    </row>
    <row r="298" spans="1:39" ht="28.5" customHeight="1" x14ac:dyDescent="0.25">
      <c r="A298" s="243"/>
      <c r="B298" s="410"/>
      <c r="C298" s="410"/>
      <c r="D298" s="410"/>
      <c r="E298" s="410"/>
      <c r="F298" s="410"/>
      <c r="G298" s="410"/>
      <c r="H298" s="410"/>
      <c r="I298" s="411"/>
      <c r="J298" s="410" t="s">
        <v>257</v>
      </c>
      <c r="K298" s="245"/>
      <c r="L298" s="257"/>
      <c r="M298" s="591" t="s">
        <v>260</v>
      </c>
      <c r="N298" s="592"/>
      <c r="O298" s="179"/>
      <c r="P298" s="180"/>
      <c r="Q298" s="180">
        <v>1540000</v>
      </c>
      <c r="R298" s="181">
        <f>Q298/Q$297*100</f>
        <v>0.51971035259647624</v>
      </c>
      <c r="S298" s="181">
        <v>100</v>
      </c>
      <c r="T298" s="180">
        <f t="shared" si="101"/>
        <v>0</v>
      </c>
      <c r="U298" s="180">
        <f t="shared" si="90"/>
        <v>0</v>
      </c>
      <c r="V298" s="182">
        <f t="shared" ref="V298:V537" si="105">S298-T298</f>
        <v>100</v>
      </c>
      <c r="W298" s="180"/>
      <c r="X298" s="180"/>
      <c r="Y298" s="180"/>
      <c r="Z298" s="180"/>
      <c r="AA298" s="180"/>
      <c r="AB298" s="180"/>
      <c r="AC298" s="180"/>
      <c r="AD298" s="180"/>
      <c r="AE298" s="180"/>
      <c r="AF298" s="180"/>
      <c r="AG298" s="180"/>
      <c r="AH298" s="180"/>
      <c r="AI298" s="180">
        <v>0</v>
      </c>
      <c r="AJ298" s="181">
        <f t="shared" si="102"/>
        <v>0</v>
      </c>
      <c r="AK298" s="180">
        <f t="shared" si="97"/>
        <v>1540000</v>
      </c>
      <c r="AL298" s="181">
        <f t="shared" si="103"/>
        <v>100</v>
      </c>
      <c r="AM298" s="243"/>
    </row>
    <row r="299" spans="1:39" ht="28.5" customHeight="1" x14ac:dyDescent="0.25">
      <c r="A299" s="243"/>
      <c r="B299" s="410"/>
      <c r="C299" s="410"/>
      <c r="D299" s="410"/>
      <c r="E299" s="410"/>
      <c r="F299" s="410"/>
      <c r="G299" s="410"/>
      <c r="H299" s="410"/>
      <c r="I299" s="411"/>
      <c r="J299" s="410" t="s">
        <v>326</v>
      </c>
      <c r="K299" s="245"/>
      <c r="L299" s="257"/>
      <c r="M299" s="591" t="s">
        <v>327</v>
      </c>
      <c r="N299" s="592"/>
      <c r="O299" s="179"/>
      <c r="P299" s="180"/>
      <c r="Q299" s="180">
        <v>140400000</v>
      </c>
      <c r="R299" s="181">
        <f t="shared" ref="R299:R308" si="106">Q299/Q$297*100</f>
        <v>47.381385392561867</v>
      </c>
      <c r="S299" s="181">
        <v>100</v>
      </c>
      <c r="T299" s="180">
        <f t="shared" si="101"/>
        <v>0</v>
      </c>
      <c r="U299" s="180">
        <f t="shared" si="90"/>
        <v>0</v>
      </c>
      <c r="V299" s="182">
        <f t="shared" si="105"/>
        <v>100</v>
      </c>
      <c r="W299" s="180"/>
      <c r="X299" s="180"/>
      <c r="Y299" s="180"/>
      <c r="Z299" s="180"/>
      <c r="AA299" s="180"/>
      <c r="AB299" s="180"/>
      <c r="AC299" s="180"/>
      <c r="AD299" s="180"/>
      <c r="AE299" s="180"/>
      <c r="AF299" s="180"/>
      <c r="AG299" s="180"/>
      <c r="AH299" s="180"/>
      <c r="AI299" s="180">
        <v>0</v>
      </c>
      <c r="AJ299" s="181">
        <f t="shared" si="102"/>
        <v>0</v>
      </c>
      <c r="AK299" s="180">
        <f t="shared" si="97"/>
        <v>140400000</v>
      </c>
      <c r="AL299" s="181">
        <f t="shared" si="103"/>
        <v>100</v>
      </c>
      <c r="AM299" s="243"/>
    </row>
    <row r="300" spans="1:39" ht="28.5" customHeight="1" x14ac:dyDescent="0.25">
      <c r="A300" s="243"/>
      <c r="B300" s="410"/>
      <c r="C300" s="410"/>
      <c r="D300" s="410"/>
      <c r="E300" s="410"/>
      <c r="F300" s="410"/>
      <c r="G300" s="410"/>
      <c r="H300" s="410"/>
      <c r="I300" s="411"/>
      <c r="J300" s="410" t="s">
        <v>323</v>
      </c>
      <c r="K300" s="245"/>
      <c r="L300" s="257"/>
      <c r="M300" s="591" t="s">
        <v>324</v>
      </c>
      <c r="N300" s="592"/>
      <c r="O300" s="179"/>
      <c r="P300" s="180"/>
      <c r="Q300" s="180">
        <v>10000000</v>
      </c>
      <c r="R300" s="181">
        <f t="shared" si="106"/>
        <v>3.3747425493277681</v>
      </c>
      <c r="S300" s="181">
        <v>100</v>
      </c>
      <c r="T300" s="180">
        <f t="shared" si="101"/>
        <v>0</v>
      </c>
      <c r="U300" s="180">
        <f t="shared" si="90"/>
        <v>0</v>
      </c>
      <c r="V300" s="182">
        <f t="shared" si="105"/>
        <v>100</v>
      </c>
      <c r="W300" s="180"/>
      <c r="X300" s="180"/>
      <c r="Y300" s="180"/>
      <c r="Z300" s="180"/>
      <c r="AA300" s="180"/>
      <c r="AB300" s="180"/>
      <c r="AC300" s="180"/>
      <c r="AD300" s="180"/>
      <c r="AE300" s="180"/>
      <c r="AF300" s="180"/>
      <c r="AG300" s="180"/>
      <c r="AH300" s="180"/>
      <c r="AI300" s="180">
        <v>0</v>
      </c>
      <c r="AJ300" s="181">
        <f t="shared" si="102"/>
        <v>0</v>
      </c>
      <c r="AK300" s="180">
        <f t="shared" si="97"/>
        <v>10000000</v>
      </c>
      <c r="AL300" s="181">
        <f t="shared" si="103"/>
        <v>100</v>
      </c>
      <c r="AM300" s="243"/>
    </row>
    <row r="301" spans="1:39" ht="28.5" customHeight="1" x14ac:dyDescent="0.25">
      <c r="A301" s="243"/>
      <c r="B301" s="410"/>
      <c r="C301" s="410"/>
      <c r="D301" s="410"/>
      <c r="E301" s="410"/>
      <c r="F301" s="410"/>
      <c r="G301" s="410"/>
      <c r="H301" s="410"/>
      <c r="I301" s="411"/>
      <c r="J301" s="410" t="s">
        <v>341</v>
      </c>
      <c r="K301" s="245"/>
      <c r="L301" s="257"/>
      <c r="M301" s="591" t="s">
        <v>337</v>
      </c>
      <c r="N301" s="592"/>
      <c r="O301" s="179"/>
      <c r="P301" s="180"/>
      <c r="Q301" s="180">
        <v>10000000</v>
      </c>
      <c r="R301" s="181">
        <f t="shared" si="106"/>
        <v>3.3747425493277681</v>
      </c>
      <c r="S301" s="181">
        <v>100</v>
      </c>
      <c r="T301" s="180">
        <f t="shared" si="101"/>
        <v>0</v>
      </c>
      <c r="U301" s="180">
        <f t="shared" si="90"/>
        <v>0</v>
      </c>
      <c r="V301" s="182">
        <f t="shared" si="105"/>
        <v>100</v>
      </c>
      <c r="W301" s="180"/>
      <c r="X301" s="180"/>
      <c r="Y301" s="180"/>
      <c r="Z301" s="180"/>
      <c r="AA301" s="180"/>
      <c r="AB301" s="180"/>
      <c r="AC301" s="180"/>
      <c r="AD301" s="180"/>
      <c r="AE301" s="180"/>
      <c r="AF301" s="180"/>
      <c r="AG301" s="180"/>
      <c r="AH301" s="180"/>
      <c r="AI301" s="180">
        <v>0</v>
      </c>
      <c r="AJ301" s="181">
        <f t="shared" si="102"/>
        <v>0</v>
      </c>
      <c r="AK301" s="180">
        <f t="shared" si="97"/>
        <v>10000000</v>
      </c>
      <c r="AL301" s="181">
        <f t="shared" si="103"/>
        <v>100</v>
      </c>
      <c r="AM301" s="243"/>
    </row>
    <row r="302" spans="1:39" ht="28.5" customHeight="1" x14ac:dyDescent="0.25">
      <c r="A302" s="243"/>
      <c r="B302" s="410"/>
      <c r="C302" s="410"/>
      <c r="D302" s="410"/>
      <c r="E302" s="410"/>
      <c r="F302" s="410"/>
      <c r="G302" s="410"/>
      <c r="H302" s="410"/>
      <c r="I302" s="411"/>
      <c r="J302" s="410" t="s">
        <v>269</v>
      </c>
      <c r="K302" s="245"/>
      <c r="L302" s="257"/>
      <c r="M302" s="591" t="s">
        <v>270</v>
      </c>
      <c r="N302" s="592"/>
      <c r="O302" s="179"/>
      <c r="P302" s="180"/>
      <c r="Q302" s="180">
        <v>23000000</v>
      </c>
      <c r="R302" s="181">
        <f t="shared" si="106"/>
        <v>7.7619078634538665</v>
      </c>
      <c r="S302" s="181">
        <v>100</v>
      </c>
      <c r="T302" s="180">
        <f t="shared" si="101"/>
        <v>0</v>
      </c>
      <c r="U302" s="180">
        <f t="shared" ref="U302:U365" si="107">R302*T302/100</f>
        <v>0</v>
      </c>
      <c r="V302" s="182">
        <f t="shared" si="105"/>
        <v>100</v>
      </c>
      <c r="W302" s="180"/>
      <c r="X302" s="180"/>
      <c r="Y302" s="180"/>
      <c r="Z302" s="180"/>
      <c r="AA302" s="180"/>
      <c r="AB302" s="180"/>
      <c r="AC302" s="180"/>
      <c r="AD302" s="180"/>
      <c r="AE302" s="180"/>
      <c r="AF302" s="180"/>
      <c r="AG302" s="180"/>
      <c r="AH302" s="180"/>
      <c r="AI302" s="180">
        <v>0</v>
      </c>
      <c r="AJ302" s="181">
        <f t="shared" si="102"/>
        <v>0</v>
      </c>
      <c r="AK302" s="180">
        <f t="shared" si="97"/>
        <v>23000000</v>
      </c>
      <c r="AL302" s="181">
        <f t="shared" si="103"/>
        <v>100</v>
      </c>
      <c r="AM302" s="243"/>
    </row>
    <row r="303" spans="1:39" ht="28.5" customHeight="1" x14ac:dyDescent="0.25">
      <c r="A303" s="243"/>
      <c r="B303" s="410"/>
      <c r="C303" s="410"/>
      <c r="D303" s="410"/>
      <c r="E303" s="410"/>
      <c r="F303" s="410"/>
      <c r="G303" s="410"/>
      <c r="H303" s="410"/>
      <c r="I303" s="411"/>
      <c r="J303" s="410" t="s">
        <v>315</v>
      </c>
      <c r="K303" s="245"/>
      <c r="L303" s="257"/>
      <c r="M303" s="591" t="s">
        <v>271</v>
      </c>
      <c r="N303" s="592"/>
      <c r="O303" s="179"/>
      <c r="P303" s="180"/>
      <c r="Q303" s="180">
        <v>17000000</v>
      </c>
      <c r="R303" s="181">
        <f t="shared" si="106"/>
        <v>5.7370623338572058</v>
      </c>
      <c r="S303" s="181">
        <v>100</v>
      </c>
      <c r="T303" s="180">
        <f t="shared" si="101"/>
        <v>0</v>
      </c>
      <c r="U303" s="180">
        <f t="shared" si="107"/>
        <v>0</v>
      </c>
      <c r="V303" s="182">
        <f t="shared" si="105"/>
        <v>100</v>
      </c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>
        <v>0</v>
      </c>
      <c r="AJ303" s="181">
        <f t="shared" si="102"/>
        <v>0</v>
      </c>
      <c r="AK303" s="180">
        <f t="shared" si="97"/>
        <v>17000000</v>
      </c>
      <c r="AL303" s="181">
        <f t="shared" si="103"/>
        <v>100</v>
      </c>
      <c r="AM303" s="243"/>
    </row>
    <row r="304" spans="1:39" ht="28.5" customHeight="1" x14ac:dyDescent="0.25">
      <c r="A304" s="243"/>
      <c r="B304" s="410"/>
      <c r="C304" s="410"/>
      <c r="D304" s="410"/>
      <c r="E304" s="410"/>
      <c r="F304" s="410"/>
      <c r="G304" s="410"/>
      <c r="H304" s="410"/>
      <c r="I304" s="411"/>
      <c r="J304" s="410" t="s">
        <v>343</v>
      </c>
      <c r="K304" s="245"/>
      <c r="L304" s="257"/>
      <c r="M304" s="591" t="s">
        <v>319</v>
      </c>
      <c r="N304" s="592"/>
      <c r="O304" s="179"/>
      <c r="P304" s="180"/>
      <c r="Q304" s="180">
        <v>32500000</v>
      </c>
      <c r="R304" s="181">
        <f t="shared" si="106"/>
        <v>10.967913285315246</v>
      </c>
      <c r="S304" s="181">
        <v>100</v>
      </c>
      <c r="T304" s="180">
        <f t="shared" si="101"/>
        <v>0</v>
      </c>
      <c r="U304" s="180">
        <f t="shared" si="107"/>
        <v>0</v>
      </c>
      <c r="V304" s="182">
        <f t="shared" si="105"/>
        <v>100</v>
      </c>
      <c r="W304" s="180"/>
      <c r="X304" s="180"/>
      <c r="Y304" s="180"/>
      <c r="Z304" s="180"/>
      <c r="AA304" s="180"/>
      <c r="AB304" s="180"/>
      <c r="AC304" s="180"/>
      <c r="AD304" s="180"/>
      <c r="AE304" s="180"/>
      <c r="AF304" s="180"/>
      <c r="AG304" s="180"/>
      <c r="AH304" s="180"/>
      <c r="AI304" s="180">
        <v>0</v>
      </c>
      <c r="AJ304" s="181">
        <f t="shared" si="102"/>
        <v>0</v>
      </c>
      <c r="AK304" s="180">
        <f t="shared" si="97"/>
        <v>32500000</v>
      </c>
      <c r="AL304" s="181">
        <f t="shared" si="103"/>
        <v>100</v>
      </c>
      <c r="AM304" s="243"/>
    </row>
    <row r="305" spans="1:39" ht="28.5" customHeight="1" x14ac:dyDescent="0.25">
      <c r="A305" s="243"/>
      <c r="B305" s="410"/>
      <c r="C305" s="410"/>
      <c r="D305" s="410"/>
      <c r="E305" s="410"/>
      <c r="F305" s="410"/>
      <c r="G305" s="410"/>
      <c r="H305" s="410"/>
      <c r="I305" s="411"/>
      <c r="J305" s="410" t="s">
        <v>280</v>
      </c>
      <c r="K305" s="245"/>
      <c r="L305" s="257"/>
      <c r="M305" s="591" t="s">
        <v>281</v>
      </c>
      <c r="N305" s="592"/>
      <c r="O305" s="179"/>
      <c r="P305" s="180"/>
      <c r="Q305" s="180">
        <v>6500000</v>
      </c>
      <c r="R305" s="181">
        <f t="shared" si="106"/>
        <v>2.1935826570630494</v>
      </c>
      <c r="S305" s="181">
        <v>100</v>
      </c>
      <c r="T305" s="180">
        <f t="shared" si="101"/>
        <v>0</v>
      </c>
      <c r="U305" s="180">
        <f t="shared" si="107"/>
        <v>0</v>
      </c>
      <c r="V305" s="182">
        <f t="shared" si="105"/>
        <v>100</v>
      </c>
      <c r="W305" s="180"/>
      <c r="X305" s="180"/>
      <c r="Y305" s="180"/>
      <c r="Z305" s="180"/>
      <c r="AA305" s="180"/>
      <c r="AB305" s="180"/>
      <c r="AC305" s="180"/>
      <c r="AD305" s="180"/>
      <c r="AE305" s="180"/>
      <c r="AF305" s="180"/>
      <c r="AG305" s="180"/>
      <c r="AH305" s="180"/>
      <c r="AI305" s="180">
        <v>0</v>
      </c>
      <c r="AJ305" s="181">
        <f t="shared" si="102"/>
        <v>0</v>
      </c>
      <c r="AK305" s="180">
        <f t="shared" si="97"/>
        <v>6500000</v>
      </c>
      <c r="AL305" s="181">
        <f t="shared" si="103"/>
        <v>100</v>
      </c>
      <c r="AM305" s="243"/>
    </row>
    <row r="306" spans="1:39" ht="28.5" customHeight="1" x14ac:dyDescent="0.25">
      <c r="A306" s="243"/>
      <c r="B306" s="410"/>
      <c r="C306" s="410"/>
      <c r="D306" s="410"/>
      <c r="E306" s="410"/>
      <c r="F306" s="410"/>
      <c r="G306" s="410"/>
      <c r="H306" s="410"/>
      <c r="I306" s="411"/>
      <c r="J306" s="410"/>
      <c r="K306" s="245"/>
      <c r="L306" s="257"/>
      <c r="M306" s="591" t="s">
        <v>285</v>
      </c>
      <c r="N306" s="592"/>
      <c r="O306" s="179"/>
      <c r="P306" s="180"/>
      <c r="Q306" s="180">
        <v>660000</v>
      </c>
      <c r="R306" s="181">
        <f t="shared" si="106"/>
        <v>0.22273300825563269</v>
      </c>
      <c r="S306" s="181"/>
      <c r="T306" s="180">
        <f t="shared" si="101"/>
        <v>0</v>
      </c>
      <c r="U306" s="180">
        <f t="shared" si="107"/>
        <v>0</v>
      </c>
      <c r="V306" s="182">
        <f t="shared" si="105"/>
        <v>0</v>
      </c>
      <c r="W306" s="180"/>
      <c r="X306" s="180"/>
      <c r="Y306" s="180"/>
      <c r="Z306" s="180"/>
      <c r="AA306" s="180"/>
      <c r="AB306" s="180"/>
      <c r="AC306" s="180"/>
      <c r="AD306" s="180"/>
      <c r="AE306" s="180"/>
      <c r="AF306" s="180"/>
      <c r="AG306" s="180"/>
      <c r="AH306" s="180"/>
      <c r="AI306" s="180">
        <v>0</v>
      </c>
      <c r="AJ306" s="181">
        <f t="shared" si="102"/>
        <v>0</v>
      </c>
      <c r="AK306" s="180">
        <f t="shared" si="97"/>
        <v>660000</v>
      </c>
      <c r="AL306" s="181">
        <f t="shared" si="103"/>
        <v>100</v>
      </c>
      <c r="AM306" s="243"/>
    </row>
    <row r="307" spans="1:39" ht="28.5" customHeight="1" x14ac:dyDescent="0.25">
      <c r="A307" s="243"/>
      <c r="B307" s="410"/>
      <c r="C307" s="410"/>
      <c r="D307" s="410"/>
      <c r="E307" s="410"/>
      <c r="F307" s="410"/>
      <c r="G307" s="410"/>
      <c r="H307" s="410"/>
      <c r="I307" s="411"/>
      <c r="J307" s="410" t="s">
        <v>282</v>
      </c>
      <c r="K307" s="245"/>
      <c r="L307" s="257"/>
      <c r="M307" s="591" t="s">
        <v>283</v>
      </c>
      <c r="N307" s="592"/>
      <c r="O307" s="179"/>
      <c r="P307" s="180"/>
      <c r="Q307" s="180">
        <v>53918900</v>
      </c>
      <c r="R307" s="181">
        <f t="shared" si="106"/>
        <v>18.1962406042949</v>
      </c>
      <c r="S307" s="181">
        <v>100</v>
      </c>
      <c r="T307" s="180">
        <f t="shared" si="101"/>
        <v>0</v>
      </c>
      <c r="U307" s="180">
        <f t="shared" si="107"/>
        <v>0</v>
      </c>
      <c r="V307" s="182">
        <f t="shared" si="105"/>
        <v>100</v>
      </c>
      <c r="W307" s="180"/>
      <c r="X307" s="180"/>
      <c r="Y307" s="180"/>
      <c r="Z307" s="180"/>
      <c r="AA307" s="180"/>
      <c r="AB307" s="180"/>
      <c r="AC307" s="180"/>
      <c r="AD307" s="180"/>
      <c r="AE307" s="180"/>
      <c r="AF307" s="180"/>
      <c r="AG307" s="180"/>
      <c r="AH307" s="180"/>
      <c r="AI307" s="180">
        <v>0</v>
      </c>
      <c r="AJ307" s="181">
        <f t="shared" si="102"/>
        <v>0</v>
      </c>
      <c r="AK307" s="180">
        <f t="shared" si="97"/>
        <v>53918900</v>
      </c>
      <c r="AL307" s="181">
        <f t="shared" si="103"/>
        <v>100</v>
      </c>
      <c r="AM307" s="243"/>
    </row>
    <row r="308" spans="1:39" ht="28.5" customHeight="1" x14ac:dyDescent="0.25">
      <c r="A308" s="243"/>
      <c r="B308" s="410"/>
      <c r="C308" s="410"/>
      <c r="D308" s="410"/>
      <c r="E308" s="410"/>
      <c r="F308" s="410"/>
      <c r="G308" s="410"/>
      <c r="H308" s="410"/>
      <c r="I308" s="411"/>
      <c r="J308" s="410" t="s">
        <v>407</v>
      </c>
      <c r="K308" s="245"/>
      <c r="L308" s="257"/>
      <c r="M308" s="591" t="s">
        <v>414</v>
      </c>
      <c r="N308" s="592"/>
      <c r="O308" s="179"/>
      <c r="P308" s="180"/>
      <c r="Q308" s="180">
        <v>800000</v>
      </c>
      <c r="R308" s="181">
        <f t="shared" si="106"/>
        <v>0.26997940394622144</v>
      </c>
      <c r="S308" s="181">
        <v>100</v>
      </c>
      <c r="T308" s="180">
        <f t="shared" si="101"/>
        <v>0</v>
      </c>
      <c r="U308" s="180">
        <f t="shared" si="107"/>
        <v>0</v>
      </c>
      <c r="V308" s="182">
        <f t="shared" si="105"/>
        <v>100</v>
      </c>
      <c r="W308" s="180"/>
      <c r="X308" s="180"/>
      <c r="Y308" s="180"/>
      <c r="Z308" s="180"/>
      <c r="AA308" s="180"/>
      <c r="AB308" s="180"/>
      <c r="AC308" s="180"/>
      <c r="AD308" s="180"/>
      <c r="AE308" s="180"/>
      <c r="AF308" s="180"/>
      <c r="AG308" s="180"/>
      <c r="AH308" s="180"/>
      <c r="AI308" s="180">
        <v>0</v>
      </c>
      <c r="AJ308" s="181">
        <f t="shared" si="102"/>
        <v>0</v>
      </c>
      <c r="AK308" s="180">
        <f t="shared" si="97"/>
        <v>800000</v>
      </c>
      <c r="AL308" s="181">
        <f t="shared" si="103"/>
        <v>100</v>
      </c>
      <c r="AM308" s="243"/>
    </row>
    <row r="309" spans="1:39" s="311" customFormat="1" ht="39.75" customHeight="1" x14ac:dyDescent="0.25">
      <c r="A309" s="227">
        <f>A297+1</f>
        <v>41</v>
      </c>
      <c r="B309" s="615" t="s">
        <v>148</v>
      </c>
      <c r="C309" s="615"/>
      <c r="D309" s="615"/>
      <c r="E309" s="615"/>
      <c r="F309" s="615"/>
      <c r="G309" s="615"/>
      <c r="H309" s="615"/>
      <c r="I309" s="614"/>
      <c r="J309" s="304" t="s">
        <v>485</v>
      </c>
      <c r="K309" s="230"/>
      <c r="L309" s="294"/>
      <c r="M309" s="609" t="s">
        <v>44</v>
      </c>
      <c r="N309" s="609"/>
      <c r="O309" s="310">
        <v>100275000</v>
      </c>
      <c r="P309" s="231">
        <f>O309</f>
        <v>100275000</v>
      </c>
      <c r="Q309" s="231">
        <f>SUM(Q310:Q316)</f>
        <v>331985880</v>
      </c>
      <c r="R309" s="233">
        <f>Q309/Q$248*100</f>
        <v>2.783284720548469</v>
      </c>
      <c r="S309" s="233">
        <v>100</v>
      </c>
      <c r="T309" s="231">
        <f t="shared" si="101"/>
        <v>0</v>
      </c>
      <c r="U309" s="231">
        <f t="shared" si="107"/>
        <v>0</v>
      </c>
      <c r="V309" s="296">
        <f t="shared" si="105"/>
        <v>100</v>
      </c>
      <c r="W309" s="231"/>
      <c r="X309" s="231" t="e">
        <f>#REF!</f>
        <v>#REF!</v>
      </c>
      <c r="Y309" s="231" t="e">
        <f>#REF!</f>
        <v>#REF!</v>
      </c>
      <c r="Z309" s="231" t="e">
        <f>#REF!</f>
        <v>#REF!</v>
      </c>
      <c r="AA309" s="231" t="e">
        <f>#REF!</f>
        <v>#REF!</v>
      </c>
      <c r="AB309" s="231">
        <v>0</v>
      </c>
      <c r="AC309" s="231" t="e">
        <f>#REF!</f>
        <v>#REF!</v>
      </c>
      <c r="AD309" s="231" t="e">
        <f>#REF!</f>
        <v>#REF!</v>
      </c>
      <c r="AE309" s="231" t="e">
        <f>#REF!</f>
        <v>#REF!</v>
      </c>
      <c r="AF309" s="231" t="e">
        <f>[1]April!N60</f>
        <v>#REF!</v>
      </c>
      <c r="AG309" s="231" t="e">
        <f>[2]april!N60</f>
        <v>#REF!</v>
      </c>
      <c r="AH309" s="231">
        <f>'[3]DES SKPD'!$N60</f>
        <v>90196500</v>
      </c>
      <c r="AI309" s="231">
        <f>SUM(AI310:AI316)</f>
        <v>0</v>
      </c>
      <c r="AJ309" s="233">
        <f t="shared" si="102"/>
        <v>0</v>
      </c>
      <c r="AK309" s="231">
        <f t="shared" si="97"/>
        <v>331985880</v>
      </c>
      <c r="AL309" s="233">
        <f t="shared" si="103"/>
        <v>100</v>
      </c>
      <c r="AM309" s="227"/>
    </row>
    <row r="310" spans="1:39" ht="28.5" customHeight="1" x14ac:dyDescent="0.25">
      <c r="A310" s="243"/>
      <c r="B310" s="410"/>
      <c r="C310" s="410"/>
      <c r="D310" s="410"/>
      <c r="E310" s="410"/>
      <c r="F310" s="410"/>
      <c r="G310" s="410"/>
      <c r="H310" s="410"/>
      <c r="I310" s="411"/>
      <c r="J310" s="410" t="s">
        <v>326</v>
      </c>
      <c r="K310" s="245"/>
      <c r="L310" s="257"/>
      <c r="M310" s="591" t="s">
        <v>327</v>
      </c>
      <c r="N310" s="592"/>
      <c r="O310" s="179"/>
      <c r="P310" s="180"/>
      <c r="Q310" s="180">
        <v>280800000</v>
      </c>
      <c r="R310" s="181">
        <f t="shared" ref="R310:R316" si="108">Q310/Q$309*100</f>
        <v>84.581910531857559</v>
      </c>
      <c r="S310" s="181">
        <v>100</v>
      </c>
      <c r="T310" s="180">
        <f t="shared" si="101"/>
        <v>0</v>
      </c>
      <c r="U310" s="180">
        <f t="shared" si="107"/>
        <v>0</v>
      </c>
      <c r="V310" s="182">
        <f t="shared" si="105"/>
        <v>100</v>
      </c>
      <c r="W310" s="180"/>
      <c r="X310" s="180"/>
      <c r="Y310" s="180"/>
      <c r="Z310" s="180"/>
      <c r="AA310" s="180"/>
      <c r="AB310" s="180"/>
      <c r="AC310" s="180"/>
      <c r="AD310" s="180"/>
      <c r="AE310" s="180"/>
      <c r="AF310" s="180"/>
      <c r="AG310" s="180"/>
      <c r="AH310" s="180"/>
      <c r="AI310" s="180">
        <v>0</v>
      </c>
      <c r="AJ310" s="181">
        <f t="shared" si="102"/>
        <v>0</v>
      </c>
      <c r="AK310" s="180">
        <f t="shared" si="97"/>
        <v>280800000</v>
      </c>
      <c r="AL310" s="181">
        <f t="shared" si="103"/>
        <v>100</v>
      </c>
      <c r="AM310" s="243"/>
    </row>
    <row r="311" spans="1:39" ht="28.5" customHeight="1" x14ac:dyDescent="0.25">
      <c r="A311" s="243"/>
      <c r="B311" s="410"/>
      <c r="C311" s="410"/>
      <c r="D311" s="410"/>
      <c r="E311" s="410"/>
      <c r="F311" s="410"/>
      <c r="G311" s="410"/>
      <c r="H311" s="410"/>
      <c r="I311" s="411"/>
      <c r="J311" s="410" t="s">
        <v>323</v>
      </c>
      <c r="K311" s="245"/>
      <c r="L311" s="257"/>
      <c r="M311" s="591" t="s">
        <v>324</v>
      </c>
      <c r="N311" s="592"/>
      <c r="O311" s="179"/>
      <c r="P311" s="180"/>
      <c r="Q311" s="180">
        <v>4000000</v>
      </c>
      <c r="R311" s="181">
        <f t="shared" si="108"/>
        <v>1.2048705203968313</v>
      </c>
      <c r="S311" s="181">
        <v>100</v>
      </c>
      <c r="T311" s="180">
        <f t="shared" si="101"/>
        <v>0</v>
      </c>
      <c r="U311" s="180">
        <f t="shared" si="107"/>
        <v>0</v>
      </c>
      <c r="V311" s="182">
        <f t="shared" si="105"/>
        <v>100</v>
      </c>
      <c r="W311" s="180"/>
      <c r="X311" s="180"/>
      <c r="Y311" s="180"/>
      <c r="Z311" s="180"/>
      <c r="AA311" s="180"/>
      <c r="AB311" s="180"/>
      <c r="AC311" s="180"/>
      <c r="AD311" s="180"/>
      <c r="AE311" s="180"/>
      <c r="AF311" s="180"/>
      <c r="AG311" s="180"/>
      <c r="AH311" s="180"/>
      <c r="AI311" s="180">
        <v>0</v>
      </c>
      <c r="AJ311" s="181">
        <f t="shared" si="102"/>
        <v>0</v>
      </c>
      <c r="AK311" s="180">
        <f t="shared" si="97"/>
        <v>4000000</v>
      </c>
      <c r="AL311" s="181">
        <f t="shared" si="103"/>
        <v>100</v>
      </c>
      <c r="AM311" s="243"/>
    </row>
    <row r="312" spans="1:39" ht="28.5" customHeight="1" x14ac:dyDescent="0.25">
      <c r="A312" s="243"/>
      <c r="B312" s="410"/>
      <c r="C312" s="410"/>
      <c r="D312" s="410"/>
      <c r="E312" s="410"/>
      <c r="F312" s="410"/>
      <c r="G312" s="410"/>
      <c r="H312" s="410"/>
      <c r="I312" s="411"/>
      <c r="J312" s="410" t="s">
        <v>269</v>
      </c>
      <c r="K312" s="245"/>
      <c r="L312" s="257"/>
      <c r="M312" s="591" t="s">
        <v>270</v>
      </c>
      <c r="N312" s="592"/>
      <c r="O312" s="179"/>
      <c r="P312" s="180"/>
      <c r="Q312" s="180">
        <v>27680000</v>
      </c>
      <c r="R312" s="181">
        <f t="shared" si="108"/>
        <v>8.3377040011460739</v>
      </c>
      <c r="S312" s="181">
        <v>100</v>
      </c>
      <c r="T312" s="180">
        <f t="shared" si="101"/>
        <v>0</v>
      </c>
      <c r="U312" s="180">
        <f t="shared" si="107"/>
        <v>0</v>
      </c>
      <c r="V312" s="182">
        <f t="shared" si="105"/>
        <v>100</v>
      </c>
      <c r="W312" s="180"/>
      <c r="X312" s="180"/>
      <c r="Y312" s="180"/>
      <c r="Z312" s="180"/>
      <c r="AA312" s="180"/>
      <c r="AB312" s="180"/>
      <c r="AC312" s="180"/>
      <c r="AD312" s="180"/>
      <c r="AE312" s="180"/>
      <c r="AF312" s="180"/>
      <c r="AG312" s="180"/>
      <c r="AH312" s="180"/>
      <c r="AI312" s="180">
        <v>0</v>
      </c>
      <c r="AJ312" s="181">
        <f t="shared" si="102"/>
        <v>0</v>
      </c>
      <c r="AK312" s="180">
        <f t="shared" si="97"/>
        <v>27680000</v>
      </c>
      <c r="AL312" s="181">
        <f t="shared" si="103"/>
        <v>100</v>
      </c>
      <c r="AM312" s="243"/>
    </row>
    <row r="313" spans="1:39" ht="28.5" customHeight="1" x14ac:dyDescent="0.25">
      <c r="A313" s="243"/>
      <c r="B313" s="410"/>
      <c r="C313" s="410"/>
      <c r="D313" s="410"/>
      <c r="E313" s="410"/>
      <c r="F313" s="410"/>
      <c r="G313" s="410"/>
      <c r="H313" s="410"/>
      <c r="I313" s="411"/>
      <c r="J313" s="410" t="s">
        <v>315</v>
      </c>
      <c r="K313" s="245"/>
      <c r="L313" s="257"/>
      <c r="M313" s="591" t="s">
        <v>271</v>
      </c>
      <c r="N313" s="592"/>
      <c r="O313" s="179"/>
      <c r="P313" s="180"/>
      <c r="Q313" s="180">
        <v>1000000</v>
      </c>
      <c r="R313" s="181">
        <f t="shared" si="108"/>
        <v>0.30121763009920782</v>
      </c>
      <c r="S313" s="181">
        <v>100</v>
      </c>
      <c r="T313" s="180">
        <f t="shared" si="101"/>
        <v>0</v>
      </c>
      <c r="U313" s="180">
        <f t="shared" si="107"/>
        <v>0</v>
      </c>
      <c r="V313" s="182">
        <f t="shared" si="105"/>
        <v>100</v>
      </c>
      <c r="W313" s="180"/>
      <c r="X313" s="180"/>
      <c r="Y313" s="180"/>
      <c r="Z313" s="180"/>
      <c r="AA313" s="180"/>
      <c r="AB313" s="180"/>
      <c r="AC313" s="180"/>
      <c r="AD313" s="180"/>
      <c r="AE313" s="180"/>
      <c r="AF313" s="180"/>
      <c r="AG313" s="180"/>
      <c r="AH313" s="180"/>
      <c r="AI313" s="180">
        <v>0</v>
      </c>
      <c r="AJ313" s="181">
        <f t="shared" si="102"/>
        <v>0</v>
      </c>
      <c r="AK313" s="180">
        <f t="shared" ref="AK313:AK359" si="109">Q313-AI313</f>
        <v>1000000</v>
      </c>
      <c r="AL313" s="181">
        <f t="shared" si="103"/>
        <v>100</v>
      </c>
      <c r="AM313" s="243"/>
    </row>
    <row r="314" spans="1:39" ht="28.5" customHeight="1" x14ac:dyDescent="0.25">
      <c r="A314" s="243"/>
      <c r="B314" s="410"/>
      <c r="C314" s="410"/>
      <c r="D314" s="410"/>
      <c r="E314" s="410"/>
      <c r="F314" s="410"/>
      <c r="G314" s="410"/>
      <c r="H314" s="410"/>
      <c r="I314" s="411"/>
      <c r="J314" s="410" t="s">
        <v>328</v>
      </c>
      <c r="K314" s="245"/>
      <c r="L314" s="257"/>
      <c r="M314" s="591" t="s">
        <v>329</v>
      </c>
      <c r="N314" s="592"/>
      <c r="O314" s="179"/>
      <c r="P314" s="180"/>
      <c r="Q314" s="180">
        <v>5105880</v>
      </c>
      <c r="R314" s="181">
        <f t="shared" si="108"/>
        <v>1.5379810731709433</v>
      </c>
      <c r="S314" s="181">
        <v>100</v>
      </c>
      <c r="T314" s="180">
        <f t="shared" si="101"/>
        <v>0</v>
      </c>
      <c r="U314" s="180">
        <f t="shared" si="107"/>
        <v>0</v>
      </c>
      <c r="V314" s="182">
        <f t="shared" si="105"/>
        <v>100</v>
      </c>
      <c r="W314" s="180"/>
      <c r="X314" s="180"/>
      <c r="Y314" s="180"/>
      <c r="Z314" s="180"/>
      <c r="AA314" s="180"/>
      <c r="AB314" s="180"/>
      <c r="AC314" s="180"/>
      <c r="AD314" s="180"/>
      <c r="AE314" s="180"/>
      <c r="AF314" s="180"/>
      <c r="AG314" s="180"/>
      <c r="AH314" s="180"/>
      <c r="AI314" s="180">
        <v>0</v>
      </c>
      <c r="AJ314" s="181">
        <f t="shared" si="102"/>
        <v>0</v>
      </c>
      <c r="AK314" s="180">
        <f t="shared" si="109"/>
        <v>5105880</v>
      </c>
      <c r="AL314" s="181">
        <f t="shared" si="103"/>
        <v>100</v>
      </c>
      <c r="AM314" s="243"/>
    </row>
    <row r="315" spans="1:39" ht="28.5" customHeight="1" x14ac:dyDescent="0.25">
      <c r="A315" s="243"/>
      <c r="B315" s="410"/>
      <c r="C315" s="410"/>
      <c r="D315" s="410"/>
      <c r="E315" s="410"/>
      <c r="F315" s="410"/>
      <c r="G315" s="410"/>
      <c r="H315" s="410"/>
      <c r="I315" s="411"/>
      <c r="J315" s="410" t="s">
        <v>280</v>
      </c>
      <c r="K315" s="245"/>
      <c r="L315" s="257"/>
      <c r="M315" s="591" t="s">
        <v>281</v>
      </c>
      <c r="N315" s="592"/>
      <c r="O315" s="179"/>
      <c r="P315" s="180"/>
      <c r="Q315" s="180">
        <v>13000000</v>
      </c>
      <c r="R315" s="181">
        <f t="shared" si="108"/>
        <v>3.9158291912897019</v>
      </c>
      <c r="S315" s="181">
        <v>100</v>
      </c>
      <c r="T315" s="180">
        <f t="shared" si="101"/>
        <v>0</v>
      </c>
      <c r="U315" s="180">
        <f t="shared" si="107"/>
        <v>0</v>
      </c>
      <c r="V315" s="182">
        <f t="shared" si="105"/>
        <v>100</v>
      </c>
      <c r="W315" s="180"/>
      <c r="X315" s="180"/>
      <c r="Y315" s="180"/>
      <c r="Z315" s="180"/>
      <c r="AA315" s="180"/>
      <c r="AB315" s="180"/>
      <c r="AC315" s="180"/>
      <c r="AD315" s="180"/>
      <c r="AE315" s="180"/>
      <c r="AF315" s="180"/>
      <c r="AG315" s="180"/>
      <c r="AH315" s="180"/>
      <c r="AI315" s="180">
        <v>0</v>
      </c>
      <c r="AJ315" s="181">
        <f t="shared" si="102"/>
        <v>0</v>
      </c>
      <c r="AK315" s="180">
        <f t="shared" si="109"/>
        <v>13000000</v>
      </c>
      <c r="AL315" s="181">
        <f t="shared" si="103"/>
        <v>100</v>
      </c>
      <c r="AM315" s="243"/>
    </row>
    <row r="316" spans="1:39" ht="28.5" customHeight="1" x14ac:dyDescent="0.25">
      <c r="A316" s="243"/>
      <c r="B316" s="410"/>
      <c r="C316" s="410"/>
      <c r="D316" s="410"/>
      <c r="E316" s="410"/>
      <c r="F316" s="410"/>
      <c r="G316" s="410"/>
      <c r="H316" s="410"/>
      <c r="I316" s="411"/>
      <c r="J316" s="410" t="s">
        <v>407</v>
      </c>
      <c r="K316" s="245"/>
      <c r="L316" s="257"/>
      <c r="M316" s="591" t="s">
        <v>414</v>
      </c>
      <c r="N316" s="592"/>
      <c r="O316" s="179"/>
      <c r="P316" s="180"/>
      <c r="Q316" s="180">
        <v>400000</v>
      </c>
      <c r="R316" s="181">
        <f t="shared" si="108"/>
        <v>0.12048705203968313</v>
      </c>
      <c r="S316" s="181">
        <v>100</v>
      </c>
      <c r="T316" s="180">
        <f t="shared" si="101"/>
        <v>0</v>
      </c>
      <c r="U316" s="180">
        <f t="shared" si="107"/>
        <v>0</v>
      </c>
      <c r="V316" s="182">
        <f t="shared" si="105"/>
        <v>100</v>
      </c>
      <c r="W316" s="180"/>
      <c r="X316" s="180"/>
      <c r="Y316" s="180"/>
      <c r="Z316" s="180"/>
      <c r="AA316" s="180"/>
      <c r="AB316" s="180"/>
      <c r="AC316" s="180"/>
      <c r="AD316" s="180"/>
      <c r="AE316" s="180"/>
      <c r="AF316" s="180"/>
      <c r="AG316" s="180"/>
      <c r="AH316" s="180"/>
      <c r="AI316" s="180">
        <v>0</v>
      </c>
      <c r="AJ316" s="181">
        <f t="shared" si="102"/>
        <v>0</v>
      </c>
      <c r="AK316" s="180">
        <f t="shared" si="109"/>
        <v>400000</v>
      </c>
      <c r="AL316" s="181">
        <f t="shared" si="103"/>
        <v>100</v>
      </c>
      <c r="AM316" s="243"/>
    </row>
    <row r="317" spans="1:39" s="297" customFormat="1" ht="28.5" customHeight="1" x14ac:dyDescent="0.25">
      <c r="A317" s="227">
        <f>A309+1</f>
        <v>42</v>
      </c>
      <c r="B317" s="615" t="s">
        <v>150</v>
      </c>
      <c r="C317" s="615"/>
      <c r="D317" s="615"/>
      <c r="E317" s="615"/>
      <c r="F317" s="615"/>
      <c r="G317" s="615"/>
      <c r="H317" s="615"/>
      <c r="I317" s="614"/>
      <c r="J317" s="304" t="s">
        <v>486</v>
      </c>
      <c r="K317" s="230"/>
      <c r="L317" s="294"/>
      <c r="M317" s="610" t="s">
        <v>45</v>
      </c>
      <c r="N317" s="610"/>
      <c r="O317" s="309">
        <v>803450000</v>
      </c>
      <c r="P317" s="231">
        <f>O317</f>
        <v>803450000</v>
      </c>
      <c r="Q317" s="231">
        <f>SUM(Q318:Q324)</f>
        <v>77953471</v>
      </c>
      <c r="R317" s="233">
        <f>Q317/Q$248*100</f>
        <v>0.65354196614632576</v>
      </c>
      <c r="S317" s="233">
        <v>100</v>
      </c>
      <c r="T317" s="231">
        <f t="shared" si="101"/>
        <v>0</v>
      </c>
      <c r="U317" s="231">
        <f t="shared" si="107"/>
        <v>0</v>
      </c>
      <c r="V317" s="296">
        <f t="shared" si="105"/>
        <v>100</v>
      </c>
      <c r="W317" s="231"/>
      <c r="X317" s="231" t="e">
        <f>#REF!</f>
        <v>#REF!</v>
      </c>
      <c r="Y317" s="231" t="e">
        <f>#REF!</f>
        <v>#REF!</v>
      </c>
      <c r="Z317" s="231" t="e">
        <f>#REF!</f>
        <v>#REF!</v>
      </c>
      <c r="AA317" s="231" t="e">
        <f>#REF!</f>
        <v>#REF!</v>
      </c>
      <c r="AB317" s="231">
        <v>323021990</v>
      </c>
      <c r="AC317" s="231" t="e">
        <f>#REF!</f>
        <v>#REF!</v>
      </c>
      <c r="AD317" s="231" t="e">
        <f>#REF!</f>
        <v>#REF!</v>
      </c>
      <c r="AE317" s="231" t="e">
        <f>#REF!</f>
        <v>#REF!</v>
      </c>
      <c r="AF317" s="231" t="e">
        <f>[1]April!N61</f>
        <v>#REF!</v>
      </c>
      <c r="AG317" s="231" t="e">
        <f>[2]april!N61</f>
        <v>#REF!</v>
      </c>
      <c r="AH317" s="231">
        <f>'[3]DES SKPD'!$N61</f>
        <v>541082490</v>
      </c>
      <c r="AI317" s="231">
        <f>SUM(AI318:AI324)</f>
        <v>0</v>
      </c>
      <c r="AJ317" s="233">
        <f t="shared" si="102"/>
        <v>0</v>
      </c>
      <c r="AK317" s="231">
        <f t="shared" si="109"/>
        <v>77953471</v>
      </c>
      <c r="AL317" s="233">
        <f t="shared" si="103"/>
        <v>100</v>
      </c>
      <c r="AM317" s="227"/>
    </row>
    <row r="318" spans="1:39" ht="28.5" customHeight="1" x14ac:dyDescent="0.25">
      <c r="A318" s="243"/>
      <c r="B318" s="410"/>
      <c r="C318" s="410"/>
      <c r="D318" s="410"/>
      <c r="E318" s="410"/>
      <c r="F318" s="410"/>
      <c r="G318" s="410"/>
      <c r="H318" s="410"/>
      <c r="I318" s="411"/>
      <c r="J318" s="410" t="s">
        <v>326</v>
      </c>
      <c r="K318" s="245"/>
      <c r="L318" s="257"/>
      <c r="M318" s="591" t="s">
        <v>327</v>
      </c>
      <c r="N318" s="592"/>
      <c r="O318" s="179"/>
      <c r="P318" s="180"/>
      <c r="Q318" s="180">
        <v>33500000</v>
      </c>
      <c r="R318" s="181">
        <f t="shared" ref="R318:R324" si="110">Q318/Q$317*100</f>
        <v>42.974353252339462</v>
      </c>
      <c r="S318" s="181">
        <v>100</v>
      </c>
      <c r="T318" s="180">
        <f t="shared" si="101"/>
        <v>0</v>
      </c>
      <c r="U318" s="180">
        <f t="shared" si="107"/>
        <v>0</v>
      </c>
      <c r="V318" s="182">
        <f t="shared" si="105"/>
        <v>100</v>
      </c>
      <c r="W318" s="180"/>
      <c r="X318" s="180"/>
      <c r="Y318" s="180"/>
      <c r="Z318" s="180"/>
      <c r="AA318" s="180"/>
      <c r="AB318" s="180"/>
      <c r="AC318" s="180"/>
      <c r="AD318" s="180"/>
      <c r="AE318" s="180"/>
      <c r="AF318" s="180"/>
      <c r="AG318" s="180"/>
      <c r="AH318" s="180"/>
      <c r="AI318" s="180">
        <v>0</v>
      </c>
      <c r="AJ318" s="181">
        <f t="shared" si="102"/>
        <v>0</v>
      </c>
      <c r="AK318" s="180">
        <f t="shared" si="109"/>
        <v>33500000</v>
      </c>
      <c r="AL318" s="181">
        <f t="shared" si="103"/>
        <v>100</v>
      </c>
      <c r="AM318" s="243"/>
    </row>
    <row r="319" spans="1:39" ht="28.5" customHeight="1" x14ac:dyDescent="0.25">
      <c r="A319" s="243"/>
      <c r="B319" s="410"/>
      <c r="C319" s="410"/>
      <c r="D319" s="410"/>
      <c r="E319" s="410"/>
      <c r="F319" s="410"/>
      <c r="G319" s="410"/>
      <c r="H319" s="410"/>
      <c r="I319" s="411"/>
      <c r="J319" s="410" t="s">
        <v>323</v>
      </c>
      <c r="K319" s="245"/>
      <c r="L319" s="257"/>
      <c r="M319" s="591" t="s">
        <v>324</v>
      </c>
      <c r="N319" s="592"/>
      <c r="O319" s="179"/>
      <c r="P319" s="180"/>
      <c r="Q319" s="180">
        <v>9642000</v>
      </c>
      <c r="R319" s="181">
        <f t="shared" si="110"/>
        <v>12.368916837583795</v>
      </c>
      <c r="S319" s="181">
        <v>100</v>
      </c>
      <c r="T319" s="180">
        <f t="shared" si="101"/>
        <v>0</v>
      </c>
      <c r="U319" s="180">
        <f t="shared" si="107"/>
        <v>0</v>
      </c>
      <c r="V319" s="182">
        <f t="shared" si="105"/>
        <v>100</v>
      </c>
      <c r="W319" s="180"/>
      <c r="X319" s="180"/>
      <c r="Y319" s="180"/>
      <c r="Z319" s="180"/>
      <c r="AA319" s="180"/>
      <c r="AB319" s="180"/>
      <c r="AC319" s="180"/>
      <c r="AD319" s="180"/>
      <c r="AE319" s="180"/>
      <c r="AF319" s="180"/>
      <c r="AG319" s="180"/>
      <c r="AH319" s="180"/>
      <c r="AI319" s="180">
        <v>0</v>
      </c>
      <c r="AJ319" s="181">
        <f t="shared" si="102"/>
        <v>0</v>
      </c>
      <c r="AK319" s="180">
        <f t="shared" si="109"/>
        <v>9642000</v>
      </c>
      <c r="AL319" s="181">
        <f t="shared" si="103"/>
        <v>100</v>
      </c>
      <c r="AM319" s="243"/>
    </row>
    <row r="320" spans="1:39" ht="28.5" customHeight="1" x14ac:dyDescent="0.25">
      <c r="A320" s="243"/>
      <c r="B320" s="410"/>
      <c r="C320" s="410"/>
      <c r="D320" s="410"/>
      <c r="E320" s="410"/>
      <c r="F320" s="410"/>
      <c r="G320" s="410"/>
      <c r="H320" s="410"/>
      <c r="I320" s="411"/>
      <c r="J320" s="410" t="s">
        <v>269</v>
      </c>
      <c r="K320" s="245"/>
      <c r="L320" s="257"/>
      <c r="M320" s="591" t="s">
        <v>270</v>
      </c>
      <c r="N320" s="592"/>
      <c r="O320" s="179"/>
      <c r="P320" s="180"/>
      <c r="Q320" s="180">
        <v>1250000</v>
      </c>
      <c r="R320" s="181">
        <f t="shared" si="110"/>
        <v>1.6035206437440097</v>
      </c>
      <c r="S320" s="181">
        <v>100</v>
      </c>
      <c r="T320" s="180">
        <f t="shared" si="101"/>
        <v>0</v>
      </c>
      <c r="U320" s="180">
        <f t="shared" si="107"/>
        <v>0</v>
      </c>
      <c r="V320" s="182">
        <f t="shared" si="105"/>
        <v>100</v>
      </c>
      <c r="W320" s="180"/>
      <c r="X320" s="180"/>
      <c r="Y320" s="180"/>
      <c r="Z320" s="180"/>
      <c r="AA320" s="180"/>
      <c r="AB320" s="180"/>
      <c r="AC320" s="180"/>
      <c r="AD320" s="180"/>
      <c r="AE320" s="180"/>
      <c r="AF320" s="180"/>
      <c r="AG320" s="180"/>
      <c r="AH320" s="180"/>
      <c r="AI320" s="180">
        <v>0</v>
      </c>
      <c r="AJ320" s="181">
        <f t="shared" si="102"/>
        <v>0</v>
      </c>
      <c r="AK320" s="180">
        <f t="shared" si="109"/>
        <v>1250000</v>
      </c>
      <c r="AL320" s="181">
        <f t="shared" si="103"/>
        <v>100</v>
      </c>
      <c r="AM320" s="243"/>
    </row>
    <row r="321" spans="1:39" ht="28.5" customHeight="1" x14ac:dyDescent="0.25">
      <c r="A321" s="243"/>
      <c r="B321" s="410"/>
      <c r="C321" s="410"/>
      <c r="D321" s="410"/>
      <c r="E321" s="410"/>
      <c r="F321" s="410"/>
      <c r="G321" s="410"/>
      <c r="H321" s="410"/>
      <c r="I321" s="411"/>
      <c r="J321" s="410" t="s">
        <v>315</v>
      </c>
      <c r="K321" s="245"/>
      <c r="L321" s="257"/>
      <c r="M321" s="591" t="s">
        <v>271</v>
      </c>
      <c r="N321" s="592"/>
      <c r="O321" s="179"/>
      <c r="P321" s="180"/>
      <c r="Q321" s="180">
        <v>17421471</v>
      </c>
      <c r="R321" s="181">
        <f t="shared" si="110"/>
        <v>22.348550714310079</v>
      </c>
      <c r="S321" s="181">
        <v>100</v>
      </c>
      <c r="T321" s="180">
        <f t="shared" si="101"/>
        <v>0</v>
      </c>
      <c r="U321" s="180">
        <f t="shared" si="107"/>
        <v>0</v>
      </c>
      <c r="V321" s="182">
        <f t="shared" si="105"/>
        <v>100</v>
      </c>
      <c r="W321" s="180"/>
      <c r="X321" s="180"/>
      <c r="Y321" s="180"/>
      <c r="Z321" s="180"/>
      <c r="AA321" s="180"/>
      <c r="AB321" s="180"/>
      <c r="AC321" s="180"/>
      <c r="AD321" s="180"/>
      <c r="AE321" s="180"/>
      <c r="AF321" s="180"/>
      <c r="AG321" s="180"/>
      <c r="AH321" s="180"/>
      <c r="AI321" s="180">
        <v>0</v>
      </c>
      <c r="AJ321" s="181">
        <f t="shared" si="102"/>
        <v>0</v>
      </c>
      <c r="AK321" s="180">
        <f t="shared" si="109"/>
        <v>17421471</v>
      </c>
      <c r="AL321" s="181">
        <f t="shared" si="103"/>
        <v>100</v>
      </c>
      <c r="AM321" s="243"/>
    </row>
    <row r="322" spans="1:39" ht="28.5" customHeight="1" x14ac:dyDescent="0.25">
      <c r="A322" s="243"/>
      <c r="B322" s="410"/>
      <c r="C322" s="410"/>
      <c r="D322" s="410"/>
      <c r="E322" s="410"/>
      <c r="F322" s="410"/>
      <c r="G322" s="410"/>
      <c r="H322" s="410"/>
      <c r="I322" s="411"/>
      <c r="J322" s="410" t="s">
        <v>318</v>
      </c>
      <c r="K322" s="245"/>
      <c r="L322" s="257"/>
      <c r="M322" s="591" t="s">
        <v>281</v>
      </c>
      <c r="N322" s="592"/>
      <c r="O322" s="179"/>
      <c r="P322" s="180"/>
      <c r="Q322" s="180">
        <v>2250000</v>
      </c>
      <c r="R322" s="181">
        <f t="shared" si="110"/>
        <v>2.8863371587392175</v>
      </c>
      <c r="S322" s="181">
        <v>100</v>
      </c>
      <c r="T322" s="180">
        <f t="shared" si="101"/>
        <v>0</v>
      </c>
      <c r="U322" s="180">
        <f t="shared" si="107"/>
        <v>0</v>
      </c>
      <c r="V322" s="182">
        <f t="shared" si="105"/>
        <v>100</v>
      </c>
      <c r="W322" s="180"/>
      <c r="X322" s="180"/>
      <c r="Y322" s="180"/>
      <c r="Z322" s="180"/>
      <c r="AA322" s="180"/>
      <c r="AB322" s="180"/>
      <c r="AC322" s="180"/>
      <c r="AD322" s="180"/>
      <c r="AE322" s="180"/>
      <c r="AF322" s="180"/>
      <c r="AG322" s="180"/>
      <c r="AH322" s="180"/>
      <c r="AI322" s="180">
        <v>0</v>
      </c>
      <c r="AJ322" s="181">
        <f t="shared" si="102"/>
        <v>0</v>
      </c>
      <c r="AK322" s="180">
        <f t="shared" si="109"/>
        <v>2250000</v>
      </c>
      <c r="AL322" s="181">
        <f t="shared" si="103"/>
        <v>100</v>
      </c>
      <c r="AM322" s="243"/>
    </row>
    <row r="323" spans="1:39" ht="28.5" customHeight="1" x14ac:dyDescent="0.25">
      <c r="A323" s="243"/>
      <c r="B323" s="410"/>
      <c r="C323" s="410"/>
      <c r="D323" s="410"/>
      <c r="E323" s="410"/>
      <c r="F323" s="410"/>
      <c r="G323" s="410"/>
      <c r="H323" s="410"/>
      <c r="I323" s="411"/>
      <c r="J323" s="410" t="s">
        <v>284</v>
      </c>
      <c r="K323" s="245"/>
      <c r="L323" s="257"/>
      <c r="M323" s="591" t="s">
        <v>285</v>
      </c>
      <c r="N323" s="592"/>
      <c r="O323" s="179"/>
      <c r="P323" s="180"/>
      <c r="Q323" s="180">
        <v>2640000</v>
      </c>
      <c r="R323" s="181">
        <f t="shared" si="110"/>
        <v>3.3866355995873487</v>
      </c>
      <c r="S323" s="181">
        <v>100</v>
      </c>
      <c r="T323" s="180">
        <f t="shared" si="101"/>
        <v>0</v>
      </c>
      <c r="U323" s="180">
        <f t="shared" si="107"/>
        <v>0</v>
      </c>
      <c r="V323" s="182">
        <f t="shared" si="105"/>
        <v>100</v>
      </c>
      <c r="W323" s="180"/>
      <c r="X323" s="180"/>
      <c r="Y323" s="180"/>
      <c r="Z323" s="180"/>
      <c r="AA323" s="180"/>
      <c r="AB323" s="180"/>
      <c r="AC323" s="180"/>
      <c r="AD323" s="180"/>
      <c r="AE323" s="180"/>
      <c r="AF323" s="180"/>
      <c r="AG323" s="180"/>
      <c r="AH323" s="180"/>
      <c r="AI323" s="180">
        <v>0</v>
      </c>
      <c r="AJ323" s="181">
        <f t="shared" si="102"/>
        <v>0</v>
      </c>
      <c r="AK323" s="180">
        <f t="shared" si="109"/>
        <v>2640000</v>
      </c>
      <c r="AL323" s="181">
        <f t="shared" si="103"/>
        <v>100</v>
      </c>
      <c r="AM323" s="243"/>
    </row>
    <row r="324" spans="1:39" ht="28.5" customHeight="1" x14ac:dyDescent="0.25">
      <c r="A324" s="243"/>
      <c r="B324" s="410"/>
      <c r="C324" s="410"/>
      <c r="D324" s="410"/>
      <c r="E324" s="410"/>
      <c r="F324" s="410"/>
      <c r="G324" s="410"/>
      <c r="H324" s="410"/>
      <c r="I324" s="411"/>
      <c r="J324" s="410" t="s">
        <v>282</v>
      </c>
      <c r="K324" s="245"/>
      <c r="L324" s="257"/>
      <c r="M324" s="591" t="s">
        <v>283</v>
      </c>
      <c r="N324" s="592"/>
      <c r="O324" s="179"/>
      <c r="P324" s="180"/>
      <c r="Q324" s="180">
        <v>11250000</v>
      </c>
      <c r="R324" s="181">
        <f t="shared" si="110"/>
        <v>14.431685793696088</v>
      </c>
      <c r="S324" s="181">
        <v>100</v>
      </c>
      <c r="T324" s="180">
        <f t="shared" si="101"/>
        <v>0</v>
      </c>
      <c r="U324" s="180">
        <f t="shared" si="107"/>
        <v>0</v>
      </c>
      <c r="V324" s="182">
        <f t="shared" si="105"/>
        <v>100</v>
      </c>
      <c r="W324" s="180"/>
      <c r="X324" s="180"/>
      <c r="Y324" s="180"/>
      <c r="Z324" s="180"/>
      <c r="AA324" s="180"/>
      <c r="AB324" s="180"/>
      <c r="AC324" s="180"/>
      <c r="AD324" s="180"/>
      <c r="AE324" s="180"/>
      <c r="AF324" s="180"/>
      <c r="AG324" s="180"/>
      <c r="AH324" s="180"/>
      <c r="AI324" s="180">
        <v>0</v>
      </c>
      <c r="AJ324" s="181">
        <f t="shared" si="102"/>
        <v>0</v>
      </c>
      <c r="AK324" s="180">
        <f t="shared" si="109"/>
        <v>11250000</v>
      </c>
      <c r="AL324" s="181">
        <f t="shared" si="103"/>
        <v>100</v>
      </c>
      <c r="AM324" s="243"/>
    </row>
    <row r="325" spans="1:39" s="297" customFormat="1" ht="47.25" customHeight="1" x14ac:dyDescent="0.25">
      <c r="A325" s="227">
        <f>A317+1</f>
        <v>43</v>
      </c>
      <c r="B325" s="615" t="s">
        <v>151</v>
      </c>
      <c r="C325" s="615"/>
      <c r="D325" s="615"/>
      <c r="E325" s="615"/>
      <c r="F325" s="615"/>
      <c r="G325" s="615"/>
      <c r="H325" s="615"/>
      <c r="I325" s="614"/>
      <c r="J325" s="304" t="s">
        <v>487</v>
      </c>
      <c r="K325" s="230"/>
      <c r="L325" s="294"/>
      <c r="M325" s="610" t="s">
        <v>46</v>
      </c>
      <c r="N325" s="610"/>
      <c r="O325" s="309">
        <v>66400000</v>
      </c>
      <c r="P325" s="231">
        <f>O325</f>
        <v>66400000</v>
      </c>
      <c r="Q325" s="231">
        <f>SUM(Q326:Q331)</f>
        <v>38384665</v>
      </c>
      <c r="R325" s="233">
        <f>Q325/Q$248*100</f>
        <v>0.32180721540889506</v>
      </c>
      <c r="S325" s="233">
        <v>100</v>
      </c>
      <c r="T325" s="231">
        <f t="shared" si="101"/>
        <v>0</v>
      </c>
      <c r="U325" s="231">
        <f t="shared" si="107"/>
        <v>0</v>
      </c>
      <c r="V325" s="296">
        <f t="shared" si="105"/>
        <v>100</v>
      </c>
      <c r="W325" s="231"/>
      <c r="X325" s="231" t="e">
        <f>#REF!</f>
        <v>#REF!</v>
      </c>
      <c r="Y325" s="231" t="e">
        <f>#REF!</f>
        <v>#REF!</v>
      </c>
      <c r="Z325" s="231" t="e">
        <f>#REF!</f>
        <v>#REF!</v>
      </c>
      <c r="AA325" s="231" t="e">
        <f>#REF!</f>
        <v>#REF!</v>
      </c>
      <c r="AB325" s="231">
        <v>323021990</v>
      </c>
      <c r="AC325" s="231" t="e">
        <f>#REF!</f>
        <v>#REF!</v>
      </c>
      <c r="AD325" s="231" t="e">
        <f>#REF!</f>
        <v>#REF!</v>
      </c>
      <c r="AE325" s="231" t="e">
        <f>#REF!</f>
        <v>#REF!</v>
      </c>
      <c r="AF325" s="231" t="e">
        <f>[1]April!N62</f>
        <v>#REF!</v>
      </c>
      <c r="AG325" s="231" t="e">
        <f>[2]april!N62</f>
        <v>#REF!</v>
      </c>
      <c r="AH325" s="231">
        <f>'[3]DES SKPD'!$N62</f>
        <v>58437000</v>
      </c>
      <c r="AI325" s="231">
        <f>SUM(AI326:AI331)</f>
        <v>0</v>
      </c>
      <c r="AJ325" s="233">
        <f t="shared" si="102"/>
        <v>0</v>
      </c>
      <c r="AK325" s="231">
        <f t="shared" si="109"/>
        <v>38384665</v>
      </c>
      <c r="AL325" s="233">
        <f t="shared" si="103"/>
        <v>100</v>
      </c>
      <c r="AM325" s="227"/>
    </row>
    <row r="326" spans="1:39" ht="28.5" customHeight="1" x14ac:dyDescent="0.25">
      <c r="A326" s="243"/>
      <c r="B326" s="410"/>
      <c r="C326" s="410"/>
      <c r="D326" s="410"/>
      <c r="E326" s="410"/>
      <c r="F326" s="410"/>
      <c r="G326" s="410"/>
      <c r="H326" s="410"/>
      <c r="I326" s="411"/>
      <c r="J326" s="410" t="s">
        <v>326</v>
      </c>
      <c r="K326" s="245"/>
      <c r="L326" s="257"/>
      <c r="M326" s="591" t="s">
        <v>327</v>
      </c>
      <c r="N326" s="592"/>
      <c r="O326" s="179"/>
      <c r="P326" s="180"/>
      <c r="Q326" s="180">
        <v>16750000</v>
      </c>
      <c r="R326" s="181">
        <f t="shared" ref="R326:R331" si="111">Q326/Q$325*100</f>
        <v>43.637218144277142</v>
      </c>
      <c r="S326" s="181">
        <v>100</v>
      </c>
      <c r="T326" s="180">
        <f t="shared" si="101"/>
        <v>0</v>
      </c>
      <c r="U326" s="180">
        <f t="shared" si="107"/>
        <v>0</v>
      </c>
      <c r="V326" s="182">
        <f t="shared" si="105"/>
        <v>100</v>
      </c>
      <c r="W326" s="180"/>
      <c r="X326" s="180"/>
      <c r="Y326" s="180"/>
      <c r="Z326" s="180"/>
      <c r="AA326" s="180"/>
      <c r="AB326" s="180"/>
      <c r="AC326" s="180"/>
      <c r="AD326" s="180"/>
      <c r="AE326" s="180"/>
      <c r="AF326" s="180"/>
      <c r="AG326" s="180"/>
      <c r="AH326" s="180"/>
      <c r="AI326" s="180">
        <v>0</v>
      </c>
      <c r="AJ326" s="181">
        <f t="shared" si="102"/>
        <v>0</v>
      </c>
      <c r="AK326" s="180">
        <f t="shared" si="109"/>
        <v>16750000</v>
      </c>
      <c r="AL326" s="181">
        <f t="shared" si="103"/>
        <v>100</v>
      </c>
      <c r="AM326" s="243"/>
    </row>
    <row r="327" spans="1:39" ht="28.5" customHeight="1" x14ac:dyDescent="0.25">
      <c r="A327" s="243"/>
      <c r="B327" s="410"/>
      <c r="C327" s="410"/>
      <c r="D327" s="410"/>
      <c r="E327" s="410"/>
      <c r="F327" s="410"/>
      <c r="G327" s="410"/>
      <c r="H327" s="410"/>
      <c r="I327" s="411"/>
      <c r="J327" s="410" t="s">
        <v>323</v>
      </c>
      <c r="K327" s="245"/>
      <c r="L327" s="257"/>
      <c r="M327" s="591" t="s">
        <v>324</v>
      </c>
      <c r="N327" s="592"/>
      <c r="O327" s="179"/>
      <c r="P327" s="180"/>
      <c r="Q327" s="180">
        <v>5934000</v>
      </c>
      <c r="R327" s="181">
        <f t="shared" si="111"/>
        <v>15.459298654814363</v>
      </c>
      <c r="S327" s="181">
        <v>100</v>
      </c>
      <c r="T327" s="180">
        <f t="shared" si="101"/>
        <v>0</v>
      </c>
      <c r="U327" s="180">
        <f t="shared" si="107"/>
        <v>0</v>
      </c>
      <c r="V327" s="182">
        <f t="shared" si="105"/>
        <v>100</v>
      </c>
      <c r="W327" s="180"/>
      <c r="X327" s="180"/>
      <c r="Y327" s="180"/>
      <c r="Z327" s="180"/>
      <c r="AA327" s="180"/>
      <c r="AB327" s="180"/>
      <c r="AC327" s="180"/>
      <c r="AD327" s="180"/>
      <c r="AE327" s="180"/>
      <c r="AF327" s="180"/>
      <c r="AG327" s="180"/>
      <c r="AH327" s="180"/>
      <c r="AI327" s="180">
        <v>0</v>
      </c>
      <c r="AJ327" s="181">
        <f t="shared" si="102"/>
        <v>0</v>
      </c>
      <c r="AK327" s="180">
        <f t="shared" si="109"/>
        <v>5934000</v>
      </c>
      <c r="AL327" s="181">
        <f t="shared" si="103"/>
        <v>100</v>
      </c>
      <c r="AM327" s="243"/>
    </row>
    <row r="328" spans="1:39" ht="28.5" customHeight="1" x14ac:dyDescent="0.25">
      <c r="A328" s="243"/>
      <c r="B328" s="410"/>
      <c r="C328" s="410"/>
      <c r="D328" s="410"/>
      <c r="E328" s="410"/>
      <c r="F328" s="410"/>
      <c r="G328" s="410"/>
      <c r="H328" s="410"/>
      <c r="I328" s="411"/>
      <c r="J328" s="410" t="s">
        <v>269</v>
      </c>
      <c r="K328" s="245"/>
      <c r="L328" s="257"/>
      <c r="M328" s="591" t="s">
        <v>270</v>
      </c>
      <c r="N328" s="592"/>
      <c r="O328" s="179"/>
      <c r="P328" s="180"/>
      <c r="Q328" s="180">
        <v>4000000</v>
      </c>
      <c r="R328" s="181">
        <f t="shared" si="111"/>
        <v>10.420828213558723</v>
      </c>
      <c r="S328" s="181">
        <v>100</v>
      </c>
      <c r="T328" s="180">
        <f t="shared" si="101"/>
        <v>0</v>
      </c>
      <c r="U328" s="180">
        <f t="shared" si="107"/>
        <v>0</v>
      </c>
      <c r="V328" s="182">
        <f t="shared" si="105"/>
        <v>100</v>
      </c>
      <c r="W328" s="180"/>
      <c r="X328" s="180"/>
      <c r="Y328" s="180"/>
      <c r="Z328" s="180"/>
      <c r="AA328" s="180"/>
      <c r="AB328" s="180"/>
      <c r="AC328" s="180"/>
      <c r="AD328" s="180"/>
      <c r="AE328" s="180"/>
      <c r="AF328" s="180"/>
      <c r="AG328" s="180"/>
      <c r="AH328" s="180"/>
      <c r="AI328" s="180">
        <v>0</v>
      </c>
      <c r="AJ328" s="181">
        <f t="shared" si="102"/>
        <v>0</v>
      </c>
      <c r="AK328" s="180">
        <f t="shared" si="109"/>
        <v>4000000</v>
      </c>
      <c r="AL328" s="181">
        <f t="shared" si="103"/>
        <v>100</v>
      </c>
      <c r="AM328" s="243"/>
    </row>
    <row r="329" spans="1:39" ht="28.5" customHeight="1" x14ac:dyDescent="0.25">
      <c r="A329" s="243"/>
      <c r="B329" s="410"/>
      <c r="C329" s="410"/>
      <c r="D329" s="410"/>
      <c r="E329" s="410"/>
      <c r="F329" s="410"/>
      <c r="G329" s="410"/>
      <c r="H329" s="410"/>
      <c r="I329" s="411"/>
      <c r="J329" s="410" t="s">
        <v>315</v>
      </c>
      <c r="K329" s="245"/>
      <c r="L329" s="257"/>
      <c r="M329" s="591" t="s">
        <v>271</v>
      </c>
      <c r="N329" s="592"/>
      <c r="O329" s="179"/>
      <c r="P329" s="180"/>
      <c r="Q329" s="180">
        <v>6000000</v>
      </c>
      <c r="R329" s="181">
        <f t="shared" si="111"/>
        <v>15.631242320338082</v>
      </c>
      <c r="S329" s="181">
        <v>100</v>
      </c>
      <c r="T329" s="180">
        <f t="shared" si="101"/>
        <v>0</v>
      </c>
      <c r="U329" s="180">
        <f t="shared" si="107"/>
        <v>0</v>
      </c>
      <c r="V329" s="182">
        <f t="shared" si="105"/>
        <v>100</v>
      </c>
      <c r="W329" s="180"/>
      <c r="X329" s="180"/>
      <c r="Y329" s="180"/>
      <c r="Z329" s="180"/>
      <c r="AA329" s="180"/>
      <c r="AB329" s="180"/>
      <c r="AC329" s="180"/>
      <c r="AD329" s="180"/>
      <c r="AE329" s="180"/>
      <c r="AF329" s="180"/>
      <c r="AG329" s="180"/>
      <c r="AH329" s="180"/>
      <c r="AI329" s="180">
        <v>0</v>
      </c>
      <c r="AJ329" s="181">
        <f t="shared" si="102"/>
        <v>0</v>
      </c>
      <c r="AK329" s="180">
        <f t="shared" si="109"/>
        <v>6000000</v>
      </c>
      <c r="AL329" s="181">
        <f t="shared" si="103"/>
        <v>100</v>
      </c>
      <c r="AM329" s="243"/>
    </row>
    <row r="330" spans="1:39" ht="28.5" customHeight="1" x14ac:dyDescent="0.25">
      <c r="A330" s="243"/>
      <c r="B330" s="410"/>
      <c r="C330" s="410"/>
      <c r="D330" s="410"/>
      <c r="E330" s="410"/>
      <c r="F330" s="410"/>
      <c r="G330" s="410"/>
      <c r="H330" s="410"/>
      <c r="I330" s="411"/>
      <c r="J330" s="410" t="s">
        <v>339</v>
      </c>
      <c r="K330" s="245"/>
      <c r="L330" s="257"/>
      <c r="M330" s="591" t="s">
        <v>340</v>
      </c>
      <c r="N330" s="592"/>
      <c r="O330" s="179"/>
      <c r="P330" s="180"/>
      <c r="Q330" s="180">
        <v>1500000</v>
      </c>
      <c r="R330" s="181">
        <f t="shared" si="111"/>
        <v>3.9078105800845204</v>
      </c>
      <c r="S330" s="181">
        <v>100</v>
      </c>
      <c r="T330" s="180">
        <f t="shared" si="101"/>
        <v>0</v>
      </c>
      <c r="U330" s="180">
        <f t="shared" si="107"/>
        <v>0</v>
      </c>
      <c r="V330" s="182">
        <f t="shared" si="105"/>
        <v>100</v>
      </c>
      <c r="W330" s="180"/>
      <c r="X330" s="180"/>
      <c r="Y330" s="180"/>
      <c r="Z330" s="180"/>
      <c r="AA330" s="180"/>
      <c r="AB330" s="180"/>
      <c r="AC330" s="180"/>
      <c r="AD330" s="180"/>
      <c r="AE330" s="180"/>
      <c r="AF330" s="180"/>
      <c r="AG330" s="180"/>
      <c r="AH330" s="180"/>
      <c r="AI330" s="180">
        <v>0</v>
      </c>
      <c r="AJ330" s="181">
        <f t="shared" si="102"/>
        <v>0</v>
      </c>
      <c r="AK330" s="180">
        <f t="shared" si="109"/>
        <v>1500000</v>
      </c>
      <c r="AL330" s="181">
        <f t="shared" si="103"/>
        <v>100</v>
      </c>
      <c r="AM330" s="243"/>
    </row>
    <row r="331" spans="1:39" ht="28.5" customHeight="1" x14ac:dyDescent="0.25">
      <c r="A331" s="243"/>
      <c r="B331" s="410"/>
      <c r="C331" s="410"/>
      <c r="D331" s="410"/>
      <c r="E331" s="410"/>
      <c r="F331" s="410"/>
      <c r="G331" s="410"/>
      <c r="H331" s="410"/>
      <c r="I331" s="411"/>
      <c r="J331" s="410" t="s">
        <v>282</v>
      </c>
      <c r="K331" s="245"/>
      <c r="L331" s="257"/>
      <c r="M331" s="591" t="s">
        <v>590</v>
      </c>
      <c r="N331" s="592"/>
      <c r="O331" s="179"/>
      <c r="P331" s="180"/>
      <c r="Q331" s="180">
        <v>4200665</v>
      </c>
      <c r="R331" s="181">
        <f t="shared" si="111"/>
        <v>10.943602086927163</v>
      </c>
      <c r="S331" s="181">
        <v>100</v>
      </c>
      <c r="T331" s="180">
        <f t="shared" si="101"/>
        <v>0</v>
      </c>
      <c r="U331" s="180">
        <f t="shared" si="107"/>
        <v>0</v>
      </c>
      <c r="V331" s="182">
        <f t="shared" si="105"/>
        <v>100</v>
      </c>
      <c r="W331" s="180"/>
      <c r="X331" s="180"/>
      <c r="Y331" s="180"/>
      <c r="Z331" s="180"/>
      <c r="AA331" s="180"/>
      <c r="AB331" s="180"/>
      <c r="AC331" s="180"/>
      <c r="AD331" s="180"/>
      <c r="AE331" s="180"/>
      <c r="AF331" s="180"/>
      <c r="AG331" s="180"/>
      <c r="AH331" s="180"/>
      <c r="AI331" s="180">
        <v>0</v>
      </c>
      <c r="AJ331" s="181">
        <f t="shared" si="102"/>
        <v>0</v>
      </c>
      <c r="AK331" s="180">
        <f t="shared" si="109"/>
        <v>4200665</v>
      </c>
      <c r="AL331" s="181">
        <f t="shared" si="103"/>
        <v>100</v>
      </c>
      <c r="AM331" s="243"/>
    </row>
    <row r="332" spans="1:39" s="311" customFormat="1" ht="27.75" customHeight="1" x14ac:dyDescent="0.25">
      <c r="A332" s="227">
        <f>SUM(A325+1)</f>
        <v>44</v>
      </c>
      <c r="B332" s="415"/>
      <c r="C332" s="415"/>
      <c r="D332" s="415"/>
      <c r="E332" s="415"/>
      <c r="F332" s="415"/>
      <c r="G332" s="415"/>
      <c r="H332" s="415"/>
      <c r="I332" s="414"/>
      <c r="J332" s="304" t="s">
        <v>488</v>
      </c>
      <c r="K332" s="230"/>
      <c r="L332" s="294"/>
      <c r="M332" s="609" t="s">
        <v>198</v>
      </c>
      <c r="N332" s="614"/>
      <c r="O332" s="310"/>
      <c r="P332" s="231"/>
      <c r="Q332" s="231">
        <f>SUM(Q333:Q338)</f>
        <v>139532300</v>
      </c>
      <c r="R332" s="233">
        <f>Q332/Q$248*100</f>
        <v>1.1698031211839044</v>
      </c>
      <c r="S332" s="233">
        <v>100</v>
      </c>
      <c r="T332" s="231">
        <f t="shared" si="101"/>
        <v>0</v>
      </c>
      <c r="U332" s="231">
        <f t="shared" si="107"/>
        <v>0</v>
      </c>
      <c r="V332" s="296">
        <f t="shared" si="105"/>
        <v>100</v>
      </c>
      <c r="W332" s="231"/>
      <c r="X332" s="231" t="e">
        <f>#REF!</f>
        <v>#REF!</v>
      </c>
      <c r="Y332" s="231" t="e">
        <f>#REF!</f>
        <v>#REF!</v>
      </c>
      <c r="Z332" s="231" t="e">
        <f>#REF!</f>
        <v>#REF!</v>
      </c>
      <c r="AA332" s="231" t="e">
        <f>#REF!</f>
        <v>#REF!</v>
      </c>
      <c r="AB332" s="231">
        <v>323021990</v>
      </c>
      <c r="AC332" s="231" t="e">
        <f>#REF!</f>
        <v>#REF!</v>
      </c>
      <c r="AD332" s="231" t="e">
        <f>#REF!</f>
        <v>#REF!</v>
      </c>
      <c r="AE332" s="231" t="e">
        <f>#REF!</f>
        <v>#REF!</v>
      </c>
      <c r="AF332" s="231" t="e">
        <f>[1]April!N63</f>
        <v>#REF!</v>
      </c>
      <c r="AG332" s="231" t="e">
        <f>[2]april!N63</f>
        <v>#REF!</v>
      </c>
      <c r="AH332" s="231">
        <f>'[3]DES SKPD'!$N63</f>
        <v>174573000</v>
      </c>
      <c r="AI332" s="231">
        <f>SUM(AI333:AI338)</f>
        <v>0</v>
      </c>
      <c r="AJ332" s="233">
        <f t="shared" si="102"/>
        <v>0</v>
      </c>
      <c r="AK332" s="231">
        <f t="shared" si="109"/>
        <v>139532300</v>
      </c>
      <c r="AL332" s="233">
        <f t="shared" si="103"/>
        <v>100</v>
      </c>
      <c r="AM332" s="227"/>
    </row>
    <row r="333" spans="1:39" ht="27.75" customHeight="1" x14ac:dyDescent="0.25">
      <c r="A333" s="243"/>
      <c r="B333" s="410"/>
      <c r="C333" s="410"/>
      <c r="D333" s="410"/>
      <c r="E333" s="410"/>
      <c r="F333" s="410"/>
      <c r="G333" s="410"/>
      <c r="H333" s="410"/>
      <c r="I333" s="411"/>
      <c r="J333" s="410" t="s">
        <v>257</v>
      </c>
      <c r="K333" s="245"/>
      <c r="L333" s="257"/>
      <c r="M333" s="591" t="s">
        <v>428</v>
      </c>
      <c r="N333" s="592"/>
      <c r="O333" s="179"/>
      <c r="P333" s="180"/>
      <c r="Q333" s="180">
        <v>2000000</v>
      </c>
      <c r="R333" s="181">
        <f t="shared" ref="R333:R338" si="112">Q333/Q$332*100</f>
        <v>1.4333598743803406</v>
      </c>
      <c r="S333" s="181">
        <v>100</v>
      </c>
      <c r="T333" s="180">
        <f t="shared" si="101"/>
        <v>0</v>
      </c>
      <c r="U333" s="180">
        <f t="shared" si="107"/>
        <v>0</v>
      </c>
      <c r="V333" s="182">
        <f t="shared" si="105"/>
        <v>100</v>
      </c>
      <c r="W333" s="180"/>
      <c r="X333" s="180"/>
      <c r="Y333" s="180"/>
      <c r="Z333" s="180"/>
      <c r="AA333" s="180"/>
      <c r="AB333" s="180"/>
      <c r="AC333" s="180"/>
      <c r="AD333" s="180"/>
      <c r="AE333" s="180"/>
      <c r="AF333" s="180"/>
      <c r="AG333" s="180"/>
      <c r="AH333" s="180"/>
      <c r="AI333" s="180">
        <v>0</v>
      </c>
      <c r="AJ333" s="181">
        <f t="shared" si="102"/>
        <v>0</v>
      </c>
      <c r="AK333" s="180">
        <f t="shared" si="109"/>
        <v>2000000</v>
      </c>
      <c r="AL333" s="181">
        <f t="shared" si="103"/>
        <v>100</v>
      </c>
      <c r="AM333" s="243"/>
    </row>
    <row r="334" spans="1:39" ht="27.75" customHeight="1" x14ac:dyDescent="0.25">
      <c r="A334" s="243"/>
      <c r="B334" s="410"/>
      <c r="C334" s="410"/>
      <c r="D334" s="410"/>
      <c r="E334" s="410"/>
      <c r="F334" s="410"/>
      <c r="G334" s="410"/>
      <c r="H334" s="410"/>
      <c r="I334" s="411"/>
      <c r="J334" s="410" t="s">
        <v>259</v>
      </c>
      <c r="K334" s="245"/>
      <c r="L334" s="257"/>
      <c r="M334" s="591" t="s">
        <v>340</v>
      </c>
      <c r="N334" s="592"/>
      <c r="O334" s="179"/>
      <c r="P334" s="180"/>
      <c r="Q334" s="180">
        <v>7500000</v>
      </c>
      <c r="R334" s="181">
        <f t="shared" si="112"/>
        <v>5.3750995289262775</v>
      </c>
      <c r="S334" s="181">
        <v>100</v>
      </c>
      <c r="T334" s="180">
        <f t="shared" si="101"/>
        <v>0</v>
      </c>
      <c r="U334" s="180">
        <f t="shared" si="107"/>
        <v>0</v>
      </c>
      <c r="V334" s="182">
        <f t="shared" si="105"/>
        <v>100</v>
      </c>
      <c r="W334" s="180"/>
      <c r="X334" s="180"/>
      <c r="Y334" s="180"/>
      <c r="Z334" s="180"/>
      <c r="AA334" s="180"/>
      <c r="AB334" s="180"/>
      <c r="AC334" s="180"/>
      <c r="AD334" s="180"/>
      <c r="AE334" s="180"/>
      <c r="AF334" s="180"/>
      <c r="AG334" s="180"/>
      <c r="AH334" s="180"/>
      <c r="AI334" s="180">
        <v>0</v>
      </c>
      <c r="AJ334" s="181">
        <f t="shared" si="102"/>
        <v>0</v>
      </c>
      <c r="AK334" s="180">
        <f t="shared" si="109"/>
        <v>7500000</v>
      </c>
      <c r="AL334" s="181">
        <f t="shared" si="103"/>
        <v>100</v>
      </c>
      <c r="AM334" s="243"/>
    </row>
    <row r="335" spans="1:39" ht="27.75" customHeight="1" x14ac:dyDescent="0.25">
      <c r="A335" s="243"/>
      <c r="B335" s="410"/>
      <c r="C335" s="410"/>
      <c r="D335" s="410"/>
      <c r="E335" s="410"/>
      <c r="F335" s="410"/>
      <c r="G335" s="410"/>
      <c r="H335" s="410"/>
      <c r="I335" s="411"/>
      <c r="J335" s="410" t="s">
        <v>323</v>
      </c>
      <c r="K335" s="245"/>
      <c r="L335" s="257"/>
      <c r="M335" s="591" t="s">
        <v>605</v>
      </c>
      <c r="N335" s="592"/>
      <c r="O335" s="179"/>
      <c r="P335" s="180"/>
      <c r="Q335" s="180">
        <v>24232300</v>
      </c>
      <c r="R335" s="181">
        <f t="shared" si="112"/>
        <v>17.366803241973365</v>
      </c>
      <c r="S335" s="181">
        <v>100</v>
      </c>
      <c r="T335" s="180">
        <f t="shared" si="101"/>
        <v>0</v>
      </c>
      <c r="U335" s="180">
        <f t="shared" si="107"/>
        <v>0</v>
      </c>
      <c r="V335" s="182">
        <f t="shared" si="105"/>
        <v>100</v>
      </c>
      <c r="W335" s="180"/>
      <c r="X335" s="180"/>
      <c r="Y335" s="180"/>
      <c r="Z335" s="180"/>
      <c r="AA335" s="180"/>
      <c r="AB335" s="180"/>
      <c r="AC335" s="180"/>
      <c r="AD335" s="180"/>
      <c r="AE335" s="180"/>
      <c r="AF335" s="180"/>
      <c r="AG335" s="180"/>
      <c r="AH335" s="180"/>
      <c r="AI335" s="180">
        <v>0</v>
      </c>
      <c r="AJ335" s="181">
        <f t="shared" si="102"/>
        <v>0</v>
      </c>
      <c r="AK335" s="180">
        <f t="shared" si="109"/>
        <v>24232300</v>
      </c>
      <c r="AL335" s="181">
        <f t="shared" si="103"/>
        <v>100</v>
      </c>
      <c r="AM335" s="243"/>
    </row>
    <row r="336" spans="1:39" ht="27.75" customHeight="1" x14ac:dyDescent="0.25">
      <c r="A336" s="243"/>
      <c r="B336" s="410"/>
      <c r="C336" s="410"/>
      <c r="D336" s="410"/>
      <c r="E336" s="410"/>
      <c r="F336" s="410"/>
      <c r="G336" s="410"/>
      <c r="H336" s="410"/>
      <c r="I336" s="411"/>
      <c r="J336" s="410" t="s">
        <v>315</v>
      </c>
      <c r="K336" s="245"/>
      <c r="L336" s="257"/>
      <c r="M336" s="591" t="s">
        <v>321</v>
      </c>
      <c r="N336" s="592"/>
      <c r="O336" s="179"/>
      <c r="P336" s="180"/>
      <c r="Q336" s="180">
        <v>3800000</v>
      </c>
      <c r="R336" s="181">
        <f t="shared" si="112"/>
        <v>2.7233837613226468</v>
      </c>
      <c r="S336" s="181">
        <v>100</v>
      </c>
      <c r="T336" s="180">
        <f t="shared" si="101"/>
        <v>0</v>
      </c>
      <c r="U336" s="180">
        <f t="shared" si="107"/>
        <v>0</v>
      </c>
      <c r="V336" s="182">
        <f t="shared" si="105"/>
        <v>100</v>
      </c>
      <c r="W336" s="180"/>
      <c r="X336" s="180"/>
      <c r="Y336" s="180"/>
      <c r="Z336" s="180"/>
      <c r="AA336" s="180"/>
      <c r="AB336" s="180"/>
      <c r="AC336" s="180"/>
      <c r="AD336" s="180"/>
      <c r="AE336" s="180"/>
      <c r="AF336" s="180"/>
      <c r="AG336" s="180"/>
      <c r="AH336" s="180"/>
      <c r="AI336" s="180">
        <v>0</v>
      </c>
      <c r="AJ336" s="181">
        <f t="shared" si="102"/>
        <v>0</v>
      </c>
      <c r="AK336" s="180">
        <f t="shared" si="109"/>
        <v>3800000</v>
      </c>
      <c r="AL336" s="181">
        <f t="shared" si="103"/>
        <v>100</v>
      </c>
      <c r="AM336" s="243"/>
    </row>
    <row r="337" spans="1:39" ht="27.75" customHeight="1" x14ac:dyDescent="0.25">
      <c r="A337" s="243"/>
      <c r="B337" s="410"/>
      <c r="C337" s="410"/>
      <c r="D337" s="410"/>
      <c r="E337" s="410"/>
      <c r="F337" s="410"/>
      <c r="G337" s="410"/>
      <c r="H337" s="410"/>
      <c r="I337" s="411"/>
      <c r="J337" s="410" t="s">
        <v>282</v>
      </c>
      <c r="K337" s="245"/>
      <c r="L337" s="257"/>
      <c r="M337" s="591" t="s">
        <v>606</v>
      </c>
      <c r="N337" s="592"/>
      <c r="O337" s="179"/>
      <c r="P337" s="180"/>
      <c r="Q337" s="180">
        <v>100000000</v>
      </c>
      <c r="R337" s="181">
        <f t="shared" si="112"/>
        <v>71.667993719017034</v>
      </c>
      <c r="S337" s="181">
        <v>100</v>
      </c>
      <c r="T337" s="180">
        <f t="shared" si="101"/>
        <v>0</v>
      </c>
      <c r="U337" s="180">
        <f t="shared" si="107"/>
        <v>0</v>
      </c>
      <c r="V337" s="182">
        <f t="shared" si="105"/>
        <v>100</v>
      </c>
      <c r="W337" s="180"/>
      <c r="X337" s="180"/>
      <c r="Y337" s="180"/>
      <c r="Z337" s="180"/>
      <c r="AA337" s="180"/>
      <c r="AB337" s="180"/>
      <c r="AC337" s="180"/>
      <c r="AD337" s="180"/>
      <c r="AE337" s="180"/>
      <c r="AF337" s="180"/>
      <c r="AG337" s="180"/>
      <c r="AH337" s="180"/>
      <c r="AI337" s="180">
        <v>0</v>
      </c>
      <c r="AJ337" s="181">
        <f t="shared" si="102"/>
        <v>0</v>
      </c>
      <c r="AK337" s="180">
        <f t="shared" si="109"/>
        <v>100000000</v>
      </c>
      <c r="AL337" s="181">
        <f t="shared" si="103"/>
        <v>100</v>
      </c>
      <c r="AM337" s="243"/>
    </row>
    <row r="338" spans="1:39" ht="27.75" customHeight="1" x14ac:dyDescent="0.25">
      <c r="A338" s="243"/>
      <c r="B338" s="410"/>
      <c r="C338" s="410"/>
      <c r="D338" s="410"/>
      <c r="E338" s="410"/>
      <c r="F338" s="410"/>
      <c r="G338" s="410"/>
      <c r="H338" s="410"/>
      <c r="I338" s="411"/>
      <c r="J338" s="410" t="s">
        <v>308</v>
      </c>
      <c r="K338" s="245"/>
      <c r="L338" s="257"/>
      <c r="M338" s="591" t="s">
        <v>607</v>
      </c>
      <c r="N338" s="592"/>
      <c r="O338" s="179"/>
      <c r="P338" s="180"/>
      <c r="Q338" s="180">
        <v>2000000</v>
      </c>
      <c r="R338" s="181">
        <f t="shared" si="112"/>
        <v>1.4333598743803406</v>
      </c>
      <c r="S338" s="181">
        <v>100</v>
      </c>
      <c r="T338" s="180">
        <f t="shared" si="101"/>
        <v>0</v>
      </c>
      <c r="U338" s="180">
        <f t="shared" si="107"/>
        <v>0</v>
      </c>
      <c r="V338" s="182">
        <f t="shared" si="105"/>
        <v>100</v>
      </c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0"/>
      <c r="AG338" s="180"/>
      <c r="AH338" s="180"/>
      <c r="AI338" s="180">
        <v>0</v>
      </c>
      <c r="AJ338" s="181">
        <f t="shared" si="102"/>
        <v>0</v>
      </c>
      <c r="AK338" s="180">
        <f t="shared" si="109"/>
        <v>2000000</v>
      </c>
      <c r="AL338" s="181">
        <f t="shared" si="103"/>
        <v>100</v>
      </c>
      <c r="AM338" s="243"/>
    </row>
    <row r="339" spans="1:39" s="297" customFormat="1" ht="36" customHeight="1" x14ac:dyDescent="0.25">
      <c r="A339" s="227">
        <f>SUM(A332+1)</f>
        <v>45</v>
      </c>
      <c r="B339" s="615" t="s">
        <v>152</v>
      </c>
      <c r="C339" s="615"/>
      <c r="D339" s="615"/>
      <c r="E339" s="615"/>
      <c r="F339" s="615"/>
      <c r="G339" s="615"/>
      <c r="H339" s="615"/>
      <c r="I339" s="614"/>
      <c r="J339" s="304" t="s">
        <v>489</v>
      </c>
      <c r="K339" s="230"/>
      <c r="L339" s="294"/>
      <c r="M339" s="610" t="s">
        <v>47</v>
      </c>
      <c r="N339" s="610"/>
      <c r="O339" s="309">
        <v>136000000</v>
      </c>
      <c r="P339" s="231">
        <f>O339</f>
        <v>136000000</v>
      </c>
      <c r="Q339" s="231">
        <f>SUM(Q340:Q349)</f>
        <v>341340000</v>
      </c>
      <c r="R339" s="233">
        <f>Q339/Q$248*100</f>
        <v>2.8617072705381759</v>
      </c>
      <c r="S339" s="233">
        <v>100</v>
      </c>
      <c r="T339" s="231">
        <f t="shared" si="101"/>
        <v>32.207077986758073</v>
      </c>
      <c r="U339" s="231">
        <f t="shared" si="107"/>
        <v>0.92167229237495618</v>
      </c>
      <c r="V339" s="296">
        <f t="shared" si="105"/>
        <v>67.792922013241935</v>
      </c>
      <c r="W339" s="231"/>
      <c r="X339" s="231" t="e">
        <f>#REF!</f>
        <v>#REF!</v>
      </c>
      <c r="Y339" s="231" t="e">
        <f>#REF!</f>
        <v>#REF!</v>
      </c>
      <c r="Z339" s="231" t="e">
        <f>#REF!</f>
        <v>#REF!</v>
      </c>
      <c r="AA339" s="231" t="e">
        <f>#REF!</f>
        <v>#REF!</v>
      </c>
      <c r="AB339" s="231">
        <v>88014000</v>
      </c>
      <c r="AC339" s="231" t="e">
        <f>#REF!</f>
        <v>#REF!</v>
      </c>
      <c r="AD339" s="231" t="e">
        <f>#REF!</f>
        <v>#REF!</v>
      </c>
      <c r="AE339" s="231" t="e">
        <f>#REF!</f>
        <v>#REF!</v>
      </c>
      <c r="AF339" s="231" t="e">
        <f>[1]April!N63</f>
        <v>#REF!</v>
      </c>
      <c r="AG339" s="231" t="e">
        <f>[2]april!N63</f>
        <v>#REF!</v>
      </c>
      <c r="AH339" s="231">
        <f>'[3]DES SKPD'!$N63</f>
        <v>174573000</v>
      </c>
      <c r="AI339" s="231">
        <f>SUM(AI340:AI349)</f>
        <v>109935640</v>
      </c>
      <c r="AJ339" s="233">
        <f t="shared" si="102"/>
        <v>32.207077986758073</v>
      </c>
      <c r="AK339" s="231">
        <f t="shared" si="109"/>
        <v>231404360</v>
      </c>
      <c r="AL339" s="233">
        <f t="shared" si="103"/>
        <v>67.792922013241935</v>
      </c>
      <c r="AM339" s="227"/>
    </row>
    <row r="340" spans="1:39" ht="29.25" customHeight="1" x14ac:dyDescent="0.25">
      <c r="A340" s="243"/>
      <c r="B340" s="410"/>
      <c r="C340" s="410"/>
      <c r="D340" s="410"/>
      <c r="E340" s="410"/>
      <c r="F340" s="410"/>
      <c r="G340" s="410"/>
      <c r="H340" s="410"/>
      <c r="I340" s="411"/>
      <c r="J340" s="410" t="s">
        <v>259</v>
      </c>
      <c r="K340" s="245"/>
      <c r="L340" s="257"/>
      <c r="M340" s="591" t="s">
        <v>260</v>
      </c>
      <c r="N340" s="592"/>
      <c r="O340" s="179"/>
      <c r="P340" s="180"/>
      <c r="Q340" s="180">
        <v>1600000</v>
      </c>
      <c r="R340" s="181">
        <f t="shared" ref="R340:R349" si="113">Q340/Q$339*100</f>
        <v>0.46874084490537299</v>
      </c>
      <c r="S340" s="181">
        <v>100</v>
      </c>
      <c r="T340" s="180">
        <f t="shared" si="101"/>
        <v>50</v>
      </c>
      <c r="U340" s="180">
        <f t="shared" si="107"/>
        <v>0.23437042245268649</v>
      </c>
      <c r="V340" s="182">
        <f t="shared" si="105"/>
        <v>50</v>
      </c>
      <c r="W340" s="180"/>
      <c r="X340" s="180"/>
      <c r="Y340" s="180"/>
      <c r="Z340" s="180"/>
      <c r="AA340" s="180"/>
      <c r="AB340" s="180"/>
      <c r="AC340" s="180"/>
      <c r="AD340" s="180"/>
      <c r="AE340" s="180"/>
      <c r="AF340" s="180"/>
      <c r="AG340" s="180"/>
      <c r="AH340" s="180"/>
      <c r="AI340" s="180">
        <v>800000</v>
      </c>
      <c r="AJ340" s="181">
        <f t="shared" si="102"/>
        <v>50</v>
      </c>
      <c r="AK340" s="180">
        <f t="shared" si="109"/>
        <v>800000</v>
      </c>
      <c r="AL340" s="181">
        <f t="shared" si="103"/>
        <v>50</v>
      </c>
      <c r="AM340" s="243"/>
    </row>
    <row r="341" spans="1:39" ht="29.25" customHeight="1" x14ac:dyDescent="0.25">
      <c r="A341" s="243"/>
      <c r="B341" s="410"/>
      <c r="C341" s="410"/>
      <c r="D341" s="410"/>
      <c r="E341" s="410"/>
      <c r="F341" s="410"/>
      <c r="G341" s="410"/>
      <c r="H341" s="410"/>
      <c r="I341" s="411"/>
      <c r="J341" s="410" t="s">
        <v>323</v>
      </c>
      <c r="K341" s="245"/>
      <c r="L341" s="257"/>
      <c r="M341" s="591" t="s">
        <v>324</v>
      </c>
      <c r="N341" s="592"/>
      <c r="O341" s="179"/>
      <c r="P341" s="180"/>
      <c r="Q341" s="180">
        <v>52980000</v>
      </c>
      <c r="R341" s="181">
        <f t="shared" si="113"/>
        <v>15.521181226929162</v>
      </c>
      <c r="S341" s="181">
        <v>100</v>
      </c>
      <c r="T341" s="180">
        <f t="shared" si="101"/>
        <v>29.873537183842956</v>
      </c>
      <c r="U341" s="180">
        <f t="shared" si="107"/>
        <v>4.6367258451983355</v>
      </c>
      <c r="V341" s="182">
        <f t="shared" si="105"/>
        <v>70.126462816157044</v>
      </c>
      <c r="W341" s="180"/>
      <c r="X341" s="180"/>
      <c r="Y341" s="180"/>
      <c r="Z341" s="180"/>
      <c r="AA341" s="180"/>
      <c r="AB341" s="180"/>
      <c r="AC341" s="180"/>
      <c r="AD341" s="180"/>
      <c r="AE341" s="180"/>
      <c r="AF341" s="180"/>
      <c r="AG341" s="180"/>
      <c r="AH341" s="180"/>
      <c r="AI341" s="180">
        <f>3803000+7983000+4041000</f>
        <v>15827000</v>
      </c>
      <c r="AJ341" s="181">
        <f t="shared" si="102"/>
        <v>29.873537183842956</v>
      </c>
      <c r="AK341" s="180">
        <f t="shared" si="109"/>
        <v>37153000</v>
      </c>
      <c r="AL341" s="181">
        <f t="shared" si="103"/>
        <v>70.126462816157044</v>
      </c>
      <c r="AM341" s="243"/>
    </row>
    <row r="342" spans="1:39" ht="39.75" customHeight="1" x14ac:dyDescent="0.25">
      <c r="A342" s="243"/>
      <c r="B342" s="410"/>
      <c r="C342" s="410"/>
      <c r="D342" s="410"/>
      <c r="E342" s="410"/>
      <c r="F342" s="410"/>
      <c r="G342" s="410"/>
      <c r="H342" s="410"/>
      <c r="I342" s="411"/>
      <c r="J342" s="410" t="s">
        <v>315</v>
      </c>
      <c r="K342" s="245"/>
      <c r="L342" s="257"/>
      <c r="M342" s="591" t="s">
        <v>271</v>
      </c>
      <c r="N342" s="592"/>
      <c r="O342" s="179"/>
      <c r="P342" s="180"/>
      <c r="Q342" s="180">
        <v>1800000</v>
      </c>
      <c r="R342" s="181">
        <f t="shared" si="113"/>
        <v>0.52733345051854452</v>
      </c>
      <c r="S342" s="181">
        <v>100</v>
      </c>
      <c r="T342" s="180">
        <f t="shared" si="101"/>
        <v>44.444444444444443</v>
      </c>
      <c r="U342" s="180">
        <f t="shared" si="107"/>
        <v>0.23437042245268647</v>
      </c>
      <c r="V342" s="182">
        <f t="shared" si="105"/>
        <v>55.555555555555557</v>
      </c>
      <c r="W342" s="180"/>
      <c r="X342" s="180"/>
      <c r="Y342" s="180"/>
      <c r="Z342" s="180"/>
      <c r="AA342" s="180"/>
      <c r="AB342" s="180"/>
      <c r="AC342" s="180"/>
      <c r="AD342" s="180"/>
      <c r="AE342" s="180"/>
      <c r="AF342" s="180"/>
      <c r="AG342" s="180"/>
      <c r="AH342" s="180"/>
      <c r="AI342" s="180">
        <v>800000</v>
      </c>
      <c r="AJ342" s="181">
        <f t="shared" si="102"/>
        <v>44.444444444444443</v>
      </c>
      <c r="AK342" s="180">
        <f t="shared" si="109"/>
        <v>1000000</v>
      </c>
      <c r="AL342" s="181">
        <f t="shared" si="103"/>
        <v>55.555555555555557</v>
      </c>
      <c r="AM342" s="243"/>
    </row>
    <row r="343" spans="1:39" ht="29.25" customHeight="1" x14ac:dyDescent="0.25">
      <c r="A343" s="243"/>
      <c r="B343" s="410"/>
      <c r="C343" s="410"/>
      <c r="D343" s="410"/>
      <c r="E343" s="410"/>
      <c r="F343" s="410"/>
      <c r="G343" s="410"/>
      <c r="H343" s="410"/>
      <c r="I343" s="411"/>
      <c r="J343" s="410" t="s">
        <v>316</v>
      </c>
      <c r="K343" s="245"/>
      <c r="L343" s="257"/>
      <c r="M343" s="591" t="s">
        <v>317</v>
      </c>
      <c r="N343" s="592"/>
      <c r="O343" s="179"/>
      <c r="P343" s="180"/>
      <c r="Q343" s="180">
        <v>600000</v>
      </c>
      <c r="R343" s="181">
        <f t="shared" si="113"/>
        <v>0.17577781683951485</v>
      </c>
      <c r="S343" s="181">
        <v>100</v>
      </c>
      <c r="T343" s="180">
        <f t="shared" si="101"/>
        <v>50</v>
      </c>
      <c r="U343" s="180">
        <f t="shared" si="107"/>
        <v>8.7888908419757425E-2</v>
      </c>
      <c r="V343" s="182">
        <f t="shared" si="105"/>
        <v>50</v>
      </c>
      <c r="W343" s="180"/>
      <c r="X343" s="180"/>
      <c r="Y343" s="180"/>
      <c r="Z343" s="180"/>
      <c r="AA343" s="180"/>
      <c r="AB343" s="180"/>
      <c r="AC343" s="180"/>
      <c r="AD343" s="180"/>
      <c r="AE343" s="180"/>
      <c r="AF343" s="180"/>
      <c r="AG343" s="180"/>
      <c r="AH343" s="180"/>
      <c r="AI343" s="180">
        <v>300000</v>
      </c>
      <c r="AJ343" s="181">
        <f t="shared" si="102"/>
        <v>50</v>
      </c>
      <c r="AK343" s="180">
        <f t="shared" si="109"/>
        <v>300000</v>
      </c>
      <c r="AL343" s="181">
        <f t="shared" si="103"/>
        <v>50</v>
      </c>
      <c r="AM343" s="243"/>
    </row>
    <row r="344" spans="1:39" ht="29.25" customHeight="1" x14ac:dyDescent="0.25">
      <c r="A344" s="243"/>
      <c r="B344" s="410"/>
      <c r="C344" s="410"/>
      <c r="D344" s="410"/>
      <c r="E344" s="410"/>
      <c r="F344" s="410"/>
      <c r="G344" s="410"/>
      <c r="H344" s="410"/>
      <c r="I344" s="411"/>
      <c r="J344" s="410" t="s">
        <v>318</v>
      </c>
      <c r="K344" s="245"/>
      <c r="L344" s="257"/>
      <c r="M344" s="591" t="s">
        <v>319</v>
      </c>
      <c r="N344" s="592"/>
      <c r="O344" s="179"/>
      <c r="P344" s="180"/>
      <c r="Q344" s="180">
        <v>97400000</v>
      </c>
      <c r="R344" s="181">
        <f t="shared" si="113"/>
        <v>28.534598933614578</v>
      </c>
      <c r="S344" s="181">
        <v>100</v>
      </c>
      <c r="T344" s="180">
        <f t="shared" si="101"/>
        <v>38.809034907597535</v>
      </c>
      <c r="U344" s="180">
        <f t="shared" si="107"/>
        <v>11.074002460889435</v>
      </c>
      <c r="V344" s="182">
        <f t="shared" si="105"/>
        <v>61.190965092402465</v>
      </c>
      <c r="W344" s="180"/>
      <c r="X344" s="180"/>
      <c r="Y344" s="180"/>
      <c r="Z344" s="180"/>
      <c r="AA344" s="180"/>
      <c r="AB344" s="180"/>
      <c r="AC344" s="180"/>
      <c r="AD344" s="180"/>
      <c r="AE344" s="180"/>
      <c r="AF344" s="180"/>
      <c r="AG344" s="180"/>
      <c r="AH344" s="180"/>
      <c r="AI344" s="180">
        <v>37800000</v>
      </c>
      <c r="AJ344" s="181">
        <f t="shared" si="102"/>
        <v>38.809034907597535</v>
      </c>
      <c r="AK344" s="180">
        <f t="shared" si="109"/>
        <v>59600000</v>
      </c>
      <c r="AL344" s="181">
        <f t="shared" si="103"/>
        <v>61.190965092402458</v>
      </c>
      <c r="AM344" s="243"/>
    </row>
    <row r="345" spans="1:39" ht="29.25" customHeight="1" x14ac:dyDescent="0.25">
      <c r="A345" s="243"/>
      <c r="B345" s="410"/>
      <c r="C345" s="410"/>
      <c r="D345" s="410"/>
      <c r="E345" s="410"/>
      <c r="F345" s="410"/>
      <c r="G345" s="410"/>
      <c r="H345" s="410"/>
      <c r="I345" s="411"/>
      <c r="J345" s="410" t="s">
        <v>280</v>
      </c>
      <c r="K345" s="245"/>
      <c r="L345" s="257"/>
      <c r="M345" s="591" t="s">
        <v>281</v>
      </c>
      <c r="N345" s="592"/>
      <c r="O345" s="179"/>
      <c r="P345" s="180"/>
      <c r="Q345" s="180">
        <v>2000000</v>
      </c>
      <c r="R345" s="181">
        <f t="shared" si="113"/>
        <v>0.58592605613171622</v>
      </c>
      <c r="S345" s="181">
        <v>100</v>
      </c>
      <c r="T345" s="180">
        <f t="shared" ref="T345:T413" si="114">AJ345</f>
        <v>0</v>
      </c>
      <c r="U345" s="180">
        <f t="shared" si="107"/>
        <v>0</v>
      </c>
      <c r="V345" s="182">
        <f t="shared" si="105"/>
        <v>100</v>
      </c>
      <c r="W345" s="180"/>
      <c r="X345" s="180"/>
      <c r="Y345" s="180"/>
      <c r="Z345" s="180"/>
      <c r="AA345" s="180"/>
      <c r="AB345" s="180"/>
      <c r="AC345" s="180"/>
      <c r="AD345" s="180"/>
      <c r="AE345" s="180"/>
      <c r="AF345" s="180"/>
      <c r="AG345" s="180"/>
      <c r="AH345" s="180"/>
      <c r="AI345" s="180">
        <v>0</v>
      </c>
      <c r="AJ345" s="181">
        <f t="shared" ref="AJ345:AJ408" si="115">AI345/Q345*100</f>
        <v>0</v>
      </c>
      <c r="AK345" s="180">
        <f t="shared" si="109"/>
        <v>2000000</v>
      </c>
      <c r="AL345" s="181">
        <f t="shared" ref="AL345:AL408" si="116">AK345/Q345*100</f>
        <v>100</v>
      </c>
      <c r="AM345" s="243"/>
    </row>
    <row r="346" spans="1:39" ht="29.25" customHeight="1" x14ac:dyDescent="0.25">
      <c r="A346" s="243"/>
      <c r="B346" s="410"/>
      <c r="C346" s="410"/>
      <c r="D346" s="410"/>
      <c r="E346" s="410"/>
      <c r="F346" s="410"/>
      <c r="G346" s="410"/>
      <c r="H346" s="410"/>
      <c r="I346" s="411"/>
      <c r="J346" s="410" t="s">
        <v>284</v>
      </c>
      <c r="K346" s="245"/>
      <c r="L346" s="257"/>
      <c r="M346" s="591" t="s">
        <v>285</v>
      </c>
      <c r="N346" s="592"/>
      <c r="O346" s="179"/>
      <c r="P346" s="180"/>
      <c r="Q346" s="180">
        <v>2200000</v>
      </c>
      <c r="R346" s="181">
        <f t="shared" si="113"/>
        <v>0.64451866174488781</v>
      </c>
      <c r="S346" s="181">
        <v>100</v>
      </c>
      <c r="T346" s="180">
        <f t="shared" si="114"/>
        <v>20</v>
      </c>
      <c r="U346" s="180">
        <f t="shared" si="107"/>
        <v>0.12890373234897756</v>
      </c>
      <c r="V346" s="182">
        <f t="shared" si="105"/>
        <v>80</v>
      </c>
      <c r="W346" s="180"/>
      <c r="X346" s="180"/>
      <c r="Y346" s="180"/>
      <c r="Z346" s="180"/>
      <c r="AA346" s="180"/>
      <c r="AB346" s="180"/>
      <c r="AC346" s="180"/>
      <c r="AD346" s="180"/>
      <c r="AE346" s="180"/>
      <c r="AF346" s="180"/>
      <c r="AG346" s="180"/>
      <c r="AH346" s="180"/>
      <c r="AI346" s="180">
        <f>220000+220000</f>
        <v>440000</v>
      </c>
      <c r="AJ346" s="181">
        <f t="shared" si="115"/>
        <v>20</v>
      </c>
      <c r="AK346" s="180">
        <f t="shared" si="109"/>
        <v>1760000</v>
      </c>
      <c r="AL346" s="181">
        <f t="shared" si="116"/>
        <v>80</v>
      </c>
      <c r="AM346" s="243"/>
    </row>
    <row r="347" spans="1:39" ht="29.25" customHeight="1" x14ac:dyDescent="0.25">
      <c r="A347" s="243"/>
      <c r="B347" s="410"/>
      <c r="C347" s="410"/>
      <c r="D347" s="410"/>
      <c r="E347" s="410"/>
      <c r="F347" s="410"/>
      <c r="G347" s="410"/>
      <c r="H347" s="410"/>
      <c r="I347" s="411"/>
      <c r="J347" s="410" t="s">
        <v>282</v>
      </c>
      <c r="K347" s="245"/>
      <c r="L347" s="257"/>
      <c r="M347" s="591" t="s">
        <v>283</v>
      </c>
      <c r="N347" s="592"/>
      <c r="O347" s="179"/>
      <c r="P347" s="180"/>
      <c r="Q347" s="180">
        <v>159060000</v>
      </c>
      <c r="R347" s="181">
        <f t="shared" si="113"/>
        <v>46.598699244155391</v>
      </c>
      <c r="S347" s="181">
        <v>100</v>
      </c>
      <c r="T347" s="180">
        <f t="shared" si="114"/>
        <v>26.479718345278513</v>
      </c>
      <c r="U347" s="180">
        <f t="shared" si="107"/>
        <v>12.339204312415776</v>
      </c>
      <c r="V347" s="182">
        <f t="shared" si="105"/>
        <v>73.520281654721487</v>
      </c>
      <c r="W347" s="180"/>
      <c r="X347" s="180"/>
      <c r="Y347" s="180"/>
      <c r="Z347" s="180"/>
      <c r="AA347" s="180"/>
      <c r="AB347" s="180"/>
      <c r="AC347" s="180"/>
      <c r="AD347" s="180"/>
      <c r="AE347" s="180"/>
      <c r="AF347" s="180"/>
      <c r="AG347" s="180"/>
      <c r="AH347" s="180"/>
      <c r="AI347" s="180">
        <f>7205640+22163000+12750000</f>
        <v>42118640</v>
      </c>
      <c r="AJ347" s="181">
        <f t="shared" si="115"/>
        <v>26.479718345278513</v>
      </c>
      <c r="AK347" s="180">
        <f t="shared" si="109"/>
        <v>116941360</v>
      </c>
      <c r="AL347" s="181">
        <f t="shared" si="116"/>
        <v>73.520281654721487</v>
      </c>
      <c r="AM347" s="243"/>
    </row>
    <row r="348" spans="1:39" ht="29.25" customHeight="1" x14ac:dyDescent="0.25">
      <c r="A348" s="243"/>
      <c r="B348" s="410"/>
      <c r="C348" s="410"/>
      <c r="D348" s="410"/>
      <c r="E348" s="410"/>
      <c r="F348" s="410"/>
      <c r="G348" s="410"/>
      <c r="H348" s="410"/>
      <c r="I348" s="411"/>
      <c r="J348" s="410" t="s">
        <v>320</v>
      </c>
      <c r="K348" s="245"/>
      <c r="L348" s="257"/>
      <c r="M348" s="591" t="s">
        <v>321</v>
      </c>
      <c r="N348" s="592"/>
      <c r="O348" s="179"/>
      <c r="P348" s="180"/>
      <c r="Q348" s="180">
        <v>14400000</v>
      </c>
      <c r="R348" s="181">
        <f t="shared" si="113"/>
        <v>4.2186676041483562</v>
      </c>
      <c r="S348" s="181">
        <v>100</v>
      </c>
      <c r="T348" s="180">
        <f t="shared" si="114"/>
        <v>50</v>
      </c>
      <c r="U348" s="180">
        <f t="shared" si="107"/>
        <v>2.1093338020741781</v>
      </c>
      <c r="V348" s="182">
        <f t="shared" si="105"/>
        <v>50</v>
      </c>
      <c r="W348" s="180"/>
      <c r="X348" s="180"/>
      <c r="Y348" s="180"/>
      <c r="Z348" s="180"/>
      <c r="AA348" s="180"/>
      <c r="AB348" s="180"/>
      <c r="AC348" s="180"/>
      <c r="AD348" s="180"/>
      <c r="AE348" s="180"/>
      <c r="AF348" s="180"/>
      <c r="AG348" s="180"/>
      <c r="AH348" s="180"/>
      <c r="AI348" s="180">
        <v>7200000</v>
      </c>
      <c r="AJ348" s="181">
        <f t="shared" si="115"/>
        <v>50</v>
      </c>
      <c r="AK348" s="180">
        <f t="shared" si="109"/>
        <v>7200000</v>
      </c>
      <c r="AL348" s="181">
        <f t="shared" si="116"/>
        <v>50</v>
      </c>
      <c r="AM348" s="243"/>
    </row>
    <row r="349" spans="1:39" ht="29.25" customHeight="1" x14ac:dyDescent="0.25">
      <c r="A349" s="243"/>
      <c r="B349" s="410"/>
      <c r="C349" s="410"/>
      <c r="D349" s="410"/>
      <c r="E349" s="410"/>
      <c r="F349" s="410"/>
      <c r="G349" s="410"/>
      <c r="H349" s="410"/>
      <c r="I349" s="411"/>
      <c r="J349" s="410" t="s">
        <v>407</v>
      </c>
      <c r="K349" s="245"/>
      <c r="L349" s="257"/>
      <c r="M349" s="591" t="s">
        <v>414</v>
      </c>
      <c r="N349" s="592"/>
      <c r="O349" s="179"/>
      <c r="P349" s="180"/>
      <c r="Q349" s="180">
        <v>9300000</v>
      </c>
      <c r="R349" s="181">
        <f t="shared" si="113"/>
        <v>2.7245561610124804</v>
      </c>
      <c r="S349" s="181"/>
      <c r="T349" s="180">
        <f t="shared" si="114"/>
        <v>50</v>
      </c>
      <c r="U349" s="180">
        <f t="shared" si="107"/>
        <v>1.3622780805062402</v>
      </c>
      <c r="V349" s="182"/>
      <c r="W349" s="180"/>
      <c r="X349" s="180"/>
      <c r="Y349" s="180"/>
      <c r="Z349" s="180"/>
      <c r="AA349" s="180"/>
      <c r="AB349" s="180"/>
      <c r="AC349" s="180"/>
      <c r="AD349" s="180"/>
      <c r="AE349" s="180"/>
      <c r="AF349" s="180"/>
      <c r="AG349" s="180"/>
      <c r="AH349" s="180"/>
      <c r="AI349" s="180">
        <v>4650000</v>
      </c>
      <c r="AJ349" s="181">
        <f t="shared" si="115"/>
        <v>50</v>
      </c>
      <c r="AK349" s="180">
        <f t="shared" si="109"/>
        <v>4650000</v>
      </c>
      <c r="AL349" s="181">
        <f t="shared" si="116"/>
        <v>50</v>
      </c>
      <c r="AM349" s="243"/>
    </row>
    <row r="350" spans="1:39" s="297" customFormat="1" ht="45" customHeight="1" x14ac:dyDescent="0.25">
      <c r="A350" s="227">
        <f>A339+1</f>
        <v>46</v>
      </c>
      <c r="B350" s="615" t="s">
        <v>147</v>
      </c>
      <c r="C350" s="615"/>
      <c r="D350" s="615"/>
      <c r="E350" s="615"/>
      <c r="F350" s="615"/>
      <c r="G350" s="615"/>
      <c r="H350" s="615"/>
      <c r="I350" s="614"/>
      <c r="J350" s="304" t="s">
        <v>490</v>
      </c>
      <c r="K350" s="230"/>
      <c r="L350" s="294"/>
      <c r="M350" s="610" t="s">
        <v>48</v>
      </c>
      <c r="N350" s="610"/>
      <c r="O350" s="309">
        <v>606500000</v>
      </c>
      <c r="P350" s="231">
        <f>O350</f>
        <v>606500000</v>
      </c>
      <c r="Q350" s="231">
        <f>SUM(Q351:Q355)</f>
        <v>189188876</v>
      </c>
      <c r="R350" s="233">
        <f>Q350/Q$248*100</f>
        <v>1.5861111558977716</v>
      </c>
      <c r="S350" s="233">
        <v>100</v>
      </c>
      <c r="T350" s="231">
        <f t="shared" si="114"/>
        <v>0</v>
      </c>
      <c r="U350" s="231">
        <f t="shared" si="107"/>
        <v>0</v>
      </c>
      <c r="V350" s="296">
        <f t="shared" si="105"/>
        <v>100</v>
      </c>
      <c r="W350" s="231"/>
      <c r="X350" s="231" t="e">
        <f>#REF!</f>
        <v>#REF!</v>
      </c>
      <c r="Y350" s="231" t="e">
        <f>#REF!</f>
        <v>#REF!</v>
      </c>
      <c r="Z350" s="231" t="e">
        <f>#REF!</f>
        <v>#REF!</v>
      </c>
      <c r="AA350" s="231" t="e">
        <f>#REF!</f>
        <v>#REF!</v>
      </c>
      <c r="AB350" s="231">
        <v>143751020</v>
      </c>
      <c r="AC350" s="231" t="e">
        <f>#REF!</f>
        <v>#REF!</v>
      </c>
      <c r="AD350" s="231" t="e">
        <f>#REF!</f>
        <v>#REF!</v>
      </c>
      <c r="AE350" s="231" t="e">
        <f>#REF!</f>
        <v>#REF!</v>
      </c>
      <c r="AF350" s="231" t="e">
        <f>[1]April!N64</f>
        <v>#REF!</v>
      </c>
      <c r="AG350" s="231" t="e">
        <f>[2]april!N64</f>
        <v>#REF!</v>
      </c>
      <c r="AH350" s="231">
        <f>'[3]DES SKPD'!$N64</f>
        <v>571546340</v>
      </c>
      <c r="AI350" s="231">
        <f>SUM(AI351:AI355)</f>
        <v>0</v>
      </c>
      <c r="AJ350" s="233">
        <f t="shared" si="115"/>
        <v>0</v>
      </c>
      <c r="AK350" s="231">
        <f t="shared" si="109"/>
        <v>189188876</v>
      </c>
      <c r="AL350" s="233">
        <f t="shared" si="116"/>
        <v>100</v>
      </c>
      <c r="AM350" s="227"/>
    </row>
    <row r="351" spans="1:39" ht="28.5" customHeight="1" x14ac:dyDescent="0.25">
      <c r="A351" s="243"/>
      <c r="B351" s="410"/>
      <c r="C351" s="410"/>
      <c r="D351" s="410"/>
      <c r="E351" s="410"/>
      <c r="F351" s="410"/>
      <c r="G351" s="410"/>
      <c r="H351" s="410"/>
      <c r="I351" s="411"/>
      <c r="J351" s="410" t="s">
        <v>257</v>
      </c>
      <c r="K351" s="245"/>
      <c r="L351" s="257"/>
      <c r="M351" s="591" t="s">
        <v>428</v>
      </c>
      <c r="N351" s="592"/>
      <c r="O351" s="179"/>
      <c r="P351" s="180"/>
      <c r="Q351" s="180">
        <v>10000000</v>
      </c>
      <c r="R351" s="181">
        <f>Q351/Q$350*100</f>
        <v>5.2857230358512197</v>
      </c>
      <c r="S351" s="181">
        <v>100</v>
      </c>
      <c r="T351" s="180">
        <f t="shared" si="114"/>
        <v>0</v>
      </c>
      <c r="U351" s="180">
        <f t="shared" si="107"/>
        <v>0</v>
      </c>
      <c r="V351" s="182">
        <f t="shared" si="105"/>
        <v>100</v>
      </c>
      <c r="W351" s="180"/>
      <c r="X351" s="180"/>
      <c r="Y351" s="180"/>
      <c r="Z351" s="180"/>
      <c r="AA351" s="180"/>
      <c r="AB351" s="180"/>
      <c r="AC351" s="180"/>
      <c r="AD351" s="180"/>
      <c r="AE351" s="180"/>
      <c r="AF351" s="180"/>
      <c r="AG351" s="180"/>
      <c r="AH351" s="180"/>
      <c r="AI351" s="180">
        <v>0</v>
      </c>
      <c r="AJ351" s="181">
        <f t="shared" si="115"/>
        <v>0</v>
      </c>
      <c r="AK351" s="180">
        <f t="shared" si="109"/>
        <v>10000000</v>
      </c>
      <c r="AL351" s="181">
        <f t="shared" si="116"/>
        <v>100</v>
      </c>
      <c r="AM351" s="243"/>
    </row>
    <row r="352" spans="1:39" ht="28.5" customHeight="1" x14ac:dyDescent="0.25">
      <c r="A352" s="243"/>
      <c r="B352" s="410"/>
      <c r="C352" s="410"/>
      <c r="D352" s="410"/>
      <c r="E352" s="410"/>
      <c r="F352" s="410"/>
      <c r="G352" s="410"/>
      <c r="H352" s="410"/>
      <c r="I352" s="411"/>
      <c r="J352" s="410" t="s">
        <v>318</v>
      </c>
      <c r="K352" s="245"/>
      <c r="L352" s="257"/>
      <c r="M352" s="611" t="s">
        <v>319</v>
      </c>
      <c r="N352" s="598"/>
      <c r="O352" s="179"/>
      <c r="P352" s="180"/>
      <c r="Q352" s="180">
        <v>100000000</v>
      </c>
      <c r="R352" s="181">
        <f>Q352/Q$350*100</f>
        <v>52.857230358512197</v>
      </c>
      <c r="S352" s="181">
        <v>100</v>
      </c>
      <c r="T352" s="180">
        <f t="shared" si="114"/>
        <v>0</v>
      </c>
      <c r="U352" s="180">
        <f t="shared" si="107"/>
        <v>0</v>
      </c>
      <c r="V352" s="182">
        <f t="shared" si="105"/>
        <v>100</v>
      </c>
      <c r="W352" s="180"/>
      <c r="X352" s="180"/>
      <c r="Y352" s="180"/>
      <c r="Z352" s="180"/>
      <c r="AA352" s="180"/>
      <c r="AB352" s="180"/>
      <c r="AC352" s="180"/>
      <c r="AD352" s="180"/>
      <c r="AE352" s="180"/>
      <c r="AF352" s="180"/>
      <c r="AG352" s="180"/>
      <c r="AH352" s="180"/>
      <c r="AI352" s="180">
        <v>0</v>
      </c>
      <c r="AJ352" s="181">
        <f t="shared" si="115"/>
        <v>0</v>
      </c>
      <c r="AK352" s="180">
        <f t="shared" si="109"/>
        <v>100000000</v>
      </c>
      <c r="AL352" s="181">
        <f t="shared" si="116"/>
        <v>100</v>
      </c>
      <c r="AM352" s="243"/>
    </row>
    <row r="353" spans="1:39" ht="28.5" customHeight="1" x14ac:dyDescent="0.25">
      <c r="A353" s="243"/>
      <c r="B353" s="410"/>
      <c r="C353" s="410"/>
      <c r="D353" s="410"/>
      <c r="E353" s="410"/>
      <c r="F353" s="410"/>
      <c r="G353" s="410"/>
      <c r="H353" s="410"/>
      <c r="I353" s="411"/>
      <c r="J353" s="410" t="s">
        <v>282</v>
      </c>
      <c r="K353" s="245"/>
      <c r="L353" s="257"/>
      <c r="M353" s="591" t="s">
        <v>603</v>
      </c>
      <c r="N353" s="592"/>
      <c r="O353" s="179"/>
      <c r="P353" s="180"/>
      <c r="Q353" s="180">
        <v>12388876</v>
      </c>
      <c r="R353" s="181">
        <f>Q353/Q$350*100</f>
        <v>6.5484167261504318</v>
      </c>
      <c r="S353" s="181">
        <v>100</v>
      </c>
      <c r="T353" s="180">
        <f t="shared" si="114"/>
        <v>0</v>
      </c>
      <c r="U353" s="180">
        <f t="shared" si="107"/>
        <v>0</v>
      </c>
      <c r="V353" s="182">
        <f t="shared" si="105"/>
        <v>100</v>
      </c>
      <c r="W353" s="180"/>
      <c r="X353" s="180"/>
      <c r="Y353" s="180"/>
      <c r="Z353" s="180"/>
      <c r="AA353" s="180"/>
      <c r="AB353" s="180"/>
      <c r="AC353" s="180"/>
      <c r="AD353" s="180"/>
      <c r="AE353" s="180"/>
      <c r="AF353" s="180"/>
      <c r="AG353" s="180"/>
      <c r="AH353" s="180"/>
      <c r="AI353" s="180">
        <v>0</v>
      </c>
      <c r="AJ353" s="181">
        <f t="shared" si="115"/>
        <v>0</v>
      </c>
      <c r="AK353" s="180">
        <f t="shared" si="109"/>
        <v>12388876</v>
      </c>
      <c r="AL353" s="181">
        <f t="shared" si="116"/>
        <v>100</v>
      </c>
      <c r="AM353" s="243"/>
    </row>
    <row r="354" spans="1:39" ht="28.5" customHeight="1" x14ac:dyDescent="0.25">
      <c r="A354" s="243"/>
      <c r="B354" s="410"/>
      <c r="C354" s="410"/>
      <c r="D354" s="410"/>
      <c r="E354" s="410"/>
      <c r="F354" s="410"/>
      <c r="G354" s="410"/>
      <c r="H354" s="410"/>
      <c r="I354" s="411"/>
      <c r="J354" s="410" t="s">
        <v>320</v>
      </c>
      <c r="K354" s="245"/>
      <c r="L354" s="257"/>
      <c r="M354" s="591" t="s">
        <v>321</v>
      </c>
      <c r="N354" s="592"/>
      <c r="O354" s="179"/>
      <c r="P354" s="180"/>
      <c r="Q354" s="180">
        <v>57600000</v>
      </c>
      <c r="R354" s="181">
        <f>Q354/Q$350*100</f>
        <v>30.445764686503026</v>
      </c>
      <c r="S354" s="181">
        <v>100</v>
      </c>
      <c r="T354" s="180">
        <f t="shared" si="114"/>
        <v>0</v>
      </c>
      <c r="U354" s="180">
        <f t="shared" si="107"/>
        <v>0</v>
      </c>
      <c r="V354" s="182">
        <f t="shared" si="105"/>
        <v>100</v>
      </c>
      <c r="W354" s="180"/>
      <c r="X354" s="180"/>
      <c r="Y354" s="180"/>
      <c r="Z354" s="180"/>
      <c r="AA354" s="180"/>
      <c r="AB354" s="180"/>
      <c r="AC354" s="180"/>
      <c r="AD354" s="180"/>
      <c r="AE354" s="180"/>
      <c r="AF354" s="180"/>
      <c r="AG354" s="180"/>
      <c r="AH354" s="180"/>
      <c r="AI354" s="180">
        <v>0</v>
      </c>
      <c r="AJ354" s="181">
        <f t="shared" si="115"/>
        <v>0</v>
      </c>
      <c r="AK354" s="180">
        <f t="shared" si="109"/>
        <v>57600000</v>
      </c>
      <c r="AL354" s="181">
        <f t="shared" si="116"/>
        <v>100</v>
      </c>
      <c r="AM354" s="243"/>
    </row>
    <row r="355" spans="1:39" ht="28.5" customHeight="1" x14ac:dyDescent="0.25">
      <c r="A355" s="243"/>
      <c r="B355" s="410"/>
      <c r="C355" s="410"/>
      <c r="D355" s="410"/>
      <c r="E355" s="410"/>
      <c r="F355" s="410"/>
      <c r="G355" s="410"/>
      <c r="H355" s="410"/>
      <c r="I355" s="411"/>
      <c r="J355" s="410" t="s">
        <v>309</v>
      </c>
      <c r="K355" s="245"/>
      <c r="L355" s="257"/>
      <c r="M355" s="591" t="s">
        <v>607</v>
      </c>
      <c r="N355" s="592"/>
      <c r="O355" s="179"/>
      <c r="P355" s="180"/>
      <c r="Q355" s="180">
        <v>9200000</v>
      </c>
      <c r="R355" s="181">
        <f>Q355/Q$350*100</f>
        <v>4.8628651929831221</v>
      </c>
      <c r="S355" s="181">
        <v>100</v>
      </c>
      <c r="T355" s="180">
        <f t="shared" si="114"/>
        <v>0</v>
      </c>
      <c r="U355" s="180">
        <f t="shared" si="107"/>
        <v>0</v>
      </c>
      <c r="V355" s="182">
        <f t="shared" si="105"/>
        <v>100</v>
      </c>
      <c r="W355" s="180"/>
      <c r="X355" s="180"/>
      <c r="Y355" s="180"/>
      <c r="Z355" s="180"/>
      <c r="AA355" s="180"/>
      <c r="AB355" s="180"/>
      <c r="AC355" s="180"/>
      <c r="AD355" s="180"/>
      <c r="AE355" s="180"/>
      <c r="AF355" s="180"/>
      <c r="AG355" s="180"/>
      <c r="AH355" s="180"/>
      <c r="AI355" s="180">
        <v>0</v>
      </c>
      <c r="AJ355" s="181">
        <f t="shared" si="115"/>
        <v>0</v>
      </c>
      <c r="AK355" s="180">
        <f t="shared" si="109"/>
        <v>9200000</v>
      </c>
      <c r="AL355" s="181">
        <f t="shared" si="116"/>
        <v>100</v>
      </c>
      <c r="AM355" s="243"/>
    </row>
    <row r="356" spans="1:39" ht="28.5" customHeight="1" x14ac:dyDescent="0.25">
      <c r="A356" s="227">
        <v>47</v>
      </c>
      <c r="B356" s="410"/>
      <c r="C356" s="410"/>
      <c r="D356" s="410"/>
      <c r="E356" s="410"/>
      <c r="F356" s="410"/>
      <c r="G356" s="410"/>
      <c r="H356" s="410"/>
      <c r="I356" s="411"/>
      <c r="J356" s="304" t="s">
        <v>492</v>
      </c>
      <c r="K356" s="230"/>
      <c r="L356" s="294"/>
      <c r="M356" s="609" t="s">
        <v>493</v>
      </c>
      <c r="N356" s="609"/>
      <c r="O356" s="309">
        <v>558720000</v>
      </c>
      <c r="P356" s="231">
        <f>O356</f>
        <v>558720000</v>
      </c>
      <c r="Q356" s="231">
        <f>SUM(Q357:Q363)</f>
        <v>541894073</v>
      </c>
      <c r="R356" s="233">
        <f>Q356/Q$248*100</f>
        <v>4.5431013317092779</v>
      </c>
      <c r="S356" s="233">
        <v>100</v>
      </c>
      <c r="T356" s="231">
        <f t="shared" si="114"/>
        <v>50.102042728930165</v>
      </c>
      <c r="U356" s="231">
        <f t="shared" si="107"/>
        <v>2.276186570431578</v>
      </c>
      <c r="V356" s="296">
        <f t="shared" si="105"/>
        <v>49.897957271069835</v>
      </c>
      <c r="W356" s="231"/>
      <c r="X356" s="231" t="e">
        <f>#REF!</f>
        <v>#REF!</v>
      </c>
      <c r="Y356" s="231" t="e">
        <f>#REF!</f>
        <v>#REF!</v>
      </c>
      <c r="Z356" s="231" t="e">
        <f>#REF!</f>
        <v>#REF!</v>
      </c>
      <c r="AA356" s="231" t="e">
        <f>#REF!</f>
        <v>#REF!</v>
      </c>
      <c r="AB356" s="231">
        <v>192786500</v>
      </c>
      <c r="AC356" s="231" t="e">
        <f>#REF!</f>
        <v>#REF!</v>
      </c>
      <c r="AD356" s="231" t="e">
        <f>#REF!</f>
        <v>#REF!</v>
      </c>
      <c r="AE356" s="231" t="e">
        <f>#REF!</f>
        <v>#REF!</v>
      </c>
      <c r="AF356" s="231" t="e">
        <f>[1]April!N54</f>
        <v>#REF!</v>
      </c>
      <c r="AG356" s="231" t="e">
        <f>[2]april!N54</f>
        <v>#REF!</v>
      </c>
      <c r="AH356" s="231">
        <f>'[3]DES SKPD'!$N54</f>
        <v>508172500</v>
      </c>
      <c r="AI356" s="231">
        <f>SUM(AI357:AI363)</f>
        <v>271500000</v>
      </c>
      <c r="AJ356" s="233">
        <f t="shared" si="115"/>
        <v>50.102042728930165</v>
      </c>
      <c r="AK356" s="231">
        <f t="shared" si="109"/>
        <v>270394073</v>
      </c>
      <c r="AL356" s="233">
        <f t="shared" si="116"/>
        <v>49.897957271069835</v>
      </c>
      <c r="AM356" s="243"/>
    </row>
    <row r="357" spans="1:39" ht="28.5" customHeight="1" x14ac:dyDescent="0.25">
      <c r="A357" s="243"/>
      <c r="B357" s="410"/>
      <c r="C357" s="410"/>
      <c r="D357" s="410"/>
      <c r="E357" s="410"/>
      <c r="F357" s="410"/>
      <c r="G357" s="410"/>
      <c r="H357" s="410"/>
      <c r="I357" s="411"/>
      <c r="J357" s="410" t="s">
        <v>315</v>
      </c>
      <c r="K357" s="245"/>
      <c r="L357" s="257"/>
      <c r="M357" s="591" t="s">
        <v>271</v>
      </c>
      <c r="N357" s="592"/>
      <c r="O357" s="179"/>
      <c r="P357" s="180"/>
      <c r="Q357" s="180">
        <v>20304000</v>
      </c>
      <c r="R357" s="181">
        <f t="shared" ref="R357:R363" si="117">Q357/Q$356*100</f>
        <v>3.74685773689944</v>
      </c>
      <c r="S357" s="181">
        <v>100</v>
      </c>
      <c r="T357" s="180">
        <f t="shared" si="114"/>
        <v>9.8502758077226158</v>
      </c>
      <c r="U357" s="180">
        <f t="shared" si="107"/>
        <v>0.36907582120758858</v>
      </c>
      <c r="V357" s="182">
        <f t="shared" si="105"/>
        <v>90.14972419227739</v>
      </c>
      <c r="W357" s="180"/>
      <c r="X357" s="180"/>
      <c r="Y357" s="180"/>
      <c r="Z357" s="180"/>
      <c r="AA357" s="180"/>
      <c r="AB357" s="180"/>
      <c r="AC357" s="180"/>
      <c r="AD357" s="180"/>
      <c r="AE357" s="180"/>
      <c r="AF357" s="180"/>
      <c r="AG357" s="180"/>
      <c r="AH357" s="180"/>
      <c r="AI357" s="180">
        <v>2000000</v>
      </c>
      <c r="AJ357" s="181">
        <f t="shared" si="115"/>
        <v>9.8502758077226158</v>
      </c>
      <c r="AK357" s="180">
        <f t="shared" si="109"/>
        <v>18304000</v>
      </c>
      <c r="AL357" s="181">
        <f t="shared" si="116"/>
        <v>90.149724192277375</v>
      </c>
      <c r="AM357" s="243"/>
    </row>
    <row r="358" spans="1:39" ht="28.5" customHeight="1" x14ac:dyDescent="0.25">
      <c r="A358" s="243"/>
      <c r="B358" s="410"/>
      <c r="C358" s="410"/>
      <c r="D358" s="410"/>
      <c r="E358" s="410"/>
      <c r="F358" s="410"/>
      <c r="G358" s="410"/>
      <c r="H358" s="410"/>
      <c r="I358" s="411"/>
      <c r="J358" s="410" t="s">
        <v>328</v>
      </c>
      <c r="K358" s="245"/>
      <c r="L358" s="257"/>
      <c r="M358" s="591" t="s">
        <v>319</v>
      </c>
      <c r="N358" s="592"/>
      <c r="O358" s="179"/>
      <c r="P358" s="180"/>
      <c r="Q358" s="180">
        <v>231000000</v>
      </c>
      <c r="R358" s="181">
        <f t="shared" si="117"/>
        <v>42.628257349476492</v>
      </c>
      <c r="S358" s="181">
        <v>100</v>
      </c>
      <c r="T358" s="180">
        <f t="shared" si="114"/>
        <v>86.166666666666671</v>
      </c>
      <c r="U358" s="180">
        <f t="shared" si="107"/>
        <v>36.731348416132249</v>
      </c>
      <c r="V358" s="182">
        <f t="shared" si="105"/>
        <v>13.833333333333329</v>
      </c>
      <c r="W358" s="180"/>
      <c r="X358" s="180"/>
      <c r="Y358" s="180"/>
      <c r="Z358" s="180"/>
      <c r="AA358" s="180"/>
      <c r="AB358" s="180"/>
      <c r="AC358" s="180"/>
      <c r="AD358" s="180"/>
      <c r="AE358" s="180"/>
      <c r="AF358" s="180"/>
      <c r="AG358" s="180"/>
      <c r="AH358" s="180"/>
      <c r="AI358" s="180">
        <f>99330000+99715000</f>
        <v>199045000</v>
      </c>
      <c r="AJ358" s="181">
        <f t="shared" si="115"/>
        <v>86.166666666666671</v>
      </c>
      <c r="AK358" s="180">
        <f t="shared" si="109"/>
        <v>31955000</v>
      </c>
      <c r="AL358" s="181">
        <f t="shared" si="116"/>
        <v>13.833333333333334</v>
      </c>
      <c r="AM358" s="243"/>
    </row>
    <row r="359" spans="1:39" ht="28.5" customHeight="1" x14ac:dyDescent="0.25">
      <c r="A359" s="243"/>
      <c r="B359" s="410"/>
      <c r="C359" s="410"/>
      <c r="D359" s="410"/>
      <c r="E359" s="410"/>
      <c r="F359" s="410"/>
      <c r="G359" s="410"/>
      <c r="H359" s="410"/>
      <c r="I359" s="411"/>
      <c r="J359" s="312" t="s">
        <v>339</v>
      </c>
      <c r="M359" s="619" t="s">
        <v>608</v>
      </c>
      <c r="N359" s="620"/>
      <c r="O359" s="179"/>
      <c r="P359" s="180"/>
      <c r="Q359" s="180">
        <v>25200000</v>
      </c>
      <c r="R359" s="181">
        <f t="shared" si="117"/>
        <v>4.6503553472156174</v>
      </c>
      <c r="S359" s="181">
        <v>100</v>
      </c>
      <c r="T359" s="180">
        <f t="shared" si="114"/>
        <v>3.4722222222222223</v>
      </c>
      <c r="U359" s="180">
        <f t="shared" si="107"/>
        <v>0.16147067177832006</v>
      </c>
      <c r="V359" s="182">
        <f t="shared" si="105"/>
        <v>96.527777777777771</v>
      </c>
      <c r="W359" s="180"/>
      <c r="X359" s="180"/>
      <c r="Y359" s="180"/>
      <c r="Z359" s="180"/>
      <c r="AA359" s="180"/>
      <c r="AB359" s="180"/>
      <c r="AC359" s="180"/>
      <c r="AD359" s="180"/>
      <c r="AE359" s="180"/>
      <c r="AF359" s="180"/>
      <c r="AG359" s="180"/>
      <c r="AH359" s="180"/>
      <c r="AI359" s="180">
        <v>875000</v>
      </c>
      <c r="AJ359" s="181">
        <f t="shared" si="115"/>
        <v>3.4722222222222223</v>
      </c>
      <c r="AK359" s="180">
        <f t="shared" si="109"/>
        <v>24325000</v>
      </c>
      <c r="AL359" s="181">
        <f t="shared" si="116"/>
        <v>96.527777777777786</v>
      </c>
      <c r="AM359" s="243"/>
    </row>
    <row r="360" spans="1:39" ht="28.5" customHeight="1" x14ac:dyDescent="0.25">
      <c r="A360" s="243"/>
      <c r="B360" s="410"/>
      <c r="C360" s="410"/>
      <c r="D360" s="410"/>
      <c r="E360" s="410"/>
      <c r="F360" s="410"/>
      <c r="G360" s="410"/>
      <c r="H360" s="410"/>
      <c r="I360" s="411"/>
      <c r="J360" s="410" t="s">
        <v>284</v>
      </c>
      <c r="K360" s="245"/>
      <c r="L360" s="257"/>
      <c r="M360" s="591" t="s">
        <v>503</v>
      </c>
      <c r="N360" s="592"/>
      <c r="O360" s="179"/>
      <c r="P360" s="180"/>
      <c r="Q360" s="180">
        <v>152190073</v>
      </c>
      <c r="R360" s="181">
        <f t="shared" si="117"/>
        <v>28.084838086058934</v>
      </c>
      <c r="S360" s="181">
        <v>100</v>
      </c>
      <c r="T360" s="180">
        <f t="shared" si="114"/>
        <v>19.764758244120166</v>
      </c>
      <c r="U360" s="180">
        <f t="shared" si="107"/>
        <v>5.5509003509621335</v>
      </c>
      <c r="V360" s="182">
        <f t="shared" si="105"/>
        <v>80.235241755879827</v>
      </c>
      <c r="W360" s="180"/>
      <c r="X360" s="180"/>
      <c r="Y360" s="180"/>
      <c r="Z360" s="180"/>
      <c r="AA360" s="180"/>
      <c r="AB360" s="180"/>
      <c r="AC360" s="180"/>
      <c r="AD360" s="180"/>
      <c r="AE360" s="180"/>
      <c r="AF360" s="180"/>
      <c r="AG360" s="180"/>
      <c r="AH360" s="180"/>
      <c r="AI360" s="180">
        <v>30080000</v>
      </c>
      <c r="AJ360" s="181">
        <f>AI360/Q360*100</f>
        <v>19.764758244120166</v>
      </c>
      <c r="AK360" s="180">
        <f>Q360-AI360</f>
        <v>122110073</v>
      </c>
      <c r="AL360" s="181">
        <f>AK360/Q360*100</f>
        <v>80.235241755879841</v>
      </c>
      <c r="AM360" s="243"/>
    </row>
    <row r="361" spans="1:39" ht="28.5" customHeight="1" x14ac:dyDescent="0.25">
      <c r="A361" s="243"/>
      <c r="B361" s="410"/>
      <c r="C361" s="410"/>
      <c r="D361" s="410"/>
      <c r="E361" s="410"/>
      <c r="F361" s="410"/>
      <c r="G361" s="410"/>
      <c r="H361" s="410"/>
      <c r="I361" s="411"/>
      <c r="J361" s="410" t="s">
        <v>320</v>
      </c>
      <c r="K361" s="245"/>
      <c r="L361" s="257"/>
      <c r="M361" s="591" t="s">
        <v>321</v>
      </c>
      <c r="N361" s="592"/>
      <c r="O361" s="179"/>
      <c r="P361" s="180"/>
      <c r="Q361" s="180">
        <v>9200000</v>
      </c>
      <c r="R361" s="181">
        <f t="shared" si="117"/>
        <v>1.6977487775549078</v>
      </c>
      <c r="S361" s="181">
        <v>100</v>
      </c>
      <c r="T361" s="180">
        <f t="shared" si="114"/>
        <v>65.217391304347828</v>
      </c>
      <c r="U361" s="180">
        <f t="shared" si="107"/>
        <v>1.1072274636227659</v>
      </c>
      <c r="V361" s="182">
        <f t="shared" si="105"/>
        <v>34.782608695652172</v>
      </c>
      <c r="W361" s="180"/>
      <c r="X361" s="180"/>
      <c r="Y361" s="180"/>
      <c r="Z361" s="180"/>
      <c r="AA361" s="180"/>
      <c r="AB361" s="180"/>
      <c r="AC361" s="180"/>
      <c r="AD361" s="180"/>
      <c r="AE361" s="180"/>
      <c r="AF361" s="180"/>
      <c r="AG361" s="180"/>
      <c r="AH361" s="180"/>
      <c r="AI361" s="180">
        <v>6000000</v>
      </c>
      <c r="AJ361" s="181">
        <f t="shared" si="115"/>
        <v>65.217391304347828</v>
      </c>
      <c r="AK361" s="180">
        <f t="shared" ref="AK361:AK424" si="118">Q361-AI361</f>
        <v>3200000</v>
      </c>
      <c r="AL361" s="181">
        <f t="shared" si="116"/>
        <v>34.782608695652172</v>
      </c>
      <c r="AM361" s="243"/>
    </row>
    <row r="362" spans="1:39" ht="28.5" customHeight="1" x14ac:dyDescent="0.25">
      <c r="A362" s="243"/>
      <c r="B362" s="410"/>
      <c r="C362" s="410"/>
      <c r="D362" s="410"/>
      <c r="E362" s="410"/>
      <c r="F362" s="410"/>
      <c r="G362" s="410"/>
      <c r="H362" s="410"/>
      <c r="I362" s="411"/>
      <c r="J362" s="312" t="s">
        <v>407</v>
      </c>
      <c r="M362" s="616" t="s">
        <v>414</v>
      </c>
      <c r="N362" s="617"/>
      <c r="O362" s="179"/>
      <c r="P362" s="180"/>
      <c r="Q362" s="180">
        <v>8000000</v>
      </c>
      <c r="R362" s="181">
        <f t="shared" si="117"/>
        <v>1.4763032848303546</v>
      </c>
      <c r="S362" s="181">
        <v>100</v>
      </c>
      <c r="T362" s="180">
        <f t="shared" si="114"/>
        <v>18.75</v>
      </c>
      <c r="U362" s="180">
        <f t="shared" si="107"/>
        <v>0.27680686590569148</v>
      </c>
      <c r="V362" s="182">
        <f t="shared" si="105"/>
        <v>81.25</v>
      </c>
      <c r="W362" s="180"/>
      <c r="X362" s="180"/>
      <c r="Y362" s="180"/>
      <c r="Z362" s="180"/>
      <c r="AA362" s="180"/>
      <c r="AB362" s="180"/>
      <c r="AC362" s="180"/>
      <c r="AD362" s="180"/>
      <c r="AE362" s="180"/>
      <c r="AF362" s="180"/>
      <c r="AG362" s="180"/>
      <c r="AH362" s="180"/>
      <c r="AI362" s="180">
        <v>1500000</v>
      </c>
      <c r="AJ362" s="181">
        <f t="shared" si="115"/>
        <v>18.75</v>
      </c>
      <c r="AK362" s="180">
        <f t="shared" si="118"/>
        <v>6500000</v>
      </c>
      <c r="AL362" s="181">
        <f t="shared" si="116"/>
        <v>81.25</v>
      </c>
      <c r="AM362" s="243"/>
    </row>
    <row r="363" spans="1:39" ht="28.5" customHeight="1" x14ac:dyDescent="0.25">
      <c r="A363" s="243"/>
      <c r="B363" s="410"/>
      <c r="C363" s="410"/>
      <c r="D363" s="410"/>
      <c r="E363" s="410"/>
      <c r="F363" s="410"/>
      <c r="G363" s="410"/>
      <c r="H363" s="410"/>
      <c r="I363" s="411"/>
      <c r="J363" s="312" t="s">
        <v>551</v>
      </c>
      <c r="M363" s="658" t="s">
        <v>550</v>
      </c>
      <c r="N363" s="659"/>
      <c r="O363" s="179"/>
      <c r="P363" s="180"/>
      <c r="Q363" s="180">
        <v>96000000</v>
      </c>
      <c r="R363" s="181">
        <f t="shared" si="117"/>
        <v>17.715639417964255</v>
      </c>
      <c r="S363" s="181">
        <v>100</v>
      </c>
      <c r="T363" s="180">
        <f t="shared" si="114"/>
        <v>33.333333333333329</v>
      </c>
      <c r="U363" s="180">
        <f t="shared" si="107"/>
        <v>5.9052131393214173</v>
      </c>
      <c r="V363" s="182">
        <f t="shared" si="105"/>
        <v>66.666666666666671</v>
      </c>
      <c r="W363" s="180"/>
      <c r="X363" s="180"/>
      <c r="Y363" s="180"/>
      <c r="Z363" s="180"/>
      <c r="AA363" s="180"/>
      <c r="AB363" s="180"/>
      <c r="AC363" s="180"/>
      <c r="AD363" s="180"/>
      <c r="AE363" s="180"/>
      <c r="AF363" s="180"/>
      <c r="AG363" s="180"/>
      <c r="AH363" s="180"/>
      <c r="AI363" s="180">
        <f>16000000+8000000+8000000</f>
        <v>32000000</v>
      </c>
      <c r="AJ363" s="181">
        <f t="shared" si="115"/>
        <v>33.333333333333329</v>
      </c>
      <c r="AK363" s="180">
        <f t="shared" si="118"/>
        <v>64000000</v>
      </c>
      <c r="AL363" s="181">
        <f t="shared" si="116"/>
        <v>66.666666666666657</v>
      </c>
      <c r="AM363" s="243"/>
    </row>
    <row r="364" spans="1:39" s="297" customFormat="1" ht="29.25" customHeight="1" x14ac:dyDescent="0.25">
      <c r="A364" s="227">
        <f>SUM(A356+1)</f>
        <v>48</v>
      </c>
      <c r="B364" s="615" t="s">
        <v>150</v>
      </c>
      <c r="C364" s="615"/>
      <c r="D364" s="615"/>
      <c r="E364" s="615"/>
      <c r="F364" s="615"/>
      <c r="G364" s="615"/>
      <c r="H364" s="615"/>
      <c r="I364" s="614"/>
      <c r="J364" s="304" t="s">
        <v>491</v>
      </c>
      <c r="K364" s="230"/>
      <c r="L364" s="294"/>
      <c r="M364" s="609" t="s">
        <v>49</v>
      </c>
      <c r="N364" s="609"/>
      <c r="O364" s="309">
        <v>558720000</v>
      </c>
      <c r="P364" s="231">
        <f>O364</f>
        <v>558720000</v>
      </c>
      <c r="Q364" s="231">
        <f>SUM(Q365:Q376)</f>
        <v>412540000</v>
      </c>
      <c r="R364" s="233">
        <f>Q364/Q$248*100</f>
        <v>3.4586298628576171</v>
      </c>
      <c r="S364" s="233">
        <v>100</v>
      </c>
      <c r="T364" s="231">
        <f t="shared" si="114"/>
        <v>30.719441023900711</v>
      </c>
      <c r="U364" s="231">
        <f t="shared" si="107"/>
        <v>1.0624717609555636</v>
      </c>
      <c r="V364" s="296">
        <f t="shared" si="105"/>
        <v>69.280558976099286</v>
      </c>
      <c r="W364" s="231"/>
      <c r="X364" s="231" t="e">
        <f>#REF!</f>
        <v>#REF!</v>
      </c>
      <c r="Y364" s="231" t="e">
        <f>#REF!</f>
        <v>#REF!</v>
      </c>
      <c r="Z364" s="231" t="e">
        <f>#REF!</f>
        <v>#REF!</v>
      </c>
      <c r="AA364" s="231" t="e">
        <f>#REF!</f>
        <v>#REF!</v>
      </c>
      <c r="AB364" s="231">
        <v>192786500</v>
      </c>
      <c r="AC364" s="231" t="e">
        <f>#REF!</f>
        <v>#REF!</v>
      </c>
      <c r="AD364" s="231" t="e">
        <f>#REF!</f>
        <v>#REF!</v>
      </c>
      <c r="AE364" s="231" t="e">
        <f>#REF!</f>
        <v>#REF!</v>
      </c>
      <c r="AF364" s="231" t="e">
        <f>[1]April!N66</f>
        <v>#REF!</v>
      </c>
      <c r="AG364" s="231" t="e">
        <f>[2]april!N66</f>
        <v>#REF!</v>
      </c>
      <c r="AH364" s="231">
        <f>'[3]DES SKPD'!$N66</f>
        <v>558385000</v>
      </c>
      <c r="AI364" s="231">
        <f>SUM(AI365:AI376)</f>
        <v>126729982</v>
      </c>
      <c r="AJ364" s="233">
        <f t="shared" si="115"/>
        <v>30.719441023900711</v>
      </c>
      <c r="AK364" s="231">
        <f t="shared" si="118"/>
        <v>285810018</v>
      </c>
      <c r="AL364" s="233">
        <f t="shared" si="116"/>
        <v>69.280558976099286</v>
      </c>
      <c r="AM364" s="227"/>
    </row>
    <row r="365" spans="1:39" ht="29.25" customHeight="1" x14ac:dyDescent="0.25">
      <c r="A365" s="243"/>
      <c r="B365" s="410"/>
      <c r="C365" s="410"/>
      <c r="D365" s="410"/>
      <c r="E365" s="410"/>
      <c r="F365" s="410"/>
      <c r="G365" s="410"/>
      <c r="H365" s="410"/>
      <c r="I365" s="411"/>
      <c r="J365" s="410" t="s">
        <v>259</v>
      </c>
      <c r="K365" s="245"/>
      <c r="L365" s="257"/>
      <c r="M365" s="656" t="s">
        <v>260</v>
      </c>
      <c r="N365" s="657"/>
      <c r="O365" s="179"/>
      <c r="P365" s="180"/>
      <c r="Q365" s="180">
        <v>3080000</v>
      </c>
      <c r="R365" s="181">
        <f t="shared" ref="R365:R376" si="119">Q365/Q$364*100</f>
        <v>0.74659426964657971</v>
      </c>
      <c r="S365" s="181">
        <v>100</v>
      </c>
      <c r="T365" s="180">
        <f t="shared" si="114"/>
        <v>50</v>
      </c>
      <c r="U365" s="180">
        <f t="shared" si="107"/>
        <v>0.37329713482328986</v>
      </c>
      <c r="V365" s="182">
        <f t="shared" si="105"/>
        <v>50</v>
      </c>
      <c r="W365" s="180"/>
      <c r="X365" s="180"/>
      <c r="Y365" s="180"/>
      <c r="Z365" s="180"/>
      <c r="AA365" s="180"/>
      <c r="AB365" s="180"/>
      <c r="AC365" s="180"/>
      <c r="AD365" s="180"/>
      <c r="AE365" s="180"/>
      <c r="AF365" s="180"/>
      <c r="AG365" s="180"/>
      <c r="AH365" s="180"/>
      <c r="AI365" s="180">
        <v>1540000</v>
      </c>
      <c r="AJ365" s="181">
        <f t="shared" si="115"/>
        <v>50</v>
      </c>
      <c r="AK365" s="180">
        <f t="shared" si="118"/>
        <v>1540000</v>
      </c>
      <c r="AL365" s="181">
        <f t="shared" si="116"/>
        <v>50</v>
      </c>
      <c r="AM365" s="243"/>
    </row>
    <row r="366" spans="1:39" ht="29.25" customHeight="1" x14ac:dyDescent="0.25">
      <c r="A366" s="243"/>
      <c r="B366" s="410"/>
      <c r="C366" s="410"/>
      <c r="D366" s="410"/>
      <c r="E366" s="410"/>
      <c r="F366" s="410"/>
      <c r="G366" s="410"/>
      <c r="H366" s="410"/>
      <c r="I366" s="411"/>
      <c r="J366" s="410" t="s">
        <v>347</v>
      </c>
      <c r="K366" s="245"/>
      <c r="L366" s="257"/>
      <c r="M366" s="591" t="s">
        <v>348</v>
      </c>
      <c r="N366" s="592"/>
      <c r="O366" s="179"/>
      <c r="P366" s="180"/>
      <c r="Q366" s="180">
        <v>57400000</v>
      </c>
      <c r="R366" s="181">
        <f t="shared" si="119"/>
        <v>13.913802297958986</v>
      </c>
      <c r="S366" s="181">
        <v>100</v>
      </c>
      <c r="T366" s="180">
        <f t="shared" si="114"/>
        <v>0</v>
      </c>
      <c r="U366" s="180">
        <f t="shared" ref="U366:U429" si="120">R366*T366/100</f>
        <v>0</v>
      </c>
      <c r="V366" s="182">
        <f t="shared" si="105"/>
        <v>100</v>
      </c>
      <c r="W366" s="180"/>
      <c r="X366" s="180"/>
      <c r="Y366" s="180"/>
      <c r="Z366" s="180"/>
      <c r="AA366" s="180"/>
      <c r="AB366" s="180"/>
      <c r="AC366" s="180"/>
      <c r="AD366" s="180"/>
      <c r="AE366" s="180"/>
      <c r="AF366" s="180"/>
      <c r="AG366" s="180"/>
      <c r="AH366" s="180"/>
      <c r="AI366" s="180">
        <v>0</v>
      </c>
      <c r="AJ366" s="181">
        <f t="shared" si="115"/>
        <v>0</v>
      </c>
      <c r="AK366" s="180">
        <f t="shared" si="118"/>
        <v>57400000</v>
      </c>
      <c r="AL366" s="181">
        <f t="shared" si="116"/>
        <v>100</v>
      </c>
      <c r="AM366" s="243"/>
    </row>
    <row r="367" spans="1:39" ht="29.25" customHeight="1" x14ac:dyDescent="0.25">
      <c r="A367" s="243"/>
      <c r="B367" s="410"/>
      <c r="C367" s="410"/>
      <c r="D367" s="410"/>
      <c r="E367" s="410"/>
      <c r="F367" s="410"/>
      <c r="G367" s="410"/>
      <c r="H367" s="410"/>
      <c r="I367" s="411"/>
      <c r="J367" s="410" t="s">
        <v>323</v>
      </c>
      <c r="K367" s="245"/>
      <c r="L367" s="257"/>
      <c r="M367" s="591" t="s">
        <v>324</v>
      </c>
      <c r="N367" s="592"/>
      <c r="O367" s="179"/>
      <c r="P367" s="180"/>
      <c r="Q367" s="180">
        <v>24084000</v>
      </c>
      <c r="R367" s="181">
        <f t="shared" si="119"/>
        <v>5.8379793474572166</v>
      </c>
      <c r="S367" s="181">
        <v>100</v>
      </c>
      <c r="T367" s="180">
        <f t="shared" si="114"/>
        <v>36.434977578475333</v>
      </c>
      <c r="U367" s="180">
        <f t="shared" si="120"/>
        <v>2.1270664662820575</v>
      </c>
      <c r="V367" s="182">
        <f t="shared" si="105"/>
        <v>63.565022421524667</v>
      </c>
      <c r="W367" s="180"/>
      <c r="X367" s="180"/>
      <c r="Y367" s="180"/>
      <c r="Z367" s="180"/>
      <c r="AA367" s="180"/>
      <c r="AB367" s="180"/>
      <c r="AC367" s="180"/>
      <c r="AD367" s="180"/>
      <c r="AE367" s="180"/>
      <c r="AF367" s="180"/>
      <c r="AG367" s="180"/>
      <c r="AH367" s="180"/>
      <c r="AI367" s="180">
        <f>5850000+2925000</f>
        <v>8775000</v>
      </c>
      <c r="AJ367" s="181">
        <f t="shared" si="115"/>
        <v>36.434977578475333</v>
      </c>
      <c r="AK367" s="180">
        <f t="shared" si="118"/>
        <v>15309000</v>
      </c>
      <c r="AL367" s="181">
        <f t="shared" si="116"/>
        <v>63.565022421524667</v>
      </c>
      <c r="AM367" s="243"/>
    </row>
    <row r="368" spans="1:39" ht="29.25" customHeight="1" x14ac:dyDescent="0.25">
      <c r="A368" s="243"/>
      <c r="B368" s="410"/>
      <c r="C368" s="410"/>
      <c r="D368" s="410"/>
      <c r="E368" s="410"/>
      <c r="F368" s="410"/>
      <c r="G368" s="410"/>
      <c r="H368" s="410"/>
      <c r="I368" s="411"/>
      <c r="J368" s="410" t="s">
        <v>269</v>
      </c>
      <c r="K368" s="245"/>
      <c r="L368" s="257"/>
      <c r="M368" s="591" t="s">
        <v>270</v>
      </c>
      <c r="N368" s="592"/>
      <c r="O368" s="179"/>
      <c r="P368" s="180"/>
      <c r="Q368" s="180">
        <v>1500000</v>
      </c>
      <c r="R368" s="181">
        <f t="shared" si="119"/>
        <v>0.36360110534736023</v>
      </c>
      <c r="S368" s="181">
        <v>100</v>
      </c>
      <c r="T368" s="180">
        <f t="shared" si="114"/>
        <v>0</v>
      </c>
      <c r="U368" s="180">
        <f t="shared" si="120"/>
        <v>0</v>
      </c>
      <c r="V368" s="182">
        <f t="shared" si="105"/>
        <v>100</v>
      </c>
      <c r="W368" s="180"/>
      <c r="X368" s="180"/>
      <c r="Y368" s="180"/>
      <c r="Z368" s="180"/>
      <c r="AA368" s="180"/>
      <c r="AB368" s="180"/>
      <c r="AC368" s="180"/>
      <c r="AD368" s="180"/>
      <c r="AE368" s="180"/>
      <c r="AF368" s="180"/>
      <c r="AG368" s="180"/>
      <c r="AH368" s="180"/>
      <c r="AI368" s="180">
        <v>0</v>
      </c>
      <c r="AJ368" s="181">
        <f t="shared" si="115"/>
        <v>0</v>
      </c>
      <c r="AK368" s="180">
        <f t="shared" si="118"/>
        <v>1500000</v>
      </c>
      <c r="AL368" s="181">
        <f t="shared" si="116"/>
        <v>100</v>
      </c>
      <c r="AM368" s="243"/>
    </row>
    <row r="369" spans="1:39" ht="29.25" customHeight="1" x14ac:dyDescent="0.25">
      <c r="A369" s="243"/>
      <c r="B369" s="410"/>
      <c r="C369" s="410"/>
      <c r="D369" s="410"/>
      <c r="E369" s="410"/>
      <c r="F369" s="410"/>
      <c r="G369" s="410"/>
      <c r="H369" s="410"/>
      <c r="I369" s="411"/>
      <c r="J369" s="410" t="s">
        <v>315</v>
      </c>
      <c r="K369" s="245"/>
      <c r="L369" s="257"/>
      <c r="M369" s="591" t="s">
        <v>271</v>
      </c>
      <c r="N369" s="592"/>
      <c r="O369" s="179"/>
      <c r="P369" s="180"/>
      <c r="Q369" s="180">
        <v>3116000</v>
      </c>
      <c r="R369" s="181">
        <f t="shared" si="119"/>
        <v>0.75532069617491637</v>
      </c>
      <c r="S369" s="181">
        <v>100</v>
      </c>
      <c r="T369" s="180">
        <f t="shared" si="114"/>
        <v>30.744544287548138</v>
      </c>
      <c r="U369" s="180">
        <f t="shared" si="120"/>
        <v>0.23221990594851408</v>
      </c>
      <c r="V369" s="182">
        <f t="shared" si="105"/>
        <v>69.255455712451862</v>
      </c>
      <c r="W369" s="180"/>
      <c r="X369" s="180"/>
      <c r="Y369" s="180"/>
      <c r="Z369" s="180"/>
      <c r="AA369" s="180"/>
      <c r="AB369" s="180"/>
      <c r="AC369" s="180"/>
      <c r="AD369" s="180"/>
      <c r="AE369" s="180"/>
      <c r="AF369" s="180"/>
      <c r="AG369" s="180"/>
      <c r="AH369" s="180"/>
      <c r="AI369" s="180">
        <v>958000</v>
      </c>
      <c r="AJ369" s="181">
        <f t="shared" si="115"/>
        <v>30.744544287548138</v>
      </c>
      <c r="AK369" s="180">
        <f t="shared" si="118"/>
        <v>2158000</v>
      </c>
      <c r="AL369" s="181">
        <f t="shared" si="116"/>
        <v>69.255455712451862</v>
      </c>
      <c r="AM369" s="243"/>
    </row>
    <row r="370" spans="1:39" ht="29.25" customHeight="1" x14ac:dyDescent="0.25">
      <c r="A370" s="243"/>
      <c r="B370" s="410"/>
      <c r="C370" s="410"/>
      <c r="D370" s="410"/>
      <c r="E370" s="410"/>
      <c r="F370" s="410"/>
      <c r="G370" s="410"/>
      <c r="H370" s="410"/>
      <c r="I370" s="411"/>
      <c r="J370" s="410" t="s">
        <v>316</v>
      </c>
      <c r="K370" s="245"/>
      <c r="L370" s="257"/>
      <c r="M370" s="591" t="s">
        <v>317</v>
      </c>
      <c r="N370" s="592"/>
      <c r="O370" s="179"/>
      <c r="P370" s="180"/>
      <c r="Q370" s="180">
        <v>2000000</v>
      </c>
      <c r="R370" s="181">
        <f t="shared" si="119"/>
        <v>0.48480147379648031</v>
      </c>
      <c r="S370" s="181">
        <v>100</v>
      </c>
      <c r="T370" s="180">
        <f t="shared" si="114"/>
        <v>50</v>
      </c>
      <c r="U370" s="180">
        <f t="shared" si="120"/>
        <v>0.24240073689824015</v>
      </c>
      <c r="V370" s="182">
        <f t="shared" si="105"/>
        <v>50</v>
      </c>
      <c r="W370" s="180"/>
      <c r="X370" s="180"/>
      <c r="Y370" s="180"/>
      <c r="Z370" s="180"/>
      <c r="AA370" s="180"/>
      <c r="AB370" s="180"/>
      <c r="AC370" s="180"/>
      <c r="AD370" s="180"/>
      <c r="AE370" s="180"/>
      <c r="AF370" s="180"/>
      <c r="AG370" s="180"/>
      <c r="AH370" s="180"/>
      <c r="AI370" s="180">
        <v>1000000</v>
      </c>
      <c r="AJ370" s="181">
        <f t="shared" si="115"/>
        <v>50</v>
      </c>
      <c r="AK370" s="180">
        <f t="shared" si="118"/>
        <v>1000000</v>
      </c>
      <c r="AL370" s="181">
        <f t="shared" si="116"/>
        <v>50</v>
      </c>
      <c r="AM370" s="243"/>
    </row>
    <row r="371" spans="1:39" ht="29.25" customHeight="1" x14ac:dyDescent="0.25">
      <c r="A371" s="243"/>
      <c r="B371" s="410"/>
      <c r="C371" s="410"/>
      <c r="D371" s="410"/>
      <c r="E371" s="410"/>
      <c r="F371" s="410"/>
      <c r="G371" s="410"/>
      <c r="H371" s="410"/>
      <c r="I371" s="411"/>
      <c r="J371" s="410" t="s">
        <v>318</v>
      </c>
      <c r="K371" s="245"/>
      <c r="L371" s="257"/>
      <c r="M371" s="591" t="s">
        <v>319</v>
      </c>
      <c r="N371" s="592"/>
      <c r="O371" s="179"/>
      <c r="P371" s="180"/>
      <c r="Q371" s="180">
        <v>105200000</v>
      </c>
      <c r="R371" s="181">
        <f t="shared" si="119"/>
        <v>25.500557521694866</v>
      </c>
      <c r="S371" s="181">
        <v>100</v>
      </c>
      <c r="T371" s="180">
        <f t="shared" si="114"/>
        <v>49.904942965779469</v>
      </c>
      <c r="U371" s="180">
        <f t="shared" si="120"/>
        <v>12.726038687157608</v>
      </c>
      <c r="V371" s="182">
        <f t="shared" si="105"/>
        <v>50.095057034220531</v>
      </c>
      <c r="W371" s="180"/>
      <c r="X371" s="180"/>
      <c r="Y371" s="180"/>
      <c r="Z371" s="180"/>
      <c r="AA371" s="180"/>
      <c r="AB371" s="180"/>
      <c r="AC371" s="180"/>
      <c r="AD371" s="180"/>
      <c r="AE371" s="180"/>
      <c r="AF371" s="180"/>
      <c r="AG371" s="180"/>
      <c r="AH371" s="180"/>
      <c r="AI371" s="180">
        <v>52500000</v>
      </c>
      <c r="AJ371" s="181">
        <f t="shared" si="115"/>
        <v>49.904942965779469</v>
      </c>
      <c r="AK371" s="180">
        <f t="shared" si="118"/>
        <v>52700000</v>
      </c>
      <c r="AL371" s="181">
        <f t="shared" si="116"/>
        <v>50.095057034220538</v>
      </c>
      <c r="AM371" s="243"/>
    </row>
    <row r="372" spans="1:39" ht="29.25" customHeight="1" x14ac:dyDescent="0.25">
      <c r="A372" s="243"/>
      <c r="B372" s="410"/>
      <c r="C372" s="410"/>
      <c r="D372" s="410"/>
      <c r="E372" s="410"/>
      <c r="F372" s="410"/>
      <c r="G372" s="410"/>
      <c r="H372" s="410"/>
      <c r="I372" s="411"/>
      <c r="J372" s="410" t="s">
        <v>284</v>
      </c>
      <c r="K372" s="245"/>
      <c r="L372" s="257"/>
      <c r="M372" s="591" t="s">
        <v>285</v>
      </c>
      <c r="N372" s="592"/>
      <c r="O372" s="179"/>
      <c r="P372" s="180"/>
      <c r="Q372" s="180">
        <v>14740000</v>
      </c>
      <c r="R372" s="181">
        <f t="shared" si="119"/>
        <v>3.57298686188006</v>
      </c>
      <c r="S372" s="181">
        <v>100</v>
      </c>
      <c r="T372" s="180">
        <f t="shared" si="114"/>
        <v>20.759837177747624</v>
      </c>
      <c r="U372" s="180">
        <f t="shared" si="120"/>
        <v>0.7417462549086149</v>
      </c>
      <c r="V372" s="182">
        <f t="shared" si="105"/>
        <v>79.240162822252373</v>
      </c>
      <c r="W372" s="180"/>
      <c r="X372" s="180"/>
      <c r="Y372" s="180"/>
      <c r="Z372" s="180"/>
      <c r="AA372" s="180"/>
      <c r="AB372" s="180"/>
      <c r="AC372" s="180"/>
      <c r="AD372" s="180"/>
      <c r="AE372" s="180"/>
      <c r="AF372" s="180"/>
      <c r="AG372" s="180"/>
      <c r="AH372" s="180"/>
      <c r="AI372" s="180">
        <f>2400000+660000</f>
        <v>3060000</v>
      </c>
      <c r="AJ372" s="181">
        <f t="shared" si="115"/>
        <v>20.759837177747624</v>
      </c>
      <c r="AK372" s="180">
        <f t="shared" si="118"/>
        <v>11680000</v>
      </c>
      <c r="AL372" s="181">
        <f t="shared" si="116"/>
        <v>79.240162822252373</v>
      </c>
      <c r="AM372" s="243"/>
    </row>
    <row r="373" spans="1:39" ht="29.25" customHeight="1" x14ac:dyDescent="0.25">
      <c r="A373" s="243"/>
      <c r="B373" s="410"/>
      <c r="C373" s="410"/>
      <c r="D373" s="410"/>
      <c r="E373" s="410"/>
      <c r="F373" s="410"/>
      <c r="G373" s="410"/>
      <c r="H373" s="410"/>
      <c r="I373" s="411"/>
      <c r="J373" s="410" t="s">
        <v>282</v>
      </c>
      <c r="K373" s="245"/>
      <c r="L373" s="257"/>
      <c r="M373" s="591" t="s">
        <v>283</v>
      </c>
      <c r="N373" s="592"/>
      <c r="O373" s="179"/>
      <c r="P373" s="180"/>
      <c r="Q373" s="180">
        <v>88420000</v>
      </c>
      <c r="R373" s="181">
        <f t="shared" si="119"/>
        <v>21.433073156542395</v>
      </c>
      <c r="S373" s="181">
        <v>100</v>
      </c>
      <c r="T373" s="180">
        <f t="shared" si="114"/>
        <v>16.961074417552592</v>
      </c>
      <c r="U373" s="180">
        <f t="shared" si="120"/>
        <v>3.635279488049644</v>
      </c>
      <c r="V373" s="182">
        <f t="shared" si="105"/>
        <v>83.038925582447405</v>
      </c>
      <c r="W373" s="180"/>
      <c r="X373" s="180"/>
      <c r="Y373" s="180"/>
      <c r="Z373" s="180"/>
      <c r="AA373" s="180"/>
      <c r="AB373" s="180"/>
      <c r="AC373" s="180"/>
      <c r="AD373" s="180"/>
      <c r="AE373" s="180"/>
      <c r="AF373" s="180"/>
      <c r="AG373" s="180"/>
      <c r="AH373" s="180"/>
      <c r="AI373" s="180">
        <v>14996982</v>
      </c>
      <c r="AJ373" s="181">
        <f t="shared" si="115"/>
        <v>16.961074417552592</v>
      </c>
      <c r="AK373" s="180">
        <f t="shared" si="118"/>
        <v>73423018</v>
      </c>
      <c r="AL373" s="181">
        <f t="shared" si="116"/>
        <v>83.038925582447405</v>
      </c>
      <c r="AM373" s="243"/>
    </row>
    <row r="374" spans="1:39" ht="29.25" customHeight="1" x14ac:dyDescent="0.25">
      <c r="A374" s="243"/>
      <c r="B374" s="410"/>
      <c r="C374" s="410"/>
      <c r="D374" s="410"/>
      <c r="E374" s="410"/>
      <c r="F374" s="410"/>
      <c r="G374" s="410"/>
      <c r="H374" s="410"/>
      <c r="I374" s="411"/>
      <c r="J374" s="410" t="s">
        <v>320</v>
      </c>
      <c r="K374" s="245"/>
      <c r="L374" s="257"/>
      <c r="M374" s="591" t="s">
        <v>321</v>
      </c>
      <c r="N374" s="592"/>
      <c r="O374" s="179"/>
      <c r="P374" s="180"/>
      <c r="Q374" s="180">
        <v>65600000</v>
      </c>
      <c r="R374" s="181">
        <f t="shared" si="119"/>
        <v>15.901488340524555</v>
      </c>
      <c r="S374" s="181">
        <v>100</v>
      </c>
      <c r="T374" s="180">
        <f t="shared" si="114"/>
        <v>38.719512195121951</v>
      </c>
      <c r="U374" s="180">
        <f t="shared" si="120"/>
        <v>6.1569787172152992</v>
      </c>
      <c r="V374" s="182">
        <f t="shared" si="105"/>
        <v>61.280487804878049</v>
      </c>
      <c r="W374" s="180"/>
      <c r="X374" s="180"/>
      <c r="Y374" s="180"/>
      <c r="Z374" s="180"/>
      <c r="AA374" s="180"/>
      <c r="AB374" s="180"/>
      <c r="AC374" s="180"/>
      <c r="AD374" s="180"/>
      <c r="AE374" s="180"/>
      <c r="AF374" s="180"/>
      <c r="AG374" s="180"/>
      <c r="AH374" s="180"/>
      <c r="AI374" s="180">
        <v>25400000</v>
      </c>
      <c r="AJ374" s="181">
        <f t="shared" si="115"/>
        <v>38.719512195121951</v>
      </c>
      <c r="AK374" s="180">
        <f t="shared" si="118"/>
        <v>40200000</v>
      </c>
      <c r="AL374" s="181">
        <f t="shared" si="116"/>
        <v>61.280487804878049</v>
      </c>
      <c r="AM374" s="243"/>
    </row>
    <row r="375" spans="1:39" ht="29.25" customHeight="1" x14ac:dyDescent="0.25">
      <c r="A375" s="243"/>
      <c r="B375" s="410"/>
      <c r="C375" s="410"/>
      <c r="D375" s="410"/>
      <c r="E375" s="410"/>
      <c r="F375" s="410"/>
      <c r="G375" s="410"/>
      <c r="H375" s="410"/>
      <c r="I375" s="411"/>
      <c r="J375" s="410" t="s">
        <v>320</v>
      </c>
      <c r="K375" s="245"/>
      <c r="L375" s="257"/>
      <c r="M375" s="591" t="s">
        <v>414</v>
      </c>
      <c r="N375" s="592"/>
      <c r="O375" s="179"/>
      <c r="P375" s="180"/>
      <c r="Q375" s="180">
        <v>18600000</v>
      </c>
      <c r="R375" s="181">
        <f t="shared" si="119"/>
        <v>4.5086537063072676</v>
      </c>
      <c r="S375" s="181">
        <v>100</v>
      </c>
      <c r="T375" s="180">
        <f t="shared" si="114"/>
        <v>47.8494623655914</v>
      </c>
      <c r="U375" s="180">
        <f t="shared" si="120"/>
        <v>2.157366558394338</v>
      </c>
      <c r="V375" s="182">
        <f t="shared" si="105"/>
        <v>52.1505376344086</v>
      </c>
      <c r="W375" s="180"/>
      <c r="X375" s="180"/>
      <c r="Y375" s="180"/>
      <c r="Z375" s="180"/>
      <c r="AA375" s="180"/>
      <c r="AB375" s="180"/>
      <c r="AC375" s="180"/>
      <c r="AD375" s="180"/>
      <c r="AE375" s="180"/>
      <c r="AF375" s="180"/>
      <c r="AG375" s="180"/>
      <c r="AH375" s="180"/>
      <c r="AI375" s="180">
        <v>8900000</v>
      </c>
      <c r="AJ375" s="181">
        <f t="shared" si="115"/>
        <v>47.8494623655914</v>
      </c>
      <c r="AK375" s="180">
        <f t="shared" si="118"/>
        <v>9700000</v>
      </c>
      <c r="AL375" s="181">
        <f t="shared" si="116"/>
        <v>52.1505376344086</v>
      </c>
      <c r="AM375" s="243"/>
    </row>
    <row r="376" spans="1:39" ht="29.25" customHeight="1" x14ac:dyDescent="0.25">
      <c r="A376" s="243"/>
      <c r="B376" s="410"/>
      <c r="C376" s="410"/>
      <c r="D376" s="410"/>
      <c r="E376" s="410"/>
      <c r="F376" s="410"/>
      <c r="G376" s="410"/>
      <c r="H376" s="410"/>
      <c r="I376" s="411"/>
      <c r="J376" s="410" t="s">
        <v>350</v>
      </c>
      <c r="K376" s="245"/>
      <c r="L376" s="257"/>
      <c r="M376" s="591" t="s">
        <v>550</v>
      </c>
      <c r="N376" s="592"/>
      <c r="O376" s="179"/>
      <c r="P376" s="180"/>
      <c r="Q376" s="180">
        <v>28800000</v>
      </c>
      <c r="R376" s="181">
        <f t="shared" si="119"/>
        <v>6.9811412226693168</v>
      </c>
      <c r="S376" s="181">
        <v>100</v>
      </c>
      <c r="T376" s="180">
        <f t="shared" si="114"/>
        <v>33.333333333333329</v>
      </c>
      <c r="U376" s="180">
        <f t="shared" si="120"/>
        <v>2.3270470742231053</v>
      </c>
      <c r="V376" s="182">
        <f t="shared" si="105"/>
        <v>66.666666666666671</v>
      </c>
      <c r="W376" s="180"/>
      <c r="X376" s="180"/>
      <c r="Y376" s="180"/>
      <c r="Z376" s="180"/>
      <c r="AA376" s="180"/>
      <c r="AB376" s="180"/>
      <c r="AC376" s="180"/>
      <c r="AD376" s="180"/>
      <c r="AE376" s="180"/>
      <c r="AF376" s="180"/>
      <c r="AG376" s="180"/>
      <c r="AH376" s="180"/>
      <c r="AI376" s="180">
        <f>4800000+2400000+2400000</f>
        <v>9600000</v>
      </c>
      <c r="AJ376" s="181">
        <f t="shared" si="115"/>
        <v>33.333333333333329</v>
      </c>
      <c r="AK376" s="180">
        <f t="shared" si="118"/>
        <v>19200000</v>
      </c>
      <c r="AL376" s="181">
        <f t="shared" si="116"/>
        <v>66.666666666666657</v>
      </c>
      <c r="AM376" s="243"/>
    </row>
    <row r="377" spans="1:39" s="297" customFormat="1" ht="24.75" customHeight="1" x14ac:dyDescent="0.25">
      <c r="A377" s="227">
        <f>SUM(A364+1)</f>
        <v>49</v>
      </c>
      <c r="B377" s="615" t="s">
        <v>147</v>
      </c>
      <c r="C377" s="615"/>
      <c r="D377" s="615"/>
      <c r="E377" s="615"/>
      <c r="F377" s="615"/>
      <c r="G377" s="615"/>
      <c r="H377" s="615"/>
      <c r="I377" s="614"/>
      <c r="J377" s="304" t="s">
        <v>495</v>
      </c>
      <c r="K377" s="230"/>
      <c r="L377" s="294"/>
      <c r="M377" s="610" t="s">
        <v>50</v>
      </c>
      <c r="N377" s="610"/>
      <c r="O377" s="309">
        <v>509540000</v>
      </c>
      <c r="P377" s="231">
        <f>O377</f>
        <v>509540000</v>
      </c>
      <c r="Q377" s="231">
        <f>SUM(Q378:Q386)</f>
        <v>351260000</v>
      </c>
      <c r="R377" s="233">
        <f>Q377/Q$248*100</f>
        <v>2.9448740137377385</v>
      </c>
      <c r="S377" s="233">
        <v>100</v>
      </c>
      <c r="T377" s="231">
        <f t="shared" si="114"/>
        <v>0</v>
      </c>
      <c r="U377" s="231">
        <f t="shared" si="120"/>
        <v>0</v>
      </c>
      <c r="V377" s="296">
        <f t="shared" si="105"/>
        <v>100</v>
      </c>
      <c r="W377" s="231"/>
      <c r="X377" s="231" t="e">
        <f>#REF!</f>
        <v>#REF!</v>
      </c>
      <c r="Y377" s="231" t="e">
        <f>#REF!</f>
        <v>#REF!</v>
      </c>
      <c r="Z377" s="231" t="e">
        <f>#REF!</f>
        <v>#REF!</v>
      </c>
      <c r="AA377" s="231" t="e">
        <f>#REF!</f>
        <v>#REF!</v>
      </c>
      <c r="AB377" s="231">
        <v>227840500</v>
      </c>
      <c r="AC377" s="231" t="e">
        <f>#REF!</f>
        <v>#REF!</v>
      </c>
      <c r="AD377" s="231" t="e">
        <f>#REF!</f>
        <v>#REF!</v>
      </c>
      <c r="AE377" s="231" t="e">
        <f>#REF!</f>
        <v>#REF!</v>
      </c>
      <c r="AF377" s="231" t="e">
        <f>[1]April!N68</f>
        <v>#REF!</v>
      </c>
      <c r="AG377" s="231" t="e">
        <f>[2]april!N68</f>
        <v>#REF!</v>
      </c>
      <c r="AH377" s="231">
        <f>'[3]DES SKPD'!$N68</f>
        <v>375022000</v>
      </c>
      <c r="AI377" s="231">
        <f>SUM(AI378:AI386)</f>
        <v>0</v>
      </c>
      <c r="AJ377" s="233">
        <f t="shared" si="115"/>
        <v>0</v>
      </c>
      <c r="AK377" s="231">
        <f t="shared" si="118"/>
        <v>351260000</v>
      </c>
      <c r="AL377" s="233">
        <f t="shared" si="116"/>
        <v>100</v>
      </c>
      <c r="AM377" s="227"/>
    </row>
    <row r="378" spans="1:39" ht="24.75" customHeight="1" x14ac:dyDescent="0.25">
      <c r="A378" s="243"/>
      <c r="B378" s="410"/>
      <c r="C378" s="410"/>
      <c r="D378" s="410"/>
      <c r="E378" s="410"/>
      <c r="F378" s="410"/>
      <c r="G378" s="410"/>
      <c r="H378" s="410"/>
      <c r="I378" s="411"/>
      <c r="J378" s="410" t="s">
        <v>259</v>
      </c>
      <c r="K378" s="245"/>
      <c r="L378" s="257"/>
      <c r="M378" s="591" t="s">
        <v>260</v>
      </c>
      <c r="N378" s="592"/>
      <c r="O378" s="179"/>
      <c r="P378" s="180"/>
      <c r="Q378" s="180">
        <v>4620000</v>
      </c>
      <c r="R378" s="181">
        <f t="shared" ref="R378:R386" si="121">Q378/Q$377*100</f>
        <v>1.3152650458349939</v>
      </c>
      <c r="S378" s="181">
        <v>100</v>
      </c>
      <c r="T378" s="180">
        <f t="shared" si="114"/>
        <v>0</v>
      </c>
      <c r="U378" s="180">
        <f t="shared" si="120"/>
        <v>0</v>
      </c>
      <c r="V378" s="182">
        <f t="shared" si="105"/>
        <v>100</v>
      </c>
      <c r="W378" s="180"/>
      <c r="X378" s="180"/>
      <c r="Y378" s="180"/>
      <c r="Z378" s="180"/>
      <c r="AA378" s="180"/>
      <c r="AB378" s="180"/>
      <c r="AC378" s="180"/>
      <c r="AD378" s="180"/>
      <c r="AE378" s="180"/>
      <c r="AF378" s="180"/>
      <c r="AG378" s="180"/>
      <c r="AH378" s="180"/>
      <c r="AI378" s="180">
        <v>0</v>
      </c>
      <c r="AJ378" s="181">
        <f t="shared" si="115"/>
        <v>0</v>
      </c>
      <c r="AK378" s="180">
        <f t="shared" si="118"/>
        <v>4620000</v>
      </c>
      <c r="AL378" s="181">
        <f t="shared" si="116"/>
        <v>100</v>
      </c>
      <c r="AM378" s="243"/>
    </row>
    <row r="379" spans="1:39" ht="24.75" customHeight="1" x14ac:dyDescent="0.25">
      <c r="A379" s="243"/>
      <c r="B379" s="410"/>
      <c r="C379" s="410"/>
      <c r="D379" s="410"/>
      <c r="E379" s="410"/>
      <c r="F379" s="410"/>
      <c r="G379" s="410"/>
      <c r="H379" s="410"/>
      <c r="I379" s="411"/>
      <c r="J379" s="410" t="s">
        <v>323</v>
      </c>
      <c r="K379" s="245"/>
      <c r="L379" s="257"/>
      <c r="M379" s="591" t="s">
        <v>609</v>
      </c>
      <c r="N379" s="592"/>
      <c r="O379" s="179"/>
      <c r="P379" s="180"/>
      <c r="Q379" s="180">
        <v>18900000</v>
      </c>
      <c r="R379" s="181">
        <f t="shared" si="121"/>
        <v>5.3806297329613395</v>
      </c>
      <c r="S379" s="181">
        <v>100</v>
      </c>
      <c r="T379" s="180">
        <f t="shared" si="114"/>
        <v>0</v>
      </c>
      <c r="U379" s="180">
        <f t="shared" si="120"/>
        <v>0</v>
      </c>
      <c r="V379" s="182">
        <f t="shared" si="105"/>
        <v>100</v>
      </c>
      <c r="W379" s="180"/>
      <c r="X379" s="180"/>
      <c r="Y379" s="180"/>
      <c r="Z379" s="180"/>
      <c r="AA379" s="180"/>
      <c r="AB379" s="180"/>
      <c r="AC379" s="180"/>
      <c r="AD379" s="180"/>
      <c r="AE379" s="180"/>
      <c r="AF379" s="180"/>
      <c r="AG379" s="180"/>
      <c r="AH379" s="180"/>
      <c r="AI379" s="180">
        <v>0</v>
      </c>
      <c r="AJ379" s="181">
        <f t="shared" si="115"/>
        <v>0</v>
      </c>
      <c r="AK379" s="180">
        <f t="shared" si="118"/>
        <v>18900000</v>
      </c>
      <c r="AL379" s="181">
        <f t="shared" si="116"/>
        <v>100</v>
      </c>
      <c r="AM379" s="243"/>
    </row>
    <row r="380" spans="1:39" ht="24.75" customHeight="1" x14ac:dyDescent="0.25">
      <c r="A380" s="243"/>
      <c r="B380" s="410"/>
      <c r="C380" s="410"/>
      <c r="D380" s="410"/>
      <c r="E380" s="410"/>
      <c r="F380" s="410"/>
      <c r="G380" s="410"/>
      <c r="H380" s="410"/>
      <c r="I380" s="411"/>
      <c r="J380" s="410" t="s">
        <v>269</v>
      </c>
      <c r="K380" s="245"/>
      <c r="L380" s="257"/>
      <c r="M380" s="591" t="s">
        <v>352</v>
      </c>
      <c r="N380" s="592"/>
      <c r="O380" s="179"/>
      <c r="P380" s="180"/>
      <c r="Q380" s="180">
        <v>7500000</v>
      </c>
      <c r="R380" s="181">
        <f t="shared" si="121"/>
        <v>2.1351705289529126</v>
      </c>
      <c r="S380" s="181">
        <v>100</v>
      </c>
      <c r="T380" s="180">
        <f t="shared" si="114"/>
        <v>0</v>
      </c>
      <c r="U380" s="180">
        <f t="shared" si="120"/>
        <v>0</v>
      </c>
      <c r="V380" s="182">
        <f t="shared" si="105"/>
        <v>100</v>
      </c>
      <c r="W380" s="180"/>
      <c r="X380" s="180"/>
      <c r="Y380" s="180"/>
      <c r="Z380" s="180"/>
      <c r="AA380" s="180"/>
      <c r="AB380" s="180"/>
      <c r="AC380" s="180"/>
      <c r="AD380" s="180"/>
      <c r="AE380" s="180"/>
      <c r="AF380" s="180"/>
      <c r="AG380" s="180"/>
      <c r="AH380" s="180"/>
      <c r="AI380" s="180">
        <v>0</v>
      </c>
      <c r="AJ380" s="181">
        <f t="shared" si="115"/>
        <v>0</v>
      </c>
      <c r="AK380" s="180">
        <f t="shared" si="118"/>
        <v>7500000</v>
      </c>
      <c r="AL380" s="181">
        <f t="shared" si="116"/>
        <v>100</v>
      </c>
      <c r="AM380" s="243"/>
    </row>
    <row r="381" spans="1:39" ht="24.75" customHeight="1" x14ac:dyDescent="0.25">
      <c r="A381" s="243"/>
      <c r="B381" s="410"/>
      <c r="C381" s="410"/>
      <c r="D381" s="410"/>
      <c r="E381" s="410"/>
      <c r="F381" s="410"/>
      <c r="G381" s="410"/>
      <c r="H381" s="410"/>
      <c r="I381" s="411"/>
      <c r="J381" s="410" t="s">
        <v>315</v>
      </c>
      <c r="K381" s="245"/>
      <c r="L381" s="257"/>
      <c r="M381" s="591" t="s">
        <v>271</v>
      </c>
      <c r="N381" s="592"/>
      <c r="O381" s="179"/>
      <c r="P381" s="180"/>
      <c r="Q381" s="180">
        <v>7560000</v>
      </c>
      <c r="R381" s="181">
        <f t="shared" si="121"/>
        <v>2.1522518931845354</v>
      </c>
      <c r="S381" s="181">
        <v>100</v>
      </c>
      <c r="T381" s="180">
        <f t="shared" si="114"/>
        <v>0</v>
      </c>
      <c r="U381" s="180">
        <f t="shared" si="120"/>
        <v>0</v>
      </c>
      <c r="V381" s="182">
        <f t="shared" si="105"/>
        <v>100</v>
      </c>
      <c r="W381" s="180"/>
      <c r="X381" s="180"/>
      <c r="Y381" s="180"/>
      <c r="Z381" s="180"/>
      <c r="AA381" s="180"/>
      <c r="AB381" s="180"/>
      <c r="AC381" s="180"/>
      <c r="AD381" s="180"/>
      <c r="AE381" s="180"/>
      <c r="AF381" s="180"/>
      <c r="AG381" s="180"/>
      <c r="AH381" s="180"/>
      <c r="AI381" s="180">
        <v>0</v>
      </c>
      <c r="AJ381" s="181">
        <f t="shared" si="115"/>
        <v>0</v>
      </c>
      <c r="AK381" s="180">
        <f t="shared" si="118"/>
        <v>7560000</v>
      </c>
      <c r="AL381" s="181">
        <f t="shared" si="116"/>
        <v>100</v>
      </c>
      <c r="AM381" s="243"/>
    </row>
    <row r="382" spans="1:39" ht="24.75" customHeight="1" x14ac:dyDescent="0.25">
      <c r="A382" s="243"/>
      <c r="B382" s="410"/>
      <c r="C382" s="410"/>
      <c r="D382" s="410"/>
      <c r="E382" s="410"/>
      <c r="F382" s="410"/>
      <c r="G382" s="410"/>
      <c r="H382" s="410"/>
      <c r="I382" s="411"/>
      <c r="J382" s="410" t="s">
        <v>318</v>
      </c>
      <c r="K382" s="245"/>
      <c r="L382" s="257"/>
      <c r="M382" s="591" t="s">
        <v>319</v>
      </c>
      <c r="N382" s="592"/>
      <c r="O382" s="179"/>
      <c r="P382" s="180"/>
      <c r="Q382" s="180">
        <v>182850000</v>
      </c>
      <c r="R382" s="181">
        <f t="shared" si="121"/>
        <v>52.055457495872005</v>
      </c>
      <c r="S382" s="181">
        <v>100</v>
      </c>
      <c r="T382" s="180">
        <f t="shared" si="114"/>
        <v>0</v>
      </c>
      <c r="U382" s="180">
        <f t="shared" si="120"/>
        <v>0</v>
      </c>
      <c r="V382" s="182">
        <f t="shared" si="105"/>
        <v>100</v>
      </c>
      <c r="W382" s="180"/>
      <c r="X382" s="180"/>
      <c r="Y382" s="180"/>
      <c r="Z382" s="180"/>
      <c r="AA382" s="180"/>
      <c r="AB382" s="180"/>
      <c r="AC382" s="180"/>
      <c r="AD382" s="180"/>
      <c r="AE382" s="180"/>
      <c r="AF382" s="180"/>
      <c r="AG382" s="180"/>
      <c r="AH382" s="180"/>
      <c r="AI382" s="180">
        <v>0</v>
      </c>
      <c r="AJ382" s="181">
        <f t="shared" si="115"/>
        <v>0</v>
      </c>
      <c r="AK382" s="180">
        <f t="shared" si="118"/>
        <v>182850000</v>
      </c>
      <c r="AL382" s="181">
        <f t="shared" si="116"/>
        <v>100</v>
      </c>
      <c r="AM382" s="243"/>
    </row>
    <row r="383" spans="1:39" ht="24.75" customHeight="1" x14ac:dyDescent="0.25">
      <c r="A383" s="243"/>
      <c r="B383" s="410"/>
      <c r="C383" s="410"/>
      <c r="D383" s="410"/>
      <c r="E383" s="410"/>
      <c r="F383" s="410"/>
      <c r="G383" s="410"/>
      <c r="H383" s="410"/>
      <c r="I383" s="411"/>
      <c r="J383" s="410" t="s">
        <v>284</v>
      </c>
      <c r="K383" s="245"/>
      <c r="L383" s="257"/>
      <c r="M383" s="591" t="s">
        <v>285</v>
      </c>
      <c r="N383" s="592"/>
      <c r="O383" s="179"/>
      <c r="P383" s="180"/>
      <c r="Q383" s="180">
        <v>1320000</v>
      </c>
      <c r="R383" s="181">
        <f t="shared" si="121"/>
        <v>0.37579001309571258</v>
      </c>
      <c r="S383" s="181">
        <v>100</v>
      </c>
      <c r="T383" s="180">
        <f t="shared" si="114"/>
        <v>0</v>
      </c>
      <c r="U383" s="180">
        <f t="shared" si="120"/>
        <v>0</v>
      </c>
      <c r="V383" s="182">
        <f t="shared" si="105"/>
        <v>100</v>
      </c>
      <c r="W383" s="180"/>
      <c r="X383" s="180"/>
      <c r="Y383" s="180"/>
      <c r="Z383" s="180"/>
      <c r="AA383" s="180"/>
      <c r="AB383" s="180"/>
      <c r="AC383" s="180"/>
      <c r="AD383" s="180"/>
      <c r="AE383" s="180"/>
      <c r="AF383" s="180"/>
      <c r="AG383" s="180"/>
      <c r="AH383" s="180"/>
      <c r="AI383" s="180">
        <v>0</v>
      </c>
      <c r="AJ383" s="181">
        <f t="shared" si="115"/>
        <v>0</v>
      </c>
      <c r="AK383" s="180">
        <f t="shared" si="118"/>
        <v>1320000</v>
      </c>
      <c r="AL383" s="181">
        <f t="shared" si="116"/>
        <v>100</v>
      </c>
      <c r="AM383" s="243"/>
    </row>
    <row r="384" spans="1:39" ht="24.75" customHeight="1" x14ac:dyDescent="0.25">
      <c r="A384" s="243"/>
      <c r="B384" s="410"/>
      <c r="C384" s="410"/>
      <c r="D384" s="410"/>
      <c r="E384" s="410"/>
      <c r="F384" s="410"/>
      <c r="G384" s="410"/>
      <c r="H384" s="410"/>
      <c r="I384" s="411"/>
      <c r="J384" s="410" t="s">
        <v>282</v>
      </c>
      <c r="K384" s="245"/>
      <c r="L384" s="257"/>
      <c r="M384" s="591" t="s">
        <v>283</v>
      </c>
      <c r="N384" s="592"/>
      <c r="O384" s="179"/>
      <c r="P384" s="180"/>
      <c r="Q384" s="180">
        <v>108410000</v>
      </c>
      <c r="R384" s="181">
        <f t="shared" si="121"/>
        <v>30.863178272504697</v>
      </c>
      <c r="S384" s="181">
        <v>100</v>
      </c>
      <c r="T384" s="180">
        <f t="shared" si="114"/>
        <v>0</v>
      </c>
      <c r="U384" s="180">
        <f t="shared" si="120"/>
        <v>0</v>
      </c>
      <c r="V384" s="182">
        <f t="shared" si="105"/>
        <v>100</v>
      </c>
      <c r="W384" s="180"/>
      <c r="X384" s="180"/>
      <c r="Y384" s="180"/>
      <c r="Z384" s="180"/>
      <c r="AA384" s="180"/>
      <c r="AB384" s="180"/>
      <c r="AC384" s="180"/>
      <c r="AD384" s="180"/>
      <c r="AE384" s="180"/>
      <c r="AF384" s="180"/>
      <c r="AG384" s="180"/>
      <c r="AH384" s="180"/>
      <c r="AI384" s="180">
        <v>0</v>
      </c>
      <c r="AJ384" s="181">
        <f t="shared" si="115"/>
        <v>0</v>
      </c>
      <c r="AK384" s="180">
        <f t="shared" si="118"/>
        <v>108410000</v>
      </c>
      <c r="AL384" s="181">
        <f t="shared" si="116"/>
        <v>100</v>
      </c>
      <c r="AM384" s="243"/>
    </row>
    <row r="385" spans="1:39" ht="24.75" customHeight="1" x14ac:dyDescent="0.25">
      <c r="A385" s="243"/>
      <c r="B385" s="410"/>
      <c r="C385" s="410"/>
      <c r="D385" s="410"/>
      <c r="E385" s="410"/>
      <c r="F385" s="410"/>
      <c r="G385" s="410"/>
      <c r="H385" s="410"/>
      <c r="I385" s="411"/>
      <c r="J385" s="410" t="s">
        <v>320</v>
      </c>
      <c r="K385" s="245"/>
      <c r="L385" s="257"/>
      <c r="M385" s="591" t="s">
        <v>321</v>
      </c>
      <c r="N385" s="592"/>
      <c r="O385" s="179"/>
      <c r="P385" s="180"/>
      <c r="Q385" s="180">
        <v>16800000</v>
      </c>
      <c r="R385" s="181">
        <f t="shared" si="121"/>
        <v>4.7827819848545232</v>
      </c>
      <c r="S385" s="181">
        <v>100</v>
      </c>
      <c r="T385" s="180">
        <f t="shared" si="114"/>
        <v>0</v>
      </c>
      <c r="U385" s="180">
        <f t="shared" si="120"/>
        <v>0</v>
      </c>
      <c r="V385" s="182">
        <f t="shared" si="105"/>
        <v>100</v>
      </c>
      <c r="W385" s="180"/>
      <c r="X385" s="180"/>
      <c r="Y385" s="180"/>
      <c r="Z385" s="180"/>
      <c r="AA385" s="180"/>
      <c r="AB385" s="180"/>
      <c r="AC385" s="180"/>
      <c r="AD385" s="180"/>
      <c r="AE385" s="180"/>
      <c r="AF385" s="180"/>
      <c r="AG385" s="180"/>
      <c r="AH385" s="180"/>
      <c r="AI385" s="180">
        <v>0</v>
      </c>
      <c r="AJ385" s="181">
        <f t="shared" si="115"/>
        <v>0</v>
      </c>
      <c r="AK385" s="180">
        <f t="shared" si="118"/>
        <v>16800000</v>
      </c>
      <c r="AL385" s="181">
        <f t="shared" si="116"/>
        <v>100</v>
      </c>
      <c r="AM385" s="243"/>
    </row>
    <row r="386" spans="1:39" ht="24.75" customHeight="1" x14ac:dyDescent="0.25">
      <c r="A386" s="243"/>
      <c r="B386" s="410"/>
      <c r="C386" s="410"/>
      <c r="D386" s="410"/>
      <c r="E386" s="410"/>
      <c r="F386" s="410"/>
      <c r="G386" s="410"/>
      <c r="H386" s="410"/>
      <c r="I386" s="411"/>
      <c r="J386" s="410" t="s">
        <v>407</v>
      </c>
      <c r="K386" s="245"/>
      <c r="L386" s="257"/>
      <c r="M386" s="591" t="s">
        <v>414</v>
      </c>
      <c r="N386" s="592"/>
      <c r="O386" s="179"/>
      <c r="P386" s="180"/>
      <c r="Q386" s="180">
        <v>3300000</v>
      </c>
      <c r="R386" s="181">
        <f t="shared" si="121"/>
        <v>0.93947503273928146</v>
      </c>
      <c r="S386" s="181">
        <v>100</v>
      </c>
      <c r="T386" s="180">
        <f t="shared" si="114"/>
        <v>0</v>
      </c>
      <c r="U386" s="180">
        <f t="shared" si="120"/>
        <v>0</v>
      </c>
      <c r="V386" s="182">
        <f t="shared" si="105"/>
        <v>100</v>
      </c>
      <c r="W386" s="180"/>
      <c r="X386" s="180"/>
      <c r="Y386" s="180"/>
      <c r="Z386" s="180"/>
      <c r="AA386" s="180"/>
      <c r="AB386" s="180"/>
      <c r="AC386" s="180"/>
      <c r="AD386" s="180"/>
      <c r="AE386" s="180"/>
      <c r="AF386" s="180"/>
      <c r="AG386" s="180"/>
      <c r="AH386" s="180"/>
      <c r="AI386" s="180">
        <v>0</v>
      </c>
      <c r="AJ386" s="181">
        <f t="shared" si="115"/>
        <v>0</v>
      </c>
      <c r="AK386" s="180">
        <f t="shared" si="118"/>
        <v>3300000</v>
      </c>
      <c r="AL386" s="181">
        <f t="shared" si="116"/>
        <v>100</v>
      </c>
      <c r="AM386" s="243"/>
    </row>
    <row r="387" spans="1:39" s="297" customFormat="1" ht="30.75" customHeight="1" x14ac:dyDescent="0.25">
      <c r="A387" s="227">
        <f>A377+1</f>
        <v>50</v>
      </c>
      <c r="B387" s="615" t="s">
        <v>148</v>
      </c>
      <c r="C387" s="615"/>
      <c r="D387" s="615"/>
      <c r="E387" s="615"/>
      <c r="F387" s="615"/>
      <c r="G387" s="615"/>
      <c r="H387" s="615"/>
      <c r="I387" s="614"/>
      <c r="J387" s="304" t="s">
        <v>496</v>
      </c>
      <c r="K387" s="230"/>
      <c r="L387" s="294"/>
      <c r="M387" s="610" t="s">
        <v>199</v>
      </c>
      <c r="N387" s="610"/>
      <c r="O387" s="309">
        <v>569155000</v>
      </c>
      <c r="P387" s="231">
        <f>O387</f>
        <v>569155000</v>
      </c>
      <c r="Q387" s="231">
        <f>SUM(Q388:Q399)</f>
        <v>303990300</v>
      </c>
      <c r="R387" s="233">
        <f>Q387/Q$248*100</f>
        <v>2.5485769370219757</v>
      </c>
      <c r="S387" s="233">
        <v>100</v>
      </c>
      <c r="T387" s="231">
        <f t="shared" si="114"/>
        <v>53.117073143452274</v>
      </c>
      <c r="U387" s="231">
        <f t="shared" si="120"/>
        <v>1.3537294757551184</v>
      </c>
      <c r="V387" s="296">
        <f t="shared" si="105"/>
        <v>46.882926856547726</v>
      </c>
      <c r="W387" s="231"/>
      <c r="X387" s="231" t="e">
        <f>#REF!</f>
        <v>#REF!</v>
      </c>
      <c r="Y387" s="231" t="e">
        <f>#REF!</f>
        <v>#REF!</v>
      </c>
      <c r="Z387" s="231" t="e">
        <f>#REF!</f>
        <v>#REF!</v>
      </c>
      <c r="AA387" s="231" t="e">
        <f>#REF!</f>
        <v>#REF!</v>
      </c>
      <c r="AB387" s="231">
        <v>286887000</v>
      </c>
      <c r="AC387" s="231" t="e">
        <f>#REF!</f>
        <v>#REF!</v>
      </c>
      <c r="AD387" s="231" t="e">
        <f>#REF!</f>
        <v>#REF!</v>
      </c>
      <c r="AE387" s="231" t="e">
        <f>#REF!</f>
        <v>#REF!</v>
      </c>
      <c r="AF387" s="231" t="e">
        <f>[1]April!N69</f>
        <v>#REF!</v>
      </c>
      <c r="AG387" s="231" t="e">
        <f>[2]april!N69</f>
        <v>#REF!</v>
      </c>
      <c r="AH387" s="231">
        <f>'[3]DES SKPD'!$N69</f>
        <v>642713500</v>
      </c>
      <c r="AI387" s="231">
        <f>SUM(AI388:AI399)</f>
        <v>161470750</v>
      </c>
      <c r="AJ387" s="233">
        <f t="shared" si="115"/>
        <v>53.117073143452274</v>
      </c>
      <c r="AK387" s="231">
        <f t="shared" si="118"/>
        <v>142519550</v>
      </c>
      <c r="AL387" s="233">
        <f t="shared" si="116"/>
        <v>46.882926856547726</v>
      </c>
      <c r="AM387" s="227"/>
    </row>
    <row r="388" spans="1:39" ht="24.75" customHeight="1" x14ac:dyDescent="0.25">
      <c r="A388" s="243"/>
      <c r="B388" s="410"/>
      <c r="C388" s="410"/>
      <c r="D388" s="410"/>
      <c r="E388" s="410"/>
      <c r="F388" s="410"/>
      <c r="G388" s="410"/>
      <c r="H388" s="410"/>
      <c r="I388" s="411"/>
      <c r="J388" s="410" t="s">
        <v>259</v>
      </c>
      <c r="K388" s="245"/>
      <c r="L388" s="257"/>
      <c r="M388" s="591" t="s">
        <v>260</v>
      </c>
      <c r="N388" s="592"/>
      <c r="O388" s="179"/>
      <c r="P388" s="180"/>
      <c r="Q388" s="180">
        <v>1540000</v>
      </c>
      <c r="R388" s="181">
        <f t="shared" ref="R388:R399" si="122">Q388/Q$387*100</f>
        <v>0.50659511175192107</v>
      </c>
      <c r="S388" s="181">
        <v>100</v>
      </c>
      <c r="T388" s="180">
        <f t="shared" si="114"/>
        <v>50</v>
      </c>
      <c r="U388" s="180">
        <f t="shared" si="120"/>
        <v>0.25329755587596053</v>
      </c>
      <c r="V388" s="182">
        <f t="shared" si="105"/>
        <v>50</v>
      </c>
      <c r="W388" s="180"/>
      <c r="X388" s="180"/>
      <c r="Y388" s="180"/>
      <c r="Z388" s="180"/>
      <c r="AA388" s="180"/>
      <c r="AB388" s="180"/>
      <c r="AC388" s="180"/>
      <c r="AD388" s="180"/>
      <c r="AE388" s="180"/>
      <c r="AF388" s="180"/>
      <c r="AG388" s="180"/>
      <c r="AH388" s="180"/>
      <c r="AI388" s="180">
        <v>770000</v>
      </c>
      <c r="AJ388" s="181">
        <f t="shared" si="115"/>
        <v>50</v>
      </c>
      <c r="AK388" s="180">
        <f t="shared" si="118"/>
        <v>770000</v>
      </c>
      <c r="AL388" s="181">
        <f t="shared" si="116"/>
        <v>50</v>
      </c>
      <c r="AM388" s="243"/>
    </row>
    <row r="389" spans="1:39" ht="24.75" customHeight="1" x14ac:dyDescent="0.25">
      <c r="A389" s="243"/>
      <c r="B389" s="410"/>
      <c r="C389" s="410"/>
      <c r="D389" s="410"/>
      <c r="E389" s="410"/>
      <c r="F389" s="410"/>
      <c r="G389" s="410"/>
      <c r="H389" s="410"/>
      <c r="I389" s="411"/>
      <c r="J389" s="410" t="s">
        <v>326</v>
      </c>
      <c r="K389" s="245"/>
      <c r="L389" s="257"/>
      <c r="M389" s="591" t="s">
        <v>327</v>
      </c>
      <c r="N389" s="592"/>
      <c r="O389" s="179"/>
      <c r="P389" s="180"/>
      <c r="Q389" s="180">
        <v>51150000</v>
      </c>
      <c r="R389" s="181">
        <f t="shared" si="122"/>
        <v>16.826194783188804</v>
      </c>
      <c r="S389" s="181">
        <v>100</v>
      </c>
      <c r="T389" s="180">
        <f t="shared" si="114"/>
        <v>0</v>
      </c>
      <c r="U389" s="180">
        <f t="shared" si="120"/>
        <v>0</v>
      </c>
      <c r="V389" s="182">
        <f t="shared" si="105"/>
        <v>100</v>
      </c>
      <c r="W389" s="180"/>
      <c r="X389" s="180"/>
      <c r="Y389" s="180"/>
      <c r="Z389" s="180"/>
      <c r="AA389" s="180"/>
      <c r="AB389" s="180"/>
      <c r="AC389" s="180"/>
      <c r="AD389" s="180"/>
      <c r="AE389" s="180"/>
      <c r="AF389" s="180"/>
      <c r="AG389" s="180"/>
      <c r="AH389" s="180"/>
      <c r="AI389" s="180">
        <v>0</v>
      </c>
      <c r="AJ389" s="181">
        <f t="shared" si="115"/>
        <v>0</v>
      </c>
      <c r="AK389" s="180">
        <f t="shared" si="118"/>
        <v>51150000</v>
      </c>
      <c r="AL389" s="181">
        <f t="shared" si="116"/>
        <v>100</v>
      </c>
      <c r="AM389" s="243"/>
    </row>
    <row r="390" spans="1:39" ht="24.75" customHeight="1" x14ac:dyDescent="0.25">
      <c r="A390" s="243"/>
      <c r="B390" s="410"/>
      <c r="C390" s="410"/>
      <c r="D390" s="410"/>
      <c r="E390" s="410"/>
      <c r="F390" s="410"/>
      <c r="G390" s="410"/>
      <c r="H390" s="410"/>
      <c r="I390" s="411"/>
      <c r="J390" s="410" t="s">
        <v>323</v>
      </c>
      <c r="K390" s="245"/>
      <c r="L390" s="257"/>
      <c r="M390" s="591" t="s">
        <v>324</v>
      </c>
      <c r="N390" s="592"/>
      <c r="O390" s="179"/>
      <c r="P390" s="180"/>
      <c r="Q390" s="180">
        <v>5000000</v>
      </c>
      <c r="R390" s="181">
        <f t="shared" si="122"/>
        <v>1.6447893238698736</v>
      </c>
      <c r="S390" s="181">
        <v>100</v>
      </c>
      <c r="T390" s="180">
        <f t="shared" si="114"/>
        <v>0</v>
      </c>
      <c r="U390" s="180">
        <f t="shared" si="120"/>
        <v>0</v>
      </c>
      <c r="V390" s="182">
        <f t="shared" si="105"/>
        <v>100</v>
      </c>
      <c r="W390" s="180"/>
      <c r="X390" s="180"/>
      <c r="Y390" s="180"/>
      <c r="Z390" s="180"/>
      <c r="AA390" s="180"/>
      <c r="AB390" s="180"/>
      <c r="AC390" s="180"/>
      <c r="AD390" s="180"/>
      <c r="AE390" s="180"/>
      <c r="AF390" s="180"/>
      <c r="AG390" s="180"/>
      <c r="AH390" s="180"/>
      <c r="AI390" s="180">
        <v>0</v>
      </c>
      <c r="AJ390" s="181">
        <f t="shared" si="115"/>
        <v>0</v>
      </c>
      <c r="AK390" s="180">
        <f t="shared" si="118"/>
        <v>5000000</v>
      </c>
      <c r="AL390" s="181">
        <f t="shared" si="116"/>
        <v>100</v>
      </c>
      <c r="AM390" s="243"/>
    </row>
    <row r="391" spans="1:39" ht="24.75" customHeight="1" x14ac:dyDescent="0.25">
      <c r="A391" s="243"/>
      <c r="B391" s="410"/>
      <c r="C391" s="410"/>
      <c r="D391" s="410"/>
      <c r="E391" s="410"/>
      <c r="F391" s="410"/>
      <c r="G391" s="410"/>
      <c r="H391" s="410"/>
      <c r="I391" s="411"/>
      <c r="J391" s="410" t="s">
        <v>269</v>
      </c>
      <c r="K391" s="245"/>
      <c r="L391" s="257"/>
      <c r="M391" s="591" t="s">
        <v>270</v>
      </c>
      <c r="N391" s="592"/>
      <c r="O391" s="179"/>
      <c r="P391" s="180"/>
      <c r="Q391" s="180">
        <v>22000000</v>
      </c>
      <c r="R391" s="181">
        <f t="shared" si="122"/>
        <v>7.2370730250274438</v>
      </c>
      <c r="S391" s="181">
        <v>100</v>
      </c>
      <c r="T391" s="180">
        <f t="shared" si="114"/>
        <v>100</v>
      </c>
      <c r="U391" s="180">
        <f t="shared" si="120"/>
        <v>7.2370730250274438</v>
      </c>
      <c r="V391" s="182">
        <f t="shared" si="105"/>
        <v>0</v>
      </c>
      <c r="W391" s="180"/>
      <c r="X391" s="180"/>
      <c r="Y391" s="180"/>
      <c r="Z391" s="180"/>
      <c r="AA391" s="180"/>
      <c r="AB391" s="180"/>
      <c r="AC391" s="180"/>
      <c r="AD391" s="180"/>
      <c r="AE391" s="180"/>
      <c r="AF391" s="180"/>
      <c r="AG391" s="180"/>
      <c r="AH391" s="180"/>
      <c r="AI391" s="180">
        <v>22000000</v>
      </c>
      <c r="AJ391" s="181">
        <f t="shared" si="115"/>
        <v>100</v>
      </c>
      <c r="AK391" s="180">
        <f t="shared" si="118"/>
        <v>0</v>
      </c>
      <c r="AL391" s="181">
        <f t="shared" si="116"/>
        <v>0</v>
      </c>
      <c r="AM391" s="243"/>
    </row>
    <row r="392" spans="1:39" ht="24.75" customHeight="1" x14ac:dyDescent="0.25">
      <c r="A392" s="243"/>
      <c r="B392" s="410"/>
      <c r="C392" s="410"/>
      <c r="D392" s="410"/>
      <c r="E392" s="410"/>
      <c r="F392" s="410"/>
      <c r="G392" s="410"/>
      <c r="H392" s="410"/>
      <c r="I392" s="411"/>
      <c r="J392" s="410" t="s">
        <v>315</v>
      </c>
      <c r="K392" s="245"/>
      <c r="L392" s="257"/>
      <c r="M392" s="591" t="s">
        <v>271</v>
      </c>
      <c r="N392" s="592"/>
      <c r="O392" s="179"/>
      <c r="P392" s="180"/>
      <c r="Q392" s="180">
        <v>3400300</v>
      </c>
      <c r="R392" s="181">
        <f t="shared" si="122"/>
        <v>1.1185554275909462</v>
      </c>
      <c r="S392" s="181">
        <v>100</v>
      </c>
      <c r="T392" s="180">
        <f t="shared" si="114"/>
        <v>0</v>
      </c>
      <c r="U392" s="180">
        <f t="shared" si="120"/>
        <v>0</v>
      </c>
      <c r="V392" s="182">
        <f t="shared" si="105"/>
        <v>100</v>
      </c>
      <c r="W392" s="180"/>
      <c r="X392" s="180"/>
      <c r="Y392" s="180"/>
      <c r="Z392" s="180"/>
      <c r="AA392" s="180"/>
      <c r="AB392" s="180"/>
      <c r="AC392" s="180"/>
      <c r="AD392" s="180"/>
      <c r="AE392" s="180"/>
      <c r="AF392" s="180"/>
      <c r="AG392" s="180"/>
      <c r="AH392" s="180"/>
      <c r="AI392" s="180">
        <v>0</v>
      </c>
      <c r="AJ392" s="181">
        <f t="shared" si="115"/>
        <v>0</v>
      </c>
      <c r="AK392" s="180">
        <f t="shared" si="118"/>
        <v>3400300</v>
      </c>
      <c r="AL392" s="181">
        <f t="shared" si="116"/>
        <v>100</v>
      </c>
      <c r="AM392" s="243"/>
    </row>
    <row r="393" spans="1:39" ht="24.75" customHeight="1" x14ac:dyDescent="0.25">
      <c r="A393" s="243"/>
      <c r="B393" s="410"/>
      <c r="C393" s="410"/>
      <c r="D393" s="410"/>
      <c r="E393" s="410"/>
      <c r="F393" s="410"/>
      <c r="G393" s="410"/>
      <c r="H393" s="410"/>
      <c r="I393" s="411"/>
      <c r="J393" s="410" t="s">
        <v>328</v>
      </c>
      <c r="K393" s="245"/>
      <c r="L393" s="257"/>
      <c r="M393" s="591" t="s">
        <v>329</v>
      </c>
      <c r="N393" s="592"/>
      <c r="O393" s="179"/>
      <c r="P393" s="180"/>
      <c r="Q393" s="180">
        <v>15000000</v>
      </c>
      <c r="R393" s="181">
        <f t="shared" si="122"/>
        <v>4.9343679716096203</v>
      </c>
      <c r="S393" s="181">
        <v>100</v>
      </c>
      <c r="T393" s="180">
        <f t="shared" si="114"/>
        <v>0</v>
      </c>
      <c r="U393" s="180">
        <f t="shared" si="120"/>
        <v>0</v>
      </c>
      <c r="V393" s="182">
        <f t="shared" si="105"/>
        <v>100</v>
      </c>
      <c r="W393" s="180"/>
      <c r="X393" s="180"/>
      <c r="Y393" s="180"/>
      <c r="Z393" s="180"/>
      <c r="AA393" s="180"/>
      <c r="AB393" s="180"/>
      <c r="AC393" s="180"/>
      <c r="AD393" s="180"/>
      <c r="AE393" s="180"/>
      <c r="AF393" s="180"/>
      <c r="AG393" s="180"/>
      <c r="AH393" s="180"/>
      <c r="AI393" s="180">
        <v>0</v>
      </c>
      <c r="AJ393" s="181">
        <f t="shared" si="115"/>
        <v>0</v>
      </c>
      <c r="AK393" s="180">
        <f t="shared" si="118"/>
        <v>15000000</v>
      </c>
      <c r="AL393" s="181">
        <f t="shared" si="116"/>
        <v>100</v>
      </c>
      <c r="AM393" s="243"/>
    </row>
    <row r="394" spans="1:39" ht="27.75" customHeight="1" x14ac:dyDescent="0.25">
      <c r="A394" s="243"/>
      <c r="B394" s="410"/>
      <c r="C394" s="410"/>
      <c r="D394" s="410"/>
      <c r="E394" s="410"/>
      <c r="F394" s="410"/>
      <c r="G394" s="410"/>
      <c r="H394" s="410"/>
      <c r="I394" s="411"/>
      <c r="J394" s="410" t="s">
        <v>318</v>
      </c>
      <c r="K394" s="245"/>
      <c r="L394" s="257"/>
      <c r="M394" s="591" t="s">
        <v>319</v>
      </c>
      <c r="N394" s="592"/>
      <c r="O394" s="179"/>
      <c r="P394" s="180"/>
      <c r="Q394" s="180">
        <v>91000000</v>
      </c>
      <c r="R394" s="181">
        <f t="shared" si="122"/>
        <v>29.935165694431699</v>
      </c>
      <c r="S394" s="181">
        <v>100</v>
      </c>
      <c r="T394" s="180">
        <f t="shared" si="114"/>
        <v>50</v>
      </c>
      <c r="U394" s="180">
        <f t="shared" si="120"/>
        <v>14.96758284721585</v>
      </c>
      <c r="V394" s="182">
        <f t="shared" si="105"/>
        <v>50</v>
      </c>
      <c r="W394" s="180"/>
      <c r="X394" s="180"/>
      <c r="Y394" s="180"/>
      <c r="Z394" s="180"/>
      <c r="AA394" s="180"/>
      <c r="AB394" s="180"/>
      <c r="AC394" s="180"/>
      <c r="AD394" s="180"/>
      <c r="AE394" s="180"/>
      <c r="AF394" s="180"/>
      <c r="AG394" s="180"/>
      <c r="AH394" s="180"/>
      <c r="AI394" s="180">
        <v>45500000</v>
      </c>
      <c r="AJ394" s="181">
        <f t="shared" si="115"/>
        <v>50</v>
      </c>
      <c r="AK394" s="180">
        <f t="shared" si="118"/>
        <v>45500000</v>
      </c>
      <c r="AL394" s="181">
        <f t="shared" si="116"/>
        <v>50</v>
      </c>
      <c r="AM394" s="243"/>
    </row>
    <row r="395" spans="1:39" ht="24.75" customHeight="1" x14ac:dyDescent="0.25">
      <c r="A395" s="243"/>
      <c r="B395" s="410"/>
      <c r="C395" s="410"/>
      <c r="D395" s="410"/>
      <c r="E395" s="410"/>
      <c r="F395" s="410"/>
      <c r="G395" s="410"/>
      <c r="H395" s="410"/>
      <c r="I395" s="411"/>
      <c r="J395" s="410" t="s">
        <v>280</v>
      </c>
      <c r="K395" s="245"/>
      <c r="L395" s="257"/>
      <c r="M395" s="591" t="s">
        <v>281</v>
      </c>
      <c r="N395" s="592"/>
      <c r="O395" s="179"/>
      <c r="P395" s="180"/>
      <c r="Q395" s="180">
        <v>23750000</v>
      </c>
      <c r="R395" s="181">
        <f t="shared" si="122"/>
        <v>7.8127492883818999</v>
      </c>
      <c r="S395" s="181">
        <v>100</v>
      </c>
      <c r="T395" s="180">
        <f t="shared" si="114"/>
        <v>94.73684210526315</v>
      </c>
      <c r="U395" s="180">
        <f t="shared" si="120"/>
        <v>7.4015519574144308</v>
      </c>
      <c r="V395" s="182">
        <f t="shared" si="105"/>
        <v>5.2631578947368496</v>
      </c>
      <c r="W395" s="180"/>
      <c r="X395" s="180"/>
      <c r="Y395" s="180"/>
      <c r="Z395" s="180"/>
      <c r="AA395" s="180"/>
      <c r="AB395" s="180"/>
      <c r="AC395" s="180"/>
      <c r="AD395" s="180"/>
      <c r="AE395" s="180"/>
      <c r="AF395" s="180"/>
      <c r="AG395" s="180"/>
      <c r="AH395" s="180"/>
      <c r="AI395" s="180">
        <v>22500000</v>
      </c>
      <c r="AJ395" s="181">
        <f t="shared" si="115"/>
        <v>94.73684210526315</v>
      </c>
      <c r="AK395" s="180">
        <f t="shared" si="118"/>
        <v>1250000</v>
      </c>
      <c r="AL395" s="181">
        <f t="shared" si="116"/>
        <v>5.2631578947368416</v>
      </c>
      <c r="AM395" s="243"/>
    </row>
    <row r="396" spans="1:39" ht="24.75" customHeight="1" x14ac:dyDescent="0.25">
      <c r="A396" s="243"/>
      <c r="B396" s="410"/>
      <c r="C396" s="410"/>
      <c r="D396" s="410"/>
      <c r="E396" s="410"/>
      <c r="F396" s="410"/>
      <c r="G396" s="410"/>
      <c r="H396" s="410"/>
      <c r="I396" s="411"/>
      <c r="J396" s="410" t="s">
        <v>284</v>
      </c>
      <c r="K396" s="245"/>
      <c r="L396" s="257"/>
      <c r="M396" s="591" t="s">
        <v>285</v>
      </c>
      <c r="N396" s="592"/>
      <c r="O396" s="179"/>
      <c r="P396" s="180"/>
      <c r="Q396" s="180">
        <v>6600000</v>
      </c>
      <c r="R396" s="181">
        <f t="shared" si="122"/>
        <v>2.1711219075082329</v>
      </c>
      <c r="S396" s="181">
        <v>100</v>
      </c>
      <c r="T396" s="180">
        <f t="shared" si="114"/>
        <v>43.333333333333336</v>
      </c>
      <c r="U396" s="180">
        <f t="shared" si="120"/>
        <v>0.94081949325356762</v>
      </c>
      <c r="V396" s="182">
        <f t="shared" si="105"/>
        <v>56.666666666666664</v>
      </c>
      <c r="W396" s="180"/>
      <c r="X396" s="180"/>
      <c r="Y396" s="180"/>
      <c r="Z396" s="180"/>
      <c r="AA396" s="180"/>
      <c r="AB396" s="180"/>
      <c r="AC396" s="180"/>
      <c r="AD396" s="180"/>
      <c r="AE396" s="180"/>
      <c r="AF396" s="180"/>
      <c r="AG396" s="180"/>
      <c r="AH396" s="180"/>
      <c r="AI396" s="180">
        <v>2860000</v>
      </c>
      <c r="AJ396" s="181">
        <f t="shared" si="115"/>
        <v>43.333333333333336</v>
      </c>
      <c r="AK396" s="180">
        <f t="shared" si="118"/>
        <v>3740000</v>
      </c>
      <c r="AL396" s="181">
        <f t="shared" si="116"/>
        <v>56.666666666666664</v>
      </c>
      <c r="AM396" s="243"/>
    </row>
    <row r="397" spans="1:39" ht="24.75" customHeight="1" x14ac:dyDescent="0.25">
      <c r="A397" s="243"/>
      <c r="B397" s="410"/>
      <c r="C397" s="410"/>
      <c r="D397" s="410"/>
      <c r="E397" s="410"/>
      <c r="F397" s="410"/>
      <c r="G397" s="410"/>
      <c r="H397" s="410"/>
      <c r="I397" s="411"/>
      <c r="J397" s="410" t="s">
        <v>282</v>
      </c>
      <c r="K397" s="245"/>
      <c r="L397" s="257"/>
      <c r="M397" s="591" t="s">
        <v>283</v>
      </c>
      <c r="N397" s="592"/>
      <c r="O397" s="179"/>
      <c r="P397" s="180"/>
      <c r="Q397" s="180">
        <v>25650000</v>
      </c>
      <c r="R397" s="181">
        <f t="shared" si="122"/>
        <v>8.4377692314524513</v>
      </c>
      <c r="S397" s="181">
        <v>100</v>
      </c>
      <c r="T397" s="180">
        <f t="shared" si="114"/>
        <v>74.622807017543863</v>
      </c>
      <c r="U397" s="180">
        <f t="shared" si="120"/>
        <v>6.2965002501724561</v>
      </c>
      <c r="V397" s="182">
        <f t="shared" si="105"/>
        <v>25.377192982456137</v>
      </c>
      <c r="W397" s="180"/>
      <c r="X397" s="180"/>
      <c r="Y397" s="180"/>
      <c r="Z397" s="180"/>
      <c r="AA397" s="180"/>
      <c r="AB397" s="180"/>
      <c r="AC397" s="180"/>
      <c r="AD397" s="180"/>
      <c r="AE397" s="180"/>
      <c r="AF397" s="180"/>
      <c r="AG397" s="180"/>
      <c r="AH397" s="180"/>
      <c r="AI397" s="180">
        <f>10890750+8250000</f>
        <v>19140750</v>
      </c>
      <c r="AJ397" s="181">
        <f t="shared" si="115"/>
        <v>74.622807017543863</v>
      </c>
      <c r="AK397" s="180">
        <f t="shared" si="118"/>
        <v>6509250</v>
      </c>
      <c r="AL397" s="181">
        <f t="shared" si="116"/>
        <v>25.377192982456144</v>
      </c>
      <c r="AM397" s="243"/>
    </row>
    <row r="398" spans="1:39" ht="24.75" customHeight="1" x14ac:dyDescent="0.25">
      <c r="A398" s="243"/>
      <c r="B398" s="410"/>
      <c r="C398" s="410"/>
      <c r="D398" s="410"/>
      <c r="E398" s="410"/>
      <c r="F398" s="410"/>
      <c r="G398" s="410"/>
      <c r="H398" s="410"/>
      <c r="I398" s="411"/>
      <c r="J398" s="410" t="s">
        <v>320</v>
      </c>
      <c r="K398" s="245"/>
      <c r="L398" s="257"/>
      <c r="M398" s="591" t="s">
        <v>321</v>
      </c>
      <c r="N398" s="592"/>
      <c r="O398" s="179"/>
      <c r="P398" s="180"/>
      <c r="Q398" s="180">
        <v>50400000</v>
      </c>
      <c r="R398" s="181">
        <f t="shared" si="122"/>
        <v>16.579476384608324</v>
      </c>
      <c r="S398" s="181">
        <v>100</v>
      </c>
      <c r="T398" s="180">
        <f t="shared" si="114"/>
        <v>85.714285714285708</v>
      </c>
      <c r="U398" s="180">
        <f t="shared" si="120"/>
        <v>14.210979758235705</v>
      </c>
      <c r="V398" s="182">
        <f t="shared" si="105"/>
        <v>14.285714285714292</v>
      </c>
      <c r="W398" s="180"/>
      <c r="X398" s="180"/>
      <c r="Y398" s="180"/>
      <c r="Z398" s="180"/>
      <c r="AA398" s="180"/>
      <c r="AB398" s="180"/>
      <c r="AC398" s="180"/>
      <c r="AD398" s="180"/>
      <c r="AE398" s="180"/>
      <c r="AF398" s="180"/>
      <c r="AG398" s="180"/>
      <c r="AH398" s="180"/>
      <c r="AI398" s="180">
        <v>43200000</v>
      </c>
      <c r="AJ398" s="181">
        <f t="shared" si="115"/>
        <v>85.714285714285708</v>
      </c>
      <c r="AK398" s="180">
        <f t="shared" si="118"/>
        <v>7200000</v>
      </c>
      <c r="AL398" s="181">
        <f t="shared" si="116"/>
        <v>14.285714285714285</v>
      </c>
      <c r="AM398" s="243"/>
    </row>
    <row r="399" spans="1:39" ht="24.75" customHeight="1" x14ac:dyDescent="0.25">
      <c r="A399" s="243"/>
      <c r="B399" s="410"/>
      <c r="C399" s="410"/>
      <c r="D399" s="410"/>
      <c r="E399" s="410"/>
      <c r="F399" s="410"/>
      <c r="G399" s="410"/>
      <c r="H399" s="410"/>
      <c r="I399" s="411"/>
      <c r="J399" s="410" t="s">
        <v>407</v>
      </c>
      <c r="K399" s="245"/>
      <c r="L399" s="257"/>
      <c r="M399" s="619" t="s">
        <v>414</v>
      </c>
      <c r="N399" s="620"/>
      <c r="O399" s="179"/>
      <c r="P399" s="180"/>
      <c r="Q399" s="180">
        <v>8500000</v>
      </c>
      <c r="R399" s="181">
        <f t="shared" si="122"/>
        <v>2.7961418505787852</v>
      </c>
      <c r="S399" s="181"/>
      <c r="T399" s="180">
        <f t="shared" si="114"/>
        <v>64.705882352941174</v>
      </c>
      <c r="U399" s="180">
        <f t="shared" si="120"/>
        <v>1.8092682562568609</v>
      </c>
      <c r="V399" s="182"/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  <c r="AG399" s="180"/>
      <c r="AH399" s="180"/>
      <c r="AI399" s="180">
        <v>5500000</v>
      </c>
      <c r="AJ399" s="181">
        <f t="shared" si="115"/>
        <v>64.705882352941174</v>
      </c>
      <c r="AK399" s="180">
        <f t="shared" si="118"/>
        <v>3000000</v>
      </c>
      <c r="AL399" s="181">
        <f t="shared" si="116"/>
        <v>35.294117647058826</v>
      </c>
      <c r="AM399" s="243"/>
    </row>
    <row r="400" spans="1:39" s="297" customFormat="1" ht="29.25" customHeight="1" x14ac:dyDescent="0.25">
      <c r="A400" s="227">
        <f>A387+1</f>
        <v>51</v>
      </c>
      <c r="B400" s="615" t="s">
        <v>150</v>
      </c>
      <c r="C400" s="615"/>
      <c r="D400" s="615"/>
      <c r="E400" s="615"/>
      <c r="F400" s="615"/>
      <c r="G400" s="615"/>
      <c r="H400" s="615"/>
      <c r="I400" s="614"/>
      <c r="J400" s="304" t="s">
        <v>497</v>
      </c>
      <c r="K400" s="230"/>
      <c r="L400" s="294"/>
      <c r="M400" s="610" t="s">
        <v>51</v>
      </c>
      <c r="N400" s="610"/>
      <c r="O400" s="309">
        <v>316240000</v>
      </c>
      <c r="P400" s="231">
        <f>O400</f>
        <v>316240000</v>
      </c>
      <c r="Q400" s="231">
        <f>SUM(Q401:Q407)</f>
        <v>266500000</v>
      </c>
      <c r="R400" s="233">
        <f>Q400/Q$248*100</f>
        <v>2.2342678490608305</v>
      </c>
      <c r="S400" s="233">
        <v>100</v>
      </c>
      <c r="T400" s="231">
        <f t="shared" si="114"/>
        <v>0</v>
      </c>
      <c r="U400" s="231">
        <f t="shared" si="120"/>
        <v>0</v>
      </c>
      <c r="V400" s="296">
        <f t="shared" si="105"/>
        <v>100</v>
      </c>
      <c r="W400" s="231"/>
      <c r="X400" s="231" t="e">
        <f>#REF!</f>
        <v>#REF!</v>
      </c>
      <c r="Y400" s="231" t="e">
        <f>#REF!</f>
        <v>#REF!</v>
      </c>
      <c r="Z400" s="231" t="e">
        <f>#REF!</f>
        <v>#REF!</v>
      </c>
      <c r="AA400" s="231" t="e">
        <f>#REF!</f>
        <v>#REF!</v>
      </c>
      <c r="AB400" s="231">
        <v>13182000</v>
      </c>
      <c r="AC400" s="231" t="e">
        <f>#REF!</f>
        <v>#REF!</v>
      </c>
      <c r="AD400" s="231" t="e">
        <f>#REF!</f>
        <v>#REF!</v>
      </c>
      <c r="AE400" s="231" t="e">
        <f>#REF!</f>
        <v>#REF!</v>
      </c>
      <c r="AF400" s="231" t="e">
        <f>[1]April!N70</f>
        <v>#REF!</v>
      </c>
      <c r="AG400" s="231" t="e">
        <f>[2]april!N70</f>
        <v>#REF!</v>
      </c>
      <c r="AH400" s="231">
        <f>'[3]DES SKPD'!$N70</f>
        <v>293250450</v>
      </c>
      <c r="AI400" s="231">
        <f>SUM(AI401:AI407)</f>
        <v>0</v>
      </c>
      <c r="AJ400" s="233">
        <f t="shared" si="115"/>
        <v>0</v>
      </c>
      <c r="AK400" s="231">
        <f t="shared" si="118"/>
        <v>266500000</v>
      </c>
      <c r="AL400" s="233">
        <f t="shared" si="116"/>
        <v>100</v>
      </c>
      <c r="AM400" s="227"/>
    </row>
    <row r="401" spans="1:39" ht="29.25" customHeight="1" x14ac:dyDescent="0.25">
      <c r="A401" s="243"/>
      <c r="B401" s="410"/>
      <c r="C401" s="410"/>
      <c r="D401" s="410"/>
      <c r="E401" s="410"/>
      <c r="F401" s="410"/>
      <c r="G401" s="410"/>
      <c r="H401" s="410"/>
      <c r="I401" s="411"/>
      <c r="J401" s="410" t="s">
        <v>315</v>
      </c>
      <c r="K401" s="245"/>
      <c r="L401" s="257"/>
      <c r="M401" s="591" t="s">
        <v>271</v>
      </c>
      <c r="N401" s="592"/>
      <c r="O401" s="179"/>
      <c r="P401" s="180"/>
      <c r="Q401" s="180">
        <v>8000000</v>
      </c>
      <c r="R401" s="181">
        <f t="shared" ref="R401:R407" si="123">Q401/Q$400*100</f>
        <v>3.0018761726078798</v>
      </c>
      <c r="S401" s="181">
        <v>100</v>
      </c>
      <c r="T401" s="180">
        <f t="shared" si="114"/>
        <v>0</v>
      </c>
      <c r="U401" s="180">
        <f t="shared" si="120"/>
        <v>0</v>
      </c>
      <c r="V401" s="182">
        <f t="shared" si="105"/>
        <v>100</v>
      </c>
      <c r="W401" s="180"/>
      <c r="X401" s="180"/>
      <c r="Y401" s="180"/>
      <c r="Z401" s="180"/>
      <c r="AA401" s="180"/>
      <c r="AB401" s="180"/>
      <c r="AC401" s="180"/>
      <c r="AD401" s="180"/>
      <c r="AE401" s="180"/>
      <c r="AF401" s="180"/>
      <c r="AG401" s="180"/>
      <c r="AH401" s="180"/>
      <c r="AI401" s="180">
        <v>0</v>
      </c>
      <c r="AJ401" s="181">
        <f t="shared" si="115"/>
        <v>0</v>
      </c>
      <c r="AK401" s="180">
        <f t="shared" si="118"/>
        <v>8000000</v>
      </c>
      <c r="AL401" s="181">
        <f t="shared" si="116"/>
        <v>100</v>
      </c>
      <c r="AM401" s="243"/>
    </row>
    <row r="402" spans="1:39" ht="29.25" customHeight="1" x14ac:dyDescent="0.25">
      <c r="A402" s="243"/>
      <c r="B402" s="410"/>
      <c r="C402" s="410"/>
      <c r="D402" s="410"/>
      <c r="E402" s="410"/>
      <c r="F402" s="410"/>
      <c r="G402" s="410"/>
      <c r="H402" s="410"/>
      <c r="I402" s="411"/>
      <c r="J402" s="410" t="s">
        <v>284</v>
      </c>
      <c r="K402" s="245"/>
      <c r="L402" s="257"/>
      <c r="M402" s="591" t="s">
        <v>319</v>
      </c>
      <c r="N402" s="592"/>
      <c r="O402" s="179"/>
      <c r="P402" s="180"/>
      <c r="Q402" s="180">
        <v>27000000</v>
      </c>
      <c r="R402" s="181">
        <f t="shared" si="123"/>
        <v>10.131332082551594</v>
      </c>
      <c r="S402" s="181">
        <v>100</v>
      </c>
      <c r="T402" s="180">
        <f t="shared" si="114"/>
        <v>0</v>
      </c>
      <c r="U402" s="180">
        <f t="shared" si="120"/>
        <v>0</v>
      </c>
      <c r="V402" s="182"/>
      <c r="W402" s="180"/>
      <c r="X402" s="180"/>
      <c r="Y402" s="180"/>
      <c r="Z402" s="180"/>
      <c r="AA402" s="180"/>
      <c r="AB402" s="180"/>
      <c r="AC402" s="180"/>
      <c r="AD402" s="180"/>
      <c r="AE402" s="180"/>
      <c r="AF402" s="180"/>
      <c r="AG402" s="180"/>
      <c r="AH402" s="180"/>
      <c r="AI402" s="180">
        <v>0</v>
      </c>
      <c r="AJ402" s="181">
        <f t="shared" si="115"/>
        <v>0</v>
      </c>
      <c r="AK402" s="180">
        <f t="shared" si="118"/>
        <v>27000000</v>
      </c>
      <c r="AL402" s="181">
        <f t="shared" si="116"/>
        <v>100</v>
      </c>
      <c r="AM402" s="243"/>
    </row>
    <row r="403" spans="1:39" ht="29.25" customHeight="1" x14ac:dyDescent="0.25">
      <c r="A403" s="243"/>
      <c r="B403" s="410"/>
      <c r="C403" s="410"/>
      <c r="D403" s="410"/>
      <c r="E403" s="410"/>
      <c r="F403" s="410"/>
      <c r="G403" s="410"/>
      <c r="H403" s="410"/>
      <c r="I403" s="411"/>
      <c r="J403" s="410" t="s">
        <v>282</v>
      </c>
      <c r="K403" s="245"/>
      <c r="L403" s="257"/>
      <c r="M403" s="591" t="s">
        <v>340</v>
      </c>
      <c r="N403" s="592"/>
      <c r="O403" s="179"/>
      <c r="P403" s="180"/>
      <c r="Q403" s="180">
        <v>5000000</v>
      </c>
      <c r="R403" s="181">
        <f t="shared" si="123"/>
        <v>1.876172607879925</v>
      </c>
      <c r="S403" s="181">
        <v>100</v>
      </c>
      <c r="T403" s="180">
        <f t="shared" si="114"/>
        <v>0</v>
      </c>
      <c r="U403" s="180">
        <f t="shared" si="120"/>
        <v>0</v>
      </c>
      <c r="V403" s="182">
        <f t="shared" si="105"/>
        <v>100</v>
      </c>
      <c r="W403" s="180"/>
      <c r="X403" s="180"/>
      <c r="Y403" s="180"/>
      <c r="Z403" s="180"/>
      <c r="AA403" s="180"/>
      <c r="AB403" s="180"/>
      <c r="AC403" s="180"/>
      <c r="AD403" s="180"/>
      <c r="AE403" s="180"/>
      <c r="AF403" s="180"/>
      <c r="AG403" s="180"/>
      <c r="AH403" s="180"/>
      <c r="AI403" s="180">
        <v>0</v>
      </c>
      <c r="AJ403" s="181">
        <f t="shared" si="115"/>
        <v>0</v>
      </c>
      <c r="AK403" s="180">
        <f t="shared" si="118"/>
        <v>5000000</v>
      </c>
      <c r="AL403" s="181">
        <f t="shared" si="116"/>
        <v>100</v>
      </c>
      <c r="AM403" s="243"/>
    </row>
    <row r="404" spans="1:39" ht="29.25" customHeight="1" x14ac:dyDescent="0.25">
      <c r="A404" s="243"/>
      <c r="B404" s="410"/>
      <c r="C404" s="410"/>
      <c r="D404" s="410"/>
      <c r="E404" s="410"/>
      <c r="F404" s="410"/>
      <c r="G404" s="410"/>
      <c r="H404" s="410"/>
      <c r="I404" s="411"/>
      <c r="J404" s="410" t="s">
        <v>308</v>
      </c>
      <c r="K404" s="245"/>
      <c r="L404" s="257"/>
      <c r="M404" s="591" t="s">
        <v>590</v>
      </c>
      <c r="N404" s="592"/>
      <c r="O404" s="179"/>
      <c r="P404" s="180"/>
      <c r="Q404" s="180">
        <v>15000000</v>
      </c>
      <c r="R404" s="181">
        <f t="shared" si="123"/>
        <v>5.6285178236397746</v>
      </c>
      <c r="S404" s="181">
        <v>100</v>
      </c>
      <c r="T404" s="180">
        <f t="shared" si="114"/>
        <v>0</v>
      </c>
      <c r="U404" s="180">
        <f t="shared" si="120"/>
        <v>0</v>
      </c>
      <c r="V404" s="182">
        <f t="shared" si="105"/>
        <v>100</v>
      </c>
      <c r="W404" s="180"/>
      <c r="X404" s="180"/>
      <c r="Y404" s="180"/>
      <c r="Z404" s="180"/>
      <c r="AA404" s="180"/>
      <c r="AB404" s="180"/>
      <c r="AC404" s="180"/>
      <c r="AD404" s="180"/>
      <c r="AE404" s="180"/>
      <c r="AF404" s="180"/>
      <c r="AG404" s="180"/>
      <c r="AH404" s="180"/>
      <c r="AI404" s="180">
        <v>0</v>
      </c>
      <c r="AJ404" s="181">
        <f t="shared" si="115"/>
        <v>0</v>
      </c>
      <c r="AK404" s="180">
        <f t="shared" si="118"/>
        <v>15000000</v>
      </c>
      <c r="AL404" s="181">
        <f t="shared" si="116"/>
        <v>100</v>
      </c>
      <c r="AM404" s="243"/>
    </row>
    <row r="405" spans="1:39" ht="29.25" customHeight="1" x14ac:dyDescent="0.25">
      <c r="A405" s="243"/>
      <c r="B405" s="410"/>
      <c r="C405" s="410"/>
      <c r="D405" s="410"/>
      <c r="E405" s="410"/>
      <c r="F405" s="410"/>
      <c r="G405" s="410"/>
      <c r="H405" s="410"/>
      <c r="I405" s="411"/>
      <c r="J405" s="410" t="s">
        <v>309</v>
      </c>
      <c r="K405" s="245"/>
      <c r="L405" s="257"/>
      <c r="M405" s="591" t="s">
        <v>321</v>
      </c>
      <c r="N405" s="592"/>
      <c r="O405" s="179"/>
      <c r="P405" s="180"/>
      <c r="Q405" s="180">
        <v>9500000</v>
      </c>
      <c r="R405" s="181">
        <f t="shared" si="123"/>
        <v>3.5647279549718571</v>
      </c>
      <c r="S405" s="181">
        <v>100</v>
      </c>
      <c r="T405" s="180">
        <f t="shared" si="114"/>
        <v>0</v>
      </c>
      <c r="U405" s="180">
        <f t="shared" si="120"/>
        <v>0</v>
      </c>
      <c r="V405" s="182">
        <f t="shared" si="105"/>
        <v>100</v>
      </c>
      <c r="W405" s="180"/>
      <c r="X405" s="180"/>
      <c r="Y405" s="180"/>
      <c r="Z405" s="180"/>
      <c r="AA405" s="180"/>
      <c r="AB405" s="180"/>
      <c r="AC405" s="180"/>
      <c r="AD405" s="180"/>
      <c r="AE405" s="180"/>
      <c r="AF405" s="180"/>
      <c r="AG405" s="180"/>
      <c r="AH405" s="180"/>
      <c r="AI405" s="180">
        <v>0</v>
      </c>
      <c r="AJ405" s="181">
        <f t="shared" si="115"/>
        <v>0</v>
      </c>
      <c r="AK405" s="180">
        <f t="shared" si="118"/>
        <v>9500000</v>
      </c>
      <c r="AL405" s="181">
        <f t="shared" si="116"/>
        <v>100</v>
      </c>
      <c r="AM405" s="243"/>
    </row>
    <row r="406" spans="1:39" ht="29.25" customHeight="1" x14ac:dyDescent="0.25">
      <c r="A406" s="243"/>
      <c r="B406" s="410"/>
      <c r="C406" s="410"/>
      <c r="D406" s="410"/>
      <c r="E406" s="410"/>
      <c r="F406" s="410"/>
      <c r="G406" s="410"/>
      <c r="H406" s="410"/>
      <c r="I406" s="411"/>
      <c r="J406" s="410" t="s">
        <v>309</v>
      </c>
      <c r="K406" s="245"/>
      <c r="L406" s="257"/>
      <c r="M406" s="591" t="s">
        <v>310</v>
      </c>
      <c r="N406" s="592"/>
      <c r="O406" s="179"/>
      <c r="P406" s="180"/>
      <c r="Q406" s="180">
        <v>200000000</v>
      </c>
      <c r="R406" s="181">
        <f t="shared" si="123"/>
        <v>75.046904315196997</v>
      </c>
      <c r="S406" s="181">
        <v>100</v>
      </c>
      <c r="T406" s="180">
        <f t="shared" si="114"/>
        <v>0</v>
      </c>
      <c r="U406" s="180">
        <f t="shared" si="120"/>
        <v>0</v>
      </c>
      <c r="V406" s="182">
        <f t="shared" si="105"/>
        <v>100</v>
      </c>
      <c r="W406" s="180"/>
      <c r="X406" s="180"/>
      <c r="Y406" s="180"/>
      <c r="Z406" s="180"/>
      <c r="AA406" s="180"/>
      <c r="AB406" s="180"/>
      <c r="AC406" s="180"/>
      <c r="AD406" s="180"/>
      <c r="AE406" s="180"/>
      <c r="AF406" s="180"/>
      <c r="AG406" s="180"/>
      <c r="AH406" s="180"/>
      <c r="AI406" s="180">
        <v>0</v>
      </c>
      <c r="AJ406" s="181">
        <f t="shared" si="115"/>
        <v>0</v>
      </c>
      <c r="AK406" s="180">
        <f t="shared" si="118"/>
        <v>200000000</v>
      </c>
      <c r="AL406" s="181">
        <f t="shared" si="116"/>
        <v>100</v>
      </c>
      <c r="AM406" s="243"/>
    </row>
    <row r="407" spans="1:39" ht="29.25" customHeight="1" x14ac:dyDescent="0.25">
      <c r="A407" s="243"/>
      <c r="B407" s="410"/>
      <c r="C407" s="410"/>
      <c r="D407" s="410"/>
      <c r="E407" s="410"/>
      <c r="F407" s="410"/>
      <c r="G407" s="410"/>
      <c r="H407" s="410"/>
      <c r="I407" s="411"/>
      <c r="J407" s="410" t="s">
        <v>407</v>
      </c>
      <c r="K407" s="245"/>
      <c r="L407" s="257"/>
      <c r="M407" s="591" t="s">
        <v>610</v>
      </c>
      <c r="N407" s="592"/>
      <c r="O407" s="179"/>
      <c r="P407" s="180"/>
      <c r="Q407" s="180">
        <v>2000000</v>
      </c>
      <c r="R407" s="181">
        <f t="shared" si="123"/>
        <v>0.75046904315196994</v>
      </c>
      <c r="S407" s="181">
        <v>100</v>
      </c>
      <c r="T407" s="180">
        <f t="shared" si="114"/>
        <v>0</v>
      </c>
      <c r="U407" s="180">
        <f t="shared" si="120"/>
        <v>0</v>
      </c>
      <c r="V407" s="182">
        <f t="shared" si="105"/>
        <v>100</v>
      </c>
      <c r="W407" s="180"/>
      <c r="X407" s="180"/>
      <c r="Y407" s="180"/>
      <c r="Z407" s="180"/>
      <c r="AA407" s="180"/>
      <c r="AB407" s="180"/>
      <c r="AC407" s="180"/>
      <c r="AD407" s="180"/>
      <c r="AE407" s="180"/>
      <c r="AF407" s="180"/>
      <c r="AG407" s="180"/>
      <c r="AH407" s="180"/>
      <c r="AI407" s="180">
        <v>0</v>
      </c>
      <c r="AJ407" s="181">
        <f t="shared" si="115"/>
        <v>0</v>
      </c>
      <c r="AK407" s="180">
        <f t="shared" si="118"/>
        <v>2000000</v>
      </c>
      <c r="AL407" s="181">
        <f t="shared" si="116"/>
        <v>100</v>
      </c>
      <c r="AM407" s="243"/>
    </row>
    <row r="408" spans="1:39" s="297" customFormat="1" ht="36" customHeight="1" x14ac:dyDescent="0.25">
      <c r="A408" s="227">
        <f>A400+1</f>
        <v>52</v>
      </c>
      <c r="B408" s="615" t="s">
        <v>151</v>
      </c>
      <c r="C408" s="615"/>
      <c r="D408" s="615"/>
      <c r="E408" s="615"/>
      <c r="F408" s="615"/>
      <c r="G408" s="615"/>
      <c r="H408" s="615"/>
      <c r="I408" s="614"/>
      <c r="J408" s="304" t="s">
        <v>498</v>
      </c>
      <c r="K408" s="230"/>
      <c r="L408" s="294"/>
      <c r="M408" s="613" t="s">
        <v>52</v>
      </c>
      <c r="N408" s="613"/>
      <c r="O408" s="309">
        <v>252956000</v>
      </c>
      <c r="P408" s="231">
        <f>O408</f>
        <v>252956000</v>
      </c>
      <c r="Q408" s="231">
        <f>SUM(Q409:Q421)</f>
        <v>394282000</v>
      </c>
      <c r="R408" s="233">
        <f>Q408/Q$35*100</f>
        <v>1.2404167461869322</v>
      </c>
      <c r="S408" s="233">
        <v>100</v>
      </c>
      <c r="T408" s="231">
        <f t="shared" si="114"/>
        <v>41.299413110413354</v>
      </c>
      <c r="U408" s="231">
        <f t="shared" si="120"/>
        <v>0.51228483629848864</v>
      </c>
      <c r="V408" s="296">
        <f t="shared" si="105"/>
        <v>58.700586889586646</v>
      </c>
      <c r="W408" s="231"/>
      <c r="X408" s="231" t="e">
        <f>#REF!</f>
        <v>#REF!</v>
      </c>
      <c r="Y408" s="231" t="e">
        <f>#REF!</f>
        <v>#REF!</v>
      </c>
      <c r="Z408" s="231" t="e">
        <f>#REF!</f>
        <v>#REF!</v>
      </c>
      <c r="AA408" s="231" t="e">
        <f>#REF!</f>
        <v>#REF!</v>
      </c>
      <c r="AB408" s="231">
        <v>58582925</v>
      </c>
      <c r="AC408" s="231" t="e">
        <f>#REF!</f>
        <v>#REF!</v>
      </c>
      <c r="AD408" s="231" t="e">
        <f>#REF!</f>
        <v>#REF!</v>
      </c>
      <c r="AE408" s="231" t="e">
        <f>#REF!</f>
        <v>#REF!</v>
      </c>
      <c r="AF408" s="231" t="e">
        <f>[1]April!N71</f>
        <v>#REF!</v>
      </c>
      <c r="AG408" s="231" t="e">
        <f>[2]april!N71</f>
        <v>#REF!</v>
      </c>
      <c r="AH408" s="231">
        <f>'[3]DES SKPD'!$N71</f>
        <v>205056925</v>
      </c>
      <c r="AI408" s="231">
        <f>SUM(AI409:AI421)</f>
        <v>162836152</v>
      </c>
      <c r="AJ408" s="233">
        <f t="shared" si="115"/>
        <v>41.299413110413354</v>
      </c>
      <c r="AK408" s="231">
        <f t="shared" si="118"/>
        <v>231445848</v>
      </c>
      <c r="AL408" s="233">
        <f t="shared" si="116"/>
        <v>58.700586889586639</v>
      </c>
      <c r="AM408" s="227"/>
    </row>
    <row r="409" spans="1:39" ht="29.25" customHeight="1" x14ac:dyDescent="0.25">
      <c r="A409" s="243"/>
      <c r="B409" s="410"/>
      <c r="C409" s="410"/>
      <c r="D409" s="410"/>
      <c r="E409" s="410"/>
      <c r="F409" s="410"/>
      <c r="G409" s="410"/>
      <c r="H409" s="410"/>
      <c r="I409" s="411"/>
      <c r="J409" s="410" t="s">
        <v>415</v>
      </c>
      <c r="K409" s="245"/>
      <c r="L409" s="257"/>
      <c r="M409" s="604" t="s">
        <v>260</v>
      </c>
      <c r="N409" s="592"/>
      <c r="O409" s="179"/>
      <c r="P409" s="180"/>
      <c r="Q409" s="180">
        <v>2400000</v>
      </c>
      <c r="R409" s="181">
        <f>Q409/Q$408*100</f>
        <v>0.60870138631740733</v>
      </c>
      <c r="S409" s="181">
        <v>100</v>
      </c>
      <c r="T409" s="180">
        <f t="shared" si="114"/>
        <v>33.333333333333329</v>
      </c>
      <c r="U409" s="180">
        <f t="shared" si="120"/>
        <v>0.20290046210580243</v>
      </c>
      <c r="V409" s="182">
        <f t="shared" si="105"/>
        <v>66.666666666666671</v>
      </c>
      <c r="W409" s="180"/>
      <c r="X409" s="180"/>
      <c r="Y409" s="180"/>
      <c r="Z409" s="180"/>
      <c r="AA409" s="180"/>
      <c r="AB409" s="180"/>
      <c r="AC409" s="180"/>
      <c r="AD409" s="180"/>
      <c r="AE409" s="180"/>
      <c r="AF409" s="180"/>
      <c r="AG409" s="180"/>
      <c r="AH409" s="180"/>
      <c r="AI409" s="180">
        <v>800000</v>
      </c>
      <c r="AJ409" s="181">
        <f t="shared" ref="AJ409:AJ473" si="124">AI409/Q409*100</f>
        <v>33.333333333333329</v>
      </c>
      <c r="AK409" s="180">
        <f t="shared" si="118"/>
        <v>1600000</v>
      </c>
      <c r="AL409" s="181">
        <f t="shared" ref="AL409:AL473" si="125">AK409/Q409*100</f>
        <v>66.666666666666657</v>
      </c>
      <c r="AM409" s="243"/>
    </row>
    <row r="410" spans="1:39" ht="29.25" customHeight="1" x14ac:dyDescent="0.25">
      <c r="A410" s="243"/>
      <c r="B410" s="410"/>
      <c r="C410" s="410"/>
      <c r="D410" s="410"/>
      <c r="E410" s="410"/>
      <c r="F410" s="410"/>
      <c r="G410" s="410"/>
      <c r="H410" s="410"/>
      <c r="I410" s="411"/>
      <c r="J410" s="410" t="s">
        <v>326</v>
      </c>
      <c r="K410" s="245"/>
      <c r="L410" s="257"/>
      <c r="M410" s="604" t="s">
        <v>327</v>
      </c>
      <c r="N410" s="592"/>
      <c r="O410" s="179"/>
      <c r="P410" s="180"/>
      <c r="Q410" s="180">
        <v>32800000</v>
      </c>
      <c r="R410" s="181">
        <f t="shared" ref="R410:R421" si="126">Q410/Q$408*100</f>
        <v>8.3189189463379005</v>
      </c>
      <c r="S410" s="181">
        <v>100</v>
      </c>
      <c r="T410" s="180">
        <f t="shared" si="114"/>
        <v>0</v>
      </c>
      <c r="U410" s="180">
        <f t="shared" si="120"/>
        <v>0</v>
      </c>
      <c r="V410" s="182">
        <f t="shared" si="105"/>
        <v>100</v>
      </c>
      <c r="W410" s="180"/>
      <c r="X410" s="180"/>
      <c r="Y410" s="180"/>
      <c r="Z410" s="180"/>
      <c r="AA410" s="180"/>
      <c r="AB410" s="180"/>
      <c r="AC410" s="180"/>
      <c r="AD410" s="180"/>
      <c r="AE410" s="180"/>
      <c r="AF410" s="180"/>
      <c r="AG410" s="180"/>
      <c r="AH410" s="180"/>
      <c r="AI410" s="180">
        <v>0</v>
      </c>
      <c r="AJ410" s="181">
        <f t="shared" si="124"/>
        <v>0</v>
      </c>
      <c r="AK410" s="180">
        <f t="shared" si="118"/>
        <v>32800000</v>
      </c>
      <c r="AL410" s="181">
        <f t="shared" si="125"/>
        <v>100</v>
      </c>
      <c r="AM410" s="243"/>
    </row>
    <row r="411" spans="1:39" ht="29.25" customHeight="1" x14ac:dyDescent="0.25">
      <c r="A411" s="243"/>
      <c r="B411" s="410"/>
      <c r="C411" s="410"/>
      <c r="D411" s="410"/>
      <c r="E411" s="410"/>
      <c r="F411" s="410"/>
      <c r="G411" s="410"/>
      <c r="H411" s="410"/>
      <c r="I411" s="411"/>
      <c r="J411" s="410" t="s">
        <v>347</v>
      </c>
      <c r="K411" s="245"/>
      <c r="L411" s="257"/>
      <c r="M411" s="604" t="s">
        <v>348</v>
      </c>
      <c r="N411" s="592"/>
      <c r="O411" s="179"/>
      <c r="P411" s="180"/>
      <c r="Q411" s="180">
        <v>27800000</v>
      </c>
      <c r="R411" s="181">
        <f t="shared" si="126"/>
        <v>7.0507910581766353</v>
      </c>
      <c r="S411" s="181">
        <v>100</v>
      </c>
      <c r="T411" s="180">
        <f t="shared" si="114"/>
        <v>0</v>
      </c>
      <c r="U411" s="180">
        <f t="shared" si="120"/>
        <v>0</v>
      </c>
      <c r="V411" s="182">
        <f t="shared" si="105"/>
        <v>100</v>
      </c>
      <c r="W411" s="180"/>
      <c r="X411" s="180"/>
      <c r="Y411" s="180"/>
      <c r="Z411" s="180"/>
      <c r="AA411" s="180"/>
      <c r="AB411" s="180"/>
      <c r="AC411" s="180"/>
      <c r="AD411" s="180"/>
      <c r="AE411" s="180"/>
      <c r="AF411" s="180"/>
      <c r="AG411" s="180"/>
      <c r="AH411" s="180"/>
      <c r="AI411" s="180">
        <v>0</v>
      </c>
      <c r="AJ411" s="181">
        <f t="shared" si="124"/>
        <v>0</v>
      </c>
      <c r="AK411" s="180">
        <f t="shared" si="118"/>
        <v>27800000</v>
      </c>
      <c r="AL411" s="181">
        <f t="shared" si="125"/>
        <v>100</v>
      </c>
      <c r="AM411" s="243"/>
    </row>
    <row r="412" spans="1:39" ht="29.25" customHeight="1" x14ac:dyDescent="0.25">
      <c r="A412" s="243"/>
      <c r="B412" s="410"/>
      <c r="C412" s="410"/>
      <c r="D412" s="410"/>
      <c r="E412" s="410"/>
      <c r="F412" s="410"/>
      <c r="G412" s="410"/>
      <c r="H412" s="410"/>
      <c r="I412" s="411"/>
      <c r="J412" s="410" t="s">
        <v>323</v>
      </c>
      <c r="K412" s="245"/>
      <c r="L412" s="257"/>
      <c r="M412" s="604" t="s">
        <v>324</v>
      </c>
      <c r="N412" s="592"/>
      <c r="O412" s="179"/>
      <c r="P412" s="180"/>
      <c r="Q412" s="180">
        <v>35352000</v>
      </c>
      <c r="R412" s="181">
        <f t="shared" si="126"/>
        <v>8.9661714204554102</v>
      </c>
      <c r="S412" s="181">
        <v>100</v>
      </c>
      <c r="T412" s="180">
        <f t="shared" si="114"/>
        <v>14.816700610997962</v>
      </c>
      <c r="U412" s="180">
        <f t="shared" si="120"/>
        <v>1.3284907756377413</v>
      </c>
      <c r="V412" s="182">
        <f t="shared" si="105"/>
        <v>85.18329938900203</v>
      </c>
      <c r="W412" s="180"/>
      <c r="X412" s="180"/>
      <c r="Y412" s="180"/>
      <c r="Z412" s="180"/>
      <c r="AA412" s="180"/>
      <c r="AB412" s="180"/>
      <c r="AC412" s="180"/>
      <c r="AD412" s="180"/>
      <c r="AE412" s="180"/>
      <c r="AF412" s="180"/>
      <c r="AG412" s="180"/>
      <c r="AH412" s="180"/>
      <c r="AI412" s="180">
        <f>3492000+1746000</f>
        <v>5238000</v>
      </c>
      <c r="AJ412" s="181">
        <f t="shared" si="124"/>
        <v>14.816700610997962</v>
      </c>
      <c r="AK412" s="180">
        <f t="shared" si="118"/>
        <v>30114000</v>
      </c>
      <c r="AL412" s="181">
        <f t="shared" si="125"/>
        <v>85.18329938900203</v>
      </c>
      <c r="AM412" s="243"/>
    </row>
    <row r="413" spans="1:39" ht="29.25" customHeight="1" x14ac:dyDescent="0.25">
      <c r="A413" s="243"/>
      <c r="B413" s="410"/>
      <c r="C413" s="410"/>
      <c r="D413" s="410"/>
      <c r="E413" s="410"/>
      <c r="F413" s="410"/>
      <c r="G413" s="410"/>
      <c r="H413" s="410"/>
      <c r="I413" s="411"/>
      <c r="J413" s="410" t="s">
        <v>269</v>
      </c>
      <c r="K413" s="245"/>
      <c r="L413" s="257"/>
      <c r="M413" s="604" t="s">
        <v>270</v>
      </c>
      <c r="N413" s="592"/>
      <c r="O413" s="179"/>
      <c r="P413" s="180"/>
      <c r="Q413" s="180">
        <v>16330000</v>
      </c>
      <c r="R413" s="181">
        <f t="shared" si="126"/>
        <v>4.1417056827346919</v>
      </c>
      <c r="S413" s="181">
        <v>100</v>
      </c>
      <c r="T413" s="180">
        <f t="shared" si="114"/>
        <v>21.861604409063073</v>
      </c>
      <c r="U413" s="180">
        <f t="shared" si="120"/>
        <v>0.90544331214714324</v>
      </c>
      <c r="V413" s="182">
        <f t="shared" si="105"/>
        <v>78.138395590936923</v>
      </c>
      <c r="W413" s="180"/>
      <c r="X413" s="180"/>
      <c r="Y413" s="180"/>
      <c r="Z413" s="180"/>
      <c r="AA413" s="180"/>
      <c r="AB413" s="180"/>
      <c r="AC413" s="180"/>
      <c r="AD413" s="180"/>
      <c r="AE413" s="180"/>
      <c r="AF413" s="180"/>
      <c r="AG413" s="180"/>
      <c r="AH413" s="180"/>
      <c r="AI413" s="180">
        <f>2380000+1190000</f>
        <v>3570000</v>
      </c>
      <c r="AJ413" s="181">
        <f t="shared" si="124"/>
        <v>21.861604409063073</v>
      </c>
      <c r="AK413" s="180">
        <f t="shared" si="118"/>
        <v>12760000</v>
      </c>
      <c r="AL413" s="181">
        <f t="shared" si="125"/>
        <v>78.138395590936923</v>
      </c>
      <c r="AM413" s="243"/>
    </row>
    <row r="414" spans="1:39" ht="29.25" customHeight="1" x14ac:dyDescent="0.25">
      <c r="A414" s="243"/>
      <c r="B414" s="410"/>
      <c r="C414" s="410"/>
      <c r="D414" s="410"/>
      <c r="E414" s="410"/>
      <c r="F414" s="410"/>
      <c r="G414" s="410"/>
      <c r="H414" s="410"/>
      <c r="I414" s="411"/>
      <c r="J414" s="410" t="s">
        <v>315</v>
      </c>
      <c r="K414" s="245"/>
      <c r="L414" s="257"/>
      <c r="M414" s="604" t="s">
        <v>271</v>
      </c>
      <c r="N414" s="592"/>
      <c r="O414" s="179"/>
      <c r="P414" s="180"/>
      <c r="Q414" s="180">
        <v>21000000</v>
      </c>
      <c r="R414" s="181">
        <f t="shared" si="126"/>
        <v>5.3261371302773144</v>
      </c>
      <c r="S414" s="181">
        <v>100</v>
      </c>
      <c r="T414" s="180">
        <f t="shared" ref="T414:T625" si="127">AJ414</f>
        <v>25</v>
      </c>
      <c r="U414" s="180">
        <f t="shared" si="120"/>
        <v>1.3315342825693286</v>
      </c>
      <c r="V414" s="182">
        <f t="shared" si="105"/>
        <v>75</v>
      </c>
      <c r="W414" s="180"/>
      <c r="X414" s="180"/>
      <c r="Y414" s="180"/>
      <c r="Z414" s="180"/>
      <c r="AA414" s="180"/>
      <c r="AB414" s="180"/>
      <c r="AC414" s="180"/>
      <c r="AD414" s="180"/>
      <c r="AE414" s="180"/>
      <c r="AF414" s="180"/>
      <c r="AG414" s="180"/>
      <c r="AH414" s="180"/>
      <c r="AI414" s="180">
        <f>3500000+1750000</f>
        <v>5250000</v>
      </c>
      <c r="AJ414" s="181">
        <f t="shared" si="124"/>
        <v>25</v>
      </c>
      <c r="AK414" s="180">
        <f t="shared" si="118"/>
        <v>15750000</v>
      </c>
      <c r="AL414" s="181">
        <f t="shared" si="125"/>
        <v>75</v>
      </c>
      <c r="AM414" s="243"/>
    </row>
    <row r="415" spans="1:39" ht="29.25" customHeight="1" x14ac:dyDescent="0.25">
      <c r="A415" s="243"/>
      <c r="B415" s="410"/>
      <c r="C415" s="410"/>
      <c r="D415" s="410"/>
      <c r="E415" s="410"/>
      <c r="F415" s="410"/>
      <c r="G415" s="410"/>
      <c r="H415" s="410"/>
      <c r="I415" s="411"/>
      <c r="J415" s="410" t="s">
        <v>316</v>
      </c>
      <c r="K415" s="245"/>
      <c r="L415" s="257"/>
      <c r="M415" s="604" t="s">
        <v>317</v>
      </c>
      <c r="N415" s="592"/>
      <c r="O415" s="179"/>
      <c r="P415" s="180"/>
      <c r="Q415" s="180">
        <v>900000</v>
      </c>
      <c r="R415" s="181">
        <f t="shared" si="126"/>
        <v>0.22826301986902778</v>
      </c>
      <c r="S415" s="181">
        <v>100</v>
      </c>
      <c r="T415" s="180">
        <f t="shared" si="127"/>
        <v>33.333333333333329</v>
      </c>
      <c r="U415" s="180">
        <f t="shared" si="120"/>
        <v>7.6087673289675917E-2</v>
      </c>
      <c r="V415" s="182">
        <f t="shared" si="105"/>
        <v>66.666666666666671</v>
      </c>
      <c r="W415" s="180"/>
      <c r="X415" s="180"/>
      <c r="Y415" s="180"/>
      <c r="Z415" s="180"/>
      <c r="AA415" s="180"/>
      <c r="AB415" s="180"/>
      <c r="AC415" s="180"/>
      <c r="AD415" s="180"/>
      <c r="AE415" s="180"/>
      <c r="AF415" s="180"/>
      <c r="AG415" s="180"/>
      <c r="AH415" s="180"/>
      <c r="AI415" s="180">
        <v>300000</v>
      </c>
      <c r="AJ415" s="181">
        <f t="shared" si="124"/>
        <v>33.333333333333329</v>
      </c>
      <c r="AK415" s="180">
        <f t="shared" si="118"/>
        <v>600000</v>
      </c>
      <c r="AL415" s="181">
        <f t="shared" si="125"/>
        <v>66.666666666666657</v>
      </c>
      <c r="AM415" s="243"/>
    </row>
    <row r="416" spans="1:39" ht="29.25" customHeight="1" x14ac:dyDescent="0.25">
      <c r="A416" s="243"/>
      <c r="B416" s="410"/>
      <c r="C416" s="410"/>
      <c r="D416" s="410"/>
      <c r="E416" s="410"/>
      <c r="F416" s="410"/>
      <c r="G416" s="410"/>
      <c r="H416" s="410"/>
      <c r="I416" s="411"/>
      <c r="J416" s="410" t="s">
        <v>318</v>
      </c>
      <c r="K416" s="245"/>
      <c r="L416" s="257"/>
      <c r="M416" s="604" t="s">
        <v>319</v>
      </c>
      <c r="N416" s="592"/>
      <c r="O416" s="179"/>
      <c r="P416" s="180"/>
      <c r="Q416" s="180">
        <v>109500000</v>
      </c>
      <c r="R416" s="181">
        <f t="shared" si="126"/>
        <v>27.772000750731713</v>
      </c>
      <c r="S416" s="181">
        <v>100</v>
      </c>
      <c r="T416" s="180">
        <f t="shared" si="127"/>
        <v>71.232876712328761</v>
      </c>
      <c r="U416" s="180">
        <f t="shared" si="120"/>
        <v>19.782795055315738</v>
      </c>
      <c r="V416" s="182">
        <f t="shared" si="105"/>
        <v>28.767123287671239</v>
      </c>
      <c r="W416" s="180"/>
      <c r="X416" s="180"/>
      <c r="Y416" s="180"/>
      <c r="Z416" s="180"/>
      <c r="AA416" s="180"/>
      <c r="AB416" s="180"/>
      <c r="AC416" s="180"/>
      <c r="AD416" s="180"/>
      <c r="AE416" s="180"/>
      <c r="AF416" s="180"/>
      <c r="AG416" s="180"/>
      <c r="AH416" s="180"/>
      <c r="AI416" s="180">
        <v>78000000</v>
      </c>
      <c r="AJ416" s="181">
        <f t="shared" si="124"/>
        <v>71.232876712328761</v>
      </c>
      <c r="AK416" s="180">
        <f t="shared" si="118"/>
        <v>31500000</v>
      </c>
      <c r="AL416" s="181">
        <f t="shared" si="125"/>
        <v>28.767123287671232</v>
      </c>
      <c r="AM416" s="243"/>
    </row>
    <row r="417" spans="1:39" ht="29.25" customHeight="1" x14ac:dyDescent="0.25">
      <c r="A417" s="243"/>
      <c r="B417" s="410"/>
      <c r="C417" s="410"/>
      <c r="D417" s="410"/>
      <c r="E417" s="410"/>
      <c r="F417" s="410"/>
      <c r="G417" s="410"/>
      <c r="H417" s="410"/>
      <c r="I417" s="411"/>
      <c r="J417" s="410" t="s">
        <v>284</v>
      </c>
      <c r="K417" s="245"/>
      <c r="L417" s="257"/>
      <c r="M417" s="604" t="s">
        <v>285</v>
      </c>
      <c r="N417" s="592"/>
      <c r="O417" s="179"/>
      <c r="P417" s="180"/>
      <c r="Q417" s="180">
        <v>25000000</v>
      </c>
      <c r="R417" s="181">
        <f t="shared" si="126"/>
        <v>6.3406394408063269</v>
      </c>
      <c r="S417" s="181">
        <v>100</v>
      </c>
      <c r="T417" s="180">
        <f t="shared" si="127"/>
        <v>24.560000000000002</v>
      </c>
      <c r="U417" s="180">
        <f t="shared" si="120"/>
        <v>1.557261046662034</v>
      </c>
      <c r="V417" s="182">
        <f t="shared" si="105"/>
        <v>75.44</v>
      </c>
      <c r="W417" s="180"/>
      <c r="X417" s="180"/>
      <c r="Y417" s="180"/>
      <c r="Z417" s="180"/>
      <c r="AA417" s="180"/>
      <c r="AB417" s="180"/>
      <c r="AC417" s="180"/>
      <c r="AD417" s="180"/>
      <c r="AE417" s="180"/>
      <c r="AF417" s="180"/>
      <c r="AG417" s="180"/>
      <c r="AH417" s="180"/>
      <c r="AI417" s="180">
        <f>4180000+1960000</f>
        <v>6140000</v>
      </c>
      <c r="AJ417" s="181">
        <f t="shared" si="124"/>
        <v>24.560000000000002</v>
      </c>
      <c r="AK417" s="180">
        <f t="shared" si="118"/>
        <v>18860000</v>
      </c>
      <c r="AL417" s="181">
        <f t="shared" si="125"/>
        <v>75.44</v>
      </c>
      <c r="AM417" s="243"/>
    </row>
    <row r="418" spans="1:39" ht="29.25" customHeight="1" x14ac:dyDescent="0.25">
      <c r="A418" s="243"/>
      <c r="B418" s="410"/>
      <c r="C418" s="410"/>
      <c r="D418" s="410"/>
      <c r="E418" s="410"/>
      <c r="F418" s="410"/>
      <c r="G418" s="410"/>
      <c r="H418" s="410"/>
      <c r="I418" s="411"/>
      <c r="J418" s="410" t="s">
        <v>282</v>
      </c>
      <c r="K418" s="245"/>
      <c r="L418" s="257"/>
      <c r="M418" s="604" t="s">
        <v>283</v>
      </c>
      <c r="N418" s="592"/>
      <c r="O418" s="179"/>
      <c r="P418" s="180"/>
      <c r="Q418" s="180">
        <v>74100000</v>
      </c>
      <c r="R418" s="181">
        <f t="shared" si="126"/>
        <v>18.793655302549954</v>
      </c>
      <c r="S418" s="181">
        <v>100</v>
      </c>
      <c r="T418" s="180">
        <f t="shared" si="127"/>
        <v>65.840960863697703</v>
      </c>
      <c r="U418" s="180">
        <f t="shared" si="120"/>
        <v>12.373923232610164</v>
      </c>
      <c r="V418" s="182">
        <f t="shared" si="105"/>
        <v>34.159039136302297</v>
      </c>
      <c r="W418" s="180"/>
      <c r="X418" s="180"/>
      <c r="Y418" s="180"/>
      <c r="Z418" s="180"/>
      <c r="AA418" s="180"/>
      <c r="AB418" s="180"/>
      <c r="AC418" s="180"/>
      <c r="AD418" s="180"/>
      <c r="AE418" s="180"/>
      <c r="AF418" s="180"/>
      <c r="AG418" s="180"/>
      <c r="AH418" s="180"/>
      <c r="AI418" s="180">
        <f>14996000+33792152</f>
        <v>48788152</v>
      </c>
      <c r="AJ418" s="181">
        <f t="shared" si="124"/>
        <v>65.840960863697703</v>
      </c>
      <c r="AK418" s="180">
        <f t="shared" si="118"/>
        <v>25311848</v>
      </c>
      <c r="AL418" s="181">
        <f t="shared" si="125"/>
        <v>34.159039136302297</v>
      </c>
      <c r="AM418" s="243"/>
    </row>
    <row r="419" spans="1:39" ht="29.25" customHeight="1" x14ac:dyDescent="0.25">
      <c r="A419" s="243"/>
      <c r="B419" s="410"/>
      <c r="C419" s="410"/>
      <c r="D419" s="410"/>
      <c r="E419" s="410"/>
      <c r="F419" s="410"/>
      <c r="G419" s="410"/>
      <c r="H419" s="410"/>
      <c r="I419" s="411"/>
      <c r="J419" s="410" t="s">
        <v>320</v>
      </c>
      <c r="K419" s="245"/>
      <c r="L419" s="257"/>
      <c r="M419" s="604" t="s">
        <v>321</v>
      </c>
      <c r="N419" s="592"/>
      <c r="O419" s="179"/>
      <c r="P419" s="180"/>
      <c r="Q419" s="180">
        <v>26600000</v>
      </c>
      <c r="R419" s="181">
        <f t="shared" si="126"/>
        <v>6.7464403650179321</v>
      </c>
      <c r="S419" s="181">
        <v>100</v>
      </c>
      <c r="T419" s="180">
        <f t="shared" si="127"/>
        <v>26.691729323308273</v>
      </c>
      <c r="U419" s="180">
        <f t="shared" si="120"/>
        <v>1.800741601188997</v>
      </c>
      <c r="V419" s="182">
        <f t="shared" si="105"/>
        <v>73.308270676691734</v>
      </c>
      <c r="W419" s="180"/>
      <c r="X419" s="180"/>
      <c r="Y419" s="180"/>
      <c r="Z419" s="180"/>
      <c r="AA419" s="180"/>
      <c r="AB419" s="180"/>
      <c r="AC419" s="180"/>
      <c r="AD419" s="180"/>
      <c r="AE419" s="180"/>
      <c r="AF419" s="180"/>
      <c r="AG419" s="180"/>
      <c r="AH419" s="180"/>
      <c r="AI419" s="180">
        <v>7100000</v>
      </c>
      <c r="AJ419" s="181">
        <f t="shared" si="124"/>
        <v>26.691729323308273</v>
      </c>
      <c r="AK419" s="180">
        <f t="shared" si="118"/>
        <v>19500000</v>
      </c>
      <c r="AL419" s="181">
        <f t="shared" si="125"/>
        <v>73.308270676691734</v>
      </c>
      <c r="AM419" s="243"/>
    </row>
    <row r="420" spans="1:39" ht="29.25" customHeight="1" x14ac:dyDescent="0.25">
      <c r="A420" s="243"/>
      <c r="B420" s="410"/>
      <c r="C420" s="410"/>
      <c r="D420" s="410"/>
      <c r="E420" s="410"/>
      <c r="F420" s="410"/>
      <c r="G420" s="410"/>
      <c r="H420" s="410"/>
      <c r="I420" s="411"/>
      <c r="J420" s="410" t="s">
        <v>309</v>
      </c>
      <c r="K420" s="245"/>
      <c r="L420" s="257"/>
      <c r="M420" s="604" t="s">
        <v>611</v>
      </c>
      <c r="N420" s="592"/>
      <c r="O420" s="179"/>
      <c r="P420" s="180"/>
      <c r="Q420" s="180">
        <v>12900000</v>
      </c>
      <c r="R420" s="181">
        <f t="shared" si="126"/>
        <v>3.2717699514560645</v>
      </c>
      <c r="S420" s="181">
        <v>100</v>
      </c>
      <c r="T420" s="180">
        <f t="shared" si="127"/>
        <v>34.496124031007753</v>
      </c>
      <c r="U420" s="180">
        <f t="shared" si="120"/>
        <v>1.1286338204635262</v>
      </c>
      <c r="V420" s="182">
        <f t="shared" si="105"/>
        <v>65.503875968992247</v>
      </c>
      <c r="W420" s="180"/>
      <c r="X420" s="180"/>
      <c r="Y420" s="180"/>
      <c r="Z420" s="180"/>
      <c r="AA420" s="180"/>
      <c r="AB420" s="180"/>
      <c r="AC420" s="180"/>
      <c r="AD420" s="180"/>
      <c r="AE420" s="180"/>
      <c r="AF420" s="180"/>
      <c r="AG420" s="180"/>
      <c r="AH420" s="180"/>
      <c r="AI420" s="180">
        <v>4450000</v>
      </c>
      <c r="AJ420" s="181">
        <f t="shared" si="124"/>
        <v>34.496124031007753</v>
      </c>
      <c r="AK420" s="180">
        <f t="shared" si="118"/>
        <v>8450000</v>
      </c>
      <c r="AL420" s="181">
        <f t="shared" si="125"/>
        <v>65.503875968992247</v>
      </c>
      <c r="AM420" s="243"/>
    </row>
    <row r="421" spans="1:39" ht="29.25" customHeight="1" x14ac:dyDescent="0.25">
      <c r="A421" s="243"/>
      <c r="B421" s="410"/>
      <c r="C421" s="410"/>
      <c r="D421" s="410"/>
      <c r="E421" s="410"/>
      <c r="F421" s="410"/>
      <c r="G421" s="410"/>
      <c r="H421" s="410"/>
      <c r="I421" s="411"/>
      <c r="J421" s="410" t="s">
        <v>551</v>
      </c>
      <c r="K421" s="245"/>
      <c r="L421" s="257"/>
      <c r="M421" s="604" t="s">
        <v>550</v>
      </c>
      <c r="N421" s="592"/>
      <c r="O421" s="179"/>
      <c r="P421" s="180"/>
      <c r="Q421" s="180">
        <v>9600000</v>
      </c>
      <c r="R421" s="181">
        <f t="shared" si="126"/>
        <v>2.4348055452696293</v>
      </c>
      <c r="S421" s="181"/>
      <c r="T421" s="180">
        <f t="shared" si="127"/>
        <v>33.333333333333329</v>
      </c>
      <c r="U421" s="180">
        <f t="shared" si="120"/>
        <v>0.8116018484232097</v>
      </c>
      <c r="V421" s="182"/>
      <c r="W421" s="180"/>
      <c r="X421" s="180"/>
      <c r="Y421" s="180"/>
      <c r="Z421" s="180"/>
      <c r="AA421" s="180"/>
      <c r="AB421" s="180"/>
      <c r="AC421" s="180"/>
      <c r="AD421" s="180"/>
      <c r="AE421" s="180"/>
      <c r="AF421" s="180"/>
      <c r="AG421" s="180"/>
      <c r="AH421" s="180"/>
      <c r="AI421" s="180">
        <f>1600000+800000+800000</f>
        <v>3200000</v>
      </c>
      <c r="AJ421" s="181">
        <f t="shared" si="124"/>
        <v>33.333333333333329</v>
      </c>
      <c r="AK421" s="180">
        <f t="shared" si="118"/>
        <v>6400000</v>
      </c>
      <c r="AL421" s="181">
        <f t="shared" si="125"/>
        <v>66.666666666666657</v>
      </c>
      <c r="AM421" s="243"/>
    </row>
    <row r="422" spans="1:39" ht="29.25" customHeight="1" x14ac:dyDescent="0.25">
      <c r="A422" s="227">
        <v>53</v>
      </c>
      <c r="B422" s="410"/>
      <c r="C422" s="410"/>
      <c r="D422" s="410"/>
      <c r="E422" s="410"/>
      <c r="F422" s="410"/>
      <c r="G422" s="410"/>
      <c r="H422" s="410"/>
      <c r="I422" s="411"/>
      <c r="J422" s="304" t="s">
        <v>499</v>
      </c>
      <c r="K422" s="230"/>
      <c r="L422" s="294"/>
      <c r="M422" s="613" t="s">
        <v>500</v>
      </c>
      <c r="N422" s="613"/>
      <c r="O422" s="309">
        <v>252956000</v>
      </c>
      <c r="P422" s="231">
        <f>O422</f>
        <v>252956000</v>
      </c>
      <c r="Q422" s="231">
        <f>SUM(Q423:Q424)</f>
        <v>418500000</v>
      </c>
      <c r="R422" s="233">
        <f>Q422/Q$248*100</f>
        <v>3.5085969787315476</v>
      </c>
      <c r="S422" s="233">
        <v>100</v>
      </c>
      <c r="T422" s="231">
        <f t="shared" si="127"/>
        <v>35.121350059737154</v>
      </c>
      <c r="U422" s="231">
        <f t="shared" si="120"/>
        <v>1.2322666270856684</v>
      </c>
      <c r="V422" s="296">
        <f t="shared" ref="V422:V424" si="128">S422-T422</f>
        <v>64.878649940262846</v>
      </c>
      <c r="W422" s="231"/>
      <c r="X422" s="231" t="e">
        <f>#REF!</f>
        <v>#REF!</v>
      </c>
      <c r="Y422" s="231" t="e">
        <f>#REF!</f>
        <v>#REF!</v>
      </c>
      <c r="Z422" s="231" t="e">
        <f>#REF!</f>
        <v>#REF!</v>
      </c>
      <c r="AA422" s="231" t="e">
        <f>#REF!</f>
        <v>#REF!</v>
      </c>
      <c r="AB422" s="231">
        <v>58582925</v>
      </c>
      <c r="AC422" s="231" t="e">
        <f>#REF!</f>
        <v>#REF!</v>
      </c>
      <c r="AD422" s="231" t="e">
        <f>#REF!</f>
        <v>#REF!</v>
      </c>
      <c r="AE422" s="231" t="e">
        <f>#REF!</f>
        <v>#REF!</v>
      </c>
      <c r="AF422" s="231" t="e">
        <f>[1]April!N86</f>
        <v>#REF!</v>
      </c>
      <c r="AG422" s="231" t="e">
        <f>[2]april!N86</f>
        <v>#REF!</v>
      </c>
      <c r="AH422" s="231">
        <f>'[3]DES SKPD'!$N86</f>
        <v>126710000</v>
      </c>
      <c r="AI422" s="231">
        <f>SUM(AI423:AI424)</f>
        <v>146982850</v>
      </c>
      <c r="AJ422" s="233">
        <f t="shared" si="124"/>
        <v>35.121350059737154</v>
      </c>
      <c r="AK422" s="231">
        <f t="shared" si="118"/>
        <v>271517150</v>
      </c>
      <c r="AL422" s="233">
        <f t="shared" si="125"/>
        <v>64.878649940262846</v>
      </c>
      <c r="AM422" s="243"/>
    </row>
    <row r="423" spans="1:39" ht="29.25" customHeight="1" x14ac:dyDescent="0.25">
      <c r="A423" s="243"/>
      <c r="B423" s="410"/>
      <c r="C423" s="410"/>
      <c r="D423" s="410"/>
      <c r="E423" s="410"/>
      <c r="F423" s="410"/>
      <c r="G423" s="410"/>
      <c r="H423" s="410"/>
      <c r="I423" s="411"/>
      <c r="J423" s="410" t="s">
        <v>537</v>
      </c>
      <c r="K423" s="245"/>
      <c r="L423" s="257"/>
      <c r="M423" s="604" t="s">
        <v>605</v>
      </c>
      <c r="N423" s="592"/>
      <c r="O423" s="179"/>
      <c r="P423" s="180"/>
      <c r="Q423" s="180">
        <v>38500000</v>
      </c>
      <c r="R423" s="181">
        <f t="shared" ref="R423:R424" si="129">Q423/Q$422*100</f>
        <v>9.1995221027479097</v>
      </c>
      <c r="S423" s="181">
        <v>100</v>
      </c>
      <c r="T423" s="180">
        <f t="shared" si="127"/>
        <v>22.493506493506494</v>
      </c>
      <c r="U423" s="180">
        <f t="shared" si="120"/>
        <v>2.0692951015531662</v>
      </c>
      <c r="V423" s="182">
        <f t="shared" si="128"/>
        <v>77.506493506493513</v>
      </c>
      <c r="W423" s="180"/>
      <c r="X423" s="180"/>
      <c r="Y423" s="180"/>
      <c r="Z423" s="180"/>
      <c r="AA423" s="180"/>
      <c r="AB423" s="180"/>
      <c r="AC423" s="180"/>
      <c r="AD423" s="180"/>
      <c r="AE423" s="180"/>
      <c r="AF423" s="180"/>
      <c r="AG423" s="180"/>
      <c r="AH423" s="180"/>
      <c r="AI423" s="180">
        <f>8000000+660000</f>
        <v>8660000</v>
      </c>
      <c r="AJ423" s="181">
        <f t="shared" si="124"/>
        <v>22.493506493506494</v>
      </c>
      <c r="AK423" s="180">
        <f t="shared" si="118"/>
        <v>29840000</v>
      </c>
      <c r="AL423" s="181">
        <f t="shared" si="125"/>
        <v>77.506493506493499</v>
      </c>
      <c r="AM423" s="243"/>
    </row>
    <row r="424" spans="1:39" ht="29.25" customHeight="1" x14ac:dyDescent="0.25">
      <c r="A424" s="243"/>
      <c r="B424" s="410"/>
      <c r="C424" s="410"/>
      <c r="D424" s="410"/>
      <c r="E424" s="410"/>
      <c r="F424" s="410"/>
      <c r="G424" s="410"/>
      <c r="H424" s="410"/>
      <c r="I424" s="411"/>
      <c r="J424" s="410" t="s">
        <v>415</v>
      </c>
      <c r="K424" s="245"/>
      <c r="L424" s="257"/>
      <c r="M424" s="604" t="s">
        <v>303</v>
      </c>
      <c r="N424" s="592"/>
      <c r="O424" s="179"/>
      <c r="P424" s="180"/>
      <c r="Q424" s="180">
        <v>380000000</v>
      </c>
      <c r="R424" s="181">
        <f t="shared" si="129"/>
        <v>90.80047789725208</v>
      </c>
      <c r="S424" s="181">
        <v>100</v>
      </c>
      <c r="T424" s="180">
        <f t="shared" si="127"/>
        <v>36.400749999999995</v>
      </c>
      <c r="U424" s="180">
        <f t="shared" si="120"/>
        <v>33.05205495818398</v>
      </c>
      <c r="V424" s="182">
        <f t="shared" si="128"/>
        <v>63.599250000000005</v>
      </c>
      <c r="W424" s="180"/>
      <c r="X424" s="180"/>
      <c r="Y424" s="180"/>
      <c r="Z424" s="180"/>
      <c r="AA424" s="180"/>
      <c r="AB424" s="180"/>
      <c r="AC424" s="180"/>
      <c r="AD424" s="180"/>
      <c r="AE424" s="180"/>
      <c r="AF424" s="180"/>
      <c r="AG424" s="180"/>
      <c r="AH424" s="180"/>
      <c r="AI424" s="180">
        <v>138322850</v>
      </c>
      <c r="AJ424" s="181">
        <f t="shared" si="124"/>
        <v>36.400749999999995</v>
      </c>
      <c r="AK424" s="180">
        <f t="shared" si="118"/>
        <v>241677150</v>
      </c>
      <c r="AL424" s="181">
        <f t="shared" si="125"/>
        <v>63.599249999999998</v>
      </c>
      <c r="AM424" s="243"/>
    </row>
    <row r="425" spans="1:39" s="297" customFormat="1" ht="29.25" customHeight="1" x14ac:dyDescent="0.25">
      <c r="A425" s="227">
        <f>SUM(A422+1)</f>
        <v>54</v>
      </c>
      <c r="B425" s="615" t="s">
        <v>153</v>
      </c>
      <c r="C425" s="615"/>
      <c r="D425" s="615"/>
      <c r="E425" s="615"/>
      <c r="F425" s="615"/>
      <c r="G425" s="615"/>
      <c r="H425" s="615"/>
      <c r="I425" s="614"/>
      <c r="J425" s="304" t="s">
        <v>504</v>
      </c>
      <c r="K425" s="230"/>
      <c r="L425" s="294"/>
      <c r="M425" s="610" t="s">
        <v>53</v>
      </c>
      <c r="N425" s="610"/>
      <c r="O425" s="309">
        <v>420443450</v>
      </c>
      <c r="P425" s="231">
        <f>O425</f>
        <v>420443450</v>
      </c>
      <c r="Q425" s="231">
        <f>SUM(Q426:Q435)</f>
        <v>179508000</v>
      </c>
      <c r="R425" s="233">
        <f>Q425/Q$248*100</f>
        <v>1.5049491671640207</v>
      </c>
      <c r="S425" s="233">
        <v>100</v>
      </c>
      <c r="T425" s="231">
        <f t="shared" si="127"/>
        <v>0</v>
      </c>
      <c r="U425" s="231">
        <f t="shared" si="120"/>
        <v>0</v>
      </c>
      <c r="V425" s="296">
        <f t="shared" si="105"/>
        <v>100</v>
      </c>
      <c r="W425" s="231"/>
      <c r="X425" s="231" t="e">
        <f>#REF!</f>
        <v>#REF!</v>
      </c>
      <c r="Y425" s="231" t="e">
        <f>#REF!</f>
        <v>#REF!</v>
      </c>
      <c r="Z425" s="231" t="e">
        <f>#REF!</f>
        <v>#REF!</v>
      </c>
      <c r="AA425" s="231" t="e">
        <f>#REF!</f>
        <v>#REF!</v>
      </c>
      <c r="AB425" s="231">
        <v>55843500</v>
      </c>
      <c r="AC425" s="231" t="e">
        <f>#REF!</f>
        <v>#REF!</v>
      </c>
      <c r="AD425" s="231" t="e">
        <f>#REF!</f>
        <v>#REF!</v>
      </c>
      <c r="AE425" s="231" t="e">
        <f>#REF!</f>
        <v>#REF!</v>
      </c>
      <c r="AF425" s="231" t="e">
        <f>[1]April!N73</f>
        <v>#REF!</v>
      </c>
      <c r="AG425" s="231" t="e">
        <f>[2]april!N73</f>
        <v>#REF!</v>
      </c>
      <c r="AH425" s="231">
        <f>'[3]DES SKPD'!$N73</f>
        <v>192051900</v>
      </c>
      <c r="AI425" s="231">
        <f>SUM(AI426:AI435)</f>
        <v>0</v>
      </c>
      <c r="AJ425" s="233">
        <f t="shared" si="124"/>
        <v>0</v>
      </c>
      <c r="AK425" s="231">
        <f t="shared" ref="AK425:AK489" si="130">Q425-AI425</f>
        <v>179508000</v>
      </c>
      <c r="AL425" s="233">
        <f t="shared" si="125"/>
        <v>100</v>
      </c>
      <c r="AM425" s="227"/>
    </row>
    <row r="426" spans="1:39" ht="24.75" customHeight="1" x14ac:dyDescent="0.25">
      <c r="A426" s="243"/>
      <c r="B426" s="410"/>
      <c r="C426" s="410"/>
      <c r="D426" s="410"/>
      <c r="E426" s="410"/>
      <c r="F426" s="410"/>
      <c r="G426" s="410"/>
      <c r="H426" s="410"/>
      <c r="I426" s="411"/>
      <c r="J426" s="410" t="s">
        <v>273</v>
      </c>
      <c r="K426" s="245"/>
      <c r="L426" s="257"/>
      <c r="M426" s="591" t="s">
        <v>322</v>
      </c>
      <c r="N426" s="592"/>
      <c r="O426" s="179"/>
      <c r="P426" s="180"/>
      <c r="Q426" s="180">
        <v>20400000</v>
      </c>
      <c r="R426" s="181">
        <f t="shared" ref="R426:R435" si="131">Q426/Q$425*100</f>
        <v>11.364396015776455</v>
      </c>
      <c r="S426" s="181">
        <v>100</v>
      </c>
      <c r="T426" s="180">
        <f t="shared" si="127"/>
        <v>0</v>
      </c>
      <c r="U426" s="180">
        <f t="shared" si="120"/>
        <v>0</v>
      </c>
      <c r="V426" s="182">
        <f t="shared" si="105"/>
        <v>100</v>
      </c>
      <c r="W426" s="180"/>
      <c r="X426" s="180"/>
      <c r="Y426" s="180"/>
      <c r="Z426" s="180"/>
      <c r="AA426" s="180"/>
      <c r="AB426" s="180"/>
      <c r="AC426" s="180"/>
      <c r="AD426" s="180"/>
      <c r="AE426" s="180"/>
      <c r="AF426" s="180"/>
      <c r="AG426" s="180"/>
      <c r="AH426" s="180"/>
      <c r="AI426" s="180">
        <v>0</v>
      </c>
      <c r="AJ426" s="181">
        <f t="shared" si="124"/>
        <v>0</v>
      </c>
      <c r="AK426" s="180">
        <f t="shared" si="130"/>
        <v>20400000</v>
      </c>
      <c r="AL426" s="181">
        <f t="shared" si="125"/>
        <v>100</v>
      </c>
      <c r="AM426" s="243"/>
    </row>
    <row r="427" spans="1:39" ht="24.75" customHeight="1" x14ac:dyDescent="0.25">
      <c r="A427" s="243"/>
      <c r="B427" s="410"/>
      <c r="C427" s="410"/>
      <c r="D427" s="410"/>
      <c r="E427" s="410"/>
      <c r="F427" s="410"/>
      <c r="G427" s="410"/>
      <c r="H427" s="410"/>
      <c r="I427" s="411"/>
      <c r="J427" s="410" t="s">
        <v>323</v>
      </c>
      <c r="K427" s="245"/>
      <c r="L427" s="257"/>
      <c r="M427" s="591" t="s">
        <v>324</v>
      </c>
      <c r="N427" s="592"/>
      <c r="O427" s="179"/>
      <c r="P427" s="180"/>
      <c r="Q427" s="180">
        <v>8408000</v>
      </c>
      <c r="R427" s="181">
        <f t="shared" si="131"/>
        <v>4.6839138088553156</v>
      </c>
      <c r="S427" s="181">
        <v>100</v>
      </c>
      <c r="T427" s="180">
        <f t="shared" si="127"/>
        <v>0</v>
      </c>
      <c r="U427" s="180">
        <f t="shared" si="120"/>
        <v>0</v>
      </c>
      <c r="V427" s="182">
        <f t="shared" si="105"/>
        <v>100</v>
      </c>
      <c r="W427" s="180"/>
      <c r="X427" s="180"/>
      <c r="Y427" s="180"/>
      <c r="Z427" s="180"/>
      <c r="AA427" s="180"/>
      <c r="AB427" s="180"/>
      <c r="AC427" s="180"/>
      <c r="AD427" s="180"/>
      <c r="AE427" s="180"/>
      <c r="AF427" s="180"/>
      <c r="AG427" s="180"/>
      <c r="AH427" s="180"/>
      <c r="AI427" s="180">
        <v>0</v>
      </c>
      <c r="AJ427" s="181">
        <f t="shared" si="124"/>
        <v>0</v>
      </c>
      <c r="AK427" s="180">
        <f t="shared" si="130"/>
        <v>8408000</v>
      </c>
      <c r="AL427" s="181">
        <f t="shared" si="125"/>
        <v>100</v>
      </c>
      <c r="AM427" s="243"/>
    </row>
    <row r="428" spans="1:39" ht="24.75" customHeight="1" x14ac:dyDescent="0.25">
      <c r="A428" s="243"/>
      <c r="B428" s="410"/>
      <c r="C428" s="410"/>
      <c r="D428" s="410"/>
      <c r="E428" s="410"/>
      <c r="F428" s="410"/>
      <c r="G428" s="410"/>
      <c r="H428" s="410"/>
      <c r="I428" s="411"/>
      <c r="J428" s="410" t="s">
        <v>417</v>
      </c>
      <c r="K428" s="245"/>
      <c r="L428" s="257"/>
      <c r="M428" s="591" t="s">
        <v>408</v>
      </c>
      <c r="N428" s="592"/>
      <c r="O428" s="179"/>
      <c r="P428" s="180"/>
      <c r="Q428" s="180">
        <v>3000000</v>
      </c>
      <c r="R428" s="181">
        <f t="shared" si="131"/>
        <v>1.6712347082024199</v>
      </c>
      <c r="S428" s="181">
        <v>101</v>
      </c>
      <c r="T428" s="180">
        <f t="shared" si="127"/>
        <v>0</v>
      </c>
      <c r="U428" s="180">
        <f t="shared" si="120"/>
        <v>0</v>
      </c>
      <c r="V428" s="182">
        <f t="shared" si="105"/>
        <v>101</v>
      </c>
      <c r="W428" s="180"/>
      <c r="X428" s="180"/>
      <c r="Y428" s="180"/>
      <c r="Z428" s="180"/>
      <c r="AA428" s="180"/>
      <c r="AB428" s="180"/>
      <c r="AC428" s="180"/>
      <c r="AD428" s="180"/>
      <c r="AE428" s="180"/>
      <c r="AF428" s="180"/>
      <c r="AG428" s="180"/>
      <c r="AH428" s="180"/>
      <c r="AI428" s="180">
        <v>0</v>
      </c>
      <c r="AJ428" s="181">
        <f t="shared" si="124"/>
        <v>0</v>
      </c>
      <c r="AK428" s="180">
        <f t="shared" si="130"/>
        <v>3000000</v>
      </c>
      <c r="AL428" s="181">
        <f t="shared" si="125"/>
        <v>100</v>
      </c>
      <c r="AM428" s="243"/>
    </row>
    <row r="429" spans="1:39" ht="24.75" customHeight="1" x14ac:dyDescent="0.25">
      <c r="A429" s="243"/>
      <c r="B429" s="410"/>
      <c r="C429" s="410"/>
      <c r="D429" s="410"/>
      <c r="E429" s="410"/>
      <c r="F429" s="410"/>
      <c r="G429" s="410"/>
      <c r="H429" s="410"/>
      <c r="I429" s="411"/>
      <c r="J429" s="410" t="s">
        <v>315</v>
      </c>
      <c r="K429" s="245"/>
      <c r="L429" s="257"/>
      <c r="M429" s="591" t="s">
        <v>271</v>
      </c>
      <c r="N429" s="592"/>
      <c r="O429" s="179"/>
      <c r="P429" s="180"/>
      <c r="Q429" s="180">
        <v>4000000</v>
      </c>
      <c r="R429" s="181">
        <f t="shared" si="131"/>
        <v>2.2283129442698932</v>
      </c>
      <c r="S429" s="181">
        <v>100</v>
      </c>
      <c r="T429" s="180">
        <f t="shared" si="127"/>
        <v>0</v>
      </c>
      <c r="U429" s="180">
        <f t="shared" si="120"/>
        <v>0</v>
      </c>
      <c r="V429" s="182">
        <f t="shared" si="105"/>
        <v>100</v>
      </c>
      <c r="W429" s="180"/>
      <c r="X429" s="180"/>
      <c r="Y429" s="180"/>
      <c r="Z429" s="180"/>
      <c r="AA429" s="180"/>
      <c r="AB429" s="180"/>
      <c r="AC429" s="180"/>
      <c r="AD429" s="180"/>
      <c r="AE429" s="180"/>
      <c r="AF429" s="180"/>
      <c r="AG429" s="180"/>
      <c r="AH429" s="180"/>
      <c r="AI429" s="180">
        <v>0</v>
      </c>
      <c r="AJ429" s="181">
        <f t="shared" si="124"/>
        <v>0</v>
      </c>
      <c r="AK429" s="180">
        <f t="shared" si="130"/>
        <v>4000000</v>
      </c>
      <c r="AL429" s="181">
        <f t="shared" si="125"/>
        <v>100</v>
      </c>
      <c r="AM429" s="243"/>
    </row>
    <row r="430" spans="1:39" ht="29.25" customHeight="1" x14ac:dyDescent="0.25">
      <c r="A430" s="243"/>
      <c r="B430" s="410"/>
      <c r="C430" s="410"/>
      <c r="D430" s="410"/>
      <c r="E430" s="410"/>
      <c r="F430" s="410"/>
      <c r="G430" s="410"/>
      <c r="H430" s="410"/>
      <c r="I430" s="411"/>
      <c r="J430" s="410" t="s">
        <v>328</v>
      </c>
      <c r="K430" s="245"/>
      <c r="L430" s="257"/>
      <c r="M430" s="591" t="s">
        <v>329</v>
      </c>
      <c r="N430" s="592"/>
      <c r="O430" s="179"/>
      <c r="P430" s="180"/>
      <c r="Q430" s="180">
        <v>26000000</v>
      </c>
      <c r="R430" s="181">
        <f t="shared" si="131"/>
        <v>14.484034137754307</v>
      </c>
      <c r="S430" s="181">
        <v>100</v>
      </c>
      <c r="T430" s="180">
        <f t="shared" si="127"/>
        <v>0</v>
      </c>
      <c r="U430" s="180">
        <f t="shared" ref="U430:U672" si="132">R430*T430/100</f>
        <v>0</v>
      </c>
      <c r="V430" s="182">
        <f t="shared" si="105"/>
        <v>100</v>
      </c>
      <c r="W430" s="180"/>
      <c r="X430" s="180"/>
      <c r="Y430" s="180"/>
      <c r="Z430" s="180"/>
      <c r="AA430" s="180"/>
      <c r="AB430" s="180"/>
      <c r="AC430" s="180"/>
      <c r="AD430" s="180"/>
      <c r="AE430" s="180"/>
      <c r="AF430" s="180"/>
      <c r="AG430" s="180"/>
      <c r="AH430" s="180"/>
      <c r="AI430" s="180">
        <v>0</v>
      </c>
      <c r="AJ430" s="181">
        <f t="shared" si="124"/>
        <v>0</v>
      </c>
      <c r="AK430" s="180">
        <f t="shared" si="130"/>
        <v>26000000</v>
      </c>
      <c r="AL430" s="181">
        <f t="shared" si="125"/>
        <v>100</v>
      </c>
      <c r="AM430" s="243"/>
    </row>
    <row r="431" spans="1:39" ht="24.75" customHeight="1" x14ac:dyDescent="0.25">
      <c r="A431" s="243"/>
      <c r="B431" s="410"/>
      <c r="C431" s="410"/>
      <c r="D431" s="410"/>
      <c r="E431" s="410"/>
      <c r="F431" s="410"/>
      <c r="G431" s="410"/>
      <c r="H431" s="410"/>
      <c r="I431" s="411"/>
      <c r="J431" s="410" t="s">
        <v>280</v>
      </c>
      <c r="K431" s="245"/>
      <c r="L431" s="257"/>
      <c r="M431" s="591" t="s">
        <v>281</v>
      </c>
      <c r="N431" s="592"/>
      <c r="O431" s="179"/>
      <c r="P431" s="180"/>
      <c r="Q431" s="180">
        <v>48500000</v>
      </c>
      <c r="R431" s="181">
        <f t="shared" si="131"/>
        <v>27.018294449272457</v>
      </c>
      <c r="S431" s="181">
        <v>100</v>
      </c>
      <c r="T431" s="180">
        <f t="shared" si="127"/>
        <v>0</v>
      </c>
      <c r="U431" s="180">
        <f t="shared" si="132"/>
        <v>0</v>
      </c>
      <c r="V431" s="182">
        <f t="shared" si="105"/>
        <v>100</v>
      </c>
      <c r="W431" s="180"/>
      <c r="X431" s="180"/>
      <c r="Y431" s="180"/>
      <c r="Z431" s="180"/>
      <c r="AA431" s="180"/>
      <c r="AB431" s="180"/>
      <c r="AC431" s="180"/>
      <c r="AD431" s="180"/>
      <c r="AE431" s="180"/>
      <c r="AF431" s="180"/>
      <c r="AG431" s="180"/>
      <c r="AH431" s="180"/>
      <c r="AI431" s="180">
        <v>0</v>
      </c>
      <c r="AJ431" s="181">
        <f t="shared" si="124"/>
        <v>0</v>
      </c>
      <c r="AK431" s="180">
        <f t="shared" si="130"/>
        <v>48500000</v>
      </c>
      <c r="AL431" s="181">
        <f t="shared" si="125"/>
        <v>100</v>
      </c>
      <c r="AM431" s="243"/>
    </row>
    <row r="432" spans="1:39" ht="24.75" customHeight="1" x14ac:dyDescent="0.25">
      <c r="A432" s="243"/>
      <c r="B432" s="410"/>
      <c r="C432" s="410"/>
      <c r="D432" s="410"/>
      <c r="E432" s="410"/>
      <c r="F432" s="410"/>
      <c r="G432" s="410"/>
      <c r="H432" s="410"/>
      <c r="I432" s="411"/>
      <c r="J432" s="410" t="s">
        <v>284</v>
      </c>
      <c r="K432" s="245"/>
      <c r="L432" s="257"/>
      <c r="M432" s="591" t="s">
        <v>285</v>
      </c>
      <c r="N432" s="592"/>
      <c r="O432" s="179"/>
      <c r="P432" s="180"/>
      <c r="Q432" s="180">
        <v>10000000</v>
      </c>
      <c r="R432" s="181">
        <f t="shared" si="131"/>
        <v>5.5707823606747331</v>
      </c>
      <c r="S432" s="181">
        <v>100</v>
      </c>
      <c r="T432" s="180">
        <f t="shared" si="127"/>
        <v>0</v>
      </c>
      <c r="U432" s="180">
        <f t="shared" si="132"/>
        <v>0</v>
      </c>
      <c r="V432" s="182">
        <f t="shared" si="105"/>
        <v>100</v>
      </c>
      <c r="W432" s="180"/>
      <c r="X432" s="180"/>
      <c r="Y432" s="180"/>
      <c r="Z432" s="180"/>
      <c r="AA432" s="180"/>
      <c r="AB432" s="180"/>
      <c r="AC432" s="180"/>
      <c r="AD432" s="180"/>
      <c r="AE432" s="180"/>
      <c r="AF432" s="180"/>
      <c r="AG432" s="180"/>
      <c r="AH432" s="180"/>
      <c r="AI432" s="180">
        <v>0</v>
      </c>
      <c r="AJ432" s="181">
        <f t="shared" si="124"/>
        <v>0</v>
      </c>
      <c r="AK432" s="180">
        <f t="shared" si="130"/>
        <v>10000000</v>
      </c>
      <c r="AL432" s="181">
        <f t="shared" si="125"/>
        <v>100</v>
      </c>
      <c r="AM432" s="243"/>
    </row>
    <row r="433" spans="1:39" ht="24.75" customHeight="1" x14ac:dyDescent="0.25">
      <c r="A433" s="243"/>
      <c r="B433" s="410"/>
      <c r="C433" s="410"/>
      <c r="D433" s="410"/>
      <c r="E433" s="410"/>
      <c r="F433" s="410"/>
      <c r="G433" s="410"/>
      <c r="H433" s="410"/>
      <c r="I433" s="411"/>
      <c r="J433" s="410" t="s">
        <v>282</v>
      </c>
      <c r="K433" s="245"/>
      <c r="L433" s="257"/>
      <c r="M433" s="591" t="s">
        <v>283</v>
      </c>
      <c r="N433" s="592"/>
      <c r="O433" s="179"/>
      <c r="P433" s="180"/>
      <c r="Q433" s="180">
        <v>10000000</v>
      </c>
      <c r="R433" s="181">
        <f t="shared" si="131"/>
        <v>5.5707823606747331</v>
      </c>
      <c r="S433" s="181">
        <v>100</v>
      </c>
      <c r="T433" s="180">
        <f t="shared" si="127"/>
        <v>0</v>
      </c>
      <c r="U433" s="180">
        <f t="shared" si="132"/>
        <v>0</v>
      </c>
      <c r="V433" s="182">
        <f t="shared" si="105"/>
        <v>100</v>
      </c>
      <c r="W433" s="180"/>
      <c r="X433" s="180"/>
      <c r="Y433" s="180"/>
      <c r="Z433" s="180"/>
      <c r="AA433" s="180"/>
      <c r="AB433" s="180"/>
      <c r="AC433" s="180"/>
      <c r="AD433" s="180"/>
      <c r="AE433" s="180"/>
      <c r="AF433" s="180"/>
      <c r="AG433" s="180"/>
      <c r="AH433" s="180"/>
      <c r="AI433" s="180">
        <v>0</v>
      </c>
      <c r="AJ433" s="181">
        <f t="shared" si="124"/>
        <v>0</v>
      </c>
      <c r="AK433" s="180">
        <f t="shared" si="130"/>
        <v>10000000</v>
      </c>
      <c r="AL433" s="181">
        <f t="shared" si="125"/>
        <v>100</v>
      </c>
      <c r="AM433" s="243"/>
    </row>
    <row r="434" spans="1:39" ht="24.75" customHeight="1" x14ac:dyDescent="0.25">
      <c r="A434" s="243"/>
      <c r="B434" s="410"/>
      <c r="C434" s="410"/>
      <c r="D434" s="410"/>
      <c r="E434" s="410"/>
      <c r="F434" s="410"/>
      <c r="G434" s="410"/>
      <c r="H434" s="410"/>
      <c r="I434" s="411"/>
      <c r="J434" s="410" t="s">
        <v>309</v>
      </c>
      <c r="K434" s="245"/>
      <c r="L434" s="257"/>
      <c r="M434" s="591" t="s">
        <v>321</v>
      </c>
      <c r="N434" s="592"/>
      <c r="O434" s="179"/>
      <c r="P434" s="180"/>
      <c r="Q434" s="180">
        <v>39600000</v>
      </c>
      <c r="R434" s="181">
        <f t="shared" si="131"/>
        <v>22.060298148271944</v>
      </c>
      <c r="S434" s="181">
        <v>100</v>
      </c>
      <c r="T434" s="180">
        <f t="shared" si="127"/>
        <v>0</v>
      </c>
      <c r="U434" s="180">
        <f t="shared" si="132"/>
        <v>0</v>
      </c>
      <c r="V434" s="182">
        <f t="shared" si="105"/>
        <v>100</v>
      </c>
      <c r="W434" s="180"/>
      <c r="X434" s="180"/>
      <c r="Y434" s="180"/>
      <c r="Z434" s="180"/>
      <c r="AA434" s="180"/>
      <c r="AB434" s="180"/>
      <c r="AC434" s="180"/>
      <c r="AD434" s="180"/>
      <c r="AE434" s="180"/>
      <c r="AF434" s="180"/>
      <c r="AG434" s="180"/>
      <c r="AH434" s="180"/>
      <c r="AI434" s="180">
        <v>0</v>
      </c>
      <c r="AJ434" s="181">
        <f t="shared" si="124"/>
        <v>0</v>
      </c>
      <c r="AK434" s="180">
        <f t="shared" si="130"/>
        <v>39600000</v>
      </c>
      <c r="AL434" s="181">
        <f t="shared" si="125"/>
        <v>100</v>
      </c>
      <c r="AM434" s="243"/>
    </row>
    <row r="435" spans="1:39" ht="24.75" customHeight="1" x14ac:dyDescent="0.25">
      <c r="A435" s="243"/>
      <c r="B435" s="410"/>
      <c r="C435" s="410"/>
      <c r="D435" s="410"/>
      <c r="E435" s="410"/>
      <c r="F435" s="410"/>
      <c r="G435" s="410"/>
      <c r="H435" s="410"/>
      <c r="I435" s="411"/>
      <c r="J435" s="410" t="s">
        <v>407</v>
      </c>
      <c r="K435" s="245"/>
      <c r="L435" s="257"/>
      <c r="M435" s="591" t="s">
        <v>414</v>
      </c>
      <c r="N435" s="592"/>
      <c r="O435" s="179"/>
      <c r="P435" s="180"/>
      <c r="Q435" s="180">
        <v>9600000</v>
      </c>
      <c r="R435" s="181">
        <f t="shared" si="131"/>
        <v>5.3479510662477434</v>
      </c>
      <c r="S435" s="181"/>
      <c r="T435" s="180">
        <f t="shared" si="127"/>
        <v>0</v>
      </c>
      <c r="U435" s="180">
        <f t="shared" si="132"/>
        <v>0</v>
      </c>
      <c r="V435" s="182"/>
      <c r="W435" s="180"/>
      <c r="X435" s="180"/>
      <c r="Y435" s="180"/>
      <c r="Z435" s="180"/>
      <c r="AA435" s="180"/>
      <c r="AB435" s="180"/>
      <c r="AC435" s="180"/>
      <c r="AD435" s="180"/>
      <c r="AE435" s="180"/>
      <c r="AF435" s="180"/>
      <c r="AG435" s="180"/>
      <c r="AH435" s="180"/>
      <c r="AI435" s="180">
        <v>0</v>
      </c>
      <c r="AJ435" s="181">
        <f t="shared" si="124"/>
        <v>0</v>
      </c>
      <c r="AK435" s="180">
        <f t="shared" si="130"/>
        <v>9600000</v>
      </c>
      <c r="AL435" s="181">
        <f t="shared" si="125"/>
        <v>100</v>
      </c>
      <c r="AM435" s="243"/>
    </row>
    <row r="436" spans="1:39" s="297" customFormat="1" ht="24.75" customHeight="1" x14ac:dyDescent="0.25">
      <c r="A436" s="227">
        <f>A425+1</f>
        <v>55</v>
      </c>
      <c r="B436" s="615" t="s">
        <v>154</v>
      </c>
      <c r="C436" s="615"/>
      <c r="D436" s="615"/>
      <c r="E436" s="615"/>
      <c r="F436" s="615"/>
      <c r="G436" s="615"/>
      <c r="H436" s="615"/>
      <c r="I436" s="614"/>
      <c r="J436" s="304" t="s">
        <v>505</v>
      </c>
      <c r="K436" s="230"/>
      <c r="L436" s="294"/>
      <c r="M436" s="610" t="s">
        <v>54</v>
      </c>
      <c r="N436" s="610"/>
      <c r="O436" s="309">
        <v>255497500</v>
      </c>
      <c r="P436" s="231">
        <f>O436</f>
        <v>255497500</v>
      </c>
      <c r="Q436" s="231">
        <f>SUM(Q437:Q446)</f>
        <v>106437000</v>
      </c>
      <c r="R436" s="233">
        <f>Q436/Q$35*100</f>
        <v>0.33485230675987876</v>
      </c>
      <c r="S436" s="233">
        <v>100</v>
      </c>
      <c r="T436" s="231">
        <f t="shared" si="127"/>
        <v>14.848689835301634</v>
      </c>
      <c r="U436" s="231">
        <f t="shared" si="132"/>
        <v>4.9721180437127165E-2</v>
      </c>
      <c r="V436" s="296">
        <f t="shared" si="105"/>
        <v>85.151310164698373</v>
      </c>
      <c r="W436" s="231"/>
      <c r="X436" s="231" t="e">
        <f>#REF!</f>
        <v>#REF!</v>
      </c>
      <c r="Y436" s="231" t="e">
        <f>#REF!</f>
        <v>#REF!</v>
      </c>
      <c r="Z436" s="231" t="e">
        <f>#REF!</f>
        <v>#REF!</v>
      </c>
      <c r="AA436" s="231" t="e">
        <f>#REF!</f>
        <v>#REF!</v>
      </c>
      <c r="AB436" s="231">
        <v>62640000</v>
      </c>
      <c r="AC436" s="231" t="e">
        <f>#REF!</f>
        <v>#REF!</v>
      </c>
      <c r="AD436" s="231" t="e">
        <f>#REF!</f>
        <v>#REF!</v>
      </c>
      <c r="AE436" s="231" t="e">
        <f>#REF!</f>
        <v>#REF!</v>
      </c>
      <c r="AF436" s="231" t="e">
        <f>[1]April!N74</f>
        <v>#REF!</v>
      </c>
      <c r="AG436" s="231" t="e">
        <f>[2]april!N74</f>
        <v>#REF!</v>
      </c>
      <c r="AH436" s="231">
        <f>'[3]DES SKPD'!$N74</f>
        <v>327019800</v>
      </c>
      <c r="AI436" s="231">
        <f>SUM(AI437:AI446)</f>
        <v>15804500</v>
      </c>
      <c r="AJ436" s="233">
        <f t="shared" si="124"/>
        <v>14.848689835301634</v>
      </c>
      <c r="AK436" s="231">
        <f t="shared" si="130"/>
        <v>90632500</v>
      </c>
      <c r="AL436" s="233">
        <f t="shared" si="125"/>
        <v>85.151310164698373</v>
      </c>
      <c r="AM436" s="227"/>
    </row>
    <row r="437" spans="1:39" ht="24.75" customHeight="1" x14ac:dyDescent="0.25">
      <c r="A437" s="243"/>
      <c r="B437" s="410"/>
      <c r="C437" s="410"/>
      <c r="D437" s="410"/>
      <c r="E437" s="410"/>
      <c r="F437" s="410"/>
      <c r="G437" s="410"/>
      <c r="H437" s="410"/>
      <c r="I437" s="411"/>
      <c r="J437" s="410" t="s">
        <v>257</v>
      </c>
      <c r="K437" s="245"/>
      <c r="L437" s="257"/>
      <c r="M437" s="591" t="s">
        <v>324</v>
      </c>
      <c r="N437" s="592"/>
      <c r="O437" s="179"/>
      <c r="P437" s="180"/>
      <c r="Q437" s="180">
        <v>27357000</v>
      </c>
      <c r="R437" s="181">
        <f>Q437/Q$436*100</f>
        <v>25.702528256151524</v>
      </c>
      <c r="S437" s="181">
        <v>100</v>
      </c>
      <c r="T437" s="180">
        <f t="shared" si="127"/>
        <v>19.219943707277846</v>
      </c>
      <c r="U437" s="180">
        <f t="shared" si="132"/>
        <v>4.9400114621795055</v>
      </c>
      <c r="V437" s="182">
        <f t="shared" si="105"/>
        <v>80.780056292722151</v>
      </c>
      <c r="W437" s="180"/>
      <c r="X437" s="180"/>
      <c r="Y437" s="180"/>
      <c r="Z437" s="180"/>
      <c r="AA437" s="180"/>
      <c r="AB437" s="180"/>
      <c r="AC437" s="180"/>
      <c r="AD437" s="180"/>
      <c r="AE437" s="180"/>
      <c r="AF437" s="180"/>
      <c r="AG437" s="180"/>
      <c r="AH437" s="180"/>
      <c r="AI437" s="180">
        <v>5258000</v>
      </c>
      <c r="AJ437" s="181">
        <f t="shared" si="124"/>
        <v>19.219943707277846</v>
      </c>
      <c r="AK437" s="180">
        <f t="shared" si="130"/>
        <v>22099000</v>
      </c>
      <c r="AL437" s="181">
        <f t="shared" si="125"/>
        <v>80.780056292722151</v>
      </c>
      <c r="AM437" s="243"/>
    </row>
    <row r="438" spans="1:39" ht="24.75" customHeight="1" x14ac:dyDescent="0.25">
      <c r="A438" s="243"/>
      <c r="B438" s="410"/>
      <c r="C438" s="410"/>
      <c r="D438" s="410"/>
      <c r="E438" s="410"/>
      <c r="F438" s="410"/>
      <c r="G438" s="410"/>
      <c r="H438" s="410"/>
      <c r="I438" s="411"/>
      <c r="J438" s="410" t="s">
        <v>269</v>
      </c>
      <c r="K438" s="245"/>
      <c r="L438" s="257"/>
      <c r="M438" s="591" t="s">
        <v>270</v>
      </c>
      <c r="N438" s="592"/>
      <c r="O438" s="179"/>
      <c r="P438" s="180"/>
      <c r="Q438" s="180">
        <v>4500000</v>
      </c>
      <c r="R438" s="181">
        <f t="shared" ref="R438:R446" si="133">Q438/Q$436*100</f>
        <v>4.2278530961977507</v>
      </c>
      <c r="S438" s="181">
        <v>100</v>
      </c>
      <c r="T438" s="180">
        <f t="shared" si="127"/>
        <v>0</v>
      </c>
      <c r="U438" s="180">
        <f t="shared" si="132"/>
        <v>0</v>
      </c>
      <c r="V438" s="182">
        <f t="shared" si="105"/>
        <v>100</v>
      </c>
      <c r="W438" s="180"/>
      <c r="X438" s="180"/>
      <c r="Y438" s="180"/>
      <c r="Z438" s="180"/>
      <c r="AA438" s="180"/>
      <c r="AB438" s="180"/>
      <c r="AC438" s="180"/>
      <c r="AD438" s="180"/>
      <c r="AE438" s="180"/>
      <c r="AF438" s="180"/>
      <c r="AG438" s="180"/>
      <c r="AH438" s="180"/>
      <c r="AI438" s="180">
        <v>0</v>
      </c>
      <c r="AJ438" s="181">
        <f t="shared" si="124"/>
        <v>0</v>
      </c>
      <c r="AK438" s="180">
        <f t="shared" si="130"/>
        <v>4500000</v>
      </c>
      <c r="AL438" s="181">
        <f t="shared" si="125"/>
        <v>100</v>
      </c>
      <c r="AM438" s="243"/>
    </row>
    <row r="439" spans="1:39" ht="24.75" customHeight="1" x14ac:dyDescent="0.25">
      <c r="A439" s="243"/>
      <c r="B439" s="410"/>
      <c r="C439" s="410"/>
      <c r="D439" s="410"/>
      <c r="E439" s="410"/>
      <c r="F439" s="410"/>
      <c r="G439" s="410"/>
      <c r="H439" s="410"/>
      <c r="I439" s="411"/>
      <c r="J439" s="410" t="s">
        <v>315</v>
      </c>
      <c r="K439" s="245"/>
      <c r="L439" s="257"/>
      <c r="M439" s="591" t="s">
        <v>271</v>
      </c>
      <c r="N439" s="592"/>
      <c r="O439" s="179"/>
      <c r="P439" s="180"/>
      <c r="Q439" s="180">
        <v>1580000</v>
      </c>
      <c r="R439" s="181">
        <f t="shared" si="133"/>
        <v>1.4844461982205437</v>
      </c>
      <c r="S439" s="181">
        <v>100</v>
      </c>
      <c r="T439" s="180">
        <f t="shared" si="127"/>
        <v>0</v>
      </c>
      <c r="U439" s="180">
        <f t="shared" si="132"/>
        <v>0</v>
      </c>
      <c r="V439" s="182">
        <f t="shared" si="105"/>
        <v>100</v>
      </c>
      <c r="W439" s="180"/>
      <c r="X439" s="180"/>
      <c r="Y439" s="180"/>
      <c r="Z439" s="180"/>
      <c r="AA439" s="180"/>
      <c r="AB439" s="180"/>
      <c r="AC439" s="180"/>
      <c r="AD439" s="180"/>
      <c r="AE439" s="180"/>
      <c r="AF439" s="180"/>
      <c r="AG439" s="180"/>
      <c r="AH439" s="180"/>
      <c r="AI439" s="180">
        <v>0</v>
      </c>
      <c r="AJ439" s="181">
        <f t="shared" si="124"/>
        <v>0</v>
      </c>
      <c r="AK439" s="180">
        <f t="shared" si="130"/>
        <v>1580000</v>
      </c>
      <c r="AL439" s="181">
        <f t="shared" si="125"/>
        <v>100</v>
      </c>
      <c r="AM439" s="243"/>
    </row>
    <row r="440" spans="1:39" ht="24.75" customHeight="1" x14ac:dyDescent="0.25">
      <c r="A440" s="243"/>
      <c r="B440" s="410"/>
      <c r="C440" s="410"/>
      <c r="D440" s="410"/>
      <c r="E440" s="410"/>
      <c r="F440" s="410"/>
      <c r="G440" s="410"/>
      <c r="H440" s="410"/>
      <c r="I440" s="411"/>
      <c r="J440" s="410" t="s">
        <v>328</v>
      </c>
      <c r="K440" s="245"/>
      <c r="L440" s="257"/>
      <c r="M440" s="591" t="s">
        <v>612</v>
      </c>
      <c r="N440" s="592"/>
      <c r="O440" s="179"/>
      <c r="P440" s="180"/>
      <c r="Q440" s="180">
        <v>500000</v>
      </c>
      <c r="R440" s="181">
        <f t="shared" si="133"/>
        <v>0.46976145513308343</v>
      </c>
      <c r="S440" s="181">
        <v>100</v>
      </c>
      <c r="T440" s="180">
        <f t="shared" si="127"/>
        <v>0</v>
      </c>
      <c r="U440" s="180">
        <f t="shared" si="132"/>
        <v>0</v>
      </c>
      <c r="V440" s="182">
        <f t="shared" si="105"/>
        <v>100</v>
      </c>
      <c r="W440" s="180"/>
      <c r="X440" s="180"/>
      <c r="Y440" s="180"/>
      <c r="Z440" s="180"/>
      <c r="AA440" s="180"/>
      <c r="AB440" s="180"/>
      <c r="AC440" s="180"/>
      <c r="AD440" s="180"/>
      <c r="AE440" s="180"/>
      <c r="AF440" s="180"/>
      <c r="AG440" s="180"/>
      <c r="AH440" s="180"/>
      <c r="AI440" s="180">
        <v>0</v>
      </c>
      <c r="AJ440" s="181">
        <f t="shared" si="124"/>
        <v>0</v>
      </c>
      <c r="AK440" s="180">
        <f t="shared" si="130"/>
        <v>500000</v>
      </c>
      <c r="AL440" s="181">
        <f t="shared" si="125"/>
        <v>100</v>
      </c>
      <c r="AM440" s="243"/>
    </row>
    <row r="441" spans="1:39" ht="29.25" customHeight="1" x14ac:dyDescent="0.25">
      <c r="A441" s="243"/>
      <c r="B441" s="410"/>
      <c r="C441" s="410"/>
      <c r="D441" s="410"/>
      <c r="E441" s="410"/>
      <c r="F441" s="410"/>
      <c r="G441" s="410"/>
      <c r="H441" s="410"/>
      <c r="I441" s="411"/>
      <c r="J441" s="410" t="s">
        <v>339</v>
      </c>
      <c r="K441" s="245"/>
      <c r="L441" s="257"/>
      <c r="M441" s="591" t="s">
        <v>613</v>
      </c>
      <c r="N441" s="592"/>
      <c r="O441" s="179"/>
      <c r="P441" s="180"/>
      <c r="Q441" s="180">
        <v>9400000</v>
      </c>
      <c r="R441" s="181">
        <f t="shared" si="133"/>
        <v>8.8315153565019671</v>
      </c>
      <c r="S441" s="181">
        <v>100</v>
      </c>
      <c r="T441" s="180">
        <f t="shared" si="127"/>
        <v>0</v>
      </c>
      <c r="U441" s="180">
        <f t="shared" si="132"/>
        <v>0</v>
      </c>
      <c r="V441" s="182">
        <f t="shared" si="105"/>
        <v>100</v>
      </c>
      <c r="W441" s="180"/>
      <c r="X441" s="180"/>
      <c r="Y441" s="180"/>
      <c r="Z441" s="180"/>
      <c r="AA441" s="180"/>
      <c r="AB441" s="180"/>
      <c r="AC441" s="180"/>
      <c r="AD441" s="180"/>
      <c r="AE441" s="180"/>
      <c r="AF441" s="180"/>
      <c r="AG441" s="180"/>
      <c r="AH441" s="180"/>
      <c r="AI441" s="180">
        <v>0</v>
      </c>
      <c r="AJ441" s="181">
        <f t="shared" si="124"/>
        <v>0</v>
      </c>
      <c r="AK441" s="180">
        <f t="shared" si="130"/>
        <v>9400000</v>
      </c>
      <c r="AL441" s="181">
        <f t="shared" si="125"/>
        <v>100</v>
      </c>
      <c r="AM441" s="243"/>
    </row>
    <row r="442" spans="1:39" ht="24.75" customHeight="1" x14ac:dyDescent="0.25">
      <c r="A442" s="243"/>
      <c r="B442" s="410"/>
      <c r="C442" s="410"/>
      <c r="D442" s="410"/>
      <c r="E442" s="410"/>
      <c r="F442" s="410"/>
      <c r="G442" s="410"/>
      <c r="H442" s="410"/>
      <c r="I442" s="411"/>
      <c r="J442" s="410" t="s">
        <v>284</v>
      </c>
      <c r="K442" s="245"/>
      <c r="L442" s="257"/>
      <c r="M442" s="591" t="s">
        <v>319</v>
      </c>
      <c r="N442" s="592"/>
      <c r="O442" s="179"/>
      <c r="P442" s="180"/>
      <c r="Q442" s="180">
        <v>24500000</v>
      </c>
      <c r="R442" s="181">
        <f t="shared" si="133"/>
        <v>23.018311301521088</v>
      </c>
      <c r="S442" s="181">
        <v>100</v>
      </c>
      <c r="T442" s="180">
        <f t="shared" si="127"/>
        <v>0</v>
      </c>
      <c r="U442" s="180">
        <f t="shared" si="132"/>
        <v>0</v>
      </c>
      <c r="V442" s="182">
        <f t="shared" si="105"/>
        <v>100</v>
      </c>
      <c r="W442" s="180"/>
      <c r="X442" s="180"/>
      <c r="Y442" s="180"/>
      <c r="Z442" s="180"/>
      <c r="AA442" s="180"/>
      <c r="AB442" s="180"/>
      <c r="AC442" s="180"/>
      <c r="AD442" s="180"/>
      <c r="AE442" s="180"/>
      <c r="AF442" s="180"/>
      <c r="AG442" s="180"/>
      <c r="AH442" s="180"/>
      <c r="AI442" s="180">
        <v>0</v>
      </c>
      <c r="AJ442" s="181">
        <f t="shared" si="124"/>
        <v>0</v>
      </c>
      <c r="AK442" s="180">
        <f t="shared" si="130"/>
        <v>24500000</v>
      </c>
      <c r="AL442" s="181">
        <f t="shared" si="125"/>
        <v>100</v>
      </c>
      <c r="AM442" s="243"/>
    </row>
    <row r="443" spans="1:39" ht="24.75" customHeight="1" x14ac:dyDescent="0.25">
      <c r="A443" s="243"/>
      <c r="B443" s="410"/>
      <c r="C443" s="410"/>
      <c r="D443" s="410"/>
      <c r="E443" s="410"/>
      <c r="F443" s="410"/>
      <c r="G443" s="410"/>
      <c r="H443" s="410"/>
      <c r="I443" s="411"/>
      <c r="J443" s="410" t="s">
        <v>282</v>
      </c>
      <c r="K443" s="245"/>
      <c r="L443" s="257"/>
      <c r="M443" s="591" t="s">
        <v>585</v>
      </c>
      <c r="N443" s="592"/>
      <c r="O443" s="179"/>
      <c r="P443" s="180"/>
      <c r="Q443" s="180">
        <v>2500000</v>
      </c>
      <c r="R443" s="181">
        <f t="shared" si="133"/>
        <v>2.348807275665417</v>
      </c>
      <c r="S443" s="181">
        <v>100</v>
      </c>
      <c r="T443" s="180">
        <f t="shared" si="127"/>
        <v>0</v>
      </c>
      <c r="U443" s="180">
        <f t="shared" si="132"/>
        <v>0</v>
      </c>
      <c r="V443" s="182">
        <f t="shared" si="105"/>
        <v>100</v>
      </c>
      <c r="W443" s="180"/>
      <c r="X443" s="180"/>
      <c r="Y443" s="180"/>
      <c r="Z443" s="180"/>
      <c r="AA443" s="180"/>
      <c r="AB443" s="180"/>
      <c r="AC443" s="180"/>
      <c r="AD443" s="180"/>
      <c r="AE443" s="180"/>
      <c r="AF443" s="180"/>
      <c r="AG443" s="180"/>
      <c r="AH443" s="180"/>
      <c r="AI443" s="180">
        <v>0</v>
      </c>
      <c r="AJ443" s="181">
        <f t="shared" si="124"/>
        <v>0</v>
      </c>
      <c r="AK443" s="180">
        <f t="shared" si="130"/>
        <v>2500000</v>
      </c>
      <c r="AL443" s="181">
        <f t="shared" si="125"/>
        <v>100</v>
      </c>
      <c r="AM443" s="243"/>
    </row>
    <row r="444" spans="1:39" ht="24.75" customHeight="1" x14ac:dyDescent="0.25">
      <c r="A444" s="243"/>
      <c r="B444" s="410"/>
      <c r="C444" s="410"/>
      <c r="D444" s="410"/>
      <c r="E444" s="410"/>
      <c r="F444" s="410"/>
      <c r="G444" s="410"/>
      <c r="H444" s="410"/>
      <c r="I444" s="411"/>
      <c r="J444" s="410" t="s">
        <v>282</v>
      </c>
      <c r="K444" s="245"/>
      <c r="L444" s="257"/>
      <c r="M444" s="591" t="s">
        <v>503</v>
      </c>
      <c r="N444" s="592"/>
      <c r="O444" s="179"/>
      <c r="P444" s="180"/>
      <c r="Q444" s="180">
        <v>23900000</v>
      </c>
      <c r="R444" s="181">
        <f t="shared" si="133"/>
        <v>22.454597555361389</v>
      </c>
      <c r="S444" s="181">
        <v>100</v>
      </c>
      <c r="T444" s="180">
        <f t="shared" si="127"/>
        <v>44.127615062761507</v>
      </c>
      <c r="U444" s="180">
        <f t="shared" si="132"/>
        <v>9.9086783731221288</v>
      </c>
      <c r="V444" s="182">
        <f t="shared" si="105"/>
        <v>55.872384937238493</v>
      </c>
      <c r="W444" s="180"/>
      <c r="X444" s="180"/>
      <c r="Y444" s="180"/>
      <c r="Z444" s="180"/>
      <c r="AA444" s="180"/>
      <c r="AB444" s="180"/>
      <c r="AC444" s="180"/>
      <c r="AD444" s="180"/>
      <c r="AE444" s="180"/>
      <c r="AF444" s="180"/>
      <c r="AG444" s="180"/>
      <c r="AH444" s="180"/>
      <c r="AI444" s="180">
        <v>10546500</v>
      </c>
      <c r="AJ444" s="181">
        <f t="shared" si="124"/>
        <v>44.127615062761507</v>
      </c>
      <c r="AK444" s="180">
        <f t="shared" si="130"/>
        <v>13353500</v>
      </c>
      <c r="AL444" s="181">
        <f t="shared" si="125"/>
        <v>55.872384937238493</v>
      </c>
      <c r="AM444" s="243"/>
    </row>
    <row r="445" spans="1:39" ht="24.75" customHeight="1" x14ac:dyDescent="0.25">
      <c r="A445" s="243"/>
      <c r="B445" s="410"/>
      <c r="C445" s="410"/>
      <c r="D445" s="410"/>
      <c r="E445" s="410"/>
      <c r="F445" s="410"/>
      <c r="G445" s="410"/>
      <c r="H445" s="410"/>
      <c r="I445" s="411"/>
      <c r="J445" s="410" t="s">
        <v>320</v>
      </c>
      <c r="K445" s="245"/>
      <c r="L445" s="257"/>
      <c r="M445" s="591" t="s">
        <v>321</v>
      </c>
      <c r="N445" s="592"/>
      <c r="O445" s="179"/>
      <c r="P445" s="180"/>
      <c r="Q445" s="180">
        <v>7400000</v>
      </c>
      <c r="R445" s="181">
        <f t="shared" si="133"/>
        <v>6.9524695359696338</v>
      </c>
      <c r="S445" s="181">
        <v>100</v>
      </c>
      <c r="T445" s="180">
        <f t="shared" si="127"/>
        <v>0</v>
      </c>
      <c r="U445" s="180">
        <f t="shared" si="132"/>
        <v>0</v>
      </c>
      <c r="V445" s="182">
        <f t="shared" si="105"/>
        <v>100</v>
      </c>
      <c r="W445" s="180"/>
      <c r="X445" s="180"/>
      <c r="Y445" s="180"/>
      <c r="Z445" s="180"/>
      <c r="AA445" s="180"/>
      <c r="AB445" s="180"/>
      <c r="AC445" s="180"/>
      <c r="AD445" s="180"/>
      <c r="AE445" s="180"/>
      <c r="AF445" s="180"/>
      <c r="AG445" s="180"/>
      <c r="AH445" s="180"/>
      <c r="AI445" s="180">
        <v>0</v>
      </c>
      <c r="AJ445" s="181">
        <f t="shared" si="124"/>
        <v>0</v>
      </c>
      <c r="AK445" s="180">
        <f t="shared" si="130"/>
        <v>7400000</v>
      </c>
      <c r="AL445" s="181">
        <f t="shared" si="125"/>
        <v>100</v>
      </c>
      <c r="AM445" s="243"/>
    </row>
    <row r="446" spans="1:39" ht="24.75" customHeight="1" x14ac:dyDescent="0.25">
      <c r="A446" s="243"/>
      <c r="B446" s="410"/>
      <c r="C446" s="410"/>
      <c r="D446" s="410"/>
      <c r="E446" s="410"/>
      <c r="F446" s="410"/>
      <c r="G446" s="410"/>
      <c r="H446" s="410"/>
      <c r="I446" s="411"/>
      <c r="J446" s="410" t="s">
        <v>407</v>
      </c>
      <c r="K446" s="245"/>
      <c r="L446" s="257"/>
      <c r="M446" s="591" t="s">
        <v>614</v>
      </c>
      <c r="N446" s="592"/>
      <c r="O446" s="179"/>
      <c r="P446" s="180"/>
      <c r="Q446" s="180">
        <v>4800000</v>
      </c>
      <c r="R446" s="181">
        <f t="shared" si="133"/>
        <v>4.5097099692776013</v>
      </c>
      <c r="S446" s="181">
        <v>100</v>
      </c>
      <c r="T446" s="180">
        <f t="shared" si="127"/>
        <v>0</v>
      </c>
      <c r="U446" s="180">
        <f t="shared" si="132"/>
        <v>0</v>
      </c>
      <c r="V446" s="182">
        <f t="shared" si="105"/>
        <v>100</v>
      </c>
      <c r="W446" s="180"/>
      <c r="X446" s="180"/>
      <c r="Y446" s="180"/>
      <c r="Z446" s="180"/>
      <c r="AA446" s="180"/>
      <c r="AB446" s="180"/>
      <c r="AC446" s="180"/>
      <c r="AD446" s="180"/>
      <c r="AE446" s="180"/>
      <c r="AF446" s="180"/>
      <c r="AG446" s="180"/>
      <c r="AH446" s="180"/>
      <c r="AI446" s="180">
        <v>0</v>
      </c>
      <c r="AJ446" s="181">
        <f t="shared" si="124"/>
        <v>0</v>
      </c>
      <c r="AK446" s="180">
        <f t="shared" si="130"/>
        <v>4800000</v>
      </c>
      <c r="AL446" s="181">
        <f t="shared" si="125"/>
        <v>100</v>
      </c>
      <c r="AM446" s="243"/>
    </row>
    <row r="447" spans="1:39" s="297" customFormat="1" ht="28.5" customHeight="1" x14ac:dyDescent="0.25">
      <c r="A447" s="227">
        <f>A436+1</f>
        <v>56</v>
      </c>
      <c r="B447" s="618" t="s">
        <v>155</v>
      </c>
      <c r="C447" s="615"/>
      <c r="D447" s="615"/>
      <c r="E447" s="615"/>
      <c r="F447" s="615"/>
      <c r="G447" s="615"/>
      <c r="H447" s="615"/>
      <c r="I447" s="614"/>
      <c r="J447" s="304" t="s">
        <v>506</v>
      </c>
      <c r="K447" s="230"/>
      <c r="L447" s="294"/>
      <c r="M447" s="610" t="s">
        <v>55</v>
      </c>
      <c r="N447" s="612"/>
      <c r="O447" s="309">
        <v>589234000</v>
      </c>
      <c r="P447" s="231">
        <f>O447</f>
        <v>589234000</v>
      </c>
      <c r="Q447" s="231">
        <f>SUM(Q448:Q456)</f>
        <v>131960000</v>
      </c>
      <c r="R447" s="233">
        <f>Q447/Q$248*100</f>
        <v>1.1063188944167623</v>
      </c>
      <c r="S447" s="233">
        <v>100</v>
      </c>
      <c r="T447" s="231">
        <f t="shared" si="127"/>
        <v>0</v>
      </c>
      <c r="U447" s="231">
        <f t="shared" si="132"/>
        <v>0</v>
      </c>
      <c r="V447" s="296">
        <f t="shared" si="105"/>
        <v>100</v>
      </c>
      <c r="W447" s="231"/>
      <c r="X447" s="231" t="e">
        <f>#REF!</f>
        <v>#REF!</v>
      </c>
      <c r="Y447" s="231" t="e">
        <f>#REF!</f>
        <v>#REF!</v>
      </c>
      <c r="Z447" s="231" t="e">
        <f>#REF!</f>
        <v>#REF!</v>
      </c>
      <c r="AA447" s="231" t="e">
        <f>#REF!</f>
        <v>#REF!</v>
      </c>
      <c r="AB447" s="231">
        <v>371113894</v>
      </c>
      <c r="AC447" s="231" t="e">
        <f>#REF!</f>
        <v>#REF!</v>
      </c>
      <c r="AD447" s="231" t="e">
        <f>#REF!</f>
        <v>#REF!</v>
      </c>
      <c r="AE447" s="231" t="e">
        <f>#REF!</f>
        <v>#REF!</v>
      </c>
      <c r="AF447" s="231" t="e">
        <f>[1]April!N75</f>
        <v>#REF!</v>
      </c>
      <c r="AG447" s="231" t="e">
        <f>[2]april!N75</f>
        <v>#REF!</v>
      </c>
      <c r="AH447" s="231">
        <f>'[3]DES SKPD'!$N75</f>
        <v>574563894</v>
      </c>
      <c r="AI447" s="231">
        <f>SUM(AI448:AI456)</f>
        <v>0</v>
      </c>
      <c r="AJ447" s="233">
        <f t="shared" si="124"/>
        <v>0</v>
      </c>
      <c r="AK447" s="231">
        <f t="shared" si="130"/>
        <v>131960000</v>
      </c>
      <c r="AL447" s="233">
        <f t="shared" si="125"/>
        <v>100</v>
      </c>
      <c r="AM447" s="227"/>
    </row>
    <row r="448" spans="1:39" ht="24.75" customHeight="1" x14ac:dyDescent="0.25">
      <c r="A448" s="243"/>
      <c r="B448" s="410"/>
      <c r="C448" s="410"/>
      <c r="D448" s="410"/>
      <c r="E448" s="410"/>
      <c r="F448" s="410"/>
      <c r="G448" s="410"/>
      <c r="H448" s="410"/>
      <c r="I448" s="411"/>
      <c r="J448" s="410" t="s">
        <v>259</v>
      </c>
      <c r="K448" s="245"/>
      <c r="L448" s="257"/>
      <c r="M448" s="591" t="s">
        <v>260</v>
      </c>
      <c r="N448" s="592"/>
      <c r="O448" s="179"/>
      <c r="P448" s="180"/>
      <c r="Q448" s="180">
        <v>1540000</v>
      </c>
      <c r="R448" s="181">
        <f t="shared" ref="R448:R456" si="134">Q448/Q$447*100</f>
        <v>1.1670203091846014</v>
      </c>
      <c r="S448" s="181">
        <v>100</v>
      </c>
      <c r="T448" s="180">
        <f t="shared" si="127"/>
        <v>0</v>
      </c>
      <c r="U448" s="180">
        <f t="shared" si="132"/>
        <v>0</v>
      </c>
      <c r="V448" s="182">
        <f t="shared" si="105"/>
        <v>100</v>
      </c>
      <c r="W448" s="180"/>
      <c r="X448" s="180"/>
      <c r="Y448" s="180"/>
      <c r="Z448" s="180"/>
      <c r="AA448" s="180"/>
      <c r="AB448" s="180"/>
      <c r="AC448" s="180"/>
      <c r="AD448" s="180"/>
      <c r="AE448" s="180"/>
      <c r="AF448" s="180"/>
      <c r="AG448" s="180"/>
      <c r="AH448" s="180"/>
      <c r="AI448" s="180">
        <v>0</v>
      </c>
      <c r="AJ448" s="181">
        <f t="shared" si="124"/>
        <v>0</v>
      </c>
      <c r="AK448" s="180">
        <f t="shared" si="130"/>
        <v>1540000</v>
      </c>
      <c r="AL448" s="181">
        <f t="shared" si="125"/>
        <v>100</v>
      </c>
      <c r="AM448" s="243"/>
    </row>
    <row r="449" spans="1:39" ht="39" customHeight="1" x14ac:dyDescent="0.25">
      <c r="A449" s="243"/>
      <c r="B449" s="410"/>
      <c r="C449" s="410"/>
      <c r="D449" s="410"/>
      <c r="E449" s="410"/>
      <c r="F449" s="410"/>
      <c r="G449" s="410"/>
      <c r="H449" s="410"/>
      <c r="I449" s="411"/>
      <c r="J449" s="410" t="s">
        <v>345</v>
      </c>
      <c r="K449" s="245"/>
      <c r="L449" s="257"/>
      <c r="M449" s="591" t="s">
        <v>346</v>
      </c>
      <c r="N449" s="592"/>
      <c r="O449" s="179"/>
      <c r="P449" s="180"/>
      <c r="Q449" s="180">
        <v>1400000</v>
      </c>
      <c r="R449" s="181">
        <f t="shared" si="134"/>
        <v>1.0609275538041831</v>
      </c>
      <c r="S449" s="181">
        <v>100</v>
      </c>
      <c r="T449" s="180">
        <f t="shared" si="127"/>
        <v>0</v>
      </c>
      <c r="U449" s="180">
        <f t="shared" si="132"/>
        <v>0</v>
      </c>
      <c r="V449" s="182">
        <f t="shared" si="105"/>
        <v>100</v>
      </c>
      <c r="W449" s="180"/>
      <c r="X449" s="180"/>
      <c r="Y449" s="180"/>
      <c r="Z449" s="180"/>
      <c r="AA449" s="180"/>
      <c r="AB449" s="180"/>
      <c r="AC449" s="180"/>
      <c r="AD449" s="180"/>
      <c r="AE449" s="180"/>
      <c r="AF449" s="180"/>
      <c r="AG449" s="180"/>
      <c r="AH449" s="180"/>
      <c r="AI449" s="180">
        <v>0</v>
      </c>
      <c r="AJ449" s="181">
        <f t="shared" si="124"/>
        <v>0</v>
      </c>
      <c r="AK449" s="180">
        <f t="shared" si="130"/>
        <v>1400000</v>
      </c>
      <c r="AL449" s="181">
        <f t="shared" si="125"/>
        <v>100</v>
      </c>
      <c r="AM449" s="243"/>
    </row>
    <row r="450" spans="1:39" ht="24.75" customHeight="1" x14ac:dyDescent="0.25">
      <c r="A450" s="243"/>
      <c r="B450" s="410"/>
      <c r="C450" s="410"/>
      <c r="D450" s="410"/>
      <c r="E450" s="410"/>
      <c r="F450" s="410"/>
      <c r="G450" s="410"/>
      <c r="H450" s="410"/>
      <c r="I450" s="411"/>
      <c r="J450" s="410" t="s">
        <v>315</v>
      </c>
      <c r="K450" s="245"/>
      <c r="L450" s="257"/>
      <c r="M450" s="591" t="s">
        <v>271</v>
      </c>
      <c r="N450" s="592"/>
      <c r="O450" s="179"/>
      <c r="P450" s="180"/>
      <c r="Q450" s="180">
        <v>3400000</v>
      </c>
      <c r="R450" s="181">
        <f t="shared" si="134"/>
        <v>2.5765383449530157</v>
      </c>
      <c r="S450" s="181">
        <v>100</v>
      </c>
      <c r="T450" s="180">
        <f t="shared" si="127"/>
        <v>0</v>
      </c>
      <c r="U450" s="180">
        <f t="shared" si="132"/>
        <v>0</v>
      </c>
      <c r="V450" s="182">
        <f t="shared" si="105"/>
        <v>100</v>
      </c>
      <c r="W450" s="180"/>
      <c r="X450" s="180"/>
      <c r="Y450" s="180"/>
      <c r="Z450" s="180"/>
      <c r="AA450" s="180"/>
      <c r="AB450" s="180"/>
      <c r="AC450" s="180"/>
      <c r="AD450" s="180"/>
      <c r="AE450" s="180"/>
      <c r="AF450" s="180"/>
      <c r="AG450" s="180"/>
      <c r="AH450" s="180"/>
      <c r="AI450" s="180">
        <v>0</v>
      </c>
      <c r="AJ450" s="181">
        <f t="shared" si="124"/>
        <v>0</v>
      </c>
      <c r="AK450" s="180">
        <f t="shared" si="130"/>
        <v>3400000</v>
      </c>
      <c r="AL450" s="181">
        <f t="shared" si="125"/>
        <v>100</v>
      </c>
      <c r="AM450" s="243"/>
    </row>
    <row r="451" spans="1:39" ht="27.75" customHeight="1" x14ac:dyDescent="0.25">
      <c r="A451" s="243"/>
      <c r="B451" s="410"/>
      <c r="C451" s="410"/>
      <c r="D451" s="410"/>
      <c r="E451" s="410"/>
      <c r="F451" s="410"/>
      <c r="G451" s="410"/>
      <c r="H451" s="410"/>
      <c r="I451" s="411"/>
      <c r="J451" s="410" t="s">
        <v>318</v>
      </c>
      <c r="K451" s="245"/>
      <c r="L451" s="257"/>
      <c r="M451" s="591" t="s">
        <v>319</v>
      </c>
      <c r="N451" s="592"/>
      <c r="O451" s="179"/>
      <c r="P451" s="180"/>
      <c r="Q451" s="180">
        <v>64800000</v>
      </c>
      <c r="R451" s="181">
        <f t="shared" si="134"/>
        <v>49.105789633222194</v>
      </c>
      <c r="S451" s="181">
        <v>100</v>
      </c>
      <c r="T451" s="180">
        <f t="shared" si="127"/>
        <v>0</v>
      </c>
      <c r="U451" s="180">
        <f t="shared" si="132"/>
        <v>0</v>
      </c>
      <c r="V451" s="182">
        <f t="shared" si="105"/>
        <v>100</v>
      </c>
      <c r="W451" s="180"/>
      <c r="X451" s="180"/>
      <c r="Y451" s="180"/>
      <c r="Z451" s="180"/>
      <c r="AA451" s="180"/>
      <c r="AB451" s="180"/>
      <c r="AC451" s="180"/>
      <c r="AD451" s="180"/>
      <c r="AE451" s="180"/>
      <c r="AF451" s="180"/>
      <c r="AG451" s="180"/>
      <c r="AH451" s="180"/>
      <c r="AI451" s="180">
        <v>0</v>
      </c>
      <c r="AJ451" s="181">
        <f t="shared" si="124"/>
        <v>0</v>
      </c>
      <c r="AK451" s="180">
        <f t="shared" si="130"/>
        <v>64800000</v>
      </c>
      <c r="AL451" s="181">
        <f t="shared" si="125"/>
        <v>100</v>
      </c>
      <c r="AM451" s="243"/>
    </row>
    <row r="452" spans="1:39" ht="24.75" customHeight="1" x14ac:dyDescent="0.25">
      <c r="A452" s="243"/>
      <c r="B452" s="410"/>
      <c r="C452" s="410"/>
      <c r="D452" s="410"/>
      <c r="E452" s="410"/>
      <c r="F452" s="410"/>
      <c r="G452" s="410"/>
      <c r="H452" s="410"/>
      <c r="I452" s="411"/>
      <c r="J452" s="410" t="s">
        <v>330</v>
      </c>
      <c r="K452" s="245"/>
      <c r="L452" s="257"/>
      <c r="M452" s="591" t="s">
        <v>331</v>
      </c>
      <c r="N452" s="592"/>
      <c r="O452" s="179"/>
      <c r="P452" s="180"/>
      <c r="Q452" s="180">
        <v>12000000</v>
      </c>
      <c r="R452" s="181">
        <f t="shared" si="134"/>
        <v>9.0936647468929976</v>
      </c>
      <c r="S452" s="181">
        <v>100</v>
      </c>
      <c r="T452" s="180">
        <f t="shared" si="127"/>
        <v>0</v>
      </c>
      <c r="U452" s="180">
        <f t="shared" si="132"/>
        <v>0</v>
      </c>
      <c r="V452" s="182">
        <f t="shared" si="105"/>
        <v>100</v>
      </c>
      <c r="W452" s="180"/>
      <c r="X452" s="180"/>
      <c r="Y452" s="180"/>
      <c r="Z452" s="180"/>
      <c r="AA452" s="180"/>
      <c r="AB452" s="180"/>
      <c r="AC452" s="180"/>
      <c r="AD452" s="180"/>
      <c r="AE452" s="180"/>
      <c r="AF452" s="180"/>
      <c r="AG452" s="180"/>
      <c r="AH452" s="180"/>
      <c r="AI452" s="180">
        <v>0</v>
      </c>
      <c r="AJ452" s="181">
        <f t="shared" si="124"/>
        <v>0</v>
      </c>
      <c r="AK452" s="180">
        <f t="shared" si="130"/>
        <v>12000000</v>
      </c>
      <c r="AL452" s="181">
        <f t="shared" si="125"/>
        <v>100</v>
      </c>
      <c r="AM452" s="243"/>
    </row>
    <row r="453" spans="1:39" ht="24.75" customHeight="1" x14ac:dyDescent="0.25">
      <c r="A453" s="243"/>
      <c r="B453" s="410"/>
      <c r="C453" s="410"/>
      <c r="D453" s="410"/>
      <c r="E453" s="410"/>
      <c r="F453" s="410"/>
      <c r="G453" s="410"/>
      <c r="H453" s="410"/>
      <c r="I453" s="411"/>
      <c r="J453" s="410" t="s">
        <v>284</v>
      </c>
      <c r="K453" s="245"/>
      <c r="L453" s="257"/>
      <c r="M453" s="591" t="s">
        <v>585</v>
      </c>
      <c r="N453" s="592"/>
      <c r="O453" s="179"/>
      <c r="P453" s="180"/>
      <c r="Q453" s="180">
        <v>300000</v>
      </c>
      <c r="R453" s="181">
        <f t="shared" si="134"/>
        <v>0.22734161867232497</v>
      </c>
      <c r="S453" s="181">
        <v>100</v>
      </c>
      <c r="T453" s="180">
        <f t="shared" si="127"/>
        <v>0</v>
      </c>
      <c r="U453" s="180">
        <f t="shared" si="132"/>
        <v>0</v>
      </c>
      <c r="V453" s="182">
        <f t="shared" si="105"/>
        <v>100</v>
      </c>
      <c r="W453" s="180"/>
      <c r="X453" s="180"/>
      <c r="Y453" s="180"/>
      <c r="Z453" s="180"/>
      <c r="AA453" s="180"/>
      <c r="AB453" s="180"/>
      <c r="AC453" s="180"/>
      <c r="AD453" s="180"/>
      <c r="AE453" s="180"/>
      <c r="AF453" s="180"/>
      <c r="AG453" s="180"/>
      <c r="AH453" s="180"/>
      <c r="AI453" s="180">
        <v>0</v>
      </c>
      <c r="AJ453" s="181">
        <f t="shared" si="124"/>
        <v>0</v>
      </c>
      <c r="AK453" s="180">
        <f t="shared" si="130"/>
        <v>300000</v>
      </c>
      <c r="AL453" s="181">
        <f t="shared" si="125"/>
        <v>100</v>
      </c>
      <c r="AM453" s="243"/>
    </row>
    <row r="454" spans="1:39" ht="24.75" customHeight="1" x14ac:dyDescent="0.25">
      <c r="A454" s="243"/>
      <c r="B454" s="410"/>
      <c r="C454" s="410"/>
      <c r="D454" s="410"/>
      <c r="E454" s="410"/>
      <c r="F454" s="410"/>
      <c r="G454" s="410"/>
      <c r="H454" s="410"/>
      <c r="I454" s="411"/>
      <c r="J454" s="410" t="s">
        <v>282</v>
      </c>
      <c r="K454" s="245"/>
      <c r="L454" s="257"/>
      <c r="M454" s="591" t="s">
        <v>503</v>
      </c>
      <c r="N454" s="592"/>
      <c r="O454" s="179"/>
      <c r="P454" s="180"/>
      <c r="Q454" s="180">
        <v>26720000</v>
      </c>
      <c r="R454" s="181">
        <f t="shared" si="134"/>
        <v>20.248560169748409</v>
      </c>
      <c r="S454" s="181">
        <v>100</v>
      </c>
      <c r="T454" s="180">
        <f t="shared" si="127"/>
        <v>0</v>
      </c>
      <c r="U454" s="180">
        <f t="shared" si="132"/>
        <v>0</v>
      </c>
      <c r="V454" s="182">
        <f t="shared" si="105"/>
        <v>100</v>
      </c>
      <c r="W454" s="180"/>
      <c r="X454" s="180"/>
      <c r="Y454" s="180"/>
      <c r="Z454" s="180"/>
      <c r="AA454" s="180"/>
      <c r="AB454" s="180"/>
      <c r="AC454" s="180"/>
      <c r="AD454" s="180"/>
      <c r="AE454" s="180"/>
      <c r="AF454" s="180"/>
      <c r="AG454" s="180"/>
      <c r="AH454" s="180"/>
      <c r="AI454" s="180">
        <v>0</v>
      </c>
      <c r="AJ454" s="181">
        <f t="shared" si="124"/>
        <v>0</v>
      </c>
      <c r="AK454" s="180">
        <f t="shared" si="130"/>
        <v>26720000</v>
      </c>
      <c r="AL454" s="181">
        <f t="shared" si="125"/>
        <v>100</v>
      </c>
      <c r="AM454" s="243"/>
    </row>
    <row r="455" spans="1:39" ht="24.75" customHeight="1" x14ac:dyDescent="0.25">
      <c r="A455" s="243"/>
      <c r="B455" s="410"/>
      <c r="C455" s="410"/>
      <c r="D455" s="410"/>
      <c r="E455" s="410"/>
      <c r="F455" s="410"/>
      <c r="G455" s="410"/>
      <c r="H455" s="410"/>
      <c r="I455" s="411"/>
      <c r="J455" s="410" t="s">
        <v>320</v>
      </c>
      <c r="K455" s="245"/>
      <c r="L455" s="257"/>
      <c r="M455" s="591" t="s">
        <v>321</v>
      </c>
      <c r="N455" s="592"/>
      <c r="O455" s="179"/>
      <c r="P455" s="180"/>
      <c r="Q455" s="180">
        <v>13800000</v>
      </c>
      <c r="R455" s="181">
        <f t="shared" si="134"/>
        <v>10.457714458926947</v>
      </c>
      <c r="S455" s="181">
        <v>100</v>
      </c>
      <c r="T455" s="180">
        <f t="shared" si="127"/>
        <v>0</v>
      </c>
      <c r="U455" s="180">
        <f t="shared" si="132"/>
        <v>0</v>
      </c>
      <c r="V455" s="182">
        <f t="shared" si="105"/>
        <v>100</v>
      </c>
      <c r="W455" s="180"/>
      <c r="X455" s="180"/>
      <c r="Y455" s="180"/>
      <c r="Z455" s="180"/>
      <c r="AA455" s="180"/>
      <c r="AB455" s="180"/>
      <c r="AC455" s="180"/>
      <c r="AD455" s="180"/>
      <c r="AE455" s="180"/>
      <c r="AF455" s="180"/>
      <c r="AG455" s="180"/>
      <c r="AH455" s="180"/>
      <c r="AI455" s="180">
        <v>0</v>
      </c>
      <c r="AJ455" s="181">
        <f t="shared" si="124"/>
        <v>0</v>
      </c>
      <c r="AK455" s="180">
        <f t="shared" si="130"/>
        <v>13800000</v>
      </c>
      <c r="AL455" s="181">
        <f t="shared" si="125"/>
        <v>100</v>
      </c>
      <c r="AM455" s="243"/>
    </row>
    <row r="456" spans="1:39" ht="24.75" customHeight="1" x14ac:dyDescent="0.25">
      <c r="A456" s="243"/>
      <c r="B456" s="410"/>
      <c r="C456" s="410"/>
      <c r="D456" s="410"/>
      <c r="E456" s="410"/>
      <c r="F456" s="410"/>
      <c r="G456" s="410"/>
      <c r="H456" s="410"/>
      <c r="I456" s="411"/>
      <c r="J456" s="410" t="s">
        <v>407</v>
      </c>
      <c r="K456" s="245"/>
      <c r="L456" s="257"/>
      <c r="M456" s="591" t="s">
        <v>414</v>
      </c>
      <c r="N456" s="592"/>
      <c r="O456" s="179"/>
      <c r="P456" s="180"/>
      <c r="Q456" s="180">
        <v>8000000</v>
      </c>
      <c r="R456" s="181">
        <f t="shared" si="134"/>
        <v>6.0624431645953321</v>
      </c>
      <c r="S456" s="181"/>
      <c r="T456" s="180">
        <f t="shared" si="127"/>
        <v>0</v>
      </c>
      <c r="U456" s="180">
        <f t="shared" si="132"/>
        <v>0</v>
      </c>
      <c r="V456" s="182"/>
      <c r="W456" s="180"/>
      <c r="X456" s="180"/>
      <c r="Y456" s="180"/>
      <c r="Z456" s="180"/>
      <c r="AA456" s="180"/>
      <c r="AB456" s="180"/>
      <c r="AC456" s="180"/>
      <c r="AD456" s="180"/>
      <c r="AE456" s="180"/>
      <c r="AF456" s="180"/>
      <c r="AG456" s="180"/>
      <c r="AH456" s="180"/>
      <c r="AI456" s="180">
        <v>0</v>
      </c>
      <c r="AJ456" s="181">
        <f t="shared" si="124"/>
        <v>0</v>
      </c>
      <c r="AK456" s="180">
        <f t="shared" si="130"/>
        <v>8000000</v>
      </c>
      <c r="AL456" s="181">
        <f t="shared" si="125"/>
        <v>100</v>
      </c>
      <c r="AM456" s="243"/>
    </row>
    <row r="457" spans="1:39" s="297" customFormat="1" ht="30" customHeight="1" x14ac:dyDescent="0.25">
      <c r="A457" s="227">
        <f>A447+1</f>
        <v>57</v>
      </c>
      <c r="B457" s="615" t="s">
        <v>156</v>
      </c>
      <c r="C457" s="615"/>
      <c r="D457" s="615"/>
      <c r="E457" s="615"/>
      <c r="F457" s="615"/>
      <c r="G457" s="615"/>
      <c r="H457" s="615"/>
      <c r="I457" s="614"/>
      <c r="J457" s="304" t="s">
        <v>507</v>
      </c>
      <c r="K457" s="230"/>
      <c r="L457" s="294"/>
      <c r="M457" s="610" t="s">
        <v>157</v>
      </c>
      <c r="N457" s="610"/>
      <c r="O457" s="309">
        <v>1493981000</v>
      </c>
      <c r="P457" s="231">
        <f>O457</f>
        <v>1493981000</v>
      </c>
      <c r="Q457" s="231">
        <f>SUM(Q458:Q465)</f>
        <v>759011476</v>
      </c>
      <c r="R457" s="233">
        <f>Q457/Q$248*100</f>
        <v>6.3633581159287287</v>
      </c>
      <c r="S457" s="233">
        <v>100</v>
      </c>
      <c r="T457" s="231">
        <f t="shared" si="127"/>
        <v>29.77359462217143</v>
      </c>
      <c r="U457" s="231">
        <f t="shared" si="132"/>
        <v>1.8946004497936653</v>
      </c>
      <c r="V457" s="296">
        <f t="shared" si="105"/>
        <v>70.22640537782857</v>
      </c>
      <c r="W457" s="231"/>
      <c r="X457" s="231" t="e">
        <f>#REF!</f>
        <v>#REF!</v>
      </c>
      <c r="Y457" s="231" t="e">
        <f>#REF!</f>
        <v>#REF!</v>
      </c>
      <c r="Z457" s="231" t="e">
        <f>#REF!</f>
        <v>#REF!</v>
      </c>
      <c r="AA457" s="231" t="e">
        <f>#REF!</f>
        <v>#REF!</v>
      </c>
      <c r="AB457" s="231">
        <v>366754000</v>
      </c>
      <c r="AC457" s="231" t="e">
        <f>#REF!</f>
        <v>#REF!</v>
      </c>
      <c r="AD457" s="231" t="e">
        <f>#REF!</f>
        <v>#REF!</v>
      </c>
      <c r="AE457" s="231" t="e">
        <f>#REF!</f>
        <v>#REF!</v>
      </c>
      <c r="AF457" s="231" t="e">
        <f>[1]April!N76</f>
        <v>#REF!</v>
      </c>
      <c r="AG457" s="231" t="e">
        <f>[2]april!N76</f>
        <v>#REF!</v>
      </c>
      <c r="AH457" s="231">
        <f>'[3]DES SKPD'!$N76</f>
        <v>1083037500</v>
      </c>
      <c r="AI457" s="231">
        <f>SUM(AI458:AI465)</f>
        <v>225985000</v>
      </c>
      <c r="AJ457" s="233">
        <f t="shared" si="124"/>
        <v>29.77359462217143</v>
      </c>
      <c r="AK457" s="231">
        <f>Q457-AI457</f>
        <v>533026476</v>
      </c>
      <c r="AL457" s="233">
        <f t="shared" si="125"/>
        <v>70.22640537782857</v>
      </c>
      <c r="AM457" s="227"/>
    </row>
    <row r="458" spans="1:39" ht="30" customHeight="1" x14ac:dyDescent="0.25">
      <c r="A458" s="243"/>
      <c r="B458" s="410"/>
      <c r="C458" s="410"/>
      <c r="D458" s="410"/>
      <c r="E458" s="410"/>
      <c r="F458" s="410"/>
      <c r="G458" s="410"/>
      <c r="H458" s="410"/>
      <c r="I458" s="411"/>
      <c r="J458" s="410" t="s">
        <v>259</v>
      </c>
      <c r="K458" s="245"/>
      <c r="L458" s="257"/>
      <c r="M458" s="591" t="s">
        <v>615</v>
      </c>
      <c r="N458" s="592"/>
      <c r="O458" s="179"/>
      <c r="P458" s="180"/>
      <c r="Q458" s="180">
        <v>3850000</v>
      </c>
      <c r="R458" s="181">
        <f t="shared" ref="R458:R465" si="135">Q458/Q$457*100</f>
        <v>0.5072387074158019</v>
      </c>
      <c r="S458" s="181">
        <v>100</v>
      </c>
      <c r="T458" s="180">
        <f t="shared" si="127"/>
        <v>0</v>
      </c>
      <c r="U458" s="180">
        <f t="shared" si="132"/>
        <v>0</v>
      </c>
      <c r="V458" s="182">
        <f t="shared" si="105"/>
        <v>100</v>
      </c>
      <c r="W458" s="180"/>
      <c r="X458" s="180"/>
      <c r="Y458" s="180"/>
      <c r="Z458" s="180"/>
      <c r="AA458" s="180"/>
      <c r="AB458" s="180"/>
      <c r="AC458" s="180"/>
      <c r="AD458" s="180"/>
      <c r="AE458" s="180"/>
      <c r="AF458" s="180"/>
      <c r="AG458" s="180"/>
      <c r="AH458" s="180"/>
      <c r="AI458" s="180">
        <v>0</v>
      </c>
      <c r="AJ458" s="181">
        <f t="shared" si="124"/>
        <v>0</v>
      </c>
      <c r="AK458" s="180">
        <f t="shared" si="130"/>
        <v>3850000</v>
      </c>
      <c r="AL458" s="181">
        <f t="shared" si="125"/>
        <v>100</v>
      </c>
      <c r="AM458" s="243"/>
    </row>
    <row r="459" spans="1:39" ht="30" customHeight="1" x14ac:dyDescent="0.25">
      <c r="A459" s="243"/>
      <c r="B459" s="410"/>
      <c r="C459" s="410"/>
      <c r="D459" s="410"/>
      <c r="E459" s="410"/>
      <c r="F459" s="410"/>
      <c r="G459" s="410"/>
      <c r="H459" s="410"/>
      <c r="I459" s="411"/>
      <c r="J459" s="410" t="s">
        <v>269</v>
      </c>
      <c r="K459" s="245"/>
      <c r="L459" s="257"/>
      <c r="M459" s="591" t="s">
        <v>354</v>
      </c>
      <c r="N459" s="592"/>
      <c r="O459" s="179"/>
      <c r="P459" s="180"/>
      <c r="Q459" s="180">
        <v>155506476</v>
      </c>
      <c r="R459" s="181">
        <f t="shared" si="135"/>
        <v>20.488026982084786</v>
      </c>
      <c r="S459" s="181">
        <v>100</v>
      </c>
      <c r="T459" s="180">
        <f t="shared" si="127"/>
        <v>31.252717732475656</v>
      </c>
      <c r="U459" s="180">
        <f t="shared" si="132"/>
        <v>6.4030652416644092</v>
      </c>
      <c r="V459" s="182">
        <f t="shared" si="105"/>
        <v>68.747282267524341</v>
      </c>
      <c r="W459" s="180"/>
      <c r="X459" s="180"/>
      <c r="Y459" s="180"/>
      <c r="Z459" s="180"/>
      <c r="AA459" s="180"/>
      <c r="AB459" s="180"/>
      <c r="AC459" s="180"/>
      <c r="AD459" s="180"/>
      <c r="AE459" s="180"/>
      <c r="AF459" s="180"/>
      <c r="AG459" s="180"/>
      <c r="AH459" s="180"/>
      <c r="AI459" s="180">
        <v>48600000</v>
      </c>
      <c r="AJ459" s="181">
        <f t="shared" si="124"/>
        <v>31.252717732475656</v>
      </c>
      <c r="AK459" s="180">
        <f t="shared" si="130"/>
        <v>106906476</v>
      </c>
      <c r="AL459" s="181">
        <f t="shared" si="125"/>
        <v>68.747282267524341</v>
      </c>
      <c r="AM459" s="243"/>
    </row>
    <row r="460" spans="1:39" ht="30" customHeight="1" x14ac:dyDescent="0.25">
      <c r="A460" s="243"/>
      <c r="B460" s="410"/>
      <c r="C460" s="410"/>
      <c r="D460" s="410"/>
      <c r="E460" s="410"/>
      <c r="F460" s="410"/>
      <c r="G460" s="410"/>
      <c r="H460" s="410"/>
      <c r="I460" s="411"/>
      <c r="J460" s="410" t="s">
        <v>306</v>
      </c>
      <c r="K460" s="245"/>
      <c r="L460" s="257"/>
      <c r="M460" s="591" t="s">
        <v>352</v>
      </c>
      <c r="N460" s="592"/>
      <c r="O460" s="179"/>
      <c r="P460" s="180"/>
      <c r="Q460" s="180">
        <v>47955000</v>
      </c>
      <c r="R460" s="181">
        <f t="shared" si="135"/>
        <v>6.3180862893830607</v>
      </c>
      <c r="S460" s="181">
        <v>100</v>
      </c>
      <c r="T460" s="180">
        <f t="shared" si="127"/>
        <v>100</v>
      </c>
      <c r="U460" s="180">
        <f t="shared" si="132"/>
        <v>6.3180862893830616</v>
      </c>
      <c r="V460" s="182">
        <f t="shared" si="105"/>
        <v>0</v>
      </c>
      <c r="W460" s="180"/>
      <c r="X460" s="180"/>
      <c r="Y460" s="180"/>
      <c r="Z460" s="180"/>
      <c r="AA460" s="180"/>
      <c r="AB460" s="180"/>
      <c r="AC460" s="180"/>
      <c r="AD460" s="180"/>
      <c r="AE460" s="180"/>
      <c r="AF460" s="180"/>
      <c r="AG460" s="180"/>
      <c r="AH460" s="180"/>
      <c r="AI460" s="180">
        <v>47955000</v>
      </c>
      <c r="AJ460" s="181">
        <f t="shared" si="124"/>
        <v>100</v>
      </c>
      <c r="AK460" s="180">
        <f t="shared" si="130"/>
        <v>0</v>
      </c>
      <c r="AL460" s="181">
        <f t="shared" si="125"/>
        <v>0</v>
      </c>
      <c r="AM460" s="243"/>
    </row>
    <row r="461" spans="1:39" ht="30" customHeight="1" x14ac:dyDescent="0.25">
      <c r="A461" s="243"/>
      <c r="B461" s="410"/>
      <c r="C461" s="410"/>
      <c r="D461" s="410"/>
      <c r="E461" s="410"/>
      <c r="F461" s="410"/>
      <c r="G461" s="410"/>
      <c r="H461" s="410"/>
      <c r="I461" s="411"/>
      <c r="J461" s="410" t="s">
        <v>308</v>
      </c>
      <c r="K461" s="245"/>
      <c r="L461" s="257"/>
      <c r="M461" s="591" t="s">
        <v>612</v>
      </c>
      <c r="N461" s="592"/>
      <c r="O461" s="179"/>
      <c r="P461" s="180"/>
      <c r="Q461" s="180">
        <v>5000000</v>
      </c>
      <c r="R461" s="181">
        <f t="shared" si="135"/>
        <v>0.65875156807247004</v>
      </c>
      <c r="S461" s="181">
        <v>100</v>
      </c>
      <c r="T461" s="180">
        <f t="shared" si="127"/>
        <v>0</v>
      </c>
      <c r="U461" s="180">
        <f t="shared" si="132"/>
        <v>0</v>
      </c>
      <c r="V461" s="182">
        <f t="shared" si="105"/>
        <v>100</v>
      </c>
      <c r="W461" s="180"/>
      <c r="X461" s="180"/>
      <c r="Y461" s="180"/>
      <c r="Z461" s="180"/>
      <c r="AA461" s="180"/>
      <c r="AB461" s="180"/>
      <c r="AC461" s="180"/>
      <c r="AD461" s="180"/>
      <c r="AE461" s="180"/>
      <c r="AF461" s="180"/>
      <c r="AG461" s="180"/>
      <c r="AH461" s="180"/>
      <c r="AI461" s="180">
        <v>0</v>
      </c>
      <c r="AJ461" s="181">
        <f t="shared" si="124"/>
        <v>0</v>
      </c>
      <c r="AK461" s="180">
        <f t="shared" si="130"/>
        <v>5000000</v>
      </c>
      <c r="AL461" s="181">
        <f t="shared" si="125"/>
        <v>100</v>
      </c>
      <c r="AM461" s="243"/>
    </row>
    <row r="462" spans="1:39" ht="30" customHeight="1" x14ac:dyDescent="0.25">
      <c r="A462" s="243"/>
      <c r="B462" s="410"/>
      <c r="C462" s="410"/>
      <c r="D462" s="410"/>
      <c r="E462" s="410"/>
      <c r="F462" s="410"/>
      <c r="G462" s="410"/>
      <c r="H462" s="410"/>
      <c r="I462" s="411"/>
      <c r="J462" s="410" t="s">
        <v>282</v>
      </c>
      <c r="K462" s="245"/>
      <c r="L462" s="257"/>
      <c r="M462" s="591" t="s">
        <v>616</v>
      </c>
      <c r="N462" s="592"/>
      <c r="O462" s="179"/>
      <c r="P462" s="180"/>
      <c r="Q462" s="180">
        <v>63700000</v>
      </c>
      <c r="R462" s="181">
        <f t="shared" si="135"/>
        <v>8.3924949772432687</v>
      </c>
      <c r="S462" s="181">
        <v>100</v>
      </c>
      <c r="T462" s="180">
        <f t="shared" si="127"/>
        <v>43.061224489795919</v>
      </c>
      <c r="U462" s="180">
        <f t="shared" si="132"/>
        <v>3.6139111024455706</v>
      </c>
      <c r="V462" s="182">
        <f t="shared" si="105"/>
        <v>56.938775510204081</v>
      </c>
      <c r="W462" s="180"/>
      <c r="X462" s="180"/>
      <c r="Y462" s="180"/>
      <c r="Z462" s="180"/>
      <c r="AA462" s="180"/>
      <c r="AB462" s="180"/>
      <c r="AC462" s="180"/>
      <c r="AD462" s="180"/>
      <c r="AE462" s="180"/>
      <c r="AF462" s="180"/>
      <c r="AG462" s="180"/>
      <c r="AH462" s="180"/>
      <c r="AI462" s="180">
        <v>27430000</v>
      </c>
      <c r="AJ462" s="181">
        <f t="shared" si="124"/>
        <v>43.061224489795919</v>
      </c>
      <c r="AK462" s="180">
        <f t="shared" si="130"/>
        <v>36270000</v>
      </c>
      <c r="AL462" s="181">
        <f t="shared" si="125"/>
        <v>56.938775510204088</v>
      </c>
      <c r="AM462" s="243"/>
    </row>
    <row r="463" spans="1:39" ht="30" customHeight="1" x14ac:dyDescent="0.25">
      <c r="A463" s="243"/>
      <c r="B463" s="410"/>
      <c r="C463" s="410"/>
      <c r="D463" s="410"/>
      <c r="E463" s="410"/>
      <c r="F463" s="410"/>
      <c r="G463" s="410"/>
      <c r="H463" s="410"/>
      <c r="I463" s="411"/>
      <c r="J463" s="410" t="s">
        <v>308</v>
      </c>
      <c r="K463" s="245"/>
      <c r="L463" s="257"/>
      <c r="M463" s="591" t="s">
        <v>601</v>
      </c>
      <c r="N463" s="592"/>
      <c r="O463" s="179"/>
      <c r="P463" s="180"/>
      <c r="Q463" s="180">
        <v>225000000</v>
      </c>
      <c r="R463" s="181">
        <f t="shared" si="135"/>
        <v>29.643820563261151</v>
      </c>
      <c r="S463" s="181">
        <v>100</v>
      </c>
      <c r="T463" s="180">
        <f t="shared" si="127"/>
        <v>0</v>
      </c>
      <c r="U463" s="180">
        <f t="shared" si="132"/>
        <v>0</v>
      </c>
      <c r="V463" s="182">
        <f t="shared" si="105"/>
        <v>100</v>
      </c>
      <c r="W463" s="180"/>
      <c r="X463" s="180"/>
      <c r="Y463" s="180"/>
      <c r="Z463" s="180"/>
      <c r="AA463" s="180"/>
      <c r="AB463" s="180"/>
      <c r="AC463" s="180"/>
      <c r="AD463" s="180"/>
      <c r="AE463" s="180"/>
      <c r="AF463" s="180"/>
      <c r="AG463" s="180"/>
      <c r="AH463" s="180"/>
      <c r="AI463" s="180">
        <v>0</v>
      </c>
      <c r="AJ463" s="181">
        <f t="shared" si="124"/>
        <v>0</v>
      </c>
      <c r="AK463" s="180">
        <f t="shared" si="130"/>
        <v>225000000</v>
      </c>
      <c r="AL463" s="181">
        <f t="shared" si="125"/>
        <v>100</v>
      </c>
      <c r="AM463" s="243"/>
    </row>
    <row r="464" spans="1:39" ht="30" customHeight="1" x14ac:dyDescent="0.25">
      <c r="A464" s="243"/>
      <c r="B464" s="410"/>
      <c r="C464" s="410"/>
      <c r="D464" s="410"/>
      <c r="E464" s="410"/>
      <c r="F464" s="410"/>
      <c r="G464" s="410"/>
      <c r="H464" s="410"/>
      <c r="I464" s="411"/>
      <c r="J464" s="410" t="s">
        <v>309</v>
      </c>
      <c r="K464" s="245"/>
      <c r="L464" s="257"/>
      <c r="M464" s="591" t="s">
        <v>310</v>
      </c>
      <c r="N464" s="592"/>
      <c r="O464" s="179"/>
      <c r="P464" s="180"/>
      <c r="Q464" s="180">
        <v>28500000</v>
      </c>
      <c r="R464" s="181">
        <f t="shared" si="135"/>
        <v>3.7548839380130796</v>
      </c>
      <c r="S464" s="181">
        <v>100</v>
      </c>
      <c r="T464" s="180">
        <f t="shared" si="127"/>
        <v>0</v>
      </c>
      <c r="U464" s="180">
        <f t="shared" si="132"/>
        <v>0</v>
      </c>
      <c r="V464" s="182">
        <f t="shared" si="105"/>
        <v>100</v>
      </c>
      <c r="W464" s="180"/>
      <c r="X464" s="180"/>
      <c r="Y464" s="180"/>
      <c r="Z464" s="180"/>
      <c r="AA464" s="180"/>
      <c r="AB464" s="180"/>
      <c r="AC464" s="180"/>
      <c r="AD464" s="180"/>
      <c r="AE464" s="180"/>
      <c r="AF464" s="180"/>
      <c r="AG464" s="180"/>
      <c r="AH464" s="180"/>
      <c r="AI464" s="180">
        <v>0</v>
      </c>
      <c r="AJ464" s="181">
        <f t="shared" si="124"/>
        <v>0</v>
      </c>
      <c r="AK464" s="180">
        <f t="shared" si="130"/>
        <v>28500000</v>
      </c>
      <c r="AL464" s="181">
        <f t="shared" si="125"/>
        <v>100</v>
      </c>
      <c r="AM464" s="243"/>
    </row>
    <row r="465" spans="1:39" ht="30" customHeight="1" x14ac:dyDescent="0.25">
      <c r="A465" s="243"/>
      <c r="B465" s="410"/>
      <c r="C465" s="410"/>
      <c r="D465" s="410"/>
      <c r="E465" s="410"/>
      <c r="F465" s="410"/>
      <c r="G465" s="410"/>
      <c r="H465" s="410"/>
      <c r="I465" s="411"/>
      <c r="J465" s="410" t="s">
        <v>551</v>
      </c>
      <c r="K465" s="245"/>
      <c r="L465" s="257"/>
      <c r="M465" s="591" t="s">
        <v>550</v>
      </c>
      <c r="N465" s="592"/>
      <c r="O465" s="179"/>
      <c r="P465" s="180"/>
      <c r="Q465" s="180">
        <v>229500000</v>
      </c>
      <c r="R465" s="181">
        <f t="shared" si="135"/>
        <v>30.236696974526378</v>
      </c>
      <c r="S465" s="181">
        <v>100</v>
      </c>
      <c r="T465" s="180">
        <f t="shared" si="127"/>
        <v>44.444444444444443</v>
      </c>
      <c r="U465" s="180">
        <f t="shared" si="132"/>
        <v>13.43853198867839</v>
      </c>
      <c r="V465" s="182">
        <f t="shared" si="105"/>
        <v>55.555555555555557</v>
      </c>
      <c r="W465" s="180"/>
      <c r="X465" s="180"/>
      <c r="Y465" s="180"/>
      <c r="Z465" s="180"/>
      <c r="AA465" s="180"/>
      <c r="AB465" s="180"/>
      <c r="AC465" s="180"/>
      <c r="AD465" s="180"/>
      <c r="AE465" s="180"/>
      <c r="AF465" s="180"/>
      <c r="AG465" s="180"/>
      <c r="AH465" s="180"/>
      <c r="AI465" s="180">
        <f>51000000+25500000+25500000</f>
        <v>102000000</v>
      </c>
      <c r="AJ465" s="181">
        <f t="shared" si="124"/>
        <v>44.444444444444443</v>
      </c>
      <c r="AK465" s="180">
        <f t="shared" si="130"/>
        <v>127500000</v>
      </c>
      <c r="AL465" s="181">
        <f t="shared" si="125"/>
        <v>55.555555555555557</v>
      </c>
      <c r="AM465" s="243"/>
    </row>
    <row r="466" spans="1:39" s="297" customFormat="1" ht="31.5" customHeight="1" x14ac:dyDescent="0.25">
      <c r="A466" s="227">
        <f>A457+1</f>
        <v>58</v>
      </c>
      <c r="B466" s="615" t="s">
        <v>158</v>
      </c>
      <c r="C466" s="615"/>
      <c r="D466" s="615"/>
      <c r="E466" s="615"/>
      <c r="F466" s="615"/>
      <c r="G466" s="615"/>
      <c r="H466" s="615"/>
      <c r="I466" s="614"/>
      <c r="J466" s="304" t="s">
        <v>508</v>
      </c>
      <c r="K466" s="230"/>
      <c r="L466" s="294"/>
      <c r="M466" s="609" t="s">
        <v>159</v>
      </c>
      <c r="N466" s="609"/>
      <c r="O466" s="309">
        <v>355300000</v>
      </c>
      <c r="P466" s="231">
        <f>O466</f>
        <v>355300000</v>
      </c>
      <c r="Q466" s="231">
        <f>SUM(Q467:Q475)</f>
        <v>83400000</v>
      </c>
      <c r="R466" s="233">
        <f>Q466/Q$35*100</f>
        <v>0.26237757907282139</v>
      </c>
      <c r="S466" s="233">
        <v>100</v>
      </c>
      <c r="T466" s="231">
        <f t="shared" si="127"/>
        <v>3.1175059952038371</v>
      </c>
      <c r="U466" s="231">
        <f t="shared" si="132"/>
        <v>8.1796367576658941E-3</v>
      </c>
      <c r="V466" s="296">
        <f t="shared" si="105"/>
        <v>96.882494004796158</v>
      </c>
      <c r="W466" s="231"/>
      <c r="X466" s="231" t="e">
        <f>#REF!</f>
        <v>#REF!</v>
      </c>
      <c r="Y466" s="231" t="e">
        <f>#REF!</f>
        <v>#REF!</v>
      </c>
      <c r="Z466" s="231" t="e">
        <f>#REF!</f>
        <v>#REF!</v>
      </c>
      <c r="AA466" s="231" t="e">
        <f>#REF!</f>
        <v>#REF!</v>
      </c>
      <c r="AB466" s="231">
        <v>131395500</v>
      </c>
      <c r="AC466" s="231" t="e">
        <f>#REF!</f>
        <v>#REF!</v>
      </c>
      <c r="AD466" s="231" t="e">
        <f>#REF!</f>
        <v>#REF!</v>
      </c>
      <c r="AE466" s="231" t="e">
        <f>#REF!</f>
        <v>#REF!</v>
      </c>
      <c r="AF466" s="231" t="e">
        <f>[1]April!N67</f>
        <v>#REF!</v>
      </c>
      <c r="AG466" s="231" t="e">
        <f>[2]april!N77</f>
        <v>#REF!</v>
      </c>
      <c r="AH466" s="231">
        <f>'[3]DES SKPD'!$N77</f>
        <v>318242454</v>
      </c>
      <c r="AI466" s="231">
        <f>SUM(AI467:AI475)</f>
        <v>2600000</v>
      </c>
      <c r="AJ466" s="233">
        <f t="shared" si="124"/>
        <v>3.1175059952038371</v>
      </c>
      <c r="AK466" s="231">
        <f t="shared" si="130"/>
        <v>80800000</v>
      </c>
      <c r="AL466" s="233">
        <f t="shared" si="125"/>
        <v>96.882494004796158</v>
      </c>
      <c r="AM466" s="227"/>
    </row>
    <row r="467" spans="1:39" ht="24.75" customHeight="1" x14ac:dyDescent="0.25">
      <c r="A467" s="243"/>
      <c r="B467" s="410"/>
      <c r="C467" s="410"/>
      <c r="D467" s="410"/>
      <c r="E467" s="410"/>
      <c r="F467" s="410"/>
      <c r="G467" s="410"/>
      <c r="H467" s="410"/>
      <c r="I467" s="411"/>
      <c r="J467" s="410" t="s">
        <v>257</v>
      </c>
      <c r="K467" s="245"/>
      <c r="L467" s="257"/>
      <c r="M467" s="591" t="s">
        <v>258</v>
      </c>
      <c r="N467" s="592"/>
      <c r="O467" s="179"/>
      <c r="P467" s="180"/>
      <c r="Q467" s="180">
        <v>2600000</v>
      </c>
      <c r="R467" s="181">
        <f>Q467/Q$466*100</f>
        <v>3.1175059952038371</v>
      </c>
      <c r="S467" s="181">
        <v>100</v>
      </c>
      <c r="T467" s="180">
        <f t="shared" si="127"/>
        <v>0</v>
      </c>
      <c r="U467" s="180">
        <f t="shared" si="132"/>
        <v>0</v>
      </c>
      <c r="V467" s="182">
        <f t="shared" si="105"/>
        <v>100</v>
      </c>
      <c r="W467" s="180"/>
      <c r="X467" s="180"/>
      <c r="Y467" s="180"/>
      <c r="Z467" s="180"/>
      <c r="AA467" s="180"/>
      <c r="AB467" s="180"/>
      <c r="AC467" s="180"/>
      <c r="AD467" s="180"/>
      <c r="AE467" s="180"/>
      <c r="AF467" s="180"/>
      <c r="AG467" s="180"/>
      <c r="AH467" s="180"/>
      <c r="AI467" s="180">
        <v>0</v>
      </c>
      <c r="AJ467" s="181">
        <f t="shared" si="124"/>
        <v>0</v>
      </c>
      <c r="AK467" s="180">
        <f t="shared" si="130"/>
        <v>2600000</v>
      </c>
      <c r="AL467" s="181">
        <f t="shared" si="125"/>
        <v>100</v>
      </c>
      <c r="AM467" s="243"/>
    </row>
    <row r="468" spans="1:39" ht="24.75" customHeight="1" x14ac:dyDescent="0.25">
      <c r="A468" s="243"/>
      <c r="B468" s="410"/>
      <c r="C468" s="410"/>
      <c r="D468" s="410"/>
      <c r="E468" s="410"/>
      <c r="F468" s="410"/>
      <c r="G468" s="410"/>
      <c r="H468" s="410"/>
      <c r="I468" s="411"/>
      <c r="J468" s="410" t="s">
        <v>269</v>
      </c>
      <c r="K468" s="245"/>
      <c r="L468" s="257"/>
      <c r="M468" s="591" t="s">
        <v>352</v>
      </c>
      <c r="N468" s="592"/>
      <c r="O468" s="179"/>
      <c r="P468" s="180"/>
      <c r="Q468" s="180">
        <v>3000000</v>
      </c>
      <c r="R468" s="181">
        <f t="shared" ref="R468:R475" si="136">Q468/Q$466*100</f>
        <v>3.5971223021582732</v>
      </c>
      <c r="S468" s="181">
        <v>100</v>
      </c>
      <c r="T468" s="180">
        <f t="shared" si="127"/>
        <v>0</v>
      </c>
      <c r="U468" s="180">
        <f t="shared" si="132"/>
        <v>0</v>
      </c>
      <c r="V468" s="182">
        <f t="shared" si="105"/>
        <v>100</v>
      </c>
      <c r="W468" s="180"/>
      <c r="X468" s="180"/>
      <c r="Y468" s="180"/>
      <c r="Z468" s="180"/>
      <c r="AA468" s="180"/>
      <c r="AB468" s="180"/>
      <c r="AC468" s="180"/>
      <c r="AD468" s="180"/>
      <c r="AE468" s="180"/>
      <c r="AF468" s="180"/>
      <c r="AG468" s="180"/>
      <c r="AH468" s="180"/>
      <c r="AI468" s="180">
        <v>0</v>
      </c>
      <c r="AJ468" s="181">
        <f t="shared" si="124"/>
        <v>0</v>
      </c>
      <c r="AK468" s="180">
        <f t="shared" si="130"/>
        <v>3000000</v>
      </c>
      <c r="AL468" s="181">
        <f t="shared" si="125"/>
        <v>100</v>
      </c>
      <c r="AM468" s="243"/>
    </row>
    <row r="469" spans="1:39" ht="24.75" customHeight="1" x14ac:dyDescent="0.25">
      <c r="A469" s="243"/>
      <c r="B469" s="410"/>
      <c r="C469" s="410"/>
      <c r="D469" s="410"/>
      <c r="E469" s="410"/>
      <c r="F469" s="410"/>
      <c r="G469" s="410"/>
      <c r="H469" s="410"/>
      <c r="I469" s="411"/>
      <c r="J469" s="410" t="s">
        <v>315</v>
      </c>
      <c r="K469" s="245"/>
      <c r="L469" s="257"/>
      <c r="M469" s="591" t="s">
        <v>271</v>
      </c>
      <c r="N469" s="592"/>
      <c r="O469" s="179"/>
      <c r="P469" s="180"/>
      <c r="Q469" s="180">
        <v>1400000</v>
      </c>
      <c r="R469" s="181">
        <f t="shared" si="136"/>
        <v>1.6786570743405276</v>
      </c>
      <c r="S469" s="181">
        <v>100</v>
      </c>
      <c r="T469" s="180">
        <f t="shared" si="127"/>
        <v>21.428571428571427</v>
      </c>
      <c r="U469" s="180">
        <f t="shared" si="132"/>
        <v>0.35971223021582732</v>
      </c>
      <c r="V469" s="182">
        <f t="shared" si="105"/>
        <v>78.571428571428569</v>
      </c>
      <c r="W469" s="180"/>
      <c r="X469" s="180"/>
      <c r="Y469" s="180"/>
      <c r="Z469" s="180"/>
      <c r="AA469" s="180"/>
      <c r="AB469" s="180"/>
      <c r="AC469" s="180"/>
      <c r="AD469" s="180"/>
      <c r="AE469" s="180"/>
      <c r="AF469" s="180"/>
      <c r="AG469" s="180"/>
      <c r="AH469" s="180"/>
      <c r="AI469" s="180">
        <v>300000</v>
      </c>
      <c r="AJ469" s="181">
        <f t="shared" si="124"/>
        <v>21.428571428571427</v>
      </c>
      <c r="AK469" s="180">
        <f t="shared" si="130"/>
        <v>1100000</v>
      </c>
      <c r="AL469" s="181">
        <f t="shared" si="125"/>
        <v>78.571428571428569</v>
      </c>
      <c r="AM469" s="243"/>
    </row>
    <row r="470" spans="1:39" ht="24.75" customHeight="1" x14ac:dyDescent="0.25">
      <c r="A470" s="243"/>
      <c r="B470" s="410"/>
      <c r="C470" s="410"/>
      <c r="D470" s="410"/>
      <c r="E470" s="410"/>
      <c r="F470" s="410"/>
      <c r="G470" s="410"/>
      <c r="H470" s="410"/>
      <c r="I470" s="411"/>
      <c r="J470" s="410"/>
      <c r="K470" s="245"/>
      <c r="L470" s="257"/>
      <c r="M470" s="591" t="s">
        <v>612</v>
      </c>
      <c r="N470" s="592"/>
      <c r="O470" s="179"/>
      <c r="P470" s="180"/>
      <c r="Q470" s="180">
        <v>1200000</v>
      </c>
      <c r="R470" s="181">
        <f t="shared" si="136"/>
        <v>1.4388489208633095</v>
      </c>
      <c r="S470" s="181">
        <v>100</v>
      </c>
      <c r="T470" s="180">
        <f t="shared" si="127"/>
        <v>0</v>
      </c>
      <c r="U470" s="180">
        <f t="shared" si="132"/>
        <v>0</v>
      </c>
      <c r="V470" s="182">
        <f t="shared" si="105"/>
        <v>100</v>
      </c>
      <c r="W470" s="180"/>
      <c r="X470" s="180"/>
      <c r="Y470" s="180"/>
      <c r="Z470" s="180"/>
      <c r="AA470" s="180"/>
      <c r="AB470" s="180"/>
      <c r="AC470" s="180"/>
      <c r="AD470" s="180"/>
      <c r="AE470" s="180"/>
      <c r="AF470" s="180"/>
      <c r="AG470" s="180"/>
      <c r="AH470" s="180"/>
      <c r="AI470" s="180">
        <v>0</v>
      </c>
      <c r="AJ470" s="181">
        <f t="shared" si="124"/>
        <v>0</v>
      </c>
      <c r="AK470" s="180">
        <f t="shared" si="130"/>
        <v>1200000</v>
      </c>
      <c r="AL470" s="181">
        <f t="shared" si="125"/>
        <v>100</v>
      </c>
      <c r="AM470" s="243"/>
    </row>
    <row r="471" spans="1:39" ht="33" customHeight="1" x14ac:dyDescent="0.25">
      <c r="A471" s="243"/>
      <c r="B471" s="410"/>
      <c r="C471" s="410"/>
      <c r="D471" s="410"/>
      <c r="E471" s="410"/>
      <c r="F471" s="410"/>
      <c r="G471" s="410"/>
      <c r="H471" s="410"/>
      <c r="I471" s="411"/>
      <c r="J471" s="410" t="s">
        <v>318</v>
      </c>
      <c r="K471" s="245"/>
      <c r="L471" s="257"/>
      <c r="M471" s="591" t="s">
        <v>319</v>
      </c>
      <c r="N471" s="592"/>
      <c r="O471" s="179"/>
      <c r="P471" s="180"/>
      <c r="Q471" s="180">
        <v>36000000</v>
      </c>
      <c r="R471" s="181">
        <f t="shared" si="136"/>
        <v>43.165467625899282</v>
      </c>
      <c r="S471" s="181">
        <v>100</v>
      </c>
      <c r="T471" s="180">
        <f t="shared" si="127"/>
        <v>0</v>
      </c>
      <c r="U471" s="180">
        <f t="shared" si="132"/>
        <v>0</v>
      </c>
      <c r="V471" s="182">
        <f t="shared" si="105"/>
        <v>100</v>
      </c>
      <c r="W471" s="180"/>
      <c r="X471" s="180"/>
      <c r="Y471" s="180"/>
      <c r="Z471" s="180"/>
      <c r="AA471" s="180"/>
      <c r="AB471" s="180"/>
      <c r="AC471" s="180"/>
      <c r="AD471" s="180"/>
      <c r="AE471" s="180"/>
      <c r="AF471" s="180"/>
      <c r="AG471" s="180"/>
      <c r="AH471" s="180"/>
      <c r="AI471" s="180">
        <v>0</v>
      </c>
      <c r="AJ471" s="181">
        <f t="shared" si="124"/>
        <v>0</v>
      </c>
      <c r="AK471" s="180">
        <f t="shared" si="130"/>
        <v>36000000</v>
      </c>
      <c r="AL471" s="181">
        <f t="shared" si="125"/>
        <v>100</v>
      </c>
      <c r="AM471" s="243"/>
    </row>
    <row r="472" spans="1:39" ht="24.75" customHeight="1" x14ac:dyDescent="0.25">
      <c r="A472" s="243"/>
      <c r="B472" s="410"/>
      <c r="C472" s="410"/>
      <c r="D472" s="410"/>
      <c r="E472" s="410"/>
      <c r="F472" s="410"/>
      <c r="G472" s="410"/>
      <c r="H472" s="410"/>
      <c r="I472" s="411"/>
      <c r="J472" s="410" t="s">
        <v>284</v>
      </c>
      <c r="K472" s="245"/>
      <c r="L472" s="257"/>
      <c r="M472" s="591" t="s">
        <v>285</v>
      </c>
      <c r="N472" s="592"/>
      <c r="O472" s="179"/>
      <c r="P472" s="180"/>
      <c r="Q472" s="180">
        <v>10000000</v>
      </c>
      <c r="R472" s="181">
        <f t="shared" si="136"/>
        <v>11.990407673860911</v>
      </c>
      <c r="S472" s="181">
        <v>100</v>
      </c>
      <c r="T472" s="180">
        <f t="shared" si="127"/>
        <v>11</v>
      </c>
      <c r="U472" s="180">
        <f t="shared" si="132"/>
        <v>1.3189448441247003</v>
      </c>
      <c r="V472" s="182">
        <f t="shared" si="105"/>
        <v>89</v>
      </c>
      <c r="W472" s="180"/>
      <c r="X472" s="180"/>
      <c r="Y472" s="180"/>
      <c r="Z472" s="180"/>
      <c r="AA472" s="180"/>
      <c r="AB472" s="180"/>
      <c r="AC472" s="180"/>
      <c r="AD472" s="180"/>
      <c r="AE472" s="180"/>
      <c r="AF472" s="180"/>
      <c r="AG472" s="180"/>
      <c r="AH472" s="180"/>
      <c r="AI472" s="180">
        <v>1100000</v>
      </c>
      <c r="AJ472" s="181">
        <f t="shared" si="124"/>
        <v>11</v>
      </c>
      <c r="AK472" s="180">
        <f t="shared" si="130"/>
        <v>8900000</v>
      </c>
      <c r="AL472" s="181">
        <f t="shared" si="125"/>
        <v>89</v>
      </c>
      <c r="AM472" s="243"/>
    </row>
    <row r="473" spans="1:39" ht="24.75" customHeight="1" x14ac:dyDescent="0.25">
      <c r="A473" s="243"/>
      <c r="B473" s="410"/>
      <c r="C473" s="410"/>
      <c r="D473" s="410"/>
      <c r="E473" s="410"/>
      <c r="F473" s="410"/>
      <c r="G473" s="410"/>
      <c r="H473" s="410"/>
      <c r="I473" s="411"/>
      <c r="J473" s="410"/>
      <c r="K473" s="245"/>
      <c r="L473" s="257"/>
      <c r="M473" s="591" t="s">
        <v>503</v>
      </c>
      <c r="N473" s="592"/>
      <c r="O473" s="179"/>
      <c r="P473" s="180"/>
      <c r="Q473" s="180">
        <v>12000000</v>
      </c>
      <c r="R473" s="181">
        <f t="shared" si="136"/>
        <v>14.388489208633093</v>
      </c>
      <c r="S473" s="181">
        <v>100</v>
      </c>
      <c r="T473" s="180">
        <f t="shared" si="127"/>
        <v>10</v>
      </c>
      <c r="U473" s="180">
        <f t="shared" si="132"/>
        <v>1.4388489208633093</v>
      </c>
      <c r="V473" s="182">
        <f t="shared" si="105"/>
        <v>90</v>
      </c>
      <c r="W473" s="180"/>
      <c r="X473" s="180"/>
      <c r="Y473" s="180"/>
      <c r="Z473" s="180"/>
      <c r="AA473" s="180"/>
      <c r="AB473" s="180"/>
      <c r="AC473" s="180"/>
      <c r="AD473" s="180"/>
      <c r="AE473" s="180"/>
      <c r="AF473" s="180"/>
      <c r="AG473" s="180"/>
      <c r="AH473" s="180"/>
      <c r="AI473" s="180">
        <v>1200000</v>
      </c>
      <c r="AJ473" s="181">
        <f t="shared" si="124"/>
        <v>10</v>
      </c>
      <c r="AK473" s="180">
        <f t="shared" si="130"/>
        <v>10800000</v>
      </c>
      <c r="AL473" s="181">
        <f t="shared" si="125"/>
        <v>90</v>
      </c>
      <c r="AM473" s="243"/>
    </row>
    <row r="474" spans="1:39" ht="24.75" customHeight="1" x14ac:dyDescent="0.25">
      <c r="A474" s="243"/>
      <c r="B474" s="410"/>
      <c r="C474" s="410"/>
      <c r="D474" s="410"/>
      <c r="E474" s="410"/>
      <c r="F474" s="410"/>
      <c r="G474" s="410"/>
      <c r="H474" s="410"/>
      <c r="I474" s="411"/>
      <c r="J474" s="410" t="s">
        <v>320</v>
      </c>
      <c r="K474" s="245"/>
      <c r="L474" s="257"/>
      <c r="M474" s="611" t="s">
        <v>321</v>
      </c>
      <c r="N474" s="598"/>
      <c r="O474" s="179"/>
      <c r="P474" s="180"/>
      <c r="Q474" s="180">
        <v>11600000</v>
      </c>
      <c r="R474" s="181">
        <f t="shared" si="136"/>
        <v>13.908872901678656</v>
      </c>
      <c r="S474" s="181">
        <v>100</v>
      </c>
      <c r="T474" s="180">
        <f t="shared" si="127"/>
        <v>0</v>
      </c>
      <c r="U474" s="180">
        <f t="shared" si="132"/>
        <v>0</v>
      </c>
      <c r="V474" s="182">
        <f t="shared" si="105"/>
        <v>100</v>
      </c>
      <c r="W474" s="180"/>
      <c r="X474" s="180"/>
      <c r="Y474" s="180"/>
      <c r="Z474" s="180"/>
      <c r="AA474" s="180"/>
      <c r="AB474" s="180"/>
      <c r="AC474" s="180"/>
      <c r="AD474" s="180"/>
      <c r="AE474" s="180"/>
      <c r="AF474" s="180"/>
      <c r="AG474" s="180"/>
      <c r="AH474" s="180"/>
      <c r="AI474" s="180">
        <v>0</v>
      </c>
      <c r="AJ474" s="181">
        <f t="shared" ref="AJ474:AJ537" si="137">AI474/Q474*100</f>
        <v>0</v>
      </c>
      <c r="AK474" s="180">
        <f t="shared" si="130"/>
        <v>11600000</v>
      </c>
      <c r="AL474" s="181">
        <f t="shared" ref="AL474:AL511" si="138">AK474/Q474*100</f>
        <v>100</v>
      </c>
      <c r="AM474" s="243"/>
    </row>
    <row r="475" spans="1:39" ht="24.75" customHeight="1" x14ac:dyDescent="0.25">
      <c r="A475" s="243"/>
      <c r="B475" s="410"/>
      <c r="C475" s="410"/>
      <c r="D475" s="410"/>
      <c r="E475" s="410"/>
      <c r="F475" s="410"/>
      <c r="G475" s="410"/>
      <c r="H475" s="410"/>
      <c r="I475" s="411"/>
      <c r="J475" s="410" t="s">
        <v>407</v>
      </c>
      <c r="K475" s="245"/>
      <c r="L475" s="257"/>
      <c r="M475" s="591" t="s">
        <v>414</v>
      </c>
      <c r="N475" s="592"/>
      <c r="O475" s="179"/>
      <c r="P475" s="180"/>
      <c r="Q475" s="180">
        <v>5600000</v>
      </c>
      <c r="R475" s="181">
        <f t="shared" si="136"/>
        <v>6.7146282973621103</v>
      </c>
      <c r="S475" s="181">
        <v>100</v>
      </c>
      <c r="T475" s="180">
        <f t="shared" si="127"/>
        <v>0</v>
      </c>
      <c r="U475" s="180">
        <f t="shared" si="132"/>
        <v>0</v>
      </c>
      <c r="V475" s="182">
        <f t="shared" si="105"/>
        <v>100</v>
      </c>
      <c r="W475" s="180"/>
      <c r="X475" s="180"/>
      <c r="Y475" s="180"/>
      <c r="Z475" s="180"/>
      <c r="AA475" s="180"/>
      <c r="AB475" s="180"/>
      <c r="AC475" s="180"/>
      <c r="AD475" s="180"/>
      <c r="AE475" s="180"/>
      <c r="AF475" s="180"/>
      <c r="AG475" s="180"/>
      <c r="AH475" s="180"/>
      <c r="AI475" s="180">
        <v>0</v>
      </c>
      <c r="AJ475" s="181">
        <f t="shared" si="137"/>
        <v>0</v>
      </c>
      <c r="AK475" s="180">
        <f t="shared" si="130"/>
        <v>5600000</v>
      </c>
      <c r="AL475" s="181">
        <f t="shared" si="138"/>
        <v>100</v>
      </c>
      <c r="AM475" s="243"/>
    </row>
    <row r="476" spans="1:39" ht="33.75" customHeight="1" x14ac:dyDescent="0.25">
      <c r="A476" s="227">
        <v>59</v>
      </c>
      <c r="B476" s="410"/>
      <c r="C476" s="410"/>
      <c r="D476" s="410"/>
      <c r="E476" s="410"/>
      <c r="F476" s="410"/>
      <c r="G476" s="410"/>
      <c r="H476" s="410"/>
      <c r="I476" s="411"/>
      <c r="J476" s="304" t="s">
        <v>511</v>
      </c>
      <c r="K476" s="230"/>
      <c r="L476" s="294"/>
      <c r="M476" s="609" t="s">
        <v>512</v>
      </c>
      <c r="N476" s="609"/>
      <c r="O476" s="309">
        <v>355300000</v>
      </c>
      <c r="P476" s="231">
        <f>O476</f>
        <v>355300000</v>
      </c>
      <c r="Q476" s="231">
        <f>SUM(Q477:Q482)</f>
        <v>14850000</v>
      </c>
      <c r="R476" s="233">
        <f>Q476/Q$248*100</f>
        <v>0.12449860247111945</v>
      </c>
      <c r="S476" s="233">
        <v>100</v>
      </c>
      <c r="T476" s="231">
        <f t="shared" si="127"/>
        <v>0</v>
      </c>
      <c r="U476" s="231">
        <f t="shared" si="132"/>
        <v>0</v>
      </c>
      <c r="V476" s="296">
        <f t="shared" si="105"/>
        <v>100</v>
      </c>
      <c r="W476" s="231"/>
      <c r="X476" s="231" t="e">
        <f>#REF!</f>
        <v>#REF!</v>
      </c>
      <c r="Y476" s="231" t="e">
        <f>#REF!</f>
        <v>#REF!</v>
      </c>
      <c r="Z476" s="231" t="e">
        <f>#REF!</f>
        <v>#REF!</v>
      </c>
      <c r="AA476" s="231" t="e">
        <f>#REF!</f>
        <v>#REF!</v>
      </c>
      <c r="AB476" s="231">
        <v>131395500</v>
      </c>
      <c r="AC476" s="231" t="e">
        <f>#REF!</f>
        <v>#REF!</v>
      </c>
      <c r="AD476" s="231" t="e">
        <f>#REF!</f>
        <v>#REF!</v>
      </c>
      <c r="AE476" s="231" t="e">
        <f>#REF!</f>
        <v>#REF!</v>
      </c>
      <c r="AF476" s="231" t="e">
        <f>[1]April!N80</f>
        <v>#REF!</v>
      </c>
      <c r="AG476" s="231" t="e">
        <f>[2]april!N90</f>
        <v>#REF!</v>
      </c>
      <c r="AH476" s="231" t="e">
        <f>'[3]DES SKPD'!$N90</f>
        <v>#REF!</v>
      </c>
      <c r="AI476" s="231">
        <f>SUM(AI477:AI482)</f>
        <v>0</v>
      </c>
      <c r="AJ476" s="233">
        <f t="shared" si="137"/>
        <v>0</v>
      </c>
      <c r="AK476" s="231">
        <f t="shared" si="130"/>
        <v>14850000</v>
      </c>
      <c r="AL476" s="233">
        <f t="shared" si="138"/>
        <v>100</v>
      </c>
      <c r="AM476" s="227"/>
    </row>
    <row r="477" spans="1:39" ht="24.75" customHeight="1" x14ac:dyDescent="0.25">
      <c r="A477" s="243"/>
      <c r="B477" s="410"/>
      <c r="C477" s="410"/>
      <c r="D477" s="410"/>
      <c r="E477" s="410"/>
      <c r="F477" s="410"/>
      <c r="G477" s="410"/>
      <c r="H477" s="410"/>
      <c r="I477" s="411"/>
      <c r="J477" s="410" t="s">
        <v>257</v>
      </c>
      <c r="K477" s="245"/>
      <c r="L477" s="257"/>
      <c r="M477" s="591" t="s">
        <v>260</v>
      </c>
      <c r="N477" s="592"/>
      <c r="O477" s="179"/>
      <c r="P477" s="180"/>
      <c r="Q477" s="180">
        <v>650000</v>
      </c>
      <c r="R477" s="181">
        <f t="shared" ref="R477:R482" si="139">Q477/Q$476*100</f>
        <v>4.3771043771043772</v>
      </c>
      <c r="S477" s="181">
        <v>100</v>
      </c>
      <c r="T477" s="180">
        <f t="shared" si="127"/>
        <v>0</v>
      </c>
      <c r="U477" s="180">
        <f t="shared" si="132"/>
        <v>0</v>
      </c>
      <c r="V477" s="182">
        <f t="shared" si="105"/>
        <v>100</v>
      </c>
      <c r="W477" s="180"/>
      <c r="X477" s="180"/>
      <c r="Y477" s="180"/>
      <c r="Z477" s="180"/>
      <c r="AA477" s="180"/>
      <c r="AB477" s="180"/>
      <c r="AC477" s="180"/>
      <c r="AD477" s="180"/>
      <c r="AE477" s="180"/>
      <c r="AF477" s="180"/>
      <c r="AG477" s="180"/>
      <c r="AH477" s="180"/>
      <c r="AI477" s="180">
        <v>0</v>
      </c>
      <c r="AJ477" s="181">
        <f t="shared" si="137"/>
        <v>0</v>
      </c>
      <c r="AK477" s="180">
        <f t="shared" si="130"/>
        <v>650000</v>
      </c>
      <c r="AL477" s="181">
        <f t="shared" si="138"/>
        <v>100</v>
      </c>
      <c r="AM477" s="243"/>
    </row>
    <row r="478" spans="1:39" ht="24.75" customHeight="1" x14ac:dyDescent="0.25">
      <c r="A478" s="243"/>
      <c r="B478" s="410"/>
      <c r="C478" s="410"/>
      <c r="D478" s="410"/>
      <c r="E478" s="410"/>
      <c r="F478" s="410"/>
      <c r="G478" s="410"/>
      <c r="H478" s="410"/>
      <c r="I478" s="411"/>
      <c r="J478" s="410" t="s">
        <v>326</v>
      </c>
      <c r="K478" s="245"/>
      <c r="L478" s="257"/>
      <c r="M478" s="591" t="s">
        <v>351</v>
      </c>
      <c r="N478" s="592"/>
      <c r="O478" s="179"/>
      <c r="P478" s="180"/>
      <c r="Q478" s="180">
        <v>250000</v>
      </c>
      <c r="R478" s="181">
        <f t="shared" si="139"/>
        <v>1.6835016835016834</v>
      </c>
      <c r="S478" s="181">
        <v>100</v>
      </c>
      <c r="T478" s="180">
        <f t="shared" si="127"/>
        <v>0</v>
      </c>
      <c r="U478" s="180">
        <f t="shared" si="132"/>
        <v>0</v>
      </c>
      <c r="V478" s="182">
        <f t="shared" si="105"/>
        <v>100</v>
      </c>
      <c r="W478" s="180"/>
      <c r="X478" s="180"/>
      <c r="Y478" s="180"/>
      <c r="Z478" s="180"/>
      <c r="AA478" s="180"/>
      <c r="AB478" s="180"/>
      <c r="AC478" s="180"/>
      <c r="AD478" s="180"/>
      <c r="AE478" s="180"/>
      <c r="AF478" s="180"/>
      <c r="AG478" s="180"/>
      <c r="AH478" s="180"/>
      <c r="AI478" s="180">
        <v>0</v>
      </c>
      <c r="AJ478" s="181">
        <f t="shared" si="137"/>
        <v>0</v>
      </c>
      <c r="AK478" s="180">
        <f t="shared" si="130"/>
        <v>250000</v>
      </c>
      <c r="AL478" s="181">
        <f t="shared" si="138"/>
        <v>100</v>
      </c>
      <c r="AM478" s="243"/>
    </row>
    <row r="479" spans="1:39" ht="24.75" customHeight="1" x14ac:dyDescent="0.25">
      <c r="A479" s="243"/>
      <c r="B479" s="410"/>
      <c r="C479" s="410"/>
      <c r="D479" s="410"/>
      <c r="E479" s="410"/>
      <c r="F479" s="410"/>
      <c r="G479" s="410"/>
      <c r="H479" s="410"/>
      <c r="I479" s="411"/>
      <c r="J479" s="410" t="s">
        <v>315</v>
      </c>
      <c r="K479" s="245"/>
      <c r="L479" s="257"/>
      <c r="M479" s="591" t="s">
        <v>271</v>
      </c>
      <c r="N479" s="592"/>
      <c r="O479" s="179"/>
      <c r="P479" s="180"/>
      <c r="Q479" s="180">
        <v>250000</v>
      </c>
      <c r="R479" s="181">
        <f t="shared" si="139"/>
        <v>1.6835016835016834</v>
      </c>
      <c r="S479" s="181">
        <v>100</v>
      </c>
      <c r="T479" s="180">
        <f t="shared" si="127"/>
        <v>0</v>
      </c>
      <c r="U479" s="180">
        <f t="shared" si="132"/>
        <v>0</v>
      </c>
      <c r="V479" s="182">
        <f t="shared" si="105"/>
        <v>100</v>
      </c>
      <c r="W479" s="180"/>
      <c r="X479" s="180"/>
      <c r="Y479" s="180"/>
      <c r="Z479" s="180"/>
      <c r="AA479" s="180"/>
      <c r="AB479" s="180"/>
      <c r="AC479" s="180"/>
      <c r="AD479" s="180"/>
      <c r="AE479" s="180"/>
      <c r="AF479" s="180"/>
      <c r="AG479" s="180"/>
      <c r="AH479" s="180"/>
      <c r="AI479" s="180">
        <v>0</v>
      </c>
      <c r="AJ479" s="181">
        <f t="shared" si="137"/>
        <v>0</v>
      </c>
      <c r="AK479" s="180">
        <f t="shared" si="130"/>
        <v>250000</v>
      </c>
      <c r="AL479" s="181">
        <f t="shared" si="138"/>
        <v>100</v>
      </c>
      <c r="AM479" s="243"/>
    </row>
    <row r="480" spans="1:39" ht="29.25" customHeight="1" x14ac:dyDescent="0.25">
      <c r="A480" s="243"/>
      <c r="B480" s="410"/>
      <c r="C480" s="410"/>
      <c r="D480" s="410"/>
      <c r="E480" s="410"/>
      <c r="F480" s="410"/>
      <c r="G480" s="410"/>
      <c r="H480" s="410"/>
      <c r="I480" s="411"/>
      <c r="J480" s="410" t="s">
        <v>318</v>
      </c>
      <c r="K480" s="245"/>
      <c r="L480" s="257"/>
      <c r="M480" s="591" t="s">
        <v>329</v>
      </c>
      <c r="N480" s="592"/>
      <c r="O480" s="179"/>
      <c r="P480" s="180"/>
      <c r="Q480" s="180">
        <v>5000000</v>
      </c>
      <c r="R480" s="181">
        <f t="shared" si="139"/>
        <v>33.670033670033675</v>
      </c>
      <c r="S480" s="181">
        <v>100</v>
      </c>
      <c r="T480" s="180">
        <f t="shared" si="127"/>
        <v>0</v>
      </c>
      <c r="U480" s="180">
        <f t="shared" si="132"/>
        <v>0</v>
      </c>
      <c r="V480" s="182">
        <f t="shared" si="105"/>
        <v>100</v>
      </c>
      <c r="W480" s="180"/>
      <c r="X480" s="180"/>
      <c r="Y480" s="180"/>
      <c r="Z480" s="180"/>
      <c r="AA480" s="180"/>
      <c r="AB480" s="180"/>
      <c r="AC480" s="180"/>
      <c r="AD480" s="180"/>
      <c r="AE480" s="180"/>
      <c r="AF480" s="180"/>
      <c r="AG480" s="180"/>
      <c r="AH480" s="180"/>
      <c r="AI480" s="180">
        <v>0</v>
      </c>
      <c r="AJ480" s="181">
        <f t="shared" si="137"/>
        <v>0</v>
      </c>
      <c r="AK480" s="180">
        <f t="shared" si="130"/>
        <v>5000000</v>
      </c>
      <c r="AL480" s="181">
        <f t="shared" si="138"/>
        <v>100</v>
      </c>
      <c r="AM480" s="243"/>
    </row>
    <row r="481" spans="1:39" ht="29.25" customHeight="1" x14ac:dyDescent="0.25">
      <c r="A481" s="243"/>
      <c r="B481" s="410"/>
      <c r="C481" s="410"/>
      <c r="D481" s="410"/>
      <c r="E481" s="410"/>
      <c r="F481" s="410"/>
      <c r="G481" s="410"/>
      <c r="H481" s="410"/>
      <c r="I481" s="411"/>
      <c r="J481" s="410" t="s">
        <v>284</v>
      </c>
      <c r="K481" s="245"/>
      <c r="L481" s="257"/>
      <c r="M481" s="591" t="s">
        <v>285</v>
      </c>
      <c r="N481" s="592"/>
      <c r="O481" s="179"/>
      <c r="P481" s="180"/>
      <c r="Q481" s="180">
        <v>2200000</v>
      </c>
      <c r="R481" s="181">
        <f t="shared" si="139"/>
        <v>14.814814814814813</v>
      </c>
      <c r="S481" s="181">
        <v>100</v>
      </c>
      <c r="T481" s="180">
        <f t="shared" si="127"/>
        <v>0</v>
      </c>
      <c r="U481" s="180">
        <f t="shared" si="132"/>
        <v>0</v>
      </c>
      <c r="V481" s="182">
        <f t="shared" si="105"/>
        <v>100</v>
      </c>
      <c r="W481" s="180"/>
      <c r="X481" s="180"/>
      <c r="Y481" s="180"/>
      <c r="Z481" s="180"/>
      <c r="AA481" s="180"/>
      <c r="AB481" s="180"/>
      <c r="AC481" s="180"/>
      <c r="AD481" s="180"/>
      <c r="AE481" s="180"/>
      <c r="AF481" s="180"/>
      <c r="AG481" s="180"/>
      <c r="AH481" s="180"/>
      <c r="AI481" s="180">
        <v>0</v>
      </c>
      <c r="AJ481" s="181">
        <f t="shared" si="137"/>
        <v>0</v>
      </c>
      <c r="AK481" s="180">
        <f t="shared" si="130"/>
        <v>2200000</v>
      </c>
      <c r="AL481" s="181">
        <f t="shared" si="138"/>
        <v>100</v>
      </c>
      <c r="AM481" s="243"/>
    </row>
    <row r="482" spans="1:39" ht="24.75" customHeight="1" x14ac:dyDescent="0.25">
      <c r="A482" s="243"/>
      <c r="B482" s="410"/>
      <c r="C482" s="410"/>
      <c r="D482" s="410"/>
      <c r="E482" s="410"/>
      <c r="F482" s="410"/>
      <c r="G482" s="410"/>
      <c r="H482" s="410"/>
      <c r="I482" s="411"/>
      <c r="J482" s="410" t="s">
        <v>282</v>
      </c>
      <c r="K482" s="245"/>
      <c r="L482" s="257"/>
      <c r="M482" s="616" t="s">
        <v>418</v>
      </c>
      <c r="N482" s="617"/>
      <c r="O482" s="179"/>
      <c r="P482" s="180"/>
      <c r="Q482" s="180">
        <v>6500000</v>
      </c>
      <c r="R482" s="181">
        <f t="shared" si="139"/>
        <v>43.771043771043772</v>
      </c>
      <c r="S482" s="181">
        <v>100</v>
      </c>
      <c r="T482" s="180">
        <f t="shared" si="127"/>
        <v>0</v>
      </c>
      <c r="U482" s="180">
        <f t="shared" si="132"/>
        <v>0</v>
      </c>
      <c r="V482" s="182">
        <f t="shared" si="105"/>
        <v>100</v>
      </c>
      <c r="W482" s="180"/>
      <c r="X482" s="180"/>
      <c r="Y482" s="180"/>
      <c r="Z482" s="180"/>
      <c r="AA482" s="180"/>
      <c r="AB482" s="180"/>
      <c r="AC482" s="180"/>
      <c r="AD482" s="180"/>
      <c r="AE482" s="180"/>
      <c r="AF482" s="180"/>
      <c r="AG482" s="180"/>
      <c r="AH482" s="180"/>
      <c r="AI482" s="180">
        <v>0</v>
      </c>
      <c r="AJ482" s="181">
        <f t="shared" si="137"/>
        <v>0</v>
      </c>
      <c r="AK482" s="180">
        <f t="shared" si="130"/>
        <v>6500000</v>
      </c>
      <c r="AL482" s="181">
        <f t="shared" si="138"/>
        <v>100</v>
      </c>
      <c r="AM482" s="243"/>
    </row>
    <row r="483" spans="1:39" ht="30.75" customHeight="1" x14ac:dyDescent="0.25">
      <c r="A483" s="227">
        <v>60</v>
      </c>
      <c r="B483" s="410"/>
      <c r="C483" s="410"/>
      <c r="D483" s="410"/>
      <c r="E483" s="410"/>
      <c r="F483" s="410"/>
      <c r="G483" s="410"/>
      <c r="H483" s="410"/>
      <c r="I483" s="411"/>
      <c r="J483" s="304" t="s">
        <v>513</v>
      </c>
      <c r="M483" s="609" t="s">
        <v>160</v>
      </c>
      <c r="N483" s="609"/>
      <c r="O483" s="309">
        <v>355300000</v>
      </c>
      <c r="P483" s="231">
        <f>O483</f>
        <v>355300000</v>
      </c>
      <c r="Q483" s="231">
        <f>SUM(Q484:Q489)</f>
        <v>241740393</v>
      </c>
      <c r="R483" s="233">
        <f>Q483/Q$248*100</f>
        <v>2.0266896356443893</v>
      </c>
      <c r="S483" s="233">
        <v>100</v>
      </c>
      <c r="T483" s="231">
        <f t="shared" si="127"/>
        <v>14.7592214760733</v>
      </c>
      <c r="U483" s="231">
        <f t="shared" si="132"/>
        <v>0.29912361195737841</v>
      </c>
      <c r="V483" s="296">
        <f t="shared" si="105"/>
        <v>85.240778523926707</v>
      </c>
      <c r="W483" s="231"/>
      <c r="X483" s="231" t="e">
        <f>#REF!</f>
        <v>#REF!</v>
      </c>
      <c r="Y483" s="231" t="e">
        <f>#REF!</f>
        <v>#REF!</v>
      </c>
      <c r="Z483" s="231" t="e">
        <f>#REF!</f>
        <v>#REF!</v>
      </c>
      <c r="AA483" s="231" t="e">
        <f>#REF!</f>
        <v>#REF!</v>
      </c>
      <c r="AB483" s="231">
        <v>131395500</v>
      </c>
      <c r="AC483" s="231" t="e">
        <f>#REF!</f>
        <v>#REF!</v>
      </c>
      <c r="AD483" s="231" t="e">
        <f>#REF!</f>
        <v>#REF!</v>
      </c>
      <c r="AE483" s="231" t="e">
        <f>#REF!</f>
        <v>#REF!</v>
      </c>
      <c r="AF483" s="231" t="e">
        <f>[1]April!N89</f>
        <v>#REF!</v>
      </c>
      <c r="AG483" s="231" t="e">
        <f>[2]april!N99</f>
        <v>#REF!</v>
      </c>
      <c r="AH483" s="231" t="e">
        <f>'[3]DES SKPD'!$N99</f>
        <v>#REF!</v>
      </c>
      <c r="AI483" s="231">
        <f>SUM(AI484:AI489)</f>
        <v>35679000</v>
      </c>
      <c r="AJ483" s="233">
        <f t="shared" si="137"/>
        <v>14.7592214760733</v>
      </c>
      <c r="AK483" s="231">
        <f>Q483-AI483</f>
        <v>206061393</v>
      </c>
      <c r="AL483" s="233">
        <f>AK483/Q483*100</f>
        <v>85.240778523926693</v>
      </c>
      <c r="AM483" s="243"/>
    </row>
    <row r="484" spans="1:39" ht="24.75" customHeight="1" x14ac:dyDescent="0.25">
      <c r="A484" s="243"/>
      <c r="B484" s="410"/>
      <c r="C484" s="410"/>
      <c r="D484" s="410"/>
      <c r="E484" s="410"/>
      <c r="F484" s="410"/>
      <c r="G484" s="410"/>
      <c r="H484" s="410"/>
      <c r="I484" s="411"/>
      <c r="J484" s="410" t="s">
        <v>257</v>
      </c>
      <c r="K484" s="245"/>
      <c r="L484" s="257"/>
      <c r="M484" s="591" t="s">
        <v>324</v>
      </c>
      <c r="N484" s="592"/>
      <c r="O484" s="179"/>
      <c r="P484" s="180"/>
      <c r="Q484" s="180">
        <v>15000000</v>
      </c>
      <c r="R484" s="181">
        <f>Q484/Q483*100</f>
        <v>6.2050035634714966</v>
      </c>
      <c r="S484" s="181">
        <v>100</v>
      </c>
      <c r="T484" s="180">
        <f t="shared" si="127"/>
        <v>33.333333333333329</v>
      </c>
      <c r="U484" s="180">
        <f t="shared" si="132"/>
        <v>2.0683345211571651</v>
      </c>
      <c r="V484" s="182">
        <f t="shared" si="105"/>
        <v>66.666666666666671</v>
      </c>
      <c r="W484" s="180"/>
      <c r="X484" s="180"/>
      <c r="Y484" s="180"/>
      <c r="Z484" s="180"/>
      <c r="AA484" s="180"/>
      <c r="AB484" s="180"/>
      <c r="AC484" s="180"/>
      <c r="AD484" s="180"/>
      <c r="AE484" s="180"/>
      <c r="AF484" s="180"/>
      <c r="AG484" s="180"/>
      <c r="AH484" s="180"/>
      <c r="AI484" s="180">
        <v>5000000</v>
      </c>
      <c r="AJ484" s="181">
        <f t="shared" si="137"/>
        <v>33.333333333333329</v>
      </c>
      <c r="AK484" s="180">
        <f t="shared" si="130"/>
        <v>10000000</v>
      </c>
      <c r="AL484" s="181">
        <f t="shared" si="138"/>
        <v>66.666666666666657</v>
      </c>
      <c r="AM484" s="243"/>
    </row>
    <row r="485" spans="1:39" ht="24.75" customHeight="1" x14ac:dyDescent="0.25">
      <c r="A485" s="243"/>
      <c r="B485" s="410"/>
      <c r="C485" s="410"/>
      <c r="D485" s="410"/>
      <c r="E485" s="410"/>
      <c r="F485" s="410"/>
      <c r="G485" s="410"/>
      <c r="H485" s="410"/>
      <c r="I485" s="411"/>
      <c r="J485" s="410" t="s">
        <v>326</v>
      </c>
      <c r="K485" s="245"/>
      <c r="L485" s="257"/>
      <c r="M485" s="591" t="s">
        <v>428</v>
      </c>
      <c r="N485" s="592"/>
      <c r="O485" s="179"/>
      <c r="P485" s="180"/>
      <c r="Q485" s="180">
        <v>8000000</v>
      </c>
      <c r="R485" s="181">
        <f>Q485/Q483*100</f>
        <v>3.3093352338514648</v>
      </c>
      <c r="S485" s="181">
        <v>100</v>
      </c>
      <c r="T485" s="180">
        <f t="shared" si="127"/>
        <v>14.6875</v>
      </c>
      <c r="U485" s="180">
        <f t="shared" si="132"/>
        <v>0.48605861247193388</v>
      </c>
      <c r="V485" s="182">
        <f t="shared" si="105"/>
        <v>85.3125</v>
      </c>
      <c r="W485" s="180"/>
      <c r="X485" s="180"/>
      <c r="Y485" s="180"/>
      <c r="Z485" s="180"/>
      <c r="AA485" s="180"/>
      <c r="AB485" s="180"/>
      <c r="AC485" s="180"/>
      <c r="AD485" s="180"/>
      <c r="AE485" s="180"/>
      <c r="AF485" s="180"/>
      <c r="AG485" s="180"/>
      <c r="AH485" s="180"/>
      <c r="AI485" s="180">
        <f>975000+200000</f>
        <v>1175000</v>
      </c>
      <c r="AJ485" s="181">
        <f t="shared" si="137"/>
        <v>14.6875</v>
      </c>
      <c r="AK485" s="180">
        <f t="shared" si="130"/>
        <v>6825000</v>
      </c>
      <c r="AL485" s="181">
        <f t="shared" si="138"/>
        <v>85.3125</v>
      </c>
      <c r="AM485" s="243"/>
    </row>
    <row r="486" spans="1:39" ht="24.75" customHeight="1" x14ac:dyDescent="0.25">
      <c r="A486" s="227"/>
      <c r="B486" s="410"/>
      <c r="C486" s="410"/>
      <c r="D486" s="410"/>
      <c r="E486" s="410"/>
      <c r="F486" s="410"/>
      <c r="G486" s="410"/>
      <c r="H486" s="410"/>
      <c r="I486" s="411"/>
      <c r="J486" s="410" t="s">
        <v>315</v>
      </c>
      <c r="K486" s="245"/>
      <c r="L486" s="257"/>
      <c r="M486" s="591" t="s">
        <v>329</v>
      </c>
      <c r="N486" s="592"/>
      <c r="O486" s="179"/>
      <c r="P486" s="180"/>
      <c r="Q486" s="180">
        <v>24000000</v>
      </c>
      <c r="R486" s="181">
        <f>Q486/Q483*100</f>
        <v>9.9280057015543939</v>
      </c>
      <c r="S486" s="181">
        <v>100</v>
      </c>
      <c r="T486" s="180">
        <f t="shared" si="127"/>
        <v>33.333333333333329</v>
      </c>
      <c r="U486" s="180">
        <f t="shared" si="132"/>
        <v>3.3093352338514643</v>
      </c>
      <c r="V486" s="182">
        <f t="shared" si="105"/>
        <v>66.666666666666671</v>
      </c>
      <c r="W486" s="180"/>
      <c r="X486" s="180"/>
      <c r="Y486" s="180"/>
      <c r="Z486" s="180"/>
      <c r="AA486" s="180"/>
      <c r="AB486" s="180"/>
      <c r="AC486" s="180"/>
      <c r="AD486" s="180"/>
      <c r="AE486" s="180"/>
      <c r="AF486" s="180"/>
      <c r="AG486" s="180"/>
      <c r="AH486" s="180"/>
      <c r="AI486" s="180">
        <v>8000000</v>
      </c>
      <c r="AJ486" s="181">
        <f t="shared" si="137"/>
        <v>33.333333333333329</v>
      </c>
      <c r="AK486" s="180">
        <f t="shared" si="130"/>
        <v>16000000</v>
      </c>
      <c r="AL486" s="181">
        <f t="shared" si="138"/>
        <v>66.666666666666657</v>
      </c>
      <c r="AM486" s="243"/>
    </row>
    <row r="487" spans="1:39" ht="24.75" customHeight="1" x14ac:dyDescent="0.25">
      <c r="A487" s="243"/>
      <c r="B487" s="410"/>
      <c r="C487" s="410"/>
      <c r="D487" s="410"/>
      <c r="E487" s="410"/>
      <c r="F487" s="410"/>
      <c r="G487" s="410"/>
      <c r="H487" s="410"/>
      <c r="I487" s="411"/>
      <c r="J487" s="410" t="s">
        <v>280</v>
      </c>
      <c r="K487" s="245"/>
      <c r="L487" s="257"/>
      <c r="M487" s="591" t="s">
        <v>585</v>
      </c>
      <c r="N487" s="592"/>
      <c r="O487" s="179"/>
      <c r="P487" s="180"/>
      <c r="Q487" s="180">
        <v>15000000</v>
      </c>
      <c r="R487" s="181">
        <f>Q487/Q483*100</f>
        <v>6.2050035634714966</v>
      </c>
      <c r="S487" s="181">
        <v>100</v>
      </c>
      <c r="T487" s="180">
        <f t="shared" si="127"/>
        <v>26.400000000000002</v>
      </c>
      <c r="U487" s="180">
        <f t="shared" si="132"/>
        <v>1.6381209407564754</v>
      </c>
      <c r="V487" s="182">
        <f t="shared" si="105"/>
        <v>73.599999999999994</v>
      </c>
      <c r="W487" s="180"/>
      <c r="X487" s="180"/>
      <c r="Y487" s="180"/>
      <c r="Z487" s="180"/>
      <c r="AA487" s="180"/>
      <c r="AB487" s="180"/>
      <c r="AC487" s="180"/>
      <c r="AD487" s="180"/>
      <c r="AE487" s="180"/>
      <c r="AF487" s="180"/>
      <c r="AG487" s="180"/>
      <c r="AH487" s="180"/>
      <c r="AI487" s="180">
        <f>3080000+880000</f>
        <v>3960000</v>
      </c>
      <c r="AJ487" s="181">
        <f t="shared" si="137"/>
        <v>26.400000000000002</v>
      </c>
      <c r="AK487" s="180">
        <f t="shared" si="130"/>
        <v>11040000</v>
      </c>
      <c r="AL487" s="181">
        <f t="shared" si="138"/>
        <v>73.599999999999994</v>
      </c>
      <c r="AM487" s="243"/>
    </row>
    <row r="488" spans="1:39" ht="24.75" customHeight="1" x14ac:dyDescent="0.25">
      <c r="A488" s="243"/>
      <c r="B488" s="410"/>
      <c r="C488" s="410"/>
      <c r="D488" s="410"/>
      <c r="E488" s="410"/>
      <c r="F488" s="410"/>
      <c r="G488" s="410"/>
      <c r="H488" s="410"/>
      <c r="I488" s="411"/>
      <c r="J488" s="410" t="s">
        <v>284</v>
      </c>
      <c r="K488" s="245"/>
      <c r="L488" s="257"/>
      <c r="M488" s="591" t="s">
        <v>503</v>
      </c>
      <c r="N488" s="592"/>
      <c r="O488" s="179"/>
      <c r="P488" s="180"/>
      <c r="Q488" s="180">
        <v>29740393</v>
      </c>
      <c r="R488" s="181">
        <f>Q488/Q483*100</f>
        <v>12.302616302936183</v>
      </c>
      <c r="S488" s="181">
        <v>100</v>
      </c>
      <c r="T488" s="180">
        <f t="shared" si="127"/>
        <v>8.5540228066253192</v>
      </c>
      <c r="U488" s="180">
        <f t="shared" si="132"/>
        <v>1.0523686043647658</v>
      </c>
      <c r="V488" s="182">
        <f t="shared" si="105"/>
        <v>91.445977193374688</v>
      </c>
      <c r="W488" s="180"/>
      <c r="X488" s="180"/>
      <c r="Y488" s="180"/>
      <c r="Z488" s="180"/>
      <c r="AA488" s="180"/>
      <c r="AB488" s="180"/>
      <c r="AC488" s="180"/>
      <c r="AD488" s="180"/>
      <c r="AE488" s="180"/>
      <c r="AF488" s="180"/>
      <c r="AG488" s="180"/>
      <c r="AH488" s="180"/>
      <c r="AI488" s="180">
        <v>2544000</v>
      </c>
      <c r="AJ488" s="181">
        <f t="shared" si="137"/>
        <v>8.5540228066253192</v>
      </c>
      <c r="AK488" s="180">
        <f t="shared" si="130"/>
        <v>27196393</v>
      </c>
      <c r="AL488" s="181">
        <f t="shared" si="138"/>
        <v>91.445977193374688</v>
      </c>
      <c r="AM488" s="243"/>
    </row>
    <row r="489" spans="1:39" ht="24.75" customHeight="1" x14ac:dyDescent="0.25">
      <c r="A489" s="243"/>
      <c r="B489" s="410"/>
      <c r="C489" s="410"/>
      <c r="D489" s="410"/>
      <c r="E489" s="410"/>
      <c r="F489" s="410"/>
      <c r="G489" s="410"/>
      <c r="H489" s="410"/>
      <c r="I489" s="411"/>
      <c r="J489" s="410" t="s">
        <v>282</v>
      </c>
      <c r="K489" s="245"/>
      <c r="L489" s="257"/>
      <c r="M489" s="591" t="s">
        <v>591</v>
      </c>
      <c r="N489" s="592"/>
      <c r="O489" s="179"/>
      <c r="P489" s="180"/>
      <c r="Q489" s="180">
        <v>150000000</v>
      </c>
      <c r="R489" s="181">
        <f>Q489/Q483*100</f>
        <v>62.050035634714959</v>
      </c>
      <c r="S489" s="181">
        <v>100</v>
      </c>
      <c r="T489" s="180">
        <f t="shared" si="127"/>
        <v>10</v>
      </c>
      <c r="U489" s="180">
        <f t="shared" si="132"/>
        <v>6.2050035634714957</v>
      </c>
      <c r="V489" s="182">
        <f t="shared" si="105"/>
        <v>90</v>
      </c>
      <c r="W489" s="180"/>
      <c r="X489" s="180"/>
      <c r="Y489" s="180"/>
      <c r="Z489" s="180"/>
      <c r="AA489" s="180"/>
      <c r="AB489" s="180"/>
      <c r="AC489" s="180"/>
      <c r="AD489" s="180"/>
      <c r="AE489" s="180"/>
      <c r="AF489" s="180"/>
      <c r="AG489" s="180"/>
      <c r="AH489" s="180"/>
      <c r="AI489" s="180">
        <v>15000000</v>
      </c>
      <c r="AJ489" s="181">
        <f t="shared" si="137"/>
        <v>10</v>
      </c>
      <c r="AK489" s="180">
        <f t="shared" si="130"/>
        <v>135000000</v>
      </c>
      <c r="AL489" s="181">
        <f t="shared" si="138"/>
        <v>90</v>
      </c>
      <c r="AM489" s="243"/>
    </row>
    <row r="490" spans="1:39" s="297" customFormat="1" ht="27.75" customHeight="1" x14ac:dyDescent="0.25">
      <c r="A490" s="227">
        <v>61</v>
      </c>
      <c r="B490" s="415"/>
      <c r="C490" s="415"/>
      <c r="D490" s="415"/>
      <c r="E490" s="415"/>
      <c r="F490" s="415"/>
      <c r="G490" s="415"/>
      <c r="H490" s="415"/>
      <c r="I490" s="414"/>
      <c r="J490" s="304" t="s">
        <v>514</v>
      </c>
      <c r="K490" s="230"/>
      <c r="L490" s="294"/>
      <c r="M490" s="610" t="s">
        <v>200</v>
      </c>
      <c r="N490" s="612"/>
      <c r="O490" s="309"/>
      <c r="P490" s="231"/>
      <c r="Q490" s="231">
        <f>SUM(Q491:Q494)</f>
        <v>395380000</v>
      </c>
      <c r="R490" s="233">
        <f>Q490/Q$248*100</f>
        <v>3.3147648111132124</v>
      </c>
      <c r="S490" s="233">
        <v>100</v>
      </c>
      <c r="T490" s="231">
        <f t="shared" si="127"/>
        <v>34.798320602964239</v>
      </c>
      <c r="U490" s="231">
        <f t="shared" si="132"/>
        <v>1.1534824862054176</v>
      </c>
      <c r="V490" s="296">
        <f t="shared" si="105"/>
        <v>65.201679397035761</v>
      </c>
      <c r="W490" s="231"/>
      <c r="X490" s="231"/>
      <c r="Y490" s="231"/>
      <c r="Z490" s="231"/>
      <c r="AA490" s="231"/>
      <c r="AB490" s="231"/>
      <c r="AC490" s="231"/>
      <c r="AD490" s="231"/>
      <c r="AE490" s="231"/>
      <c r="AF490" s="231"/>
      <c r="AG490" s="231"/>
      <c r="AH490" s="231"/>
      <c r="AI490" s="231">
        <f>SUM(AI491:AI494)</f>
        <v>137585600</v>
      </c>
      <c r="AJ490" s="233">
        <f t="shared" si="137"/>
        <v>34.798320602964239</v>
      </c>
      <c r="AK490" s="231">
        <f t="shared" ref="AK490:AK495" si="140">Q490-AI490</f>
        <v>257794400</v>
      </c>
      <c r="AL490" s="233">
        <f t="shared" si="138"/>
        <v>65.201679397035761</v>
      </c>
      <c r="AM490" s="227"/>
    </row>
    <row r="491" spans="1:39" ht="29.25" customHeight="1" x14ac:dyDescent="0.25">
      <c r="A491" s="243"/>
      <c r="B491" s="410"/>
      <c r="C491" s="410"/>
      <c r="D491" s="410"/>
      <c r="E491" s="410"/>
      <c r="F491" s="410"/>
      <c r="G491" s="410"/>
      <c r="H491" s="410"/>
      <c r="I491" s="411"/>
      <c r="J491" s="410" t="s">
        <v>315</v>
      </c>
      <c r="K491" s="245"/>
      <c r="L491" s="257"/>
      <c r="M491" s="591" t="s">
        <v>271</v>
      </c>
      <c r="N491" s="592"/>
      <c r="O491" s="179"/>
      <c r="P491" s="180"/>
      <c r="Q491" s="180">
        <v>20295000</v>
      </c>
      <c r="R491" s="181">
        <f>Q491/Q$490*100</f>
        <v>5.1330365724113509</v>
      </c>
      <c r="S491" s="181">
        <v>100</v>
      </c>
      <c r="T491" s="180">
        <f t="shared" si="127"/>
        <v>99.744271988174432</v>
      </c>
      <c r="U491" s="180">
        <f t="shared" si="132"/>
        <v>5.1199099600384441</v>
      </c>
      <c r="V491" s="182">
        <f t="shared" si="105"/>
        <v>0.25572801182556759</v>
      </c>
      <c r="W491" s="180"/>
      <c r="X491" s="180"/>
      <c r="Y491" s="180"/>
      <c r="Z491" s="180"/>
      <c r="AA491" s="180"/>
      <c r="AB491" s="180"/>
      <c r="AC491" s="180"/>
      <c r="AD491" s="180"/>
      <c r="AE491" s="180"/>
      <c r="AF491" s="180"/>
      <c r="AG491" s="180"/>
      <c r="AH491" s="180"/>
      <c r="AI491" s="180">
        <v>20243100</v>
      </c>
      <c r="AJ491" s="181">
        <f t="shared" si="137"/>
        <v>99.744271988174432</v>
      </c>
      <c r="AK491" s="180">
        <f t="shared" si="140"/>
        <v>51900</v>
      </c>
      <c r="AL491" s="181">
        <f t="shared" si="138"/>
        <v>0.25572801182557281</v>
      </c>
      <c r="AM491" s="243"/>
    </row>
    <row r="492" spans="1:39" ht="24.75" customHeight="1" x14ac:dyDescent="0.25">
      <c r="A492" s="243"/>
      <c r="B492" s="410"/>
      <c r="C492" s="410"/>
      <c r="D492" s="410"/>
      <c r="E492" s="410"/>
      <c r="F492" s="410"/>
      <c r="G492" s="410"/>
      <c r="H492" s="410"/>
      <c r="I492" s="411"/>
      <c r="J492" s="410" t="s">
        <v>284</v>
      </c>
      <c r="K492" s="245"/>
      <c r="L492" s="257"/>
      <c r="M492" s="591" t="s">
        <v>285</v>
      </c>
      <c r="N492" s="592"/>
      <c r="O492" s="179"/>
      <c r="P492" s="180"/>
      <c r="Q492" s="180">
        <v>5000000</v>
      </c>
      <c r="R492" s="181">
        <f>Q492/Q$490*100</f>
        <v>1.2646062016288129</v>
      </c>
      <c r="S492" s="181">
        <v>100</v>
      </c>
      <c r="T492" s="180">
        <f t="shared" si="127"/>
        <v>0</v>
      </c>
      <c r="U492" s="180">
        <f t="shared" si="132"/>
        <v>0</v>
      </c>
      <c r="V492" s="182">
        <f t="shared" si="105"/>
        <v>100</v>
      </c>
      <c r="W492" s="180"/>
      <c r="X492" s="180"/>
      <c r="Y492" s="180"/>
      <c r="Z492" s="180"/>
      <c r="AA492" s="180"/>
      <c r="AB492" s="180"/>
      <c r="AC492" s="180"/>
      <c r="AD492" s="180"/>
      <c r="AE492" s="180"/>
      <c r="AF492" s="180"/>
      <c r="AG492" s="180"/>
      <c r="AH492" s="180"/>
      <c r="AI492" s="180">
        <v>0</v>
      </c>
      <c r="AJ492" s="181">
        <f t="shared" si="137"/>
        <v>0</v>
      </c>
      <c r="AK492" s="180">
        <f t="shared" si="140"/>
        <v>5000000</v>
      </c>
      <c r="AL492" s="181">
        <f t="shared" si="138"/>
        <v>100</v>
      </c>
      <c r="AM492" s="243"/>
    </row>
    <row r="493" spans="1:39" ht="24.75" customHeight="1" x14ac:dyDescent="0.25">
      <c r="A493" s="243"/>
      <c r="B493" s="410"/>
      <c r="C493" s="410"/>
      <c r="D493" s="410"/>
      <c r="E493" s="410"/>
      <c r="F493" s="410"/>
      <c r="G493" s="410"/>
      <c r="H493" s="410"/>
      <c r="I493" s="411"/>
      <c r="J493" s="410" t="s">
        <v>309</v>
      </c>
      <c r="K493" s="245"/>
      <c r="L493" s="257"/>
      <c r="M493" s="591" t="s">
        <v>310</v>
      </c>
      <c r="N493" s="592"/>
      <c r="O493" s="179"/>
      <c r="P493" s="180"/>
      <c r="Q493" s="180">
        <v>219362000</v>
      </c>
      <c r="R493" s="181">
        <f>Q493/Q$490*100</f>
        <v>55.48130912033993</v>
      </c>
      <c r="S493" s="181">
        <v>100</v>
      </c>
      <c r="T493" s="180">
        <f t="shared" si="127"/>
        <v>53.492628623006723</v>
      </c>
      <c r="U493" s="180">
        <f t="shared" si="132"/>
        <v>29.678410642925797</v>
      </c>
      <c r="V493" s="182">
        <f t="shared" si="105"/>
        <v>46.507371376993277</v>
      </c>
      <c r="W493" s="180"/>
      <c r="X493" s="180"/>
      <c r="Y493" s="180"/>
      <c r="Z493" s="180"/>
      <c r="AA493" s="180"/>
      <c r="AB493" s="180"/>
      <c r="AC493" s="180"/>
      <c r="AD493" s="180"/>
      <c r="AE493" s="180"/>
      <c r="AF493" s="180"/>
      <c r="AG493" s="180"/>
      <c r="AH493" s="180"/>
      <c r="AI493" s="180">
        <v>117342500</v>
      </c>
      <c r="AJ493" s="181">
        <f t="shared" si="137"/>
        <v>53.492628623006723</v>
      </c>
      <c r="AK493" s="180">
        <f t="shared" si="140"/>
        <v>102019500</v>
      </c>
      <c r="AL493" s="181">
        <f t="shared" si="138"/>
        <v>46.507371376993277</v>
      </c>
      <c r="AM493" s="243"/>
    </row>
    <row r="494" spans="1:39" ht="24.75" customHeight="1" x14ac:dyDescent="0.25">
      <c r="A494" s="243"/>
      <c r="B494" s="410"/>
      <c r="C494" s="410"/>
      <c r="D494" s="410"/>
      <c r="E494" s="410"/>
      <c r="F494" s="410"/>
      <c r="G494" s="410"/>
      <c r="H494" s="410"/>
      <c r="I494" s="411"/>
      <c r="J494" s="410" t="s">
        <v>342</v>
      </c>
      <c r="K494" s="245"/>
      <c r="L494" s="257"/>
      <c r="M494" s="591" t="s">
        <v>617</v>
      </c>
      <c r="N494" s="592"/>
      <c r="O494" s="179"/>
      <c r="P494" s="180"/>
      <c r="Q494" s="180">
        <v>150723000</v>
      </c>
      <c r="R494" s="181">
        <f>Q494/Q$490*100</f>
        <v>38.121048105619906</v>
      </c>
      <c r="S494" s="181">
        <v>100</v>
      </c>
      <c r="T494" s="180">
        <f t="shared" si="127"/>
        <v>0</v>
      </c>
      <c r="U494" s="180">
        <f t="shared" si="132"/>
        <v>0</v>
      </c>
      <c r="V494" s="182">
        <f t="shared" si="105"/>
        <v>100</v>
      </c>
      <c r="W494" s="180"/>
      <c r="X494" s="180"/>
      <c r="Y494" s="180"/>
      <c r="Z494" s="180"/>
      <c r="AA494" s="180"/>
      <c r="AB494" s="180"/>
      <c r="AC494" s="180"/>
      <c r="AD494" s="180"/>
      <c r="AE494" s="180"/>
      <c r="AF494" s="180"/>
      <c r="AG494" s="180"/>
      <c r="AH494" s="180"/>
      <c r="AI494" s="180">
        <v>0</v>
      </c>
      <c r="AJ494" s="181">
        <f t="shared" si="137"/>
        <v>0</v>
      </c>
      <c r="AK494" s="180">
        <f t="shared" si="140"/>
        <v>150723000</v>
      </c>
      <c r="AL494" s="181">
        <f t="shared" si="138"/>
        <v>100</v>
      </c>
      <c r="AM494" s="243"/>
    </row>
    <row r="495" spans="1:39" s="297" customFormat="1" ht="29.25" customHeight="1" x14ac:dyDescent="0.25">
      <c r="A495" s="227">
        <f>SUM(A490+1)</f>
        <v>62</v>
      </c>
      <c r="B495" s="615" t="s">
        <v>158</v>
      </c>
      <c r="C495" s="615"/>
      <c r="D495" s="615"/>
      <c r="E495" s="615"/>
      <c r="F495" s="615"/>
      <c r="G495" s="615"/>
      <c r="H495" s="615"/>
      <c r="I495" s="614"/>
      <c r="J495" s="304" t="s">
        <v>515</v>
      </c>
      <c r="K495" s="230"/>
      <c r="L495" s="294"/>
      <c r="M495" s="610" t="s">
        <v>161</v>
      </c>
      <c r="N495" s="610"/>
      <c r="O495" s="309">
        <v>355300000</v>
      </c>
      <c r="P495" s="231">
        <v>0</v>
      </c>
      <c r="Q495" s="231">
        <f>SUM(Q496:Q503)</f>
        <v>20233874</v>
      </c>
      <c r="R495" s="233">
        <f>Q495/Q$248*100</f>
        <v>0.16963562529136159</v>
      </c>
      <c r="S495" s="233">
        <v>100</v>
      </c>
      <c r="T495" s="231">
        <f t="shared" si="127"/>
        <v>0</v>
      </c>
      <c r="U495" s="231">
        <f t="shared" si="132"/>
        <v>0</v>
      </c>
      <c r="V495" s="296">
        <f t="shared" si="105"/>
        <v>100</v>
      </c>
      <c r="W495" s="231"/>
      <c r="X495" s="231"/>
      <c r="Y495" s="231"/>
      <c r="Z495" s="231"/>
      <c r="AA495" s="231"/>
      <c r="AB495" s="231"/>
      <c r="AC495" s="231"/>
      <c r="AD495" s="231"/>
      <c r="AE495" s="231"/>
      <c r="AF495" s="231"/>
      <c r="AG495" s="231" t="e">
        <f>[2]april!N82</f>
        <v>#REF!</v>
      </c>
      <c r="AH495" s="231">
        <f>'[3]DES SKPD'!$N82</f>
        <v>34370000</v>
      </c>
      <c r="AI495" s="231">
        <f>SUM(AI496:AI503)</f>
        <v>0</v>
      </c>
      <c r="AJ495" s="233">
        <f t="shared" si="137"/>
        <v>0</v>
      </c>
      <c r="AK495" s="231">
        <f t="shared" si="140"/>
        <v>20233874</v>
      </c>
      <c r="AL495" s="233">
        <f t="shared" si="138"/>
        <v>100</v>
      </c>
      <c r="AM495" s="227"/>
    </row>
    <row r="496" spans="1:39" ht="29.25" customHeight="1" x14ac:dyDescent="0.25">
      <c r="A496" s="243"/>
      <c r="B496" s="410"/>
      <c r="C496" s="410"/>
      <c r="D496" s="410"/>
      <c r="E496" s="410"/>
      <c r="F496" s="410"/>
      <c r="G496" s="410"/>
      <c r="H496" s="410"/>
      <c r="I496" s="411"/>
      <c r="J496" s="410" t="s">
        <v>257</v>
      </c>
      <c r="K496" s="245"/>
      <c r="L496" s="257"/>
      <c r="M496" s="591" t="s">
        <v>260</v>
      </c>
      <c r="N496" s="592"/>
      <c r="O496" s="179"/>
      <c r="P496" s="180"/>
      <c r="Q496" s="180">
        <v>650000</v>
      </c>
      <c r="R496" s="181">
        <f>Q496/Q$495*100</f>
        <v>3.2124347517435363</v>
      </c>
      <c r="S496" s="181">
        <v>100</v>
      </c>
      <c r="T496" s="180">
        <f t="shared" si="127"/>
        <v>0</v>
      </c>
      <c r="U496" s="180">
        <f t="shared" si="132"/>
        <v>0</v>
      </c>
      <c r="V496" s="182">
        <f t="shared" si="105"/>
        <v>100</v>
      </c>
      <c r="W496" s="180"/>
      <c r="X496" s="180"/>
      <c r="Y496" s="180"/>
      <c r="Z496" s="180"/>
      <c r="AA496" s="180"/>
      <c r="AB496" s="180"/>
      <c r="AC496" s="180"/>
      <c r="AD496" s="180"/>
      <c r="AE496" s="180"/>
      <c r="AF496" s="180"/>
      <c r="AG496" s="180"/>
      <c r="AH496" s="180"/>
      <c r="AI496" s="180">
        <v>0</v>
      </c>
      <c r="AJ496" s="181">
        <f t="shared" si="137"/>
        <v>0</v>
      </c>
      <c r="AK496" s="180">
        <f>SUM(Q496-AI496)</f>
        <v>650000</v>
      </c>
      <c r="AL496" s="181">
        <f t="shared" si="138"/>
        <v>100</v>
      </c>
      <c r="AM496" s="243"/>
    </row>
    <row r="497" spans="1:39" ht="42" customHeight="1" x14ac:dyDescent="0.25">
      <c r="A497" s="243"/>
      <c r="B497" s="410"/>
      <c r="C497" s="410"/>
      <c r="D497" s="410"/>
      <c r="E497" s="410"/>
      <c r="F497" s="410"/>
      <c r="G497" s="410"/>
      <c r="H497" s="410"/>
      <c r="I497" s="411"/>
      <c r="J497" s="410" t="s">
        <v>345</v>
      </c>
      <c r="K497" s="245"/>
      <c r="L497" s="257"/>
      <c r="M497" s="591" t="s">
        <v>351</v>
      </c>
      <c r="N497" s="592"/>
      <c r="O497" s="179"/>
      <c r="P497" s="180"/>
      <c r="Q497" s="180">
        <v>250000</v>
      </c>
      <c r="R497" s="181">
        <f t="shared" ref="R497:R503" si="141">Q497/Q$495*100</f>
        <v>1.2355518275936679</v>
      </c>
      <c r="S497" s="181">
        <v>100</v>
      </c>
      <c r="T497" s="180">
        <f t="shared" si="127"/>
        <v>0</v>
      </c>
      <c r="U497" s="180">
        <f t="shared" si="132"/>
        <v>0</v>
      </c>
      <c r="V497" s="182">
        <f t="shared" si="105"/>
        <v>100</v>
      </c>
      <c r="W497" s="180"/>
      <c r="X497" s="180"/>
      <c r="Y497" s="180"/>
      <c r="Z497" s="180"/>
      <c r="AA497" s="180"/>
      <c r="AB497" s="180"/>
      <c r="AC497" s="180"/>
      <c r="AD497" s="180"/>
      <c r="AE497" s="180"/>
      <c r="AF497" s="180"/>
      <c r="AG497" s="180"/>
      <c r="AH497" s="180"/>
      <c r="AI497" s="180">
        <v>0</v>
      </c>
      <c r="AJ497" s="181">
        <f t="shared" si="137"/>
        <v>0</v>
      </c>
      <c r="AK497" s="180">
        <f t="shared" ref="AK497:AK503" si="142">SUM(Q497-AI497)</f>
        <v>250000</v>
      </c>
      <c r="AL497" s="181">
        <f t="shared" si="138"/>
        <v>100</v>
      </c>
      <c r="AM497" s="243"/>
    </row>
    <row r="498" spans="1:39" ht="29.25" customHeight="1" x14ac:dyDescent="0.25">
      <c r="A498" s="243"/>
      <c r="B498" s="410"/>
      <c r="C498" s="410"/>
      <c r="D498" s="410"/>
      <c r="E498" s="410"/>
      <c r="F498" s="410"/>
      <c r="G498" s="410"/>
      <c r="H498" s="410"/>
      <c r="I498" s="411"/>
      <c r="J498" s="410" t="s">
        <v>315</v>
      </c>
      <c r="K498" s="245"/>
      <c r="L498" s="257"/>
      <c r="M498" s="591" t="s">
        <v>271</v>
      </c>
      <c r="N498" s="592"/>
      <c r="O498" s="179"/>
      <c r="P498" s="180"/>
      <c r="Q498" s="180">
        <v>250000</v>
      </c>
      <c r="R498" s="181">
        <f t="shared" si="141"/>
        <v>1.2355518275936679</v>
      </c>
      <c r="S498" s="181">
        <v>100</v>
      </c>
      <c r="T498" s="180">
        <f t="shared" si="127"/>
        <v>0</v>
      </c>
      <c r="U498" s="180">
        <f t="shared" si="132"/>
        <v>0</v>
      </c>
      <c r="V498" s="182">
        <f t="shared" si="105"/>
        <v>100</v>
      </c>
      <c r="W498" s="180"/>
      <c r="X498" s="180"/>
      <c r="Y498" s="180"/>
      <c r="Z498" s="180"/>
      <c r="AA498" s="180"/>
      <c r="AB498" s="180"/>
      <c r="AC498" s="180"/>
      <c r="AD498" s="180"/>
      <c r="AE498" s="180"/>
      <c r="AF498" s="180"/>
      <c r="AG498" s="180"/>
      <c r="AH498" s="180"/>
      <c r="AI498" s="180">
        <v>0</v>
      </c>
      <c r="AJ498" s="181">
        <f t="shared" si="137"/>
        <v>0</v>
      </c>
      <c r="AK498" s="180">
        <f t="shared" si="142"/>
        <v>250000</v>
      </c>
      <c r="AL498" s="181">
        <f t="shared" si="138"/>
        <v>100</v>
      </c>
      <c r="AM498" s="243"/>
    </row>
    <row r="499" spans="1:39" ht="29.25" customHeight="1" x14ac:dyDescent="0.25">
      <c r="A499" s="243"/>
      <c r="B499" s="410"/>
      <c r="C499" s="410"/>
      <c r="D499" s="410"/>
      <c r="E499" s="410"/>
      <c r="F499" s="410"/>
      <c r="G499" s="410"/>
      <c r="H499" s="410"/>
      <c r="I499" s="411"/>
      <c r="J499" s="410" t="s">
        <v>342</v>
      </c>
      <c r="K499" s="245"/>
      <c r="L499" s="257"/>
      <c r="M499" s="591" t="s">
        <v>612</v>
      </c>
      <c r="N499" s="592"/>
      <c r="O499" s="179"/>
      <c r="P499" s="180"/>
      <c r="Q499" s="180">
        <v>250000</v>
      </c>
      <c r="R499" s="181">
        <f t="shared" si="141"/>
        <v>1.2355518275936679</v>
      </c>
      <c r="S499" s="181">
        <v>100</v>
      </c>
      <c r="T499" s="180">
        <f t="shared" si="127"/>
        <v>0</v>
      </c>
      <c r="U499" s="180">
        <f t="shared" si="132"/>
        <v>0</v>
      </c>
      <c r="V499" s="182">
        <f t="shared" si="105"/>
        <v>100</v>
      </c>
      <c r="W499" s="180"/>
      <c r="X499" s="180"/>
      <c r="Y499" s="180"/>
      <c r="Z499" s="180"/>
      <c r="AA499" s="180"/>
      <c r="AB499" s="180"/>
      <c r="AC499" s="180"/>
      <c r="AD499" s="180"/>
      <c r="AE499" s="180"/>
      <c r="AF499" s="180"/>
      <c r="AG499" s="180"/>
      <c r="AH499" s="180"/>
      <c r="AI499" s="180">
        <v>0</v>
      </c>
      <c r="AJ499" s="181">
        <f t="shared" si="137"/>
        <v>0</v>
      </c>
      <c r="AK499" s="180">
        <f t="shared" si="142"/>
        <v>250000</v>
      </c>
      <c r="AL499" s="181">
        <f t="shared" si="138"/>
        <v>100</v>
      </c>
      <c r="AM499" s="243"/>
    </row>
    <row r="500" spans="1:39" ht="29.25" customHeight="1" x14ac:dyDescent="0.25">
      <c r="A500" s="243"/>
      <c r="B500" s="410"/>
      <c r="C500" s="410"/>
      <c r="D500" s="410"/>
      <c r="E500" s="410"/>
      <c r="F500" s="410"/>
      <c r="G500" s="410"/>
      <c r="H500" s="410"/>
      <c r="I500" s="411"/>
      <c r="J500" s="410" t="s">
        <v>318</v>
      </c>
      <c r="K500" s="245"/>
      <c r="L500" s="257"/>
      <c r="M500" s="591" t="s">
        <v>319</v>
      </c>
      <c r="N500" s="592"/>
      <c r="O500" s="179"/>
      <c r="P500" s="180"/>
      <c r="Q500" s="180">
        <v>10500000</v>
      </c>
      <c r="R500" s="181">
        <f t="shared" si="141"/>
        <v>51.893176758934054</v>
      </c>
      <c r="S500" s="181">
        <v>100</v>
      </c>
      <c r="T500" s="180">
        <f t="shared" si="127"/>
        <v>0</v>
      </c>
      <c r="U500" s="180">
        <f t="shared" si="132"/>
        <v>0</v>
      </c>
      <c r="V500" s="182">
        <f t="shared" si="105"/>
        <v>100</v>
      </c>
      <c r="W500" s="180"/>
      <c r="X500" s="180"/>
      <c r="Y500" s="180"/>
      <c r="Z500" s="180"/>
      <c r="AA500" s="180"/>
      <c r="AB500" s="180"/>
      <c r="AC500" s="180"/>
      <c r="AD500" s="180"/>
      <c r="AE500" s="180"/>
      <c r="AF500" s="180"/>
      <c r="AG500" s="180"/>
      <c r="AH500" s="180"/>
      <c r="AI500" s="180">
        <v>0</v>
      </c>
      <c r="AJ500" s="181">
        <f t="shared" si="137"/>
        <v>0</v>
      </c>
      <c r="AK500" s="180">
        <f t="shared" si="142"/>
        <v>10500000</v>
      </c>
      <c r="AL500" s="181">
        <f t="shared" si="138"/>
        <v>100</v>
      </c>
      <c r="AM500" s="243"/>
    </row>
    <row r="501" spans="1:39" ht="29.25" customHeight="1" x14ac:dyDescent="0.25">
      <c r="A501" s="243"/>
      <c r="B501" s="410"/>
      <c r="C501" s="410"/>
      <c r="D501" s="410"/>
      <c r="E501" s="410"/>
      <c r="F501" s="410"/>
      <c r="G501" s="410"/>
      <c r="H501" s="410"/>
      <c r="I501" s="411"/>
      <c r="J501" s="410" t="s">
        <v>284</v>
      </c>
      <c r="K501" s="245"/>
      <c r="L501" s="257"/>
      <c r="M501" s="591" t="s">
        <v>285</v>
      </c>
      <c r="N501" s="592"/>
      <c r="O501" s="179"/>
      <c r="P501" s="180"/>
      <c r="Q501" s="180">
        <v>2890000</v>
      </c>
      <c r="R501" s="181">
        <f t="shared" si="141"/>
        <v>14.2829791269828</v>
      </c>
      <c r="S501" s="181">
        <v>100</v>
      </c>
      <c r="T501" s="180">
        <f t="shared" si="127"/>
        <v>0</v>
      </c>
      <c r="U501" s="180">
        <f t="shared" si="132"/>
        <v>0</v>
      </c>
      <c r="V501" s="182">
        <f t="shared" si="105"/>
        <v>100</v>
      </c>
      <c r="W501" s="180"/>
      <c r="X501" s="180"/>
      <c r="Y501" s="180"/>
      <c r="Z501" s="180"/>
      <c r="AA501" s="180"/>
      <c r="AB501" s="180"/>
      <c r="AC501" s="180"/>
      <c r="AD501" s="180"/>
      <c r="AE501" s="180"/>
      <c r="AF501" s="180"/>
      <c r="AG501" s="180"/>
      <c r="AH501" s="180"/>
      <c r="AI501" s="180">
        <v>0</v>
      </c>
      <c r="AJ501" s="181">
        <f t="shared" si="137"/>
        <v>0</v>
      </c>
      <c r="AK501" s="180">
        <f t="shared" si="142"/>
        <v>2890000</v>
      </c>
      <c r="AL501" s="181">
        <f t="shared" si="138"/>
        <v>100</v>
      </c>
      <c r="AM501" s="243"/>
    </row>
    <row r="502" spans="1:39" ht="29.25" customHeight="1" x14ac:dyDescent="0.25">
      <c r="A502" s="243"/>
      <c r="B502" s="410"/>
      <c r="C502" s="410"/>
      <c r="D502" s="410"/>
      <c r="E502" s="410"/>
      <c r="F502" s="410"/>
      <c r="G502" s="410"/>
      <c r="H502" s="410"/>
      <c r="I502" s="411"/>
      <c r="J502" s="410" t="s">
        <v>282</v>
      </c>
      <c r="K502" s="245"/>
      <c r="L502" s="257"/>
      <c r="M502" s="591" t="s">
        <v>283</v>
      </c>
      <c r="N502" s="592"/>
      <c r="O502" s="179"/>
      <c r="P502" s="180"/>
      <c r="Q502" s="180">
        <v>2943874</v>
      </c>
      <c r="R502" s="181">
        <f t="shared" si="141"/>
        <v>14.549235603621927</v>
      </c>
      <c r="S502" s="181">
        <v>100</v>
      </c>
      <c r="T502" s="180">
        <f t="shared" si="127"/>
        <v>0</v>
      </c>
      <c r="U502" s="180">
        <f t="shared" si="132"/>
        <v>0</v>
      </c>
      <c r="V502" s="182">
        <f t="shared" si="105"/>
        <v>100</v>
      </c>
      <c r="W502" s="180"/>
      <c r="X502" s="180"/>
      <c r="Y502" s="180"/>
      <c r="Z502" s="180"/>
      <c r="AA502" s="180"/>
      <c r="AB502" s="180"/>
      <c r="AC502" s="180"/>
      <c r="AD502" s="180"/>
      <c r="AE502" s="180"/>
      <c r="AF502" s="180"/>
      <c r="AG502" s="180"/>
      <c r="AH502" s="180"/>
      <c r="AI502" s="180">
        <v>0</v>
      </c>
      <c r="AJ502" s="181">
        <f t="shared" si="137"/>
        <v>0</v>
      </c>
      <c r="AK502" s="180">
        <f t="shared" si="142"/>
        <v>2943874</v>
      </c>
      <c r="AL502" s="181">
        <f t="shared" si="138"/>
        <v>100</v>
      </c>
      <c r="AM502" s="243"/>
    </row>
    <row r="503" spans="1:39" ht="29.25" customHeight="1" x14ac:dyDescent="0.25">
      <c r="A503" s="243"/>
      <c r="B503" s="410"/>
      <c r="C503" s="410"/>
      <c r="D503" s="410"/>
      <c r="E503" s="410"/>
      <c r="F503" s="410"/>
      <c r="G503" s="410"/>
      <c r="H503" s="410"/>
      <c r="I503" s="411"/>
      <c r="J503" s="410" t="s">
        <v>320</v>
      </c>
      <c r="K503" s="245"/>
      <c r="L503" s="257"/>
      <c r="M503" s="591" t="s">
        <v>321</v>
      </c>
      <c r="N503" s="592"/>
      <c r="O503" s="179"/>
      <c r="P503" s="180"/>
      <c r="Q503" s="180">
        <v>2500000</v>
      </c>
      <c r="R503" s="181">
        <f t="shared" si="141"/>
        <v>12.35551827593668</v>
      </c>
      <c r="S503" s="181">
        <v>100</v>
      </c>
      <c r="T503" s="180">
        <f t="shared" si="127"/>
        <v>0</v>
      </c>
      <c r="U503" s="180">
        <f t="shared" si="132"/>
        <v>0</v>
      </c>
      <c r="V503" s="182">
        <f t="shared" si="105"/>
        <v>100</v>
      </c>
      <c r="W503" s="180"/>
      <c r="X503" s="180"/>
      <c r="Y503" s="180"/>
      <c r="Z503" s="180"/>
      <c r="AA503" s="180"/>
      <c r="AB503" s="180"/>
      <c r="AC503" s="180"/>
      <c r="AD503" s="180"/>
      <c r="AE503" s="180"/>
      <c r="AF503" s="180"/>
      <c r="AG503" s="180"/>
      <c r="AH503" s="180"/>
      <c r="AI503" s="180">
        <v>0</v>
      </c>
      <c r="AJ503" s="181">
        <f t="shared" si="137"/>
        <v>0</v>
      </c>
      <c r="AK503" s="180">
        <f t="shared" si="142"/>
        <v>2500000</v>
      </c>
      <c r="AL503" s="181">
        <f t="shared" si="138"/>
        <v>100</v>
      </c>
      <c r="AM503" s="243"/>
    </row>
    <row r="504" spans="1:39" s="297" customFormat="1" ht="29.25" customHeight="1" x14ac:dyDescent="0.25">
      <c r="A504" s="227">
        <f>A495+1</f>
        <v>63</v>
      </c>
      <c r="B504" s="615" t="s">
        <v>158</v>
      </c>
      <c r="C504" s="615"/>
      <c r="D504" s="615"/>
      <c r="E504" s="615"/>
      <c r="F504" s="615"/>
      <c r="G504" s="615"/>
      <c r="H504" s="615"/>
      <c r="I504" s="614"/>
      <c r="J504" s="304" t="s">
        <v>516</v>
      </c>
      <c r="K504" s="230"/>
      <c r="L504" s="294"/>
      <c r="M504" s="610" t="s">
        <v>162</v>
      </c>
      <c r="N504" s="610"/>
      <c r="O504" s="309">
        <v>355300000</v>
      </c>
      <c r="P504" s="231">
        <v>0</v>
      </c>
      <c r="Q504" s="231">
        <f>SUM(Q505:Q510)</f>
        <v>381500000</v>
      </c>
      <c r="R504" s="233">
        <f>Q504/Q$248*100</f>
        <v>3.1983984405880177</v>
      </c>
      <c r="S504" s="233">
        <v>100</v>
      </c>
      <c r="T504" s="231">
        <f t="shared" si="127"/>
        <v>36.352293577981655</v>
      </c>
      <c r="U504" s="231">
        <f t="shared" si="132"/>
        <v>1.1626911909161435</v>
      </c>
      <c r="V504" s="296">
        <f t="shared" si="105"/>
        <v>63.647706422018345</v>
      </c>
      <c r="W504" s="231"/>
      <c r="X504" s="231"/>
      <c r="Y504" s="231"/>
      <c r="Z504" s="231"/>
      <c r="AA504" s="231"/>
      <c r="AB504" s="231"/>
      <c r="AC504" s="231"/>
      <c r="AD504" s="231"/>
      <c r="AE504" s="231"/>
      <c r="AF504" s="231"/>
      <c r="AG504" s="231" t="e">
        <f>[2]april!N83</f>
        <v>#REF!</v>
      </c>
      <c r="AH504" s="231">
        <f>'[3]DES SKPD'!$N83</f>
        <v>33663000</v>
      </c>
      <c r="AI504" s="231">
        <f>SUM(AI505:AI510)</f>
        <v>138684000</v>
      </c>
      <c r="AJ504" s="233">
        <f t="shared" si="137"/>
        <v>36.352293577981655</v>
      </c>
      <c r="AK504" s="231">
        <f>Q504-AI504</f>
        <v>242816000</v>
      </c>
      <c r="AL504" s="233">
        <f t="shared" si="138"/>
        <v>63.647706422018345</v>
      </c>
      <c r="AM504" s="227"/>
    </row>
    <row r="505" spans="1:39" ht="29.25" customHeight="1" x14ac:dyDescent="0.25">
      <c r="A505" s="243"/>
      <c r="B505" s="410"/>
      <c r="C505" s="410"/>
      <c r="D505" s="410"/>
      <c r="E505" s="410"/>
      <c r="F505" s="410"/>
      <c r="G505" s="410"/>
      <c r="H505" s="410"/>
      <c r="I505" s="411"/>
      <c r="J505" s="410" t="s">
        <v>332</v>
      </c>
      <c r="K505" s="245"/>
      <c r="L505" s="257"/>
      <c r="M505" s="591" t="s">
        <v>351</v>
      </c>
      <c r="N505" s="592"/>
      <c r="O505" s="179"/>
      <c r="P505" s="180"/>
      <c r="Q505" s="180">
        <v>500000</v>
      </c>
      <c r="R505" s="181">
        <f t="shared" ref="R505:R510" si="143">Q505/Q$504*100</f>
        <v>0.13106159895150721</v>
      </c>
      <c r="S505" s="181">
        <v>100</v>
      </c>
      <c r="T505" s="180">
        <f t="shared" si="127"/>
        <v>0</v>
      </c>
      <c r="U505" s="180">
        <f t="shared" si="132"/>
        <v>0</v>
      </c>
      <c r="V505" s="182">
        <f t="shared" si="105"/>
        <v>100</v>
      </c>
      <c r="W505" s="180"/>
      <c r="X505" s="180"/>
      <c r="Y505" s="180"/>
      <c r="Z505" s="180"/>
      <c r="AA505" s="180"/>
      <c r="AB505" s="180"/>
      <c r="AC505" s="180"/>
      <c r="AD505" s="180"/>
      <c r="AE505" s="180"/>
      <c r="AF505" s="180"/>
      <c r="AG505" s="180"/>
      <c r="AH505" s="180"/>
      <c r="AI505" s="180">
        <v>0</v>
      </c>
      <c r="AJ505" s="181">
        <f t="shared" si="137"/>
        <v>0</v>
      </c>
      <c r="AK505" s="180">
        <f t="shared" ref="AK505:AK510" si="144">SUM(Q505-AI505)</f>
        <v>500000</v>
      </c>
      <c r="AL505" s="181">
        <f t="shared" si="138"/>
        <v>100</v>
      </c>
      <c r="AM505" s="243"/>
    </row>
    <row r="506" spans="1:39" ht="29.25" customHeight="1" x14ac:dyDescent="0.25">
      <c r="A506" s="243"/>
      <c r="B506" s="410"/>
      <c r="C506" s="410"/>
      <c r="D506" s="410"/>
      <c r="E506" s="410"/>
      <c r="F506" s="410"/>
      <c r="G506" s="410"/>
      <c r="H506" s="410"/>
      <c r="I506" s="411"/>
      <c r="J506" s="410" t="s">
        <v>269</v>
      </c>
      <c r="K506" s="245"/>
      <c r="L506" s="257"/>
      <c r="M506" s="591" t="s">
        <v>270</v>
      </c>
      <c r="N506" s="592"/>
      <c r="O506" s="179"/>
      <c r="P506" s="180"/>
      <c r="Q506" s="180">
        <v>30000000</v>
      </c>
      <c r="R506" s="181">
        <f t="shared" si="143"/>
        <v>7.8636959370904327</v>
      </c>
      <c r="S506" s="181">
        <v>100</v>
      </c>
      <c r="T506" s="180">
        <f t="shared" si="127"/>
        <v>66.25</v>
      </c>
      <c r="U506" s="180">
        <f t="shared" si="132"/>
        <v>5.2096985583224118</v>
      </c>
      <c r="V506" s="182">
        <f t="shared" si="105"/>
        <v>33.75</v>
      </c>
      <c r="W506" s="180"/>
      <c r="X506" s="180"/>
      <c r="Y506" s="180"/>
      <c r="Z506" s="180"/>
      <c r="AA506" s="180"/>
      <c r="AB506" s="180"/>
      <c r="AC506" s="180"/>
      <c r="AD506" s="180"/>
      <c r="AE506" s="180"/>
      <c r="AF506" s="180"/>
      <c r="AG506" s="180"/>
      <c r="AH506" s="180"/>
      <c r="AI506" s="180">
        <v>19875000</v>
      </c>
      <c r="AJ506" s="181">
        <f t="shared" si="137"/>
        <v>66.25</v>
      </c>
      <c r="AK506" s="180">
        <f t="shared" si="144"/>
        <v>10125000</v>
      </c>
      <c r="AL506" s="181">
        <f t="shared" si="138"/>
        <v>33.75</v>
      </c>
      <c r="AM506" s="243"/>
    </row>
    <row r="507" spans="1:39" ht="29.25" customHeight="1" x14ac:dyDescent="0.25">
      <c r="A507" s="243"/>
      <c r="B507" s="410"/>
      <c r="C507" s="410"/>
      <c r="D507" s="410"/>
      <c r="E507" s="410"/>
      <c r="F507" s="410"/>
      <c r="G507" s="410"/>
      <c r="H507" s="410"/>
      <c r="I507" s="411"/>
      <c r="J507" s="410" t="s">
        <v>315</v>
      </c>
      <c r="K507" s="245"/>
      <c r="L507" s="257"/>
      <c r="M507" s="591" t="s">
        <v>271</v>
      </c>
      <c r="N507" s="592"/>
      <c r="O507" s="179"/>
      <c r="P507" s="180"/>
      <c r="Q507" s="180">
        <v>2500000</v>
      </c>
      <c r="R507" s="181">
        <f t="shared" si="143"/>
        <v>0.65530799475753598</v>
      </c>
      <c r="S507" s="181">
        <v>100</v>
      </c>
      <c r="T507" s="180">
        <f t="shared" si="127"/>
        <v>40</v>
      </c>
      <c r="U507" s="180">
        <f t="shared" si="132"/>
        <v>0.26212319790301442</v>
      </c>
      <c r="V507" s="182">
        <f t="shared" si="105"/>
        <v>60</v>
      </c>
      <c r="W507" s="180"/>
      <c r="X507" s="180"/>
      <c r="Y507" s="180"/>
      <c r="Z507" s="180"/>
      <c r="AA507" s="180"/>
      <c r="AB507" s="180"/>
      <c r="AC507" s="180"/>
      <c r="AD507" s="180"/>
      <c r="AE507" s="180"/>
      <c r="AF507" s="180"/>
      <c r="AG507" s="180"/>
      <c r="AH507" s="180"/>
      <c r="AI507" s="180">
        <f>500000+500000</f>
        <v>1000000</v>
      </c>
      <c r="AJ507" s="181">
        <f t="shared" si="137"/>
        <v>40</v>
      </c>
      <c r="AK507" s="180">
        <f t="shared" si="144"/>
        <v>1500000</v>
      </c>
      <c r="AL507" s="181">
        <f t="shared" si="138"/>
        <v>60</v>
      </c>
      <c r="AM507" s="243"/>
    </row>
    <row r="508" spans="1:39" ht="29.25" customHeight="1" x14ac:dyDescent="0.25">
      <c r="A508" s="243"/>
      <c r="B508" s="410"/>
      <c r="C508" s="410"/>
      <c r="D508" s="410"/>
      <c r="E508" s="410"/>
      <c r="F508" s="410"/>
      <c r="G508" s="410"/>
      <c r="H508" s="410"/>
      <c r="I508" s="411"/>
      <c r="J508" s="410" t="s">
        <v>284</v>
      </c>
      <c r="K508" s="245"/>
      <c r="L508" s="257"/>
      <c r="M508" s="591" t="s">
        <v>285</v>
      </c>
      <c r="N508" s="592"/>
      <c r="O508" s="179"/>
      <c r="P508" s="180"/>
      <c r="Q508" s="180">
        <v>15400000</v>
      </c>
      <c r="R508" s="181">
        <f t="shared" si="143"/>
        <v>4.0366972477064227</v>
      </c>
      <c r="S508" s="181">
        <v>100</v>
      </c>
      <c r="T508" s="180">
        <f t="shared" si="127"/>
        <v>30</v>
      </c>
      <c r="U508" s="180">
        <f t="shared" si="132"/>
        <v>1.2110091743119269</v>
      </c>
      <c r="V508" s="182">
        <f t="shared" si="105"/>
        <v>70</v>
      </c>
      <c r="W508" s="180"/>
      <c r="X508" s="180"/>
      <c r="Y508" s="180"/>
      <c r="Z508" s="180"/>
      <c r="AA508" s="180"/>
      <c r="AB508" s="180"/>
      <c r="AC508" s="180"/>
      <c r="AD508" s="180"/>
      <c r="AE508" s="180"/>
      <c r="AF508" s="180"/>
      <c r="AG508" s="180"/>
      <c r="AH508" s="180"/>
      <c r="AI508" s="180">
        <f>2310000+2310000</f>
        <v>4620000</v>
      </c>
      <c r="AJ508" s="181">
        <f t="shared" si="137"/>
        <v>30</v>
      </c>
      <c r="AK508" s="180">
        <f t="shared" si="144"/>
        <v>10780000</v>
      </c>
      <c r="AL508" s="181">
        <f t="shared" si="138"/>
        <v>70</v>
      </c>
      <c r="AM508" s="243"/>
    </row>
    <row r="509" spans="1:39" ht="29.25" customHeight="1" x14ac:dyDescent="0.25">
      <c r="A509" s="243"/>
      <c r="B509" s="410"/>
      <c r="C509" s="410"/>
      <c r="D509" s="410"/>
      <c r="E509" s="410"/>
      <c r="F509" s="410"/>
      <c r="G509" s="410"/>
      <c r="H509" s="410"/>
      <c r="I509" s="411"/>
      <c r="J509" s="410" t="s">
        <v>282</v>
      </c>
      <c r="K509" s="245"/>
      <c r="L509" s="257"/>
      <c r="M509" s="591" t="s">
        <v>283</v>
      </c>
      <c r="N509" s="592"/>
      <c r="O509" s="179"/>
      <c r="P509" s="180"/>
      <c r="Q509" s="180">
        <v>18700000</v>
      </c>
      <c r="R509" s="181">
        <f t="shared" si="143"/>
        <v>4.9017038007863691</v>
      </c>
      <c r="S509" s="181">
        <v>100</v>
      </c>
      <c r="T509" s="180">
        <f t="shared" si="127"/>
        <v>44.860962566844918</v>
      </c>
      <c r="U509" s="180">
        <f t="shared" si="132"/>
        <v>2.1989515072083874</v>
      </c>
      <c r="V509" s="182">
        <f t="shared" si="105"/>
        <v>55.139037433155082</v>
      </c>
      <c r="W509" s="180"/>
      <c r="X509" s="180"/>
      <c r="Y509" s="180"/>
      <c r="Z509" s="180"/>
      <c r="AA509" s="180"/>
      <c r="AB509" s="180"/>
      <c r="AC509" s="180"/>
      <c r="AD509" s="180"/>
      <c r="AE509" s="180"/>
      <c r="AF509" s="180"/>
      <c r="AG509" s="180"/>
      <c r="AH509" s="180"/>
      <c r="AI509" s="180">
        <f>2163000+6226000</f>
        <v>8389000</v>
      </c>
      <c r="AJ509" s="181">
        <f t="shared" si="137"/>
        <v>44.860962566844918</v>
      </c>
      <c r="AK509" s="180">
        <f t="shared" si="144"/>
        <v>10311000</v>
      </c>
      <c r="AL509" s="181">
        <f t="shared" si="138"/>
        <v>55.139037433155082</v>
      </c>
      <c r="AM509" s="243"/>
    </row>
    <row r="510" spans="1:39" ht="29.25" customHeight="1" x14ac:dyDescent="0.25">
      <c r="A510" s="243"/>
      <c r="B510" s="410"/>
      <c r="C510" s="410"/>
      <c r="D510" s="410"/>
      <c r="E510" s="410"/>
      <c r="F510" s="410"/>
      <c r="G510" s="410"/>
      <c r="H510" s="410"/>
      <c r="I510" s="411"/>
      <c r="J510" s="410" t="s">
        <v>551</v>
      </c>
      <c r="K510" s="245"/>
      <c r="L510" s="257"/>
      <c r="M510" s="591" t="s">
        <v>550</v>
      </c>
      <c r="N510" s="592"/>
      <c r="O510" s="179"/>
      <c r="P510" s="180"/>
      <c r="Q510" s="180">
        <v>314400000</v>
      </c>
      <c r="R510" s="181">
        <f t="shared" si="143"/>
        <v>82.411533420707727</v>
      </c>
      <c r="S510" s="181">
        <v>100</v>
      </c>
      <c r="T510" s="180">
        <f t="shared" si="127"/>
        <v>33.333333333333329</v>
      </c>
      <c r="U510" s="180">
        <f t="shared" si="132"/>
        <v>27.470511140235903</v>
      </c>
      <c r="V510" s="182">
        <f t="shared" si="105"/>
        <v>66.666666666666671</v>
      </c>
      <c r="W510" s="180"/>
      <c r="X510" s="180"/>
      <c r="Y510" s="180"/>
      <c r="Z510" s="180"/>
      <c r="AA510" s="180"/>
      <c r="AB510" s="180"/>
      <c r="AC510" s="180"/>
      <c r="AD510" s="180"/>
      <c r="AE510" s="180"/>
      <c r="AF510" s="180"/>
      <c r="AG510" s="180"/>
      <c r="AH510" s="180"/>
      <c r="AI510" s="180">
        <f>52400000+26200000+26200000</f>
        <v>104800000</v>
      </c>
      <c r="AJ510" s="181">
        <f t="shared" si="137"/>
        <v>33.333333333333329</v>
      </c>
      <c r="AK510" s="180">
        <f t="shared" si="144"/>
        <v>209600000</v>
      </c>
      <c r="AL510" s="181">
        <f t="shared" si="138"/>
        <v>66.666666666666657</v>
      </c>
      <c r="AM510" s="243"/>
    </row>
    <row r="511" spans="1:39" s="297" customFormat="1" ht="29.25" customHeight="1" x14ac:dyDescent="0.25">
      <c r="A511" s="227">
        <f>SUM(A504+1)</f>
        <v>64</v>
      </c>
      <c r="B511" s="415"/>
      <c r="C511" s="415"/>
      <c r="D511" s="415"/>
      <c r="E511" s="415"/>
      <c r="F511" s="415"/>
      <c r="G511" s="415"/>
      <c r="H511" s="415"/>
      <c r="I511" s="414"/>
      <c r="J511" s="304" t="s">
        <v>517</v>
      </c>
      <c r="K511" s="230"/>
      <c r="L511" s="294"/>
      <c r="M511" s="610" t="s">
        <v>369</v>
      </c>
      <c r="N511" s="612"/>
      <c r="O511" s="309"/>
      <c r="P511" s="231"/>
      <c r="Q511" s="231">
        <f>SUM(Q512:Q522)</f>
        <v>1010210970</v>
      </c>
      <c r="R511" s="233">
        <f>Q511/Q$248*100</f>
        <v>8.4693504354204698</v>
      </c>
      <c r="S511" s="233">
        <v>100</v>
      </c>
      <c r="T511" s="231">
        <f t="shared" si="127"/>
        <v>28.205562843967137</v>
      </c>
      <c r="U511" s="231">
        <f t="shared" si="132"/>
        <v>2.3888279595383248</v>
      </c>
      <c r="V511" s="296">
        <f t="shared" si="105"/>
        <v>71.79443715603287</v>
      </c>
      <c r="W511" s="231"/>
      <c r="X511" s="231"/>
      <c r="Y511" s="231"/>
      <c r="Z511" s="231"/>
      <c r="AA511" s="231"/>
      <c r="AB511" s="231"/>
      <c r="AC511" s="231"/>
      <c r="AD511" s="231"/>
      <c r="AE511" s="231"/>
      <c r="AF511" s="231"/>
      <c r="AG511" s="231" t="e">
        <f>[2]april!N91</f>
        <v>#REF!</v>
      </c>
      <c r="AH511" s="231" t="e">
        <f>'[3]DES SKPD'!$N91</f>
        <v>#REF!</v>
      </c>
      <c r="AI511" s="231">
        <f>SUM(AI512:AI522)</f>
        <v>284935690</v>
      </c>
      <c r="AJ511" s="233">
        <f t="shared" si="137"/>
        <v>28.205562843967137</v>
      </c>
      <c r="AK511" s="231">
        <f>Q511-AI511</f>
        <v>725275280</v>
      </c>
      <c r="AL511" s="233">
        <f t="shared" si="138"/>
        <v>71.79443715603287</v>
      </c>
      <c r="AM511" s="227"/>
    </row>
    <row r="512" spans="1:39" s="297" customFormat="1" ht="29.25" customHeight="1" x14ac:dyDescent="0.25">
      <c r="A512" s="227"/>
      <c r="B512" s="415"/>
      <c r="C512" s="415"/>
      <c r="D512" s="415"/>
      <c r="E512" s="415"/>
      <c r="F512" s="415"/>
      <c r="G512" s="415"/>
      <c r="H512" s="415"/>
      <c r="I512" s="414"/>
      <c r="J512" s="415" t="s">
        <v>421</v>
      </c>
      <c r="K512" s="230"/>
      <c r="L512" s="294"/>
      <c r="M512" s="591" t="s">
        <v>324</v>
      </c>
      <c r="N512" s="592"/>
      <c r="O512" s="309"/>
      <c r="P512" s="231"/>
      <c r="Q512" s="180">
        <v>10814970</v>
      </c>
      <c r="R512" s="181">
        <f>Q512/Q$511*100</f>
        <v>1.0705654879198154</v>
      </c>
      <c r="S512" s="181">
        <v>100</v>
      </c>
      <c r="T512" s="180">
        <f t="shared" si="127"/>
        <v>0</v>
      </c>
      <c r="U512" s="180">
        <f t="shared" si="132"/>
        <v>0</v>
      </c>
      <c r="V512" s="182">
        <f t="shared" si="105"/>
        <v>100</v>
      </c>
      <c r="W512" s="180"/>
      <c r="X512" s="180"/>
      <c r="Y512" s="180"/>
      <c r="Z512" s="180"/>
      <c r="AA512" s="180"/>
      <c r="AB512" s="180"/>
      <c r="AC512" s="180"/>
      <c r="AD512" s="180"/>
      <c r="AE512" s="180"/>
      <c r="AF512" s="180"/>
      <c r="AG512" s="180"/>
      <c r="AH512" s="180"/>
      <c r="AI512" s="180">
        <v>0</v>
      </c>
      <c r="AJ512" s="181">
        <f t="shared" si="137"/>
        <v>0</v>
      </c>
      <c r="AK512" s="180">
        <f>SUM(Q512-AI512)</f>
        <v>10814970</v>
      </c>
      <c r="AL512" s="233"/>
      <c r="AM512" s="227"/>
    </row>
    <row r="513" spans="1:39" ht="29.25" customHeight="1" x14ac:dyDescent="0.25">
      <c r="A513" s="243"/>
      <c r="B513" s="410"/>
      <c r="C513" s="410"/>
      <c r="D513" s="410"/>
      <c r="E513" s="410"/>
      <c r="F513" s="410"/>
      <c r="G513" s="410"/>
      <c r="H513" s="410"/>
      <c r="I513" s="411"/>
      <c r="J513" s="410" t="s">
        <v>315</v>
      </c>
      <c r="K513" s="245"/>
      <c r="L513" s="257"/>
      <c r="M513" s="591" t="s">
        <v>271</v>
      </c>
      <c r="N513" s="592"/>
      <c r="O513" s="179"/>
      <c r="P513" s="180"/>
      <c r="Q513" s="180">
        <v>12500000</v>
      </c>
      <c r="R513" s="181">
        <f>Q513/Q$511*100</f>
        <v>1.2373653000422278</v>
      </c>
      <c r="S513" s="181">
        <v>100</v>
      </c>
      <c r="T513" s="180">
        <f t="shared" si="127"/>
        <v>20</v>
      </c>
      <c r="U513" s="180">
        <f t="shared" si="132"/>
        <v>0.24747306000844557</v>
      </c>
      <c r="V513" s="182">
        <f t="shared" si="105"/>
        <v>80</v>
      </c>
      <c r="W513" s="180"/>
      <c r="X513" s="180"/>
      <c r="Y513" s="180"/>
      <c r="Z513" s="180"/>
      <c r="AA513" s="180"/>
      <c r="AB513" s="180"/>
      <c r="AC513" s="180"/>
      <c r="AD513" s="180"/>
      <c r="AE513" s="180"/>
      <c r="AF513" s="180"/>
      <c r="AG513" s="180"/>
      <c r="AH513" s="180"/>
      <c r="AI513" s="180">
        <v>2500000</v>
      </c>
      <c r="AJ513" s="181">
        <f t="shared" si="137"/>
        <v>20</v>
      </c>
      <c r="AK513" s="180">
        <f t="shared" ref="AK513:AK522" si="145">SUM(Q513-AI513)</f>
        <v>10000000</v>
      </c>
      <c r="AL513" s="181">
        <f t="shared" ref="AL513:AL550" si="146">AK513/Q513*100</f>
        <v>80</v>
      </c>
      <c r="AM513" s="243"/>
    </row>
    <row r="514" spans="1:39" ht="29.25" customHeight="1" x14ac:dyDescent="0.25">
      <c r="A514" s="243"/>
      <c r="B514" s="410"/>
      <c r="C514" s="410"/>
      <c r="D514" s="410"/>
      <c r="E514" s="410"/>
      <c r="F514" s="410"/>
      <c r="G514" s="410"/>
      <c r="H514" s="410"/>
      <c r="I514" s="411"/>
      <c r="J514" s="410" t="s">
        <v>328</v>
      </c>
      <c r="K514" s="245"/>
      <c r="L514" s="257"/>
      <c r="M514" s="591" t="s">
        <v>329</v>
      </c>
      <c r="N514" s="592"/>
      <c r="O514" s="179"/>
      <c r="P514" s="180"/>
      <c r="Q514" s="180">
        <v>5000000</v>
      </c>
      <c r="R514" s="181">
        <f>Q514/Q$511*100</f>
        <v>0.49494612001689114</v>
      </c>
      <c r="S514" s="181">
        <v>100</v>
      </c>
      <c r="T514" s="180">
        <f t="shared" si="127"/>
        <v>0</v>
      </c>
      <c r="U514" s="180">
        <f t="shared" si="132"/>
        <v>0</v>
      </c>
      <c r="V514" s="182">
        <f t="shared" si="105"/>
        <v>100</v>
      </c>
      <c r="W514" s="180"/>
      <c r="X514" s="180"/>
      <c r="Y514" s="180"/>
      <c r="Z514" s="180"/>
      <c r="AA514" s="180"/>
      <c r="AB514" s="180"/>
      <c r="AC514" s="180"/>
      <c r="AD514" s="180"/>
      <c r="AE514" s="180"/>
      <c r="AF514" s="180"/>
      <c r="AG514" s="180"/>
      <c r="AH514" s="180"/>
      <c r="AI514" s="180">
        <v>0</v>
      </c>
      <c r="AJ514" s="181">
        <f t="shared" si="137"/>
        <v>0</v>
      </c>
      <c r="AK514" s="180">
        <f t="shared" si="145"/>
        <v>5000000</v>
      </c>
      <c r="AL514" s="181">
        <f t="shared" si="146"/>
        <v>100</v>
      </c>
      <c r="AM514" s="243"/>
    </row>
    <row r="515" spans="1:39" ht="29.25" customHeight="1" x14ac:dyDescent="0.25">
      <c r="A515" s="243"/>
      <c r="B515" s="410"/>
      <c r="C515" s="410"/>
      <c r="D515" s="410"/>
      <c r="E515" s="410"/>
      <c r="F515" s="410"/>
      <c r="G515" s="410"/>
      <c r="H515" s="410"/>
      <c r="I515" s="411"/>
      <c r="J515" s="410" t="s">
        <v>370</v>
      </c>
      <c r="K515" s="245"/>
      <c r="L515" s="257"/>
      <c r="M515" s="591" t="s">
        <v>371</v>
      </c>
      <c r="N515" s="592"/>
      <c r="O515" s="179"/>
      <c r="P515" s="180"/>
      <c r="Q515" s="180">
        <v>47450000</v>
      </c>
      <c r="R515" s="181">
        <f t="shared" ref="R515:R522" si="147">Q515/Q$511*100</f>
        <v>4.6970386789602969</v>
      </c>
      <c r="S515" s="181">
        <v>100</v>
      </c>
      <c r="T515" s="180">
        <f t="shared" si="127"/>
        <v>80.08429926238145</v>
      </c>
      <c r="U515" s="180">
        <f t="shared" si="132"/>
        <v>3.7615905121283726</v>
      </c>
      <c r="V515" s="182">
        <f t="shared" si="105"/>
        <v>19.91570073761855</v>
      </c>
      <c r="W515" s="180"/>
      <c r="X515" s="180"/>
      <c r="Y515" s="180"/>
      <c r="Z515" s="180"/>
      <c r="AA515" s="180"/>
      <c r="AB515" s="180"/>
      <c r="AC515" s="180"/>
      <c r="AD515" s="180"/>
      <c r="AE515" s="180"/>
      <c r="AF515" s="180"/>
      <c r="AG515" s="180"/>
      <c r="AH515" s="180"/>
      <c r="AI515" s="180">
        <v>38000000</v>
      </c>
      <c r="AJ515" s="181">
        <f t="shared" si="137"/>
        <v>80.08429926238145</v>
      </c>
      <c r="AK515" s="180">
        <f t="shared" si="145"/>
        <v>9450000</v>
      </c>
      <c r="AL515" s="181">
        <f t="shared" si="146"/>
        <v>19.915700737618547</v>
      </c>
      <c r="AM515" s="243"/>
    </row>
    <row r="516" spans="1:39" ht="29.25" customHeight="1" x14ac:dyDescent="0.25">
      <c r="A516" s="243"/>
      <c r="B516" s="410"/>
      <c r="C516" s="410"/>
      <c r="D516" s="410"/>
      <c r="E516" s="410"/>
      <c r="F516" s="410"/>
      <c r="G516" s="410"/>
      <c r="H516" s="410"/>
      <c r="I516" s="411"/>
      <c r="J516" s="410" t="s">
        <v>280</v>
      </c>
      <c r="K516" s="245"/>
      <c r="L516" s="257"/>
      <c r="M516" s="591" t="s">
        <v>422</v>
      </c>
      <c r="N516" s="592"/>
      <c r="O516" s="179"/>
      <c r="P516" s="180"/>
      <c r="Q516" s="180">
        <v>2000000</v>
      </c>
      <c r="R516" s="181">
        <f t="shared" si="147"/>
        <v>0.19797844800675643</v>
      </c>
      <c r="S516" s="181">
        <v>100</v>
      </c>
      <c r="T516" s="180">
        <f t="shared" si="127"/>
        <v>50</v>
      </c>
      <c r="U516" s="180">
        <f t="shared" si="132"/>
        <v>9.8989224003378229E-2</v>
      </c>
      <c r="V516" s="182">
        <f t="shared" si="105"/>
        <v>50</v>
      </c>
      <c r="W516" s="180"/>
      <c r="X516" s="180"/>
      <c r="Y516" s="180"/>
      <c r="Z516" s="180"/>
      <c r="AA516" s="180"/>
      <c r="AB516" s="180"/>
      <c r="AC516" s="180"/>
      <c r="AD516" s="180"/>
      <c r="AE516" s="180"/>
      <c r="AF516" s="180"/>
      <c r="AG516" s="180"/>
      <c r="AH516" s="180"/>
      <c r="AI516" s="180">
        <v>1000000</v>
      </c>
      <c r="AJ516" s="181">
        <f t="shared" si="137"/>
        <v>50</v>
      </c>
      <c r="AK516" s="180">
        <f t="shared" si="145"/>
        <v>1000000</v>
      </c>
      <c r="AL516" s="181">
        <f t="shared" si="146"/>
        <v>50</v>
      </c>
      <c r="AM516" s="243"/>
    </row>
    <row r="517" spans="1:39" ht="29.25" customHeight="1" x14ac:dyDescent="0.25">
      <c r="A517" s="243"/>
      <c r="B517" s="410"/>
      <c r="C517" s="410"/>
      <c r="D517" s="410"/>
      <c r="E517" s="410"/>
      <c r="F517" s="410"/>
      <c r="G517" s="410"/>
      <c r="H517" s="410"/>
      <c r="I517" s="411"/>
      <c r="J517" s="410" t="s">
        <v>339</v>
      </c>
      <c r="K517" s="245"/>
      <c r="L517" s="257"/>
      <c r="M517" s="591" t="s">
        <v>340</v>
      </c>
      <c r="N517" s="592"/>
      <c r="O517" s="179"/>
      <c r="P517" s="180"/>
      <c r="Q517" s="180">
        <v>71500000</v>
      </c>
      <c r="R517" s="181">
        <f t="shared" si="147"/>
        <v>7.0777295162415435</v>
      </c>
      <c r="S517" s="181">
        <v>100</v>
      </c>
      <c r="T517" s="180">
        <f t="shared" si="127"/>
        <v>90.909090909090907</v>
      </c>
      <c r="U517" s="180">
        <f t="shared" si="132"/>
        <v>6.4342995602195847</v>
      </c>
      <c r="V517" s="182">
        <f t="shared" si="105"/>
        <v>9.0909090909090935</v>
      </c>
      <c r="W517" s="180"/>
      <c r="X517" s="180"/>
      <c r="Y517" s="180"/>
      <c r="Z517" s="180"/>
      <c r="AA517" s="180"/>
      <c r="AB517" s="180"/>
      <c r="AC517" s="180"/>
      <c r="AD517" s="180"/>
      <c r="AE517" s="180"/>
      <c r="AF517" s="180"/>
      <c r="AG517" s="180"/>
      <c r="AH517" s="180"/>
      <c r="AI517" s="180">
        <v>65000000</v>
      </c>
      <c r="AJ517" s="181">
        <f t="shared" si="137"/>
        <v>90.909090909090907</v>
      </c>
      <c r="AK517" s="180">
        <f t="shared" si="145"/>
        <v>6500000</v>
      </c>
      <c r="AL517" s="181">
        <f t="shared" si="146"/>
        <v>9.0909090909090917</v>
      </c>
      <c r="AM517" s="243"/>
    </row>
    <row r="518" spans="1:39" ht="29.25" customHeight="1" x14ac:dyDescent="0.25">
      <c r="A518" s="243"/>
      <c r="B518" s="410"/>
      <c r="C518" s="410"/>
      <c r="D518" s="410"/>
      <c r="E518" s="410"/>
      <c r="F518" s="410"/>
      <c r="G518" s="410"/>
      <c r="H518" s="410"/>
      <c r="I518" s="411"/>
      <c r="J518" s="410" t="s">
        <v>284</v>
      </c>
      <c r="K518" s="245"/>
      <c r="L518" s="257"/>
      <c r="M518" s="591" t="s">
        <v>285</v>
      </c>
      <c r="N518" s="592"/>
      <c r="O518" s="179"/>
      <c r="P518" s="180"/>
      <c r="Q518" s="180">
        <v>8900000</v>
      </c>
      <c r="R518" s="181">
        <f t="shared" si="147"/>
        <v>0.88100409363006615</v>
      </c>
      <c r="S518" s="181">
        <v>100</v>
      </c>
      <c r="T518" s="180">
        <f t="shared" si="127"/>
        <v>95.168539325842687</v>
      </c>
      <c r="U518" s="180">
        <f t="shared" si="132"/>
        <v>0.83843872730861346</v>
      </c>
      <c r="V518" s="182">
        <f t="shared" si="105"/>
        <v>4.831460674157313</v>
      </c>
      <c r="W518" s="180"/>
      <c r="X518" s="180"/>
      <c r="Y518" s="180"/>
      <c r="Z518" s="180"/>
      <c r="AA518" s="180"/>
      <c r="AB518" s="180"/>
      <c r="AC518" s="180"/>
      <c r="AD518" s="180"/>
      <c r="AE518" s="180"/>
      <c r="AF518" s="180"/>
      <c r="AG518" s="180"/>
      <c r="AH518" s="180"/>
      <c r="AI518" s="180">
        <v>8470000</v>
      </c>
      <c r="AJ518" s="181">
        <f t="shared" si="137"/>
        <v>95.168539325842687</v>
      </c>
      <c r="AK518" s="180">
        <f t="shared" si="145"/>
        <v>430000</v>
      </c>
      <c r="AL518" s="181">
        <f t="shared" si="146"/>
        <v>4.8314606741573032</v>
      </c>
      <c r="AM518" s="243"/>
    </row>
    <row r="519" spans="1:39" ht="29.25" customHeight="1" x14ac:dyDescent="0.25">
      <c r="A519" s="243"/>
      <c r="B519" s="410"/>
      <c r="C519" s="410"/>
      <c r="D519" s="410"/>
      <c r="E519" s="410"/>
      <c r="F519" s="410"/>
      <c r="G519" s="410"/>
      <c r="H519" s="410"/>
      <c r="I519" s="411"/>
      <c r="J519" s="410"/>
      <c r="K519" s="245"/>
      <c r="L519" s="257"/>
      <c r="M519" s="591" t="s">
        <v>503</v>
      </c>
      <c r="N519" s="592"/>
      <c r="O519" s="179"/>
      <c r="P519" s="180"/>
      <c r="Q519" s="180">
        <v>48070000</v>
      </c>
      <c r="R519" s="181">
        <f t="shared" si="147"/>
        <v>4.7584119978423915</v>
      </c>
      <c r="S519" s="181">
        <v>100</v>
      </c>
      <c r="T519" s="180">
        <f t="shared" si="127"/>
        <v>92.709985437903057</v>
      </c>
      <c r="U519" s="180">
        <f t="shared" si="132"/>
        <v>4.4115230702751127</v>
      </c>
      <c r="V519" s="182">
        <f t="shared" si="105"/>
        <v>7.2900145620969425</v>
      </c>
      <c r="W519" s="180"/>
      <c r="X519" s="180"/>
      <c r="Y519" s="180"/>
      <c r="Z519" s="180"/>
      <c r="AA519" s="180"/>
      <c r="AB519" s="180"/>
      <c r="AC519" s="180"/>
      <c r="AD519" s="180"/>
      <c r="AE519" s="180"/>
      <c r="AF519" s="180"/>
      <c r="AG519" s="180"/>
      <c r="AH519" s="180"/>
      <c r="AI519" s="180">
        <v>44565690</v>
      </c>
      <c r="AJ519" s="181">
        <f t="shared" si="137"/>
        <v>92.709985437903057</v>
      </c>
      <c r="AK519" s="180">
        <f t="shared" si="145"/>
        <v>3504310</v>
      </c>
      <c r="AL519" s="181">
        <f t="shared" si="146"/>
        <v>7.2900145620969417</v>
      </c>
      <c r="AM519" s="243"/>
    </row>
    <row r="520" spans="1:39" ht="29.25" customHeight="1" x14ac:dyDescent="0.25">
      <c r="A520" s="243"/>
      <c r="B520" s="410"/>
      <c r="C520" s="410"/>
      <c r="D520" s="410"/>
      <c r="E520" s="410"/>
      <c r="F520" s="410"/>
      <c r="G520" s="410"/>
      <c r="H520" s="410"/>
      <c r="I520" s="411"/>
      <c r="J520" s="410" t="s">
        <v>309</v>
      </c>
      <c r="K520" s="245"/>
      <c r="L520" s="257"/>
      <c r="M520" s="591" t="s">
        <v>310</v>
      </c>
      <c r="N520" s="592"/>
      <c r="O520" s="179"/>
      <c r="P520" s="180"/>
      <c r="Q520" s="180">
        <v>485712000</v>
      </c>
      <c r="R520" s="181">
        <f t="shared" si="147"/>
        <v>48.080253969128847</v>
      </c>
      <c r="S520" s="181">
        <v>100</v>
      </c>
      <c r="T520" s="180">
        <f t="shared" si="127"/>
        <v>0</v>
      </c>
      <c r="U520" s="180">
        <f t="shared" si="132"/>
        <v>0</v>
      </c>
      <c r="V520" s="182">
        <f t="shared" si="105"/>
        <v>100</v>
      </c>
      <c r="W520" s="180"/>
      <c r="X520" s="180"/>
      <c r="Y520" s="180"/>
      <c r="Z520" s="180"/>
      <c r="AA520" s="180"/>
      <c r="AB520" s="180"/>
      <c r="AC520" s="180"/>
      <c r="AD520" s="180"/>
      <c r="AE520" s="180"/>
      <c r="AF520" s="180"/>
      <c r="AG520" s="180"/>
      <c r="AH520" s="180"/>
      <c r="AI520" s="180">
        <v>0</v>
      </c>
      <c r="AJ520" s="181">
        <f t="shared" si="137"/>
        <v>0</v>
      </c>
      <c r="AK520" s="180">
        <f t="shared" si="145"/>
        <v>485712000</v>
      </c>
      <c r="AL520" s="181">
        <f t="shared" si="146"/>
        <v>100</v>
      </c>
      <c r="AM520" s="243"/>
    </row>
    <row r="521" spans="1:39" ht="29.25" customHeight="1" x14ac:dyDescent="0.25">
      <c r="A521" s="243"/>
      <c r="B521" s="410"/>
      <c r="C521" s="410"/>
      <c r="D521" s="410"/>
      <c r="E521" s="410"/>
      <c r="F521" s="410"/>
      <c r="G521" s="410"/>
      <c r="H521" s="410"/>
      <c r="I521" s="411"/>
      <c r="J521" s="410" t="s">
        <v>372</v>
      </c>
      <c r="K521" s="245"/>
      <c r="L521" s="257"/>
      <c r="M521" s="591" t="s">
        <v>373</v>
      </c>
      <c r="N521" s="592"/>
      <c r="O521" s="179"/>
      <c r="P521" s="180"/>
      <c r="Q521" s="180">
        <v>143000000</v>
      </c>
      <c r="R521" s="181">
        <f t="shared" si="147"/>
        <v>14.155459032483087</v>
      </c>
      <c r="S521" s="181">
        <v>100</v>
      </c>
      <c r="T521" s="180">
        <f t="shared" si="127"/>
        <v>87.692307692307693</v>
      </c>
      <c r="U521" s="180">
        <f t="shared" si="132"/>
        <v>12.413248690023631</v>
      </c>
      <c r="V521" s="182">
        <f t="shared" si="105"/>
        <v>12.307692307692307</v>
      </c>
      <c r="W521" s="180"/>
      <c r="X521" s="180"/>
      <c r="Y521" s="180"/>
      <c r="Z521" s="180"/>
      <c r="AA521" s="180"/>
      <c r="AB521" s="180"/>
      <c r="AC521" s="180"/>
      <c r="AD521" s="180"/>
      <c r="AE521" s="180"/>
      <c r="AF521" s="180"/>
      <c r="AG521" s="180"/>
      <c r="AH521" s="180"/>
      <c r="AI521" s="180">
        <v>125400000</v>
      </c>
      <c r="AJ521" s="181">
        <f t="shared" si="137"/>
        <v>87.692307692307693</v>
      </c>
      <c r="AK521" s="180">
        <f t="shared" si="145"/>
        <v>17600000</v>
      </c>
      <c r="AL521" s="181">
        <f t="shared" si="146"/>
        <v>12.307692307692308</v>
      </c>
      <c r="AM521" s="243"/>
    </row>
    <row r="522" spans="1:39" ht="29.25" customHeight="1" x14ac:dyDescent="0.25">
      <c r="A522" s="243"/>
      <c r="B522" s="410"/>
      <c r="C522" s="410"/>
      <c r="D522" s="410"/>
      <c r="E522" s="410"/>
      <c r="F522" s="410"/>
      <c r="G522" s="410"/>
      <c r="H522" s="410"/>
      <c r="I522" s="411"/>
      <c r="J522" s="410" t="s">
        <v>551</v>
      </c>
      <c r="K522" s="245"/>
      <c r="L522" s="257"/>
      <c r="M522" s="591" t="s">
        <v>550</v>
      </c>
      <c r="N522" s="592"/>
      <c r="O522" s="179"/>
      <c r="P522" s="180"/>
      <c r="Q522" s="180">
        <v>175264000</v>
      </c>
      <c r="R522" s="181">
        <f t="shared" si="147"/>
        <v>17.349247355728082</v>
      </c>
      <c r="S522" s="181">
        <v>100</v>
      </c>
      <c r="T522" s="180">
        <f t="shared" si="127"/>
        <v>0</v>
      </c>
      <c r="U522" s="180">
        <f t="shared" si="132"/>
        <v>0</v>
      </c>
      <c r="V522" s="182">
        <f t="shared" si="105"/>
        <v>100</v>
      </c>
      <c r="W522" s="180"/>
      <c r="X522" s="180"/>
      <c r="Y522" s="180"/>
      <c r="Z522" s="180"/>
      <c r="AA522" s="180"/>
      <c r="AB522" s="180"/>
      <c r="AC522" s="180"/>
      <c r="AD522" s="180"/>
      <c r="AE522" s="180"/>
      <c r="AF522" s="180"/>
      <c r="AG522" s="180"/>
      <c r="AH522" s="180"/>
      <c r="AI522" s="180">
        <v>0</v>
      </c>
      <c r="AJ522" s="181">
        <f t="shared" si="137"/>
        <v>0</v>
      </c>
      <c r="AK522" s="180">
        <f t="shared" si="145"/>
        <v>175264000</v>
      </c>
      <c r="AL522" s="181">
        <f t="shared" si="146"/>
        <v>100</v>
      </c>
      <c r="AM522" s="243"/>
    </row>
    <row r="523" spans="1:39" s="297" customFormat="1" ht="28.5" customHeight="1" x14ac:dyDescent="0.25">
      <c r="A523" s="227">
        <f>A511+1</f>
        <v>65</v>
      </c>
      <c r="B523" s="615" t="s">
        <v>158</v>
      </c>
      <c r="C523" s="615"/>
      <c r="D523" s="615"/>
      <c r="E523" s="615"/>
      <c r="F523" s="615"/>
      <c r="G523" s="615"/>
      <c r="H523" s="615"/>
      <c r="I523" s="614"/>
      <c r="J523" s="304" t="s">
        <v>518</v>
      </c>
      <c r="K523" s="230"/>
      <c r="L523" s="294"/>
      <c r="M523" s="610" t="s">
        <v>163</v>
      </c>
      <c r="N523" s="610"/>
      <c r="O523" s="309">
        <v>355300000</v>
      </c>
      <c r="P523" s="231">
        <v>0</v>
      </c>
      <c r="Q523" s="231">
        <f>SUM(Q524:Q529)</f>
        <v>130200000</v>
      </c>
      <c r="R523" s="233">
        <f>Q523/Q$248*100</f>
        <v>1.0915635044942593</v>
      </c>
      <c r="S523" s="233">
        <v>100</v>
      </c>
      <c r="T523" s="231">
        <f t="shared" si="127"/>
        <v>0</v>
      </c>
      <c r="U523" s="231">
        <f t="shared" si="132"/>
        <v>0</v>
      </c>
      <c r="V523" s="296">
        <f t="shared" si="105"/>
        <v>100</v>
      </c>
      <c r="W523" s="231"/>
      <c r="X523" s="231"/>
      <c r="Y523" s="231"/>
      <c r="Z523" s="231"/>
      <c r="AA523" s="231"/>
      <c r="AB523" s="231"/>
      <c r="AC523" s="231"/>
      <c r="AD523" s="231"/>
      <c r="AE523" s="231"/>
      <c r="AF523" s="231"/>
      <c r="AG523" s="231" t="e">
        <f>[2]april!N84</f>
        <v>#REF!</v>
      </c>
      <c r="AH523" s="231">
        <f>'[3]DES SKPD'!$N84</f>
        <v>52275000</v>
      </c>
      <c r="AI523" s="231">
        <f>SUM(AI525:AI529)</f>
        <v>0</v>
      </c>
      <c r="AJ523" s="233">
        <f t="shared" si="137"/>
        <v>0</v>
      </c>
      <c r="AK523" s="231">
        <f t="shared" ref="AK523:AK530" si="148">Q523-AI523</f>
        <v>130200000</v>
      </c>
      <c r="AL523" s="233">
        <f t="shared" si="146"/>
        <v>100</v>
      </c>
      <c r="AM523" s="227"/>
    </row>
    <row r="524" spans="1:39" s="297" customFormat="1" ht="28.5" customHeight="1" x14ac:dyDescent="0.25">
      <c r="A524" s="227"/>
      <c r="B524" s="415"/>
      <c r="C524" s="415"/>
      <c r="D524" s="415"/>
      <c r="E524" s="415"/>
      <c r="F524" s="415"/>
      <c r="G524" s="415"/>
      <c r="H524" s="415"/>
      <c r="I524" s="414"/>
      <c r="J524" s="410" t="s">
        <v>323</v>
      </c>
      <c r="K524" s="230"/>
      <c r="L524" s="294"/>
      <c r="M524" s="591" t="s">
        <v>324</v>
      </c>
      <c r="N524" s="592"/>
      <c r="O524" s="309"/>
      <c r="P524" s="231"/>
      <c r="Q524" s="180">
        <v>6000000</v>
      </c>
      <c r="R524" s="181">
        <f t="shared" ref="R524:R529" si="149">Q524/Q$523*100</f>
        <v>4.6082949308755765</v>
      </c>
      <c r="S524" s="181">
        <v>100</v>
      </c>
      <c r="T524" s="180">
        <f t="shared" si="127"/>
        <v>0</v>
      </c>
      <c r="U524" s="180">
        <f t="shared" si="132"/>
        <v>0</v>
      </c>
      <c r="V524" s="182">
        <f t="shared" si="105"/>
        <v>100</v>
      </c>
      <c r="W524" s="180"/>
      <c r="X524" s="180"/>
      <c r="Y524" s="180"/>
      <c r="Z524" s="180"/>
      <c r="AA524" s="180"/>
      <c r="AB524" s="180"/>
      <c r="AC524" s="180"/>
      <c r="AD524" s="180"/>
      <c r="AE524" s="180"/>
      <c r="AF524" s="180"/>
      <c r="AG524" s="180"/>
      <c r="AH524" s="180"/>
      <c r="AI524" s="180">
        <v>0</v>
      </c>
      <c r="AJ524" s="181">
        <f t="shared" si="137"/>
        <v>0</v>
      </c>
      <c r="AK524" s="180">
        <f t="shared" si="148"/>
        <v>6000000</v>
      </c>
      <c r="AL524" s="181">
        <f t="shared" si="146"/>
        <v>100</v>
      </c>
      <c r="AM524" s="227"/>
    </row>
    <row r="525" spans="1:39" s="313" customFormat="1" ht="24.75" customHeight="1" x14ac:dyDescent="0.25">
      <c r="A525" s="243"/>
      <c r="B525" s="410"/>
      <c r="C525" s="410"/>
      <c r="D525" s="410"/>
      <c r="E525" s="410"/>
      <c r="F525" s="410"/>
      <c r="G525" s="410"/>
      <c r="H525" s="410"/>
      <c r="I525" s="411"/>
      <c r="J525" s="410" t="s">
        <v>315</v>
      </c>
      <c r="K525" s="245"/>
      <c r="L525" s="257"/>
      <c r="M525" s="591" t="s">
        <v>271</v>
      </c>
      <c r="N525" s="592"/>
      <c r="O525" s="179"/>
      <c r="P525" s="180"/>
      <c r="Q525" s="180">
        <v>4000000</v>
      </c>
      <c r="R525" s="181">
        <f t="shared" si="149"/>
        <v>3.0721966205837172</v>
      </c>
      <c r="S525" s="181">
        <v>100</v>
      </c>
      <c r="T525" s="180">
        <f t="shared" si="127"/>
        <v>0</v>
      </c>
      <c r="U525" s="180">
        <f t="shared" si="132"/>
        <v>0</v>
      </c>
      <c r="V525" s="182">
        <f t="shared" si="105"/>
        <v>100</v>
      </c>
      <c r="W525" s="180"/>
      <c r="X525" s="180"/>
      <c r="Y525" s="180"/>
      <c r="Z525" s="180"/>
      <c r="AA525" s="180"/>
      <c r="AB525" s="180"/>
      <c r="AC525" s="180"/>
      <c r="AD525" s="180"/>
      <c r="AE525" s="180"/>
      <c r="AF525" s="180"/>
      <c r="AG525" s="180"/>
      <c r="AH525" s="180"/>
      <c r="AI525" s="180">
        <v>0</v>
      </c>
      <c r="AJ525" s="181">
        <f t="shared" si="137"/>
        <v>0</v>
      </c>
      <c r="AK525" s="180">
        <f t="shared" si="148"/>
        <v>4000000</v>
      </c>
      <c r="AL525" s="181">
        <f t="shared" si="146"/>
        <v>100</v>
      </c>
      <c r="AM525" s="243"/>
    </row>
    <row r="526" spans="1:39" s="313" customFormat="1" ht="24.75" customHeight="1" x14ac:dyDescent="0.25">
      <c r="A526" s="243"/>
      <c r="B526" s="410"/>
      <c r="C526" s="410"/>
      <c r="D526" s="410"/>
      <c r="E526" s="410"/>
      <c r="F526" s="410"/>
      <c r="G526" s="410"/>
      <c r="H526" s="410"/>
      <c r="I526" s="411"/>
      <c r="J526" s="410" t="s">
        <v>280</v>
      </c>
      <c r="K526" s="245"/>
      <c r="L526" s="257"/>
      <c r="M526" s="591" t="s">
        <v>423</v>
      </c>
      <c r="N526" s="592"/>
      <c r="O526" s="179"/>
      <c r="P526" s="180"/>
      <c r="Q526" s="180">
        <v>1000000</v>
      </c>
      <c r="R526" s="181">
        <f t="shared" si="149"/>
        <v>0.76804915514592931</v>
      </c>
      <c r="S526" s="181">
        <v>100</v>
      </c>
      <c r="T526" s="180">
        <f t="shared" si="127"/>
        <v>0</v>
      </c>
      <c r="U526" s="180">
        <f t="shared" si="132"/>
        <v>0</v>
      </c>
      <c r="V526" s="182">
        <f t="shared" si="105"/>
        <v>100</v>
      </c>
      <c r="W526" s="180"/>
      <c r="X526" s="180"/>
      <c r="Y526" s="180"/>
      <c r="Z526" s="180"/>
      <c r="AA526" s="180"/>
      <c r="AB526" s="180"/>
      <c r="AC526" s="180"/>
      <c r="AD526" s="180"/>
      <c r="AE526" s="180"/>
      <c r="AF526" s="180"/>
      <c r="AG526" s="180"/>
      <c r="AH526" s="180"/>
      <c r="AI526" s="180">
        <v>0</v>
      </c>
      <c r="AJ526" s="181">
        <f t="shared" si="137"/>
        <v>0</v>
      </c>
      <c r="AK526" s="180">
        <f t="shared" si="148"/>
        <v>1000000</v>
      </c>
      <c r="AL526" s="181">
        <f t="shared" si="146"/>
        <v>100</v>
      </c>
      <c r="AM526" s="243"/>
    </row>
    <row r="527" spans="1:39" s="313" customFormat="1" ht="24.75" customHeight="1" x14ac:dyDescent="0.25">
      <c r="A527" s="243"/>
      <c r="B527" s="410"/>
      <c r="C527" s="410"/>
      <c r="D527" s="410"/>
      <c r="E527" s="410"/>
      <c r="F527" s="410"/>
      <c r="G527" s="410"/>
      <c r="H527" s="410"/>
      <c r="I527" s="411"/>
      <c r="J527" s="410" t="s">
        <v>284</v>
      </c>
      <c r="K527" s="245"/>
      <c r="L527" s="257"/>
      <c r="M527" s="591" t="s">
        <v>285</v>
      </c>
      <c r="N527" s="592"/>
      <c r="O527" s="179"/>
      <c r="P527" s="180"/>
      <c r="Q527" s="180">
        <v>5000000</v>
      </c>
      <c r="R527" s="181">
        <f t="shared" si="149"/>
        <v>3.8402457757296471</v>
      </c>
      <c r="S527" s="181">
        <v>100</v>
      </c>
      <c r="T527" s="180">
        <f t="shared" si="127"/>
        <v>0</v>
      </c>
      <c r="U527" s="180">
        <f t="shared" si="132"/>
        <v>0</v>
      </c>
      <c r="V527" s="182">
        <f t="shared" si="105"/>
        <v>100</v>
      </c>
      <c r="W527" s="180"/>
      <c r="X527" s="180"/>
      <c r="Y527" s="180"/>
      <c r="Z527" s="180"/>
      <c r="AA527" s="180"/>
      <c r="AB527" s="180"/>
      <c r="AC527" s="180"/>
      <c r="AD527" s="180"/>
      <c r="AE527" s="180"/>
      <c r="AF527" s="180"/>
      <c r="AG527" s="180"/>
      <c r="AH527" s="180"/>
      <c r="AI527" s="180">
        <v>0</v>
      </c>
      <c r="AJ527" s="181">
        <f t="shared" si="137"/>
        <v>0</v>
      </c>
      <c r="AK527" s="180">
        <f t="shared" si="148"/>
        <v>5000000</v>
      </c>
      <c r="AL527" s="181">
        <f t="shared" si="146"/>
        <v>100</v>
      </c>
      <c r="AM527" s="243"/>
    </row>
    <row r="528" spans="1:39" s="313" customFormat="1" ht="24.75" customHeight="1" x14ac:dyDescent="0.25">
      <c r="A528" s="243"/>
      <c r="B528" s="410"/>
      <c r="C528" s="410"/>
      <c r="D528" s="410"/>
      <c r="E528" s="410"/>
      <c r="F528" s="410"/>
      <c r="G528" s="410"/>
      <c r="H528" s="410"/>
      <c r="I528" s="411"/>
      <c r="J528" s="410"/>
      <c r="K528" s="245"/>
      <c r="L528" s="257"/>
      <c r="M528" s="591" t="s">
        <v>503</v>
      </c>
      <c r="N528" s="592"/>
      <c r="O528" s="179"/>
      <c r="P528" s="180"/>
      <c r="Q528" s="180">
        <v>10000000</v>
      </c>
      <c r="R528" s="181">
        <f t="shared" si="149"/>
        <v>7.6804915514592942</v>
      </c>
      <c r="S528" s="181">
        <v>100</v>
      </c>
      <c r="T528" s="180">
        <f t="shared" si="127"/>
        <v>0</v>
      </c>
      <c r="U528" s="180">
        <f t="shared" si="132"/>
        <v>0</v>
      </c>
      <c r="V528" s="182">
        <f t="shared" si="105"/>
        <v>100</v>
      </c>
      <c r="W528" s="180"/>
      <c r="X528" s="180"/>
      <c r="Y528" s="180"/>
      <c r="Z528" s="180"/>
      <c r="AA528" s="180"/>
      <c r="AB528" s="180"/>
      <c r="AC528" s="180"/>
      <c r="AD528" s="180"/>
      <c r="AE528" s="180"/>
      <c r="AF528" s="180"/>
      <c r="AG528" s="180"/>
      <c r="AH528" s="180"/>
      <c r="AI528" s="180">
        <v>0</v>
      </c>
      <c r="AJ528" s="181">
        <f t="shared" si="137"/>
        <v>0</v>
      </c>
      <c r="AK528" s="180">
        <f t="shared" si="148"/>
        <v>10000000</v>
      </c>
      <c r="AL528" s="181">
        <f t="shared" si="146"/>
        <v>100</v>
      </c>
      <c r="AM528" s="243"/>
    </row>
    <row r="529" spans="1:39" ht="24.75" customHeight="1" x14ac:dyDescent="0.25">
      <c r="A529" s="243"/>
      <c r="B529" s="410"/>
      <c r="C529" s="410"/>
      <c r="D529" s="410"/>
      <c r="E529" s="410"/>
      <c r="F529" s="410"/>
      <c r="G529" s="410"/>
      <c r="H529" s="410"/>
      <c r="I529" s="411"/>
      <c r="J529" s="410" t="s">
        <v>309</v>
      </c>
      <c r="K529" s="245"/>
      <c r="L529" s="257"/>
      <c r="M529" s="591" t="s">
        <v>310</v>
      </c>
      <c r="N529" s="592"/>
      <c r="O529" s="179"/>
      <c r="P529" s="180"/>
      <c r="Q529" s="180">
        <v>104200000</v>
      </c>
      <c r="R529" s="181">
        <f t="shared" si="149"/>
        <v>80.030721966205846</v>
      </c>
      <c r="S529" s="181">
        <v>100</v>
      </c>
      <c r="T529" s="180">
        <f t="shared" si="127"/>
        <v>0</v>
      </c>
      <c r="U529" s="180">
        <f t="shared" si="132"/>
        <v>0</v>
      </c>
      <c r="V529" s="182">
        <f t="shared" si="105"/>
        <v>100</v>
      </c>
      <c r="W529" s="180"/>
      <c r="X529" s="180"/>
      <c r="Y529" s="180"/>
      <c r="Z529" s="180"/>
      <c r="AA529" s="180"/>
      <c r="AB529" s="180"/>
      <c r="AC529" s="180"/>
      <c r="AD529" s="180"/>
      <c r="AE529" s="180"/>
      <c r="AF529" s="180"/>
      <c r="AG529" s="180"/>
      <c r="AH529" s="180"/>
      <c r="AI529" s="180">
        <v>0</v>
      </c>
      <c r="AJ529" s="181">
        <f t="shared" si="137"/>
        <v>0</v>
      </c>
      <c r="AK529" s="180">
        <f t="shared" si="148"/>
        <v>104200000</v>
      </c>
      <c r="AL529" s="181">
        <f t="shared" si="146"/>
        <v>100</v>
      </c>
      <c r="AM529" s="243"/>
    </row>
    <row r="530" spans="1:39" s="297" customFormat="1" ht="29.25" customHeight="1" x14ac:dyDescent="0.25">
      <c r="A530" s="227">
        <f>A523+1</f>
        <v>66</v>
      </c>
      <c r="B530" s="615" t="s">
        <v>158</v>
      </c>
      <c r="C530" s="615"/>
      <c r="D530" s="615"/>
      <c r="E530" s="615"/>
      <c r="F530" s="615"/>
      <c r="G530" s="615"/>
      <c r="H530" s="615"/>
      <c r="I530" s="614"/>
      <c r="J530" s="304" t="s">
        <v>519</v>
      </c>
      <c r="K530" s="230"/>
      <c r="L530" s="294"/>
      <c r="M530" s="610" t="s">
        <v>164</v>
      </c>
      <c r="N530" s="610"/>
      <c r="O530" s="309">
        <v>355300000</v>
      </c>
      <c r="P530" s="231">
        <v>0</v>
      </c>
      <c r="Q530" s="231">
        <f>SUM(Q531:Q541)</f>
        <v>154081000</v>
      </c>
      <c r="R530" s="233">
        <f>Q530/Q$248*100</f>
        <v>1.2917757015052225</v>
      </c>
      <c r="S530" s="233">
        <v>100</v>
      </c>
      <c r="T530" s="231">
        <f t="shared" si="127"/>
        <v>98.755200186914678</v>
      </c>
      <c r="U530" s="231">
        <f t="shared" si="132"/>
        <v>1.2756956799874037</v>
      </c>
      <c r="V530" s="296">
        <f t="shared" si="105"/>
        <v>1.2447998130853222</v>
      </c>
      <c r="W530" s="231"/>
      <c r="X530" s="231"/>
      <c r="Y530" s="231"/>
      <c r="Z530" s="231"/>
      <c r="AA530" s="231"/>
      <c r="AB530" s="231"/>
      <c r="AC530" s="231"/>
      <c r="AD530" s="231"/>
      <c r="AE530" s="231"/>
      <c r="AF530" s="231"/>
      <c r="AG530" s="231" t="e">
        <f>[2]april!N85</f>
        <v>#REF!</v>
      </c>
      <c r="AH530" s="231">
        <f>'[3]DES SKPD'!$N85</f>
        <v>78380000</v>
      </c>
      <c r="AI530" s="231">
        <f>SUM(AI531:AI541)</f>
        <v>152163000</v>
      </c>
      <c r="AJ530" s="233">
        <f t="shared" si="137"/>
        <v>98.755200186914678</v>
      </c>
      <c r="AK530" s="231">
        <f t="shared" si="148"/>
        <v>1918000</v>
      </c>
      <c r="AL530" s="233">
        <f t="shared" si="146"/>
        <v>1.2447998130853253</v>
      </c>
      <c r="AM530" s="227"/>
    </row>
    <row r="531" spans="1:39" ht="29.25" customHeight="1" x14ac:dyDescent="0.25">
      <c r="A531" s="243"/>
      <c r="B531" s="410"/>
      <c r="C531" s="410"/>
      <c r="D531" s="410"/>
      <c r="E531" s="410"/>
      <c r="F531" s="410"/>
      <c r="G531" s="410"/>
      <c r="H531" s="410"/>
      <c r="I531" s="411"/>
      <c r="J531" s="410" t="s">
        <v>259</v>
      </c>
      <c r="K531" s="245"/>
      <c r="L531" s="257"/>
      <c r="M531" s="591" t="s">
        <v>619</v>
      </c>
      <c r="N531" s="592"/>
      <c r="O531" s="179"/>
      <c r="P531" s="180"/>
      <c r="Q531" s="180">
        <v>1300000</v>
      </c>
      <c r="R531" s="181">
        <f>Q531/Q$530*100</f>
        <v>0.84371207351977218</v>
      </c>
      <c r="S531" s="181">
        <v>100</v>
      </c>
      <c r="T531" s="180">
        <f t="shared" si="127"/>
        <v>100</v>
      </c>
      <c r="U531" s="180">
        <f t="shared" si="132"/>
        <v>0.84371207351977218</v>
      </c>
      <c r="V531" s="182">
        <f t="shared" si="105"/>
        <v>0</v>
      </c>
      <c r="W531" s="180"/>
      <c r="X531" s="180"/>
      <c r="Y531" s="180"/>
      <c r="Z531" s="180"/>
      <c r="AA531" s="180"/>
      <c r="AB531" s="180"/>
      <c r="AC531" s="180"/>
      <c r="AD531" s="180"/>
      <c r="AE531" s="180"/>
      <c r="AF531" s="180"/>
      <c r="AG531" s="180"/>
      <c r="AH531" s="180"/>
      <c r="AI531" s="180">
        <v>1300000</v>
      </c>
      <c r="AJ531" s="181">
        <f t="shared" si="137"/>
        <v>100</v>
      </c>
      <c r="AK531" s="180">
        <f>SUM(Q531-AI531)</f>
        <v>0</v>
      </c>
      <c r="AL531" s="181">
        <f t="shared" si="146"/>
        <v>0</v>
      </c>
      <c r="AM531" s="243"/>
    </row>
    <row r="532" spans="1:39" ht="29.25" customHeight="1" x14ac:dyDescent="0.25">
      <c r="A532" s="243"/>
      <c r="B532" s="410"/>
      <c r="C532" s="410"/>
      <c r="D532" s="410"/>
      <c r="E532" s="410"/>
      <c r="F532" s="410"/>
      <c r="G532" s="410"/>
      <c r="H532" s="410"/>
      <c r="I532" s="411"/>
      <c r="J532" s="410" t="s">
        <v>618</v>
      </c>
      <c r="K532" s="245"/>
      <c r="L532" s="257"/>
      <c r="M532" s="591" t="s">
        <v>351</v>
      </c>
      <c r="N532" s="592"/>
      <c r="O532" s="179"/>
      <c r="P532" s="180"/>
      <c r="Q532" s="180">
        <v>986000</v>
      </c>
      <c r="R532" s="181">
        <f t="shared" ref="R532:R541" si="150">Q532/Q$530*100</f>
        <v>0.63992315730038096</v>
      </c>
      <c r="S532" s="181">
        <v>100</v>
      </c>
      <c r="T532" s="180">
        <f t="shared" si="127"/>
        <v>50.709939148073026</v>
      </c>
      <c r="U532" s="180">
        <f t="shared" si="132"/>
        <v>0.32450464366145082</v>
      </c>
      <c r="V532" s="182">
        <f t="shared" si="105"/>
        <v>49.290060851926974</v>
      </c>
      <c r="W532" s="180"/>
      <c r="X532" s="180"/>
      <c r="Y532" s="180"/>
      <c r="Z532" s="180"/>
      <c r="AA532" s="180"/>
      <c r="AB532" s="180"/>
      <c r="AC532" s="180"/>
      <c r="AD532" s="180"/>
      <c r="AE532" s="180"/>
      <c r="AF532" s="180"/>
      <c r="AG532" s="180"/>
      <c r="AH532" s="180"/>
      <c r="AI532" s="180">
        <v>500000</v>
      </c>
      <c r="AJ532" s="181">
        <f t="shared" si="137"/>
        <v>50.709939148073026</v>
      </c>
      <c r="AK532" s="180">
        <f t="shared" ref="AK532:AK541" si="151">SUM(Q532-AI532)</f>
        <v>486000</v>
      </c>
      <c r="AL532" s="181">
        <f t="shared" si="146"/>
        <v>49.290060851926974</v>
      </c>
      <c r="AM532" s="243"/>
    </row>
    <row r="533" spans="1:39" ht="29.25" customHeight="1" x14ac:dyDescent="0.25">
      <c r="A533" s="243"/>
      <c r="B533" s="410"/>
      <c r="C533" s="410"/>
      <c r="D533" s="410"/>
      <c r="E533" s="410"/>
      <c r="F533" s="410"/>
      <c r="G533" s="410"/>
      <c r="H533" s="410"/>
      <c r="I533" s="411"/>
      <c r="J533" s="410" t="s">
        <v>332</v>
      </c>
      <c r="K533" s="245"/>
      <c r="L533" s="257"/>
      <c r="M533" s="591" t="s">
        <v>354</v>
      </c>
      <c r="N533" s="592"/>
      <c r="O533" s="179"/>
      <c r="P533" s="180"/>
      <c r="Q533" s="180">
        <v>75000000</v>
      </c>
      <c r="R533" s="181">
        <f t="shared" si="150"/>
        <v>48.675696549217619</v>
      </c>
      <c r="S533" s="181">
        <v>100</v>
      </c>
      <c r="T533" s="180">
        <f t="shared" si="127"/>
        <v>100</v>
      </c>
      <c r="U533" s="180">
        <f t="shared" si="132"/>
        <v>48.675696549217619</v>
      </c>
      <c r="V533" s="182">
        <f t="shared" si="105"/>
        <v>0</v>
      </c>
      <c r="W533" s="180"/>
      <c r="X533" s="180"/>
      <c r="Y533" s="180"/>
      <c r="Z533" s="180"/>
      <c r="AA533" s="180"/>
      <c r="AB533" s="180"/>
      <c r="AC533" s="180"/>
      <c r="AD533" s="180"/>
      <c r="AE533" s="180"/>
      <c r="AF533" s="180"/>
      <c r="AG533" s="180"/>
      <c r="AH533" s="180"/>
      <c r="AI533" s="180">
        <v>75000000</v>
      </c>
      <c r="AJ533" s="181">
        <f t="shared" si="137"/>
        <v>100</v>
      </c>
      <c r="AK533" s="180">
        <f t="shared" si="151"/>
        <v>0</v>
      </c>
      <c r="AL533" s="181">
        <f t="shared" si="146"/>
        <v>0</v>
      </c>
      <c r="AM533" s="243"/>
    </row>
    <row r="534" spans="1:39" ht="29.25" customHeight="1" x14ac:dyDescent="0.25">
      <c r="A534" s="243"/>
      <c r="B534" s="410"/>
      <c r="C534" s="410"/>
      <c r="D534" s="410"/>
      <c r="E534" s="410"/>
      <c r="F534" s="410"/>
      <c r="G534" s="410"/>
      <c r="H534" s="410"/>
      <c r="I534" s="411"/>
      <c r="J534" s="410" t="s">
        <v>374</v>
      </c>
      <c r="K534" s="245"/>
      <c r="L534" s="257"/>
      <c r="M534" s="591" t="s">
        <v>428</v>
      </c>
      <c r="N534" s="592"/>
      <c r="O534" s="179"/>
      <c r="P534" s="180"/>
      <c r="Q534" s="180">
        <v>500000</v>
      </c>
      <c r="R534" s="181">
        <f t="shared" si="150"/>
        <v>0.32450464366145082</v>
      </c>
      <c r="S534" s="181">
        <v>100</v>
      </c>
      <c r="T534" s="180">
        <f t="shared" si="127"/>
        <v>100</v>
      </c>
      <c r="U534" s="180">
        <f t="shared" si="132"/>
        <v>0.32450464366145082</v>
      </c>
      <c r="V534" s="182">
        <f t="shared" si="105"/>
        <v>0</v>
      </c>
      <c r="W534" s="180"/>
      <c r="X534" s="180"/>
      <c r="Y534" s="180"/>
      <c r="Z534" s="180"/>
      <c r="AA534" s="180"/>
      <c r="AB534" s="180"/>
      <c r="AC534" s="180"/>
      <c r="AD534" s="180"/>
      <c r="AE534" s="180"/>
      <c r="AF534" s="180"/>
      <c r="AG534" s="180"/>
      <c r="AH534" s="180"/>
      <c r="AI534" s="180">
        <v>500000</v>
      </c>
      <c r="AJ534" s="181">
        <f t="shared" si="137"/>
        <v>100</v>
      </c>
      <c r="AK534" s="180">
        <f t="shared" si="151"/>
        <v>0</v>
      </c>
      <c r="AL534" s="181">
        <f t="shared" si="146"/>
        <v>0</v>
      </c>
      <c r="AM534" s="243"/>
    </row>
    <row r="535" spans="1:39" ht="29.25" customHeight="1" x14ac:dyDescent="0.25">
      <c r="A535" s="243"/>
      <c r="B535" s="410"/>
      <c r="C535" s="410"/>
      <c r="D535" s="410"/>
      <c r="E535" s="410"/>
      <c r="F535" s="410"/>
      <c r="G535" s="410"/>
      <c r="H535" s="410"/>
      <c r="I535" s="411"/>
      <c r="J535" s="410" t="s">
        <v>316</v>
      </c>
      <c r="K535" s="245"/>
      <c r="L535" s="257"/>
      <c r="M535" s="591" t="s">
        <v>317</v>
      </c>
      <c r="N535" s="592"/>
      <c r="O535" s="179"/>
      <c r="P535" s="180"/>
      <c r="Q535" s="180">
        <v>17300000</v>
      </c>
      <c r="R535" s="181">
        <f t="shared" si="150"/>
        <v>11.227860670686198</v>
      </c>
      <c r="S535" s="181">
        <v>100</v>
      </c>
      <c r="T535" s="180">
        <f t="shared" si="127"/>
        <v>97.109826589595372</v>
      </c>
      <c r="U535" s="180">
        <f t="shared" si="132"/>
        <v>10.903356027024747</v>
      </c>
      <c r="V535" s="182">
        <f t="shared" si="105"/>
        <v>2.8901734104046284</v>
      </c>
      <c r="W535" s="180"/>
      <c r="X535" s="180"/>
      <c r="Y535" s="180"/>
      <c r="Z535" s="180"/>
      <c r="AA535" s="180"/>
      <c r="AB535" s="180"/>
      <c r="AC535" s="180"/>
      <c r="AD535" s="180"/>
      <c r="AE535" s="180"/>
      <c r="AF535" s="180"/>
      <c r="AG535" s="180"/>
      <c r="AH535" s="180"/>
      <c r="AI535" s="180">
        <v>16800000</v>
      </c>
      <c r="AJ535" s="181">
        <f t="shared" si="137"/>
        <v>97.109826589595372</v>
      </c>
      <c r="AK535" s="180">
        <f t="shared" si="151"/>
        <v>500000</v>
      </c>
      <c r="AL535" s="181">
        <f t="shared" si="146"/>
        <v>2.8901734104046244</v>
      </c>
      <c r="AM535" s="243"/>
    </row>
    <row r="536" spans="1:39" ht="29.25" customHeight="1" x14ac:dyDescent="0.25">
      <c r="A536" s="243"/>
      <c r="B536" s="410"/>
      <c r="C536" s="410"/>
      <c r="D536" s="410"/>
      <c r="E536" s="410"/>
      <c r="F536" s="410"/>
      <c r="G536" s="410"/>
      <c r="H536" s="410"/>
      <c r="I536" s="411"/>
      <c r="J536" s="410" t="s">
        <v>318</v>
      </c>
      <c r="K536" s="245"/>
      <c r="L536" s="257"/>
      <c r="M536" s="591" t="s">
        <v>319</v>
      </c>
      <c r="N536" s="592"/>
      <c r="O536" s="179"/>
      <c r="P536" s="180"/>
      <c r="Q536" s="180">
        <v>26250000</v>
      </c>
      <c r="R536" s="181">
        <f t="shared" si="150"/>
        <v>17.036493792226167</v>
      </c>
      <c r="S536" s="181">
        <v>100</v>
      </c>
      <c r="T536" s="180">
        <f t="shared" si="127"/>
        <v>100</v>
      </c>
      <c r="U536" s="180">
        <f t="shared" si="132"/>
        <v>17.036493792226167</v>
      </c>
      <c r="V536" s="182">
        <f t="shared" si="105"/>
        <v>0</v>
      </c>
      <c r="W536" s="180"/>
      <c r="X536" s="180"/>
      <c r="Y536" s="180"/>
      <c r="Z536" s="180"/>
      <c r="AA536" s="180"/>
      <c r="AB536" s="180"/>
      <c r="AC536" s="180"/>
      <c r="AD536" s="180"/>
      <c r="AE536" s="180"/>
      <c r="AF536" s="180"/>
      <c r="AG536" s="180"/>
      <c r="AH536" s="180"/>
      <c r="AI536" s="180">
        <v>26250000</v>
      </c>
      <c r="AJ536" s="181">
        <f t="shared" si="137"/>
        <v>100</v>
      </c>
      <c r="AK536" s="180">
        <f t="shared" si="151"/>
        <v>0</v>
      </c>
      <c r="AL536" s="181">
        <f t="shared" si="146"/>
        <v>0</v>
      </c>
      <c r="AM536" s="243"/>
    </row>
    <row r="537" spans="1:39" ht="29.25" customHeight="1" x14ac:dyDescent="0.25">
      <c r="A537" s="243"/>
      <c r="B537" s="410"/>
      <c r="C537" s="410"/>
      <c r="D537" s="410"/>
      <c r="E537" s="410"/>
      <c r="F537" s="410"/>
      <c r="G537" s="410"/>
      <c r="H537" s="410"/>
      <c r="I537" s="411"/>
      <c r="J537" s="410" t="s">
        <v>284</v>
      </c>
      <c r="K537" s="245"/>
      <c r="L537" s="257"/>
      <c r="M537" s="591" t="s">
        <v>285</v>
      </c>
      <c r="N537" s="592"/>
      <c r="O537" s="179"/>
      <c r="P537" s="180"/>
      <c r="Q537" s="180">
        <v>3000000</v>
      </c>
      <c r="R537" s="181">
        <f t="shared" si="150"/>
        <v>1.9470278619687049</v>
      </c>
      <c r="S537" s="181">
        <v>100</v>
      </c>
      <c r="T537" s="180">
        <f t="shared" si="127"/>
        <v>99</v>
      </c>
      <c r="U537" s="180">
        <f t="shared" si="132"/>
        <v>1.9275575833490179</v>
      </c>
      <c r="V537" s="182">
        <f t="shared" si="105"/>
        <v>1</v>
      </c>
      <c r="W537" s="180"/>
      <c r="X537" s="180"/>
      <c r="Y537" s="180"/>
      <c r="Z537" s="180"/>
      <c r="AA537" s="180"/>
      <c r="AB537" s="180"/>
      <c r="AC537" s="180"/>
      <c r="AD537" s="180"/>
      <c r="AE537" s="180"/>
      <c r="AF537" s="180"/>
      <c r="AG537" s="180"/>
      <c r="AH537" s="180"/>
      <c r="AI537" s="180">
        <f>440000+2530000</f>
        <v>2970000</v>
      </c>
      <c r="AJ537" s="181">
        <f t="shared" si="137"/>
        <v>99</v>
      </c>
      <c r="AK537" s="180">
        <f t="shared" si="151"/>
        <v>30000</v>
      </c>
      <c r="AL537" s="181">
        <f t="shared" si="146"/>
        <v>1</v>
      </c>
      <c r="AM537" s="243"/>
    </row>
    <row r="538" spans="1:39" ht="29.25" customHeight="1" x14ac:dyDescent="0.25">
      <c r="A538" s="243"/>
      <c r="B538" s="410"/>
      <c r="C538" s="410"/>
      <c r="D538" s="410"/>
      <c r="E538" s="410"/>
      <c r="F538" s="410"/>
      <c r="G538" s="410"/>
      <c r="H538" s="410"/>
      <c r="I538" s="411"/>
      <c r="J538" s="410" t="s">
        <v>282</v>
      </c>
      <c r="K538" s="245"/>
      <c r="L538" s="257"/>
      <c r="M538" s="591" t="s">
        <v>283</v>
      </c>
      <c r="N538" s="592"/>
      <c r="O538" s="179"/>
      <c r="P538" s="180"/>
      <c r="Q538" s="180">
        <v>10245000</v>
      </c>
      <c r="R538" s="181">
        <f t="shared" si="150"/>
        <v>6.6491001486231269</v>
      </c>
      <c r="S538" s="181">
        <v>100</v>
      </c>
      <c r="T538" s="180">
        <f t="shared" si="127"/>
        <v>99.980478282088825</v>
      </c>
      <c r="U538" s="180">
        <f t="shared" si="132"/>
        <v>6.6478021300484809</v>
      </c>
      <c r="V538" s="182">
        <f t="shared" ref="V538:V679" si="152">S538-T538</f>
        <v>1.9521717911175074E-2</v>
      </c>
      <c r="W538" s="180"/>
      <c r="X538" s="180"/>
      <c r="Y538" s="180"/>
      <c r="Z538" s="180"/>
      <c r="AA538" s="180"/>
      <c r="AB538" s="180"/>
      <c r="AC538" s="180"/>
      <c r="AD538" s="180"/>
      <c r="AE538" s="180"/>
      <c r="AF538" s="180"/>
      <c r="AG538" s="180"/>
      <c r="AH538" s="180"/>
      <c r="AI538" s="180">
        <f>2163000+8080000</f>
        <v>10243000</v>
      </c>
      <c r="AJ538" s="181">
        <f t="shared" ref="AJ538:AJ605" si="153">AI538/Q538*100</f>
        <v>99.980478282088825</v>
      </c>
      <c r="AK538" s="180">
        <f t="shared" si="151"/>
        <v>2000</v>
      </c>
      <c r="AL538" s="181">
        <f t="shared" si="146"/>
        <v>1.9521717911176184E-2</v>
      </c>
      <c r="AM538" s="243"/>
    </row>
    <row r="539" spans="1:39" ht="29.25" customHeight="1" x14ac:dyDescent="0.25">
      <c r="A539" s="243"/>
      <c r="B539" s="410"/>
      <c r="C539" s="410"/>
      <c r="D539" s="410"/>
      <c r="E539" s="410"/>
      <c r="F539" s="410"/>
      <c r="G539" s="410"/>
      <c r="H539" s="410"/>
      <c r="I539" s="411"/>
      <c r="J539" s="410" t="s">
        <v>320</v>
      </c>
      <c r="K539" s="245"/>
      <c r="L539" s="257"/>
      <c r="M539" s="591" t="s">
        <v>321</v>
      </c>
      <c r="N539" s="592"/>
      <c r="O539" s="179"/>
      <c r="P539" s="180"/>
      <c r="Q539" s="180">
        <v>5800000</v>
      </c>
      <c r="R539" s="181">
        <f t="shared" si="150"/>
        <v>3.7642538664728291</v>
      </c>
      <c r="S539" s="181">
        <v>100</v>
      </c>
      <c r="T539" s="180">
        <f t="shared" si="127"/>
        <v>100</v>
      </c>
      <c r="U539" s="180">
        <f t="shared" si="132"/>
        <v>3.7642538664728291</v>
      </c>
      <c r="V539" s="182">
        <f t="shared" si="152"/>
        <v>0</v>
      </c>
      <c r="W539" s="180"/>
      <c r="X539" s="180"/>
      <c r="Y539" s="180"/>
      <c r="Z539" s="180"/>
      <c r="AA539" s="180"/>
      <c r="AB539" s="180"/>
      <c r="AC539" s="180"/>
      <c r="AD539" s="180"/>
      <c r="AE539" s="180"/>
      <c r="AF539" s="180"/>
      <c r="AG539" s="180"/>
      <c r="AH539" s="180"/>
      <c r="AI539" s="180">
        <v>5800000</v>
      </c>
      <c r="AJ539" s="181">
        <f t="shared" si="153"/>
        <v>100</v>
      </c>
      <c r="AK539" s="180">
        <f t="shared" si="151"/>
        <v>0</v>
      </c>
      <c r="AL539" s="181">
        <f t="shared" si="146"/>
        <v>0</v>
      </c>
      <c r="AM539" s="243"/>
    </row>
    <row r="540" spans="1:39" ht="29.25" customHeight="1" x14ac:dyDescent="0.25">
      <c r="A540" s="243"/>
      <c r="B540" s="410"/>
      <c r="C540" s="410"/>
      <c r="D540" s="410"/>
      <c r="E540" s="410"/>
      <c r="F540" s="410"/>
      <c r="G540" s="410"/>
      <c r="H540" s="410"/>
      <c r="I540" s="411"/>
      <c r="J540" s="410" t="s">
        <v>309</v>
      </c>
      <c r="K540" s="245"/>
      <c r="L540" s="257"/>
      <c r="M540" s="591" t="s">
        <v>607</v>
      </c>
      <c r="N540" s="592"/>
      <c r="O540" s="179"/>
      <c r="P540" s="180"/>
      <c r="Q540" s="180">
        <v>2450000</v>
      </c>
      <c r="R540" s="181">
        <f t="shared" si="150"/>
        <v>1.5900727539411088</v>
      </c>
      <c r="S540" s="181">
        <v>100</v>
      </c>
      <c r="T540" s="180">
        <f t="shared" si="127"/>
        <v>100</v>
      </c>
      <c r="U540" s="180">
        <f t="shared" si="132"/>
        <v>1.5900727539411088</v>
      </c>
      <c r="V540" s="182">
        <f t="shared" si="152"/>
        <v>0</v>
      </c>
      <c r="W540" s="180"/>
      <c r="X540" s="180"/>
      <c r="Y540" s="180"/>
      <c r="Z540" s="180"/>
      <c r="AA540" s="180"/>
      <c r="AB540" s="180"/>
      <c r="AC540" s="180"/>
      <c r="AD540" s="180"/>
      <c r="AE540" s="180"/>
      <c r="AF540" s="180"/>
      <c r="AG540" s="180"/>
      <c r="AH540" s="180"/>
      <c r="AI540" s="180">
        <v>2450000</v>
      </c>
      <c r="AJ540" s="181">
        <f t="shared" si="153"/>
        <v>100</v>
      </c>
      <c r="AK540" s="180">
        <f t="shared" si="151"/>
        <v>0</v>
      </c>
      <c r="AL540" s="181">
        <f t="shared" si="146"/>
        <v>0</v>
      </c>
      <c r="AM540" s="243"/>
    </row>
    <row r="541" spans="1:39" ht="29.25" customHeight="1" x14ac:dyDescent="0.25">
      <c r="A541" s="243"/>
      <c r="B541" s="410"/>
      <c r="C541" s="410"/>
      <c r="D541" s="410"/>
      <c r="E541" s="410"/>
      <c r="F541" s="410"/>
      <c r="G541" s="410"/>
      <c r="H541" s="410"/>
      <c r="I541" s="411"/>
      <c r="J541" s="410" t="s">
        <v>372</v>
      </c>
      <c r="K541" s="245"/>
      <c r="L541" s="257"/>
      <c r="M541" s="591" t="s">
        <v>373</v>
      </c>
      <c r="N541" s="592"/>
      <c r="O541" s="179"/>
      <c r="P541" s="180"/>
      <c r="Q541" s="180">
        <v>11250000</v>
      </c>
      <c r="R541" s="181">
        <f t="shared" si="150"/>
        <v>7.3013544823826422</v>
      </c>
      <c r="S541" s="181"/>
      <c r="T541" s="180">
        <f t="shared" si="127"/>
        <v>92</v>
      </c>
      <c r="U541" s="180">
        <f t="shared" si="132"/>
        <v>6.7172461237920311</v>
      </c>
      <c r="V541" s="182">
        <f t="shared" si="152"/>
        <v>-92</v>
      </c>
      <c r="W541" s="180"/>
      <c r="X541" s="180"/>
      <c r="Y541" s="180"/>
      <c r="Z541" s="180"/>
      <c r="AA541" s="180"/>
      <c r="AB541" s="180"/>
      <c r="AC541" s="180"/>
      <c r="AD541" s="180"/>
      <c r="AE541" s="180"/>
      <c r="AF541" s="180"/>
      <c r="AG541" s="180"/>
      <c r="AH541" s="180"/>
      <c r="AI541" s="180">
        <v>10350000</v>
      </c>
      <c r="AJ541" s="181">
        <f t="shared" si="153"/>
        <v>92</v>
      </c>
      <c r="AK541" s="180">
        <f t="shared" si="151"/>
        <v>900000</v>
      </c>
      <c r="AL541" s="181">
        <f t="shared" si="146"/>
        <v>8</v>
      </c>
      <c r="AM541" s="243"/>
    </row>
    <row r="542" spans="1:39" s="297" customFormat="1" ht="31.5" customHeight="1" x14ac:dyDescent="0.25">
      <c r="A542" s="227">
        <f>A530+1</f>
        <v>67</v>
      </c>
      <c r="B542" s="615" t="s">
        <v>158</v>
      </c>
      <c r="C542" s="615"/>
      <c r="D542" s="615"/>
      <c r="E542" s="615"/>
      <c r="F542" s="615"/>
      <c r="G542" s="615"/>
      <c r="H542" s="615"/>
      <c r="I542" s="614"/>
      <c r="J542" s="304" t="s">
        <v>520</v>
      </c>
      <c r="K542" s="230"/>
      <c r="L542" s="294"/>
      <c r="M542" s="610" t="s">
        <v>165</v>
      </c>
      <c r="N542" s="610"/>
      <c r="O542" s="309">
        <v>355300000</v>
      </c>
      <c r="P542" s="231">
        <v>0</v>
      </c>
      <c r="Q542" s="231">
        <f>SUM(Q543:Q552)</f>
        <v>237999131</v>
      </c>
      <c r="R542" s="233">
        <f>Q542/Q$248*100</f>
        <v>1.9953238517737966</v>
      </c>
      <c r="S542" s="233">
        <v>100</v>
      </c>
      <c r="T542" s="231">
        <f t="shared" si="127"/>
        <v>85.94989365738482</v>
      </c>
      <c r="U542" s="231">
        <f t="shared" si="132"/>
        <v>1.7149787287200129</v>
      </c>
      <c r="V542" s="296">
        <f t="shared" si="152"/>
        <v>14.05010634261518</v>
      </c>
      <c r="W542" s="231"/>
      <c r="X542" s="231"/>
      <c r="Y542" s="231"/>
      <c r="Z542" s="231"/>
      <c r="AA542" s="231"/>
      <c r="AB542" s="231"/>
      <c r="AC542" s="231"/>
      <c r="AD542" s="231"/>
      <c r="AE542" s="231"/>
      <c r="AF542" s="231"/>
      <c r="AG542" s="231" t="e">
        <f>[2]april!N86</f>
        <v>#REF!</v>
      </c>
      <c r="AH542" s="231">
        <f>'[3]DES SKPD'!$N86</f>
        <v>126710000</v>
      </c>
      <c r="AI542" s="231">
        <f>SUM(AI543:AI552)</f>
        <v>204560000</v>
      </c>
      <c r="AJ542" s="233">
        <f t="shared" si="153"/>
        <v>85.94989365738482</v>
      </c>
      <c r="AK542" s="231">
        <f>Q542-AI542</f>
        <v>33439131</v>
      </c>
      <c r="AL542" s="233">
        <f t="shared" si="146"/>
        <v>14.050106342615177</v>
      </c>
      <c r="AM542" s="227"/>
    </row>
    <row r="543" spans="1:39" ht="42.75" customHeight="1" x14ac:dyDescent="0.25">
      <c r="A543" s="243"/>
      <c r="B543" s="410"/>
      <c r="C543" s="410"/>
      <c r="D543" s="410"/>
      <c r="E543" s="410"/>
      <c r="F543" s="410"/>
      <c r="G543" s="410"/>
      <c r="H543" s="410"/>
      <c r="I543" s="411"/>
      <c r="J543" s="410" t="s">
        <v>251</v>
      </c>
      <c r="K543" s="245"/>
      <c r="L543" s="257"/>
      <c r="M543" s="591" t="s">
        <v>324</v>
      </c>
      <c r="N543" s="592"/>
      <c r="O543" s="179"/>
      <c r="P543" s="180"/>
      <c r="Q543" s="180">
        <v>3199131</v>
      </c>
      <c r="R543" s="181">
        <f>Q543/Q$542*100</f>
        <v>1.3441775970182008</v>
      </c>
      <c r="S543" s="181">
        <v>100</v>
      </c>
      <c r="T543" s="180">
        <f t="shared" si="127"/>
        <v>95.650975217957622</v>
      </c>
      <c r="U543" s="180">
        <f t="shared" si="132"/>
        <v>1.2857189802092177</v>
      </c>
      <c r="V543" s="182">
        <f t="shared" si="152"/>
        <v>4.3490247820423775</v>
      </c>
      <c r="W543" s="180"/>
      <c r="X543" s="180"/>
      <c r="Y543" s="180"/>
      <c r="Z543" s="180"/>
      <c r="AA543" s="180"/>
      <c r="AB543" s="180"/>
      <c r="AC543" s="180"/>
      <c r="AD543" s="180"/>
      <c r="AE543" s="180"/>
      <c r="AF543" s="180"/>
      <c r="AG543" s="180"/>
      <c r="AH543" s="180"/>
      <c r="AI543" s="180">
        <v>3060000</v>
      </c>
      <c r="AJ543" s="181">
        <f t="shared" si="153"/>
        <v>95.650975217957622</v>
      </c>
      <c r="AK543" s="180">
        <f>SUM(Q543-AI543)</f>
        <v>139131</v>
      </c>
      <c r="AL543" s="181">
        <f t="shared" si="146"/>
        <v>4.3490247820423731</v>
      </c>
      <c r="AM543" s="243"/>
    </row>
    <row r="544" spans="1:39" ht="42.75" customHeight="1" x14ac:dyDescent="0.25">
      <c r="A544" s="243"/>
      <c r="B544" s="410"/>
      <c r="C544" s="410"/>
      <c r="D544" s="410"/>
      <c r="E544" s="410"/>
      <c r="F544" s="410"/>
      <c r="G544" s="410"/>
      <c r="H544" s="410"/>
      <c r="I544" s="411"/>
      <c r="J544" s="410"/>
      <c r="K544" s="245"/>
      <c r="L544" s="257"/>
      <c r="M544" s="591" t="s">
        <v>346</v>
      </c>
      <c r="N544" s="592"/>
      <c r="O544" s="179"/>
      <c r="P544" s="180"/>
      <c r="Q544" s="180">
        <v>16500000</v>
      </c>
      <c r="R544" s="181">
        <f>Q544/Q$542*100</f>
        <v>6.9327984226967621</v>
      </c>
      <c r="S544" s="181">
        <v>100</v>
      </c>
      <c r="T544" s="180">
        <f t="shared" si="127"/>
        <v>100</v>
      </c>
      <c r="U544" s="180">
        <f t="shared" si="132"/>
        <v>6.9327984226967621</v>
      </c>
      <c r="V544" s="182">
        <f t="shared" si="152"/>
        <v>0</v>
      </c>
      <c r="W544" s="180"/>
      <c r="X544" s="180"/>
      <c r="Y544" s="180"/>
      <c r="Z544" s="180"/>
      <c r="AA544" s="180"/>
      <c r="AB544" s="180"/>
      <c r="AC544" s="180"/>
      <c r="AD544" s="180"/>
      <c r="AE544" s="180"/>
      <c r="AF544" s="180"/>
      <c r="AG544" s="180"/>
      <c r="AH544" s="180"/>
      <c r="AI544" s="180">
        <v>16500000</v>
      </c>
      <c r="AJ544" s="181">
        <f t="shared" si="153"/>
        <v>100</v>
      </c>
      <c r="AK544" s="180">
        <f>SUM(Q544-AI544)</f>
        <v>0</v>
      </c>
      <c r="AL544" s="181">
        <f t="shared" si="146"/>
        <v>0</v>
      </c>
      <c r="AM544" s="243"/>
    </row>
    <row r="545" spans="1:39" ht="24.75" customHeight="1" x14ac:dyDescent="0.25">
      <c r="A545" s="243"/>
      <c r="B545" s="410"/>
      <c r="C545" s="410"/>
      <c r="D545" s="410"/>
      <c r="E545" s="410"/>
      <c r="F545" s="410"/>
      <c r="G545" s="410"/>
      <c r="H545" s="410"/>
      <c r="I545" s="411"/>
      <c r="J545" s="410" t="s">
        <v>315</v>
      </c>
      <c r="K545" s="245"/>
      <c r="L545" s="257"/>
      <c r="M545" s="591" t="s">
        <v>271</v>
      </c>
      <c r="N545" s="592"/>
      <c r="O545" s="179"/>
      <c r="P545" s="180"/>
      <c r="Q545" s="180">
        <v>4000000</v>
      </c>
      <c r="R545" s="181">
        <f t="shared" ref="R545:R552" si="154">Q545/Q$542*100</f>
        <v>1.6806784055022455</v>
      </c>
      <c r="S545" s="181">
        <v>100</v>
      </c>
      <c r="T545" s="180">
        <f t="shared" si="127"/>
        <v>100</v>
      </c>
      <c r="U545" s="180">
        <f t="shared" si="132"/>
        <v>1.6806784055022457</v>
      </c>
      <c r="V545" s="182">
        <f t="shared" si="152"/>
        <v>0</v>
      </c>
      <c r="W545" s="180"/>
      <c r="X545" s="180"/>
      <c r="Y545" s="180"/>
      <c r="Z545" s="180"/>
      <c r="AA545" s="180"/>
      <c r="AB545" s="180"/>
      <c r="AC545" s="180"/>
      <c r="AD545" s="180"/>
      <c r="AE545" s="180"/>
      <c r="AF545" s="180"/>
      <c r="AG545" s="180"/>
      <c r="AH545" s="180"/>
      <c r="AI545" s="180">
        <v>4000000</v>
      </c>
      <c r="AJ545" s="181">
        <f t="shared" si="153"/>
        <v>100</v>
      </c>
      <c r="AK545" s="180">
        <f t="shared" ref="AK545:AK552" si="155">SUM(Q545-AI545)</f>
        <v>0</v>
      </c>
      <c r="AL545" s="181">
        <f t="shared" si="146"/>
        <v>0</v>
      </c>
      <c r="AM545" s="243"/>
    </row>
    <row r="546" spans="1:39" ht="24.75" customHeight="1" x14ac:dyDescent="0.25">
      <c r="A546" s="243"/>
      <c r="B546" s="410"/>
      <c r="C546" s="410"/>
      <c r="D546" s="410"/>
      <c r="E546" s="410"/>
      <c r="F546" s="410"/>
      <c r="G546" s="410"/>
      <c r="H546" s="410"/>
      <c r="I546" s="411"/>
      <c r="J546" s="410" t="s">
        <v>316</v>
      </c>
      <c r="K546" s="245"/>
      <c r="L546" s="257"/>
      <c r="M546" s="591" t="s">
        <v>317</v>
      </c>
      <c r="N546" s="592"/>
      <c r="O546" s="179"/>
      <c r="P546" s="180"/>
      <c r="Q546" s="180">
        <v>3600000</v>
      </c>
      <c r="R546" s="181">
        <f t="shared" si="154"/>
        <v>1.5126105649520207</v>
      </c>
      <c r="S546" s="181">
        <v>100</v>
      </c>
      <c r="T546" s="180">
        <f t="shared" si="127"/>
        <v>100</v>
      </c>
      <c r="U546" s="180">
        <f t="shared" si="132"/>
        <v>1.5126105649520207</v>
      </c>
      <c r="V546" s="182">
        <f t="shared" si="152"/>
        <v>0</v>
      </c>
      <c r="W546" s="180"/>
      <c r="X546" s="180"/>
      <c r="Y546" s="180"/>
      <c r="Z546" s="180"/>
      <c r="AA546" s="180"/>
      <c r="AB546" s="180"/>
      <c r="AC546" s="180"/>
      <c r="AD546" s="180"/>
      <c r="AE546" s="180"/>
      <c r="AF546" s="180"/>
      <c r="AG546" s="180"/>
      <c r="AH546" s="180"/>
      <c r="AI546" s="180">
        <v>3600000</v>
      </c>
      <c r="AJ546" s="181">
        <f t="shared" si="153"/>
        <v>100</v>
      </c>
      <c r="AK546" s="180">
        <f t="shared" si="155"/>
        <v>0</v>
      </c>
      <c r="AL546" s="181">
        <f t="shared" si="146"/>
        <v>0</v>
      </c>
      <c r="AM546" s="243"/>
    </row>
    <row r="547" spans="1:39" ht="24.75" customHeight="1" x14ac:dyDescent="0.25">
      <c r="A547" s="243"/>
      <c r="B547" s="410"/>
      <c r="C547" s="410"/>
      <c r="D547" s="410"/>
      <c r="E547" s="410"/>
      <c r="F547" s="410"/>
      <c r="G547" s="410"/>
      <c r="H547" s="410"/>
      <c r="I547" s="411"/>
      <c r="J547" s="410" t="s">
        <v>370</v>
      </c>
      <c r="K547" s="245"/>
      <c r="L547" s="257"/>
      <c r="M547" s="591" t="s">
        <v>371</v>
      </c>
      <c r="N547" s="592"/>
      <c r="O547" s="179"/>
      <c r="P547" s="180"/>
      <c r="Q547" s="180">
        <v>27000000</v>
      </c>
      <c r="R547" s="181">
        <f t="shared" si="154"/>
        <v>11.344579237140156</v>
      </c>
      <c r="S547" s="181">
        <v>100</v>
      </c>
      <c r="T547" s="180">
        <f t="shared" si="127"/>
        <v>95.18518518518519</v>
      </c>
      <c r="U547" s="180">
        <f t="shared" si="132"/>
        <v>10.798358755351925</v>
      </c>
      <c r="V547" s="182">
        <f t="shared" si="152"/>
        <v>4.8148148148148096</v>
      </c>
      <c r="W547" s="180"/>
      <c r="X547" s="180"/>
      <c r="Y547" s="180"/>
      <c r="Z547" s="180"/>
      <c r="AA547" s="180"/>
      <c r="AB547" s="180"/>
      <c r="AC547" s="180"/>
      <c r="AD547" s="180"/>
      <c r="AE547" s="180"/>
      <c r="AF547" s="180"/>
      <c r="AG547" s="180"/>
      <c r="AH547" s="180"/>
      <c r="AI547" s="180">
        <v>25700000</v>
      </c>
      <c r="AJ547" s="181">
        <f t="shared" si="153"/>
        <v>95.18518518518519</v>
      </c>
      <c r="AK547" s="180">
        <f t="shared" si="155"/>
        <v>1300000</v>
      </c>
      <c r="AL547" s="181">
        <f t="shared" si="146"/>
        <v>4.8148148148148149</v>
      </c>
      <c r="AM547" s="243"/>
    </row>
    <row r="548" spans="1:39" ht="30" customHeight="1" x14ac:dyDescent="0.25">
      <c r="A548" s="243"/>
      <c r="B548" s="410"/>
      <c r="C548" s="410"/>
      <c r="D548" s="410"/>
      <c r="E548" s="410"/>
      <c r="F548" s="410"/>
      <c r="G548" s="410"/>
      <c r="H548" s="410"/>
      <c r="I548" s="411"/>
      <c r="J548" s="410" t="s">
        <v>339</v>
      </c>
      <c r="K548" s="245"/>
      <c r="L548" s="257"/>
      <c r="M548" s="591" t="s">
        <v>340</v>
      </c>
      <c r="N548" s="592"/>
      <c r="O548" s="179"/>
      <c r="P548" s="180"/>
      <c r="Q548" s="180">
        <v>41000000</v>
      </c>
      <c r="R548" s="181">
        <f t="shared" si="154"/>
        <v>17.226953656398013</v>
      </c>
      <c r="S548" s="181">
        <v>100</v>
      </c>
      <c r="T548" s="180">
        <f t="shared" si="127"/>
        <v>100</v>
      </c>
      <c r="U548" s="180">
        <f t="shared" si="132"/>
        <v>17.226953656398013</v>
      </c>
      <c r="V548" s="182">
        <f t="shared" si="152"/>
        <v>0</v>
      </c>
      <c r="W548" s="180"/>
      <c r="X548" s="180"/>
      <c r="Y548" s="180"/>
      <c r="Z548" s="180"/>
      <c r="AA548" s="180"/>
      <c r="AB548" s="180"/>
      <c r="AC548" s="180"/>
      <c r="AD548" s="180"/>
      <c r="AE548" s="180"/>
      <c r="AF548" s="180"/>
      <c r="AG548" s="180"/>
      <c r="AH548" s="180"/>
      <c r="AI548" s="180">
        <v>41000000</v>
      </c>
      <c r="AJ548" s="181">
        <f t="shared" si="153"/>
        <v>100</v>
      </c>
      <c r="AK548" s="180">
        <f t="shared" si="155"/>
        <v>0</v>
      </c>
      <c r="AL548" s="181">
        <f t="shared" si="146"/>
        <v>0</v>
      </c>
      <c r="AM548" s="243"/>
    </row>
    <row r="549" spans="1:39" ht="24.75" customHeight="1" x14ac:dyDescent="0.25">
      <c r="A549" s="243"/>
      <c r="B549" s="410"/>
      <c r="C549" s="410"/>
      <c r="D549" s="410"/>
      <c r="E549" s="410"/>
      <c r="F549" s="410"/>
      <c r="G549" s="410"/>
      <c r="H549" s="410"/>
      <c r="I549" s="411"/>
      <c r="J549" s="410" t="s">
        <v>284</v>
      </c>
      <c r="K549" s="245"/>
      <c r="L549" s="257"/>
      <c r="M549" s="591" t="s">
        <v>285</v>
      </c>
      <c r="N549" s="592"/>
      <c r="O549" s="179"/>
      <c r="P549" s="180"/>
      <c r="Q549" s="180">
        <v>4400000</v>
      </c>
      <c r="R549" s="181">
        <f t="shared" si="154"/>
        <v>1.8487462460524697</v>
      </c>
      <c r="S549" s="181">
        <v>100</v>
      </c>
      <c r="T549" s="180">
        <f t="shared" si="127"/>
        <v>100</v>
      </c>
      <c r="U549" s="180">
        <f t="shared" si="132"/>
        <v>1.8487462460524697</v>
      </c>
      <c r="V549" s="182">
        <f t="shared" si="152"/>
        <v>0</v>
      </c>
      <c r="W549" s="180"/>
      <c r="X549" s="180"/>
      <c r="Y549" s="180"/>
      <c r="Z549" s="180"/>
      <c r="AA549" s="180"/>
      <c r="AB549" s="180"/>
      <c r="AC549" s="180"/>
      <c r="AD549" s="180"/>
      <c r="AE549" s="180"/>
      <c r="AF549" s="180"/>
      <c r="AG549" s="180"/>
      <c r="AH549" s="180"/>
      <c r="AI549" s="180">
        <v>4400000</v>
      </c>
      <c r="AJ549" s="181">
        <f t="shared" si="153"/>
        <v>100</v>
      </c>
      <c r="AK549" s="180">
        <f t="shared" si="155"/>
        <v>0</v>
      </c>
      <c r="AL549" s="181">
        <f t="shared" si="146"/>
        <v>0</v>
      </c>
      <c r="AM549" s="243"/>
    </row>
    <row r="550" spans="1:39" ht="24.75" customHeight="1" x14ac:dyDescent="0.25">
      <c r="A550" s="243"/>
      <c r="B550" s="410"/>
      <c r="C550" s="410"/>
      <c r="D550" s="410"/>
      <c r="E550" s="410"/>
      <c r="F550" s="410"/>
      <c r="G550" s="410"/>
      <c r="H550" s="410"/>
      <c r="I550" s="411"/>
      <c r="J550" s="410" t="s">
        <v>320</v>
      </c>
      <c r="K550" s="245"/>
      <c r="L550" s="257"/>
      <c r="M550" s="591" t="s">
        <v>321</v>
      </c>
      <c r="N550" s="592"/>
      <c r="O550" s="179"/>
      <c r="P550" s="180"/>
      <c r="Q550" s="180">
        <v>33600000</v>
      </c>
      <c r="R550" s="181">
        <f t="shared" si="154"/>
        <v>14.117698606218859</v>
      </c>
      <c r="S550" s="181">
        <v>100</v>
      </c>
      <c r="T550" s="180">
        <f t="shared" si="127"/>
        <v>64.285714285714292</v>
      </c>
      <c r="U550" s="180">
        <f t="shared" si="132"/>
        <v>9.0756633897121244</v>
      </c>
      <c r="V550" s="182">
        <f t="shared" si="152"/>
        <v>35.714285714285708</v>
      </c>
      <c r="W550" s="180"/>
      <c r="X550" s="180"/>
      <c r="Y550" s="180"/>
      <c r="Z550" s="180"/>
      <c r="AA550" s="180"/>
      <c r="AB550" s="180"/>
      <c r="AC550" s="180"/>
      <c r="AD550" s="180"/>
      <c r="AE550" s="180"/>
      <c r="AF550" s="180"/>
      <c r="AG550" s="180"/>
      <c r="AH550" s="180"/>
      <c r="AI550" s="180">
        <v>21600000</v>
      </c>
      <c r="AJ550" s="181">
        <f t="shared" si="153"/>
        <v>64.285714285714292</v>
      </c>
      <c r="AK550" s="180">
        <f t="shared" si="155"/>
        <v>12000000</v>
      </c>
      <c r="AL550" s="181">
        <f t="shared" si="146"/>
        <v>35.714285714285715</v>
      </c>
      <c r="AM550" s="243"/>
    </row>
    <row r="551" spans="1:39" ht="24.75" customHeight="1" x14ac:dyDescent="0.25">
      <c r="A551" s="243"/>
      <c r="B551" s="410"/>
      <c r="C551" s="410"/>
      <c r="D551" s="410"/>
      <c r="E551" s="410"/>
      <c r="F551" s="410"/>
      <c r="G551" s="410"/>
      <c r="H551" s="410"/>
      <c r="I551" s="411"/>
      <c r="J551" s="410" t="s">
        <v>407</v>
      </c>
      <c r="K551" s="245"/>
      <c r="L551" s="257"/>
      <c r="M551" s="591" t="s">
        <v>414</v>
      </c>
      <c r="N551" s="592"/>
      <c r="O551" s="179"/>
      <c r="P551" s="180"/>
      <c r="Q551" s="180">
        <v>2700000</v>
      </c>
      <c r="R551" s="181">
        <f t="shared" si="154"/>
        <v>1.1344579237140155</v>
      </c>
      <c r="S551" s="181"/>
      <c r="T551" s="180">
        <f t="shared" si="127"/>
        <v>100</v>
      </c>
      <c r="U551" s="180">
        <f t="shared" si="132"/>
        <v>1.1344579237140155</v>
      </c>
      <c r="V551" s="182"/>
      <c r="W551" s="180"/>
      <c r="X551" s="180"/>
      <c r="Y551" s="180"/>
      <c r="Z551" s="180"/>
      <c r="AA551" s="180"/>
      <c r="AB551" s="180"/>
      <c r="AC551" s="180"/>
      <c r="AD551" s="180"/>
      <c r="AE551" s="180"/>
      <c r="AF551" s="180"/>
      <c r="AG551" s="180"/>
      <c r="AH551" s="180"/>
      <c r="AI551" s="180">
        <v>2700000</v>
      </c>
      <c r="AJ551" s="181">
        <f t="shared" si="153"/>
        <v>100</v>
      </c>
      <c r="AK551" s="180">
        <f t="shared" si="155"/>
        <v>0</v>
      </c>
      <c r="AL551" s="181"/>
      <c r="AM551" s="243"/>
    </row>
    <row r="552" spans="1:39" ht="24.75" customHeight="1" x14ac:dyDescent="0.25">
      <c r="A552" s="243"/>
      <c r="B552" s="410"/>
      <c r="C552" s="410"/>
      <c r="D552" s="410"/>
      <c r="E552" s="410"/>
      <c r="F552" s="410"/>
      <c r="G552" s="410"/>
      <c r="H552" s="410"/>
      <c r="I552" s="411"/>
      <c r="J552" s="410" t="s">
        <v>372</v>
      </c>
      <c r="K552" s="245"/>
      <c r="L552" s="257"/>
      <c r="M552" s="591" t="s">
        <v>373</v>
      </c>
      <c r="N552" s="592"/>
      <c r="O552" s="179"/>
      <c r="P552" s="180"/>
      <c r="Q552" s="180">
        <v>102000000</v>
      </c>
      <c r="R552" s="181">
        <f t="shared" si="154"/>
        <v>42.85729934030725</v>
      </c>
      <c r="S552" s="181">
        <v>100</v>
      </c>
      <c r="T552" s="180">
        <f t="shared" si="127"/>
        <v>80.392156862745097</v>
      </c>
      <c r="U552" s="180">
        <f t="shared" si="132"/>
        <v>34.453907312796019</v>
      </c>
      <c r="V552" s="182">
        <f t="shared" si="152"/>
        <v>19.607843137254903</v>
      </c>
      <c r="W552" s="180"/>
      <c r="X552" s="180"/>
      <c r="Y552" s="180"/>
      <c r="Z552" s="180"/>
      <c r="AA552" s="180"/>
      <c r="AB552" s="180"/>
      <c r="AC552" s="180"/>
      <c r="AD552" s="180"/>
      <c r="AE552" s="180"/>
      <c r="AF552" s="180"/>
      <c r="AG552" s="180"/>
      <c r="AH552" s="180"/>
      <c r="AI552" s="180">
        <v>82000000</v>
      </c>
      <c r="AJ552" s="181">
        <f t="shared" si="153"/>
        <v>80.392156862745097</v>
      </c>
      <c r="AK552" s="180">
        <f t="shared" si="155"/>
        <v>20000000</v>
      </c>
      <c r="AL552" s="181">
        <f t="shared" ref="AL552:AL616" si="156">AK552/Q552*100</f>
        <v>19.607843137254903</v>
      </c>
      <c r="AM552" s="243"/>
    </row>
    <row r="553" spans="1:39" s="297" customFormat="1" ht="29.25" customHeight="1" x14ac:dyDescent="0.25">
      <c r="A553" s="227">
        <f>SUM(A542+1)</f>
        <v>68</v>
      </c>
      <c r="B553" s="415"/>
      <c r="C553" s="415"/>
      <c r="D553" s="415"/>
      <c r="E553" s="415"/>
      <c r="F553" s="415"/>
      <c r="G553" s="415"/>
      <c r="H553" s="415"/>
      <c r="I553" s="414"/>
      <c r="J553" s="304" t="s">
        <v>521</v>
      </c>
      <c r="K553" s="230"/>
      <c r="L553" s="294"/>
      <c r="M553" s="609" t="s">
        <v>201</v>
      </c>
      <c r="N553" s="614"/>
      <c r="O553" s="309"/>
      <c r="P553" s="231"/>
      <c r="Q553" s="231">
        <f>SUM(Q554:Q561)</f>
        <v>179012754</v>
      </c>
      <c r="R553" s="233">
        <f>Q553/Q$248*100</f>
        <v>1.5007971513472254</v>
      </c>
      <c r="S553" s="233">
        <v>100</v>
      </c>
      <c r="T553" s="231">
        <f t="shared" si="127"/>
        <v>24.132358748025297</v>
      </c>
      <c r="U553" s="231">
        <f t="shared" si="132"/>
        <v>0.36217775264325658</v>
      </c>
      <c r="V553" s="296">
        <f t="shared" si="152"/>
        <v>75.867641251974703</v>
      </c>
      <c r="W553" s="231"/>
      <c r="X553" s="231"/>
      <c r="Y553" s="231"/>
      <c r="Z553" s="231"/>
      <c r="AA553" s="231"/>
      <c r="AB553" s="231"/>
      <c r="AC553" s="231"/>
      <c r="AD553" s="231"/>
      <c r="AE553" s="231"/>
      <c r="AF553" s="231"/>
      <c r="AG553" s="231"/>
      <c r="AH553" s="231"/>
      <c r="AI553" s="231">
        <f>SUM(AI554:AI561)</f>
        <v>43200000</v>
      </c>
      <c r="AJ553" s="233">
        <f t="shared" si="153"/>
        <v>24.132358748025297</v>
      </c>
      <c r="AK553" s="231">
        <f>Q553-AI553</f>
        <v>135812754</v>
      </c>
      <c r="AL553" s="233">
        <f t="shared" si="156"/>
        <v>75.867641251974703</v>
      </c>
      <c r="AM553" s="227"/>
    </row>
    <row r="554" spans="1:39" ht="27" customHeight="1" x14ac:dyDescent="0.25">
      <c r="A554" s="243"/>
      <c r="B554" s="410"/>
      <c r="C554" s="410"/>
      <c r="D554" s="410"/>
      <c r="E554" s="410"/>
      <c r="F554" s="410"/>
      <c r="G554" s="410"/>
      <c r="H554" s="410"/>
      <c r="I554" s="411"/>
      <c r="J554" s="410" t="s">
        <v>257</v>
      </c>
      <c r="K554" s="245"/>
      <c r="L554" s="257"/>
      <c r="M554" s="591" t="s">
        <v>324</v>
      </c>
      <c r="N554" s="592"/>
      <c r="O554" s="179"/>
      <c r="P554" s="180"/>
      <c r="Q554" s="180">
        <v>3000000</v>
      </c>
      <c r="R554" s="181">
        <f>Q554/Q$553*100</f>
        <v>1.6758582463906455</v>
      </c>
      <c r="S554" s="181">
        <v>100</v>
      </c>
      <c r="T554" s="180">
        <f t="shared" si="127"/>
        <v>33.333333333333329</v>
      </c>
      <c r="U554" s="180">
        <f t="shared" si="132"/>
        <v>0.55861941546354843</v>
      </c>
      <c r="V554" s="182">
        <f t="shared" si="152"/>
        <v>66.666666666666671</v>
      </c>
      <c r="W554" s="180"/>
      <c r="X554" s="180"/>
      <c r="Y554" s="180"/>
      <c r="Z554" s="180"/>
      <c r="AA554" s="180"/>
      <c r="AB554" s="180"/>
      <c r="AC554" s="180"/>
      <c r="AD554" s="180"/>
      <c r="AE554" s="180"/>
      <c r="AF554" s="180"/>
      <c r="AG554" s="180"/>
      <c r="AH554" s="180"/>
      <c r="AI554" s="180">
        <v>1000000</v>
      </c>
      <c r="AJ554" s="181">
        <f t="shared" si="153"/>
        <v>33.333333333333329</v>
      </c>
      <c r="AK554" s="180">
        <f>SUM(Q554-AI554)</f>
        <v>2000000</v>
      </c>
      <c r="AL554" s="181">
        <f t="shared" si="156"/>
        <v>66.666666666666657</v>
      </c>
      <c r="AM554" s="243"/>
    </row>
    <row r="555" spans="1:39" ht="24.75" customHeight="1" x14ac:dyDescent="0.25">
      <c r="A555" s="243"/>
      <c r="B555" s="410"/>
      <c r="C555" s="410"/>
      <c r="D555" s="410"/>
      <c r="E555" s="410"/>
      <c r="F555" s="410"/>
      <c r="G555" s="410"/>
      <c r="H555" s="410"/>
      <c r="I555" s="411"/>
      <c r="J555" s="410" t="s">
        <v>315</v>
      </c>
      <c r="K555" s="245"/>
      <c r="L555" s="257"/>
      <c r="M555" s="591" t="s">
        <v>271</v>
      </c>
      <c r="N555" s="592"/>
      <c r="O555" s="179"/>
      <c r="P555" s="180"/>
      <c r="Q555" s="180">
        <v>8120000</v>
      </c>
      <c r="R555" s="181">
        <f t="shared" ref="R555:R561" si="157">Q555/Q$553*100</f>
        <v>4.5359896535640134</v>
      </c>
      <c r="S555" s="181">
        <v>100</v>
      </c>
      <c r="T555" s="180">
        <f t="shared" si="127"/>
        <v>24.630541871921181</v>
      </c>
      <c r="U555" s="180">
        <f t="shared" si="132"/>
        <v>1.1172388309270969</v>
      </c>
      <c r="V555" s="182">
        <f t="shared" si="152"/>
        <v>75.369458128078819</v>
      </c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>
        <v>2000000</v>
      </c>
      <c r="AJ555" s="181">
        <f t="shared" si="153"/>
        <v>24.630541871921181</v>
      </c>
      <c r="AK555" s="180">
        <f t="shared" ref="AK555:AK561" si="158">SUM(Q555-AI555)</f>
        <v>6120000</v>
      </c>
      <c r="AL555" s="181">
        <f t="shared" si="156"/>
        <v>75.369458128078819</v>
      </c>
      <c r="AM555" s="243"/>
    </row>
    <row r="556" spans="1:39" ht="24.75" customHeight="1" x14ac:dyDescent="0.25">
      <c r="A556" s="243"/>
      <c r="B556" s="410"/>
      <c r="C556" s="410"/>
      <c r="D556" s="410"/>
      <c r="E556" s="410"/>
      <c r="F556" s="410"/>
      <c r="G556" s="410"/>
      <c r="H556" s="410"/>
      <c r="I556" s="411"/>
      <c r="J556" s="410" t="s">
        <v>316</v>
      </c>
      <c r="K556" s="245"/>
      <c r="L556" s="257"/>
      <c r="M556" s="591" t="s">
        <v>317</v>
      </c>
      <c r="N556" s="592"/>
      <c r="O556" s="179"/>
      <c r="P556" s="180"/>
      <c r="Q556" s="180">
        <v>5700000</v>
      </c>
      <c r="R556" s="181">
        <f t="shared" si="157"/>
        <v>3.1841306681422266</v>
      </c>
      <c r="S556" s="181">
        <v>100</v>
      </c>
      <c r="T556" s="180">
        <f t="shared" si="127"/>
        <v>31.578947368421051</v>
      </c>
      <c r="U556" s="180">
        <f t="shared" si="132"/>
        <v>1.0055149478343872</v>
      </c>
      <c r="V556" s="182">
        <f t="shared" si="152"/>
        <v>68.421052631578945</v>
      </c>
      <c r="W556" s="180"/>
      <c r="X556" s="180"/>
      <c r="Y556" s="180"/>
      <c r="Z556" s="180"/>
      <c r="AA556" s="180"/>
      <c r="AB556" s="180"/>
      <c r="AC556" s="180"/>
      <c r="AD556" s="180"/>
      <c r="AE556" s="180"/>
      <c r="AF556" s="180"/>
      <c r="AG556" s="180"/>
      <c r="AH556" s="180"/>
      <c r="AI556" s="180">
        <v>1800000</v>
      </c>
      <c r="AJ556" s="181">
        <f t="shared" si="153"/>
        <v>31.578947368421051</v>
      </c>
      <c r="AK556" s="180">
        <f t="shared" si="158"/>
        <v>3900000</v>
      </c>
      <c r="AL556" s="181">
        <f t="shared" si="156"/>
        <v>68.421052631578945</v>
      </c>
      <c r="AM556" s="243"/>
    </row>
    <row r="557" spans="1:39" ht="24.75" customHeight="1" x14ac:dyDescent="0.25">
      <c r="A557" s="243"/>
      <c r="B557" s="410"/>
      <c r="C557" s="410"/>
      <c r="D557" s="410"/>
      <c r="E557" s="410"/>
      <c r="F557" s="410"/>
      <c r="G557" s="410"/>
      <c r="H557" s="410"/>
      <c r="I557" s="411"/>
      <c r="J557" s="410" t="s">
        <v>339</v>
      </c>
      <c r="K557" s="245"/>
      <c r="L557" s="257"/>
      <c r="M557" s="591" t="s">
        <v>329</v>
      </c>
      <c r="N557" s="592"/>
      <c r="O557" s="179"/>
      <c r="P557" s="180"/>
      <c r="Q557" s="180">
        <v>35000000</v>
      </c>
      <c r="R557" s="181">
        <f t="shared" si="157"/>
        <v>19.551679541224196</v>
      </c>
      <c r="S557" s="181">
        <v>100</v>
      </c>
      <c r="T557" s="180">
        <f t="shared" si="127"/>
        <v>0</v>
      </c>
      <c r="U557" s="180">
        <f t="shared" si="132"/>
        <v>0</v>
      </c>
      <c r="V557" s="182">
        <f t="shared" si="152"/>
        <v>100</v>
      </c>
      <c r="W557" s="180"/>
      <c r="X557" s="180"/>
      <c r="Y557" s="180"/>
      <c r="Z557" s="180"/>
      <c r="AA557" s="180"/>
      <c r="AB557" s="180"/>
      <c r="AC557" s="180"/>
      <c r="AD557" s="180"/>
      <c r="AE557" s="180"/>
      <c r="AF557" s="180"/>
      <c r="AG557" s="180"/>
      <c r="AH557" s="180"/>
      <c r="AI557" s="180">
        <v>0</v>
      </c>
      <c r="AJ557" s="181">
        <f t="shared" si="153"/>
        <v>0</v>
      </c>
      <c r="AK557" s="180">
        <f t="shared" si="158"/>
        <v>35000000</v>
      </c>
      <c r="AL557" s="181">
        <f t="shared" si="156"/>
        <v>100</v>
      </c>
      <c r="AM557" s="243"/>
    </row>
    <row r="558" spans="1:39" ht="24.75" customHeight="1" x14ac:dyDescent="0.25">
      <c r="A558" s="243"/>
      <c r="B558" s="410"/>
      <c r="C558" s="410"/>
      <c r="D558" s="410"/>
      <c r="E558" s="410"/>
      <c r="F558" s="410"/>
      <c r="G558" s="410"/>
      <c r="H558" s="410"/>
      <c r="I558" s="411"/>
      <c r="J558" s="410" t="s">
        <v>284</v>
      </c>
      <c r="K558" s="245"/>
      <c r="L558" s="257"/>
      <c r="M558" s="591" t="s">
        <v>620</v>
      </c>
      <c r="N558" s="592"/>
      <c r="O558" s="179"/>
      <c r="P558" s="180"/>
      <c r="Q558" s="180">
        <v>36000000</v>
      </c>
      <c r="R558" s="181">
        <f t="shared" si="157"/>
        <v>20.110298956687743</v>
      </c>
      <c r="S558" s="181"/>
      <c r="T558" s="180">
        <f t="shared" si="127"/>
        <v>33.333333333333329</v>
      </c>
      <c r="U558" s="180">
        <f t="shared" si="132"/>
        <v>6.7034329855625803</v>
      </c>
      <c r="V558" s="182"/>
      <c r="W558" s="180"/>
      <c r="X558" s="180"/>
      <c r="Y558" s="180"/>
      <c r="Z558" s="180"/>
      <c r="AA558" s="180"/>
      <c r="AB558" s="180"/>
      <c r="AC558" s="180"/>
      <c r="AD558" s="180"/>
      <c r="AE558" s="180"/>
      <c r="AF558" s="180"/>
      <c r="AG558" s="180"/>
      <c r="AH558" s="180"/>
      <c r="AI558" s="180">
        <v>12000000</v>
      </c>
      <c r="AJ558" s="181">
        <f t="shared" si="153"/>
        <v>33.333333333333329</v>
      </c>
      <c r="AK558" s="180">
        <f t="shared" si="158"/>
        <v>24000000</v>
      </c>
      <c r="AL558" s="181">
        <f t="shared" si="156"/>
        <v>66.666666666666657</v>
      </c>
      <c r="AM558" s="243"/>
    </row>
    <row r="559" spans="1:39" ht="24.75" customHeight="1" x14ac:dyDescent="0.25">
      <c r="A559" s="243"/>
      <c r="B559" s="410"/>
      <c r="C559" s="410"/>
      <c r="D559" s="410"/>
      <c r="E559" s="410"/>
      <c r="F559" s="410"/>
      <c r="G559" s="410"/>
      <c r="H559" s="410"/>
      <c r="I559" s="411"/>
      <c r="J559" s="410" t="s">
        <v>320</v>
      </c>
      <c r="K559" s="245"/>
      <c r="L559" s="257"/>
      <c r="M559" s="591" t="s">
        <v>621</v>
      </c>
      <c r="N559" s="592"/>
      <c r="O559" s="179"/>
      <c r="P559" s="180"/>
      <c r="Q559" s="180">
        <v>10592754</v>
      </c>
      <c r="R559" s="181">
        <f t="shared" si="157"/>
        <v>5.9173180476291654</v>
      </c>
      <c r="S559" s="181">
        <v>100</v>
      </c>
      <c r="T559" s="180">
        <f t="shared" si="127"/>
        <v>31.15337144617915</v>
      </c>
      <c r="U559" s="180">
        <f t="shared" si="132"/>
        <v>1.84344407102971</v>
      </c>
      <c r="V559" s="182">
        <f t="shared" si="152"/>
        <v>68.84662855382085</v>
      </c>
      <c r="W559" s="180"/>
      <c r="X559" s="180"/>
      <c r="Y559" s="180"/>
      <c r="Z559" s="180"/>
      <c r="AA559" s="180"/>
      <c r="AB559" s="180"/>
      <c r="AC559" s="180"/>
      <c r="AD559" s="180"/>
      <c r="AE559" s="180"/>
      <c r="AF559" s="180"/>
      <c r="AG559" s="180"/>
      <c r="AH559" s="180"/>
      <c r="AI559" s="180">
        <v>3300000</v>
      </c>
      <c r="AJ559" s="181">
        <f t="shared" si="153"/>
        <v>31.15337144617915</v>
      </c>
      <c r="AK559" s="180">
        <f t="shared" si="158"/>
        <v>7292754</v>
      </c>
      <c r="AL559" s="181">
        <f t="shared" si="156"/>
        <v>68.84662855382085</v>
      </c>
      <c r="AM559" s="243"/>
    </row>
    <row r="560" spans="1:39" ht="24.75" customHeight="1" x14ac:dyDescent="0.25">
      <c r="A560" s="243"/>
      <c r="B560" s="410"/>
      <c r="C560" s="410"/>
      <c r="D560" s="410"/>
      <c r="E560" s="410"/>
      <c r="F560" s="410"/>
      <c r="G560" s="410"/>
      <c r="H560" s="410"/>
      <c r="I560" s="411"/>
      <c r="J560" s="410" t="s">
        <v>407</v>
      </c>
      <c r="K560" s="245"/>
      <c r="L560" s="257"/>
      <c r="M560" s="591" t="s">
        <v>321</v>
      </c>
      <c r="N560" s="592"/>
      <c r="O560" s="179"/>
      <c r="P560" s="180"/>
      <c r="Q560" s="180">
        <v>70400000</v>
      </c>
      <c r="R560" s="181">
        <f t="shared" si="157"/>
        <v>39.326806848633808</v>
      </c>
      <c r="S560" s="181">
        <v>100</v>
      </c>
      <c r="T560" s="180">
        <f t="shared" si="127"/>
        <v>30.681818181818183</v>
      </c>
      <c r="U560" s="180">
        <f t="shared" si="132"/>
        <v>12.066179374012647</v>
      </c>
      <c r="V560" s="182">
        <f t="shared" si="152"/>
        <v>69.318181818181813</v>
      </c>
      <c r="W560" s="180"/>
      <c r="X560" s="180"/>
      <c r="Y560" s="180"/>
      <c r="Z560" s="180"/>
      <c r="AA560" s="180"/>
      <c r="AB560" s="180"/>
      <c r="AC560" s="180"/>
      <c r="AD560" s="180"/>
      <c r="AE560" s="180"/>
      <c r="AF560" s="180"/>
      <c r="AG560" s="180"/>
      <c r="AH560" s="180"/>
      <c r="AI560" s="180">
        <v>21600000</v>
      </c>
      <c r="AJ560" s="181">
        <f t="shared" si="153"/>
        <v>30.681818181818183</v>
      </c>
      <c r="AK560" s="180">
        <f t="shared" si="158"/>
        <v>48800000</v>
      </c>
      <c r="AL560" s="181">
        <f t="shared" si="156"/>
        <v>69.318181818181827</v>
      </c>
      <c r="AM560" s="243"/>
    </row>
    <row r="561" spans="1:39" ht="24.75" customHeight="1" x14ac:dyDescent="0.25">
      <c r="A561" s="243"/>
      <c r="B561" s="410"/>
      <c r="C561" s="410"/>
      <c r="D561" s="410"/>
      <c r="E561" s="410"/>
      <c r="F561" s="410"/>
      <c r="G561" s="410"/>
      <c r="H561" s="410"/>
      <c r="I561" s="411"/>
      <c r="J561" s="410" t="s">
        <v>343</v>
      </c>
      <c r="K561" s="245"/>
      <c r="L561" s="257"/>
      <c r="M561" s="591" t="s">
        <v>414</v>
      </c>
      <c r="N561" s="592"/>
      <c r="O561" s="179"/>
      <c r="P561" s="180"/>
      <c r="Q561" s="180">
        <v>10200000</v>
      </c>
      <c r="R561" s="181">
        <f t="shared" si="157"/>
        <v>5.6979180377281944</v>
      </c>
      <c r="S561" s="181">
        <v>100</v>
      </c>
      <c r="T561" s="180">
        <f t="shared" si="127"/>
        <v>14.705882352941178</v>
      </c>
      <c r="U561" s="180">
        <f t="shared" si="132"/>
        <v>0.83792912319532276</v>
      </c>
      <c r="V561" s="182">
        <f t="shared" si="152"/>
        <v>85.294117647058826</v>
      </c>
      <c r="W561" s="180"/>
      <c r="X561" s="180"/>
      <c r="Y561" s="180"/>
      <c r="Z561" s="180"/>
      <c r="AA561" s="180"/>
      <c r="AB561" s="180"/>
      <c r="AC561" s="180"/>
      <c r="AD561" s="180"/>
      <c r="AE561" s="180"/>
      <c r="AF561" s="180"/>
      <c r="AG561" s="180"/>
      <c r="AH561" s="180"/>
      <c r="AI561" s="180">
        <v>1500000</v>
      </c>
      <c r="AJ561" s="181">
        <f t="shared" si="153"/>
        <v>14.705882352941178</v>
      </c>
      <c r="AK561" s="180">
        <f t="shared" si="158"/>
        <v>8700000</v>
      </c>
      <c r="AL561" s="181">
        <f t="shared" si="156"/>
        <v>85.294117647058826</v>
      </c>
      <c r="AM561" s="243"/>
    </row>
    <row r="562" spans="1:39" s="297" customFormat="1" ht="24.75" customHeight="1" x14ac:dyDescent="0.25">
      <c r="A562" s="227">
        <f>SUM(A553+1)</f>
        <v>69</v>
      </c>
      <c r="B562" s="415"/>
      <c r="C562" s="415"/>
      <c r="D562" s="415"/>
      <c r="E562" s="415"/>
      <c r="F562" s="415"/>
      <c r="G562" s="415"/>
      <c r="H562" s="415"/>
      <c r="I562" s="414"/>
      <c r="J562" s="304" t="s">
        <v>522</v>
      </c>
      <c r="K562" s="230"/>
      <c r="L562" s="294"/>
      <c r="M562" s="610" t="s">
        <v>202</v>
      </c>
      <c r="N562" s="612"/>
      <c r="O562" s="309"/>
      <c r="P562" s="231"/>
      <c r="Q562" s="231">
        <f>SUM(Q563:Q571)</f>
        <v>311010000</v>
      </c>
      <c r="R562" s="233">
        <f>Q562/Q$248*100</f>
        <v>2.6074283067032229</v>
      </c>
      <c r="S562" s="233">
        <v>100</v>
      </c>
      <c r="T562" s="231">
        <f t="shared" si="127"/>
        <v>65.293398926079547</v>
      </c>
      <c r="U562" s="231">
        <f t="shared" si="132"/>
        <v>1.7024785660072561</v>
      </c>
      <c r="V562" s="296">
        <f t="shared" si="152"/>
        <v>34.706601073920453</v>
      </c>
      <c r="W562" s="231"/>
      <c r="X562" s="231"/>
      <c r="Y562" s="231"/>
      <c r="Z562" s="231"/>
      <c r="AA562" s="231"/>
      <c r="AB562" s="231"/>
      <c r="AC562" s="231"/>
      <c r="AD562" s="231"/>
      <c r="AE562" s="231"/>
      <c r="AF562" s="231"/>
      <c r="AG562" s="231"/>
      <c r="AH562" s="231"/>
      <c r="AI562" s="231">
        <f>SUM(AI563:AI571)</f>
        <v>203069000</v>
      </c>
      <c r="AJ562" s="233">
        <f t="shared" si="153"/>
        <v>65.293398926079547</v>
      </c>
      <c r="AK562" s="231">
        <f>Q562-AI562</f>
        <v>107941000</v>
      </c>
      <c r="AL562" s="233">
        <f t="shared" si="156"/>
        <v>34.706601073920453</v>
      </c>
      <c r="AM562" s="227"/>
    </row>
    <row r="563" spans="1:39" ht="24.75" customHeight="1" x14ac:dyDescent="0.25">
      <c r="A563" s="243"/>
      <c r="B563" s="410"/>
      <c r="C563" s="410"/>
      <c r="D563" s="410"/>
      <c r="E563" s="410"/>
      <c r="F563" s="410"/>
      <c r="G563" s="410"/>
      <c r="H563" s="410"/>
      <c r="I563" s="411"/>
      <c r="J563" s="410" t="s">
        <v>259</v>
      </c>
      <c r="K563" s="245"/>
      <c r="L563" s="257"/>
      <c r="M563" s="591" t="s">
        <v>260</v>
      </c>
      <c r="N563" s="592"/>
      <c r="O563" s="179"/>
      <c r="P563" s="180"/>
      <c r="Q563" s="180">
        <v>2220000</v>
      </c>
      <c r="R563" s="181">
        <f t="shared" ref="R563:R570" si="159">Q563/Q$562*100</f>
        <v>0.71380341468120001</v>
      </c>
      <c r="S563" s="181">
        <v>100</v>
      </c>
      <c r="T563" s="180">
        <f t="shared" si="127"/>
        <v>66.666666666666657</v>
      </c>
      <c r="U563" s="180">
        <f t="shared" si="132"/>
        <v>0.47586894312079991</v>
      </c>
      <c r="V563" s="182">
        <f t="shared" si="152"/>
        <v>33.333333333333343</v>
      </c>
      <c r="W563" s="180"/>
      <c r="X563" s="180"/>
      <c r="Y563" s="180"/>
      <c r="Z563" s="180"/>
      <c r="AA563" s="180"/>
      <c r="AB563" s="180"/>
      <c r="AC563" s="180"/>
      <c r="AD563" s="180"/>
      <c r="AE563" s="180"/>
      <c r="AF563" s="180"/>
      <c r="AG563" s="180"/>
      <c r="AH563" s="180"/>
      <c r="AI563" s="180">
        <f>740000+740000</f>
        <v>1480000</v>
      </c>
      <c r="AJ563" s="181">
        <f t="shared" si="153"/>
        <v>66.666666666666657</v>
      </c>
      <c r="AK563" s="180">
        <f t="shared" ref="AK563:AK570" si="160">SUM(Q563-AI563)</f>
        <v>740000</v>
      </c>
      <c r="AL563" s="181">
        <f t="shared" si="156"/>
        <v>33.333333333333329</v>
      </c>
      <c r="AM563" s="243"/>
    </row>
    <row r="564" spans="1:39" ht="24.75" customHeight="1" x14ac:dyDescent="0.25">
      <c r="A564" s="243"/>
      <c r="B564" s="410"/>
      <c r="C564" s="410"/>
      <c r="D564" s="410"/>
      <c r="E564" s="410"/>
      <c r="F564" s="410"/>
      <c r="G564" s="410"/>
      <c r="H564" s="410"/>
      <c r="I564" s="411"/>
      <c r="J564" s="410" t="s">
        <v>347</v>
      </c>
      <c r="K564" s="245"/>
      <c r="L564" s="257"/>
      <c r="M564" s="591" t="s">
        <v>622</v>
      </c>
      <c r="N564" s="592"/>
      <c r="O564" s="179"/>
      <c r="P564" s="180"/>
      <c r="Q564" s="180">
        <v>44250000</v>
      </c>
      <c r="R564" s="181">
        <f t="shared" si="159"/>
        <v>14.227838333172565</v>
      </c>
      <c r="S564" s="181">
        <v>100</v>
      </c>
      <c r="T564" s="180">
        <f t="shared" si="127"/>
        <v>66.666666666666657</v>
      </c>
      <c r="U564" s="180"/>
      <c r="V564" s="182">
        <f t="shared" si="152"/>
        <v>33.333333333333343</v>
      </c>
      <c r="W564" s="180"/>
      <c r="X564" s="180"/>
      <c r="Y564" s="180"/>
      <c r="Z564" s="180"/>
      <c r="AA564" s="180"/>
      <c r="AB564" s="180"/>
      <c r="AC564" s="180"/>
      <c r="AD564" s="180"/>
      <c r="AE564" s="180"/>
      <c r="AF564" s="180"/>
      <c r="AG564" s="180"/>
      <c r="AH564" s="180"/>
      <c r="AI564" s="180">
        <f>14750000+14750000</f>
        <v>29500000</v>
      </c>
      <c r="AJ564" s="181">
        <f t="shared" si="153"/>
        <v>66.666666666666657</v>
      </c>
      <c r="AK564" s="180">
        <f t="shared" si="160"/>
        <v>14750000</v>
      </c>
      <c r="AL564" s="181">
        <f t="shared" si="156"/>
        <v>33.333333333333329</v>
      </c>
      <c r="AM564" s="243"/>
    </row>
    <row r="565" spans="1:39" ht="24.75" customHeight="1" x14ac:dyDescent="0.25">
      <c r="A565" s="243"/>
      <c r="B565" s="410"/>
      <c r="C565" s="410"/>
      <c r="D565" s="410"/>
      <c r="E565" s="410"/>
      <c r="F565" s="410"/>
      <c r="G565" s="410"/>
      <c r="H565" s="410"/>
      <c r="I565" s="411"/>
      <c r="J565" s="410" t="s">
        <v>269</v>
      </c>
      <c r="K565" s="245"/>
      <c r="L565" s="257"/>
      <c r="M565" s="591" t="s">
        <v>270</v>
      </c>
      <c r="N565" s="592"/>
      <c r="O565" s="179"/>
      <c r="P565" s="180"/>
      <c r="Q565" s="180">
        <v>15000000</v>
      </c>
      <c r="R565" s="181">
        <f t="shared" si="159"/>
        <v>4.8229960451432428</v>
      </c>
      <c r="S565" s="181">
        <v>100</v>
      </c>
      <c r="T565" s="180">
        <f t="shared" si="127"/>
        <v>66.666666666666657</v>
      </c>
      <c r="U565" s="180">
        <f t="shared" si="132"/>
        <v>3.2153306967621615</v>
      </c>
      <c r="V565" s="182">
        <f t="shared" si="152"/>
        <v>33.333333333333343</v>
      </c>
      <c r="W565" s="180"/>
      <c r="X565" s="180"/>
      <c r="Y565" s="180"/>
      <c r="Z565" s="180"/>
      <c r="AA565" s="180"/>
      <c r="AB565" s="180"/>
      <c r="AC565" s="180"/>
      <c r="AD565" s="180"/>
      <c r="AE565" s="180"/>
      <c r="AF565" s="180"/>
      <c r="AG565" s="180"/>
      <c r="AH565" s="180"/>
      <c r="AI565" s="180">
        <f>5000000+5000000</f>
        <v>10000000</v>
      </c>
      <c r="AJ565" s="181">
        <f t="shared" si="153"/>
        <v>66.666666666666657</v>
      </c>
      <c r="AK565" s="180">
        <f t="shared" si="160"/>
        <v>5000000</v>
      </c>
      <c r="AL565" s="181">
        <f t="shared" si="156"/>
        <v>33.333333333333329</v>
      </c>
      <c r="AM565" s="243"/>
    </row>
    <row r="566" spans="1:39" ht="24.75" customHeight="1" x14ac:dyDescent="0.25">
      <c r="A566" s="243"/>
      <c r="B566" s="410"/>
      <c r="C566" s="410"/>
      <c r="D566" s="410"/>
      <c r="E566" s="410"/>
      <c r="F566" s="410"/>
      <c r="G566" s="410"/>
      <c r="H566" s="410"/>
      <c r="I566" s="411"/>
      <c r="J566" s="410" t="s">
        <v>315</v>
      </c>
      <c r="K566" s="245"/>
      <c r="L566" s="257"/>
      <c r="M566" s="591" t="s">
        <v>271</v>
      </c>
      <c r="N566" s="592"/>
      <c r="O566" s="179"/>
      <c r="P566" s="180"/>
      <c r="Q566" s="180">
        <v>10710000</v>
      </c>
      <c r="R566" s="181">
        <f t="shared" si="159"/>
        <v>3.443619176232275</v>
      </c>
      <c r="S566" s="181">
        <v>100</v>
      </c>
      <c r="T566" s="180">
        <f t="shared" si="127"/>
        <v>66.666666666666657</v>
      </c>
      <c r="U566" s="180">
        <f t="shared" si="132"/>
        <v>2.295746117488183</v>
      </c>
      <c r="V566" s="182">
        <f t="shared" si="152"/>
        <v>33.333333333333343</v>
      </c>
      <c r="W566" s="180"/>
      <c r="X566" s="180"/>
      <c r="Y566" s="180"/>
      <c r="Z566" s="180"/>
      <c r="AA566" s="180"/>
      <c r="AB566" s="180"/>
      <c r="AC566" s="180"/>
      <c r="AD566" s="180"/>
      <c r="AE566" s="180"/>
      <c r="AF566" s="180"/>
      <c r="AG566" s="180"/>
      <c r="AH566" s="180"/>
      <c r="AI566" s="180">
        <f>3570000+3570000</f>
        <v>7140000</v>
      </c>
      <c r="AJ566" s="181">
        <f t="shared" si="153"/>
        <v>66.666666666666657</v>
      </c>
      <c r="AK566" s="180">
        <f t="shared" si="160"/>
        <v>3570000</v>
      </c>
      <c r="AL566" s="181">
        <f t="shared" si="156"/>
        <v>33.333333333333329</v>
      </c>
      <c r="AM566" s="243"/>
    </row>
    <row r="567" spans="1:39" ht="24.75" customHeight="1" x14ac:dyDescent="0.25">
      <c r="A567" s="243"/>
      <c r="B567" s="410"/>
      <c r="C567" s="410"/>
      <c r="D567" s="410"/>
      <c r="E567" s="410"/>
      <c r="F567" s="410"/>
      <c r="G567" s="410"/>
      <c r="H567" s="410"/>
      <c r="I567" s="411"/>
      <c r="J567" s="410" t="s">
        <v>318</v>
      </c>
      <c r="K567" s="245"/>
      <c r="L567" s="257"/>
      <c r="M567" s="591" t="s">
        <v>319</v>
      </c>
      <c r="N567" s="592"/>
      <c r="O567" s="179"/>
      <c r="P567" s="180"/>
      <c r="Q567" s="180">
        <v>179970000</v>
      </c>
      <c r="R567" s="181">
        <f t="shared" si="159"/>
        <v>57.866306549628632</v>
      </c>
      <c r="S567" s="181">
        <v>100</v>
      </c>
      <c r="T567" s="180">
        <f t="shared" si="127"/>
        <v>66.666666666666657</v>
      </c>
      <c r="U567" s="180">
        <f t="shared" si="132"/>
        <v>38.577537699752412</v>
      </c>
      <c r="V567" s="182">
        <f t="shared" si="152"/>
        <v>33.333333333333343</v>
      </c>
      <c r="W567" s="180"/>
      <c r="X567" s="180"/>
      <c r="Y567" s="180"/>
      <c r="Z567" s="180"/>
      <c r="AA567" s="180"/>
      <c r="AB567" s="180"/>
      <c r="AC567" s="180"/>
      <c r="AD567" s="180"/>
      <c r="AE567" s="180"/>
      <c r="AF567" s="180"/>
      <c r="AG567" s="180"/>
      <c r="AH567" s="180"/>
      <c r="AI567" s="180">
        <f>59990000+59990000</f>
        <v>119980000</v>
      </c>
      <c r="AJ567" s="181">
        <f t="shared" si="153"/>
        <v>66.666666666666657</v>
      </c>
      <c r="AK567" s="180">
        <f t="shared" si="160"/>
        <v>59990000</v>
      </c>
      <c r="AL567" s="181">
        <f t="shared" si="156"/>
        <v>33.333333333333329</v>
      </c>
      <c r="AM567" s="243"/>
    </row>
    <row r="568" spans="1:39" ht="24.75" customHeight="1" x14ac:dyDescent="0.25">
      <c r="A568" s="243"/>
      <c r="B568" s="410"/>
      <c r="C568" s="410"/>
      <c r="D568" s="410"/>
      <c r="E568" s="410"/>
      <c r="F568" s="410"/>
      <c r="G568" s="410"/>
      <c r="H568" s="410"/>
      <c r="I568" s="411"/>
      <c r="J568" s="410" t="s">
        <v>284</v>
      </c>
      <c r="K568" s="245"/>
      <c r="L568" s="257"/>
      <c r="M568" s="591" t="s">
        <v>285</v>
      </c>
      <c r="N568" s="592"/>
      <c r="O568" s="179"/>
      <c r="P568" s="180"/>
      <c r="Q568" s="180">
        <v>1320000</v>
      </c>
      <c r="R568" s="181">
        <f t="shared" si="159"/>
        <v>0.4244236519726054</v>
      </c>
      <c r="S568" s="181">
        <v>100</v>
      </c>
      <c r="T568" s="180">
        <f t="shared" si="127"/>
        <v>63.636363636363633</v>
      </c>
      <c r="U568" s="180">
        <f t="shared" si="132"/>
        <v>0.27008777852802163</v>
      </c>
      <c r="V568" s="182">
        <f t="shared" si="152"/>
        <v>36.363636363636367</v>
      </c>
      <c r="W568" s="180"/>
      <c r="X568" s="180"/>
      <c r="Y568" s="180"/>
      <c r="Z568" s="180"/>
      <c r="AA568" s="180"/>
      <c r="AB568" s="180"/>
      <c r="AC568" s="180"/>
      <c r="AD568" s="180"/>
      <c r="AE568" s="180"/>
      <c r="AF568" s="180"/>
      <c r="AG568" s="180"/>
      <c r="AH568" s="180"/>
      <c r="AI568" s="429">
        <f>440000+400000</f>
        <v>840000</v>
      </c>
      <c r="AJ568" s="181">
        <f t="shared" si="153"/>
        <v>63.636363636363633</v>
      </c>
      <c r="AK568" s="180">
        <f t="shared" si="160"/>
        <v>480000</v>
      </c>
      <c r="AL568" s="181">
        <f t="shared" si="156"/>
        <v>36.363636363636367</v>
      </c>
      <c r="AM568" s="243"/>
    </row>
    <row r="569" spans="1:39" ht="24.75" customHeight="1" x14ac:dyDescent="0.25">
      <c r="A569" s="243"/>
      <c r="B569" s="410"/>
      <c r="C569" s="410"/>
      <c r="D569" s="410"/>
      <c r="E569" s="410"/>
      <c r="F569" s="410"/>
      <c r="G569" s="410"/>
      <c r="H569" s="410"/>
      <c r="I569" s="411"/>
      <c r="J569" s="410" t="s">
        <v>282</v>
      </c>
      <c r="K569" s="245"/>
      <c r="L569" s="257"/>
      <c r="M569" s="591" t="s">
        <v>283</v>
      </c>
      <c r="N569" s="592"/>
      <c r="O569" s="179"/>
      <c r="P569" s="180"/>
      <c r="Q569" s="180">
        <v>39540000</v>
      </c>
      <c r="R569" s="181">
        <f t="shared" si="159"/>
        <v>12.713417574997587</v>
      </c>
      <c r="S569" s="181">
        <v>100</v>
      </c>
      <c r="T569" s="180">
        <f t="shared" si="127"/>
        <v>64.312089023773382</v>
      </c>
      <c r="U569" s="180">
        <f t="shared" si="132"/>
        <v>8.1762644287965003</v>
      </c>
      <c r="V569" s="182">
        <f t="shared" si="152"/>
        <v>35.687910976226618</v>
      </c>
      <c r="W569" s="180"/>
      <c r="X569" s="180"/>
      <c r="Y569" s="180"/>
      <c r="Z569" s="180"/>
      <c r="AA569" s="180"/>
      <c r="AB569" s="180"/>
      <c r="AC569" s="180"/>
      <c r="AD569" s="180"/>
      <c r="AE569" s="180"/>
      <c r="AF569" s="180"/>
      <c r="AG569" s="180"/>
      <c r="AH569" s="180"/>
      <c r="AI569" s="180">
        <f>13390000+12039000</f>
        <v>25429000</v>
      </c>
      <c r="AJ569" s="181">
        <f t="shared" si="153"/>
        <v>64.312089023773382</v>
      </c>
      <c r="AK569" s="180">
        <f t="shared" si="160"/>
        <v>14111000</v>
      </c>
      <c r="AL569" s="181">
        <f t="shared" si="156"/>
        <v>35.687910976226604</v>
      </c>
      <c r="AM569" s="243"/>
    </row>
    <row r="570" spans="1:39" ht="24.75" customHeight="1" x14ac:dyDescent="0.25">
      <c r="A570" s="243"/>
      <c r="B570" s="410"/>
      <c r="C570" s="410"/>
      <c r="D570" s="410"/>
      <c r="E570" s="410"/>
      <c r="F570" s="410"/>
      <c r="G570" s="410"/>
      <c r="H570" s="410"/>
      <c r="I570" s="411"/>
      <c r="J570" s="410" t="s">
        <v>320</v>
      </c>
      <c r="K570" s="245"/>
      <c r="L570" s="257"/>
      <c r="M570" s="591" t="s">
        <v>321</v>
      </c>
      <c r="N570" s="592"/>
      <c r="O570" s="179"/>
      <c r="P570" s="180"/>
      <c r="Q570" s="180">
        <v>16200000</v>
      </c>
      <c r="R570" s="181">
        <f t="shared" si="159"/>
        <v>5.2088357287547025</v>
      </c>
      <c r="S570" s="181">
        <v>100</v>
      </c>
      <c r="T570" s="180">
        <f t="shared" si="127"/>
        <v>46.296296296296298</v>
      </c>
      <c r="U570" s="180">
        <f t="shared" si="132"/>
        <v>2.4114980225716214</v>
      </c>
      <c r="V570" s="182">
        <f t="shared" si="152"/>
        <v>53.703703703703702</v>
      </c>
      <c r="W570" s="180"/>
      <c r="X570" s="180"/>
      <c r="Y570" s="180"/>
      <c r="Z570" s="180"/>
      <c r="AA570" s="180"/>
      <c r="AB570" s="180"/>
      <c r="AC570" s="180"/>
      <c r="AD570" s="180"/>
      <c r="AE570" s="180"/>
      <c r="AF570" s="180"/>
      <c r="AG570" s="180"/>
      <c r="AH570" s="180"/>
      <c r="AI570" s="180">
        <f>4500000+3000000</f>
        <v>7500000</v>
      </c>
      <c r="AJ570" s="181">
        <f t="shared" si="153"/>
        <v>46.296296296296298</v>
      </c>
      <c r="AK570" s="180">
        <f t="shared" si="160"/>
        <v>8700000</v>
      </c>
      <c r="AL570" s="181">
        <f t="shared" si="156"/>
        <v>53.703703703703709</v>
      </c>
      <c r="AM570" s="243"/>
    </row>
    <row r="571" spans="1:39" ht="24.75" customHeight="1" x14ac:dyDescent="0.25">
      <c r="A571" s="243"/>
      <c r="B571" s="410"/>
      <c r="C571" s="410"/>
      <c r="D571" s="410"/>
      <c r="E571" s="410"/>
      <c r="F571" s="410"/>
      <c r="G571" s="410"/>
      <c r="H571" s="410"/>
      <c r="I571" s="411"/>
      <c r="J571" s="410" t="s">
        <v>407</v>
      </c>
      <c r="K571" s="245"/>
      <c r="L571" s="257"/>
      <c r="M571" s="591" t="s">
        <v>414</v>
      </c>
      <c r="N571" s="592"/>
      <c r="O571" s="179"/>
      <c r="P571" s="180"/>
      <c r="Q571" s="180">
        <v>1800000</v>
      </c>
      <c r="R571" s="181">
        <f>Q571/Q$562*100</f>
        <v>0.57875952541718911</v>
      </c>
      <c r="S571" s="181">
        <v>100</v>
      </c>
      <c r="T571" s="180">
        <f t="shared" si="127"/>
        <v>66.666666666666657</v>
      </c>
      <c r="U571" s="180">
        <f t="shared" si="132"/>
        <v>0.38583968361145937</v>
      </c>
      <c r="V571" s="182">
        <f t="shared" si="152"/>
        <v>33.333333333333343</v>
      </c>
      <c r="W571" s="180"/>
      <c r="X571" s="180"/>
      <c r="Y571" s="180"/>
      <c r="Z571" s="180"/>
      <c r="AA571" s="180"/>
      <c r="AB571" s="180"/>
      <c r="AC571" s="180"/>
      <c r="AD571" s="180"/>
      <c r="AE571" s="180"/>
      <c r="AF571" s="180"/>
      <c r="AG571" s="180"/>
      <c r="AH571" s="180"/>
      <c r="AI571" s="180">
        <f>600000+600000</f>
        <v>1200000</v>
      </c>
      <c r="AJ571" s="181">
        <f t="shared" si="153"/>
        <v>66.666666666666657</v>
      </c>
      <c r="AK571" s="180">
        <f t="shared" ref="AK571:AK635" si="161">Q571-AI571</f>
        <v>600000</v>
      </c>
      <c r="AL571" s="181">
        <f t="shared" si="156"/>
        <v>33.333333333333329</v>
      </c>
      <c r="AM571" s="243"/>
    </row>
    <row r="572" spans="1:39" s="311" customFormat="1" ht="24.75" customHeight="1" x14ac:dyDescent="0.25">
      <c r="A572" s="227">
        <f>SUM(A562+1)</f>
        <v>70</v>
      </c>
      <c r="B572" s="415"/>
      <c r="C572" s="415"/>
      <c r="D572" s="415"/>
      <c r="E572" s="415"/>
      <c r="F572" s="415"/>
      <c r="G572" s="415"/>
      <c r="H572" s="415"/>
      <c r="I572" s="414"/>
      <c r="J572" s="304" t="s">
        <v>523</v>
      </c>
      <c r="K572" s="230"/>
      <c r="L572" s="294"/>
      <c r="M572" s="609" t="s">
        <v>203</v>
      </c>
      <c r="N572" s="614"/>
      <c r="O572" s="310"/>
      <c r="P572" s="231"/>
      <c r="Q572" s="231">
        <f>SUM(Q573:Q584)</f>
        <v>363103120</v>
      </c>
      <c r="R572" s="233">
        <f>Q572/Q$248*100</f>
        <v>3.0441637032258035</v>
      </c>
      <c r="S572" s="233">
        <v>100</v>
      </c>
      <c r="T572" s="231">
        <f t="shared" si="127"/>
        <v>0</v>
      </c>
      <c r="U572" s="231">
        <f t="shared" si="132"/>
        <v>0</v>
      </c>
      <c r="V572" s="296">
        <f t="shared" si="152"/>
        <v>100</v>
      </c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>
        <f>SUM(AI573:AI584)</f>
        <v>0</v>
      </c>
      <c r="AJ572" s="233">
        <f t="shared" si="153"/>
        <v>0</v>
      </c>
      <c r="AK572" s="231">
        <f t="shared" si="161"/>
        <v>363103120</v>
      </c>
      <c r="AL572" s="233">
        <f t="shared" si="156"/>
        <v>100</v>
      </c>
      <c r="AM572" s="227"/>
    </row>
    <row r="573" spans="1:39" ht="24.75" customHeight="1" x14ac:dyDescent="0.25">
      <c r="A573" s="243"/>
      <c r="B573" s="410"/>
      <c r="C573" s="410"/>
      <c r="D573" s="410"/>
      <c r="E573" s="410"/>
      <c r="F573" s="410"/>
      <c r="G573" s="410"/>
      <c r="H573" s="410"/>
      <c r="I573" s="411"/>
      <c r="J573" s="410" t="s">
        <v>259</v>
      </c>
      <c r="K573" s="245"/>
      <c r="L573" s="257"/>
      <c r="M573" s="591" t="s">
        <v>260</v>
      </c>
      <c r="N573" s="592"/>
      <c r="O573" s="179"/>
      <c r="P573" s="180"/>
      <c r="Q573" s="180">
        <v>2310000</v>
      </c>
      <c r="R573" s="181">
        <f t="shared" ref="R573:R584" si="162">Q573/Q$572*100</f>
        <v>0.63618291134485438</v>
      </c>
      <c r="S573" s="181">
        <v>100</v>
      </c>
      <c r="T573" s="180">
        <f t="shared" si="127"/>
        <v>0</v>
      </c>
      <c r="U573" s="180">
        <f t="shared" si="132"/>
        <v>0</v>
      </c>
      <c r="V573" s="182">
        <f t="shared" si="152"/>
        <v>100</v>
      </c>
      <c r="W573" s="180"/>
      <c r="X573" s="180"/>
      <c r="Y573" s="180"/>
      <c r="Z573" s="180"/>
      <c r="AA573" s="180"/>
      <c r="AB573" s="180"/>
      <c r="AC573" s="180"/>
      <c r="AD573" s="180"/>
      <c r="AE573" s="180"/>
      <c r="AF573" s="180"/>
      <c r="AG573" s="180"/>
      <c r="AH573" s="180"/>
      <c r="AI573" s="180">
        <v>0</v>
      </c>
      <c r="AJ573" s="181">
        <f t="shared" si="153"/>
        <v>0</v>
      </c>
      <c r="AK573" s="180">
        <f t="shared" si="161"/>
        <v>2310000</v>
      </c>
      <c r="AL573" s="181">
        <f t="shared" si="156"/>
        <v>100</v>
      </c>
      <c r="AM573" s="243"/>
    </row>
    <row r="574" spans="1:39" ht="24.75" customHeight="1" x14ac:dyDescent="0.25">
      <c r="A574" s="243"/>
      <c r="B574" s="410"/>
      <c r="C574" s="410"/>
      <c r="D574" s="410"/>
      <c r="E574" s="410"/>
      <c r="F574" s="410"/>
      <c r="G574" s="410"/>
      <c r="H574" s="410"/>
      <c r="I574" s="411"/>
      <c r="J574" s="410" t="s">
        <v>326</v>
      </c>
      <c r="K574" s="245"/>
      <c r="L574" s="257"/>
      <c r="M574" s="591" t="s">
        <v>327</v>
      </c>
      <c r="N574" s="592"/>
      <c r="O574" s="179"/>
      <c r="P574" s="180"/>
      <c r="Q574" s="180">
        <v>140400000</v>
      </c>
      <c r="R574" s="181">
        <f t="shared" si="162"/>
        <v>38.666701624596342</v>
      </c>
      <c r="S574" s="181">
        <v>100</v>
      </c>
      <c r="T574" s="180">
        <f t="shared" si="127"/>
        <v>0</v>
      </c>
      <c r="U574" s="180">
        <f t="shared" si="132"/>
        <v>0</v>
      </c>
      <c r="V574" s="182">
        <f t="shared" si="152"/>
        <v>100</v>
      </c>
      <c r="W574" s="180"/>
      <c r="X574" s="180"/>
      <c r="Y574" s="180"/>
      <c r="Z574" s="180"/>
      <c r="AA574" s="180"/>
      <c r="AB574" s="180"/>
      <c r="AC574" s="180"/>
      <c r="AD574" s="180"/>
      <c r="AE574" s="180"/>
      <c r="AF574" s="180"/>
      <c r="AG574" s="180"/>
      <c r="AH574" s="180"/>
      <c r="AI574" s="180">
        <v>0</v>
      </c>
      <c r="AJ574" s="181">
        <f t="shared" si="153"/>
        <v>0</v>
      </c>
      <c r="AK574" s="180">
        <f t="shared" si="161"/>
        <v>140400000</v>
      </c>
      <c r="AL574" s="181">
        <f t="shared" si="156"/>
        <v>100</v>
      </c>
      <c r="AM574" s="243"/>
    </row>
    <row r="575" spans="1:39" ht="24.75" customHeight="1" x14ac:dyDescent="0.25">
      <c r="A575" s="243"/>
      <c r="B575" s="410"/>
      <c r="C575" s="410"/>
      <c r="D575" s="410"/>
      <c r="E575" s="410"/>
      <c r="F575" s="410"/>
      <c r="G575" s="410"/>
      <c r="H575" s="410"/>
      <c r="I575" s="411"/>
      <c r="J575" s="410" t="s">
        <v>269</v>
      </c>
      <c r="K575" s="245"/>
      <c r="L575" s="257"/>
      <c r="M575" s="591" t="s">
        <v>270</v>
      </c>
      <c r="N575" s="592"/>
      <c r="O575" s="179"/>
      <c r="P575" s="180"/>
      <c r="Q575" s="180">
        <v>22000000</v>
      </c>
      <c r="R575" s="181">
        <f t="shared" si="162"/>
        <v>6.0588848699509938</v>
      </c>
      <c r="S575" s="181">
        <v>100</v>
      </c>
      <c r="T575" s="180">
        <f t="shared" si="127"/>
        <v>0</v>
      </c>
      <c r="U575" s="180">
        <f t="shared" si="132"/>
        <v>0</v>
      </c>
      <c r="V575" s="182">
        <f t="shared" si="152"/>
        <v>100</v>
      </c>
      <c r="W575" s="180"/>
      <c r="X575" s="180"/>
      <c r="Y575" s="180"/>
      <c r="Z575" s="180"/>
      <c r="AA575" s="180"/>
      <c r="AB575" s="180"/>
      <c r="AC575" s="180"/>
      <c r="AD575" s="180"/>
      <c r="AE575" s="180"/>
      <c r="AF575" s="180"/>
      <c r="AG575" s="180"/>
      <c r="AH575" s="180"/>
      <c r="AI575" s="180">
        <v>0</v>
      </c>
      <c r="AJ575" s="181">
        <f t="shared" si="153"/>
        <v>0</v>
      </c>
      <c r="AK575" s="180">
        <f t="shared" si="161"/>
        <v>22000000</v>
      </c>
      <c r="AL575" s="181">
        <f t="shared" si="156"/>
        <v>100</v>
      </c>
      <c r="AM575" s="243"/>
    </row>
    <row r="576" spans="1:39" ht="24.75" customHeight="1" x14ac:dyDescent="0.25">
      <c r="A576" s="243"/>
      <c r="B576" s="410"/>
      <c r="C576" s="410"/>
      <c r="D576" s="410"/>
      <c r="E576" s="410"/>
      <c r="F576" s="410"/>
      <c r="G576" s="410"/>
      <c r="H576" s="410"/>
      <c r="I576" s="411"/>
      <c r="J576" s="410" t="s">
        <v>315</v>
      </c>
      <c r="K576" s="245"/>
      <c r="L576" s="257"/>
      <c r="M576" s="591" t="s">
        <v>271</v>
      </c>
      <c r="N576" s="592"/>
      <c r="O576" s="179"/>
      <c r="P576" s="180"/>
      <c r="Q576" s="180">
        <v>4500000</v>
      </c>
      <c r="R576" s="181">
        <f t="shared" si="162"/>
        <v>1.2393173597627032</v>
      </c>
      <c r="S576" s="181">
        <v>100</v>
      </c>
      <c r="T576" s="180">
        <f t="shared" si="127"/>
        <v>0</v>
      </c>
      <c r="U576" s="180">
        <f t="shared" si="132"/>
        <v>0</v>
      </c>
      <c r="V576" s="182">
        <f t="shared" si="152"/>
        <v>100</v>
      </c>
      <c r="W576" s="180"/>
      <c r="X576" s="180"/>
      <c r="Y576" s="180"/>
      <c r="Z576" s="180"/>
      <c r="AA576" s="180"/>
      <c r="AB576" s="180"/>
      <c r="AC576" s="180"/>
      <c r="AD576" s="180"/>
      <c r="AE576" s="180"/>
      <c r="AF576" s="180"/>
      <c r="AG576" s="180"/>
      <c r="AH576" s="180"/>
      <c r="AI576" s="180">
        <v>0</v>
      </c>
      <c r="AJ576" s="181">
        <f t="shared" si="153"/>
        <v>0</v>
      </c>
      <c r="AK576" s="180">
        <f t="shared" si="161"/>
        <v>4500000</v>
      </c>
      <c r="AL576" s="181">
        <f t="shared" si="156"/>
        <v>100</v>
      </c>
      <c r="AM576" s="243"/>
    </row>
    <row r="577" spans="1:39" ht="24.75" customHeight="1" x14ac:dyDescent="0.25">
      <c r="A577" s="243"/>
      <c r="B577" s="410"/>
      <c r="C577" s="410"/>
      <c r="D577" s="410"/>
      <c r="E577" s="410"/>
      <c r="F577" s="410"/>
      <c r="G577" s="410"/>
      <c r="H577" s="410"/>
      <c r="I577" s="411"/>
      <c r="J577" s="410" t="s">
        <v>316</v>
      </c>
      <c r="K577" s="245"/>
      <c r="L577" s="257"/>
      <c r="M577" s="591" t="s">
        <v>317</v>
      </c>
      <c r="N577" s="592"/>
      <c r="O577" s="179"/>
      <c r="P577" s="180"/>
      <c r="Q577" s="180">
        <v>600000</v>
      </c>
      <c r="R577" s="181">
        <f t="shared" si="162"/>
        <v>0.16524231463502709</v>
      </c>
      <c r="S577" s="181">
        <v>100</v>
      </c>
      <c r="T577" s="180">
        <f t="shared" si="127"/>
        <v>0</v>
      </c>
      <c r="U577" s="180">
        <f t="shared" si="132"/>
        <v>0</v>
      </c>
      <c r="V577" s="182">
        <f t="shared" si="152"/>
        <v>100</v>
      </c>
      <c r="W577" s="180"/>
      <c r="X577" s="180"/>
      <c r="Y577" s="180"/>
      <c r="Z577" s="180"/>
      <c r="AA577" s="180"/>
      <c r="AB577" s="180"/>
      <c r="AC577" s="180"/>
      <c r="AD577" s="180"/>
      <c r="AE577" s="180"/>
      <c r="AF577" s="180"/>
      <c r="AG577" s="180"/>
      <c r="AH577" s="180"/>
      <c r="AI577" s="180">
        <v>0</v>
      </c>
      <c r="AJ577" s="181">
        <f t="shared" si="153"/>
        <v>0</v>
      </c>
      <c r="AK577" s="180">
        <f t="shared" si="161"/>
        <v>600000</v>
      </c>
      <c r="AL577" s="181">
        <f t="shared" si="156"/>
        <v>100</v>
      </c>
      <c r="AM577" s="243"/>
    </row>
    <row r="578" spans="1:39" ht="24.75" customHeight="1" x14ac:dyDescent="0.25">
      <c r="A578" s="243"/>
      <c r="B578" s="410"/>
      <c r="C578" s="410"/>
      <c r="D578" s="410"/>
      <c r="E578" s="410"/>
      <c r="F578" s="410"/>
      <c r="G578" s="410"/>
      <c r="H578" s="410"/>
      <c r="I578" s="411"/>
      <c r="J578" s="410" t="s">
        <v>328</v>
      </c>
      <c r="K578" s="245"/>
      <c r="L578" s="257"/>
      <c r="M578" s="591" t="s">
        <v>329</v>
      </c>
      <c r="N578" s="592"/>
      <c r="O578" s="179"/>
      <c r="P578" s="180"/>
      <c r="Q578" s="180">
        <v>8250000</v>
      </c>
      <c r="R578" s="181">
        <f t="shared" si="162"/>
        <v>2.2720818262316222</v>
      </c>
      <c r="S578" s="181">
        <v>100</v>
      </c>
      <c r="T578" s="180">
        <f t="shared" si="127"/>
        <v>0</v>
      </c>
      <c r="U578" s="180">
        <f t="shared" si="132"/>
        <v>0</v>
      </c>
      <c r="V578" s="182">
        <f t="shared" si="152"/>
        <v>100</v>
      </c>
      <c r="W578" s="180"/>
      <c r="X578" s="180"/>
      <c r="Y578" s="180"/>
      <c r="Z578" s="180"/>
      <c r="AA578" s="180"/>
      <c r="AB578" s="180"/>
      <c r="AC578" s="180"/>
      <c r="AD578" s="180"/>
      <c r="AE578" s="180"/>
      <c r="AF578" s="180"/>
      <c r="AG578" s="180"/>
      <c r="AH578" s="180"/>
      <c r="AI578" s="180">
        <v>0</v>
      </c>
      <c r="AJ578" s="181">
        <f t="shared" si="153"/>
        <v>0</v>
      </c>
      <c r="AK578" s="180">
        <f t="shared" si="161"/>
        <v>8250000</v>
      </c>
      <c r="AL578" s="181">
        <f t="shared" si="156"/>
        <v>100</v>
      </c>
      <c r="AM578" s="243"/>
    </row>
    <row r="579" spans="1:39" ht="24.75" customHeight="1" x14ac:dyDescent="0.25">
      <c r="A579" s="243"/>
      <c r="B579" s="410"/>
      <c r="C579" s="410"/>
      <c r="D579" s="410"/>
      <c r="E579" s="410"/>
      <c r="F579" s="410"/>
      <c r="G579" s="410"/>
      <c r="H579" s="410"/>
      <c r="I579" s="411"/>
      <c r="J579" s="410" t="s">
        <v>318</v>
      </c>
      <c r="K579" s="245"/>
      <c r="L579" s="257"/>
      <c r="M579" s="591" t="s">
        <v>319</v>
      </c>
      <c r="N579" s="592"/>
      <c r="O579" s="179"/>
      <c r="P579" s="180"/>
      <c r="Q579" s="180">
        <v>100000000</v>
      </c>
      <c r="R579" s="181">
        <f t="shared" si="162"/>
        <v>27.540385772504518</v>
      </c>
      <c r="S579" s="181">
        <v>100</v>
      </c>
      <c r="T579" s="180">
        <f t="shared" si="127"/>
        <v>0</v>
      </c>
      <c r="U579" s="180">
        <f t="shared" si="132"/>
        <v>0</v>
      </c>
      <c r="V579" s="182">
        <v>100</v>
      </c>
      <c r="W579" s="180"/>
      <c r="X579" s="180"/>
      <c r="Y579" s="180"/>
      <c r="Z579" s="180"/>
      <c r="AA579" s="180"/>
      <c r="AB579" s="180"/>
      <c r="AC579" s="180"/>
      <c r="AD579" s="180"/>
      <c r="AE579" s="180"/>
      <c r="AF579" s="180"/>
      <c r="AG579" s="180"/>
      <c r="AH579" s="180"/>
      <c r="AI579" s="180">
        <v>0</v>
      </c>
      <c r="AJ579" s="181">
        <f t="shared" si="153"/>
        <v>0</v>
      </c>
      <c r="AK579" s="180">
        <f t="shared" si="161"/>
        <v>100000000</v>
      </c>
      <c r="AL579" s="181">
        <f t="shared" si="156"/>
        <v>100</v>
      </c>
      <c r="AM579" s="243"/>
    </row>
    <row r="580" spans="1:39" ht="24.75" customHeight="1" x14ac:dyDescent="0.25">
      <c r="A580" s="243"/>
      <c r="B580" s="410"/>
      <c r="C580" s="410"/>
      <c r="D580" s="410"/>
      <c r="E580" s="410"/>
      <c r="F580" s="410"/>
      <c r="G580" s="410"/>
      <c r="H580" s="410"/>
      <c r="I580" s="411"/>
      <c r="J580" s="410" t="s">
        <v>280</v>
      </c>
      <c r="K580" s="245"/>
      <c r="L580" s="257"/>
      <c r="M580" s="591" t="s">
        <v>281</v>
      </c>
      <c r="N580" s="592"/>
      <c r="O580" s="179"/>
      <c r="P580" s="180"/>
      <c r="Q580" s="180">
        <v>9500000</v>
      </c>
      <c r="R580" s="181">
        <f t="shared" si="162"/>
        <v>2.6163366483879291</v>
      </c>
      <c r="S580" s="181">
        <v>100</v>
      </c>
      <c r="T580" s="180">
        <f t="shared" si="127"/>
        <v>0</v>
      </c>
      <c r="U580" s="180">
        <f t="shared" si="132"/>
        <v>0</v>
      </c>
      <c r="V580" s="182">
        <f t="shared" si="152"/>
        <v>100</v>
      </c>
      <c r="W580" s="180"/>
      <c r="X580" s="180"/>
      <c r="Y580" s="180"/>
      <c r="Z580" s="180"/>
      <c r="AA580" s="180"/>
      <c r="AB580" s="180"/>
      <c r="AC580" s="180"/>
      <c r="AD580" s="180"/>
      <c r="AE580" s="180"/>
      <c r="AF580" s="180"/>
      <c r="AG580" s="180"/>
      <c r="AH580" s="180"/>
      <c r="AI580" s="180">
        <v>0</v>
      </c>
      <c r="AJ580" s="181">
        <f t="shared" si="153"/>
        <v>0</v>
      </c>
      <c r="AK580" s="180">
        <f t="shared" si="161"/>
        <v>9500000</v>
      </c>
      <c r="AL580" s="181">
        <f t="shared" si="156"/>
        <v>100</v>
      </c>
      <c r="AM580" s="243"/>
    </row>
    <row r="581" spans="1:39" ht="24.75" customHeight="1" x14ac:dyDescent="0.25">
      <c r="A581" s="243"/>
      <c r="B581" s="410"/>
      <c r="C581" s="410"/>
      <c r="D581" s="410"/>
      <c r="E581" s="410"/>
      <c r="F581" s="410"/>
      <c r="G581" s="410"/>
      <c r="H581" s="410"/>
      <c r="I581" s="411"/>
      <c r="J581" s="410" t="s">
        <v>284</v>
      </c>
      <c r="K581" s="245"/>
      <c r="L581" s="257"/>
      <c r="M581" s="591" t="s">
        <v>285</v>
      </c>
      <c r="N581" s="592"/>
      <c r="O581" s="179"/>
      <c r="P581" s="180"/>
      <c r="Q581" s="180">
        <v>3000000</v>
      </c>
      <c r="R581" s="181">
        <f t="shared" si="162"/>
        <v>0.82621157317513538</v>
      </c>
      <c r="S581" s="181">
        <v>100</v>
      </c>
      <c r="T581" s="180">
        <f t="shared" si="127"/>
        <v>0</v>
      </c>
      <c r="U581" s="180">
        <f t="shared" si="132"/>
        <v>0</v>
      </c>
      <c r="V581" s="182">
        <f t="shared" si="152"/>
        <v>100</v>
      </c>
      <c r="W581" s="180"/>
      <c r="X581" s="180"/>
      <c r="Y581" s="180"/>
      <c r="Z581" s="180"/>
      <c r="AA581" s="180"/>
      <c r="AB581" s="180"/>
      <c r="AC581" s="180"/>
      <c r="AD581" s="180"/>
      <c r="AE581" s="180"/>
      <c r="AF581" s="180"/>
      <c r="AG581" s="180"/>
      <c r="AH581" s="180"/>
      <c r="AI581" s="180">
        <v>0</v>
      </c>
      <c r="AJ581" s="181">
        <f t="shared" si="153"/>
        <v>0</v>
      </c>
      <c r="AK581" s="180">
        <f t="shared" si="161"/>
        <v>3000000</v>
      </c>
      <c r="AL581" s="181">
        <f t="shared" si="156"/>
        <v>100</v>
      </c>
      <c r="AM581" s="243"/>
    </row>
    <row r="582" spans="1:39" ht="24.75" customHeight="1" x14ac:dyDescent="0.25">
      <c r="A582" s="243"/>
      <c r="B582" s="410"/>
      <c r="C582" s="410"/>
      <c r="D582" s="410"/>
      <c r="E582" s="410"/>
      <c r="F582" s="410"/>
      <c r="G582" s="410"/>
      <c r="H582" s="410"/>
      <c r="I582" s="411"/>
      <c r="J582" s="410" t="s">
        <v>282</v>
      </c>
      <c r="K582" s="245"/>
      <c r="L582" s="257"/>
      <c r="M582" s="591" t="s">
        <v>283</v>
      </c>
      <c r="N582" s="592"/>
      <c r="O582" s="179"/>
      <c r="P582" s="180"/>
      <c r="Q582" s="180">
        <v>32443120</v>
      </c>
      <c r="R582" s="181">
        <f t="shared" si="162"/>
        <v>8.934960404636568</v>
      </c>
      <c r="S582" s="181">
        <v>100</v>
      </c>
      <c r="T582" s="180">
        <f t="shared" si="127"/>
        <v>0</v>
      </c>
      <c r="U582" s="180">
        <f t="shared" si="132"/>
        <v>0</v>
      </c>
      <c r="V582" s="182">
        <f t="shared" si="152"/>
        <v>100</v>
      </c>
      <c r="W582" s="180"/>
      <c r="X582" s="180"/>
      <c r="Y582" s="180"/>
      <c r="Z582" s="180"/>
      <c r="AA582" s="180"/>
      <c r="AB582" s="180"/>
      <c r="AC582" s="180"/>
      <c r="AD582" s="180"/>
      <c r="AE582" s="180"/>
      <c r="AF582" s="180"/>
      <c r="AG582" s="180"/>
      <c r="AH582" s="180"/>
      <c r="AI582" s="180">
        <v>0</v>
      </c>
      <c r="AJ582" s="181">
        <f t="shared" si="153"/>
        <v>0</v>
      </c>
      <c r="AK582" s="180">
        <f t="shared" si="161"/>
        <v>32443120</v>
      </c>
      <c r="AL582" s="181">
        <f t="shared" si="156"/>
        <v>100</v>
      </c>
      <c r="AM582" s="243"/>
    </row>
    <row r="583" spans="1:39" ht="24.75" customHeight="1" x14ac:dyDescent="0.25">
      <c r="A583" s="243"/>
      <c r="B583" s="410"/>
      <c r="C583" s="410"/>
      <c r="D583" s="410"/>
      <c r="E583" s="410"/>
      <c r="F583" s="410"/>
      <c r="G583" s="410"/>
      <c r="H583" s="410"/>
      <c r="I583" s="411"/>
      <c r="J583" s="410" t="s">
        <v>320</v>
      </c>
      <c r="K583" s="245"/>
      <c r="L583" s="257"/>
      <c r="M583" s="591" t="s">
        <v>321</v>
      </c>
      <c r="N583" s="592"/>
      <c r="O583" s="179"/>
      <c r="P583" s="180"/>
      <c r="Q583" s="180">
        <v>20000000</v>
      </c>
      <c r="R583" s="181">
        <f t="shared" si="162"/>
        <v>5.5080771545009029</v>
      </c>
      <c r="S583" s="181">
        <v>100</v>
      </c>
      <c r="T583" s="180">
        <f t="shared" si="127"/>
        <v>0</v>
      </c>
      <c r="U583" s="180">
        <f t="shared" si="132"/>
        <v>0</v>
      </c>
      <c r="V583" s="182">
        <f t="shared" si="152"/>
        <v>100</v>
      </c>
      <c r="W583" s="180"/>
      <c r="X583" s="180"/>
      <c r="Y583" s="180"/>
      <c r="Z583" s="180"/>
      <c r="AA583" s="180"/>
      <c r="AB583" s="180"/>
      <c r="AC583" s="180"/>
      <c r="AD583" s="180"/>
      <c r="AE583" s="180"/>
      <c r="AF583" s="180"/>
      <c r="AG583" s="180"/>
      <c r="AH583" s="180"/>
      <c r="AI583" s="180">
        <v>0</v>
      </c>
      <c r="AJ583" s="181">
        <f t="shared" si="153"/>
        <v>0</v>
      </c>
      <c r="AK583" s="180">
        <f t="shared" si="161"/>
        <v>20000000</v>
      </c>
      <c r="AL583" s="181">
        <f t="shared" si="156"/>
        <v>100</v>
      </c>
      <c r="AM583" s="243"/>
    </row>
    <row r="584" spans="1:39" ht="24.75" customHeight="1" x14ac:dyDescent="0.25">
      <c r="A584" s="243"/>
      <c r="B584" s="410"/>
      <c r="C584" s="410"/>
      <c r="D584" s="410"/>
      <c r="E584" s="410"/>
      <c r="F584" s="410"/>
      <c r="G584" s="410"/>
      <c r="H584" s="410"/>
      <c r="I584" s="411"/>
      <c r="J584" s="410" t="s">
        <v>407</v>
      </c>
      <c r="K584" s="245"/>
      <c r="L584" s="257"/>
      <c r="M584" s="591" t="s">
        <v>414</v>
      </c>
      <c r="N584" s="592"/>
      <c r="O584" s="179"/>
      <c r="P584" s="180"/>
      <c r="Q584" s="180">
        <v>20100000</v>
      </c>
      <c r="R584" s="181">
        <f t="shared" si="162"/>
        <v>5.5356175402734076</v>
      </c>
      <c r="S584" s="181">
        <v>100</v>
      </c>
      <c r="T584" s="180">
        <f t="shared" si="127"/>
        <v>0</v>
      </c>
      <c r="U584" s="180">
        <f t="shared" si="132"/>
        <v>0</v>
      </c>
      <c r="V584" s="182">
        <v>100</v>
      </c>
      <c r="W584" s="180"/>
      <c r="X584" s="180"/>
      <c r="Y584" s="180"/>
      <c r="Z584" s="180"/>
      <c r="AA584" s="180"/>
      <c r="AB584" s="180"/>
      <c r="AC584" s="180"/>
      <c r="AD584" s="180"/>
      <c r="AE584" s="180"/>
      <c r="AF584" s="180"/>
      <c r="AG584" s="180"/>
      <c r="AH584" s="180"/>
      <c r="AI584" s="180">
        <v>0</v>
      </c>
      <c r="AJ584" s="181">
        <f t="shared" si="153"/>
        <v>0</v>
      </c>
      <c r="AK584" s="180">
        <f t="shared" si="161"/>
        <v>20100000</v>
      </c>
      <c r="AL584" s="181">
        <f t="shared" si="156"/>
        <v>100</v>
      </c>
      <c r="AM584" s="243"/>
    </row>
    <row r="585" spans="1:39" s="311" customFormat="1" ht="24.75" customHeight="1" x14ac:dyDescent="0.25">
      <c r="A585" s="227">
        <f>SUM(A572+1)</f>
        <v>71</v>
      </c>
      <c r="B585" s="415"/>
      <c r="C585" s="415"/>
      <c r="D585" s="415"/>
      <c r="E585" s="415"/>
      <c r="F585" s="415"/>
      <c r="G585" s="415"/>
      <c r="H585" s="415"/>
      <c r="I585" s="414"/>
      <c r="J585" s="304" t="s">
        <v>524</v>
      </c>
      <c r="K585" s="230"/>
      <c r="L585" s="294"/>
      <c r="M585" s="609" t="s">
        <v>204</v>
      </c>
      <c r="N585" s="614"/>
      <c r="O585" s="310"/>
      <c r="P585" s="231"/>
      <c r="Q585" s="231">
        <f>SUM(Q586:Q593)</f>
        <v>161972105</v>
      </c>
      <c r="R585" s="233">
        <f>Q585/Q$248*100</f>
        <v>1.3579327078656847</v>
      </c>
      <c r="S585" s="233">
        <v>100</v>
      </c>
      <c r="T585" s="231">
        <f t="shared" si="127"/>
        <v>40.298482260263278</v>
      </c>
      <c r="U585" s="231">
        <f t="shared" si="132"/>
        <v>0.54722627138556568</v>
      </c>
      <c r="V585" s="296">
        <f t="shared" si="152"/>
        <v>59.701517739736722</v>
      </c>
      <c r="W585" s="231"/>
      <c r="X585" s="231"/>
      <c r="Y585" s="231"/>
      <c r="Z585" s="231"/>
      <c r="AA585" s="231"/>
      <c r="AB585" s="231"/>
      <c r="AC585" s="231"/>
      <c r="AD585" s="231"/>
      <c r="AE585" s="231"/>
      <c r="AF585" s="231"/>
      <c r="AG585" s="231"/>
      <c r="AH585" s="231"/>
      <c r="AI585" s="231">
        <f>SUM(AI586:AI593)</f>
        <v>65272300</v>
      </c>
      <c r="AJ585" s="233">
        <f t="shared" si="153"/>
        <v>40.298482260263278</v>
      </c>
      <c r="AK585" s="231">
        <f t="shared" si="161"/>
        <v>96699805</v>
      </c>
      <c r="AL585" s="233">
        <f t="shared" si="156"/>
        <v>59.70151773973673</v>
      </c>
      <c r="AM585" s="227"/>
    </row>
    <row r="586" spans="1:39" ht="24.75" customHeight="1" x14ac:dyDescent="0.25">
      <c r="A586" s="243"/>
      <c r="B586" s="410"/>
      <c r="C586" s="410"/>
      <c r="D586" s="410"/>
      <c r="E586" s="410"/>
      <c r="F586" s="410"/>
      <c r="G586" s="410"/>
      <c r="H586" s="410"/>
      <c r="I586" s="411"/>
      <c r="J586" s="410" t="s">
        <v>257</v>
      </c>
      <c r="K586" s="245"/>
      <c r="L586" s="257"/>
      <c r="M586" s="591" t="s">
        <v>260</v>
      </c>
      <c r="N586" s="592"/>
      <c r="O586" s="179"/>
      <c r="P586" s="180"/>
      <c r="Q586" s="180">
        <v>1540000</v>
      </c>
      <c r="R586" s="181">
        <f>Q586/Q$585*100</f>
        <v>0.95078100022222956</v>
      </c>
      <c r="S586" s="181">
        <v>100</v>
      </c>
      <c r="T586" s="180">
        <f t="shared" si="127"/>
        <v>0</v>
      </c>
      <c r="U586" s="180">
        <f t="shared" si="132"/>
        <v>0</v>
      </c>
      <c r="V586" s="182">
        <f t="shared" si="152"/>
        <v>100</v>
      </c>
      <c r="W586" s="180"/>
      <c r="X586" s="180"/>
      <c r="Y586" s="180"/>
      <c r="Z586" s="180"/>
      <c r="AA586" s="180"/>
      <c r="AB586" s="180"/>
      <c r="AC586" s="180"/>
      <c r="AD586" s="180"/>
      <c r="AE586" s="180"/>
      <c r="AF586" s="180"/>
      <c r="AG586" s="180"/>
      <c r="AH586" s="180"/>
      <c r="AI586" s="180">
        <v>0</v>
      </c>
      <c r="AJ586" s="181">
        <f t="shared" si="153"/>
        <v>0</v>
      </c>
      <c r="AK586" s="180">
        <f t="shared" si="161"/>
        <v>1540000</v>
      </c>
      <c r="AL586" s="181">
        <f t="shared" si="156"/>
        <v>100</v>
      </c>
      <c r="AM586" s="243"/>
    </row>
    <row r="587" spans="1:39" ht="24.75" customHeight="1" x14ac:dyDescent="0.25">
      <c r="A587" s="243"/>
      <c r="B587" s="410"/>
      <c r="C587" s="410"/>
      <c r="D587" s="410"/>
      <c r="E587" s="410"/>
      <c r="F587" s="410"/>
      <c r="G587" s="410"/>
      <c r="H587" s="410"/>
      <c r="I587" s="411"/>
      <c r="J587" s="410" t="s">
        <v>315</v>
      </c>
      <c r="K587" s="245"/>
      <c r="L587" s="257"/>
      <c r="M587" s="591" t="s">
        <v>271</v>
      </c>
      <c r="N587" s="592"/>
      <c r="O587" s="179"/>
      <c r="P587" s="180"/>
      <c r="Q587" s="180">
        <v>2000000</v>
      </c>
      <c r="R587" s="181">
        <f t="shared" ref="R587:R593" si="163">Q587/Q$585*100</f>
        <v>1.2347805197691293</v>
      </c>
      <c r="S587" s="181">
        <v>100</v>
      </c>
      <c r="T587" s="180">
        <f t="shared" si="127"/>
        <v>0</v>
      </c>
      <c r="U587" s="180">
        <f t="shared" si="132"/>
        <v>0</v>
      </c>
      <c r="V587" s="182">
        <f t="shared" si="152"/>
        <v>100</v>
      </c>
      <c r="W587" s="180"/>
      <c r="X587" s="180"/>
      <c r="Y587" s="180"/>
      <c r="Z587" s="180"/>
      <c r="AA587" s="180"/>
      <c r="AB587" s="180"/>
      <c r="AC587" s="180"/>
      <c r="AD587" s="180"/>
      <c r="AE587" s="180"/>
      <c r="AF587" s="180"/>
      <c r="AG587" s="180"/>
      <c r="AH587" s="180"/>
      <c r="AI587" s="180">
        <v>0</v>
      </c>
      <c r="AJ587" s="181">
        <f t="shared" si="153"/>
        <v>0</v>
      </c>
      <c r="AK587" s="180">
        <f t="shared" si="161"/>
        <v>2000000</v>
      </c>
      <c r="AL587" s="181">
        <f t="shared" si="156"/>
        <v>100</v>
      </c>
      <c r="AM587" s="243"/>
    </row>
    <row r="588" spans="1:39" ht="30" customHeight="1" x14ac:dyDescent="0.25">
      <c r="A588" s="243"/>
      <c r="B588" s="410"/>
      <c r="C588" s="410"/>
      <c r="D588" s="410"/>
      <c r="E588" s="410"/>
      <c r="F588" s="410"/>
      <c r="G588" s="410"/>
      <c r="H588" s="410"/>
      <c r="I588" s="411"/>
      <c r="J588" s="410" t="s">
        <v>318</v>
      </c>
      <c r="K588" s="245"/>
      <c r="L588" s="257"/>
      <c r="M588" s="591" t="s">
        <v>319</v>
      </c>
      <c r="N588" s="592"/>
      <c r="O588" s="179"/>
      <c r="P588" s="180"/>
      <c r="Q588" s="180">
        <v>58500000</v>
      </c>
      <c r="R588" s="181">
        <f t="shared" si="163"/>
        <v>36.117330203247036</v>
      </c>
      <c r="S588" s="181">
        <v>100</v>
      </c>
      <c r="T588" s="180">
        <f t="shared" si="127"/>
        <v>0</v>
      </c>
      <c r="U588" s="180">
        <f t="shared" si="132"/>
        <v>0</v>
      </c>
      <c r="V588" s="182">
        <f t="shared" si="152"/>
        <v>100</v>
      </c>
      <c r="W588" s="180"/>
      <c r="X588" s="180"/>
      <c r="Y588" s="180"/>
      <c r="Z588" s="180"/>
      <c r="AA588" s="180"/>
      <c r="AB588" s="180"/>
      <c r="AC588" s="180"/>
      <c r="AD588" s="180"/>
      <c r="AE588" s="180"/>
      <c r="AF588" s="180"/>
      <c r="AG588" s="180"/>
      <c r="AH588" s="180"/>
      <c r="AI588" s="180">
        <v>0</v>
      </c>
      <c r="AJ588" s="181">
        <f t="shared" si="153"/>
        <v>0</v>
      </c>
      <c r="AK588" s="180">
        <f t="shared" si="161"/>
        <v>58500000</v>
      </c>
      <c r="AL588" s="181">
        <f t="shared" si="156"/>
        <v>100</v>
      </c>
      <c r="AM588" s="243"/>
    </row>
    <row r="589" spans="1:39" ht="24.75" customHeight="1" x14ac:dyDescent="0.25">
      <c r="A589" s="243"/>
      <c r="B589" s="410"/>
      <c r="C589" s="410"/>
      <c r="D589" s="410"/>
      <c r="E589" s="410"/>
      <c r="F589" s="410"/>
      <c r="G589" s="410"/>
      <c r="H589" s="410"/>
      <c r="I589" s="411"/>
      <c r="J589" s="410" t="s">
        <v>280</v>
      </c>
      <c r="K589" s="245"/>
      <c r="L589" s="257"/>
      <c r="M589" s="591" t="s">
        <v>281</v>
      </c>
      <c r="N589" s="592"/>
      <c r="O589" s="179"/>
      <c r="P589" s="180"/>
      <c r="Q589" s="180">
        <v>2925000</v>
      </c>
      <c r="R589" s="181">
        <f t="shared" si="163"/>
        <v>1.8058665101623517</v>
      </c>
      <c r="S589" s="181">
        <v>100</v>
      </c>
      <c r="T589" s="180">
        <f t="shared" si="127"/>
        <v>59.82905982905983</v>
      </c>
      <c r="U589" s="180">
        <f t="shared" si="132"/>
        <v>1.0804329547979881</v>
      </c>
      <c r="V589" s="182">
        <f t="shared" si="152"/>
        <v>40.17094017094017</v>
      </c>
      <c r="W589" s="180"/>
      <c r="X589" s="180"/>
      <c r="Y589" s="180"/>
      <c r="Z589" s="180"/>
      <c r="AA589" s="180"/>
      <c r="AB589" s="180"/>
      <c r="AC589" s="180"/>
      <c r="AD589" s="180"/>
      <c r="AE589" s="180"/>
      <c r="AF589" s="180"/>
      <c r="AG589" s="180"/>
      <c r="AH589" s="180"/>
      <c r="AI589" s="180">
        <v>1750000</v>
      </c>
      <c r="AJ589" s="181">
        <f t="shared" si="153"/>
        <v>59.82905982905983</v>
      </c>
      <c r="AK589" s="180">
        <f t="shared" si="161"/>
        <v>1175000</v>
      </c>
      <c r="AL589" s="181">
        <f t="shared" si="156"/>
        <v>40.17094017094017</v>
      </c>
      <c r="AM589" s="243"/>
    </row>
    <row r="590" spans="1:39" ht="24.75" customHeight="1" x14ac:dyDescent="0.25">
      <c r="A590" s="243"/>
      <c r="B590" s="410"/>
      <c r="C590" s="410"/>
      <c r="D590" s="410"/>
      <c r="E590" s="410"/>
      <c r="F590" s="410"/>
      <c r="G590" s="410"/>
      <c r="H590" s="410"/>
      <c r="I590" s="411"/>
      <c r="J590" s="410" t="s">
        <v>284</v>
      </c>
      <c r="K590" s="245"/>
      <c r="L590" s="257"/>
      <c r="M590" s="591" t="s">
        <v>285</v>
      </c>
      <c r="N590" s="592"/>
      <c r="O590" s="179"/>
      <c r="P590" s="180"/>
      <c r="Q590" s="180">
        <v>2000000</v>
      </c>
      <c r="R590" s="181">
        <f t="shared" si="163"/>
        <v>1.2347805197691293</v>
      </c>
      <c r="S590" s="181">
        <v>100</v>
      </c>
      <c r="T590" s="180">
        <f t="shared" si="127"/>
        <v>0</v>
      </c>
      <c r="U590" s="180">
        <f t="shared" si="132"/>
        <v>0</v>
      </c>
      <c r="V590" s="182">
        <f t="shared" si="152"/>
        <v>100</v>
      </c>
      <c r="W590" s="180"/>
      <c r="X590" s="180"/>
      <c r="Y590" s="180"/>
      <c r="Z590" s="180"/>
      <c r="AA590" s="180"/>
      <c r="AB590" s="180"/>
      <c r="AC590" s="180"/>
      <c r="AD590" s="180"/>
      <c r="AE590" s="180"/>
      <c r="AF590" s="180"/>
      <c r="AG590" s="180"/>
      <c r="AH590" s="180"/>
      <c r="AI590" s="180">
        <v>0</v>
      </c>
      <c r="AJ590" s="181">
        <f t="shared" si="153"/>
        <v>0</v>
      </c>
      <c r="AK590" s="180">
        <f t="shared" si="161"/>
        <v>2000000</v>
      </c>
      <c r="AL590" s="181">
        <f t="shared" si="156"/>
        <v>100</v>
      </c>
      <c r="AM590" s="243"/>
    </row>
    <row r="591" spans="1:39" ht="24.75" customHeight="1" x14ac:dyDescent="0.25">
      <c r="A591" s="243"/>
      <c r="B591" s="410"/>
      <c r="C591" s="410"/>
      <c r="D591" s="410"/>
      <c r="E591" s="410"/>
      <c r="F591" s="410"/>
      <c r="G591" s="410"/>
      <c r="H591" s="410"/>
      <c r="I591" s="411"/>
      <c r="J591" s="410" t="s">
        <v>282</v>
      </c>
      <c r="K591" s="245"/>
      <c r="L591" s="257"/>
      <c r="M591" s="591" t="s">
        <v>283</v>
      </c>
      <c r="N591" s="592"/>
      <c r="O591" s="179"/>
      <c r="P591" s="180"/>
      <c r="Q591" s="180">
        <v>73857105</v>
      </c>
      <c r="R591" s="181">
        <f t="shared" si="163"/>
        <v>45.598657250271586</v>
      </c>
      <c r="S591" s="181">
        <v>100</v>
      </c>
      <c r="T591" s="180">
        <f t="shared" si="127"/>
        <v>75.581489417978133</v>
      </c>
      <c r="U591" s="180">
        <f t="shared" si="132"/>
        <v>34.464144304354136</v>
      </c>
      <c r="V591" s="182">
        <f t="shared" si="152"/>
        <v>24.418510582021867</v>
      </c>
      <c r="W591" s="180"/>
      <c r="X591" s="180"/>
      <c r="Y591" s="180"/>
      <c r="Z591" s="180"/>
      <c r="AA591" s="180"/>
      <c r="AB591" s="180"/>
      <c r="AC591" s="180"/>
      <c r="AD591" s="180"/>
      <c r="AE591" s="180"/>
      <c r="AF591" s="180"/>
      <c r="AG591" s="180"/>
      <c r="AH591" s="180"/>
      <c r="AI591" s="180">
        <f>52196300+3626000</f>
        <v>55822300</v>
      </c>
      <c r="AJ591" s="181">
        <f t="shared" si="153"/>
        <v>75.581489417978133</v>
      </c>
      <c r="AK591" s="180">
        <f t="shared" si="161"/>
        <v>18034805</v>
      </c>
      <c r="AL591" s="181">
        <f t="shared" si="156"/>
        <v>24.418510582021867</v>
      </c>
      <c r="AM591" s="243"/>
    </row>
    <row r="592" spans="1:39" ht="24.75" customHeight="1" x14ac:dyDescent="0.25">
      <c r="A592" s="243"/>
      <c r="B592" s="410"/>
      <c r="C592" s="410"/>
      <c r="D592" s="410"/>
      <c r="E592" s="410"/>
      <c r="F592" s="410"/>
      <c r="G592" s="410"/>
      <c r="H592" s="410"/>
      <c r="I592" s="411"/>
      <c r="J592" s="410" t="s">
        <v>320</v>
      </c>
      <c r="K592" s="245"/>
      <c r="L592" s="257"/>
      <c r="M592" s="591" t="s">
        <v>321</v>
      </c>
      <c r="N592" s="592"/>
      <c r="O592" s="179"/>
      <c r="P592" s="180"/>
      <c r="Q592" s="180">
        <v>15750000</v>
      </c>
      <c r="R592" s="181">
        <f t="shared" si="163"/>
        <v>9.7238965931818946</v>
      </c>
      <c r="S592" s="181">
        <v>100</v>
      </c>
      <c r="T592" s="180">
        <f t="shared" si="127"/>
        <v>47.619047619047613</v>
      </c>
      <c r="U592" s="180">
        <f t="shared" si="132"/>
        <v>4.6304269491342351</v>
      </c>
      <c r="V592" s="182">
        <v>100</v>
      </c>
      <c r="W592" s="180"/>
      <c r="X592" s="180"/>
      <c r="Y592" s="180"/>
      <c r="Z592" s="180"/>
      <c r="AA592" s="180"/>
      <c r="AB592" s="180"/>
      <c r="AC592" s="180"/>
      <c r="AD592" s="180"/>
      <c r="AE592" s="180"/>
      <c r="AF592" s="180"/>
      <c r="AG592" s="180"/>
      <c r="AH592" s="180"/>
      <c r="AI592" s="180">
        <v>7500000</v>
      </c>
      <c r="AJ592" s="181">
        <f t="shared" si="153"/>
        <v>47.619047619047613</v>
      </c>
      <c r="AK592" s="180">
        <f t="shared" si="161"/>
        <v>8250000</v>
      </c>
      <c r="AL592" s="181">
        <f t="shared" si="156"/>
        <v>52.380952380952387</v>
      </c>
      <c r="AM592" s="243"/>
    </row>
    <row r="593" spans="1:39" ht="24.75" customHeight="1" x14ac:dyDescent="0.25">
      <c r="A593" s="243"/>
      <c r="B593" s="410"/>
      <c r="C593" s="410"/>
      <c r="D593" s="410"/>
      <c r="E593" s="410"/>
      <c r="F593" s="410"/>
      <c r="G593" s="410"/>
      <c r="H593" s="410"/>
      <c r="I593" s="411"/>
      <c r="J593" s="410" t="s">
        <v>407</v>
      </c>
      <c r="K593" s="245"/>
      <c r="L593" s="257"/>
      <c r="M593" s="591" t="s">
        <v>414</v>
      </c>
      <c r="N593" s="592"/>
      <c r="O593" s="179"/>
      <c r="P593" s="180"/>
      <c r="Q593" s="180">
        <v>5400000</v>
      </c>
      <c r="R593" s="181">
        <f t="shared" si="163"/>
        <v>3.3339074033766494</v>
      </c>
      <c r="S593" s="181">
        <v>100</v>
      </c>
      <c r="T593" s="180">
        <f t="shared" si="127"/>
        <v>3.7037037037037033</v>
      </c>
      <c r="U593" s="180">
        <f t="shared" si="132"/>
        <v>0.12347805197691292</v>
      </c>
      <c r="V593" s="182">
        <v>100</v>
      </c>
      <c r="W593" s="180"/>
      <c r="X593" s="180"/>
      <c r="Y593" s="180"/>
      <c r="Z593" s="180"/>
      <c r="AA593" s="180"/>
      <c r="AB593" s="180"/>
      <c r="AC593" s="180"/>
      <c r="AD593" s="180"/>
      <c r="AE593" s="180"/>
      <c r="AF593" s="180"/>
      <c r="AG593" s="180"/>
      <c r="AH593" s="180"/>
      <c r="AI593" s="180">
        <v>200000</v>
      </c>
      <c r="AJ593" s="181">
        <f t="shared" si="153"/>
        <v>3.7037037037037033</v>
      </c>
      <c r="AK593" s="180">
        <f t="shared" si="161"/>
        <v>5200000</v>
      </c>
      <c r="AL593" s="181">
        <f t="shared" si="156"/>
        <v>96.296296296296291</v>
      </c>
      <c r="AM593" s="243"/>
    </row>
    <row r="594" spans="1:39" s="297" customFormat="1" ht="24.75" customHeight="1" x14ac:dyDescent="0.25">
      <c r="A594" s="227">
        <f>SUM(A585+1)</f>
        <v>72</v>
      </c>
      <c r="B594" s="415"/>
      <c r="C594" s="415"/>
      <c r="D594" s="415"/>
      <c r="E594" s="415"/>
      <c r="F594" s="415"/>
      <c r="G594" s="415"/>
      <c r="H594" s="415"/>
      <c r="I594" s="414"/>
      <c r="J594" s="304" t="s">
        <v>525</v>
      </c>
      <c r="K594" s="230"/>
      <c r="L594" s="294"/>
      <c r="M594" s="610" t="s">
        <v>205</v>
      </c>
      <c r="N594" s="612"/>
      <c r="O594" s="309"/>
      <c r="P594" s="231"/>
      <c r="Q594" s="231">
        <f>SUM(Q595:Q607)</f>
        <v>420363277</v>
      </c>
      <c r="R594" s="233">
        <f>Q594/Q$248*100</f>
        <v>3.5242182166114522</v>
      </c>
      <c r="S594" s="233">
        <v>100</v>
      </c>
      <c r="T594" s="231">
        <f t="shared" si="127"/>
        <v>22.476273539945783</v>
      </c>
      <c r="U594" s="231">
        <f t="shared" si="132"/>
        <v>0.79211292651018894</v>
      </c>
      <c r="V594" s="296">
        <f t="shared" si="152"/>
        <v>77.52372646005422</v>
      </c>
      <c r="W594" s="231"/>
      <c r="X594" s="231"/>
      <c r="Y594" s="231"/>
      <c r="Z594" s="231"/>
      <c r="AA594" s="231"/>
      <c r="AB594" s="231"/>
      <c r="AC594" s="231"/>
      <c r="AD594" s="231"/>
      <c r="AE594" s="231"/>
      <c r="AF594" s="231"/>
      <c r="AG594" s="231"/>
      <c r="AH594" s="231"/>
      <c r="AI594" s="231">
        <f>SUM(AI595:AI607)</f>
        <v>94482000</v>
      </c>
      <c r="AJ594" s="233">
        <f t="shared" si="153"/>
        <v>22.476273539945783</v>
      </c>
      <c r="AK594" s="231">
        <f t="shared" si="161"/>
        <v>325881277</v>
      </c>
      <c r="AL594" s="233">
        <f t="shared" si="156"/>
        <v>77.52372646005422</v>
      </c>
      <c r="AM594" s="227"/>
    </row>
    <row r="595" spans="1:39" ht="24.75" customHeight="1" x14ac:dyDescent="0.25">
      <c r="A595" s="243"/>
      <c r="B595" s="410"/>
      <c r="C595" s="410"/>
      <c r="D595" s="410"/>
      <c r="E595" s="410"/>
      <c r="F595" s="410"/>
      <c r="G595" s="410"/>
      <c r="H595" s="410"/>
      <c r="I595" s="411"/>
      <c r="J595" s="410" t="s">
        <v>259</v>
      </c>
      <c r="K595" s="245"/>
      <c r="L595" s="257"/>
      <c r="M595" s="591" t="s">
        <v>260</v>
      </c>
      <c r="N595" s="592"/>
      <c r="O595" s="179"/>
      <c r="P595" s="180"/>
      <c r="Q595" s="180">
        <v>2400000</v>
      </c>
      <c r="R595" s="181">
        <f t="shared" ref="R595:R607" si="164">Q595/Q$594*100</f>
        <v>0.57093474414036416</v>
      </c>
      <c r="S595" s="181">
        <v>100</v>
      </c>
      <c r="T595" s="180">
        <f t="shared" si="127"/>
        <v>66.666666666666657</v>
      </c>
      <c r="U595" s="180">
        <f t="shared" si="132"/>
        <v>0.38062316276024272</v>
      </c>
      <c r="V595" s="182">
        <f t="shared" si="152"/>
        <v>33.333333333333343</v>
      </c>
      <c r="W595" s="180"/>
      <c r="X595" s="180"/>
      <c r="Y595" s="180"/>
      <c r="Z595" s="180"/>
      <c r="AA595" s="180"/>
      <c r="AB595" s="180"/>
      <c r="AC595" s="180"/>
      <c r="AD595" s="180"/>
      <c r="AE595" s="180"/>
      <c r="AF595" s="180"/>
      <c r="AG595" s="180"/>
      <c r="AH595" s="180"/>
      <c r="AI595" s="180">
        <v>1600000</v>
      </c>
      <c r="AJ595" s="181">
        <f t="shared" si="153"/>
        <v>66.666666666666657</v>
      </c>
      <c r="AK595" s="180">
        <f t="shared" si="161"/>
        <v>800000</v>
      </c>
      <c r="AL595" s="181">
        <f t="shared" si="156"/>
        <v>33.333333333333329</v>
      </c>
      <c r="AM595" s="243"/>
    </row>
    <row r="596" spans="1:39" ht="24.75" customHeight="1" x14ac:dyDescent="0.25">
      <c r="A596" s="243"/>
      <c r="B596" s="410"/>
      <c r="C596" s="410"/>
      <c r="D596" s="410"/>
      <c r="E596" s="410"/>
      <c r="F596" s="410"/>
      <c r="G596" s="410"/>
      <c r="H596" s="410"/>
      <c r="I596" s="411"/>
      <c r="J596" s="410" t="s">
        <v>273</v>
      </c>
      <c r="K596" s="245"/>
      <c r="L596" s="257"/>
      <c r="M596" s="591" t="s">
        <v>322</v>
      </c>
      <c r="N596" s="592"/>
      <c r="O596" s="179"/>
      <c r="P596" s="180"/>
      <c r="Q596" s="180">
        <v>22500000</v>
      </c>
      <c r="R596" s="181">
        <f t="shared" si="164"/>
        <v>5.3525132263159136</v>
      </c>
      <c r="S596" s="181">
        <v>100</v>
      </c>
      <c r="T596" s="180">
        <f t="shared" si="127"/>
        <v>42.666666666666671</v>
      </c>
      <c r="U596" s="180">
        <f t="shared" si="132"/>
        <v>2.2837389765614571</v>
      </c>
      <c r="V596" s="182">
        <f t="shared" si="152"/>
        <v>57.333333333333329</v>
      </c>
      <c r="W596" s="180"/>
      <c r="X596" s="180"/>
      <c r="Y596" s="180"/>
      <c r="Z596" s="180"/>
      <c r="AA596" s="180"/>
      <c r="AB596" s="180"/>
      <c r="AC596" s="180"/>
      <c r="AD596" s="180"/>
      <c r="AE596" s="180"/>
      <c r="AF596" s="180"/>
      <c r="AG596" s="180"/>
      <c r="AH596" s="180"/>
      <c r="AI596" s="180">
        <v>9600000</v>
      </c>
      <c r="AJ596" s="181">
        <f t="shared" si="153"/>
        <v>42.666666666666671</v>
      </c>
      <c r="AK596" s="180">
        <f t="shared" si="161"/>
        <v>12900000</v>
      </c>
      <c r="AL596" s="181">
        <f t="shared" si="156"/>
        <v>57.333333333333336</v>
      </c>
      <c r="AM596" s="243"/>
    </row>
    <row r="597" spans="1:39" ht="24.75" customHeight="1" x14ac:dyDescent="0.25">
      <c r="A597" s="243"/>
      <c r="B597" s="410"/>
      <c r="C597" s="410"/>
      <c r="D597" s="410"/>
      <c r="E597" s="410"/>
      <c r="F597" s="410"/>
      <c r="G597" s="410"/>
      <c r="H597" s="410"/>
      <c r="I597" s="411"/>
      <c r="J597" s="410" t="s">
        <v>326</v>
      </c>
      <c r="K597" s="245"/>
      <c r="L597" s="257"/>
      <c r="M597" s="591" t="s">
        <v>327</v>
      </c>
      <c r="N597" s="592"/>
      <c r="O597" s="179"/>
      <c r="P597" s="180"/>
      <c r="Q597" s="180">
        <v>50250000</v>
      </c>
      <c r="R597" s="181">
        <f t="shared" si="164"/>
        <v>11.953946205438873</v>
      </c>
      <c r="S597" s="181">
        <v>100</v>
      </c>
      <c r="T597" s="180">
        <f t="shared" si="127"/>
        <v>0</v>
      </c>
      <c r="U597" s="180">
        <f t="shared" si="132"/>
        <v>0</v>
      </c>
      <c r="V597" s="182">
        <f t="shared" si="152"/>
        <v>100</v>
      </c>
      <c r="W597" s="180"/>
      <c r="X597" s="180"/>
      <c r="Y597" s="180"/>
      <c r="Z597" s="180"/>
      <c r="AA597" s="180"/>
      <c r="AB597" s="180"/>
      <c r="AC597" s="180"/>
      <c r="AD597" s="180"/>
      <c r="AE597" s="180"/>
      <c r="AF597" s="180"/>
      <c r="AG597" s="180"/>
      <c r="AH597" s="180"/>
      <c r="AI597" s="180">
        <v>0</v>
      </c>
      <c r="AJ597" s="181">
        <f t="shared" si="153"/>
        <v>0</v>
      </c>
      <c r="AK597" s="180">
        <f t="shared" si="161"/>
        <v>50250000</v>
      </c>
      <c r="AL597" s="181">
        <f t="shared" si="156"/>
        <v>100</v>
      </c>
      <c r="AM597" s="243"/>
    </row>
    <row r="598" spans="1:39" ht="24.75" customHeight="1" x14ac:dyDescent="0.25">
      <c r="A598" s="243"/>
      <c r="B598" s="410"/>
      <c r="C598" s="410"/>
      <c r="D598" s="410"/>
      <c r="E598" s="410"/>
      <c r="F598" s="410"/>
      <c r="G598" s="410"/>
      <c r="H598" s="410"/>
      <c r="I598" s="411"/>
      <c r="J598" s="410" t="s">
        <v>323</v>
      </c>
      <c r="K598" s="245"/>
      <c r="L598" s="257"/>
      <c r="M598" s="591" t="s">
        <v>324</v>
      </c>
      <c r="N598" s="592"/>
      <c r="O598" s="179"/>
      <c r="P598" s="180"/>
      <c r="Q598" s="180">
        <v>18165000</v>
      </c>
      <c r="R598" s="181">
        <f t="shared" si="164"/>
        <v>4.3212623447123812</v>
      </c>
      <c r="S598" s="181">
        <v>100</v>
      </c>
      <c r="T598" s="180">
        <f t="shared" si="127"/>
        <v>36.729975227085056</v>
      </c>
      <c r="U598" s="180">
        <f t="shared" si="132"/>
        <v>1.5871985887102125</v>
      </c>
      <c r="V598" s="182">
        <f t="shared" si="152"/>
        <v>63.270024772914944</v>
      </c>
      <c r="W598" s="180"/>
      <c r="X598" s="180"/>
      <c r="Y598" s="180"/>
      <c r="Z598" s="180"/>
      <c r="AA598" s="180"/>
      <c r="AB598" s="180"/>
      <c r="AC598" s="180"/>
      <c r="AD598" s="180"/>
      <c r="AE598" s="180"/>
      <c r="AF598" s="180"/>
      <c r="AG598" s="180"/>
      <c r="AH598" s="180"/>
      <c r="AI598" s="180">
        <v>6672000</v>
      </c>
      <c r="AJ598" s="181">
        <f t="shared" si="153"/>
        <v>36.729975227085056</v>
      </c>
      <c r="AK598" s="180">
        <f t="shared" si="161"/>
        <v>11493000</v>
      </c>
      <c r="AL598" s="181">
        <f t="shared" si="156"/>
        <v>63.270024772914944</v>
      </c>
      <c r="AM598" s="243"/>
    </row>
    <row r="599" spans="1:39" ht="24.75" customHeight="1" x14ac:dyDescent="0.25">
      <c r="A599" s="243"/>
      <c r="B599" s="410"/>
      <c r="C599" s="410"/>
      <c r="D599" s="410"/>
      <c r="E599" s="410"/>
      <c r="F599" s="410"/>
      <c r="G599" s="410"/>
      <c r="H599" s="410"/>
      <c r="I599" s="411"/>
      <c r="J599" s="410" t="s">
        <v>269</v>
      </c>
      <c r="K599" s="245"/>
      <c r="L599" s="257"/>
      <c r="M599" s="591" t="s">
        <v>270</v>
      </c>
      <c r="N599" s="592"/>
      <c r="O599" s="179"/>
      <c r="P599" s="180"/>
      <c r="Q599" s="180">
        <v>7500000</v>
      </c>
      <c r="R599" s="181">
        <f t="shared" si="164"/>
        <v>1.7841710754386377</v>
      </c>
      <c r="S599" s="181">
        <v>100</v>
      </c>
      <c r="T599" s="180">
        <f t="shared" si="127"/>
        <v>0</v>
      </c>
      <c r="U599" s="180">
        <f t="shared" si="132"/>
        <v>0</v>
      </c>
      <c r="V599" s="182">
        <f t="shared" si="152"/>
        <v>100</v>
      </c>
      <c r="W599" s="180"/>
      <c r="X599" s="180"/>
      <c r="Y599" s="180"/>
      <c r="Z599" s="180"/>
      <c r="AA599" s="180"/>
      <c r="AB599" s="180"/>
      <c r="AC599" s="180"/>
      <c r="AD599" s="180"/>
      <c r="AE599" s="180"/>
      <c r="AF599" s="180"/>
      <c r="AG599" s="180"/>
      <c r="AH599" s="180"/>
      <c r="AI599" s="180">
        <v>0</v>
      </c>
      <c r="AJ599" s="181">
        <f t="shared" si="153"/>
        <v>0</v>
      </c>
      <c r="AK599" s="180">
        <f t="shared" si="161"/>
        <v>7500000</v>
      </c>
      <c r="AL599" s="181">
        <f t="shared" si="156"/>
        <v>100</v>
      </c>
      <c r="AM599" s="243"/>
    </row>
    <row r="600" spans="1:39" ht="24.75" customHeight="1" x14ac:dyDescent="0.25">
      <c r="A600" s="243"/>
      <c r="B600" s="410"/>
      <c r="C600" s="410"/>
      <c r="D600" s="410"/>
      <c r="E600" s="410"/>
      <c r="F600" s="410"/>
      <c r="G600" s="410"/>
      <c r="H600" s="410"/>
      <c r="I600" s="411"/>
      <c r="J600" s="410" t="s">
        <v>315</v>
      </c>
      <c r="K600" s="245"/>
      <c r="L600" s="257"/>
      <c r="M600" s="591" t="s">
        <v>271</v>
      </c>
      <c r="N600" s="592"/>
      <c r="O600" s="179"/>
      <c r="P600" s="180"/>
      <c r="Q600" s="180">
        <v>9928277</v>
      </c>
      <c r="R600" s="181">
        <f t="shared" si="164"/>
        <v>2.361832620312359</v>
      </c>
      <c r="S600" s="181">
        <v>100</v>
      </c>
      <c r="T600" s="180">
        <f t="shared" si="127"/>
        <v>20.144482270186458</v>
      </c>
      <c r="U600" s="180">
        <f t="shared" si="132"/>
        <v>0.47577895345030341</v>
      </c>
      <c r="V600" s="182">
        <f t="shared" si="152"/>
        <v>79.855517729813542</v>
      </c>
      <c r="W600" s="180"/>
      <c r="X600" s="180"/>
      <c r="Y600" s="180"/>
      <c r="Z600" s="180"/>
      <c r="AA600" s="180"/>
      <c r="AB600" s="180"/>
      <c r="AC600" s="180"/>
      <c r="AD600" s="180"/>
      <c r="AE600" s="180"/>
      <c r="AF600" s="180"/>
      <c r="AG600" s="180"/>
      <c r="AH600" s="180"/>
      <c r="AI600" s="180">
        <v>2000000</v>
      </c>
      <c r="AJ600" s="181">
        <f t="shared" si="153"/>
        <v>20.144482270186458</v>
      </c>
      <c r="AK600" s="180">
        <f t="shared" si="161"/>
        <v>7928277</v>
      </c>
      <c r="AL600" s="181">
        <f t="shared" si="156"/>
        <v>79.855517729813542</v>
      </c>
      <c r="AM600" s="243"/>
    </row>
    <row r="601" spans="1:39" ht="24.75" customHeight="1" x14ac:dyDescent="0.25">
      <c r="A601" s="243"/>
      <c r="B601" s="410"/>
      <c r="C601" s="410"/>
      <c r="D601" s="410"/>
      <c r="E601" s="410"/>
      <c r="F601" s="410"/>
      <c r="G601" s="410"/>
      <c r="H601" s="410"/>
      <c r="I601" s="411"/>
      <c r="J601" s="410" t="s">
        <v>328</v>
      </c>
      <c r="K601" s="245"/>
      <c r="L601" s="257"/>
      <c r="M601" s="591" t="s">
        <v>329</v>
      </c>
      <c r="N601" s="592"/>
      <c r="O601" s="179"/>
      <c r="P601" s="180"/>
      <c r="Q601" s="180">
        <v>149600000</v>
      </c>
      <c r="R601" s="181">
        <f t="shared" si="164"/>
        <v>35.588265718082695</v>
      </c>
      <c r="S601" s="181">
        <v>100</v>
      </c>
      <c r="T601" s="180">
        <f t="shared" si="127"/>
        <v>28.877005347593581</v>
      </c>
      <c r="U601" s="180">
        <f t="shared" si="132"/>
        <v>10.276825394526554</v>
      </c>
      <c r="V601" s="182">
        <f t="shared" si="152"/>
        <v>71.122994652406419</v>
      </c>
      <c r="W601" s="180"/>
      <c r="X601" s="180"/>
      <c r="Y601" s="180"/>
      <c r="Z601" s="180"/>
      <c r="AA601" s="180"/>
      <c r="AB601" s="180"/>
      <c r="AC601" s="180"/>
      <c r="AD601" s="180"/>
      <c r="AE601" s="180"/>
      <c r="AF601" s="180"/>
      <c r="AG601" s="180"/>
      <c r="AH601" s="180"/>
      <c r="AI601" s="180">
        <v>43200000</v>
      </c>
      <c r="AJ601" s="181">
        <f t="shared" si="153"/>
        <v>28.877005347593581</v>
      </c>
      <c r="AK601" s="180">
        <f t="shared" si="161"/>
        <v>106400000</v>
      </c>
      <c r="AL601" s="181">
        <f t="shared" si="156"/>
        <v>71.122994652406419</v>
      </c>
      <c r="AM601" s="243"/>
    </row>
    <row r="602" spans="1:39" ht="24.75" customHeight="1" x14ac:dyDescent="0.25">
      <c r="A602" s="243"/>
      <c r="B602" s="410"/>
      <c r="C602" s="410"/>
      <c r="D602" s="410"/>
      <c r="E602" s="410"/>
      <c r="F602" s="410"/>
      <c r="G602" s="410"/>
      <c r="H602" s="410"/>
      <c r="I602" s="411"/>
      <c r="J602" s="410" t="s">
        <v>280</v>
      </c>
      <c r="K602" s="245"/>
      <c r="L602" s="257"/>
      <c r="M602" s="591" t="s">
        <v>281</v>
      </c>
      <c r="N602" s="592"/>
      <c r="O602" s="179"/>
      <c r="P602" s="180"/>
      <c r="Q602" s="180">
        <v>22500000</v>
      </c>
      <c r="R602" s="181">
        <f t="shared" si="164"/>
        <v>5.3525132263159136</v>
      </c>
      <c r="S602" s="181">
        <v>100</v>
      </c>
      <c r="T602" s="180">
        <f t="shared" si="127"/>
        <v>49.555555555555557</v>
      </c>
      <c r="U602" s="180">
        <f t="shared" si="132"/>
        <v>2.652467665485442</v>
      </c>
      <c r="V602" s="182">
        <f t="shared" si="152"/>
        <v>50.444444444444443</v>
      </c>
      <c r="W602" s="180"/>
      <c r="X602" s="180"/>
      <c r="Y602" s="180"/>
      <c r="Z602" s="180"/>
      <c r="AA602" s="180"/>
      <c r="AB602" s="180"/>
      <c r="AC602" s="180"/>
      <c r="AD602" s="180"/>
      <c r="AE602" s="180"/>
      <c r="AF602" s="180"/>
      <c r="AG602" s="180"/>
      <c r="AH602" s="180"/>
      <c r="AI602" s="180">
        <v>11150000</v>
      </c>
      <c r="AJ602" s="181">
        <f t="shared" si="153"/>
        <v>49.555555555555557</v>
      </c>
      <c r="AK602" s="180">
        <f t="shared" si="161"/>
        <v>11350000</v>
      </c>
      <c r="AL602" s="181">
        <f t="shared" si="156"/>
        <v>50.44444444444445</v>
      </c>
      <c r="AM602" s="243"/>
    </row>
    <row r="603" spans="1:39" ht="24.75" customHeight="1" x14ac:dyDescent="0.25">
      <c r="A603" s="243"/>
      <c r="B603" s="410"/>
      <c r="C603" s="410"/>
      <c r="D603" s="410"/>
      <c r="E603" s="410"/>
      <c r="F603" s="410"/>
      <c r="G603" s="410"/>
      <c r="H603" s="410"/>
      <c r="I603" s="411"/>
      <c r="J603" s="410" t="s">
        <v>284</v>
      </c>
      <c r="K603" s="245"/>
      <c r="L603" s="257"/>
      <c r="M603" s="591" t="s">
        <v>285</v>
      </c>
      <c r="N603" s="592"/>
      <c r="O603" s="179"/>
      <c r="P603" s="180"/>
      <c r="Q603" s="180">
        <v>22520000</v>
      </c>
      <c r="R603" s="181">
        <f t="shared" si="164"/>
        <v>5.357271015850416</v>
      </c>
      <c r="S603" s="181">
        <v>100</v>
      </c>
      <c r="T603" s="180">
        <f t="shared" si="127"/>
        <v>23.357015985790408</v>
      </c>
      <c r="U603" s="180">
        <f t="shared" si="132"/>
        <v>1.2512986475742978</v>
      </c>
      <c r="V603" s="182">
        <f t="shared" si="152"/>
        <v>76.642984014209588</v>
      </c>
      <c r="W603" s="180"/>
      <c r="X603" s="180"/>
      <c r="Y603" s="180"/>
      <c r="Z603" s="180"/>
      <c r="AA603" s="180"/>
      <c r="AB603" s="180"/>
      <c r="AC603" s="180"/>
      <c r="AD603" s="180"/>
      <c r="AE603" s="180"/>
      <c r="AF603" s="180"/>
      <c r="AG603" s="180"/>
      <c r="AH603" s="180"/>
      <c r="AI603" s="180">
        <v>5260000</v>
      </c>
      <c r="AJ603" s="181">
        <f t="shared" si="153"/>
        <v>23.357015985790408</v>
      </c>
      <c r="AK603" s="180">
        <f t="shared" si="161"/>
        <v>17260000</v>
      </c>
      <c r="AL603" s="181">
        <f t="shared" si="156"/>
        <v>76.642984014209588</v>
      </c>
      <c r="AM603" s="243"/>
    </row>
    <row r="604" spans="1:39" ht="24.75" customHeight="1" x14ac:dyDescent="0.25">
      <c r="A604" s="243"/>
      <c r="B604" s="410"/>
      <c r="C604" s="410"/>
      <c r="D604" s="410"/>
      <c r="E604" s="410"/>
      <c r="F604" s="410"/>
      <c r="G604" s="410"/>
      <c r="H604" s="410"/>
      <c r="I604" s="411"/>
      <c r="J604" s="410" t="s">
        <v>282</v>
      </c>
      <c r="K604" s="245"/>
      <c r="L604" s="257"/>
      <c r="M604" s="591" t="s">
        <v>283</v>
      </c>
      <c r="N604" s="592"/>
      <c r="O604" s="179"/>
      <c r="P604" s="180"/>
      <c r="Q604" s="180">
        <v>19800000</v>
      </c>
      <c r="R604" s="181">
        <f t="shared" si="164"/>
        <v>4.710211639158004</v>
      </c>
      <c r="S604" s="181">
        <v>100</v>
      </c>
      <c r="T604" s="180">
        <f t="shared" si="127"/>
        <v>0</v>
      </c>
      <c r="U604" s="180">
        <f t="shared" si="132"/>
        <v>0</v>
      </c>
      <c r="V604" s="182">
        <f t="shared" si="152"/>
        <v>100</v>
      </c>
      <c r="W604" s="180"/>
      <c r="X604" s="180"/>
      <c r="Y604" s="180"/>
      <c r="Z604" s="180"/>
      <c r="AA604" s="180"/>
      <c r="AB604" s="180"/>
      <c r="AC604" s="180"/>
      <c r="AD604" s="180"/>
      <c r="AE604" s="180"/>
      <c r="AF604" s="180"/>
      <c r="AG604" s="180"/>
      <c r="AH604" s="180"/>
      <c r="AI604" s="180">
        <v>0</v>
      </c>
      <c r="AJ604" s="181">
        <f t="shared" si="153"/>
        <v>0</v>
      </c>
      <c r="AK604" s="180">
        <f t="shared" si="161"/>
        <v>19800000</v>
      </c>
      <c r="AL604" s="181">
        <f t="shared" si="156"/>
        <v>100</v>
      </c>
      <c r="AM604" s="243"/>
    </row>
    <row r="605" spans="1:39" ht="24.75" customHeight="1" x14ac:dyDescent="0.25">
      <c r="A605" s="243"/>
      <c r="B605" s="410"/>
      <c r="C605" s="410"/>
      <c r="D605" s="410"/>
      <c r="E605" s="410"/>
      <c r="F605" s="410"/>
      <c r="G605" s="410"/>
      <c r="H605" s="410"/>
      <c r="I605" s="411"/>
      <c r="J605" s="410" t="s">
        <v>320</v>
      </c>
      <c r="K605" s="245"/>
      <c r="L605" s="257"/>
      <c r="M605" s="591" t="s">
        <v>321</v>
      </c>
      <c r="N605" s="592"/>
      <c r="O605" s="179"/>
      <c r="P605" s="180"/>
      <c r="Q605" s="180">
        <v>10800000</v>
      </c>
      <c r="R605" s="181">
        <f t="shared" si="164"/>
        <v>2.5692063486316385</v>
      </c>
      <c r="S605" s="181">
        <v>100</v>
      </c>
      <c r="T605" s="180">
        <f t="shared" si="127"/>
        <v>100</v>
      </c>
      <c r="U605" s="180">
        <f t="shared" si="132"/>
        <v>2.5692063486316385</v>
      </c>
      <c r="V605" s="182">
        <f t="shared" si="152"/>
        <v>0</v>
      </c>
      <c r="W605" s="180"/>
      <c r="X605" s="180"/>
      <c r="Y605" s="180"/>
      <c r="Z605" s="180"/>
      <c r="AA605" s="180"/>
      <c r="AB605" s="180"/>
      <c r="AC605" s="180"/>
      <c r="AD605" s="180"/>
      <c r="AE605" s="180"/>
      <c r="AF605" s="180"/>
      <c r="AG605" s="180"/>
      <c r="AH605" s="180"/>
      <c r="AI605" s="180">
        <v>10800000</v>
      </c>
      <c r="AJ605" s="181">
        <f t="shared" si="153"/>
        <v>100</v>
      </c>
      <c r="AK605" s="180">
        <f t="shared" si="161"/>
        <v>0</v>
      </c>
      <c r="AL605" s="181">
        <f t="shared" si="156"/>
        <v>0</v>
      </c>
      <c r="AM605" s="243"/>
    </row>
    <row r="606" spans="1:39" ht="24.75" customHeight="1" x14ac:dyDescent="0.25">
      <c r="A606" s="243"/>
      <c r="B606" s="410"/>
      <c r="C606" s="410"/>
      <c r="D606" s="410"/>
      <c r="E606" s="410"/>
      <c r="F606" s="410"/>
      <c r="G606" s="410"/>
      <c r="H606" s="410"/>
      <c r="I606" s="411"/>
      <c r="J606" s="410" t="s">
        <v>309</v>
      </c>
      <c r="K606" s="245"/>
      <c r="L606" s="257"/>
      <c r="M606" s="591" t="s">
        <v>310</v>
      </c>
      <c r="N606" s="592"/>
      <c r="O606" s="179"/>
      <c r="P606" s="180"/>
      <c r="Q606" s="180">
        <v>75000000</v>
      </c>
      <c r="R606" s="181">
        <f t="shared" si="164"/>
        <v>17.841710754386376</v>
      </c>
      <c r="S606" s="181">
        <v>100</v>
      </c>
      <c r="T606" s="180">
        <f t="shared" si="127"/>
        <v>0</v>
      </c>
      <c r="U606" s="180">
        <f t="shared" si="132"/>
        <v>0</v>
      </c>
      <c r="V606" s="182">
        <f t="shared" si="152"/>
        <v>100</v>
      </c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  <c r="AG606" s="180"/>
      <c r="AH606" s="180"/>
      <c r="AI606" s="180">
        <v>0</v>
      </c>
      <c r="AJ606" s="181">
        <f t="shared" ref="AJ606:AJ684" si="165">AI606/Q606*100</f>
        <v>0</v>
      </c>
      <c r="AK606" s="180">
        <f t="shared" si="161"/>
        <v>75000000</v>
      </c>
      <c r="AL606" s="181">
        <f t="shared" si="156"/>
        <v>100</v>
      </c>
      <c r="AM606" s="243"/>
    </row>
    <row r="607" spans="1:39" ht="24.75" customHeight="1" x14ac:dyDescent="0.25">
      <c r="A607" s="243"/>
      <c r="B607" s="410"/>
      <c r="C607" s="410"/>
      <c r="D607" s="410"/>
      <c r="E607" s="410"/>
      <c r="F607" s="410"/>
      <c r="G607" s="410"/>
      <c r="H607" s="410"/>
      <c r="I607" s="411"/>
      <c r="J607" s="410" t="s">
        <v>407</v>
      </c>
      <c r="K607" s="245"/>
      <c r="L607" s="257"/>
      <c r="M607" s="591" t="s">
        <v>607</v>
      </c>
      <c r="N607" s="592"/>
      <c r="O607" s="179"/>
      <c r="P607" s="180"/>
      <c r="Q607" s="180">
        <v>9400000</v>
      </c>
      <c r="R607" s="181">
        <f t="shared" si="164"/>
        <v>2.2361610812164261</v>
      </c>
      <c r="S607" s="181">
        <v>100</v>
      </c>
      <c r="T607" s="180">
        <f t="shared" si="127"/>
        <v>44.680851063829785</v>
      </c>
      <c r="U607" s="180">
        <f t="shared" si="132"/>
        <v>0.99913580224563714</v>
      </c>
      <c r="V607" s="182">
        <f t="shared" si="152"/>
        <v>55.319148936170215</v>
      </c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  <c r="AG607" s="180"/>
      <c r="AH607" s="180"/>
      <c r="AI607" s="180">
        <v>4200000</v>
      </c>
      <c r="AJ607" s="181">
        <f t="shared" si="165"/>
        <v>44.680851063829785</v>
      </c>
      <c r="AK607" s="180">
        <f t="shared" si="161"/>
        <v>5200000</v>
      </c>
      <c r="AL607" s="181">
        <f t="shared" si="156"/>
        <v>55.319148936170215</v>
      </c>
      <c r="AM607" s="243"/>
    </row>
    <row r="608" spans="1:39" s="297" customFormat="1" ht="31.5" customHeight="1" x14ac:dyDescent="0.25">
      <c r="A608" s="227">
        <f>SUM(A594+1)</f>
        <v>73</v>
      </c>
      <c r="B608" s="415"/>
      <c r="C608" s="415"/>
      <c r="D608" s="415"/>
      <c r="E608" s="415"/>
      <c r="F608" s="415"/>
      <c r="G608" s="415"/>
      <c r="H608" s="415"/>
      <c r="I608" s="414"/>
      <c r="J608" s="304" t="s">
        <v>526</v>
      </c>
      <c r="K608" s="230"/>
      <c r="L608" s="294"/>
      <c r="M608" s="610" t="s">
        <v>206</v>
      </c>
      <c r="N608" s="612"/>
      <c r="O608" s="309"/>
      <c r="P608" s="231"/>
      <c r="Q608" s="231">
        <f>SUM(Q609:Q617)</f>
        <v>252438140</v>
      </c>
      <c r="R608" s="233">
        <f>Q608/Q$248*100</f>
        <v>2.1163768108019392</v>
      </c>
      <c r="S608" s="233">
        <v>100</v>
      </c>
      <c r="T608" s="231">
        <f t="shared" si="127"/>
        <v>35.119495017670467</v>
      </c>
      <c r="U608" s="231">
        <f t="shared" si="132"/>
        <v>0.74326084862472019</v>
      </c>
      <c r="V608" s="296">
        <f t="shared" si="152"/>
        <v>64.880504982329541</v>
      </c>
      <c r="W608" s="231"/>
      <c r="X608" s="231"/>
      <c r="Y608" s="231"/>
      <c r="Z608" s="231"/>
      <c r="AA608" s="231"/>
      <c r="AB608" s="231"/>
      <c r="AC608" s="231"/>
      <c r="AD608" s="231"/>
      <c r="AE608" s="231"/>
      <c r="AF608" s="231"/>
      <c r="AG608" s="231"/>
      <c r="AH608" s="231"/>
      <c r="AI608" s="231">
        <f>SUM(AI609:AI617)</f>
        <v>88655000</v>
      </c>
      <c r="AJ608" s="233">
        <f t="shared" si="165"/>
        <v>35.119495017670467</v>
      </c>
      <c r="AK608" s="231">
        <f t="shared" si="161"/>
        <v>163783140</v>
      </c>
      <c r="AL608" s="233">
        <f t="shared" si="156"/>
        <v>64.880504982329541</v>
      </c>
      <c r="AM608" s="227"/>
    </row>
    <row r="609" spans="1:39" ht="31.5" customHeight="1" x14ac:dyDescent="0.25">
      <c r="A609" s="243"/>
      <c r="B609" s="410"/>
      <c r="C609" s="410"/>
      <c r="D609" s="410"/>
      <c r="E609" s="410"/>
      <c r="F609" s="410"/>
      <c r="G609" s="410"/>
      <c r="H609" s="410"/>
      <c r="I609" s="411"/>
      <c r="J609" s="410" t="s">
        <v>257</v>
      </c>
      <c r="K609" s="245"/>
      <c r="L609" s="257"/>
      <c r="M609" s="591" t="s">
        <v>260</v>
      </c>
      <c r="N609" s="592"/>
      <c r="O609" s="179"/>
      <c r="P609" s="180"/>
      <c r="Q609" s="180">
        <v>2300000</v>
      </c>
      <c r="R609" s="181">
        <f>Q609/Q$608*100</f>
        <v>0.91111430309223485</v>
      </c>
      <c r="S609" s="181">
        <v>100</v>
      </c>
      <c r="T609" s="180">
        <f t="shared" si="127"/>
        <v>34.782608695652172</v>
      </c>
      <c r="U609" s="180">
        <f t="shared" si="132"/>
        <v>0.31690932281469036</v>
      </c>
      <c r="V609" s="182">
        <f t="shared" si="152"/>
        <v>65.217391304347828</v>
      </c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  <c r="AG609" s="180"/>
      <c r="AH609" s="180"/>
      <c r="AI609" s="180">
        <v>800000</v>
      </c>
      <c r="AJ609" s="181">
        <f t="shared" si="165"/>
        <v>34.782608695652172</v>
      </c>
      <c r="AK609" s="180">
        <f t="shared" si="161"/>
        <v>1500000</v>
      </c>
      <c r="AL609" s="181">
        <f t="shared" si="156"/>
        <v>65.217391304347828</v>
      </c>
      <c r="AM609" s="243"/>
    </row>
    <row r="610" spans="1:39" ht="31.5" customHeight="1" x14ac:dyDescent="0.25">
      <c r="A610" s="243"/>
      <c r="B610" s="410"/>
      <c r="C610" s="410"/>
      <c r="D610" s="410"/>
      <c r="E610" s="410"/>
      <c r="F610" s="410"/>
      <c r="G610" s="410"/>
      <c r="H610" s="410"/>
      <c r="I610" s="411"/>
      <c r="J610" s="410" t="s">
        <v>273</v>
      </c>
      <c r="K610" s="245"/>
      <c r="L610" s="257"/>
      <c r="M610" s="591" t="s">
        <v>322</v>
      </c>
      <c r="N610" s="592"/>
      <c r="O610" s="179"/>
      <c r="P610" s="180"/>
      <c r="Q610" s="180">
        <v>20400000</v>
      </c>
      <c r="R610" s="181">
        <f t="shared" ref="R610:R616" si="166">Q610/Q$608*100</f>
        <v>8.0811877317746035</v>
      </c>
      <c r="S610" s="181">
        <v>100</v>
      </c>
      <c r="T610" s="180">
        <f t="shared" si="127"/>
        <v>21.078431372549019</v>
      </c>
      <c r="U610" s="180">
        <f t="shared" si="132"/>
        <v>1.7033876101289604</v>
      </c>
      <c r="V610" s="182">
        <f t="shared" si="152"/>
        <v>78.921568627450981</v>
      </c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  <c r="AG610" s="180"/>
      <c r="AH610" s="180"/>
      <c r="AI610" s="180">
        <v>4300000</v>
      </c>
      <c r="AJ610" s="181">
        <f t="shared" si="165"/>
        <v>21.078431372549019</v>
      </c>
      <c r="AK610" s="180">
        <f t="shared" si="161"/>
        <v>16100000</v>
      </c>
      <c r="AL610" s="181">
        <f t="shared" si="156"/>
        <v>78.921568627450981</v>
      </c>
      <c r="AM610" s="243"/>
    </row>
    <row r="611" spans="1:39" ht="31.5" customHeight="1" x14ac:dyDescent="0.25">
      <c r="A611" s="243"/>
      <c r="B611" s="410"/>
      <c r="C611" s="410"/>
      <c r="D611" s="410"/>
      <c r="E611" s="410"/>
      <c r="F611" s="410"/>
      <c r="G611" s="410"/>
      <c r="H611" s="410"/>
      <c r="I611" s="411"/>
      <c r="J611" s="410" t="s">
        <v>323</v>
      </c>
      <c r="K611" s="245"/>
      <c r="L611" s="257"/>
      <c r="M611" s="591" t="s">
        <v>324</v>
      </c>
      <c r="N611" s="592"/>
      <c r="O611" s="179"/>
      <c r="P611" s="180"/>
      <c r="Q611" s="180">
        <v>33513000</v>
      </c>
      <c r="R611" s="181">
        <f t="shared" si="166"/>
        <v>13.275727669360899</v>
      </c>
      <c r="S611" s="181">
        <v>100</v>
      </c>
      <c r="T611" s="180">
        <f t="shared" si="127"/>
        <v>35.792080685107273</v>
      </c>
      <c r="U611" s="180">
        <f t="shared" si="132"/>
        <v>4.7516591589527648</v>
      </c>
      <c r="V611" s="182">
        <f t="shared" si="152"/>
        <v>64.207919314892735</v>
      </c>
      <c r="W611" s="180"/>
      <c r="X611" s="180"/>
      <c r="Y611" s="180"/>
      <c r="Z611" s="180"/>
      <c r="AA611" s="180"/>
      <c r="AB611" s="180"/>
      <c r="AC611" s="180"/>
      <c r="AD611" s="180"/>
      <c r="AE611" s="180"/>
      <c r="AF611" s="180"/>
      <c r="AG611" s="180"/>
      <c r="AH611" s="180"/>
      <c r="AI611" s="180">
        <f>4204000+7791000</f>
        <v>11995000</v>
      </c>
      <c r="AJ611" s="181">
        <f t="shared" si="165"/>
        <v>35.792080685107273</v>
      </c>
      <c r="AK611" s="180">
        <f t="shared" si="161"/>
        <v>21518000</v>
      </c>
      <c r="AL611" s="181">
        <f t="shared" si="156"/>
        <v>64.20791931489272</v>
      </c>
      <c r="AM611" s="243"/>
    </row>
    <row r="612" spans="1:39" ht="31.5" customHeight="1" x14ac:dyDescent="0.25">
      <c r="A612" s="243"/>
      <c r="B612" s="410"/>
      <c r="C612" s="410"/>
      <c r="D612" s="410"/>
      <c r="E612" s="410"/>
      <c r="F612" s="410"/>
      <c r="G612" s="410"/>
      <c r="H612" s="410"/>
      <c r="I612" s="411"/>
      <c r="J612" s="410" t="s">
        <v>269</v>
      </c>
      <c r="K612" s="245"/>
      <c r="L612" s="257"/>
      <c r="M612" s="591" t="s">
        <v>270</v>
      </c>
      <c r="N612" s="592"/>
      <c r="O612" s="179"/>
      <c r="P612" s="180"/>
      <c r="Q612" s="180">
        <v>24000000</v>
      </c>
      <c r="R612" s="181">
        <f t="shared" si="166"/>
        <v>9.5072796844407108</v>
      </c>
      <c r="S612" s="181">
        <v>100</v>
      </c>
      <c r="T612" s="180">
        <f t="shared" si="127"/>
        <v>29.166666666666668</v>
      </c>
      <c r="U612" s="180">
        <f t="shared" si="132"/>
        <v>2.7729565746285409</v>
      </c>
      <c r="V612" s="182">
        <f t="shared" si="152"/>
        <v>70.833333333333329</v>
      </c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  <c r="AG612" s="180"/>
      <c r="AH612" s="180"/>
      <c r="AI612" s="180">
        <v>7000000</v>
      </c>
      <c r="AJ612" s="181">
        <f t="shared" si="165"/>
        <v>29.166666666666668</v>
      </c>
      <c r="AK612" s="180">
        <f t="shared" si="161"/>
        <v>17000000</v>
      </c>
      <c r="AL612" s="181">
        <f t="shared" si="156"/>
        <v>70.833333333333343</v>
      </c>
      <c r="AM612" s="243"/>
    </row>
    <row r="613" spans="1:39" ht="31.5" customHeight="1" x14ac:dyDescent="0.25">
      <c r="A613" s="243"/>
      <c r="B613" s="410"/>
      <c r="C613" s="410"/>
      <c r="D613" s="410"/>
      <c r="E613" s="410"/>
      <c r="F613" s="410"/>
      <c r="G613" s="410"/>
      <c r="H613" s="410"/>
      <c r="I613" s="411"/>
      <c r="J613" s="410" t="s">
        <v>315</v>
      </c>
      <c r="K613" s="245"/>
      <c r="L613" s="257"/>
      <c r="M613" s="591" t="s">
        <v>271</v>
      </c>
      <c r="N613" s="592"/>
      <c r="O613" s="179"/>
      <c r="P613" s="180"/>
      <c r="Q613" s="180">
        <v>1965000</v>
      </c>
      <c r="R613" s="181">
        <f t="shared" si="166"/>
        <v>0.77840852416358319</v>
      </c>
      <c r="S613" s="181">
        <v>100</v>
      </c>
      <c r="T613" s="180">
        <f t="shared" si="127"/>
        <v>38.167938931297712</v>
      </c>
      <c r="U613" s="180">
        <f t="shared" si="132"/>
        <v>0.29710249013877221</v>
      </c>
      <c r="V613" s="182">
        <f t="shared" si="152"/>
        <v>61.832061068702288</v>
      </c>
      <c r="W613" s="180"/>
      <c r="X613" s="180"/>
      <c r="Y613" s="180"/>
      <c r="Z613" s="180"/>
      <c r="AA613" s="180"/>
      <c r="AB613" s="180"/>
      <c r="AC613" s="180"/>
      <c r="AD613" s="180"/>
      <c r="AE613" s="180"/>
      <c r="AF613" s="180"/>
      <c r="AG613" s="180"/>
      <c r="AH613" s="180"/>
      <c r="AI613" s="180">
        <v>750000</v>
      </c>
      <c r="AJ613" s="181">
        <f t="shared" si="165"/>
        <v>38.167938931297712</v>
      </c>
      <c r="AK613" s="180">
        <f t="shared" si="161"/>
        <v>1215000</v>
      </c>
      <c r="AL613" s="181">
        <f t="shared" si="156"/>
        <v>61.832061068702295</v>
      </c>
      <c r="AM613" s="243"/>
    </row>
    <row r="614" spans="1:39" ht="31.5" customHeight="1" x14ac:dyDescent="0.25">
      <c r="A614" s="243"/>
      <c r="B614" s="410"/>
      <c r="C614" s="410"/>
      <c r="D614" s="410"/>
      <c r="E614" s="410"/>
      <c r="F614" s="410"/>
      <c r="G614" s="410"/>
      <c r="H614" s="410"/>
      <c r="I614" s="411"/>
      <c r="J614" s="410" t="s">
        <v>328</v>
      </c>
      <c r="K614" s="245"/>
      <c r="L614" s="257"/>
      <c r="M614" s="591" t="s">
        <v>329</v>
      </c>
      <c r="N614" s="592"/>
      <c r="O614" s="179"/>
      <c r="P614" s="180"/>
      <c r="Q614" s="180">
        <v>107000000</v>
      </c>
      <c r="R614" s="181">
        <f t="shared" si="166"/>
        <v>42.386621926464834</v>
      </c>
      <c r="S614" s="181">
        <v>100</v>
      </c>
      <c r="T614" s="180">
        <f t="shared" si="127"/>
        <v>40</v>
      </c>
      <c r="U614" s="180">
        <f t="shared" si="132"/>
        <v>16.954648770585933</v>
      </c>
      <c r="V614" s="182">
        <f t="shared" si="152"/>
        <v>60</v>
      </c>
      <c r="W614" s="180"/>
      <c r="X614" s="180"/>
      <c r="Y614" s="180"/>
      <c r="Z614" s="180"/>
      <c r="AA614" s="180"/>
      <c r="AB614" s="180"/>
      <c r="AC614" s="180"/>
      <c r="AD614" s="180"/>
      <c r="AE614" s="180"/>
      <c r="AF614" s="180"/>
      <c r="AG614" s="180"/>
      <c r="AH614" s="180"/>
      <c r="AI614" s="180">
        <v>42800000</v>
      </c>
      <c r="AJ614" s="181">
        <f t="shared" si="165"/>
        <v>40</v>
      </c>
      <c r="AK614" s="180">
        <f t="shared" si="161"/>
        <v>64200000</v>
      </c>
      <c r="AL614" s="181">
        <f t="shared" si="156"/>
        <v>60</v>
      </c>
      <c r="AM614" s="243"/>
    </row>
    <row r="615" spans="1:39" ht="31.5" customHeight="1" x14ac:dyDescent="0.25">
      <c r="A615" s="243"/>
      <c r="B615" s="410"/>
      <c r="C615" s="410"/>
      <c r="D615" s="410"/>
      <c r="E615" s="410"/>
      <c r="F615" s="410"/>
      <c r="G615" s="410"/>
      <c r="H615" s="410"/>
      <c r="I615" s="411"/>
      <c r="J615" s="410" t="s">
        <v>339</v>
      </c>
      <c r="K615" s="245"/>
      <c r="L615" s="257"/>
      <c r="M615" s="591" t="s">
        <v>340</v>
      </c>
      <c r="N615" s="592"/>
      <c r="O615" s="179"/>
      <c r="P615" s="180"/>
      <c r="Q615" s="180">
        <v>37200000</v>
      </c>
      <c r="R615" s="181">
        <f t="shared" si="166"/>
        <v>14.736283510883103</v>
      </c>
      <c r="S615" s="181">
        <v>100</v>
      </c>
      <c r="T615" s="180">
        <f t="shared" si="127"/>
        <v>36.693548387096776</v>
      </c>
      <c r="U615" s="180">
        <f t="shared" si="132"/>
        <v>5.4072653205256556</v>
      </c>
      <c r="V615" s="182">
        <f t="shared" si="152"/>
        <v>63.306451612903224</v>
      </c>
      <c r="W615" s="180"/>
      <c r="X615" s="180"/>
      <c r="Y615" s="180"/>
      <c r="Z615" s="180"/>
      <c r="AA615" s="180"/>
      <c r="AB615" s="180"/>
      <c r="AC615" s="180"/>
      <c r="AD615" s="180"/>
      <c r="AE615" s="180"/>
      <c r="AF615" s="180"/>
      <c r="AG615" s="180"/>
      <c r="AH615" s="180"/>
      <c r="AI615" s="180">
        <f>4350000+9300000</f>
        <v>13650000</v>
      </c>
      <c r="AJ615" s="181">
        <f t="shared" si="165"/>
        <v>36.693548387096776</v>
      </c>
      <c r="AK615" s="180">
        <f t="shared" si="161"/>
        <v>23550000</v>
      </c>
      <c r="AL615" s="181">
        <f t="shared" si="156"/>
        <v>63.306451612903224</v>
      </c>
      <c r="AM615" s="243"/>
    </row>
    <row r="616" spans="1:39" ht="31.5" customHeight="1" x14ac:dyDescent="0.25">
      <c r="A616" s="243"/>
      <c r="B616" s="410"/>
      <c r="C616" s="410"/>
      <c r="D616" s="410"/>
      <c r="E616" s="410"/>
      <c r="F616" s="410"/>
      <c r="G616" s="410"/>
      <c r="H616" s="410"/>
      <c r="I616" s="411"/>
      <c r="J616" s="410" t="s">
        <v>284</v>
      </c>
      <c r="K616" s="245"/>
      <c r="L616" s="257"/>
      <c r="M616" s="591" t="s">
        <v>285</v>
      </c>
      <c r="N616" s="592"/>
      <c r="O616" s="179"/>
      <c r="P616" s="180"/>
      <c r="Q616" s="180">
        <v>7560000</v>
      </c>
      <c r="R616" s="181">
        <f t="shared" si="166"/>
        <v>2.994793100598824</v>
      </c>
      <c r="S616" s="181">
        <v>100</v>
      </c>
      <c r="T616" s="180">
        <f t="shared" si="127"/>
        <v>25.132275132275133</v>
      </c>
      <c r="U616" s="180">
        <f t="shared" si="132"/>
        <v>0.75265964168488964</v>
      </c>
      <c r="V616" s="182">
        <f t="shared" si="152"/>
        <v>74.86772486772486</v>
      </c>
      <c r="W616" s="180"/>
      <c r="X616" s="180"/>
      <c r="Y616" s="180"/>
      <c r="Z616" s="180"/>
      <c r="AA616" s="180"/>
      <c r="AB616" s="180"/>
      <c r="AC616" s="180"/>
      <c r="AD616" s="180"/>
      <c r="AE616" s="180"/>
      <c r="AF616" s="180"/>
      <c r="AG616" s="180"/>
      <c r="AH616" s="180"/>
      <c r="AI616" s="180">
        <v>1900000</v>
      </c>
      <c r="AJ616" s="181">
        <f t="shared" si="165"/>
        <v>25.132275132275133</v>
      </c>
      <c r="AK616" s="180">
        <f t="shared" si="161"/>
        <v>5660000</v>
      </c>
      <c r="AL616" s="181">
        <f t="shared" si="156"/>
        <v>74.867724867724874</v>
      </c>
      <c r="AM616" s="243"/>
    </row>
    <row r="617" spans="1:39" ht="31.5" customHeight="1" x14ac:dyDescent="0.25">
      <c r="A617" s="243"/>
      <c r="B617" s="410"/>
      <c r="C617" s="410"/>
      <c r="D617" s="410"/>
      <c r="E617" s="410"/>
      <c r="F617" s="410"/>
      <c r="G617" s="410"/>
      <c r="H617" s="410"/>
      <c r="I617" s="411"/>
      <c r="J617" s="410" t="s">
        <v>282</v>
      </c>
      <c r="K617" s="245"/>
      <c r="L617" s="257"/>
      <c r="M617" s="591" t="s">
        <v>283</v>
      </c>
      <c r="N617" s="592"/>
      <c r="O617" s="179"/>
      <c r="P617" s="180"/>
      <c r="Q617" s="180">
        <v>18500140</v>
      </c>
      <c r="R617" s="181">
        <f>Q617/Q$608*100</f>
        <v>7.3285835492212072</v>
      </c>
      <c r="S617" s="181">
        <v>100</v>
      </c>
      <c r="T617" s="180">
        <f t="shared" si="127"/>
        <v>29.51329016969601</v>
      </c>
      <c r="U617" s="180">
        <f t="shared" si="132"/>
        <v>2.1629061282102615</v>
      </c>
      <c r="V617" s="182">
        <f t="shared" si="152"/>
        <v>70.486709830303994</v>
      </c>
      <c r="W617" s="180"/>
      <c r="X617" s="180"/>
      <c r="Y617" s="180"/>
      <c r="Z617" s="180"/>
      <c r="AA617" s="180"/>
      <c r="AB617" s="180"/>
      <c r="AC617" s="180"/>
      <c r="AD617" s="180"/>
      <c r="AE617" s="180"/>
      <c r="AF617" s="180"/>
      <c r="AG617" s="180"/>
      <c r="AH617" s="180"/>
      <c r="AI617" s="180">
        <v>5460000</v>
      </c>
      <c r="AJ617" s="181">
        <f t="shared" si="165"/>
        <v>29.51329016969601</v>
      </c>
      <c r="AK617" s="180">
        <f t="shared" si="161"/>
        <v>13040140</v>
      </c>
      <c r="AL617" s="181">
        <f t="shared" ref="AL617:AL687" si="167">AK617/Q617*100</f>
        <v>70.48670983030398</v>
      </c>
      <c r="AM617" s="243"/>
    </row>
    <row r="618" spans="1:39" s="297" customFormat="1" ht="28.5" customHeight="1" x14ac:dyDescent="0.25">
      <c r="A618" s="227">
        <f>SUM(A608+1)</f>
        <v>74</v>
      </c>
      <c r="B618" s="415"/>
      <c r="C618" s="415"/>
      <c r="D618" s="415"/>
      <c r="E618" s="415"/>
      <c r="F618" s="415"/>
      <c r="G618" s="415"/>
      <c r="H618" s="415"/>
      <c r="I618" s="414"/>
      <c r="J618" s="304" t="s">
        <v>527</v>
      </c>
      <c r="K618" s="230"/>
      <c r="L618" s="294"/>
      <c r="M618" s="609" t="s">
        <v>207</v>
      </c>
      <c r="N618" s="614"/>
      <c r="O618" s="309"/>
      <c r="P618" s="231"/>
      <c r="Q618" s="231">
        <f>SUM(Q619:Q626)</f>
        <v>195716927</v>
      </c>
      <c r="R618" s="233">
        <f>Q618/Q$608*100</f>
        <v>77.530648498677735</v>
      </c>
      <c r="S618" s="233">
        <v>100</v>
      </c>
      <c r="T618" s="231">
        <f t="shared" si="127"/>
        <v>12.585012639198039</v>
      </c>
      <c r="U618" s="231">
        <f t="shared" si="132"/>
        <v>9.7572419128107981</v>
      </c>
      <c r="V618" s="296">
        <f t="shared" si="152"/>
        <v>87.414987360801959</v>
      </c>
      <c r="W618" s="231"/>
      <c r="X618" s="231"/>
      <c r="Y618" s="231"/>
      <c r="Z618" s="231"/>
      <c r="AA618" s="231"/>
      <c r="AB618" s="231"/>
      <c r="AC618" s="231"/>
      <c r="AD618" s="231"/>
      <c r="AE618" s="231"/>
      <c r="AF618" s="231"/>
      <c r="AG618" s="231"/>
      <c r="AH618" s="231"/>
      <c r="AI618" s="231">
        <f>SUM(AI619:AI626)</f>
        <v>24631000</v>
      </c>
      <c r="AJ618" s="233">
        <f t="shared" si="165"/>
        <v>12.585012639198039</v>
      </c>
      <c r="AK618" s="231">
        <f t="shared" si="161"/>
        <v>171085927</v>
      </c>
      <c r="AL618" s="233">
        <f t="shared" si="167"/>
        <v>87.414987360801959</v>
      </c>
      <c r="AM618" s="227"/>
    </row>
    <row r="619" spans="1:39" ht="28.5" customHeight="1" x14ac:dyDescent="0.25">
      <c r="A619" s="243"/>
      <c r="B619" s="410"/>
      <c r="C619" s="410"/>
      <c r="D619" s="410"/>
      <c r="E619" s="410"/>
      <c r="F619" s="410"/>
      <c r="G619" s="410"/>
      <c r="H619" s="410"/>
      <c r="I619" s="411"/>
      <c r="J619" s="410" t="s">
        <v>273</v>
      </c>
      <c r="K619" s="245"/>
      <c r="L619" s="257"/>
      <c r="M619" s="591" t="s">
        <v>322</v>
      </c>
      <c r="N619" s="592"/>
      <c r="O619" s="179"/>
      <c r="P619" s="180"/>
      <c r="Q619" s="180">
        <v>25200000</v>
      </c>
      <c r="R619" s="181">
        <f t="shared" ref="R619:R626" si="168">Q619/Q$618*100</f>
        <v>12.875738642677545</v>
      </c>
      <c r="S619" s="181">
        <v>100</v>
      </c>
      <c r="T619" s="180">
        <f t="shared" si="127"/>
        <v>0</v>
      </c>
      <c r="U619" s="180">
        <f t="shared" si="132"/>
        <v>0</v>
      </c>
      <c r="V619" s="182">
        <f t="shared" si="152"/>
        <v>100</v>
      </c>
      <c r="W619" s="180"/>
      <c r="X619" s="180"/>
      <c r="Y619" s="180"/>
      <c r="Z619" s="180"/>
      <c r="AA619" s="180"/>
      <c r="AB619" s="180"/>
      <c r="AC619" s="180"/>
      <c r="AD619" s="180"/>
      <c r="AE619" s="180"/>
      <c r="AF619" s="180"/>
      <c r="AG619" s="180"/>
      <c r="AH619" s="180"/>
      <c r="AI619" s="180">
        <v>0</v>
      </c>
      <c r="AJ619" s="181">
        <f t="shared" si="165"/>
        <v>0</v>
      </c>
      <c r="AK619" s="180">
        <f t="shared" si="161"/>
        <v>25200000</v>
      </c>
      <c r="AL619" s="181">
        <f t="shared" si="167"/>
        <v>100</v>
      </c>
      <c r="AM619" s="243"/>
    </row>
    <row r="620" spans="1:39" ht="28.5" customHeight="1" x14ac:dyDescent="0.25">
      <c r="A620" s="243"/>
      <c r="B620" s="410"/>
      <c r="C620" s="410"/>
      <c r="D620" s="410"/>
      <c r="E620" s="410"/>
      <c r="F620" s="410"/>
      <c r="G620" s="410"/>
      <c r="H620" s="410"/>
      <c r="I620" s="411"/>
      <c r="J620" s="410" t="s">
        <v>323</v>
      </c>
      <c r="K620" s="245"/>
      <c r="L620" s="257"/>
      <c r="M620" s="591" t="s">
        <v>324</v>
      </c>
      <c r="N620" s="592"/>
      <c r="O620" s="179"/>
      <c r="P620" s="180"/>
      <c r="Q620" s="180">
        <v>33468000</v>
      </c>
      <c r="R620" s="181">
        <f t="shared" si="168"/>
        <v>17.100207178298891</v>
      </c>
      <c r="S620" s="181">
        <v>100</v>
      </c>
      <c r="T620" s="180">
        <f t="shared" si="127"/>
        <v>34.752599498027969</v>
      </c>
      <c r="U620" s="180">
        <f t="shared" si="132"/>
        <v>5.9427665140072428</v>
      </c>
      <c r="V620" s="182">
        <f t="shared" si="152"/>
        <v>65.247400501972038</v>
      </c>
      <c r="W620" s="180"/>
      <c r="X620" s="180"/>
      <c r="Y620" s="180"/>
      <c r="Z620" s="180"/>
      <c r="AA620" s="180"/>
      <c r="AB620" s="180"/>
      <c r="AC620" s="180"/>
      <c r="AD620" s="180"/>
      <c r="AE620" s="180"/>
      <c r="AF620" s="180"/>
      <c r="AG620" s="180"/>
      <c r="AH620" s="180"/>
      <c r="AI620" s="180">
        <f>3744000+7887000</f>
        <v>11631000</v>
      </c>
      <c r="AJ620" s="181">
        <f t="shared" si="165"/>
        <v>34.752599498027969</v>
      </c>
      <c r="AK620" s="180">
        <f t="shared" si="161"/>
        <v>21837000</v>
      </c>
      <c r="AL620" s="181">
        <f t="shared" si="167"/>
        <v>65.247400501972024</v>
      </c>
      <c r="AM620" s="243"/>
    </row>
    <row r="621" spans="1:39" ht="28.5" customHeight="1" x14ac:dyDescent="0.25">
      <c r="A621" s="243"/>
      <c r="B621" s="410"/>
      <c r="C621" s="410"/>
      <c r="D621" s="410"/>
      <c r="E621" s="410"/>
      <c r="F621" s="410"/>
      <c r="G621" s="410"/>
      <c r="H621" s="410"/>
      <c r="I621" s="411"/>
      <c r="J621" s="410" t="s">
        <v>269</v>
      </c>
      <c r="K621" s="245"/>
      <c r="L621" s="257"/>
      <c r="M621" s="591" t="s">
        <v>270</v>
      </c>
      <c r="N621" s="592"/>
      <c r="O621" s="179"/>
      <c r="P621" s="180"/>
      <c r="Q621" s="180">
        <v>5400000</v>
      </c>
      <c r="R621" s="181">
        <f t="shared" si="168"/>
        <v>2.7590868520023308</v>
      </c>
      <c r="S621" s="181">
        <v>100</v>
      </c>
      <c r="T621" s="180">
        <f t="shared" si="127"/>
        <v>0</v>
      </c>
      <c r="U621" s="180">
        <f t="shared" si="132"/>
        <v>0</v>
      </c>
      <c r="V621" s="182">
        <f t="shared" si="152"/>
        <v>100</v>
      </c>
      <c r="W621" s="180"/>
      <c r="X621" s="180"/>
      <c r="Y621" s="180"/>
      <c r="Z621" s="180"/>
      <c r="AA621" s="180"/>
      <c r="AB621" s="180"/>
      <c r="AC621" s="180"/>
      <c r="AD621" s="180"/>
      <c r="AE621" s="180"/>
      <c r="AF621" s="180"/>
      <c r="AG621" s="180"/>
      <c r="AH621" s="180"/>
      <c r="AI621" s="180">
        <v>0</v>
      </c>
      <c r="AJ621" s="181">
        <f t="shared" si="165"/>
        <v>0</v>
      </c>
      <c r="AK621" s="180">
        <f t="shared" si="161"/>
        <v>5400000</v>
      </c>
      <c r="AL621" s="181">
        <f t="shared" si="167"/>
        <v>100</v>
      </c>
      <c r="AM621" s="243"/>
    </row>
    <row r="622" spans="1:39" ht="28.5" customHeight="1" x14ac:dyDescent="0.25">
      <c r="A622" s="243"/>
      <c r="B622" s="410"/>
      <c r="C622" s="410"/>
      <c r="D622" s="410"/>
      <c r="E622" s="410"/>
      <c r="F622" s="410"/>
      <c r="G622" s="410"/>
      <c r="H622" s="410"/>
      <c r="I622" s="411"/>
      <c r="J622" s="410" t="s">
        <v>315</v>
      </c>
      <c r="K622" s="245"/>
      <c r="L622" s="257"/>
      <c r="M622" s="591" t="s">
        <v>271</v>
      </c>
      <c r="N622" s="592"/>
      <c r="O622" s="179"/>
      <c r="P622" s="180"/>
      <c r="Q622" s="180">
        <v>9600000</v>
      </c>
      <c r="R622" s="181">
        <f t="shared" si="168"/>
        <v>4.9050432924485881</v>
      </c>
      <c r="S622" s="181">
        <v>100</v>
      </c>
      <c r="T622" s="180">
        <f t="shared" si="127"/>
        <v>27.083333333333332</v>
      </c>
      <c r="U622" s="180">
        <f t="shared" si="132"/>
        <v>1.3284492250381592</v>
      </c>
      <c r="V622" s="182">
        <f t="shared" si="152"/>
        <v>72.916666666666671</v>
      </c>
      <c r="W622" s="180"/>
      <c r="X622" s="180"/>
      <c r="Y622" s="180"/>
      <c r="Z622" s="180"/>
      <c r="AA622" s="180"/>
      <c r="AB622" s="180"/>
      <c r="AC622" s="180"/>
      <c r="AD622" s="180"/>
      <c r="AE622" s="180"/>
      <c r="AF622" s="180"/>
      <c r="AG622" s="180"/>
      <c r="AH622" s="180"/>
      <c r="AI622" s="180">
        <f>900000+1700000</f>
        <v>2600000</v>
      </c>
      <c r="AJ622" s="181">
        <f t="shared" si="165"/>
        <v>27.083333333333332</v>
      </c>
      <c r="AK622" s="180">
        <f t="shared" si="161"/>
        <v>7000000</v>
      </c>
      <c r="AL622" s="181">
        <f t="shared" si="167"/>
        <v>72.916666666666657</v>
      </c>
      <c r="AM622" s="243"/>
    </row>
    <row r="623" spans="1:39" ht="28.5" customHeight="1" x14ac:dyDescent="0.25">
      <c r="A623" s="243"/>
      <c r="B623" s="410"/>
      <c r="C623" s="410"/>
      <c r="D623" s="410"/>
      <c r="E623" s="410"/>
      <c r="F623" s="410"/>
      <c r="G623" s="410"/>
      <c r="H623" s="410"/>
      <c r="I623" s="411"/>
      <c r="J623" s="410" t="s">
        <v>280</v>
      </c>
      <c r="K623" s="245"/>
      <c r="L623" s="257"/>
      <c r="M623" s="591" t="s">
        <v>281</v>
      </c>
      <c r="N623" s="592"/>
      <c r="O623" s="179"/>
      <c r="P623" s="180"/>
      <c r="Q623" s="180">
        <v>48000000</v>
      </c>
      <c r="R623" s="181">
        <f t="shared" si="168"/>
        <v>24.525216462242941</v>
      </c>
      <c r="S623" s="181">
        <v>100</v>
      </c>
      <c r="T623" s="180">
        <f t="shared" si="127"/>
        <v>21.666666666666668</v>
      </c>
      <c r="U623" s="180">
        <f t="shared" si="132"/>
        <v>5.3137969001526377</v>
      </c>
      <c r="V623" s="182">
        <f t="shared" si="152"/>
        <v>78.333333333333329</v>
      </c>
      <c r="W623" s="180"/>
      <c r="X623" s="180"/>
      <c r="Y623" s="180"/>
      <c r="Z623" s="180"/>
      <c r="AA623" s="180"/>
      <c r="AB623" s="180"/>
      <c r="AC623" s="180"/>
      <c r="AD623" s="180"/>
      <c r="AE623" s="180"/>
      <c r="AF623" s="180"/>
      <c r="AG623" s="180"/>
      <c r="AH623" s="180"/>
      <c r="AI623" s="180">
        <f>2600000+7800000</f>
        <v>10400000</v>
      </c>
      <c r="AJ623" s="181">
        <f t="shared" si="165"/>
        <v>21.666666666666668</v>
      </c>
      <c r="AK623" s="180">
        <f t="shared" si="161"/>
        <v>37600000</v>
      </c>
      <c r="AL623" s="181">
        <f t="shared" si="167"/>
        <v>78.333333333333329</v>
      </c>
      <c r="AM623" s="243"/>
    </row>
    <row r="624" spans="1:39" ht="28.5" customHeight="1" x14ac:dyDescent="0.25">
      <c r="A624" s="243"/>
      <c r="B624" s="410"/>
      <c r="C624" s="410"/>
      <c r="D624" s="410"/>
      <c r="E624" s="410"/>
      <c r="F624" s="410"/>
      <c r="G624" s="410"/>
      <c r="H624" s="410"/>
      <c r="I624" s="411"/>
      <c r="J624" s="410" t="s">
        <v>284</v>
      </c>
      <c r="K624" s="245"/>
      <c r="L624" s="257"/>
      <c r="M624" s="591" t="s">
        <v>285</v>
      </c>
      <c r="N624" s="592"/>
      <c r="O624" s="179"/>
      <c r="P624" s="180"/>
      <c r="Q624" s="180">
        <v>4658927</v>
      </c>
      <c r="R624" s="181">
        <f t="shared" si="168"/>
        <v>2.3804415240997527</v>
      </c>
      <c r="S624" s="181">
        <v>100</v>
      </c>
      <c r="T624" s="180">
        <f t="shared" si="127"/>
        <v>0</v>
      </c>
      <c r="U624" s="180">
        <f t="shared" si="132"/>
        <v>0</v>
      </c>
      <c r="V624" s="182">
        <f t="shared" si="152"/>
        <v>100</v>
      </c>
      <c r="W624" s="180"/>
      <c r="X624" s="180"/>
      <c r="Y624" s="180"/>
      <c r="Z624" s="180"/>
      <c r="AA624" s="180"/>
      <c r="AB624" s="180"/>
      <c r="AC624" s="180"/>
      <c r="AD624" s="180"/>
      <c r="AE624" s="180"/>
      <c r="AF624" s="180"/>
      <c r="AG624" s="180"/>
      <c r="AH624" s="180"/>
      <c r="AI624" s="180">
        <v>0</v>
      </c>
      <c r="AJ624" s="181">
        <f t="shared" si="165"/>
        <v>0</v>
      </c>
      <c r="AK624" s="180">
        <f t="shared" si="161"/>
        <v>4658927</v>
      </c>
      <c r="AL624" s="181">
        <f t="shared" si="167"/>
        <v>100</v>
      </c>
      <c r="AM624" s="243"/>
    </row>
    <row r="625" spans="1:39" ht="28.5" customHeight="1" x14ac:dyDescent="0.25">
      <c r="A625" s="243"/>
      <c r="B625" s="410"/>
      <c r="C625" s="410"/>
      <c r="D625" s="410"/>
      <c r="E625" s="410"/>
      <c r="F625" s="410"/>
      <c r="G625" s="410"/>
      <c r="H625" s="410"/>
      <c r="I625" s="411"/>
      <c r="J625" s="410" t="s">
        <v>282</v>
      </c>
      <c r="K625" s="245"/>
      <c r="L625" s="257"/>
      <c r="M625" s="591" t="s">
        <v>283</v>
      </c>
      <c r="N625" s="592"/>
      <c r="O625" s="179"/>
      <c r="P625" s="180"/>
      <c r="Q625" s="180">
        <v>59790000</v>
      </c>
      <c r="R625" s="181">
        <f t="shared" si="168"/>
        <v>30.549222755781365</v>
      </c>
      <c r="S625" s="181">
        <v>100</v>
      </c>
      <c r="T625" s="180">
        <f t="shared" si="127"/>
        <v>0</v>
      </c>
      <c r="U625" s="180">
        <f t="shared" si="132"/>
        <v>0</v>
      </c>
      <c r="V625" s="182">
        <f t="shared" si="152"/>
        <v>100</v>
      </c>
      <c r="W625" s="180"/>
      <c r="X625" s="180"/>
      <c r="Y625" s="180"/>
      <c r="Z625" s="180"/>
      <c r="AA625" s="180"/>
      <c r="AB625" s="180"/>
      <c r="AC625" s="180"/>
      <c r="AD625" s="180"/>
      <c r="AE625" s="180"/>
      <c r="AF625" s="180"/>
      <c r="AG625" s="180"/>
      <c r="AH625" s="180"/>
      <c r="AI625" s="180">
        <v>0</v>
      </c>
      <c r="AJ625" s="181">
        <f t="shared" si="165"/>
        <v>0</v>
      </c>
      <c r="AK625" s="180">
        <f t="shared" si="161"/>
        <v>59790000</v>
      </c>
      <c r="AL625" s="181">
        <f t="shared" si="167"/>
        <v>100</v>
      </c>
      <c r="AM625" s="243"/>
    </row>
    <row r="626" spans="1:39" ht="28.5" customHeight="1" x14ac:dyDescent="0.25">
      <c r="A626" s="243"/>
      <c r="B626" s="410"/>
      <c r="C626" s="410"/>
      <c r="D626" s="410"/>
      <c r="E626" s="410"/>
      <c r="F626" s="410"/>
      <c r="G626" s="410"/>
      <c r="H626" s="410"/>
      <c r="I626" s="411"/>
      <c r="J626" s="410" t="s">
        <v>551</v>
      </c>
      <c r="K626" s="245"/>
      <c r="L626" s="257"/>
      <c r="M626" s="591" t="s">
        <v>550</v>
      </c>
      <c r="N626" s="592"/>
      <c r="O626" s="179"/>
      <c r="P626" s="180"/>
      <c r="Q626" s="180">
        <v>9600000</v>
      </c>
      <c r="R626" s="181">
        <f t="shared" si="168"/>
        <v>4.9050432924485881</v>
      </c>
      <c r="S626" s="181">
        <v>100</v>
      </c>
      <c r="T626" s="180">
        <f t="shared" ref="T626:T679" si="169">AJ626</f>
        <v>0</v>
      </c>
      <c r="U626" s="180">
        <f t="shared" si="132"/>
        <v>0</v>
      </c>
      <c r="V626" s="182">
        <f t="shared" si="152"/>
        <v>100</v>
      </c>
      <c r="W626" s="180"/>
      <c r="X626" s="180"/>
      <c r="Y626" s="180"/>
      <c r="Z626" s="180"/>
      <c r="AA626" s="180"/>
      <c r="AB626" s="180"/>
      <c r="AC626" s="180"/>
      <c r="AD626" s="180"/>
      <c r="AE626" s="180"/>
      <c r="AF626" s="180"/>
      <c r="AG626" s="180"/>
      <c r="AH626" s="180"/>
      <c r="AI626" s="180">
        <v>0</v>
      </c>
      <c r="AJ626" s="181">
        <f t="shared" si="165"/>
        <v>0</v>
      </c>
      <c r="AK626" s="180">
        <f t="shared" si="161"/>
        <v>9600000</v>
      </c>
      <c r="AL626" s="181">
        <f t="shared" si="167"/>
        <v>100</v>
      </c>
      <c r="AM626" s="243"/>
    </row>
    <row r="627" spans="1:39" s="297" customFormat="1" ht="24.75" customHeight="1" x14ac:dyDescent="0.25">
      <c r="A627" s="227">
        <f>SUM(A618+1)</f>
        <v>75</v>
      </c>
      <c r="B627" s="415"/>
      <c r="C627" s="415"/>
      <c r="D627" s="415"/>
      <c r="E627" s="415"/>
      <c r="F627" s="415"/>
      <c r="G627" s="415"/>
      <c r="H627" s="415"/>
      <c r="I627" s="414"/>
      <c r="J627" s="304" t="s">
        <v>528</v>
      </c>
      <c r="K627" s="230"/>
      <c r="L627" s="294"/>
      <c r="M627" s="613" t="s">
        <v>208</v>
      </c>
      <c r="N627" s="612"/>
      <c r="O627" s="309"/>
      <c r="P627" s="231"/>
      <c r="Q627" s="231">
        <f>SUM(Q628:Q636)</f>
        <v>148625471</v>
      </c>
      <c r="R627" s="233">
        <f>Q627/Q$248*100</f>
        <v>1.2460379414890164</v>
      </c>
      <c r="S627" s="233">
        <v>100</v>
      </c>
      <c r="T627" s="231">
        <f t="shared" si="169"/>
        <v>43.734091850245512</v>
      </c>
      <c r="U627" s="231">
        <f t="shared" si="132"/>
        <v>0.54494337781971491</v>
      </c>
      <c r="V627" s="296">
        <f t="shared" si="152"/>
        <v>56.265908149754488</v>
      </c>
      <c r="W627" s="231"/>
      <c r="X627" s="231"/>
      <c r="Y627" s="231"/>
      <c r="Z627" s="231"/>
      <c r="AA627" s="231"/>
      <c r="AB627" s="231"/>
      <c r="AC627" s="231"/>
      <c r="AD627" s="231"/>
      <c r="AE627" s="231"/>
      <c r="AF627" s="231"/>
      <c r="AG627" s="231"/>
      <c r="AH627" s="231"/>
      <c r="AI627" s="231">
        <f>SUM(AI628:AI636)</f>
        <v>65000000</v>
      </c>
      <c r="AJ627" s="233">
        <f t="shared" si="165"/>
        <v>43.734091850245512</v>
      </c>
      <c r="AK627" s="231">
        <f t="shared" si="161"/>
        <v>83625471</v>
      </c>
      <c r="AL627" s="233">
        <f t="shared" si="167"/>
        <v>56.265908149754495</v>
      </c>
      <c r="AM627" s="227"/>
    </row>
    <row r="628" spans="1:39" ht="24.75" customHeight="1" x14ac:dyDescent="0.25">
      <c r="A628" s="243"/>
      <c r="B628" s="410"/>
      <c r="C628" s="410"/>
      <c r="D628" s="410"/>
      <c r="E628" s="410"/>
      <c r="F628" s="410"/>
      <c r="G628" s="410"/>
      <c r="H628" s="410"/>
      <c r="I628" s="411"/>
      <c r="J628" s="410" t="s">
        <v>257</v>
      </c>
      <c r="K628" s="245"/>
      <c r="L628" s="257"/>
      <c r="M628" s="604" t="s">
        <v>260</v>
      </c>
      <c r="N628" s="592"/>
      <c r="O628" s="179"/>
      <c r="P628" s="180"/>
      <c r="Q628" s="180">
        <v>800000</v>
      </c>
      <c r="R628" s="181">
        <f>Q628/Q$627*100</f>
        <v>0.53826574584917553</v>
      </c>
      <c r="S628" s="181">
        <v>100</v>
      </c>
      <c r="T628" s="180">
        <f t="shared" si="169"/>
        <v>0</v>
      </c>
      <c r="U628" s="180">
        <f t="shared" si="132"/>
        <v>0</v>
      </c>
      <c r="V628" s="182">
        <f t="shared" si="152"/>
        <v>100</v>
      </c>
      <c r="W628" s="180"/>
      <c r="X628" s="180"/>
      <c r="Y628" s="180"/>
      <c r="Z628" s="180"/>
      <c r="AA628" s="180"/>
      <c r="AB628" s="180"/>
      <c r="AC628" s="180"/>
      <c r="AD628" s="180"/>
      <c r="AE628" s="180"/>
      <c r="AF628" s="180"/>
      <c r="AG628" s="180"/>
      <c r="AH628" s="180"/>
      <c r="AI628" s="180">
        <v>0</v>
      </c>
      <c r="AJ628" s="181">
        <f t="shared" si="165"/>
        <v>0</v>
      </c>
      <c r="AK628" s="180">
        <f t="shared" si="161"/>
        <v>800000</v>
      </c>
      <c r="AL628" s="181">
        <f t="shared" si="167"/>
        <v>100</v>
      </c>
      <c r="AM628" s="243"/>
    </row>
    <row r="629" spans="1:39" ht="24.75" customHeight="1" x14ac:dyDescent="0.25">
      <c r="A629" s="243"/>
      <c r="B629" s="410"/>
      <c r="C629" s="410"/>
      <c r="D629" s="410"/>
      <c r="E629" s="410"/>
      <c r="F629" s="410"/>
      <c r="G629" s="410"/>
      <c r="H629" s="410"/>
      <c r="I629" s="411"/>
      <c r="J629" s="410" t="s">
        <v>315</v>
      </c>
      <c r="K629" s="245"/>
      <c r="L629" s="257"/>
      <c r="M629" s="604" t="s">
        <v>271</v>
      </c>
      <c r="N629" s="592"/>
      <c r="O629" s="179"/>
      <c r="P629" s="180"/>
      <c r="Q629" s="180">
        <v>10500000</v>
      </c>
      <c r="R629" s="181">
        <f>Q629/Q$627*100</f>
        <v>7.0647379142704274</v>
      </c>
      <c r="S629" s="181">
        <v>100</v>
      </c>
      <c r="T629" s="180">
        <f t="shared" si="169"/>
        <v>0</v>
      </c>
      <c r="U629" s="180">
        <f t="shared" si="132"/>
        <v>0</v>
      </c>
      <c r="V629" s="182">
        <f t="shared" si="152"/>
        <v>100</v>
      </c>
      <c r="W629" s="180"/>
      <c r="X629" s="180"/>
      <c r="Y629" s="180"/>
      <c r="Z629" s="180"/>
      <c r="AA629" s="180"/>
      <c r="AB629" s="180"/>
      <c r="AC629" s="180"/>
      <c r="AD629" s="180"/>
      <c r="AE629" s="180"/>
      <c r="AF629" s="180"/>
      <c r="AG629" s="180"/>
      <c r="AH629" s="180"/>
      <c r="AI629" s="180">
        <v>0</v>
      </c>
      <c r="AJ629" s="181">
        <f t="shared" si="165"/>
        <v>0</v>
      </c>
      <c r="AK629" s="180">
        <f t="shared" si="161"/>
        <v>10500000</v>
      </c>
      <c r="AL629" s="181">
        <f t="shared" si="167"/>
        <v>100</v>
      </c>
      <c r="AM629" s="243"/>
    </row>
    <row r="630" spans="1:39" ht="24.75" customHeight="1" x14ac:dyDescent="0.25">
      <c r="A630" s="243"/>
      <c r="B630" s="410"/>
      <c r="C630" s="410"/>
      <c r="D630" s="410"/>
      <c r="E630" s="410"/>
      <c r="F630" s="410"/>
      <c r="G630" s="410"/>
      <c r="H630" s="410"/>
      <c r="I630" s="411"/>
      <c r="J630" s="410" t="s">
        <v>316</v>
      </c>
      <c r="K630" s="245"/>
      <c r="L630" s="257"/>
      <c r="M630" s="604" t="s">
        <v>317</v>
      </c>
      <c r="N630" s="592"/>
      <c r="O630" s="179"/>
      <c r="P630" s="180"/>
      <c r="Q630" s="180">
        <v>500000</v>
      </c>
      <c r="R630" s="181">
        <f t="shared" ref="R630:R636" si="170">Q630/Q$627*100</f>
        <v>0.33641609115573468</v>
      </c>
      <c r="S630" s="181">
        <v>100</v>
      </c>
      <c r="T630" s="180">
        <f t="shared" si="169"/>
        <v>0</v>
      </c>
      <c r="U630" s="180">
        <f t="shared" si="132"/>
        <v>0</v>
      </c>
      <c r="V630" s="182">
        <f t="shared" si="152"/>
        <v>100</v>
      </c>
      <c r="W630" s="180"/>
      <c r="X630" s="180"/>
      <c r="Y630" s="180"/>
      <c r="Z630" s="180"/>
      <c r="AA630" s="180"/>
      <c r="AB630" s="180"/>
      <c r="AC630" s="180"/>
      <c r="AD630" s="180"/>
      <c r="AE630" s="180"/>
      <c r="AF630" s="180"/>
      <c r="AG630" s="180"/>
      <c r="AH630" s="180"/>
      <c r="AI630" s="180">
        <v>0</v>
      </c>
      <c r="AJ630" s="181">
        <f t="shared" si="165"/>
        <v>0</v>
      </c>
      <c r="AK630" s="180">
        <f t="shared" si="161"/>
        <v>500000</v>
      </c>
      <c r="AL630" s="181">
        <f t="shared" si="167"/>
        <v>100</v>
      </c>
      <c r="AM630" s="243"/>
    </row>
    <row r="631" spans="1:39" ht="24.75" customHeight="1" x14ac:dyDescent="0.25">
      <c r="A631" s="243"/>
      <c r="B631" s="410"/>
      <c r="C631" s="410"/>
      <c r="D631" s="410"/>
      <c r="E631" s="410"/>
      <c r="F631" s="410"/>
      <c r="G631" s="410"/>
      <c r="H631" s="410"/>
      <c r="I631" s="411"/>
      <c r="J631" s="410" t="s">
        <v>328</v>
      </c>
      <c r="K631" s="245"/>
      <c r="L631" s="257"/>
      <c r="M631" s="604" t="s">
        <v>319</v>
      </c>
      <c r="N631" s="592"/>
      <c r="O631" s="179"/>
      <c r="P631" s="180"/>
      <c r="Q631" s="180">
        <v>65000000</v>
      </c>
      <c r="R631" s="181">
        <f t="shared" si="170"/>
        <v>43.734091850245512</v>
      </c>
      <c r="S631" s="181">
        <v>100</v>
      </c>
      <c r="T631" s="180">
        <f t="shared" si="169"/>
        <v>100</v>
      </c>
      <c r="U631" s="180">
        <f t="shared" si="132"/>
        <v>43.734091850245512</v>
      </c>
      <c r="V631" s="182">
        <f t="shared" si="152"/>
        <v>0</v>
      </c>
      <c r="W631" s="180"/>
      <c r="X631" s="180"/>
      <c r="Y631" s="180"/>
      <c r="Z631" s="180"/>
      <c r="AA631" s="180"/>
      <c r="AB631" s="180"/>
      <c r="AC631" s="180"/>
      <c r="AD631" s="180"/>
      <c r="AE631" s="180"/>
      <c r="AF631" s="180"/>
      <c r="AG631" s="180"/>
      <c r="AH631" s="180"/>
      <c r="AI631" s="180">
        <v>65000000</v>
      </c>
      <c r="AJ631" s="181">
        <f t="shared" si="165"/>
        <v>100</v>
      </c>
      <c r="AK631" s="180">
        <f t="shared" si="161"/>
        <v>0</v>
      </c>
      <c r="AL631" s="181">
        <f t="shared" si="167"/>
        <v>0</v>
      </c>
      <c r="AM631" s="243"/>
    </row>
    <row r="632" spans="1:39" ht="24.75" customHeight="1" x14ac:dyDescent="0.25">
      <c r="A632" s="243"/>
      <c r="B632" s="410"/>
      <c r="C632" s="410"/>
      <c r="D632" s="410"/>
      <c r="E632" s="410"/>
      <c r="F632" s="410"/>
      <c r="G632" s="410"/>
      <c r="H632" s="410"/>
      <c r="I632" s="411"/>
      <c r="J632" s="410" t="s">
        <v>284</v>
      </c>
      <c r="K632" s="245"/>
      <c r="L632" s="257"/>
      <c r="M632" s="604" t="s">
        <v>285</v>
      </c>
      <c r="N632" s="592"/>
      <c r="O632" s="179"/>
      <c r="P632" s="180"/>
      <c r="Q632" s="180">
        <v>10000000</v>
      </c>
      <c r="R632" s="181">
        <f t="shared" si="170"/>
        <v>6.728321823114694</v>
      </c>
      <c r="S632" s="181">
        <v>100</v>
      </c>
      <c r="T632" s="180">
        <f t="shared" si="169"/>
        <v>0</v>
      </c>
      <c r="U632" s="180">
        <f t="shared" si="132"/>
        <v>0</v>
      </c>
      <c r="V632" s="182">
        <f t="shared" si="152"/>
        <v>100</v>
      </c>
      <c r="W632" s="180"/>
      <c r="X632" s="180"/>
      <c r="Y632" s="180"/>
      <c r="Z632" s="180"/>
      <c r="AA632" s="180"/>
      <c r="AB632" s="180"/>
      <c r="AC632" s="180"/>
      <c r="AD632" s="180"/>
      <c r="AE632" s="180"/>
      <c r="AF632" s="180"/>
      <c r="AG632" s="180"/>
      <c r="AH632" s="180"/>
      <c r="AI632" s="180">
        <v>0</v>
      </c>
      <c r="AJ632" s="181">
        <f t="shared" si="165"/>
        <v>0</v>
      </c>
      <c r="AK632" s="180">
        <f t="shared" si="161"/>
        <v>10000000</v>
      </c>
      <c r="AL632" s="181">
        <f t="shared" si="167"/>
        <v>100</v>
      </c>
      <c r="AM632" s="243"/>
    </row>
    <row r="633" spans="1:39" ht="24.75" customHeight="1" x14ac:dyDescent="0.25">
      <c r="A633" s="243"/>
      <c r="B633" s="410"/>
      <c r="C633" s="410"/>
      <c r="D633" s="410"/>
      <c r="E633" s="410"/>
      <c r="F633" s="410"/>
      <c r="G633" s="410"/>
      <c r="H633" s="410"/>
      <c r="I633" s="411"/>
      <c r="J633" s="410" t="s">
        <v>282</v>
      </c>
      <c r="K633" s="245"/>
      <c r="L633" s="257"/>
      <c r="M633" s="604" t="s">
        <v>283</v>
      </c>
      <c r="N633" s="592"/>
      <c r="O633" s="179"/>
      <c r="P633" s="180"/>
      <c r="Q633" s="180">
        <v>34125471</v>
      </c>
      <c r="R633" s="181">
        <f t="shared" si="170"/>
        <v>22.960715125336762</v>
      </c>
      <c r="S633" s="181">
        <v>100</v>
      </c>
      <c r="T633" s="180">
        <f t="shared" si="169"/>
        <v>0</v>
      </c>
      <c r="U633" s="180">
        <f t="shared" si="132"/>
        <v>0</v>
      </c>
      <c r="V633" s="182">
        <f t="shared" si="152"/>
        <v>100</v>
      </c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  <c r="AG633" s="180"/>
      <c r="AH633" s="180"/>
      <c r="AI633" s="180">
        <v>0</v>
      </c>
      <c r="AJ633" s="181">
        <f t="shared" si="165"/>
        <v>0</v>
      </c>
      <c r="AK633" s="180">
        <f t="shared" si="161"/>
        <v>34125471</v>
      </c>
      <c r="AL633" s="181">
        <f t="shared" si="167"/>
        <v>100</v>
      </c>
      <c r="AM633" s="243"/>
    </row>
    <row r="634" spans="1:39" ht="24.75" customHeight="1" x14ac:dyDescent="0.25">
      <c r="A634" s="243"/>
      <c r="B634" s="410"/>
      <c r="C634" s="410"/>
      <c r="D634" s="410"/>
      <c r="E634" s="410"/>
      <c r="F634" s="410"/>
      <c r="G634" s="410"/>
      <c r="H634" s="410"/>
      <c r="I634" s="411"/>
      <c r="J634" s="410" t="s">
        <v>320</v>
      </c>
      <c r="K634" s="245"/>
      <c r="L634" s="257"/>
      <c r="M634" s="604" t="s">
        <v>321</v>
      </c>
      <c r="N634" s="592"/>
      <c r="O634" s="179"/>
      <c r="P634" s="180"/>
      <c r="Q634" s="180">
        <v>9800000</v>
      </c>
      <c r="R634" s="181">
        <f t="shared" si="170"/>
        <v>6.5937553866524006</v>
      </c>
      <c r="S634" s="181">
        <v>100</v>
      </c>
      <c r="T634" s="180">
        <f t="shared" si="169"/>
        <v>0</v>
      </c>
      <c r="U634" s="180">
        <f t="shared" si="132"/>
        <v>0</v>
      </c>
      <c r="V634" s="182">
        <f t="shared" si="152"/>
        <v>100</v>
      </c>
      <c r="W634" s="180"/>
      <c r="X634" s="180"/>
      <c r="Y634" s="180"/>
      <c r="Z634" s="180"/>
      <c r="AA634" s="180"/>
      <c r="AB634" s="180"/>
      <c r="AC634" s="180"/>
      <c r="AD634" s="180"/>
      <c r="AE634" s="180"/>
      <c r="AF634" s="180"/>
      <c r="AG634" s="180"/>
      <c r="AH634" s="180"/>
      <c r="AI634" s="180">
        <v>0</v>
      </c>
      <c r="AJ634" s="181">
        <f t="shared" si="165"/>
        <v>0</v>
      </c>
      <c r="AK634" s="180">
        <f t="shared" si="161"/>
        <v>9800000</v>
      </c>
      <c r="AL634" s="181">
        <f t="shared" si="167"/>
        <v>100</v>
      </c>
      <c r="AM634" s="243"/>
    </row>
    <row r="635" spans="1:39" ht="24.75" customHeight="1" x14ac:dyDescent="0.25">
      <c r="A635" s="243"/>
      <c r="B635" s="410"/>
      <c r="C635" s="410"/>
      <c r="D635" s="410"/>
      <c r="E635" s="410"/>
      <c r="F635" s="410"/>
      <c r="G635" s="410"/>
      <c r="H635" s="410"/>
      <c r="I635" s="411"/>
      <c r="J635" s="410" t="s">
        <v>407</v>
      </c>
      <c r="K635" s="245"/>
      <c r="L635" s="257"/>
      <c r="M635" s="604" t="s">
        <v>623</v>
      </c>
      <c r="N635" s="592"/>
      <c r="O635" s="179"/>
      <c r="P635" s="180"/>
      <c r="Q635" s="180">
        <v>2900000</v>
      </c>
      <c r="R635" s="181">
        <f t="shared" si="170"/>
        <v>1.9512133287032611</v>
      </c>
      <c r="S635" s="181">
        <v>100</v>
      </c>
      <c r="T635" s="180">
        <f t="shared" si="169"/>
        <v>0</v>
      </c>
      <c r="U635" s="180">
        <f t="shared" si="132"/>
        <v>0</v>
      </c>
      <c r="V635" s="182">
        <f t="shared" si="152"/>
        <v>100</v>
      </c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  <c r="AG635" s="180"/>
      <c r="AH635" s="180"/>
      <c r="AI635" s="180">
        <v>0</v>
      </c>
      <c r="AJ635" s="181">
        <f t="shared" si="165"/>
        <v>0</v>
      </c>
      <c r="AK635" s="180">
        <f t="shared" si="161"/>
        <v>2900000</v>
      </c>
      <c r="AL635" s="181">
        <f t="shared" si="167"/>
        <v>100</v>
      </c>
      <c r="AM635" s="243"/>
    </row>
    <row r="636" spans="1:39" ht="24.75" customHeight="1" x14ac:dyDescent="0.25">
      <c r="A636" s="243"/>
      <c r="B636" s="410"/>
      <c r="C636" s="410"/>
      <c r="D636" s="410"/>
      <c r="E636" s="410"/>
      <c r="F636" s="410"/>
      <c r="G636" s="410"/>
      <c r="H636" s="410"/>
      <c r="I636" s="411"/>
      <c r="J636" s="410" t="s">
        <v>372</v>
      </c>
      <c r="K636" s="245"/>
      <c r="L636" s="257"/>
      <c r="M636" s="604" t="s">
        <v>373</v>
      </c>
      <c r="N636" s="592"/>
      <c r="O636" s="179"/>
      <c r="P636" s="180"/>
      <c r="Q636" s="180">
        <v>15000000</v>
      </c>
      <c r="R636" s="181">
        <f t="shared" si="170"/>
        <v>10.092482734672039</v>
      </c>
      <c r="S636" s="181">
        <v>100</v>
      </c>
      <c r="T636" s="180">
        <f t="shared" si="169"/>
        <v>0</v>
      </c>
      <c r="U636" s="180">
        <f t="shared" si="132"/>
        <v>0</v>
      </c>
      <c r="V636" s="182">
        <v>100</v>
      </c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  <c r="AG636" s="180"/>
      <c r="AH636" s="180"/>
      <c r="AI636" s="180">
        <v>0</v>
      </c>
      <c r="AJ636" s="181">
        <f t="shared" si="165"/>
        <v>0</v>
      </c>
      <c r="AK636" s="180">
        <f t="shared" ref="AK636:AK687" si="171">Q636-AI636</f>
        <v>15000000</v>
      </c>
      <c r="AL636" s="181">
        <f t="shared" si="167"/>
        <v>100</v>
      </c>
      <c r="AM636" s="243"/>
    </row>
    <row r="637" spans="1:39" s="297" customFormat="1" ht="31.5" customHeight="1" x14ac:dyDescent="0.25">
      <c r="A637" s="227">
        <f>SUM(A627+1)</f>
        <v>76</v>
      </c>
      <c r="B637" s="415"/>
      <c r="C637" s="415"/>
      <c r="D637" s="415"/>
      <c r="E637" s="415"/>
      <c r="F637" s="415"/>
      <c r="G637" s="415"/>
      <c r="H637" s="415"/>
      <c r="I637" s="414"/>
      <c r="J637" s="304" t="s">
        <v>529</v>
      </c>
      <c r="K637" s="230"/>
      <c r="L637" s="294"/>
      <c r="M637" s="610" t="s">
        <v>209</v>
      </c>
      <c r="N637" s="612"/>
      <c r="O637" s="309"/>
      <c r="P637" s="231"/>
      <c r="Q637" s="231">
        <f>SUM(Q638:Q643)</f>
        <v>60110918</v>
      </c>
      <c r="R637" s="233">
        <f>Q637/Q$248*100</f>
        <v>0.50395456459636756</v>
      </c>
      <c r="S637" s="233">
        <v>100</v>
      </c>
      <c r="T637" s="231">
        <f t="shared" si="169"/>
        <v>14.972321667088831</v>
      </c>
      <c r="U637" s="231">
        <f t="shared" si="132"/>
        <v>7.5453698467345121E-2</v>
      </c>
      <c r="V637" s="296">
        <f t="shared" si="152"/>
        <v>85.027678332911165</v>
      </c>
      <c r="W637" s="231"/>
      <c r="X637" s="231"/>
      <c r="Y637" s="231"/>
      <c r="Z637" s="231"/>
      <c r="AA637" s="231"/>
      <c r="AB637" s="231"/>
      <c r="AC637" s="231"/>
      <c r="AD637" s="231"/>
      <c r="AE637" s="231"/>
      <c r="AF637" s="231"/>
      <c r="AG637" s="231"/>
      <c r="AH637" s="231"/>
      <c r="AI637" s="231">
        <f>SUM(AI638:AI643)</f>
        <v>9000000</v>
      </c>
      <c r="AJ637" s="233">
        <f t="shared" si="165"/>
        <v>14.972321667088831</v>
      </c>
      <c r="AK637" s="231">
        <f t="shared" si="171"/>
        <v>51110918</v>
      </c>
      <c r="AL637" s="233">
        <f t="shared" si="167"/>
        <v>85.027678332911165</v>
      </c>
      <c r="AM637" s="227"/>
    </row>
    <row r="638" spans="1:39" ht="24.75" customHeight="1" x14ac:dyDescent="0.25">
      <c r="A638" s="243"/>
      <c r="B638" s="410"/>
      <c r="C638" s="410"/>
      <c r="D638" s="410"/>
      <c r="E638" s="410"/>
      <c r="F638" s="410"/>
      <c r="G638" s="410"/>
      <c r="H638" s="410"/>
      <c r="I638" s="411"/>
      <c r="J638" s="410" t="s">
        <v>347</v>
      </c>
      <c r="K638" s="245"/>
      <c r="L638" s="257"/>
      <c r="M638" s="591" t="s">
        <v>348</v>
      </c>
      <c r="N638" s="592"/>
      <c r="O638" s="179"/>
      <c r="P638" s="180"/>
      <c r="Q638" s="180">
        <v>13900000</v>
      </c>
      <c r="R638" s="181">
        <f t="shared" ref="R638:R643" si="172">Q638/Q$637*100</f>
        <v>23.123919019170529</v>
      </c>
      <c r="S638" s="181">
        <v>100</v>
      </c>
      <c r="T638" s="180">
        <f t="shared" si="169"/>
        <v>0</v>
      </c>
      <c r="U638" s="180">
        <f t="shared" si="132"/>
        <v>0</v>
      </c>
      <c r="V638" s="182">
        <f t="shared" si="152"/>
        <v>100</v>
      </c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  <c r="AG638" s="180"/>
      <c r="AH638" s="180"/>
      <c r="AI638" s="180">
        <v>0</v>
      </c>
      <c r="AJ638" s="181">
        <f t="shared" si="165"/>
        <v>0</v>
      </c>
      <c r="AK638" s="180">
        <f t="shared" si="171"/>
        <v>13900000</v>
      </c>
      <c r="AL638" s="181">
        <f t="shared" si="167"/>
        <v>100</v>
      </c>
      <c r="AM638" s="243"/>
    </row>
    <row r="639" spans="1:39" ht="24.75" customHeight="1" x14ac:dyDescent="0.25">
      <c r="A639" s="243"/>
      <c r="B639" s="410"/>
      <c r="C639" s="410"/>
      <c r="D639" s="410"/>
      <c r="E639" s="410"/>
      <c r="F639" s="410"/>
      <c r="G639" s="410"/>
      <c r="H639" s="410"/>
      <c r="I639" s="411"/>
      <c r="J639" s="410" t="s">
        <v>251</v>
      </c>
      <c r="K639" s="245"/>
      <c r="L639" s="257"/>
      <c r="M639" s="591" t="s">
        <v>324</v>
      </c>
      <c r="N639" s="592"/>
      <c r="O639" s="179"/>
      <c r="P639" s="180"/>
      <c r="Q639" s="180">
        <v>5710918</v>
      </c>
      <c r="R639" s="181">
        <f t="shared" si="172"/>
        <v>9.5006334789297355</v>
      </c>
      <c r="S639" s="181">
        <v>100</v>
      </c>
      <c r="T639" s="180">
        <f t="shared" si="169"/>
        <v>26.265479560378907</v>
      </c>
      <c r="U639" s="180">
        <f t="shared" si="132"/>
        <v>2.4953869445148054</v>
      </c>
      <c r="V639" s="182">
        <f t="shared" si="152"/>
        <v>73.734520439621093</v>
      </c>
      <c r="W639" s="180"/>
      <c r="X639" s="180"/>
      <c r="Y639" s="180"/>
      <c r="Z639" s="180"/>
      <c r="AA639" s="180"/>
      <c r="AB639" s="180"/>
      <c r="AC639" s="180"/>
      <c r="AD639" s="180"/>
      <c r="AE639" s="180"/>
      <c r="AF639" s="180"/>
      <c r="AG639" s="180"/>
      <c r="AH639" s="180"/>
      <c r="AI639" s="180">
        <f>500000+500000+500000</f>
        <v>1500000</v>
      </c>
      <c r="AJ639" s="181">
        <f t="shared" si="165"/>
        <v>26.265479560378907</v>
      </c>
      <c r="AK639" s="180">
        <f t="shared" si="171"/>
        <v>4210918</v>
      </c>
      <c r="AL639" s="181">
        <f t="shared" si="167"/>
        <v>73.734520439621093</v>
      </c>
      <c r="AM639" s="243"/>
    </row>
    <row r="640" spans="1:39" ht="33" customHeight="1" x14ac:dyDescent="0.25">
      <c r="A640" s="243"/>
      <c r="B640" s="410"/>
      <c r="C640" s="410"/>
      <c r="D640" s="410"/>
      <c r="E640" s="410"/>
      <c r="F640" s="410"/>
      <c r="G640" s="410"/>
      <c r="H640" s="410"/>
      <c r="I640" s="411"/>
      <c r="J640" s="410" t="s">
        <v>318</v>
      </c>
      <c r="K640" s="245"/>
      <c r="L640" s="257"/>
      <c r="M640" s="591" t="s">
        <v>352</v>
      </c>
      <c r="N640" s="592"/>
      <c r="O640" s="179"/>
      <c r="P640" s="180"/>
      <c r="Q640" s="180">
        <v>12000000</v>
      </c>
      <c r="R640" s="181">
        <f t="shared" si="172"/>
        <v>19.963095556118439</v>
      </c>
      <c r="S640" s="181">
        <v>100</v>
      </c>
      <c r="T640" s="180">
        <f t="shared" si="169"/>
        <v>25</v>
      </c>
      <c r="U640" s="180">
        <f t="shared" si="132"/>
        <v>4.9907738890296098</v>
      </c>
      <c r="V640" s="182">
        <f t="shared" si="152"/>
        <v>75</v>
      </c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  <c r="AG640" s="180"/>
      <c r="AH640" s="180"/>
      <c r="AI640" s="180">
        <f>1000000+1000000+1000000</f>
        <v>3000000</v>
      </c>
      <c r="AJ640" s="181">
        <f t="shared" si="165"/>
        <v>25</v>
      </c>
      <c r="AK640" s="180">
        <f t="shared" si="171"/>
        <v>9000000</v>
      </c>
      <c r="AL640" s="181">
        <f t="shared" si="167"/>
        <v>75</v>
      </c>
      <c r="AM640" s="243"/>
    </row>
    <row r="641" spans="1:39" ht="24.75" customHeight="1" x14ac:dyDescent="0.25">
      <c r="A641" s="243"/>
      <c r="B641" s="410"/>
      <c r="C641" s="410"/>
      <c r="D641" s="410"/>
      <c r="E641" s="410"/>
      <c r="F641" s="410"/>
      <c r="G641" s="410"/>
      <c r="H641" s="410"/>
      <c r="I641" s="411"/>
      <c r="J641" s="410" t="s">
        <v>315</v>
      </c>
      <c r="K641" s="245"/>
      <c r="L641" s="257"/>
      <c r="M641" s="591" t="s">
        <v>428</v>
      </c>
      <c r="N641" s="592"/>
      <c r="O641" s="179"/>
      <c r="P641" s="180"/>
      <c r="Q641" s="180">
        <v>6000000</v>
      </c>
      <c r="R641" s="181">
        <f t="shared" si="172"/>
        <v>9.9815477780592197</v>
      </c>
      <c r="S641" s="181">
        <v>100</v>
      </c>
      <c r="T641" s="180">
        <f t="shared" si="169"/>
        <v>25</v>
      </c>
      <c r="U641" s="180">
        <f t="shared" si="132"/>
        <v>2.4953869445148049</v>
      </c>
      <c r="V641" s="182">
        <f t="shared" si="152"/>
        <v>75</v>
      </c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  <c r="AG641" s="180"/>
      <c r="AH641" s="180"/>
      <c r="AI641" s="180">
        <f>500000+500000+500000</f>
        <v>1500000</v>
      </c>
      <c r="AJ641" s="181">
        <f t="shared" si="165"/>
        <v>25</v>
      </c>
      <c r="AK641" s="180">
        <f t="shared" si="171"/>
        <v>4500000</v>
      </c>
      <c r="AL641" s="181">
        <f t="shared" si="167"/>
        <v>75</v>
      </c>
      <c r="AM641" s="243"/>
    </row>
    <row r="642" spans="1:39" ht="24.75" customHeight="1" x14ac:dyDescent="0.25">
      <c r="A642" s="243"/>
      <c r="B642" s="410"/>
      <c r="C642" s="410"/>
      <c r="D642" s="410"/>
      <c r="E642" s="410"/>
      <c r="F642" s="410"/>
      <c r="G642" s="410"/>
      <c r="H642" s="410"/>
      <c r="I642" s="411"/>
      <c r="J642" s="410" t="s">
        <v>318</v>
      </c>
      <c r="K642" s="245"/>
      <c r="L642" s="257"/>
      <c r="M642" s="591" t="s">
        <v>319</v>
      </c>
      <c r="N642" s="592"/>
      <c r="O642" s="179"/>
      <c r="P642" s="180"/>
      <c r="Q642" s="180">
        <v>10500000</v>
      </c>
      <c r="R642" s="181">
        <f t="shared" si="172"/>
        <v>17.467708611603637</v>
      </c>
      <c r="S642" s="181">
        <v>100</v>
      </c>
      <c r="T642" s="180">
        <f t="shared" si="169"/>
        <v>0</v>
      </c>
      <c r="U642" s="180">
        <f t="shared" si="132"/>
        <v>0</v>
      </c>
      <c r="V642" s="182">
        <f t="shared" si="152"/>
        <v>100</v>
      </c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  <c r="AG642" s="180"/>
      <c r="AH642" s="180"/>
      <c r="AI642" s="180">
        <v>0</v>
      </c>
      <c r="AJ642" s="181">
        <f t="shared" si="165"/>
        <v>0</v>
      </c>
      <c r="AK642" s="180">
        <f t="shared" si="171"/>
        <v>10500000</v>
      </c>
      <c r="AL642" s="181">
        <f t="shared" si="167"/>
        <v>100</v>
      </c>
      <c r="AM642" s="243"/>
    </row>
    <row r="643" spans="1:39" ht="24.75" customHeight="1" x14ac:dyDescent="0.25">
      <c r="A643" s="243"/>
      <c r="B643" s="410"/>
      <c r="C643" s="410"/>
      <c r="D643" s="410"/>
      <c r="E643" s="410"/>
      <c r="F643" s="410"/>
      <c r="G643" s="410"/>
      <c r="H643" s="410"/>
      <c r="I643" s="411"/>
      <c r="J643" s="410" t="s">
        <v>624</v>
      </c>
      <c r="K643" s="245"/>
      <c r="L643" s="257"/>
      <c r="M643" s="591" t="s">
        <v>281</v>
      </c>
      <c r="N643" s="592"/>
      <c r="O643" s="179"/>
      <c r="P643" s="180"/>
      <c r="Q643" s="180">
        <v>12000000</v>
      </c>
      <c r="R643" s="181">
        <f t="shared" si="172"/>
        <v>19.963095556118439</v>
      </c>
      <c r="S643" s="181">
        <v>100</v>
      </c>
      <c r="T643" s="180">
        <f t="shared" si="169"/>
        <v>25</v>
      </c>
      <c r="U643" s="180">
        <f t="shared" si="132"/>
        <v>4.9907738890296098</v>
      </c>
      <c r="V643" s="182">
        <f t="shared" si="152"/>
        <v>75</v>
      </c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  <c r="AG643" s="180"/>
      <c r="AH643" s="180"/>
      <c r="AI643" s="180">
        <f>1000000+1000000+1000000</f>
        <v>3000000</v>
      </c>
      <c r="AJ643" s="181">
        <f t="shared" si="165"/>
        <v>25</v>
      </c>
      <c r="AK643" s="180">
        <f t="shared" si="171"/>
        <v>9000000</v>
      </c>
      <c r="AL643" s="181">
        <f t="shared" si="167"/>
        <v>75</v>
      </c>
      <c r="AM643" s="243"/>
    </row>
    <row r="644" spans="1:39" ht="24.75" customHeight="1" x14ac:dyDescent="0.25">
      <c r="A644" s="227">
        <v>77</v>
      </c>
      <c r="B644" s="410"/>
      <c r="C644" s="410"/>
      <c r="D644" s="410"/>
      <c r="E644" s="410"/>
      <c r="F644" s="410"/>
      <c r="G644" s="410"/>
      <c r="H644" s="410"/>
      <c r="I644" s="411"/>
      <c r="J644" s="304" t="s">
        <v>631</v>
      </c>
      <c r="K644" s="230"/>
      <c r="L644" s="294"/>
      <c r="M644" s="610" t="s">
        <v>632</v>
      </c>
      <c r="N644" s="612"/>
      <c r="O644" s="309"/>
      <c r="P644" s="231"/>
      <c r="Q644" s="231">
        <f>SUM(Q645:Q658)</f>
        <v>334885000</v>
      </c>
      <c r="R644" s="233">
        <f>Q644/Q$248*100</f>
        <v>2.8075902012485408</v>
      </c>
      <c r="S644" s="233">
        <v>100</v>
      </c>
      <c r="T644" s="231">
        <f t="shared" si="169"/>
        <v>0</v>
      </c>
      <c r="U644" s="231">
        <f t="shared" si="132"/>
        <v>0</v>
      </c>
      <c r="V644" s="296">
        <f t="shared" si="152"/>
        <v>100</v>
      </c>
      <c r="W644" s="231"/>
      <c r="X644" s="231"/>
      <c r="Y644" s="231"/>
      <c r="Z644" s="231"/>
      <c r="AA644" s="231"/>
      <c r="AB644" s="231"/>
      <c r="AC644" s="231"/>
      <c r="AD644" s="231"/>
      <c r="AE644" s="231"/>
      <c r="AF644" s="231"/>
      <c r="AG644" s="231"/>
      <c r="AH644" s="231"/>
      <c r="AI644" s="231">
        <f>SUM(AI645:AI650)</f>
        <v>0</v>
      </c>
      <c r="AJ644" s="233">
        <f t="shared" si="165"/>
        <v>0</v>
      </c>
      <c r="AK644" s="231">
        <f t="shared" si="171"/>
        <v>334885000</v>
      </c>
      <c r="AL644" s="233">
        <f t="shared" si="167"/>
        <v>100</v>
      </c>
      <c r="AM644" s="243"/>
    </row>
    <row r="645" spans="1:39" ht="24.75" customHeight="1" x14ac:dyDescent="0.25">
      <c r="A645" s="243"/>
      <c r="B645" s="410"/>
      <c r="C645" s="410"/>
      <c r="D645" s="410"/>
      <c r="E645" s="410"/>
      <c r="F645" s="410"/>
      <c r="G645" s="410"/>
      <c r="H645" s="410"/>
      <c r="I645" s="411"/>
      <c r="J645" s="410" t="s">
        <v>257</v>
      </c>
      <c r="K645" s="245"/>
      <c r="L645" s="257"/>
      <c r="M645" s="591" t="s">
        <v>258</v>
      </c>
      <c r="N645" s="592"/>
      <c r="O645" s="179"/>
      <c r="P645" s="180"/>
      <c r="Q645" s="180">
        <v>560000</v>
      </c>
      <c r="R645" s="181">
        <f t="shared" ref="R645:R658" si="173">Q645/Q$644*100</f>
        <v>0.16722158352867403</v>
      </c>
      <c r="S645" s="181">
        <v>100</v>
      </c>
      <c r="T645" s="180">
        <f t="shared" si="169"/>
        <v>0</v>
      </c>
      <c r="U645" s="180">
        <f t="shared" si="132"/>
        <v>0</v>
      </c>
      <c r="V645" s="182">
        <f t="shared" si="152"/>
        <v>100</v>
      </c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  <c r="AG645" s="180"/>
      <c r="AH645" s="180"/>
      <c r="AI645" s="180">
        <v>0</v>
      </c>
      <c r="AJ645" s="181">
        <f t="shared" si="165"/>
        <v>0</v>
      </c>
      <c r="AK645" s="180">
        <f t="shared" si="171"/>
        <v>560000</v>
      </c>
      <c r="AL645" s="181">
        <f t="shared" si="167"/>
        <v>100</v>
      </c>
      <c r="AM645" s="243"/>
    </row>
    <row r="646" spans="1:39" ht="24.75" customHeight="1" x14ac:dyDescent="0.25">
      <c r="A646" s="243"/>
      <c r="B646" s="410"/>
      <c r="C646" s="410"/>
      <c r="D646" s="410"/>
      <c r="E646" s="410"/>
      <c r="F646" s="410"/>
      <c r="G646" s="410"/>
      <c r="H646" s="410"/>
      <c r="I646" s="411"/>
      <c r="J646" s="410" t="s">
        <v>633</v>
      </c>
      <c r="K646" s="245"/>
      <c r="L646" s="257"/>
      <c r="M646" s="591" t="s">
        <v>260</v>
      </c>
      <c r="N646" s="592"/>
      <c r="O646" s="179"/>
      <c r="P646" s="180"/>
      <c r="Q646" s="180">
        <v>600000</v>
      </c>
      <c r="R646" s="181">
        <f t="shared" si="173"/>
        <v>0.17916598235215075</v>
      </c>
      <c r="S646" s="181">
        <v>100</v>
      </c>
      <c r="T646" s="180">
        <f t="shared" si="169"/>
        <v>0</v>
      </c>
      <c r="U646" s="180">
        <f t="shared" si="132"/>
        <v>0</v>
      </c>
      <c r="V646" s="182">
        <f t="shared" si="152"/>
        <v>100</v>
      </c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  <c r="AG646" s="180"/>
      <c r="AH646" s="180"/>
      <c r="AI646" s="180">
        <v>0</v>
      </c>
      <c r="AJ646" s="181">
        <f t="shared" si="165"/>
        <v>0</v>
      </c>
      <c r="AK646" s="180">
        <f t="shared" si="171"/>
        <v>600000</v>
      </c>
      <c r="AL646" s="181">
        <f t="shared" si="167"/>
        <v>100</v>
      </c>
      <c r="AM646" s="243"/>
    </row>
    <row r="647" spans="1:39" ht="24.75" customHeight="1" x14ac:dyDescent="0.25">
      <c r="A647" s="243"/>
      <c r="B647" s="410"/>
      <c r="C647" s="410"/>
      <c r="D647" s="410"/>
      <c r="E647" s="410"/>
      <c r="F647" s="410"/>
      <c r="G647" s="410"/>
      <c r="H647" s="410"/>
      <c r="I647" s="411"/>
      <c r="J647" s="410" t="s">
        <v>375</v>
      </c>
      <c r="K647" s="245"/>
      <c r="L647" s="257"/>
      <c r="M647" s="591" t="s">
        <v>376</v>
      </c>
      <c r="N647" s="612"/>
      <c r="O647" s="179"/>
      <c r="P647" s="180"/>
      <c r="Q647" s="180">
        <v>60000000</v>
      </c>
      <c r="R647" s="181">
        <f t="shared" si="173"/>
        <v>17.916598235215073</v>
      </c>
      <c r="S647" s="181">
        <v>100</v>
      </c>
      <c r="T647" s="180">
        <f t="shared" si="169"/>
        <v>0</v>
      </c>
      <c r="U647" s="180">
        <f t="shared" si="132"/>
        <v>0</v>
      </c>
      <c r="V647" s="182">
        <f t="shared" si="152"/>
        <v>100</v>
      </c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  <c r="AG647" s="180"/>
      <c r="AH647" s="180"/>
      <c r="AI647" s="180">
        <v>0</v>
      </c>
      <c r="AJ647" s="181">
        <f t="shared" si="165"/>
        <v>0</v>
      </c>
      <c r="AK647" s="180">
        <f t="shared" si="171"/>
        <v>60000000</v>
      </c>
      <c r="AL647" s="181">
        <f t="shared" si="167"/>
        <v>100</v>
      </c>
      <c r="AM647" s="243"/>
    </row>
    <row r="648" spans="1:39" ht="24.75" customHeight="1" x14ac:dyDescent="0.25">
      <c r="A648" s="243"/>
      <c r="B648" s="410"/>
      <c r="C648" s="410"/>
      <c r="D648" s="410"/>
      <c r="E648" s="410"/>
      <c r="F648" s="410"/>
      <c r="G648" s="410"/>
      <c r="H648" s="410"/>
      <c r="I648" s="411"/>
      <c r="J648" s="410" t="s">
        <v>267</v>
      </c>
      <c r="K648" s="245"/>
      <c r="L648" s="257"/>
      <c r="M648" s="591" t="s">
        <v>268</v>
      </c>
      <c r="N648" s="592"/>
      <c r="O648" s="179"/>
      <c r="P648" s="180"/>
      <c r="Q648" s="180">
        <v>12500000</v>
      </c>
      <c r="R648" s="181">
        <f t="shared" si="173"/>
        <v>3.7326246323364738</v>
      </c>
      <c r="S648" s="181">
        <v>100</v>
      </c>
      <c r="T648" s="180">
        <f t="shared" si="169"/>
        <v>0</v>
      </c>
      <c r="U648" s="180">
        <f t="shared" si="132"/>
        <v>0</v>
      </c>
      <c r="V648" s="182">
        <f t="shared" si="152"/>
        <v>100</v>
      </c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  <c r="AG648" s="180"/>
      <c r="AH648" s="180"/>
      <c r="AI648" s="180">
        <v>0</v>
      </c>
      <c r="AJ648" s="181">
        <f t="shared" si="165"/>
        <v>0</v>
      </c>
      <c r="AK648" s="180">
        <f t="shared" si="171"/>
        <v>12500000</v>
      </c>
      <c r="AL648" s="181">
        <f t="shared" si="167"/>
        <v>100</v>
      </c>
      <c r="AM648" s="243"/>
    </row>
    <row r="649" spans="1:39" ht="24.75" customHeight="1" x14ac:dyDescent="0.25">
      <c r="A649" s="243"/>
      <c r="B649" s="410"/>
      <c r="C649" s="410"/>
      <c r="D649" s="410"/>
      <c r="E649" s="410"/>
      <c r="F649" s="410"/>
      <c r="G649" s="410"/>
      <c r="H649" s="410"/>
      <c r="I649" s="411"/>
      <c r="J649" s="410" t="s">
        <v>332</v>
      </c>
      <c r="K649" s="245"/>
      <c r="L649" s="257"/>
      <c r="M649" s="591" t="s">
        <v>351</v>
      </c>
      <c r="N649" s="592"/>
      <c r="O649" s="179"/>
      <c r="P649" s="180"/>
      <c r="Q649" s="180">
        <v>1000000</v>
      </c>
      <c r="R649" s="181">
        <f t="shared" si="173"/>
        <v>0.29860997058691791</v>
      </c>
      <c r="S649" s="181">
        <v>100</v>
      </c>
      <c r="T649" s="180">
        <f t="shared" si="169"/>
        <v>0</v>
      </c>
      <c r="U649" s="180">
        <f t="shared" si="132"/>
        <v>0</v>
      </c>
      <c r="V649" s="182">
        <f t="shared" si="152"/>
        <v>100</v>
      </c>
      <c r="W649" s="180"/>
      <c r="X649" s="180"/>
      <c r="Y649" s="180"/>
      <c r="Z649" s="180"/>
      <c r="AA649" s="180"/>
      <c r="AB649" s="180"/>
      <c r="AC649" s="180"/>
      <c r="AD649" s="180"/>
      <c r="AE649" s="180"/>
      <c r="AF649" s="180"/>
      <c r="AG649" s="180"/>
      <c r="AH649" s="180"/>
      <c r="AI649" s="180">
        <v>0</v>
      </c>
      <c r="AJ649" s="181">
        <f t="shared" si="165"/>
        <v>0</v>
      </c>
      <c r="AK649" s="180">
        <f t="shared" si="171"/>
        <v>1000000</v>
      </c>
      <c r="AL649" s="181">
        <f t="shared" si="167"/>
        <v>100</v>
      </c>
      <c r="AM649" s="243"/>
    </row>
    <row r="650" spans="1:39" ht="24.75" customHeight="1" x14ac:dyDescent="0.25">
      <c r="A650" s="243"/>
      <c r="B650" s="410"/>
      <c r="C650" s="410"/>
      <c r="D650" s="410"/>
      <c r="E650" s="410"/>
      <c r="F650" s="410"/>
      <c r="G650" s="410"/>
      <c r="H650" s="410"/>
      <c r="I650" s="411"/>
      <c r="J650" s="410" t="s">
        <v>315</v>
      </c>
      <c r="K650" s="245"/>
      <c r="L650" s="257"/>
      <c r="M650" s="591" t="s">
        <v>271</v>
      </c>
      <c r="N650" s="592"/>
      <c r="O650" s="179"/>
      <c r="P650" s="180"/>
      <c r="Q650" s="180">
        <v>975000</v>
      </c>
      <c r="R650" s="181">
        <f t="shared" si="173"/>
        <v>0.29114472132224495</v>
      </c>
      <c r="S650" s="181">
        <v>100</v>
      </c>
      <c r="T650" s="180">
        <f t="shared" si="169"/>
        <v>0</v>
      </c>
      <c r="U650" s="180">
        <f t="shared" si="132"/>
        <v>0</v>
      </c>
      <c r="V650" s="182">
        <f t="shared" si="152"/>
        <v>100</v>
      </c>
      <c r="W650" s="180"/>
      <c r="X650" s="180"/>
      <c r="Y650" s="180"/>
      <c r="Z650" s="180"/>
      <c r="AA650" s="180"/>
      <c r="AB650" s="180"/>
      <c r="AC650" s="180"/>
      <c r="AD650" s="180"/>
      <c r="AE650" s="180"/>
      <c r="AF650" s="180"/>
      <c r="AG650" s="180"/>
      <c r="AH650" s="180"/>
      <c r="AI650" s="180">
        <v>0</v>
      </c>
      <c r="AJ650" s="181">
        <f t="shared" si="165"/>
        <v>0</v>
      </c>
      <c r="AK650" s="180">
        <f t="shared" si="171"/>
        <v>975000</v>
      </c>
      <c r="AL650" s="181">
        <f t="shared" si="167"/>
        <v>100</v>
      </c>
      <c r="AM650" s="243"/>
    </row>
    <row r="651" spans="1:39" ht="24.75" customHeight="1" x14ac:dyDescent="0.25">
      <c r="A651" s="243"/>
      <c r="B651" s="410"/>
      <c r="C651" s="410"/>
      <c r="D651" s="410"/>
      <c r="E651" s="410"/>
      <c r="F651" s="410"/>
      <c r="G651" s="410"/>
      <c r="H651" s="410"/>
      <c r="I651" s="411"/>
      <c r="J651" s="410" t="s">
        <v>501</v>
      </c>
      <c r="K651" s="245"/>
      <c r="L651" s="257"/>
      <c r="M651" s="591" t="s">
        <v>317</v>
      </c>
      <c r="N651" s="592"/>
      <c r="O651" s="179"/>
      <c r="P651" s="180"/>
      <c r="Q651" s="180">
        <v>400000</v>
      </c>
      <c r="R651" s="181">
        <f t="shared" si="173"/>
        <v>0.11944398823476715</v>
      </c>
      <c r="S651" s="181">
        <v>100</v>
      </c>
      <c r="T651" s="180">
        <f t="shared" si="169"/>
        <v>0</v>
      </c>
      <c r="U651" s="180">
        <f t="shared" si="132"/>
        <v>0</v>
      </c>
      <c r="V651" s="182">
        <f t="shared" si="152"/>
        <v>100</v>
      </c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>
        <v>0</v>
      </c>
      <c r="AJ651" s="181">
        <f t="shared" si="165"/>
        <v>0</v>
      </c>
      <c r="AK651" s="180">
        <f t="shared" si="171"/>
        <v>400000</v>
      </c>
      <c r="AL651" s="181">
        <f t="shared" si="167"/>
        <v>100</v>
      </c>
      <c r="AM651" s="243"/>
    </row>
    <row r="652" spans="1:39" ht="24.75" customHeight="1" x14ac:dyDescent="0.25">
      <c r="A652" s="243"/>
      <c r="B652" s="410"/>
      <c r="C652" s="410"/>
      <c r="D652" s="410"/>
      <c r="E652" s="410"/>
      <c r="F652" s="410"/>
      <c r="G652" s="410"/>
      <c r="H652" s="410"/>
      <c r="I652" s="411"/>
      <c r="J652" s="410" t="s">
        <v>318</v>
      </c>
      <c r="K652" s="245"/>
      <c r="L652" s="257"/>
      <c r="M652" s="591" t="s">
        <v>319</v>
      </c>
      <c r="N652" s="592"/>
      <c r="O652" s="179"/>
      <c r="P652" s="180"/>
      <c r="Q652" s="180">
        <v>21000000</v>
      </c>
      <c r="R652" s="181">
        <f t="shared" si="173"/>
        <v>6.2708093823252762</v>
      </c>
      <c r="S652" s="181">
        <v>100</v>
      </c>
      <c r="T652" s="180">
        <f t="shared" si="169"/>
        <v>0</v>
      </c>
      <c r="U652" s="180">
        <f t="shared" si="132"/>
        <v>0</v>
      </c>
      <c r="V652" s="182">
        <f t="shared" si="152"/>
        <v>100</v>
      </c>
      <c r="W652" s="180"/>
      <c r="X652" s="180"/>
      <c r="Y652" s="180"/>
      <c r="Z652" s="180"/>
      <c r="AA652" s="180"/>
      <c r="AB652" s="180"/>
      <c r="AC652" s="180"/>
      <c r="AD652" s="180"/>
      <c r="AE652" s="180"/>
      <c r="AF652" s="180"/>
      <c r="AG652" s="180"/>
      <c r="AH652" s="180"/>
      <c r="AI652" s="180">
        <v>0</v>
      </c>
      <c r="AJ652" s="181">
        <f t="shared" si="165"/>
        <v>0</v>
      </c>
      <c r="AK652" s="180">
        <f t="shared" si="171"/>
        <v>21000000</v>
      </c>
      <c r="AL652" s="181">
        <f t="shared" si="167"/>
        <v>100</v>
      </c>
      <c r="AM652" s="243"/>
    </row>
    <row r="653" spans="1:39" ht="24.75" customHeight="1" x14ac:dyDescent="0.25">
      <c r="A653" s="243"/>
      <c r="B653" s="410"/>
      <c r="C653" s="410"/>
      <c r="D653" s="410"/>
      <c r="E653" s="410"/>
      <c r="F653" s="410"/>
      <c r="G653" s="410"/>
      <c r="H653" s="410"/>
      <c r="I653" s="411"/>
      <c r="J653" s="410" t="s">
        <v>280</v>
      </c>
      <c r="K653" s="245"/>
      <c r="L653" s="257"/>
      <c r="M653" s="591" t="s">
        <v>281</v>
      </c>
      <c r="N653" s="612"/>
      <c r="O653" s="179"/>
      <c r="P653" s="180"/>
      <c r="Q653" s="180">
        <v>1250000</v>
      </c>
      <c r="R653" s="181">
        <f t="shared" si="173"/>
        <v>0.37326246323364737</v>
      </c>
      <c r="S653" s="181">
        <v>100</v>
      </c>
      <c r="T653" s="180">
        <f t="shared" si="169"/>
        <v>0</v>
      </c>
      <c r="U653" s="180">
        <f t="shared" si="132"/>
        <v>0</v>
      </c>
      <c r="V653" s="182">
        <f t="shared" si="152"/>
        <v>100</v>
      </c>
      <c r="W653" s="180"/>
      <c r="X653" s="180"/>
      <c r="Y653" s="180"/>
      <c r="Z653" s="180"/>
      <c r="AA653" s="180"/>
      <c r="AB653" s="180"/>
      <c r="AC653" s="180"/>
      <c r="AD653" s="180"/>
      <c r="AE653" s="180"/>
      <c r="AF653" s="180"/>
      <c r="AG653" s="180"/>
      <c r="AH653" s="180"/>
      <c r="AI653" s="180">
        <v>0</v>
      </c>
      <c r="AJ653" s="181">
        <f t="shared" si="165"/>
        <v>0</v>
      </c>
      <c r="AK653" s="180">
        <f t="shared" si="171"/>
        <v>1250000</v>
      </c>
      <c r="AL653" s="181">
        <f t="shared" si="167"/>
        <v>100</v>
      </c>
      <c r="AM653" s="243"/>
    </row>
    <row r="654" spans="1:39" ht="24.75" customHeight="1" x14ac:dyDescent="0.25">
      <c r="A654" s="243"/>
      <c r="B654" s="410"/>
      <c r="C654" s="410"/>
      <c r="D654" s="410"/>
      <c r="E654" s="410"/>
      <c r="F654" s="410"/>
      <c r="G654" s="410"/>
      <c r="H654" s="410"/>
      <c r="I654" s="411"/>
      <c r="J654" s="410" t="s">
        <v>284</v>
      </c>
      <c r="K654" s="245"/>
      <c r="L654" s="257"/>
      <c r="M654" s="591" t="s">
        <v>285</v>
      </c>
      <c r="N654" s="592"/>
      <c r="O654" s="179"/>
      <c r="P654" s="180"/>
      <c r="Q654" s="180">
        <v>2000000</v>
      </c>
      <c r="R654" s="181">
        <f t="shared" si="173"/>
        <v>0.59721994117383581</v>
      </c>
      <c r="S654" s="181">
        <v>100</v>
      </c>
      <c r="T654" s="180">
        <f t="shared" si="169"/>
        <v>0</v>
      </c>
      <c r="U654" s="180">
        <f t="shared" si="132"/>
        <v>0</v>
      </c>
      <c r="V654" s="182">
        <f t="shared" si="152"/>
        <v>100</v>
      </c>
      <c r="W654" s="180"/>
      <c r="X654" s="180"/>
      <c r="Y654" s="180"/>
      <c r="Z654" s="180"/>
      <c r="AA654" s="180"/>
      <c r="AB654" s="180"/>
      <c r="AC654" s="180"/>
      <c r="AD654" s="180"/>
      <c r="AE654" s="180"/>
      <c r="AF654" s="180"/>
      <c r="AG654" s="180"/>
      <c r="AH654" s="180"/>
      <c r="AI654" s="180">
        <v>0</v>
      </c>
      <c r="AJ654" s="181">
        <f t="shared" si="165"/>
        <v>0</v>
      </c>
      <c r="AK654" s="180">
        <f t="shared" si="171"/>
        <v>2000000</v>
      </c>
      <c r="AL654" s="181">
        <f t="shared" si="167"/>
        <v>100</v>
      </c>
      <c r="AM654" s="243"/>
    </row>
    <row r="655" spans="1:39" ht="24.75" customHeight="1" x14ac:dyDescent="0.25">
      <c r="A655" s="243"/>
      <c r="B655" s="410"/>
      <c r="C655" s="410"/>
      <c r="D655" s="410"/>
      <c r="E655" s="410"/>
      <c r="F655" s="410"/>
      <c r="G655" s="410"/>
      <c r="H655" s="410"/>
      <c r="I655" s="411"/>
      <c r="J655" s="410" t="s">
        <v>282</v>
      </c>
      <c r="K655" s="245"/>
      <c r="L655" s="257"/>
      <c r="M655" s="591" t="s">
        <v>283</v>
      </c>
      <c r="N655" s="592"/>
      <c r="O655" s="179"/>
      <c r="P655" s="180"/>
      <c r="Q655" s="180">
        <v>210000000</v>
      </c>
      <c r="R655" s="181">
        <f t="shared" si="173"/>
        <v>62.708093823252753</v>
      </c>
      <c r="S655" s="181">
        <v>100</v>
      </c>
      <c r="T655" s="180">
        <f t="shared" si="169"/>
        <v>0</v>
      </c>
      <c r="U655" s="180">
        <f t="shared" si="132"/>
        <v>0</v>
      </c>
      <c r="V655" s="182">
        <f t="shared" si="152"/>
        <v>100</v>
      </c>
      <c r="W655" s="180"/>
      <c r="X655" s="180"/>
      <c r="Y655" s="180"/>
      <c r="Z655" s="180"/>
      <c r="AA655" s="180"/>
      <c r="AB655" s="180"/>
      <c r="AC655" s="180"/>
      <c r="AD655" s="180"/>
      <c r="AE655" s="180"/>
      <c r="AF655" s="180"/>
      <c r="AG655" s="180"/>
      <c r="AH655" s="180"/>
      <c r="AI655" s="180">
        <v>0</v>
      </c>
      <c r="AJ655" s="181">
        <f t="shared" si="165"/>
        <v>0</v>
      </c>
      <c r="AK655" s="180">
        <f t="shared" si="171"/>
        <v>210000000</v>
      </c>
      <c r="AL655" s="181">
        <f t="shared" si="167"/>
        <v>100</v>
      </c>
      <c r="AM655" s="243"/>
    </row>
    <row r="656" spans="1:39" ht="24.75" customHeight="1" x14ac:dyDescent="0.25">
      <c r="A656" s="243"/>
      <c r="B656" s="410"/>
      <c r="C656" s="410"/>
      <c r="D656" s="410"/>
      <c r="E656" s="410"/>
      <c r="F656" s="410"/>
      <c r="G656" s="410"/>
      <c r="H656" s="410"/>
      <c r="I656" s="411"/>
      <c r="J656" s="410" t="s">
        <v>320</v>
      </c>
      <c r="K656" s="245"/>
      <c r="L656" s="257"/>
      <c r="M656" s="591" t="s">
        <v>321</v>
      </c>
      <c r="N656" s="592"/>
      <c r="O656" s="179"/>
      <c r="P656" s="180"/>
      <c r="Q656" s="180">
        <v>5600000</v>
      </c>
      <c r="R656" s="181">
        <f t="shared" si="173"/>
        <v>1.6722158352867402</v>
      </c>
      <c r="S656" s="181">
        <v>100</v>
      </c>
      <c r="T656" s="180">
        <f t="shared" si="169"/>
        <v>0</v>
      </c>
      <c r="U656" s="180">
        <f t="shared" si="132"/>
        <v>0</v>
      </c>
      <c r="V656" s="182">
        <f t="shared" si="152"/>
        <v>100</v>
      </c>
      <c r="W656" s="180"/>
      <c r="X656" s="180"/>
      <c r="Y656" s="180"/>
      <c r="Z656" s="180"/>
      <c r="AA656" s="180"/>
      <c r="AB656" s="180"/>
      <c r="AC656" s="180"/>
      <c r="AD656" s="180"/>
      <c r="AE656" s="180"/>
      <c r="AF656" s="180"/>
      <c r="AG656" s="180"/>
      <c r="AH656" s="180"/>
      <c r="AI656" s="180">
        <v>0</v>
      </c>
      <c r="AJ656" s="181">
        <f t="shared" si="165"/>
        <v>0</v>
      </c>
      <c r="AK656" s="180">
        <f t="shared" si="171"/>
        <v>5600000</v>
      </c>
      <c r="AL656" s="181">
        <f t="shared" si="167"/>
        <v>100</v>
      </c>
      <c r="AM656" s="243"/>
    </row>
    <row r="657" spans="1:39" ht="24.75" customHeight="1" x14ac:dyDescent="0.25">
      <c r="A657" s="243"/>
      <c r="B657" s="410"/>
      <c r="C657" s="410"/>
      <c r="D657" s="410"/>
      <c r="E657" s="410"/>
      <c r="F657" s="410"/>
      <c r="G657" s="410"/>
      <c r="H657" s="410"/>
      <c r="I657" s="411"/>
      <c r="J657" s="410" t="s">
        <v>407</v>
      </c>
      <c r="K657" s="245"/>
      <c r="L657" s="257"/>
      <c r="M657" s="591" t="s">
        <v>634</v>
      </c>
      <c r="N657" s="592"/>
      <c r="O657" s="179"/>
      <c r="P657" s="180"/>
      <c r="Q657" s="180">
        <v>4000000</v>
      </c>
      <c r="R657" s="181">
        <f t="shared" si="173"/>
        <v>1.1944398823476716</v>
      </c>
      <c r="S657" s="181">
        <v>100</v>
      </c>
      <c r="T657" s="180">
        <f t="shared" si="169"/>
        <v>0</v>
      </c>
      <c r="U657" s="180">
        <f t="shared" si="132"/>
        <v>0</v>
      </c>
      <c r="V657" s="182">
        <f t="shared" si="152"/>
        <v>100</v>
      </c>
      <c r="W657" s="180"/>
      <c r="X657" s="180"/>
      <c r="Y657" s="180"/>
      <c r="Z657" s="180"/>
      <c r="AA657" s="180"/>
      <c r="AB657" s="180"/>
      <c r="AC657" s="180"/>
      <c r="AD657" s="180"/>
      <c r="AE657" s="180"/>
      <c r="AF657" s="180"/>
      <c r="AG657" s="180"/>
      <c r="AH657" s="180"/>
      <c r="AI657" s="180">
        <v>0</v>
      </c>
      <c r="AJ657" s="181">
        <f t="shared" si="165"/>
        <v>0</v>
      </c>
      <c r="AK657" s="180">
        <f t="shared" si="171"/>
        <v>4000000</v>
      </c>
      <c r="AL657" s="181">
        <f t="shared" si="167"/>
        <v>100</v>
      </c>
      <c r="AM657" s="243"/>
    </row>
    <row r="658" spans="1:39" ht="24.75" customHeight="1" x14ac:dyDescent="0.25">
      <c r="A658" s="243"/>
      <c r="B658" s="410"/>
      <c r="C658" s="410"/>
      <c r="D658" s="410"/>
      <c r="E658" s="410"/>
      <c r="F658" s="410"/>
      <c r="G658" s="410"/>
      <c r="H658" s="410"/>
      <c r="I658" s="411"/>
      <c r="J658" s="410" t="s">
        <v>372</v>
      </c>
      <c r="K658" s="245"/>
      <c r="L658" s="257"/>
      <c r="M658" s="591" t="s">
        <v>373</v>
      </c>
      <c r="N658" s="592"/>
      <c r="O658" s="179"/>
      <c r="P658" s="180"/>
      <c r="Q658" s="180">
        <v>15000000</v>
      </c>
      <c r="R658" s="181">
        <f t="shared" si="173"/>
        <v>4.4791495588037682</v>
      </c>
      <c r="S658" s="181">
        <v>100</v>
      </c>
      <c r="T658" s="180">
        <f t="shared" si="169"/>
        <v>0</v>
      </c>
      <c r="U658" s="180">
        <f t="shared" si="132"/>
        <v>0</v>
      </c>
      <c r="V658" s="182">
        <f t="shared" si="152"/>
        <v>100</v>
      </c>
      <c r="W658" s="180"/>
      <c r="X658" s="180"/>
      <c r="Y658" s="180"/>
      <c r="Z658" s="180"/>
      <c r="AA658" s="180"/>
      <c r="AB658" s="180"/>
      <c r="AC658" s="180"/>
      <c r="AD658" s="180"/>
      <c r="AE658" s="180"/>
      <c r="AF658" s="180"/>
      <c r="AG658" s="180"/>
      <c r="AH658" s="180"/>
      <c r="AI658" s="180">
        <v>0</v>
      </c>
      <c r="AJ658" s="181">
        <f t="shared" si="165"/>
        <v>0</v>
      </c>
      <c r="AK658" s="180">
        <f t="shared" si="171"/>
        <v>15000000</v>
      </c>
      <c r="AL658" s="181">
        <f t="shared" si="167"/>
        <v>100</v>
      </c>
      <c r="AM658" s="243"/>
    </row>
    <row r="659" spans="1:39" s="297" customFormat="1" ht="28.5" customHeight="1" x14ac:dyDescent="0.25">
      <c r="A659" s="227">
        <v>78</v>
      </c>
      <c r="B659" s="415"/>
      <c r="C659" s="415"/>
      <c r="D659" s="415"/>
      <c r="E659" s="415"/>
      <c r="F659" s="415"/>
      <c r="G659" s="415"/>
      <c r="H659" s="415"/>
      <c r="I659" s="414"/>
      <c r="J659" s="304" t="s">
        <v>530</v>
      </c>
      <c r="K659" s="230"/>
      <c r="L659" s="294"/>
      <c r="M659" s="610" t="s">
        <v>210</v>
      </c>
      <c r="N659" s="610"/>
      <c r="O659" s="309"/>
      <c r="P659" s="231"/>
      <c r="Q659" s="231">
        <f>SUM(Q660:Q672)</f>
        <v>221952061</v>
      </c>
      <c r="R659" s="233">
        <f>Q659/Q$35*100</f>
        <v>0.69826432176742415</v>
      </c>
      <c r="S659" s="233">
        <v>100</v>
      </c>
      <c r="T659" s="231">
        <f t="shared" si="169"/>
        <v>97.886002509343669</v>
      </c>
      <c r="U659" s="231">
        <f t="shared" si="132"/>
        <v>0.68350303152711234</v>
      </c>
      <c r="V659" s="296">
        <f t="shared" si="152"/>
        <v>2.113997490656331</v>
      </c>
      <c r="W659" s="231"/>
      <c r="X659" s="231"/>
      <c r="Y659" s="231"/>
      <c r="Z659" s="231"/>
      <c r="AA659" s="231"/>
      <c r="AB659" s="231"/>
      <c r="AC659" s="231"/>
      <c r="AD659" s="231"/>
      <c r="AE659" s="231"/>
      <c r="AF659" s="231"/>
      <c r="AG659" s="231"/>
      <c r="AH659" s="231"/>
      <c r="AI659" s="231">
        <f>SUM(AI660:AI672)</f>
        <v>217260000</v>
      </c>
      <c r="AJ659" s="233">
        <f t="shared" si="165"/>
        <v>97.886002509343669</v>
      </c>
      <c r="AK659" s="231">
        <f t="shared" si="171"/>
        <v>4692061</v>
      </c>
      <c r="AL659" s="233">
        <f t="shared" si="167"/>
        <v>2.1139974906563266</v>
      </c>
      <c r="AM659" s="227"/>
    </row>
    <row r="660" spans="1:39" ht="28.5" customHeight="1" x14ac:dyDescent="0.25">
      <c r="A660" s="243"/>
      <c r="B660" s="410"/>
      <c r="C660" s="410"/>
      <c r="D660" s="410"/>
      <c r="E660" s="410"/>
      <c r="F660" s="410"/>
      <c r="G660" s="410"/>
      <c r="H660" s="410"/>
      <c r="I660" s="411"/>
      <c r="J660" s="410" t="s">
        <v>259</v>
      </c>
      <c r="K660" s="245"/>
      <c r="L660" s="257"/>
      <c r="M660" s="591" t="s">
        <v>260</v>
      </c>
      <c r="N660" s="592"/>
      <c r="O660" s="179"/>
      <c r="P660" s="180"/>
      <c r="Q660" s="180">
        <v>650000</v>
      </c>
      <c r="R660" s="181">
        <f t="shared" ref="R660:R672" si="174">Q660/Q$659*100</f>
        <v>0.29285603254659576</v>
      </c>
      <c r="S660" s="181">
        <v>100</v>
      </c>
      <c r="T660" s="180">
        <f t="shared" si="169"/>
        <v>100</v>
      </c>
      <c r="U660" s="180">
        <f t="shared" si="132"/>
        <v>0.29285603254659576</v>
      </c>
      <c r="V660" s="182">
        <f t="shared" si="152"/>
        <v>0</v>
      </c>
      <c r="W660" s="180"/>
      <c r="X660" s="180"/>
      <c r="Y660" s="180"/>
      <c r="Z660" s="180"/>
      <c r="AA660" s="180"/>
      <c r="AB660" s="180"/>
      <c r="AC660" s="180"/>
      <c r="AD660" s="180"/>
      <c r="AE660" s="180"/>
      <c r="AF660" s="180"/>
      <c r="AG660" s="180"/>
      <c r="AH660" s="180"/>
      <c r="AI660" s="180">
        <v>650000</v>
      </c>
      <c r="AJ660" s="181">
        <f t="shared" si="165"/>
        <v>100</v>
      </c>
      <c r="AK660" s="180">
        <f t="shared" si="171"/>
        <v>0</v>
      </c>
      <c r="AL660" s="181">
        <f t="shared" si="167"/>
        <v>0</v>
      </c>
      <c r="AM660" s="243"/>
    </row>
    <row r="661" spans="1:39" ht="28.5" customHeight="1" x14ac:dyDescent="0.25">
      <c r="A661" s="243"/>
      <c r="B661" s="410"/>
      <c r="C661" s="410"/>
      <c r="D661" s="410"/>
      <c r="E661" s="410"/>
      <c r="F661" s="410"/>
      <c r="G661" s="410"/>
      <c r="H661" s="410"/>
      <c r="I661" s="411"/>
      <c r="J661" s="410" t="s">
        <v>375</v>
      </c>
      <c r="K661" s="245"/>
      <c r="L661" s="257"/>
      <c r="M661" s="611" t="s">
        <v>376</v>
      </c>
      <c r="N661" s="598"/>
      <c r="O661" s="179"/>
      <c r="P661" s="180"/>
      <c r="Q661" s="180">
        <v>124500000</v>
      </c>
      <c r="R661" s="181">
        <f t="shared" si="174"/>
        <v>56.093193926232566</v>
      </c>
      <c r="S661" s="181">
        <v>100</v>
      </c>
      <c r="T661" s="180">
        <f t="shared" si="169"/>
        <v>98.353413654618464</v>
      </c>
      <c r="U661" s="180">
        <f t="shared" si="132"/>
        <v>55.16957105435484</v>
      </c>
      <c r="V661" s="182">
        <f t="shared" si="152"/>
        <v>1.6465863453815359</v>
      </c>
      <c r="W661" s="180"/>
      <c r="X661" s="180"/>
      <c r="Y661" s="180"/>
      <c r="Z661" s="180"/>
      <c r="AA661" s="180"/>
      <c r="AB661" s="180"/>
      <c r="AC661" s="180"/>
      <c r="AD661" s="180"/>
      <c r="AE661" s="180"/>
      <c r="AF661" s="180"/>
      <c r="AG661" s="180"/>
      <c r="AH661" s="180"/>
      <c r="AI661" s="180">
        <v>122450000</v>
      </c>
      <c r="AJ661" s="181">
        <f t="shared" si="165"/>
        <v>98.353413654618464</v>
      </c>
      <c r="AK661" s="180">
        <f t="shared" si="171"/>
        <v>2050000</v>
      </c>
      <c r="AL661" s="181">
        <f t="shared" si="167"/>
        <v>1.6465863453815262</v>
      </c>
      <c r="AM661" s="243"/>
    </row>
    <row r="662" spans="1:39" ht="28.5" customHeight="1" x14ac:dyDescent="0.25">
      <c r="A662" s="243"/>
      <c r="B662" s="410"/>
      <c r="C662" s="410"/>
      <c r="D662" s="410"/>
      <c r="E662" s="410"/>
      <c r="F662" s="410"/>
      <c r="G662" s="410"/>
      <c r="H662" s="410"/>
      <c r="I662" s="411"/>
      <c r="J662" s="410" t="s">
        <v>267</v>
      </c>
      <c r="K662" s="245"/>
      <c r="L662" s="257"/>
      <c r="M662" s="591" t="s">
        <v>268</v>
      </c>
      <c r="N662" s="592"/>
      <c r="O662" s="179"/>
      <c r="P662" s="180"/>
      <c r="Q662" s="180">
        <v>12500000</v>
      </c>
      <c r="R662" s="181">
        <f t="shared" si="174"/>
        <v>5.6318467797422258</v>
      </c>
      <c r="S662" s="181">
        <v>100</v>
      </c>
      <c r="T662" s="180">
        <f t="shared" si="169"/>
        <v>100</v>
      </c>
      <c r="U662" s="180">
        <f t="shared" si="132"/>
        <v>5.6318467797422258</v>
      </c>
      <c r="V662" s="182">
        <f t="shared" si="152"/>
        <v>0</v>
      </c>
      <c r="W662" s="180"/>
      <c r="X662" s="180"/>
      <c r="Y662" s="180"/>
      <c r="Z662" s="180"/>
      <c r="AA662" s="180"/>
      <c r="AB662" s="180"/>
      <c r="AC662" s="180"/>
      <c r="AD662" s="180"/>
      <c r="AE662" s="180"/>
      <c r="AF662" s="180"/>
      <c r="AG662" s="180"/>
      <c r="AH662" s="180"/>
      <c r="AI662" s="180">
        <v>12500000</v>
      </c>
      <c r="AJ662" s="181">
        <f t="shared" si="165"/>
        <v>100</v>
      </c>
      <c r="AK662" s="180">
        <f t="shared" si="171"/>
        <v>0</v>
      </c>
      <c r="AL662" s="181">
        <f t="shared" si="167"/>
        <v>0</v>
      </c>
      <c r="AM662" s="243"/>
    </row>
    <row r="663" spans="1:39" ht="28.5" customHeight="1" x14ac:dyDescent="0.25">
      <c r="A663" s="243"/>
      <c r="B663" s="410"/>
      <c r="C663" s="410"/>
      <c r="D663" s="410"/>
      <c r="E663" s="410"/>
      <c r="F663" s="410"/>
      <c r="G663" s="410"/>
      <c r="H663" s="410"/>
      <c r="I663" s="411"/>
      <c r="J663" s="410" t="s">
        <v>332</v>
      </c>
      <c r="K663" s="245"/>
      <c r="L663" s="257"/>
      <c r="M663" s="591" t="s">
        <v>351</v>
      </c>
      <c r="N663" s="592"/>
      <c r="O663" s="179"/>
      <c r="P663" s="180"/>
      <c r="Q663" s="180">
        <v>500000</v>
      </c>
      <c r="R663" s="181">
        <f t="shared" si="174"/>
        <v>0.22527387118968903</v>
      </c>
      <c r="S663" s="181">
        <v>100</v>
      </c>
      <c r="T663" s="180">
        <f t="shared" si="169"/>
        <v>100</v>
      </c>
      <c r="U663" s="180">
        <f t="shared" si="132"/>
        <v>0.22527387118968903</v>
      </c>
      <c r="V663" s="182">
        <f t="shared" si="152"/>
        <v>0</v>
      </c>
      <c r="W663" s="180"/>
      <c r="X663" s="180"/>
      <c r="Y663" s="180"/>
      <c r="Z663" s="180"/>
      <c r="AA663" s="180"/>
      <c r="AB663" s="180"/>
      <c r="AC663" s="180"/>
      <c r="AD663" s="180"/>
      <c r="AE663" s="180"/>
      <c r="AF663" s="180"/>
      <c r="AG663" s="180"/>
      <c r="AH663" s="180"/>
      <c r="AI663" s="180">
        <v>500000</v>
      </c>
      <c r="AJ663" s="181">
        <f t="shared" si="165"/>
        <v>100</v>
      </c>
      <c r="AK663" s="180">
        <f t="shared" si="171"/>
        <v>0</v>
      </c>
      <c r="AL663" s="181">
        <f t="shared" si="167"/>
        <v>0</v>
      </c>
      <c r="AM663" s="243"/>
    </row>
    <row r="664" spans="1:39" ht="28.5" customHeight="1" x14ac:dyDescent="0.25">
      <c r="A664" s="243"/>
      <c r="B664" s="410"/>
      <c r="C664" s="410"/>
      <c r="D664" s="410"/>
      <c r="E664" s="410"/>
      <c r="F664" s="410"/>
      <c r="G664" s="410"/>
      <c r="H664" s="410"/>
      <c r="I664" s="411"/>
      <c r="J664" s="410" t="s">
        <v>315</v>
      </c>
      <c r="K664" s="245"/>
      <c r="L664" s="257"/>
      <c r="M664" s="591" t="s">
        <v>271</v>
      </c>
      <c r="N664" s="592"/>
      <c r="O664" s="179"/>
      <c r="P664" s="180"/>
      <c r="Q664" s="180">
        <v>977061</v>
      </c>
      <c r="R664" s="181">
        <f t="shared" si="174"/>
        <v>0.44021262771693753</v>
      </c>
      <c r="S664" s="181">
        <v>100</v>
      </c>
      <c r="T664" s="180">
        <f t="shared" si="169"/>
        <v>97.230367397736686</v>
      </c>
      <c r="U664" s="180">
        <f t="shared" si="132"/>
        <v>0.42802035526040916</v>
      </c>
      <c r="V664" s="182">
        <f t="shared" si="152"/>
        <v>2.7696326022633144</v>
      </c>
      <c r="W664" s="180"/>
      <c r="X664" s="180"/>
      <c r="Y664" s="180"/>
      <c r="Z664" s="180"/>
      <c r="AA664" s="180"/>
      <c r="AB664" s="180"/>
      <c r="AC664" s="180"/>
      <c r="AD664" s="180"/>
      <c r="AE664" s="180"/>
      <c r="AF664" s="180"/>
      <c r="AG664" s="180"/>
      <c r="AH664" s="180"/>
      <c r="AI664" s="180">
        <v>950000</v>
      </c>
      <c r="AJ664" s="181">
        <f t="shared" si="165"/>
        <v>97.230367397736686</v>
      </c>
      <c r="AK664" s="180">
        <f t="shared" si="171"/>
        <v>27061</v>
      </c>
      <c r="AL664" s="181">
        <f t="shared" si="167"/>
        <v>2.7696326022633184</v>
      </c>
      <c r="AM664" s="243"/>
    </row>
    <row r="665" spans="1:39" ht="28.5" customHeight="1" x14ac:dyDescent="0.25">
      <c r="A665" s="243"/>
      <c r="B665" s="410"/>
      <c r="C665" s="410"/>
      <c r="D665" s="410"/>
      <c r="E665" s="410"/>
      <c r="F665" s="410"/>
      <c r="G665" s="410"/>
      <c r="H665" s="410"/>
      <c r="I665" s="411"/>
      <c r="J665" s="410" t="s">
        <v>316</v>
      </c>
      <c r="K665" s="245"/>
      <c r="L665" s="257"/>
      <c r="M665" s="591" t="s">
        <v>317</v>
      </c>
      <c r="N665" s="592"/>
      <c r="O665" s="179"/>
      <c r="P665" s="180"/>
      <c r="Q665" s="180">
        <v>400000</v>
      </c>
      <c r="R665" s="181">
        <f t="shared" si="174"/>
        <v>0.18021909695175123</v>
      </c>
      <c r="S665" s="181">
        <v>100</v>
      </c>
      <c r="T665" s="180">
        <f t="shared" si="169"/>
        <v>100</v>
      </c>
      <c r="U665" s="180">
        <f t="shared" si="132"/>
        <v>0.18021909695175123</v>
      </c>
      <c r="V665" s="182">
        <f t="shared" si="152"/>
        <v>0</v>
      </c>
      <c r="W665" s="180"/>
      <c r="X665" s="180"/>
      <c r="Y665" s="180"/>
      <c r="Z665" s="180"/>
      <c r="AA665" s="180"/>
      <c r="AB665" s="180"/>
      <c r="AC665" s="180"/>
      <c r="AD665" s="180"/>
      <c r="AE665" s="180"/>
      <c r="AF665" s="180"/>
      <c r="AG665" s="180"/>
      <c r="AH665" s="180"/>
      <c r="AI665" s="180">
        <v>400000</v>
      </c>
      <c r="AJ665" s="181">
        <f t="shared" si="165"/>
        <v>100</v>
      </c>
      <c r="AK665" s="180">
        <f t="shared" si="171"/>
        <v>0</v>
      </c>
      <c r="AL665" s="181">
        <f t="shared" si="167"/>
        <v>0</v>
      </c>
      <c r="AM665" s="243"/>
    </row>
    <row r="666" spans="1:39" ht="28.5" customHeight="1" x14ac:dyDescent="0.25">
      <c r="A666" s="243"/>
      <c r="B666" s="410"/>
      <c r="C666" s="410"/>
      <c r="D666" s="410"/>
      <c r="E666" s="410"/>
      <c r="F666" s="410"/>
      <c r="G666" s="410"/>
      <c r="H666" s="410"/>
      <c r="I666" s="411"/>
      <c r="J666" s="410" t="s">
        <v>318</v>
      </c>
      <c r="K666" s="245"/>
      <c r="L666" s="257"/>
      <c r="M666" s="591" t="s">
        <v>319</v>
      </c>
      <c r="N666" s="592"/>
      <c r="O666" s="179"/>
      <c r="P666" s="180"/>
      <c r="Q666" s="180">
        <v>35000000</v>
      </c>
      <c r="R666" s="181">
        <f t="shared" si="174"/>
        <v>15.769170983278229</v>
      </c>
      <c r="S666" s="181">
        <v>100</v>
      </c>
      <c r="T666" s="180">
        <f t="shared" si="169"/>
        <v>100</v>
      </c>
      <c r="U666" s="180">
        <f t="shared" si="132"/>
        <v>15.769170983278229</v>
      </c>
      <c r="V666" s="182">
        <f t="shared" si="152"/>
        <v>0</v>
      </c>
      <c r="W666" s="180"/>
      <c r="X666" s="180"/>
      <c r="Y666" s="180"/>
      <c r="Z666" s="180"/>
      <c r="AA666" s="180"/>
      <c r="AB666" s="180"/>
      <c r="AC666" s="180"/>
      <c r="AD666" s="180"/>
      <c r="AE666" s="180"/>
      <c r="AF666" s="180"/>
      <c r="AG666" s="180"/>
      <c r="AH666" s="180"/>
      <c r="AI666" s="180">
        <v>35000000</v>
      </c>
      <c r="AJ666" s="181">
        <f t="shared" si="165"/>
        <v>100</v>
      </c>
      <c r="AK666" s="180">
        <f t="shared" si="171"/>
        <v>0</v>
      </c>
      <c r="AL666" s="181">
        <f t="shared" si="167"/>
        <v>0</v>
      </c>
      <c r="AM666" s="243"/>
    </row>
    <row r="667" spans="1:39" ht="28.5" customHeight="1" x14ac:dyDescent="0.25">
      <c r="A667" s="243"/>
      <c r="B667" s="410"/>
      <c r="C667" s="410"/>
      <c r="D667" s="410"/>
      <c r="E667" s="410"/>
      <c r="F667" s="410"/>
      <c r="G667" s="410"/>
      <c r="H667" s="410"/>
      <c r="I667" s="411"/>
      <c r="J667" s="410" t="s">
        <v>280</v>
      </c>
      <c r="K667" s="245"/>
      <c r="L667" s="257"/>
      <c r="M667" s="591" t="s">
        <v>281</v>
      </c>
      <c r="N667" s="592"/>
      <c r="O667" s="179"/>
      <c r="P667" s="180"/>
      <c r="Q667" s="180">
        <v>1250000</v>
      </c>
      <c r="R667" s="181">
        <f t="shared" si="174"/>
        <v>0.56318467797422256</v>
      </c>
      <c r="S667" s="181">
        <v>100</v>
      </c>
      <c r="T667" s="180">
        <f t="shared" si="169"/>
        <v>100</v>
      </c>
      <c r="U667" s="180">
        <f t="shared" si="132"/>
        <v>0.56318467797422256</v>
      </c>
      <c r="V667" s="182">
        <f t="shared" si="152"/>
        <v>0</v>
      </c>
      <c r="W667" s="180"/>
      <c r="X667" s="180"/>
      <c r="Y667" s="180"/>
      <c r="Z667" s="180"/>
      <c r="AA667" s="180"/>
      <c r="AB667" s="180"/>
      <c r="AC667" s="180"/>
      <c r="AD667" s="180"/>
      <c r="AE667" s="180"/>
      <c r="AF667" s="180"/>
      <c r="AG667" s="180"/>
      <c r="AH667" s="180"/>
      <c r="AI667" s="180">
        <v>1250000</v>
      </c>
      <c r="AJ667" s="181">
        <f t="shared" si="165"/>
        <v>100</v>
      </c>
      <c r="AK667" s="180">
        <f t="shared" si="171"/>
        <v>0</v>
      </c>
      <c r="AL667" s="181">
        <f t="shared" si="167"/>
        <v>0</v>
      </c>
      <c r="AM667" s="243"/>
    </row>
    <row r="668" spans="1:39" ht="28.5" customHeight="1" x14ac:dyDescent="0.25">
      <c r="A668" s="243"/>
      <c r="B668" s="410"/>
      <c r="C668" s="410"/>
      <c r="D668" s="410"/>
      <c r="E668" s="410"/>
      <c r="F668" s="410"/>
      <c r="G668" s="410"/>
      <c r="H668" s="410"/>
      <c r="I668" s="411"/>
      <c r="J668" s="410" t="s">
        <v>284</v>
      </c>
      <c r="K668" s="245"/>
      <c r="L668" s="257"/>
      <c r="M668" s="591" t="s">
        <v>285</v>
      </c>
      <c r="N668" s="592"/>
      <c r="O668" s="179"/>
      <c r="P668" s="180"/>
      <c r="Q668" s="180">
        <v>2925000</v>
      </c>
      <c r="R668" s="181">
        <f t="shared" si="174"/>
        <v>1.3178521464596809</v>
      </c>
      <c r="S668" s="181">
        <v>100</v>
      </c>
      <c r="T668" s="180">
        <f t="shared" si="169"/>
        <v>78.974358974358978</v>
      </c>
      <c r="U668" s="180">
        <f t="shared" si="132"/>
        <v>1.0407652848963636</v>
      </c>
      <c r="V668" s="182">
        <f t="shared" si="152"/>
        <v>21.025641025641022</v>
      </c>
      <c r="W668" s="180"/>
      <c r="X668" s="180"/>
      <c r="Y668" s="180"/>
      <c r="Z668" s="180"/>
      <c r="AA668" s="180"/>
      <c r="AB668" s="180"/>
      <c r="AC668" s="180"/>
      <c r="AD668" s="180"/>
      <c r="AE668" s="180"/>
      <c r="AF668" s="180"/>
      <c r="AG668" s="180"/>
      <c r="AH668" s="180"/>
      <c r="AI668" s="180">
        <v>2310000</v>
      </c>
      <c r="AJ668" s="181">
        <f t="shared" si="165"/>
        <v>78.974358974358978</v>
      </c>
      <c r="AK668" s="180">
        <f t="shared" si="171"/>
        <v>615000</v>
      </c>
      <c r="AL668" s="181">
        <f t="shared" si="167"/>
        <v>21.025641025641026</v>
      </c>
      <c r="AM668" s="243"/>
    </row>
    <row r="669" spans="1:39" ht="28.5" customHeight="1" x14ac:dyDescent="0.25">
      <c r="A669" s="243"/>
      <c r="B669" s="410"/>
      <c r="C669" s="410"/>
      <c r="D669" s="410"/>
      <c r="E669" s="410"/>
      <c r="F669" s="410"/>
      <c r="G669" s="410"/>
      <c r="H669" s="410"/>
      <c r="I669" s="411"/>
      <c r="J669" s="410" t="s">
        <v>282</v>
      </c>
      <c r="K669" s="245"/>
      <c r="L669" s="257"/>
      <c r="M669" s="591" t="s">
        <v>283</v>
      </c>
      <c r="N669" s="592"/>
      <c r="O669" s="179"/>
      <c r="P669" s="180"/>
      <c r="Q669" s="180">
        <v>21300000</v>
      </c>
      <c r="R669" s="181">
        <f t="shared" si="174"/>
        <v>9.5966669126807531</v>
      </c>
      <c r="S669" s="181">
        <v>100</v>
      </c>
      <c r="T669" s="180">
        <f t="shared" si="169"/>
        <v>100</v>
      </c>
      <c r="U669" s="180">
        <f t="shared" si="132"/>
        <v>9.5966669126807531</v>
      </c>
      <c r="V669" s="182">
        <f t="shared" si="152"/>
        <v>0</v>
      </c>
      <c r="W669" s="180"/>
      <c r="X669" s="180"/>
      <c r="Y669" s="180"/>
      <c r="Z669" s="180"/>
      <c r="AA669" s="180"/>
      <c r="AB669" s="180"/>
      <c r="AC669" s="180"/>
      <c r="AD669" s="180"/>
      <c r="AE669" s="180"/>
      <c r="AF669" s="180"/>
      <c r="AG669" s="180"/>
      <c r="AH669" s="180"/>
      <c r="AI669" s="180">
        <v>21300000</v>
      </c>
      <c r="AJ669" s="181">
        <f t="shared" si="165"/>
        <v>100</v>
      </c>
      <c r="AK669" s="180">
        <f t="shared" si="171"/>
        <v>0</v>
      </c>
      <c r="AL669" s="181">
        <f t="shared" si="167"/>
        <v>0</v>
      </c>
      <c r="AM669" s="243"/>
    </row>
    <row r="670" spans="1:39" ht="28.5" customHeight="1" x14ac:dyDescent="0.25">
      <c r="A670" s="243"/>
      <c r="B670" s="410"/>
      <c r="C670" s="410"/>
      <c r="D670" s="410"/>
      <c r="E670" s="410"/>
      <c r="F670" s="410"/>
      <c r="G670" s="410"/>
      <c r="H670" s="410"/>
      <c r="I670" s="411"/>
      <c r="J670" s="410" t="s">
        <v>320</v>
      </c>
      <c r="K670" s="245"/>
      <c r="L670" s="257"/>
      <c r="M670" s="591" t="s">
        <v>321</v>
      </c>
      <c r="N670" s="592"/>
      <c r="O670" s="179"/>
      <c r="P670" s="180"/>
      <c r="Q670" s="180">
        <v>4300000</v>
      </c>
      <c r="R670" s="181">
        <f t="shared" si="174"/>
        <v>1.9373552922313255</v>
      </c>
      <c r="S670" s="181">
        <v>100</v>
      </c>
      <c r="T670" s="180">
        <f t="shared" si="169"/>
        <v>100</v>
      </c>
      <c r="U670" s="180">
        <f t="shared" si="132"/>
        <v>1.9373552922313255</v>
      </c>
      <c r="V670" s="182">
        <f t="shared" si="152"/>
        <v>0</v>
      </c>
      <c r="W670" s="180"/>
      <c r="X670" s="180"/>
      <c r="Y670" s="180"/>
      <c r="Z670" s="180"/>
      <c r="AA670" s="180"/>
      <c r="AB670" s="180"/>
      <c r="AC670" s="180"/>
      <c r="AD670" s="180"/>
      <c r="AE670" s="180"/>
      <c r="AF670" s="180"/>
      <c r="AG670" s="180"/>
      <c r="AH670" s="180"/>
      <c r="AI670" s="180">
        <v>4300000</v>
      </c>
      <c r="AJ670" s="181">
        <f t="shared" si="165"/>
        <v>100</v>
      </c>
      <c r="AK670" s="180">
        <f t="shared" si="171"/>
        <v>0</v>
      </c>
      <c r="AL670" s="181">
        <f t="shared" si="167"/>
        <v>0</v>
      </c>
      <c r="AM670" s="243"/>
    </row>
    <row r="671" spans="1:39" ht="28.5" customHeight="1" x14ac:dyDescent="0.25">
      <c r="A671" s="243"/>
      <c r="B671" s="410"/>
      <c r="C671" s="410"/>
      <c r="D671" s="410"/>
      <c r="E671" s="410"/>
      <c r="F671" s="410"/>
      <c r="G671" s="410"/>
      <c r="H671" s="410"/>
      <c r="I671" s="411"/>
      <c r="J671" s="410" t="s">
        <v>407</v>
      </c>
      <c r="K671" s="245"/>
      <c r="L671" s="257"/>
      <c r="M671" s="591" t="s">
        <v>607</v>
      </c>
      <c r="N671" s="592"/>
      <c r="O671" s="179"/>
      <c r="P671" s="180"/>
      <c r="Q671" s="180">
        <v>2650000</v>
      </c>
      <c r="R671" s="181">
        <f t="shared" si="174"/>
        <v>1.1939515173053519</v>
      </c>
      <c r="S671" s="181">
        <v>100</v>
      </c>
      <c r="T671" s="180">
        <f t="shared" si="169"/>
        <v>24.528301886792452</v>
      </c>
      <c r="U671" s="180">
        <f t="shared" si="132"/>
        <v>0.29285603254659576</v>
      </c>
      <c r="V671" s="182">
        <f t="shared" si="152"/>
        <v>75.471698113207552</v>
      </c>
      <c r="W671" s="180"/>
      <c r="X671" s="180"/>
      <c r="Y671" s="180"/>
      <c r="Z671" s="180"/>
      <c r="AA671" s="180"/>
      <c r="AB671" s="180"/>
      <c r="AC671" s="180"/>
      <c r="AD671" s="180"/>
      <c r="AE671" s="180"/>
      <c r="AF671" s="180"/>
      <c r="AG671" s="180"/>
      <c r="AH671" s="180"/>
      <c r="AI671" s="180">
        <v>650000</v>
      </c>
      <c r="AJ671" s="181">
        <f t="shared" si="165"/>
        <v>24.528301886792452</v>
      </c>
      <c r="AK671" s="180">
        <f t="shared" si="171"/>
        <v>2000000</v>
      </c>
      <c r="AL671" s="181">
        <f t="shared" si="167"/>
        <v>75.471698113207552</v>
      </c>
      <c r="AM671" s="243"/>
    </row>
    <row r="672" spans="1:39" ht="28.5" customHeight="1" x14ac:dyDescent="0.25">
      <c r="A672" s="243"/>
      <c r="B672" s="410"/>
      <c r="C672" s="410"/>
      <c r="D672" s="410"/>
      <c r="E672" s="410"/>
      <c r="F672" s="410"/>
      <c r="G672" s="410"/>
      <c r="H672" s="410"/>
      <c r="I672" s="411"/>
      <c r="J672" s="410" t="s">
        <v>372</v>
      </c>
      <c r="K672" s="245"/>
      <c r="L672" s="257"/>
      <c r="M672" s="591" t="s">
        <v>373</v>
      </c>
      <c r="N672" s="592"/>
      <c r="O672" s="179"/>
      <c r="P672" s="180"/>
      <c r="Q672" s="180">
        <v>15000000</v>
      </c>
      <c r="R672" s="181">
        <f t="shared" si="174"/>
        <v>6.7582161356906703</v>
      </c>
      <c r="S672" s="181">
        <v>100</v>
      </c>
      <c r="T672" s="180">
        <f t="shared" si="169"/>
        <v>100</v>
      </c>
      <c r="U672" s="180">
        <f t="shared" si="132"/>
        <v>6.7582161356906703</v>
      </c>
      <c r="V672" s="182">
        <v>100</v>
      </c>
      <c r="W672" s="180"/>
      <c r="X672" s="180"/>
      <c r="Y672" s="180"/>
      <c r="Z672" s="180"/>
      <c r="AA672" s="180"/>
      <c r="AB672" s="180"/>
      <c r="AC672" s="180"/>
      <c r="AD672" s="180"/>
      <c r="AE672" s="180"/>
      <c r="AF672" s="180"/>
      <c r="AG672" s="180"/>
      <c r="AH672" s="180"/>
      <c r="AI672" s="180">
        <v>15000000</v>
      </c>
      <c r="AJ672" s="181">
        <f t="shared" si="165"/>
        <v>100</v>
      </c>
      <c r="AK672" s="180">
        <f t="shared" si="171"/>
        <v>0</v>
      </c>
      <c r="AL672" s="181">
        <f t="shared" si="167"/>
        <v>0</v>
      </c>
      <c r="AM672" s="243"/>
    </row>
    <row r="673" spans="1:83" s="297" customFormat="1" ht="28.5" customHeight="1" x14ac:dyDescent="0.25">
      <c r="A673" s="227">
        <f>SUM(A659+1)</f>
        <v>79</v>
      </c>
      <c r="B673" s="415"/>
      <c r="C673" s="415"/>
      <c r="D673" s="415"/>
      <c r="E673" s="415"/>
      <c r="F673" s="415"/>
      <c r="G673" s="415"/>
      <c r="H673" s="415"/>
      <c r="I673" s="414"/>
      <c r="J673" s="415" t="s">
        <v>377</v>
      </c>
      <c r="K673" s="230"/>
      <c r="L673" s="294"/>
      <c r="M673" s="610" t="s">
        <v>378</v>
      </c>
      <c r="N673" s="610"/>
      <c r="O673" s="309">
        <v>355300000</v>
      </c>
      <c r="P673" s="231">
        <v>0</v>
      </c>
      <c r="Q673" s="231">
        <f>SUM(Q674:Q678)</f>
        <v>88840644</v>
      </c>
      <c r="R673" s="233">
        <f>Q673/Q$35*100</f>
        <v>0.27949392201427309</v>
      </c>
      <c r="S673" s="233">
        <v>100</v>
      </c>
      <c r="T673" s="231">
        <f t="shared" si="169"/>
        <v>24.144354469109881</v>
      </c>
      <c r="U673" s="231">
        <f>R673*T673/100</f>
        <v>6.7482003250743633E-2</v>
      </c>
      <c r="V673" s="296">
        <f t="shared" si="152"/>
        <v>75.855645530890115</v>
      </c>
      <c r="W673" s="231"/>
      <c r="X673" s="231"/>
      <c r="Y673" s="231"/>
      <c r="Z673" s="231"/>
      <c r="AA673" s="231"/>
      <c r="AB673" s="231"/>
      <c r="AC673" s="231"/>
      <c r="AD673" s="231"/>
      <c r="AE673" s="231"/>
      <c r="AF673" s="231"/>
      <c r="AG673" s="231" t="e">
        <f>[2]april!N78</f>
        <v>#REF!</v>
      </c>
      <c r="AH673" s="231">
        <f>'[3]DES SKPD'!$N78</f>
        <v>0</v>
      </c>
      <c r="AI673" s="231">
        <f>SUM(AI674:AI678)</f>
        <v>21450000</v>
      </c>
      <c r="AJ673" s="233">
        <f t="shared" si="165"/>
        <v>24.144354469109881</v>
      </c>
      <c r="AK673" s="231">
        <f t="shared" si="171"/>
        <v>67390644</v>
      </c>
      <c r="AL673" s="233">
        <f t="shared" si="167"/>
        <v>75.855645530890115</v>
      </c>
      <c r="AM673" s="227"/>
    </row>
    <row r="674" spans="1:83" ht="28.5" customHeight="1" x14ac:dyDescent="0.25">
      <c r="A674" s="243"/>
      <c r="B674" s="410"/>
      <c r="C674" s="410"/>
      <c r="D674" s="410"/>
      <c r="E674" s="410"/>
      <c r="F674" s="410"/>
      <c r="G674" s="410"/>
      <c r="H674" s="410"/>
      <c r="I674" s="411"/>
      <c r="J674" s="410" t="s">
        <v>323</v>
      </c>
      <c r="K674" s="245"/>
      <c r="L674" s="257"/>
      <c r="M674" s="591" t="s">
        <v>324</v>
      </c>
      <c r="N674" s="592"/>
      <c r="O674" s="179"/>
      <c r="P674" s="180"/>
      <c r="Q674" s="180">
        <v>25000000</v>
      </c>
      <c r="R674" s="181">
        <f>Q674/Q$673*100</f>
        <v>28.140273274020842</v>
      </c>
      <c r="S674" s="181">
        <v>100</v>
      </c>
      <c r="T674" s="180">
        <f t="shared" si="169"/>
        <v>40</v>
      </c>
      <c r="U674" s="180">
        <f t="shared" ref="U674:U679" si="175">R674*T674/100</f>
        <v>11.256109309608338</v>
      </c>
      <c r="V674" s="182">
        <f t="shared" si="152"/>
        <v>60</v>
      </c>
      <c r="W674" s="180"/>
      <c r="X674" s="180"/>
      <c r="Y674" s="180"/>
      <c r="Z674" s="180"/>
      <c r="AA674" s="180"/>
      <c r="AB674" s="180"/>
      <c r="AC674" s="180"/>
      <c r="AD674" s="180"/>
      <c r="AE674" s="180"/>
      <c r="AF674" s="180"/>
      <c r="AG674" s="180"/>
      <c r="AH674" s="180"/>
      <c r="AI674" s="180">
        <f>5000000+5000000</f>
        <v>10000000</v>
      </c>
      <c r="AJ674" s="181">
        <f t="shared" si="165"/>
        <v>40</v>
      </c>
      <c r="AK674" s="180">
        <f t="shared" si="171"/>
        <v>15000000</v>
      </c>
      <c r="AL674" s="181">
        <f t="shared" si="167"/>
        <v>60</v>
      </c>
      <c r="AM674" s="243"/>
    </row>
    <row r="675" spans="1:83" ht="28.5" customHeight="1" x14ac:dyDescent="0.25">
      <c r="A675" s="243"/>
      <c r="B675" s="410"/>
      <c r="C675" s="410"/>
      <c r="D675" s="410"/>
      <c r="E675" s="410"/>
      <c r="F675" s="410"/>
      <c r="G675" s="410"/>
      <c r="H675" s="410"/>
      <c r="I675" s="411"/>
      <c r="J675" s="410" t="s">
        <v>315</v>
      </c>
      <c r="K675" s="245"/>
      <c r="L675" s="257"/>
      <c r="M675" s="591" t="s">
        <v>271</v>
      </c>
      <c r="N675" s="592"/>
      <c r="O675" s="179"/>
      <c r="P675" s="180"/>
      <c r="Q675" s="180">
        <v>2000000</v>
      </c>
      <c r="R675" s="181">
        <f t="shared" ref="R675:R678" si="176">Q675/Q$673*100</f>
        <v>2.2512218619216671</v>
      </c>
      <c r="S675" s="181">
        <v>100</v>
      </c>
      <c r="T675" s="180">
        <f t="shared" si="169"/>
        <v>37.5</v>
      </c>
      <c r="U675" s="180">
        <f t="shared" si="175"/>
        <v>0.84420819822062509</v>
      </c>
      <c r="V675" s="182">
        <f t="shared" si="152"/>
        <v>62.5</v>
      </c>
      <c r="W675" s="180"/>
      <c r="X675" s="180"/>
      <c r="Y675" s="180"/>
      <c r="Z675" s="180"/>
      <c r="AA675" s="180"/>
      <c r="AB675" s="180"/>
      <c r="AC675" s="180"/>
      <c r="AD675" s="180"/>
      <c r="AE675" s="180"/>
      <c r="AF675" s="180"/>
      <c r="AG675" s="180"/>
      <c r="AH675" s="180"/>
      <c r="AI675" s="180">
        <v>750000</v>
      </c>
      <c r="AJ675" s="181">
        <f t="shared" si="165"/>
        <v>37.5</v>
      </c>
      <c r="AK675" s="180">
        <f t="shared" si="171"/>
        <v>1250000</v>
      </c>
      <c r="AL675" s="181">
        <f t="shared" si="167"/>
        <v>62.5</v>
      </c>
      <c r="AM675" s="243"/>
    </row>
    <row r="676" spans="1:83" ht="28.5" customHeight="1" x14ac:dyDescent="0.25">
      <c r="A676" s="243"/>
      <c r="B676" s="410"/>
      <c r="C676" s="410"/>
      <c r="D676" s="410"/>
      <c r="E676" s="410"/>
      <c r="F676" s="410"/>
      <c r="G676" s="410"/>
      <c r="H676" s="410"/>
      <c r="I676" s="411"/>
      <c r="J676" s="410" t="s">
        <v>280</v>
      </c>
      <c r="K676" s="245"/>
      <c r="L676" s="257"/>
      <c r="M676" s="591" t="s">
        <v>425</v>
      </c>
      <c r="N676" s="592"/>
      <c r="O676" s="179"/>
      <c r="P676" s="180"/>
      <c r="Q676" s="180">
        <v>7500000</v>
      </c>
      <c r="R676" s="181">
        <f t="shared" si="176"/>
        <v>8.4420819822062523</v>
      </c>
      <c r="S676" s="181">
        <v>100</v>
      </c>
      <c r="T676" s="180">
        <f t="shared" si="169"/>
        <v>33.333333333333329</v>
      </c>
      <c r="U676" s="180">
        <f t="shared" si="175"/>
        <v>2.8140273274020835</v>
      </c>
      <c r="V676" s="182">
        <f t="shared" si="152"/>
        <v>66.666666666666671</v>
      </c>
      <c r="W676" s="180"/>
      <c r="X676" s="180"/>
      <c r="Y676" s="180"/>
      <c r="Z676" s="180"/>
      <c r="AA676" s="180"/>
      <c r="AB676" s="180"/>
      <c r="AC676" s="180"/>
      <c r="AD676" s="180"/>
      <c r="AE676" s="180"/>
      <c r="AF676" s="180"/>
      <c r="AG676" s="180"/>
      <c r="AH676" s="180"/>
      <c r="AI676" s="180">
        <f>1250000+1250000</f>
        <v>2500000</v>
      </c>
      <c r="AJ676" s="181">
        <f t="shared" si="165"/>
        <v>33.333333333333329</v>
      </c>
      <c r="AK676" s="180">
        <f t="shared" si="171"/>
        <v>5000000</v>
      </c>
      <c r="AL676" s="181">
        <f t="shared" si="167"/>
        <v>66.666666666666657</v>
      </c>
      <c r="AM676" s="243"/>
    </row>
    <row r="677" spans="1:83" ht="28.5" customHeight="1" x14ac:dyDescent="0.25">
      <c r="A677" s="243"/>
      <c r="B677" s="410"/>
      <c r="C677" s="410"/>
      <c r="D677" s="410"/>
      <c r="E677" s="410"/>
      <c r="F677" s="410"/>
      <c r="G677" s="410"/>
      <c r="H677" s="410"/>
      <c r="I677" s="411"/>
      <c r="J677" s="410" t="s">
        <v>284</v>
      </c>
      <c r="K677" s="245"/>
      <c r="L677" s="257"/>
      <c r="M677" s="591" t="s">
        <v>285</v>
      </c>
      <c r="N677" s="592"/>
      <c r="O677" s="179"/>
      <c r="P677" s="180"/>
      <c r="Q677" s="180">
        <v>24500000</v>
      </c>
      <c r="R677" s="181">
        <f t="shared" si="176"/>
        <v>27.577467808540423</v>
      </c>
      <c r="S677" s="181">
        <v>100</v>
      </c>
      <c r="T677" s="180">
        <f t="shared" si="169"/>
        <v>0</v>
      </c>
      <c r="U677" s="180">
        <f t="shared" si="175"/>
        <v>0</v>
      </c>
      <c r="V677" s="182">
        <f t="shared" si="152"/>
        <v>100</v>
      </c>
      <c r="W677" s="180"/>
      <c r="X677" s="180"/>
      <c r="Y677" s="180"/>
      <c r="Z677" s="180"/>
      <c r="AA677" s="180"/>
      <c r="AB677" s="180"/>
      <c r="AC677" s="180"/>
      <c r="AD677" s="180"/>
      <c r="AE677" s="180"/>
      <c r="AF677" s="180"/>
      <c r="AG677" s="180"/>
      <c r="AH677" s="180"/>
      <c r="AI677" s="180">
        <v>0</v>
      </c>
      <c r="AJ677" s="181">
        <f t="shared" si="165"/>
        <v>0</v>
      </c>
      <c r="AK677" s="180">
        <f t="shared" si="171"/>
        <v>24500000</v>
      </c>
      <c r="AL677" s="181">
        <f t="shared" si="167"/>
        <v>100</v>
      </c>
      <c r="AM677" s="243"/>
    </row>
    <row r="678" spans="1:83" ht="28.5" customHeight="1" x14ac:dyDescent="0.25">
      <c r="A678" s="243"/>
      <c r="B678" s="410"/>
      <c r="C678" s="410"/>
      <c r="D678" s="410"/>
      <c r="E678" s="410"/>
      <c r="F678" s="410"/>
      <c r="G678" s="410"/>
      <c r="H678" s="410"/>
      <c r="I678" s="411"/>
      <c r="J678" s="410" t="s">
        <v>282</v>
      </c>
      <c r="K678" s="245"/>
      <c r="L678" s="257"/>
      <c r="M678" s="591" t="s">
        <v>283</v>
      </c>
      <c r="N678" s="592"/>
      <c r="O678" s="179"/>
      <c r="P678" s="180"/>
      <c r="Q678" s="180">
        <v>29840644</v>
      </c>
      <c r="R678" s="181">
        <f t="shared" si="176"/>
        <v>33.588955073310814</v>
      </c>
      <c r="S678" s="181">
        <v>100</v>
      </c>
      <c r="T678" s="180">
        <f t="shared" si="169"/>
        <v>27.479299709483477</v>
      </c>
      <c r="U678" s="180">
        <f t="shared" si="175"/>
        <v>9.2300096338788347</v>
      </c>
      <c r="V678" s="182">
        <f t="shared" si="152"/>
        <v>72.520700290516515</v>
      </c>
      <c r="W678" s="180"/>
      <c r="X678" s="180"/>
      <c r="Y678" s="180"/>
      <c r="Z678" s="180"/>
      <c r="AA678" s="180"/>
      <c r="AB678" s="180"/>
      <c r="AC678" s="180"/>
      <c r="AD678" s="180"/>
      <c r="AE678" s="180"/>
      <c r="AF678" s="180"/>
      <c r="AG678" s="180"/>
      <c r="AH678" s="180"/>
      <c r="AI678" s="180">
        <f>5700000+2500000</f>
        <v>8200000</v>
      </c>
      <c r="AJ678" s="181">
        <f t="shared" si="165"/>
        <v>27.479299709483477</v>
      </c>
      <c r="AK678" s="180">
        <f t="shared" si="171"/>
        <v>21640644</v>
      </c>
      <c r="AL678" s="181">
        <f t="shared" si="167"/>
        <v>72.520700290516515</v>
      </c>
      <c r="AM678" s="243"/>
    </row>
    <row r="679" spans="1:83" ht="28.5" customHeight="1" x14ac:dyDescent="0.25">
      <c r="A679" s="289" t="s">
        <v>38</v>
      </c>
      <c r="B679" s="607" t="s">
        <v>145</v>
      </c>
      <c r="C679" s="607"/>
      <c r="D679" s="607"/>
      <c r="E679" s="607"/>
      <c r="F679" s="607"/>
      <c r="G679" s="607"/>
      <c r="H679" s="607"/>
      <c r="I679" s="608"/>
      <c r="J679" s="416" t="s">
        <v>531</v>
      </c>
      <c r="K679" s="291"/>
      <c r="L679" s="607" t="s">
        <v>532</v>
      </c>
      <c r="M679" s="607"/>
      <c r="N679" s="608"/>
      <c r="O679" s="263" t="e">
        <f>SUM(O680:O1154)</f>
        <v>#REF!</v>
      </c>
      <c r="P679" s="263" t="e">
        <f>SUM(P680:P1154)</f>
        <v>#REF!</v>
      </c>
      <c r="Q679" s="263">
        <f>SUM(Q680)</f>
        <v>649500000</v>
      </c>
      <c r="R679" s="222">
        <f>Q679/Q$58*100</f>
        <v>3.2186986170973042</v>
      </c>
      <c r="S679" s="222">
        <v>100</v>
      </c>
      <c r="T679" s="263">
        <f t="shared" si="169"/>
        <v>16.055427251732102</v>
      </c>
      <c r="U679" s="308">
        <f t="shared" si="175"/>
        <v>0.5167758149205649</v>
      </c>
      <c r="V679" s="292">
        <f t="shared" si="152"/>
        <v>83.944572748267902</v>
      </c>
      <c r="W679" s="263">
        <f t="shared" ref="W679:AH679" si="177">SUM(W680:W1154)</f>
        <v>0</v>
      </c>
      <c r="X679" s="263">
        <f t="shared" si="177"/>
        <v>0</v>
      </c>
      <c r="Y679" s="263">
        <f t="shared" si="177"/>
        <v>0</v>
      </c>
      <c r="Z679" s="263">
        <f t="shared" si="177"/>
        <v>0</v>
      </c>
      <c r="AA679" s="263">
        <f t="shared" si="177"/>
        <v>0</v>
      </c>
      <c r="AB679" s="263">
        <f t="shared" si="177"/>
        <v>0</v>
      </c>
      <c r="AC679" s="263">
        <f t="shared" si="177"/>
        <v>0</v>
      </c>
      <c r="AD679" s="263">
        <f t="shared" si="177"/>
        <v>0</v>
      </c>
      <c r="AE679" s="263">
        <f t="shared" si="177"/>
        <v>0</v>
      </c>
      <c r="AF679" s="263">
        <f t="shared" si="177"/>
        <v>0</v>
      </c>
      <c r="AG679" s="263" t="e">
        <f t="shared" si="177"/>
        <v>#REF!</v>
      </c>
      <c r="AH679" s="263">
        <f t="shared" si="177"/>
        <v>0</v>
      </c>
      <c r="AI679" s="263">
        <f>SUM(AI680)</f>
        <v>104280000</v>
      </c>
      <c r="AJ679" s="222">
        <f t="shared" si="165"/>
        <v>16.055427251732102</v>
      </c>
      <c r="AK679" s="263">
        <f>SUM(Q679-AI679)</f>
        <v>545220000</v>
      </c>
      <c r="AL679" s="222">
        <f t="shared" si="167"/>
        <v>83.944572748267902</v>
      </c>
      <c r="AM679" s="289"/>
    </row>
    <row r="680" spans="1:83" s="297" customFormat="1" ht="28.5" customHeight="1" x14ac:dyDescent="0.25">
      <c r="A680" s="227">
        <f>SUM(A673+1)</f>
        <v>80</v>
      </c>
      <c r="B680" s="415"/>
      <c r="C680" s="415"/>
      <c r="D680" s="415"/>
      <c r="E680" s="415"/>
      <c r="F680" s="415"/>
      <c r="G680" s="415"/>
      <c r="H680" s="415"/>
      <c r="I680" s="414"/>
      <c r="J680" s="415" t="s">
        <v>381</v>
      </c>
      <c r="K680" s="230"/>
      <c r="L680" s="294"/>
      <c r="M680" s="609" t="s">
        <v>533</v>
      </c>
      <c r="N680" s="609"/>
      <c r="O680" s="309">
        <v>355300000</v>
      </c>
      <c r="P680" s="231">
        <v>0</v>
      </c>
      <c r="Q680" s="231">
        <f>SUM(Q681:Q687)</f>
        <v>649500000</v>
      </c>
      <c r="R680" s="233">
        <f>Q680/Q$35*100</f>
        <v>2.0433361823476917</v>
      </c>
      <c r="S680" s="233">
        <v>100</v>
      </c>
      <c r="T680" s="231">
        <f>AJ680</f>
        <v>16.055427251732102</v>
      </c>
      <c r="U680" s="231">
        <f>R680*T680/100</f>
        <v>0.32806635426515363</v>
      </c>
      <c r="V680" s="296">
        <f>S680-T680</f>
        <v>83.944572748267902</v>
      </c>
      <c r="W680" s="231"/>
      <c r="X680" s="231"/>
      <c r="Y680" s="231"/>
      <c r="Z680" s="231"/>
      <c r="AA680" s="231"/>
      <c r="AB680" s="231"/>
      <c r="AC680" s="231"/>
      <c r="AD680" s="231"/>
      <c r="AE680" s="231"/>
      <c r="AF680" s="231"/>
      <c r="AG680" s="231" t="e">
        <f>[2]april!N87</f>
        <v>#REF!</v>
      </c>
      <c r="AH680" s="231">
        <f>'[3]DES SKPD'!$N87</f>
        <v>0</v>
      </c>
      <c r="AI680" s="231">
        <f>SUM(AI681:AI687)</f>
        <v>104280000</v>
      </c>
      <c r="AJ680" s="181">
        <f t="shared" si="165"/>
        <v>16.055427251732102</v>
      </c>
      <c r="AK680" s="231">
        <f t="shared" si="171"/>
        <v>545220000</v>
      </c>
      <c r="AL680" s="233">
        <f t="shared" si="167"/>
        <v>83.944572748267902</v>
      </c>
      <c r="AM680" s="227"/>
    </row>
    <row r="681" spans="1:83" ht="28.5" customHeight="1" x14ac:dyDescent="0.25">
      <c r="A681" s="243"/>
      <c r="B681" s="410"/>
      <c r="C681" s="410"/>
      <c r="D681" s="410"/>
      <c r="E681" s="410"/>
      <c r="F681" s="410"/>
      <c r="G681" s="410"/>
      <c r="H681" s="410"/>
      <c r="I681" s="411"/>
      <c r="J681" s="410" t="s">
        <v>536</v>
      </c>
      <c r="K681" s="245"/>
      <c r="L681" s="257"/>
      <c r="M681" s="604" t="s">
        <v>271</v>
      </c>
      <c r="N681" s="592"/>
      <c r="O681" s="179"/>
      <c r="P681" s="180"/>
      <c r="Q681" s="180">
        <v>14900000</v>
      </c>
      <c r="R681" s="181">
        <f t="shared" ref="R681:R687" si="178">Q681/Q$680*100</f>
        <v>2.2940723633564279</v>
      </c>
      <c r="S681" s="181">
        <v>100</v>
      </c>
      <c r="T681" s="180">
        <f t="shared" ref="T681:T687" si="179">AJ681</f>
        <v>16.778523489932887</v>
      </c>
      <c r="U681" s="180">
        <f t="shared" ref="U681:U687" si="180">R681*T681/100</f>
        <v>0.38491147036181678</v>
      </c>
      <c r="V681" s="182">
        <f t="shared" ref="V681:V687" si="181">S681-T681</f>
        <v>83.221476510067106</v>
      </c>
      <c r="W681" s="180"/>
      <c r="X681" s="180"/>
      <c r="Y681" s="180"/>
      <c r="Z681" s="180"/>
      <c r="AA681" s="180"/>
      <c r="AB681" s="180"/>
      <c r="AC681" s="180"/>
      <c r="AD681" s="180"/>
      <c r="AE681" s="180"/>
      <c r="AF681" s="180"/>
      <c r="AG681" s="180"/>
      <c r="AH681" s="180"/>
      <c r="AI681" s="180">
        <v>2500000</v>
      </c>
      <c r="AJ681" s="181">
        <f t="shared" si="165"/>
        <v>16.778523489932887</v>
      </c>
      <c r="AK681" s="180">
        <f t="shared" si="171"/>
        <v>12400000</v>
      </c>
      <c r="AL681" s="181">
        <f t="shared" si="167"/>
        <v>83.22147651006712</v>
      </c>
      <c r="AM681" s="243"/>
    </row>
    <row r="682" spans="1:83" ht="28.5" customHeight="1" x14ac:dyDescent="0.25">
      <c r="A682" s="243"/>
      <c r="B682" s="410"/>
      <c r="C682" s="410"/>
      <c r="D682" s="410"/>
      <c r="E682" s="410"/>
      <c r="F682" s="410"/>
      <c r="G682" s="410"/>
      <c r="H682" s="410"/>
      <c r="I682" s="411"/>
      <c r="J682" s="410" t="s">
        <v>502</v>
      </c>
      <c r="K682" s="245"/>
      <c r="L682" s="257"/>
      <c r="M682" s="604" t="s">
        <v>319</v>
      </c>
      <c r="N682" s="592"/>
      <c r="O682" s="179"/>
      <c r="P682" s="180"/>
      <c r="Q682" s="180">
        <v>200200000</v>
      </c>
      <c r="R682" s="181">
        <f>Q682/Q$680*100</f>
        <v>30.82371054657429</v>
      </c>
      <c r="S682" s="181">
        <v>100</v>
      </c>
      <c r="T682" s="180">
        <f t="shared" si="179"/>
        <v>49.615384615384613</v>
      </c>
      <c r="U682" s="180">
        <f t="shared" si="180"/>
        <v>15.293302540415704</v>
      </c>
      <c r="V682" s="182">
        <f t="shared" si="181"/>
        <v>50.384615384615387</v>
      </c>
      <c r="W682" s="180"/>
      <c r="X682" s="180"/>
      <c r="Y682" s="180"/>
      <c r="Z682" s="180"/>
      <c r="AA682" s="180"/>
      <c r="AB682" s="180"/>
      <c r="AC682" s="180"/>
      <c r="AD682" s="180"/>
      <c r="AE682" s="180"/>
      <c r="AF682" s="180"/>
      <c r="AG682" s="180"/>
      <c r="AH682" s="180"/>
      <c r="AI682" s="180">
        <v>99330000</v>
      </c>
      <c r="AJ682" s="181">
        <f t="shared" si="165"/>
        <v>49.615384615384613</v>
      </c>
      <c r="AK682" s="180">
        <f t="shared" si="171"/>
        <v>100870000</v>
      </c>
      <c r="AL682" s="181">
        <f t="shared" si="167"/>
        <v>50.384615384615387</v>
      </c>
      <c r="AM682" s="243"/>
    </row>
    <row r="683" spans="1:83" ht="28.5" customHeight="1" x14ac:dyDescent="0.25">
      <c r="A683" s="243"/>
      <c r="B683" s="410"/>
      <c r="C683" s="410"/>
      <c r="D683" s="410"/>
      <c r="E683" s="410"/>
      <c r="F683" s="410"/>
      <c r="G683" s="410"/>
      <c r="H683" s="410"/>
      <c r="I683" s="411"/>
      <c r="J683" s="410" t="s">
        <v>625</v>
      </c>
      <c r="K683" s="245"/>
      <c r="L683" s="257"/>
      <c r="M683" s="604" t="s">
        <v>281</v>
      </c>
      <c r="N683" s="592"/>
      <c r="O683" s="179"/>
      <c r="P683" s="180"/>
      <c r="Q683" s="180">
        <v>25200000</v>
      </c>
      <c r="R683" s="181">
        <f>Q683/Q$680*100</f>
        <v>3.8799076212471131</v>
      </c>
      <c r="S683" s="181">
        <v>100</v>
      </c>
      <c r="T683" s="180">
        <f t="shared" si="179"/>
        <v>9.7222222222222232</v>
      </c>
      <c r="U683" s="180">
        <f t="shared" si="180"/>
        <v>0.37721324095458042</v>
      </c>
      <c r="V683" s="182">
        <f t="shared" si="181"/>
        <v>90.277777777777771</v>
      </c>
      <c r="W683" s="180"/>
      <c r="X683" s="180"/>
      <c r="Y683" s="180"/>
      <c r="Z683" s="180"/>
      <c r="AA683" s="180"/>
      <c r="AB683" s="180"/>
      <c r="AC683" s="180"/>
      <c r="AD683" s="180"/>
      <c r="AE683" s="180"/>
      <c r="AF683" s="180"/>
      <c r="AG683" s="180"/>
      <c r="AH683" s="180"/>
      <c r="AI683" s="180">
        <v>2450000</v>
      </c>
      <c r="AJ683" s="181">
        <f t="shared" si="165"/>
        <v>9.7222222222222232</v>
      </c>
      <c r="AK683" s="180">
        <f t="shared" si="171"/>
        <v>22750000</v>
      </c>
      <c r="AL683" s="181">
        <f t="shared" si="167"/>
        <v>90.277777777777786</v>
      </c>
      <c r="AM683" s="243"/>
    </row>
    <row r="684" spans="1:83" ht="28.5" customHeight="1" x14ac:dyDescent="0.25">
      <c r="A684" s="243"/>
      <c r="B684" s="410"/>
      <c r="C684" s="410"/>
      <c r="D684" s="410"/>
      <c r="E684" s="410"/>
      <c r="F684" s="410"/>
      <c r="G684" s="410"/>
      <c r="H684" s="410"/>
      <c r="I684" s="411"/>
      <c r="J684" s="410" t="s">
        <v>538</v>
      </c>
      <c r="K684" s="245"/>
      <c r="L684" s="257"/>
      <c r="M684" s="605" t="s">
        <v>626</v>
      </c>
      <c r="N684" s="606"/>
      <c r="O684" s="179"/>
      <c r="P684" s="180"/>
      <c r="Q684" s="180">
        <v>92000000</v>
      </c>
      <c r="R684" s="181">
        <f t="shared" si="178"/>
        <v>14.164742109314856</v>
      </c>
      <c r="S684" s="181">
        <v>100</v>
      </c>
      <c r="T684" s="180">
        <f t="shared" si="179"/>
        <v>0</v>
      </c>
      <c r="U684" s="180">
        <f t="shared" si="180"/>
        <v>0</v>
      </c>
      <c r="V684" s="182">
        <f t="shared" si="181"/>
        <v>100</v>
      </c>
      <c r="W684" s="180"/>
      <c r="X684" s="180"/>
      <c r="Y684" s="180"/>
      <c r="Z684" s="180"/>
      <c r="AA684" s="180"/>
      <c r="AB684" s="180"/>
      <c r="AC684" s="180"/>
      <c r="AD684" s="180"/>
      <c r="AE684" s="180"/>
      <c r="AF684" s="180"/>
      <c r="AG684" s="180"/>
      <c r="AH684" s="180"/>
      <c r="AI684" s="180">
        <v>0</v>
      </c>
      <c r="AJ684" s="181">
        <f t="shared" si="165"/>
        <v>0</v>
      </c>
      <c r="AK684" s="180">
        <f t="shared" si="171"/>
        <v>92000000</v>
      </c>
      <c r="AL684" s="181">
        <f t="shared" si="167"/>
        <v>100</v>
      </c>
      <c r="AM684" s="243"/>
    </row>
    <row r="685" spans="1:83" ht="28.5" customHeight="1" x14ac:dyDescent="0.25">
      <c r="A685" s="243"/>
      <c r="B685" s="410"/>
      <c r="C685" s="410"/>
      <c r="D685" s="410"/>
      <c r="E685" s="410"/>
      <c r="F685" s="410"/>
      <c r="G685" s="410"/>
      <c r="H685" s="410"/>
      <c r="I685" s="411"/>
      <c r="J685" s="410" t="s">
        <v>629</v>
      </c>
      <c r="K685" s="245"/>
      <c r="L685" s="257"/>
      <c r="M685" s="605" t="s">
        <v>321</v>
      </c>
      <c r="N685" s="606"/>
      <c r="O685" s="179"/>
      <c r="P685" s="180"/>
      <c r="Q685" s="180">
        <v>9200000</v>
      </c>
      <c r="R685" s="181">
        <f t="shared" si="178"/>
        <v>1.4164742109314856</v>
      </c>
      <c r="S685" s="181">
        <v>100</v>
      </c>
      <c r="T685" s="180">
        <f t="shared" si="179"/>
        <v>0</v>
      </c>
      <c r="U685" s="180">
        <f t="shared" si="180"/>
        <v>0</v>
      </c>
      <c r="V685" s="182">
        <f t="shared" si="181"/>
        <v>100</v>
      </c>
      <c r="W685" s="180"/>
      <c r="X685" s="180"/>
      <c r="Y685" s="180"/>
      <c r="Z685" s="180"/>
      <c r="AA685" s="180"/>
      <c r="AB685" s="180"/>
      <c r="AC685" s="180"/>
      <c r="AD685" s="180"/>
      <c r="AE685" s="180"/>
      <c r="AF685" s="180"/>
      <c r="AG685" s="180"/>
      <c r="AH685" s="180"/>
      <c r="AI685" s="180">
        <v>0</v>
      </c>
      <c r="AJ685" s="181">
        <f t="shared" ref="AJ685:AJ687" si="182">AI685/Q685*100</f>
        <v>0</v>
      </c>
      <c r="AK685" s="180">
        <f t="shared" si="171"/>
        <v>9200000</v>
      </c>
      <c r="AL685" s="181">
        <f t="shared" si="167"/>
        <v>100</v>
      </c>
      <c r="AM685" s="243"/>
    </row>
    <row r="686" spans="1:83" ht="28.5" customHeight="1" x14ac:dyDescent="0.25">
      <c r="A686" s="243"/>
      <c r="B686" s="410"/>
      <c r="C686" s="410"/>
      <c r="D686" s="410"/>
      <c r="E686" s="410"/>
      <c r="F686" s="410"/>
      <c r="G686" s="410"/>
      <c r="H686" s="410"/>
      <c r="I686" s="411"/>
      <c r="J686" s="410" t="s">
        <v>628</v>
      </c>
      <c r="K686" s="245"/>
      <c r="L686" s="257"/>
      <c r="M686" s="605" t="s">
        <v>310</v>
      </c>
      <c r="N686" s="606"/>
      <c r="O686" s="179"/>
      <c r="P686" s="180"/>
      <c r="Q686" s="180">
        <v>300000000</v>
      </c>
      <c r="R686" s="181">
        <f t="shared" si="178"/>
        <v>46.189376443418013</v>
      </c>
      <c r="S686" s="181">
        <v>100</v>
      </c>
      <c r="T686" s="180">
        <f t="shared" si="179"/>
        <v>0</v>
      </c>
      <c r="U686" s="180">
        <f t="shared" si="180"/>
        <v>0</v>
      </c>
      <c r="V686" s="182">
        <f t="shared" si="181"/>
        <v>100</v>
      </c>
      <c r="W686" s="180"/>
      <c r="X686" s="180"/>
      <c r="Y686" s="180"/>
      <c r="Z686" s="180"/>
      <c r="AA686" s="180"/>
      <c r="AB686" s="180"/>
      <c r="AC686" s="180"/>
      <c r="AD686" s="180"/>
      <c r="AE686" s="180"/>
      <c r="AF686" s="180"/>
      <c r="AG686" s="180"/>
      <c r="AH686" s="180"/>
      <c r="AI686" s="180">
        <v>0</v>
      </c>
      <c r="AJ686" s="181">
        <f t="shared" si="182"/>
        <v>0</v>
      </c>
      <c r="AK686" s="180">
        <f t="shared" si="171"/>
        <v>300000000</v>
      </c>
      <c r="AL686" s="181">
        <f t="shared" si="167"/>
        <v>100</v>
      </c>
      <c r="AM686" s="243"/>
    </row>
    <row r="687" spans="1:83" ht="24.75" customHeight="1" x14ac:dyDescent="0.25">
      <c r="A687" s="243"/>
      <c r="B687" s="597" t="s">
        <v>158</v>
      </c>
      <c r="C687" s="597"/>
      <c r="D687" s="597"/>
      <c r="E687" s="597"/>
      <c r="F687" s="597"/>
      <c r="G687" s="597"/>
      <c r="H687" s="597"/>
      <c r="I687" s="598"/>
      <c r="J687" s="410" t="s">
        <v>627</v>
      </c>
      <c r="K687" s="314"/>
      <c r="L687" s="315"/>
      <c r="M687" s="599" t="s">
        <v>607</v>
      </c>
      <c r="N687" s="600"/>
      <c r="O687" s="316"/>
      <c r="P687" s="316"/>
      <c r="Q687" s="317">
        <v>8000000</v>
      </c>
      <c r="R687" s="181">
        <f t="shared" si="178"/>
        <v>1.2317167051578137</v>
      </c>
      <c r="S687" s="181">
        <v>100</v>
      </c>
      <c r="T687" s="180">
        <f t="shared" si="179"/>
        <v>0</v>
      </c>
      <c r="U687" s="180">
        <f t="shared" si="180"/>
        <v>0</v>
      </c>
      <c r="V687" s="182">
        <f t="shared" si="181"/>
        <v>100</v>
      </c>
      <c r="W687" s="316"/>
      <c r="X687" s="316"/>
      <c r="Y687" s="316"/>
      <c r="Z687" s="316"/>
      <c r="AA687" s="316"/>
      <c r="AB687" s="316"/>
      <c r="AC687" s="316"/>
      <c r="AD687" s="316"/>
      <c r="AE687" s="316"/>
      <c r="AF687" s="316"/>
      <c r="AG687" s="316"/>
      <c r="AH687" s="316"/>
      <c r="AI687" s="180">
        <v>0</v>
      </c>
      <c r="AJ687" s="181">
        <f t="shared" si="182"/>
        <v>0</v>
      </c>
      <c r="AK687" s="180">
        <f t="shared" si="171"/>
        <v>8000000</v>
      </c>
      <c r="AL687" s="181">
        <f t="shared" si="167"/>
        <v>100</v>
      </c>
      <c r="AM687" s="243"/>
      <c r="AQ687" s="318"/>
      <c r="AR687" s="318"/>
      <c r="AS687" s="318"/>
      <c r="AT687" s="318"/>
      <c r="AU687" s="318"/>
      <c r="AV687" s="318"/>
      <c r="AW687" s="318"/>
      <c r="AX687" s="318"/>
      <c r="AY687" s="318"/>
      <c r="AZ687" s="318"/>
      <c r="BA687" s="318"/>
      <c r="BB687" s="318"/>
      <c r="BC687" s="318"/>
      <c r="BD687" s="318"/>
      <c r="BE687" s="318"/>
      <c r="BF687" s="318"/>
      <c r="BG687" s="318"/>
      <c r="BH687" s="318"/>
      <c r="BI687" s="318"/>
      <c r="BJ687" s="318"/>
      <c r="BK687" s="318"/>
      <c r="BL687" s="318"/>
      <c r="BM687" s="318"/>
      <c r="BN687" s="318"/>
      <c r="BO687" s="318"/>
      <c r="BP687" s="318"/>
      <c r="BQ687" s="318"/>
      <c r="BR687" s="318"/>
      <c r="BS687" s="318"/>
      <c r="BT687" s="318"/>
      <c r="BU687" s="318"/>
      <c r="BV687" s="318"/>
      <c r="BW687" s="318"/>
      <c r="BX687" s="318"/>
      <c r="BY687" s="318"/>
      <c r="BZ687" s="318"/>
      <c r="CA687" s="318"/>
      <c r="CB687" s="318"/>
      <c r="CC687" s="318"/>
      <c r="CD687" s="318"/>
      <c r="CE687" s="318"/>
    </row>
    <row r="688" spans="1:83" s="319" customFormat="1" ht="24" customHeight="1" x14ac:dyDescent="0.25">
      <c r="B688" s="601" t="s">
        <v>166</v>
      </c>
      <c r="C688" s="601"/>
      <c r="D688" s="601"/>
      <c r="E688" s="601"/>
      <c r="F688" s="601"/>
      <c r="G688" s="601"/>
      <c r="H688" s="601"/>
      <c r="I688" s="601"/>
      <c r="J688" s="412"/>
      <c r="L688" s="601"/>
      <c r="M688" s="601"/>
      <c r="N688" s="601"/>
      <c r="O688" s="321" t="e">
        <f>SUM(#REF!)</f>
        <v>#REF!</v>
      </c>
      <c r="P688" s="321" t="e">
        <f>SUM(#REF!)</f>
        <v>#REF!</v>
      </c>
      <c r="Q688" s="321"/>
      <c r="R688" s="322"/>
      <c r="S688" s="322"/>
      <c r="T688" s="321"/>
      <c r="U688" s="321"/>
      <c r="V688" s="323"/>
      <c r="W688" s="321"/>
      <c r="X688" s="321"/>
      <c r="Y688" s="321"/>
      <c r="Z688" s="321"/>
      <c r="AA688" s="321"/>
      <c r="AB688" s="321"/>
      <c r="AC688" s="321"/>
      <c r="AD688" s="321"/>
      <c r="AE688" s="321"/>
      <c r="AF688" s="321"/>
      <c r="AG688" s="321"/>
      <c r="AH688" s="321"/>
      <c r="AI688" s="321"/>
      <c r="AJ688" s="322"/>
      <c r="AK688" s="321"/>
      <c r="AL688" s="322"/>
      <c r="AQ688" s="325"/>
      <c r="AR688" s="325"/>
      <c r="AS688" s="325"/>
      <c r="AT688" s="325"/>
      <c r="AU688" s="325"/>
      <c r="AV688" s="325"/>
      <c r="AW688" s="325"/>
      <c r="AX688" s="325"/>
      <c r="AY688" s="325"/>
      <c r="AZ688" s="325"/>
      <c r="BA688" s="325"/>
      <c r="BB688" s="325"/>
      <c r="BC688" s="325"/>
      <c r="BD688" s="325"/>
      <c r="BE688" s="325"/>
      <c r="BF688" s="325"/>
      <c r="BG688" s="325"/>
      <c r="BH688" s="325"/>
      <c r="BI688" s="325"/>
      <c r="BJ688" s="325"/>
      <c r="BK688" s="325"/>
      <c r="BL688" s="325"/>
      <c r="BM688" s="325"/>
      <c r="BN688" s="325"/>
      <c r="BO688" s="325"/>
      <c r="BP688" s="325"/>
      <c r="BQ688" s="325"/>
      <c r="BR688" s="325"/>
      <c r="BS688" s="325"/>
      <c r="BT688" s="325"/>
      <c r="BU688" s="325"/>
      <c r="BV688" s="325"/>
      <c r="BW688" s="325"/>
      <c r="BX688" s="325"/>
      <c r="BY688" s="325"/>
      <c r="BZ688" s="325"/>
      <c r="CA688" s="325"/>
      <c r="CB688" s="325"/>
      <c r="CC688" s="325"/>
      <c r="CD688" s="325"/>
      <c r="CE688" s="325"/>
    </row>
    <row r="689" spans="1:39" s="325" customFormat="1" ht="24" customHeight="1" x14ac:dyDescent="0.25">
      <c r="B689" s="326"/>
      <c r="C689" s="326"/>
      <c r="D689" s="326"/>
      <c r="E689" s="326"/>
      <c r="F689" s="326"/>
      <c r="G689" s="326"/>
      <c r="H689" s="326"/>
      <c r="I689" s="326"/>
      <c r="J689" s="326"/>
      <c r="L689" s="326"/>
      <c r="M689" s="326"/>
      <c r="N689" s="326"/>
      <c r="O689" s="327"/>
      <c r="P689" s="327"/>
      <c r="Q689" s="327"/>
      <c r="R689" s="328"/>
      <c r="S689" s="328"/>
      <c r="T689" s="327"/>
      <c r="U689" s="327"/>
      <c r="V689" s="329"/>
      <c r="W689" s="327"/>
      <c r="X689" s="327"/>
      <c r="Y689" s="327"/>
      <c r="Z689" s="327"/>
      <c r="AA689" s="327"/>
      <c r="AB689" s="327"/>
      <c r="AC689" s="327"/>
      <c r="AD689" s="327"/>
      <c r="AE689" s="327"/>
      <c r="AF689" s="327"/>
      <c r="AG689" s="327"/>
      <c r="AH689" s="327"/>
      <c r="AI689" s="602" t="s">
        <v>542</v>
      </c>
      <c r="AJ689" s="602"/>
      <c r="AK689" s="602"/>
      <c r="AL689" s="602"/>
    </row>
    <row r="690" spans="1:39" s="325" customFormat="1" ht="24" customHeight="1" x14ac:dyDescent="0.25">
      <c r="B690" s="326"/>
      <c r="C690" s="326"/>
      <c r="D690" s="326"/>
      <c r="E690" s="326"/>
      <c r="F690" s="326"/>
      <c r="G690" s="326"/>
      <c r="H690" s="326"/>
      <c r="I690" s="326"/>
      <c r="J690" s="326"/>
      <c r="L690" s="326"/>
      <c r="M690" s="326"/>
      <c r="N690" s="326"/>
      <c r="O690" s="327"/>
      <c r="P690" s="327"/>
      <c r="Q690" s="327"/>
      <c r="R690" s="328"/>
      <c r="S690" s="328"/>
      <c r="T690" s="327"/>
      <c r="U690" s="327"/>
      <c r="V690" s="329"/>
      <c r="W690" s="327"/>
      <c r="X690" s="327"/>
      <c r="Y690" s="327"/>
      <c r="Z690" s="327"/>
      <c r="AA690" s="327"/>
      <c r="AB690" s="327"/>
      <c r="AC690" s="327"/>
      <c r="AD690" s="327"/>
      <c r="AE690" s="327"/>
      <c r="AF690" s="327"/>
      <c r="AG690" s="327"/>
      <c r="AH690" s="327"/>
      <c r="AI690" s="603" t="s">
        <v>543</v>
      </c>
      <c r="AJ690" s="603"/>
      <c r="AK690" s="603"/>
      <c r="AL690" s="603"/>
    </row>
    <row r="691" spans="1:39" s="325" customFormat="1" ht="24" customHeight="1" x14ac:dyDescent="0.25">
      <c r="B691" s="326"/>
      <c r="C691" s="326"/>
      <c r="D691" s="326"/>
      <c r="E691" s="326"/>
      <c r="F691" s="326"/>
      <c r="G691" s="326"/>
      <c r="H691" s="326"/>
      <c r="I691" s="326"/>
      <c r="J691" s="326"/>
      <c r="L691" s="326"/>
      <c r="M691" s="326"/>
      <c r="N691" s="326"/>
      <c r="O691" s="327"/>
      <c r="P691" s="327"/>
      <c r="Q691" s="327"/>
      <c r="R691" s="328"/>
      <c r="S691" s="328"/>
      <c r="T691" s="327"/>
      <c r="U691" s="327"/>
      <c r="V691" s="329"/>
      <c r="W691" s="327"/>
      <c r="X691" s="327"/>
      <c r="Y691" s="327"/>
      <c r="Z691" s="327"/>
      <c r="AA691" s="327"/>
      <c r="AB691" s="327"/>
      <c r="AC691" s="327"/>
      <c r="AD691" s="327"/>
      <c r="AE691" s="327"/>
      <c r="AF691" s="327"/>
      <c r="AG691" s="327"/>
      <c r="AH691" s="327"/>
      <c r="AI691" s="311"/>
      <c r="AJ691" s="297"/>
      <c r="AK691" s="406"/>
      <c r="AL691" s="328"/>
    </row>
    <row r="692" spans="1:39" ht="13.5" customHeight="1" x14ac:dyDescent="0.25">
      <c r="AI692" s="311"/>
      <c r="AJ692" s="297"/>
      <c r="AK692" s="406"/>
    </row>
    <row r="693" spans="1:39" ht="13.5" customHeight="1" x14ac:dyDescent="0.25">
      <c r="A693" s="204"/>
      <c r="B693" s="204"/>
      <c r="C693" s="204"/>
      <c r="D693" s="204"/>
      <c r="E693" s="204"/>
      <c r="F693" s="204"/>
      <c r="G693" s="204"/>
      <c r="H693" s="204"/>
      <c r="I693" s="204"/>
      <c r="J693" s="204"/>
      <c r="K693" s="204"/>
      <c r="L693" s="204"/>
      <c r="M693" s="204"/>
      <c r="N693" s="332"/>
      <c r="O693" s="204"/>
      <c r="P693" s="204"/>
      <c r="Q693" s="204"/>
      <c r="R693" s="204"/>
      <c r="S693" s="204"/>
      <c r="T693" s="204"/>
      <c r="U693" s="204"/>
      <c r="V693" s="333"/>
      <c r="W693" s="204"/>
      <c r="X693" s="204"/>
      <c r="Y693" s="204"/>
      <c r="Z693" s="204"/>
      <c r="AA693" s="204"/>
      <c r="AB693" s="204"/>
      <c r="AC693" s="204"/>
      <c r="AD693" s="204"/>
      <c r="AE693" s="204"/>
      <c r="AF693" s="204"/>
      <c r="AG693" s="204"/>
      <c r="AH693" s="204"/>
      <c r="AI693" s="311"/>
      <c r="AJ693" s="297"/>
      <c r="AK693" s="406"/>
      <c r="AL693" s="204"/>
      <c r="AM693" s="204"/>
    </row>
    <row r="694" spans="1:39" ht="13.5" customHeight="1" x14ac:dyDescent="0.25">
      <c r="A694" s="204"/>
      <c r="B694" s="204"/>
      <c r="C694" s="204"/>
      <c r="D694" s="204"/>
      <c r="E694" s="204"/>
      <c r="F694" s="204"/>
      <c r="G694" s="204"/>
      <c r="H694" s="204"/>
      <c r="I694" s="204"/>
      <c r="J694" s="204"/>
      <c r="K694" s="204"/>
      <c r="L694" s="204"/>
      <c r="M694" s="204"/>
      <c r="N694" s="204"/>
      <c r="O694" s="204"/>
      <c r="P694" s="204"/>
      <c r="Q694" s="204"/>
      <c r="R694" s="204"/>
      <c r="S694" s="204"/>
      <c r="T694" s="204"/>
      <c r="U694" s="204"/>
      <c r="V694" s="333"/>
      <c r="W694" s="204"/>
      <c r="X694" s="204"/>
      <c r="Y694" s="204"/>
      <c r="Z694" s="204"/>
      <c r="AA694" s="204"/>
      <c r="AB694" s="204"/>
      <c r="AC694" s="204"/>
      <c r="AD694" s="204"/>
      <c r="AE694" s="204"/>
      <c r="AF694" s="204"/>
      <c r="AG694" s="204"/>
      <c r="AH694" s="204"/>
      <c r="AI694" s="311"/>
      <c r="AJ694" s="297"/>
      <c r="AK694" s="406"/>
      <c r="AL694" s="204"/>
      <c r="AM694" s="204"/>
    </row>
    <row r="695" spans="1:39" ht="13.5" customHeight="1" x14ac:dyDescent="0.25">
      <c r="A695" s="204"/>
      <c r="B695" s="204"/>
      <c r="C695" s="204"/>
      <c r="D695" s="204"/>
      <c r="E695" s="204"/>
      <c r="F695" s="204"/>
      <c r="G695" s="204"/>
      <c r="H695" s="204"/>
      <c r="I695" s="204"/>
      <c r="J695" s="204"/>
      <c r="K695" s="204"/>
      <c r="L695" s="204"/>
      <c r="M695" s="204"/>
      <c r="N695" s="204"/>
      <c r="AI695" s="595" t="s">
        <v>216</v>
      </c>
      <c r="AJ695" s="595"/>
      <c r="AK695" s="595"/>
      <c r="AL695" s="595"/>
    </row>
    <row r="696" spans="1:39" ht="13.5" customHeight="1" x14ac:dyDescent="0.25">
      <c r="A696" s="334"/>
      <c r="B696" s="204"/>
      <c r="C696" s="204"/>
      <c r="D696" s="204"/>
      <c r="E696" s="204"/>
      <c r="F696" s="204"/>
      <c r="G696" s="204"/>
      <c r="H696" s="204"/>
      <c r="I696" s="204"/>
      <c r="J696" s="204"/>
      <c r="K696" s="204"/>
      <c r="L696" s="204"/>
      <c r="M696" s="204"/>
      <c r="N696" s="204"/>
      <c r="AI696" s="596" t="s">
        <v>217</v>
      </c>
      <c r="AJ696" s="596"/>
      <c r="AK696" s="596"/>
      <c r="AL696" s="596"/>
    </row>
    <row r="697" spans="1:39" ht="13.5" customHeight="1" x14ac:dyDescent="0.25">
      <c r="A697" s="204"/>
      <c r="B697" s="204"/>
      <c r="C697" s="204"/>
      <c r="D697" s="204"/>
      <c r="E697" s="204"/>
      <c r="F697" s="204"/>
      <c r="G697" s="204"/>
      <c r="H697" s="204"/>
      <c r="I697" s="204"/>
      <c r="J697" s="204"/>
      <c r="K697" s="204"/>
      <c r="L697" s="204"/>
      <c r="M697" s="204"/>
      <c r="N697" s="204"/>
    </row>
    <row r="698" spans="1:39" ht="13.5" customHeight="1" x14ac:dyDescent="0.25">
      <c r="A698" s="204"/>
      <c r="B698" s="204"/>
      <c r="C698" s="204"/>
      <c r="D698" s="204"/>
      <c r="E698" s="204"/>
      <c r="F698" s="204"/>
      <c r="G698" s="204"/>
      <c r="H698" s="204"/>
      <c r="I698" s="204"/>
      <c r="J698" s="204"/>
      <c r="K698" s="204"/>
      <c r="L698" s="204"/>
      <c r="M698" s="204"/>
      <c r="N698" s="204"/>
    </row>
    <row r="699" spans="1:39" ht="13.5" customHeight="1" x14ac:dyDescent="0.25">
      <c r="A699" s="337"/>
      <c r="B699" s="204"/>
      <c r="C699" s="204"/>
      <c r="D699" s="204"/>
      <c r="E699" s="204"/>
      <c r="F699" s="204"/>
      <c r="G699" s="204"/>
      <c r="H699" s="204"/>
      <c r="I699" s="204"/>
      <c r="J699" s="204"/>
      <c r="K699" s="204"/>
      <c r="L699" s="204"/>
      <c r="M699" s="204"/>
      <c r="N699" s="204"/>
    </row>
    <row r="700" spans="1:39" ht="13.5" customHeight="1" x14ac:dyDescent="0.25">
      <c r="A700" s="204"/>
      <c r="B700" s="204"/>
      <c r="C700" s="204"/>
      <c r="D700" s="204"/>
      <c r="E700" s="204"/>
      <c r="F700" s="204"/>
      <c r="G700" s="204"/>
      <c r="H700" s="204"/>
      <c r="I700" s="204"/>
      <c r="J700" s="204"/>
      <c r="K700" s="204"/>
      <c r="L700" s="204"/>
      <c r="M700" s="204"/>
      <c r="N700" s="204"/>
    </row>
    <row r="701" spans="1:39" ht="13.5" customHeight="1" x14ac:dyDescent="0.25">
      <c r="A701" s="204"/>
      <c r="B701" s="204"/>
      <c r="C701" s="204"/>
      <c r="D701" s="204"/>
      <c r="E701" s="204"/>
      <c r="F701" s="204"/>
      <c r="G701" s="204"/>
      <c r="H701" s="204"/>
      <c r="I701" s="204"/>
      <c r="J701" s="204"/>
      <c r="K701" s="204"/>
      <c r="L701" s="204"/>
      <c r="M701" s="204"/>
      <c r="N701" s="204"/>
    </row>
    <row r="702" spans="1:39" ht="13.5" customHeight="1" x14ac:dyDescent="0.25">
      <c r="A702" s="204"/>
      <c r="B702" s="204"/>
      <c r="C702" s="204"/>
      <c r="D702" s="204"/>
      <c r="E702" s="204"/>
      <c r="F702" s="204"/>
      <c r="G702" s="204"/>
      <c r="H702" s="204"/>
      <c r="I702" s="204"/>
      <c r="J702" s="204"/>
      <c r="K702" s="204"/>
      <c r="L702" s="204"/>
      <c r="M702" s="204"/>
      <c r="N702" s="204"/>
    </row>
    <row r="703" spans="1:39" ht="13.5" customHeight="1" x14ac:dyDescent="0.25">
      <c r="A703" s="337"/>
      <c r="B703" s="204"/>
      <c r="C703" s="204"/>
      <c r="D703" s="204"/>
      <c r="E703" s="204"/>
      <c r="F703" s="204"/>
      <c r="G703" s="204"/>
      <c r="H703" s="204"/>
      <c r="I703" s="204"/>
      <c r="J703" s="204"/>
      <c r="K703" s="204"/>
      <c r="L703" s="204"/>
      <c r="M703" s="204"/>
      <c r="N703" s="204"/>
    </row>
    <row r="704" spans="1:39" ht="13.5" customHeight="1" x14ac:dyDescent="0.25">
      <c r="A704" s="204"/>
      <c r="B704" s="204"/>
      <c r="C704" s="204"/>
      <c r="D704" s="204"/>
      <c r="E704" s="204"/>
      <c r="F704" s="204"/>
      <c r="G704" s="204"/>
      <c r="H704" s="204"/>
      <c r="I704" s="204"/>
      <c r="J704" s="204"/>
      <c r="K704" s="204"/>
      <c r="L704" s="204"/>
      <c r="M704" s="204"/>
      <c r="N704" s="204"/>
    </row>
    <row r="705" spans="1:35" ht="13.5" customHeight="1" x14ac:dyDescent="0.25">
      <c r="A705" s="204"/>
      <c r="B705" s="204"/>
      <c r="C705" s="204"/>
      <c r="D705" s="204"/>
      <c r="E705" s="204"/>
      <c r="F705" s="204"/>
      <c r="G705" s="204"/>
      <c r="H705" s="204"/>
      <c r="I705" s="204"/>
      <c r="J705" s="204"/>
      <c r="K705" s="204"/>
      <c r="L705" s="204"/>
      <c r="M705" s="204"/>
      <c r="N705" s="204"/>
    </row>
    <row r="706" spans="1:35" ht="13.5" customHeight="1" x14ac:dyDescent="0.25">
      <c r="A706" s="334"/>
      <c r="B706" s="204"/>
      <c r="C706" s="204"/>
      <c r="D706" s="204"/>
      <c r="E706" s="204"/>
      <c r="F706" s="204"/>
      <c r="G706" s="204"/>
      <c r="H706" s="204"/>
      <c r="I706" s="204"/>
      <c r="J706" s="204"/>
      <c r="K706" s="204"/>
      <c r="L706" s="204"/>
      <c r="M706" s="204"/>
      <c r="N706" s="204"/>
    </row>
    <row r="707" spans="1:35" ht="13.5" customHeight="1" x14ac:dyDescent="0.25">
      <c r="A707" s="333"/>
      <c r="B707" s="338"/>
      <c r="C707" s="338"/>
      <c r="D707" s="338"/>
      <c r="E707" s="338"/>
      <c r="F707" s="338"/>
      <c r="G707" s="338"/>
      <c r="H707" s="338"/>
      <c r="I707" s="338"/>
      <c r="J707" s="338"/>
      <c r="K707" s="333"/>
      <c r="L707" s="204"/>
      <c r="M707" s="204"/>
      <c r="N707" s="204"/>
    </row>
    <row r="708" spans="1:35" ht="13.5" customHeight="1" x14ac:dyDescent="0.25">
      <c r="A708" s="333">
        <v>0</v>
      </c>
      <c r="B708" s="338"/>
      <c r="C708" s="338"/>
      <c r="D708" s="338"/>
      <c r="E708" s="338"/>
      <c r="F708" s="338"/>
      <c r="G708" s="338"/>
      <c r="H708" s="338"/>
      <c r="I708" s="338"/>
      <c r="J708" s="338"/>
      <c r="K708" s="333" t="s">
        <v>190</v>
      </c>
      <c r="L708" s="204"/>
      <c r="M708" s="204"/>
      <c r="N708" s="204"/>
    </row>
    <row r="709" spans="1:35" ht="13.5" customHeight="1" x14ac:dyDescent="0.25">
      <c r="A709" s="333">
        <f>A707-A708</f>
        <v>0</v>
      </c>
      <c r="B709" s="338"/>
      <c r="C709" s="338"/>
      <c r="D709" s="338"/>
      <c r="E709" s="338"/>
      <c r="F709" s="338"/>
      <c r="G709" s="338"/>
      <c r="H709" s="338"/>
      <c r="I709" s="338"/>
      <c r="J709" s="338"/>
      <c r="K709" s="333" t="s">
        <v>191</v>
      </c>
      <c r="L709" s="204"/>
      <c r="M709" s="204"/>
      <c r="N709" s="204"/>
    </row>
    <row r="710" spans="1:35" ht="13.5" customHeight="1" x14ac:dyDescent="0.25">
      <c r="A710" s="204"/>
      <c r="B710" s="204"/>
      <c r="C710" s="204"/>
      <c r="D710" s="204"/>
      <c r="E710" s="204"/>
      <c r="F710" s="204"/>
      <c r="G710" s="204"/>
      <c r="H710" s="204"/>
      <c r="I710" s="204"/>
      <c r="J710" s="204"/>
      <c r="K710" s="204"/>
      <c r="L710" s="204"/>
      <c r="M710" s="204"/>
      <c r="N710" s="204"/>
    </row>
    <row r="711" spans="1:35" ht="13.5" customHeight="1" x14ac:dyDescent="0.25">
      <c r="A711" s="204">
        <v>7</v>
      </c>
      <c r="B711" s="204"/>
      <c r="C711" s="204"/>
      <c r="D711" s="204"/>
      <c r="E711" s="204"/>
      <c r="F711" s="204"/>
      <c r="G711" s="204"/>
      <c r="H711" s="204"/>
      <c r="I711" s="204"/>
      <c r="J711" s="204"/>
      <c r="K711" s="204" t="s">
        <v>168</v>
      </c>
      <c r="L711" s="204"/>
      <c r="M711" s="204"/>
      <c r="N711" s="332" t="s">
        <v>169</v>
      </c>
      <c r="O711" s="204"/>
      <c r="P711" s="204"/>
      <c r="Q711" s="204"/>
      <c r="R711" s="204"/>
      <c r="S711" s="204"/>
      <c r="T711" s="204"/>
      <c r="U711" s="204"/>
    </row>
    <row r="712" spans="1:35" ht="13.5" customHeight="1" x14ac:dyDescent="0.25">
      <c r="A712" s="204" t="e">
        <f>#REF!</f>
        <v>#REF!</v>
      </c>
      <c r="B712" s="204"/>
      <c r="C712" s="204"/>
      <c r="D712" s="204"/>
      <c r="E712" s="204"/>
      <c r="F712" s="204"/>
      <c r="G712" s="204"/>
      <c r="H712" s="204"/>
      <c r="I712" s="204"/>
      <c r="J712" s="204"/>
      <c r="K712" s="204" t="s">
        <v>170</v>
      </c>
      <c r="L712" s="204"/>
      <c r="M712" s="204"/>
      <c r="N712" s="204" t="s">
        <v>171</v>
      </c>
      <c r="O712" s="204"/>
      <c r="P712" s="204"/>
      <c r="Q712" s="204"/>
      <c r="R712" s="204"/>
      <c r="S712" s="204"/>
      <c r="T712" s="204"/>
      <c r="U712" s="204"/>
      <c r="V712" s="205"/>
      <c r="AI712" s="205"/>
    </row>
    <row r="713" spans="1:35" ht="13.5" customHeight="1" x14ac:dyDescent="0.25">
      <c r="A713" s="204"/>
      <c r="B713" s="204"/>
      <c r="C713" s="204"/>
      <c r="D713" s="204"/>
      <c r="E713" s="204"/>
      <c r="F713" s="204"/>
      <c r="G713" s="204"/>
      <c r="H713" s="204"/>
      <c r="I713" s="204"/>
      <c r="J713" s="204"/>
      <c r="K713" s="204"/>
      <c r="L713" s="204"/>
      <c r="M713" s="204"/>
      <c r="N713" s="204" t="s">
        <v>172</v>
      </c>
      <c r="V713" s="205"/>
      <c r="AI713" s="205"/>
    </row>
    <row r="714" spans="1:35" ht="13.5" customHeight="1" x14ac:dyDescent="0.25">
      <c r="A714" s="334">
        <f>COUNTIF(T144:T706,"&gt;=95")</f>
        <v>46</v>
      </c>
      <c r="B714" s="204"/>
      <c r="C714" s="204"/>
      <c r="D714" s="204"/>
      <c r="E714" s="204"/>
      <c r="F714" s="204"/>
      <c r="G714" s="204"/>
      <c r="H714" s="204"/>
      <c r="I714" s="204"/>
      <c r="J714" s="204"/>
      <c r="K714" s="204" t="s">
        <v>173</v>
      </c>
      <c r="L714" s="204"/>
      <c r="M714" s="204"/>
      <c r="N714" s="204" t="s">
        <v>174</v>
      </c>
      <c r="V714" s="205"/>
      <c r="AI714" s="205"/>
    </row>
    <row r="715" spans="1:35" ht="13.5" customHeight="1" x14ac:dyDescent="0.25">
      <c r="A715" s="204" t="e">
        <f>A712-A714</f>
        <v>#REF!</v>
      </c>
      <c r="B715" s="204"/>
      <c r="C715" s="204"/>
      <c r="D715" s="204"/>
      <c r="E715" s="204"/>
      <c r="F715" s="204"/>
      <c r="G715" s="204"/>
      <c r="H715" s="204"/>
      <c r="I715" s="204"/>
      <c r="J715" s="204"/>
      <c r="K715" s="204"/>
      <c r="L715" s="204"/>
      <c r="M715" s="204"/>
      <c r="N715" s="204" t="s">
        <v>175</v>
      </c>
      <c r="V715" s="205"/>
      <c r="AI715" s="205"/>
    </row>
    <row r="716" spans="1:35" ht="13.5" customHeight="1" x14ac:dyDescent="0.25">
      <c r="A716" s="204"/>
      <c r="B716" s="204"/>
      <c r="C716" s="204"/>
      <c r="D716" s="204"/>
      <c r="E716" s="204"/>
      <c r="F716" s="204"/>
      <c r="G716" s="204"/>
      <c r="H716" s="204"/>
      <c r="I716" s="204"/>
      <c r="J716" s="204"/>
      <c r="K716" s="204"/>
      <c r="L716" s="204"/>
      <c r="M716" s="204"/>
      <c r="N716" s="204" t="s">
        <v>176</v>
      </c>
      <c r="V716" s="205"/>
      <c r="AI716" s="205"/>
    </row>
    <row r="717" spans="1:35" ht="13.5" customHeight="1" x14ac:dyDescent="0.25">
      <c r="A717" s="337">
        <v>2</v>
      </c>
      <c r="B717" s="204"/>
      <c r="C717" s="204"/>
      <c r="D717" s="204"/>
      <c r="E717" s="204"/>
      <c r="F717" s="204"/>
      <c r="G717" s="204"/>
      <c r="H717" s="204"/>
      <c r="I717" s="204"/>
      <c r="J717" s="204"/>
      <c r="K717" s="204" t="s">
        <v>177</v>
      </c>
      <c r="L717" s="204"/>
      <c r="M717" s="204"/>
      <c r="N717" s="204" t="s">
        <v>178</v>
      </c>
      <c r="V717" s="205"/>
      <c r="AI717" s="205"/>
    </row>
    <row r="718" spans="1:35" ht="13.5" customHeight="1" x14ac:dyDescent="0.25">
      <c r="A718" s="204">
        <f>A711-A717</f>
        <v>5</v>
      </c>
      <c r="B718" s="204"/>
      <c r="C718" s="204"/>
      <c r="D718" s="204"/>
      <c r="E718" s="204"/>
      <c r="F718" s="204"/>
      <c r="G718" s="204"/>
      <c r="H718" s="204"/>
      <c r="I718" s="204"/>
      <c r="J718" s="204"/>
      <c r="K718" s="204"/>
      <c r="L718" s="204"/>
      <c r="M718" s="204"/>
      <c r="N718" s="204" t="s">
        <v>179</v>
      </c>
      <c r="V718" s="205"/>
      <c r="AI718" s="205"/>
    </row>
    <row r="719" spans="1:35" ht="13.5" customHeight="1" x14ac:dyDescent="0.25">
      <c r="A719" s="204"/>
      <c r="B719" s="204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 t="s">
        <v>180</v>
      </c>
      <c r="V719" s="205"/>
      <c r="AI719" s="205"/>
    </row>
    <row r="720" spans="1:35" ht="13.5" customHeight="1" x14ac:dyDescent="0.25">
      <c r="A720" s="204">
        <v>7</v>
      </c>
      <c r="B720" s="204"/>
      <c r="C720" s="204"/>
      <c r="D720" s="204"/>
      <c r="E720" s="204"/>
      <c r="F720" s="204"/>
      <c r="G720" s="204"/>
      <c r="H720" s="204"/>
      <c r="I720" s="204"/>
      <c r="J720" s="204"/>
      <c r="K720" s="204" t="s">
        <v>181</v>
      </c>
      <c r="L720" s="204"/>
      <c r="M720" s="204"/>
      <c r="N720" s="204" t="s">
        <v>182</v>
      </c>
      <c r="V720" s="205"/>
      <c r="AI720" s="205"/>
    </row>
    <row r="721" spans="1:35" ht="13.5" customHeight="1" x14ac:dyDescent="0.25">
      <c r="A721" s="337">
        <v>3</v>
      </c>
      <c r="B721" s="204"/>
      <c r="C721" s="204"/>
      <c r="D721" s="204"/>
      <c r="E721" s="204"/>
      <c r="F721" s="204"/>
      <c r="G721" s="204"/>
      <c r="H721" s="204"/>
      <c r="I721" s="204"/>
      <c r="J721" s="204"/>
      <c r="K721" s="204" t="s">
        <v>183</v>
      </c>
      <c r="L721" s="204"/>
      <c r="M721" s="204"/>
      <c r="N721" s="204" t="s">
        <v>184</v>
      </c>
      <c r="V721" s="205"/>
      <c r="AI721" s="205"/>
    </row>
    <row r="722" spans="1:35" ht="13.5" customHeight="1" x14ac:dyDescent="0.25">
      <c r="A722" s="204">
        <f>A720-A721</f>
        <v>4</v>
      </c>
      <c r="B722" s="204"/>
      <c r="C722" s="204"/>
      <c r="D722" s="204"/>
      <c r="E722" s="204"/>
      <c r="F722" s="204"/>
      <c r="G722" s="204"/>
      <c r="H722" s="204"/>
      <c r="I722" s="204"/>
      <c r="J722" s="204"/>
      <c r="K722" s="204"/>
      <c r="L722" s="204"/>
      <c r="M722" s="204"/>
      <c r="N722" s="204" t="s">
        <v>185</v>
      </c>
      <c r="V722" s="205"/>
      <c r="AI722" s="205"/>
    </row>
    <row r="723" spans="1:35" ht="13.5" customHeight="1" x14ac:dyDescent="0.25">
      <c r="A723" s="204"/>
      <c r="B723" s="204"/>
      <c r="C723" s="204"/>
      <c r="D723" s="204"/>
      <c r="E723" s="204"/>
      <c r="F723" s="204"/>
      <c r="G723" s="204"/>
      <c r="H723" s="204"/>
      <c r="I723" s="204"/>
      <c r="J723" s="204"/>
      <c r="K723" s="204"/>
      <c r="L723" s="204"/>
      <c r="M723" s="204"/>
      <c r="N723" s="204" t="s">
        <v>186</v>
      </c>
      <c r="V723" s="205"/>
      <c r="AI723" s="205"/>
    </row>
    <row r="724" spans="1:35" ht="13.5" customHeight="1" x14ac:dyDescent="0.25">
      <c r="A724" s="334">
        <f>COUNTIF(T144:T706,"0")</f>
        <v>280</v>
      </c>
      <c r="B724" s="204"/>
      <c r="C724" s="204"/>
      <c r="D724" s="204"/>
      <c r="E724" s="204"/>
      <c r="F724" s="204"/>
      <c r="G724" s="204"/>
      <c r="H724" s="204"/>
      <c r="I724" s="204"/>
      <c r="J724" s="204"/>
      <c r="K724" s="204" t="s">
        <v>187</v>
      </c>
      <c r="L724" s="204"/>
      <c r="M724" s="204"/>
      <c r="N724" s="204" t="s">
        <v>188</v>
      </c>
      <c r="V724" s="205"/>
      <c r="AI724" s="205"/>
    </row>
    <row r="725" spans="1:35" ht="13.5" customHeight="1" x14ac:dyDescent="0.25">
      <c r="A725" s="333" t="e">
        <f>A712-(A714+A724)</f>
        <v>#REF!</v>
      </c>
      <c r="B725" s="338"/>
      <c r="C725" s="338"/>
      <c r="D725" s="338"/>
      <c r="E725" s="338"/>
      <c r="F725" s="338"/>
      <c r="G725" s="338"/>
      <c r="H725" s="338"/>
      <c r="I725" s="338"/>
      <c r="J725" s="338"/>
      <c r="K725" s="333" t="s">
        <v>189</v>
      </c>
      <c r="L725" s="204"/>
      <c r="M725" s="204"/>
      <c r="N725" s="204"/>
      <c r="V725" s="205"/>
      <c r="AI725" s="205"/>
    </row>
  </sheetData>
  <autoFilter ref="A1:A725" xr:uid="{00000000-0009-0000-0000-000006000000}"/>
  <mergeCells count="800">
    <mergeCell ref="B1:AM1"/>
    <mergeCell ref="A2:AM2"/>
    <mergeCell ref="A3:AO3"/>
    <mergeCell ref="A5:A7"/>
    <mergeCell ref="B5:I7"/>
    <mergeCell ref="J5:J7"/>
    <mergeCell ref="K5:N7"/>
    <mergeCell ref="O5:O7"/>
    <mergeCell ref="P5:P7"/>
    <mergeCell ref="Q5:Q7"/>
    <mergeCell ref="AO5:AO7"/>
    <mergeCell ref="AP5:AP7"/>
    <mergeCell ref="T6:U6"/>
    <mergeCell ref="V6:V7"/>
    <mergeCell ref="W6:W7"/>
    <mergeCell ref="X6:X7"/>
    <mergeCell ref="Y6:Y7"/>
    <mergeCell ref="Z6:Z7"/>
    <mergeCell ref="R5:R7"/>
    <mergeCell ref="S5:S7"/>
    <mergeCell ref="T5:AI5"/>
    <mergeCell ref="AJ5:AJ7"/>
    <mergeCell ref="AK5:AK7"/>
    <mergeCell ref="AL5:AL7"/>
    <mergeCell ref="AA6:AA7"/>
    <mergeCell ref="AB6:AB7"/>
    <mergeCell ref="AC6:AC7"/>
    <mergeCell ref="AD6:AD7"/>
    <mergeCell ref="AE6:AE7"/>
    <mergeCell ref="AF6:AF7"/>
    <mergeCell ref="AG6:AG7"/>
    <mergeCell ref="AH6:AH7"/>
    <mergeCell ref="AI6:AI7"/>
    <mergeCell ref="B8:I8"/>
    <mergeCell ref="K8:N8"/>
    <mergeCell ref="AM5:AM7"/>
    <mergeCell ref="AN5:AN7"/>
    <mergeCell ref="B15:I15"/>
    <mergeCell ref="L15:N15"/>
    <mergeCell ref="B16:I16"/>
    <mergeCell ref="L16:N16"/>
    <mergeCell ref="B17:I17"/>
    <mergeCell ref="L17:N17"/>
    <mergeCell ref="B10:I10"/>
    <mergeCell ref="L10:N10"/>
    <mergeCell ref="B12:I12"/>
    <mergeCell ref="L12:N12"/>
    <mergeCell ref="B14:I14"/>
    <mergeCell ref="L14:N14"/>
    <mergeCell ref="B21:I21"/>
    <mergeCell ref="L21:N21"/>
    <mergeCell ref="B22:I22"/>
    <mergeCell ref="L22:N22"/>
    <mergeCell ref="B23:I23"/>
    <mergeCell ref="L23:N23"/>
    <mergeCell ref="B18:I18"/>
    <mergeCell ref="L18:N18"/>
    <mergeCell ref="B19:I19"/>
    <mergeCell ref="L19:N19"/>
    <mergeCell ref="B20:I20"/>
    <mergeCell ref="L20:N20"/>
    <mergeCell ref="B27:I27"/>
    <mergeCell ref="L27:N27"/>
    <mergeCell ref="B28:I28"/>
    <mergeCell ref="L28:N28"/>
    <mergeCell ref="B29:I29"/>
    <mergeCell ref="L29:N29"/>
    <mergeCell ref="B24:I24"/>
    <mergeCell ref="L24:N24"/>
    <mergeCell ref="B25:I25"/>
    <mergeCell ref="L25:N25"/>
    <mergeCell ref="B26:I26"/>
    <mergeCell ref="L26:N26"/>
    <mergeCell ref="L34:N34"/>
    <mergeCell ref="L35:N35"/>
    <mergeCell ref="B37:I37"/>
    <mergeCell ref="L37:N37"/>
    <mergeCell ref="L38:N38"/>
    <mergeCell ref="L39:N39"/>
    <mergeCell ref="L30:N30"/>
    <mergeCell ref="B31:I31"/>
    <mergeCell ref="L31:N31"/>
    <mergeCell ref="L32:N32"/>
    <mergeCell ref="B33:I33"/>
    <mergeCell ref="L33:N33"/>
    <mergeCell ref="L46:N46"/>
    <mergeCell ref="L47:N47"/>
    <mergeCell ref="L48:N48"/>
    <mergeCell ref="L51:N51"/>
    <mergeCell ref="L52:N52"/>
    <mergeCell ref="L53:N53"/>
    <mergeCell ref="L40:N40"/>
    <mergeCell ref="L41:N41"/>
    <mergeCell ref="L42:N42"/>
    <mergeCell ref="L43:N43"/>
    <mergeCell ref="L44:N44"/>
    <mergeCell ref="L45:N45"/>
    <mergeCell ref="L49:N49"/>
    <mergeCell ref="L50:N50"/>
    <mergeCell ref="B60:I60"/>
    <mergeCell ref="M60:N60"/>
    <mergeCell ref="M61:N61"/>
    <mergeCell ref="B62:I62"/>
    <mergeCell ref="M62:N62"/>
    <mergeCell ref="M63:N63"/>
    <mergeCell ref="L55:N55"/>
    <mergeCell ref="L56:N56"/>
    <mergeCell ref="B58:I58"/>
    <mergeCell ref="L58:N58"/>
    <mergeCell ref="B59:I59"/>
    <mergeCell ref="L59:N59"/>
    <mergeCell ref="M69:N69"/>
    <mergeCell ref="M70:N70"/>
    <mergeCell ref="M71:N71"/>
    <mergeCell ref="B72:I72"/>
    <mergeCell ref="M72:N72"/>
    <mergeCell ref="M73:N73"/>
    <mergeCell ref="M64:N64"/>
    <mergeCell ref="M65:N65"/>
    <mergeCell ref="B66:I66"/>
    <mergeCell ref="M66:N66"/>
    <mergeCell ref="M67:N67"/>
    <mergeCell ref="B68:I68"/>
    <mergeCell ref="M68:N68"/>
    <mergeCell ref="M79:N79"/>
    <mergeCell ref="M80:N80"/>
    <mergeCell ref="B81:I81"/>
    <mergeCell ref="M81:N81"/>
    <mergeCell ref="M82:N82"/>
    <mergeCell ref="M83:N83"/>
    <mergeCell ref="M74:N74"/>
    <mergeCell ref="B75:I75"/>
    <mergeCell ref="M75:N75"/>
    <mergeCell ref="M76:N76"/>
    <mergeCell ref="M77:N77"/>
    <mergeCell ref="M78:N78"/>
    <mergeCell ref="B89:I89"/>
    <mergeCell ref="M89:N89"/>
    <mergeCell ref="M90:N90"/>
    <mergeCell ref="M91:N91"/>
    <mergeCell ref="B92:I92"/>
    <mergeCell ref="M92:N92"/>
    <mergeCell ref="M84:N84"/>
    <mergeCell ref="M85:N85"/>
    <mergeCell ref="B86:I86"/>
    <mergeCell ref="M86:N86"/>
    <mergeCell ref="M87:N87"/>
    <mergeCell ref="M88:N88"/>
    <mergeCell ref="M97:N97"/>
    <mergeCell ref="M98:N98"/>
    <mergeCell ref="M99:N99"/>
    <mergeCell ref="M100:N100"/>
    <mergeCell ref="M101:N101"/>
    <mergeCell ref="M102:N102"/>
    <mergeCell ref="M93:N93"/>
    <mergeCell ref="B94:I94"/>
    <mergeCell ref="M94:N94"/>
    <mergeCell ref="M95:N95"/>
    <mergeCell ref="B96:I96"/>
    <mergeCell ref="M96:N96"/>
    <mergeCell ref="M109:N109"/>
    <mergeCell ref="B110:I110"/>
    <mergeCell ref="M110:N110"/>
    <mergeCell ref="M111:N111"/>
    <mergeCell ref="M112:N112"/>
    <mergeCell ref="M113:N113"/>
    <mergeCell ref="M103:N103"/>
    <mergeCell ref="M104:N104"/>
    <mergeCell ref="M105:N105"/>
    <mergeCell ref="M106:N106"/>
    <mergeCell ref="M107:N107"/>
    <mergeCell ref="M108:N108"/>
    <mergeCell ref="M120:N120"/>
    <mergeCell ref="M121:N121"/>
    <mergeCell ref="M122:N122"/>
    <mergeCell ref="M123:N123"/>
    <mergeCell ref="B124:I124"/>
    <mergeCell ref="L124:N124"/>
    <mergeCell ref="M114:N114"/>
    <mergeCell ref="M115:N115"/>
    <mergeCell ref="M116:N116"/>
    <mergeCell ref="M117:N117"/>
    <mergeCell ref="M118:N118"/>
    <mergeCell ref="M119:N119"/>
    <mergeCell ref="M129:N129"/>
    <mergeCell ref="M130:N130"/>
    <mergeCell ref="M131:N131"/>
    <mergeCell ref="M132:N132"/>
    <mergeCell ref="M133:N133"/>
    <mergeCell ref="M134:N134"/>
    <mergeCell ref="B125:I125"/>
    <mergeCell ref="M125:N125"/>
    <mergeCell ref="M126:N126"/>
    <mergeCell ref="B127:I127"/>
    <mergeCell ref="M127:N127"/>
    <mergeCell ref="M128:N128"/>
    <mergeCell ref="M140:N140"/>
    <mergeCell ref="B141:I141"/>
    <mergeCell ref="M141:N141"/>
    <mergeCell ref="M142:N142"/>
    <mergeCell ref="M143:N143"/>
    <mergeCell ref="B144:I144"/>
    <mergeCell ref="M144:N144"/>
    <mergeCell ref="M135:N135"/>
    <mergeCell ref="M136:N136"/>
    <mergeCell ref="M137:N137"/>
    <mergeCell ref="M138:N138"/>
    <mergeCell ref="B139:I139"/>
    <mergeCell ref="M139:N139"/>
    <mergeCell ref="M150:N150"/>
    <mergeCell ref="M151:N151"/>
    <mergeCell ref="M152:N152"/>
    <mergeCell ref="M153:N153"/>
    <mergeCell ref="M154:N154"/>
    <mergeCell ref="B155:I155"/>
    <mergeCell ref="M155:N155"/>
    <mergeCell ref="M145:N145"/>
    <mergeCell ref="M146:N146"/>
    <mergeCell ref="M147:N147"/>
    <mergeCell ref="B148:I148"/>
    <mergeCell ref="M148:N148"/>
    <mergeCell ref="M149:N149"/>
    <mergeCell ref="M162:N162"/>
    <mergeCell ref="M163:N163"/>
    <mergeCell ref="M164:N164"/>
    <mergeCell ref="B165:I165"/>
    <mergeCell ref="M165:N165"/>
    <mergeCell ref="M166:N166"/>
    <mergeCell ref="M156:N156"/>
    <mergeCell ref="M157:N157"/>
    <mergeCell ref="M158:N158"/>
    <mergeCell ref="M159:N159"/>
    <mergeCell ref="M160:N160"/>
    <mergeCell ref="B161:I161"/>
    <mergeCell ref="L161:N161"/>
    <mergeCell ref="B171:I171"/>
    <mergeCell ref="M171:N171"/>
    <mergeCell ref="M172:N172"/>
    <mergeCell ref="M173:N173"/>
    <mergeCell ref="M174:N174"/>
    <mergeCell ref="M175:N175"/>
    <mergeCell ref="M167:N167"/>
    <mergeCell ref="B168:I168"/>
    <mergeCell ref="L168:N168"/>
    <mergeCell ref="B169:I169"/>
    <mergeCell ref="M169:N169"/>
    <mergeCell ref="M170:N170"/>
    <mergeCell ref="B181:I181"/>
    <mergeCell ref="M181:N181"/>
    <mergeCell ref="M182:N182"/>
    <mergeCell ref="M183:N183"/>
    <mergeCell ref="M184:N184"/>
    <mergeCell ref="M185:N185"/>
    <mergeCell ref="M176:N176"/>
    <mergeCell ref="M177:N177"/>
    <mergeCell ref="M178:N178"/>
    <mergeCell ref="M179:N179"/>
    <mergeCell ref="B180:I180"/>
    <mergeCell ref="L180:N180"/>
    <mergeCell ref="M192:N192"/>
    <mergeCell ref="B193:I193"/>
    <mergeCell ref="M193:N193"/>
    <mergeCell ref="M194:N194"/>
    <mergeCell ref="M195:N195"/>
    <mergeCell ref="M196:N196"/>
    <mergeCell ref="M186:N186"/>
    <mergeCell ref="M187:N187"/>
    <mergeCell ref="M188:N188"/>
    <mergeCell ref="M189:N189"/>
    <mergeCell ref="M190:N190"/>
    <mergeCell ref="M191:N191"/>
    <mergeCell ref="M203:N203"/>
    <mergeCell ref="M204:N204"/>
    <mergeCell ref="M205:N205"/>
    <mergeCell ref="M206:N206"/>
    <mergeCell ref="M207:N207"/>
    <mergeCell ref="M208:N208"/>
    <mergeCell ref="M197:N197"/>
    <mergeCell ref="M198:N198"/>
    <mergeCell ref="M199:N199"/>
    <mergeCell ref="M200:N200"/>
    <mergeCell ref="M201:N201"/>
    <mergeCell ref="M202:N202"/>
    <mergeCell ref="M214:N214"/>
    <mergeCell ref="M215:N215"/>
    <mergeCell ref="B216:I216"/>
    <mergeCell ref="M216:N216"/>
    <mergeCell ref="M217:N217"/>
    <mergeCell ref="M218:N218"/>
    <mergeCell ref="B209:I209"/>
    <mergeCell ref="M209:N209"/>
    <mergeCell ref="M210:N210"/>
    <mergeCell ref="M211:N211"/>
    <mergeCell ref="M212:N212"/>
    <mergeCell ref="M213:N213"/>
    <mergeCell ref="M225:N225"/>
    <mergeCell ref="M226:N226"/>
    <mergeCell ref="M227:N227"/>
    <mergeCell ref="M228:N228"/>
    <mergeCell ref="M229:N229"/>
    <mergeCell ref="B230:I230"/>
    <mergeCell ref="M230:N230"/>
    <mergeCell ref="M219:N219"/>
    <mergeCell ref="M220:N220"/>
    <mergeCell ref="M221:N221"/>
    <mergeCell ref="M222:N222"/>
    <mergeCell ref="M223:N223"/>
    <mergeCell ref="M224:N224"/>
    <mergeCell ref="M237:N237"/>
    <mergeCell ref="M238:N238"/>
    <mergeCell ref="M239:N239"/>
    <mergeCell ref="M240:N240"/>
    <mergeCell ref="B241:I241"/>
    <mergeCell ref="M241:N241"/>
    <mergeCell ref="M231:N231"/>
    <mergeCell ref="M232:N232"/>
    <mergeCell ref="M233:N233"/>
    <mergeCell ref="M234:N234"/>
    <mergeCell ref="M235:N235"/>
    <mergeCell ref="M236:N236"/>
    <mergeCell ref="B248:I248"/>
    <mergeCell ref="L248:N248"/>
    <mergeCell ref="B249:I249"/>
    <mergeCell ref="M249:N249"/>
    <mergeCell ref="M250:N250"/>
    <mergeCell ref="M251:N251"/>
    <mergeCell ref="M242:N242"/>
    <mergeCell ref="M243:N243"/>
    <mergeCell ref="M244:N244"/>
    <mergeCell ref="M245:N245"/>
    <mergeCell ref="M246:N246"/>
    <mergeCell ref="M247:N247"/>
    <mergeCell ref="M258:N258"/>
    <mergeCell ref="M259:N259"/>
    <mergeCell ref="M260:N260"/>
    <mergeCell ref="M261:N261"/>
    <mergeCell ref="M262:N262"/>
    <mergeCell ref="M263:N263"/>
    <mergeCell ref="M252:N252"/>
    <mergeCell ref="M253:N253"/>
    <mergeCell ref="M254:N254"/>
    <mergeCell ref="M255:N255"/>
    <mergeCell ref="M256:N256"/>
    <mergeCell ref="M257:N257"/>
    <mergeCell ref="M270:N270"/>
    <mergeCell ref="M271:N271"/>
    <mergeCell ref="M272:N272"/>
    <mergeCell ref="M273:N273"/>
    <mergeCell ref="M274:N274"/>
    <mergeCell ref="B275:I275"/>
    <mergeCell ref="M275:N275"/>
    <mergeCell ref="M264:N264"/>
    <mergeCell ref="M265:N265"/>
    <mergeCell ref="M266:N266"/>
    <mergeCell ref="M267:N267"/>
    <mergeCell ref="M268:N268"/>
    <mergeCell ref="M269:N269"/>
    <mergeCell ref="M282:N282"/>
    <mergeCell ref="M283:N283"/>
    <mergeCell ref="M284:N284"/>
    <mergeCell ref="M285:N285"/>
    <mergeCell ref="M286:N286"/>
    <mergeCell ref="B287:I287"/>
    <mergeCell ref="M287:N287"/>
    <mergeCell ref="M276:N276"/>
    <mergeCell ref="M277:N277"/>
    <mergeCell ref="M278:N278"/>
    <mergeCell ref="M279:N279"/>
    <mergeCell ref="M280:N280"/>
    <mergeCell ref="M281:N281"/>
    <mergeCell ref="M294:N294"/>
    <mergeCell ref="M295:N295"/>
    <mergeCell ref="M296:N296"/>
    <mergeCell ref="B297:I297"/>
    <mergeCell ref="M297:N297"/>
    <mergeCell ref="M298:N298"/>
    <mergeCell ref="M288:N288"/>
    <mergeCell ref="M289:N289"/>
    <mergeCell ref="M290:N290"/>
    <mergeCell ref="M291:N291"/>
    <mergeCell ref="M292:N292"/>
    <mergeCell ref="M293:N293"/>
    <mergeCell ref="M305:N305"/>
    <mergeCell ref="M306:N306"/>
    <mergeCell ref="M307:N307"/>
    <mergeCell ref="M308:N308"/>
    <mergeCell ref="B309:I309"/>
    <mergeCell ref="M309:N309"/>
    <mergeCell ref="M299:N299"/>
    <mergeCell ref="M300:N300"/>
    <mergeCell ref="M301:N301"/>
    <mergeCell ref="M302:N302"/>
    <mergeCell ref="M303:N303"/>
    <mergeCell ref="M304:N304"/>
    <mergeCell ref="B325:I325"/>
    <mergeCell ref="M325:N325"/>
    <mergeCell ref="M316:N316"/>
    <mergeCell ref="B317:I317"/>
    <mergeCell ref="M317:N317"/>
    <mergeCell ref="M318:N318"/>
    <mergeCell ref="M319:N319"/>
    <mergeCell ref="M320:N320"/>
    <mergeCell ref="M310:N310"/>
    <mergeCell ref="M311:N311"/>
    <mergeCell ref="M312:N312"/>
    <mergeCell ref="M313:N313"/>
    <mergeCell ref="M314:N314"/>
    <mergeCell ref="M315:N315"/>
    <mergeCell ref="M326:N326"/>
    <mergeCell ref="M327:N327"/>
    <mergeCell ref="M328:N328"/>
    <mergeCell ref="M329:N329"/>
    <mergeCell ref="M330:N330"/>
    <mergeCell ref="M331:N331"/>
    <mergeCell ref="M321:N321"/>
    <mergeCell ref="M322:N322"/>
    <mergeCell ref="M323:N323"/>
    <mergeCell ref="M324:N324"/>
    <mergeCell ref="M338:N338"/>
    <mergeCell ref="B339:I339"/>
    <mergeCell ref="M339:N339"/>
    <mergeCell ref="M340:N340"/>
    <mergeCell ref="M341:N341"/>
    <mergeCell ref="M342:N342"/>
    <mergeCell ref="M332:N332"/>
    <mergeCell ref="M333:N333"/>
    <mergeCell ref="M334:N334"/>
    <mergeCell ref="M335:N335"/>
    <mergeCell ref="M336:N336"/>
    <mergeCell ref="M337:N337"/>
    <mergeCell ref="M349:N349"/>
    <mergeCell ref="B350:I350"/>
    <mergeCell ref="M350:N350"/>
    <mergeCell ref="M351:N351"/>
    <mergeCell ref="M352:N352"/>
    <mergeCell ref="M353:N353"/>
    <mergeCell ref="M343:N343"/>
    <mergeCell ref="M344:N344"/>
    <mergeCell ref="M345:N345"/>
    <mergeCell ref="M346:N346"/>
    <mergeCell ref="M347:N347"/>
    <mergeCell ref="M348:N348"/>
    <mergeCell ref="M360:N360"/>
    <mergeCell ref="M361:N361"/>
    <mergeCell ref="M362:N362"/>
    <mergeCell ref="M363:N363"/>
    <mergeCell ref="B364:I364"/>
    <mergeCell ref="M364:N364"/>
    <mergeCell ref="M354:N354"/>
    <mergeCell ref="M355:N355"/>
    <mergeCell ref="M356:N356"/>
    <mergeCell ref="M357:N357"/>
    <mergeCell ref="M358:N358"/>
    <mergeCell ref="M359:N359"/>
    <mergeCell ref="M371:N371"/>
    <mergeCell ref="M372:N372"/>
    <mergeCell ref="M373:N373"/>
    <mergeCell ref="M374:N374"/>
    <mergeCell ref="M375:N375"/>
    <mergeCell ref="M376:N376"/>
    <mergeCell ref="M365:N365"/>
    <mergeCell ref="M366:N366"/>
    <mergeCell ref="M367:N367"/>
    <mergeCell ref="M368:N368"/>
    <mergeCell ref="M369:N369"/>
    <mergeCell ref="M370:N370"/>
    <mergeCell ref="M382:N382"/>
    <mergeCell ref="M383:N383"/>
    <mergeCell ref="M384:N384"/>
    <mergeCell ref="M385:N385"/>
    <mergeCell ref="M386:N386"/>
    <mergeCell ref="B387:I387"/>
    <mergeCell ref="M387:N387"/>
    <mergeCell ref="B377:I377"/>
    <mergeCell ref="M377:N377"/>
    <mergeCell ref="M378:N378"/>
    <mergeCell ref="M379:N379"/>
    <mergeCell ref="M380:N380"/>
    <mergeCell ref="M381:N381"/>
    <mergeCell ref="M394:N394"/>
    <mergeCell ref="M395:N395"/>
    <mergeCell ref="M396:N396"/>
    <mergeCell ref="M397:N397"/>
    <mergeCell ref="M398:N398"/>
    <mergeCell ref="M399:N399"/>
    <mergeCell ref="M388:N388"/>
    <mergeCell ref="M389:N389"/>
    <mergeCell ref="M390:N390"/>
    <mergeCell ref="M391:N391"/>
    <mergeCell ref="M392:N392"/>
    <mergeCell ref="M393:N393"/>
    <mergeCell ref="B408:I408"/>
    <mergeCell ref="M408:N408"/>
    <mergeCell ref="M409:N409"/>
    <mergeCell ref="B400:I400"/>
    <mergeCell ref="M400:N400"/>
    <mergeCell ref="M401:N401"/>
    <mergeCell ref="M402:N402"/>
    <mergeCell ref="M403:N403"/>
    <mergeCell ref="M404:N404"/>
    <mergeCell ref="M410:N410"/>
    <mergeCell ref="M411:N411"/>
    <mergeCell ref="M412:N412"/>
    <mergeCell ref="M413:N413"/>
    <mergeCell ref="M414:N414"/>
    <mergeCell ref="M415:N415"/>
    <mergeCell ref="M405:N405"/>
    <mergeCell ref="M406:N406"/>
    <mergeCell ref="M407:N407"/>
    <mergeCell ref="M422:N422"/>
    <mergeCell ref="M423:N423"/>
    <mergeCell ref="M424:N424"/>
    <mergeCell ref="B425:I425"/>
    <mergeCell ref="M425:N425"/>
    <mergeCell ref="M426:N426"/>
    <mergeCell ref="M416:N416"/>
    <mergeCell ref="M417:N417"/>
    <mergeCell ref="M418:N418"/>
    <mergeCell ref="M419:N419"/>
    <mergeCell ref="M420:N420"/>
    <mergeCell ref="M421:N421"/>
    <mergeCell ref="M433:N433"/>
    <mergeCell ref="M434:N434"/>
    <mergeCell ref="M435:N435"/>
    <mergeCell ref="B436:I436"/>
    <mergeCell ref="M436:N436"/>
    <mergeCell ref="M437:N437"/>
    <mergeCell ref="M427:N427"/>
    <mergeCell ref="M428:N428"/>
    <mergeCell ref="M429:N429"/>
    <mergeCell ref="M430:N430"/>
    <mergeCell ref="M431:N431"/>
    <mergeCell ref="M432:N432"/>
    <mergeCell ref="B447:I447"/>
    <mergeCell ref="M447:N447"/>
    <mergeCell ref="M448:N448"/>
    <mergeCell ref="M438:N438"/>
    <mergeCell ref="M439:N439"/>
    <mergeCell ref="M440:N440"/>
    <mergeCell ref="M441:N441"/>
    <mergeCell ref="M442:N442"/>
    <mergeCell ref="M443:N443"/>
    <mergeCell ref="M449:N449"/>
    <mergeCell ref="M450:N450"/>
    <mergeCell ref="M451:N451"/>
    <mergeCell ref="M452:N452"/>
    <mergeCell ref="M453:N453"/>
    <mergeCell ref="M454:N454"/>
    <mergeCell ref="M444:N444"/>
    <mergeCell ref="M445:N445"/>
    <mergeCell ref="M446:N446"/>
    <mergeCell ref="M460:N460"/>
    <mergeCell ref="M461:N461"/>
    <mergeCell ref="M462:N462"/>
    <mergeCell ref="M463:N463"/>
    <mergeCell ref="M464:N464"/>
    <mergeCell ref="M465:N465"/>
    <mergeCell ref="M455:N455"/>
    <mergeCell ref="M456:N456"/>
    <mergeCell ref="B457:I457"/>
    <mergeCell ref="M457:N457"/>
    <mergeCell ref="M458:N458"/>
    <mergeCell ref="M459:N459"/>
    <mergeCell ref="M471:N471"/>
    <mergeCell ref="M472:N472"/>
    <mergeCell ref="M473:N473"/>
    <mergeCell ref="M474:N474"/>
    <mergeCell ref="M475:N475"/>
    <mergeCell ref="M476:N476"/>
    <mergeCell ref="B466:I466"/>
    <mergeCell ref="M466:N466"/>
    <mergeCell ref="M467:N467"/>
    <mergeCell ref="M468:N468"/>
    <mergeCell ref="M469:N469"/>
    <mergeCell ref="M470:N470"/>
    <mergeCell ref="M483:N483"/>
    <mergeCell ref="M484:N484"/>
    <mergeCell ref="M485:N485"/>
    <mergeCell ref="M486:N486"/>
    <mergeCell ref="M487:N487"/>
    <mergeCell ref="M488:N488"/>
    <mergeCell ref="M477:N477"/>
    <mergeCell ref="M478:N478"/>
    <mergeCell ref="M479:N479"/>
    <mergeCell ref="M480:N480"/>
    <mergeCell ref="M481:N481"/>
    <mergeCell ref="M482:N482"/>
    <mergeCell ref="B504:I504"/>
    <mergeCell ref="M504:N504"/>
    <mergeCell ref="B495:I495"/>
    <mergeCell ref="M495:N495"/>
    <mergeCell ref="M496:N496"/>
    <mergeCell ref="M497:N497"/>
    <mergeCell ref="M498:N498"/>
    <mergeCell ref="M499:N499"/>
    <mergeCell ref="M489:N489"/>
    <mergeCell ref="M490:N490"/>
    <mergeCell ref="M491:N491"/>
    <mergeCell ref="M492:N492"/>
    <mergeCell ref="M493:N493"/>
    <mergeCell ref="M494:N494"/>
    <mergeCell ref="M505:N505"/>
    <mergeCell ref="M506:N506"/>
    <mergeCell ref="M507:N507"/>
    <mergeCell ref="M508:N508"/>
    <mergeCell ref="M509:N509"/>
    <mergeCell ref="M510:N510"/>
    <mergeCell ref="M500:N500"/>
    <mergeCell ref="M501:N501"/>
    <mergeCell ref="M502:N502"/>
    <mergeCell ref="M503:N503"/>
    <mergeCell ref="M517:N517"/>
    <mergeCell ref="M518:N518"/>
    <mergeCell ref="M519:N519"/>
    <mergeCell ref="M520:N520"/>
    <mergeCell ref="M521:N521"/>
    <mergeCell ref="M522:N522"/>
    <mergeCell ref="M511:N511"/>
    <mergeCell ref="M512:N512"/>
    <mergeCell ref="M513:N513"/>
    <mergeCell ref="M514:N514"/>
    <mergeCell ref="M515:N515"/>
    <mergeCell ref="M516:N516"/>
    <mergeCell ref="M528:N528"/>
    <mergeCell ref="M529:N529"/>
    <mergeCell ref="B530:I530"/>
    <mergeCell ref="M530:N530"/>
    <mergeCell ref="M531:N531"/>
    <mergeCell ref="M532:N532"/>
    <mergeCell ref="B523:I523"/>
    <mergeCell ref="M523:N523"/>
    <mergeCell ref="M524:N524"/>
    <mergeCell ref="M525:N525"/>
    <mergeCell ref="M526:N526"/>
    <mergeCell ref="M527:N527"/>
    <mergeCell ref="M539:N539"/>
    <mergeCell ref="M540:N540"/>
    <mergeCell ref="M541:N541"/>
    <mergeCell ref="B542:I542"/>
    <mergeCell ref="M542:N542"/>
    <mergeCell ref="M543:N543"/>
    <mergeCell ref="M533:N533"/>
    <mergeCell ref="M534:N534"/>
    <mergeCell ref="M535:N535"/>
    <mergeCell ref="M536:N536"/>
    <mergeCell ref="M537:N537"/>
    <mergeCell ref="M538:N538"/>
    <mergeCell ref="M550:N550"/>
    <mergeCell ref="M551:N551"/>
    <mergeCell ref="M552:N552"/>
    <mergeCell ref="M553:N553"/>
    <mergeCell ref="M554:N554"/>
    <mergeCell ref="M555:N555"/>
    <mergeCell ref="M544:N544"/>
    <mergeCell ref="M545:N545"/>
    <mergeCell ref="M546:N546"/>
    <mergeCell ref="M547:N547"/>
    <mergeCell ref="M548:N548"/>
    <mergeCell ref="M549:N549"/>
    <mergeCell ref="M562:N562"/>
    <mergeCell ref="M563:N563"/>
    <mergeCell ref="M564:N564"/>
    <mergeCell ref="M565:N565"/>
    <mergeCell ref="M566:N566"/>
    <mergeCell ref="M567:N567"/>
    <mergeCell ref="M556:N556"/>
    <mergeCell ref="M557:N557"/>
    <mergeCell ref="M558:N558"/>
    <mergeCell ref="M559:N559"/>
    <mergeCell ref="M560:N560"/>
    <mergeCell ref="M561:N561"/>
    <mergeCell ref="M574:N574"/>
    <mergeCell ref="M575:N575"/>
    <mergeCell ref="M576:N576"/>
    <mergeCell ref="M577:N577"/>
    <mergeCell ref="M578:N578"/>
    <mergeCell ref="M579:N579"/>
    <mergeCell ref="M568:N568"/>
    <mergeCell ref="M569:N569"/>
    <mergeCell ref="M570:N570"/>
    <mergeCell ref="M571:N571"/>
    <mergeCell ref="M572:N572"/>
    <mergeCell ref="M573:N573"/>
    <mergeCell ref="M586:N586"/>
    <mergeCell ref="M587:N587"/>
    <mergeCell ref="M588:N588"/>
    <mergeCell ref="M589:N589"/>
    <mergeCell ref="M590:N590"/>
    <mergeCell ref="M591:N591"/>
    <mergeCell ref="M580:N580"/>
    <mergeCell ref="M581:N581"/>
    <mergeCell ref="M582:N582"/>
    <mergeCell ref="M583:N583"/>
    <mergeCell ref="M584:N584"/>
    <mergeCell ref="M585:N585"/>
    <mergeCell ref="M598:N598"/>
    <mergeCell ref="M599:N599"/>
    <mergeCell ref="M600:N600"/>
    <mergeCell ref="M601:N601"/>
    <mergeCell ref="M602:N602"/>
    <mergeCell ref="M603:N603"/>
    <mergeCell ref="M592:N592"/>
    <mergeCell ref="M593:N593"/>
    <mergeCell ref="M594:N594"/>
    <mergeCell ref="M595:N595"/>
    <mergeCell ref="M596:N596"/>
    <mergeCell ref="M597:N597"/>
    <mergeCell ref="M610:N610"/>
    <mergeCell ref="M611:N611"/>
    <mergeCell ref="M612:N612"/>
    <mergeCell ref="M613:N613"/>
    <mergeCell ref="M614:N614"/>
    <mergeCell ref="M615:N615"/>
    <mergeCell ref="M604:N604"/>
    <mergeCell ref="M605:N605"/>
    <mergeCell ref="M606:N606"/>
    <mergeCell ref="M607:N607"/>
    <mergeCell ref="M608:N608"/>
    <mergeCell ref="M609:N609"/>
    <mergeCell ref="M622:N622"/>
    <mergeCell ref="M623:N623"/>
    <mergeCell ref="M624:N624"/>
    <mergeCell ref="M625:N625"/>
    <mergeCell ref="M626:N626"/>
    <mergeCell ref="M627:N627"/>
    <mergeCell ref="M616:N616"/>
    <mergeCell ref="M617:N617"/>
    <mergeCell ref="M618:N618"/>
    <mergeCell ref="M619:N619"/>
    <mergeCell ref="M620:N620"/>
    <mergeCell ref="M621:N621"/>
    <mergeCell ref="M634:N634"/>
    <mergeCell ref="M635:N635"/>
    <mergeCell ref="M636:N636"/>
    <mergeCell ref="M637:N637"/>
    <mergeCell ref="M638:N638"/>
    <mergeCell ref="M639:N639"/>
    <mergeCell ref="M628:N628"/>
    <mergeCell ref="M629:N629"/>
    <mergeCell ref="M630:N630"/>
    <mergeCell ref="M631:N631"/>
    <mergeCell ref="M632:N632"/>
    <mergeCell ref="M633:N633"/>
    <mergeCell ref="M646:N646"/>
    <mergeCell ref="M647:N647"/>
    <mergeCell ref="M648:N648"/>
    <mergeCell ref="M649:N649"/>
    <mergeCell ref="M650:N650"/>
    <mergeCell ref="M651:N651"/>
    <mergeCell ref="M640:N640"/>
    <mergeCell ref="M641:N641"/>
    <mergeCell ref="M642:N642"/>
    <mergeCell ref="M643:N643"/>
    <mergeCell ref="M644:N644"/>
    <mergeCell ref="M645:N645"/>
    <mergeCell ref="M658:N658"/>
    <mergeCell ref="M659:N659"/>
    <mergeCell ref="M660:N660"/>
    <mergeCell ref="M661:N661"/>
    <mergeCell ref="M662:N662"/>
    <mergeCell ref="M663:N663"/>
    <mergeCell ref="M652:N652"/>
    <mergeCell ref="M653:N653"/>
    <mergeCell ref="M654:N654"/>
    <mergeCell ref="M655:N655"/>
    <mergeCell ref="M656:N656"/>
    <mergeCell ref="M657:N657"/>
    <mergeCell ref="M673:N673"/>
    <mergeCell ref="M674:N674"/>
    <mergeCell ref="M675:N675"/>
    <mergeCell ref="M664:N664"/>
    <mergeCell ref="M665:N665"/>
    <mergeCell ref="M666:N666"/>
    <mergeCell ref="M667:N667"/>
    <mergeCell ref="M668:N668"/>
    <mergeCell ref="M669:N669"/>
    <mergeCell ref="L54:N54"/>
    <mergeCell ref="AI695:AL695"/>
    <mergeCell ref="AI696:AL696"/>
    <mergeCell ref="B687:I687"/>
    <mergeCell ref="M687:N687"/>
    <mergeCell ref="B688:I688"/>
    <mergeCell ref="L688:N688"/>
    <mergeCell ref="AI689:AL689"/>
    <mergeCell ref="AI690:AL690"/>
    <mergeCell ref="M681:N681"/>
    <mergeCell ref="M682:N682"/>
    <mergeCell ref="M683:N683"/>
    <mergeCell ref="M684:N684"/>
    <mergeCell ref="M685:N685"/>
    <mergeCell ref="M686:N686"/>
    <mergeCell ref="M676:N676"/>
    <mergeCell ref="M677:N677"/>
    <mergeCell ref="M678:N678"/>
    <mergeCell ref="B679:I679"/>
    <mergeCell ref="L679:N679"/>
    <mergeCell ref="M680:N680"/>
    <mergeCell ref="M670:N670"/>
    <mergeCell ref="M671:N671"/>
    <mergeCell ref="M672:N672"/>
  </mergeCells>
  <printOptions horizontalCentered="1"/>
  <pageMargins left="0.75" right="0.75" top="0.59055118110236204" bottom="0.39370078740157499" header="0.35433070866141703" footer="0.35433070866141703"/>
  <pageSetup paperSize="258" scale="65" fitToWidth="0" fitToHeight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outlinePr summaryBelow="0" summaryRight="0"/>
    <pageSetUpPr autoPageBreaks="0"/>
  </sheetPr>
  <dimension ref="A1:CE725"/>
  <sheetViews>
    <sheetView showOutlineSymbols="0" view="pageBreakPreview" zoomScale="80" zoomScaleSheetLayoutView="80" workbookViewId="0">
      <pane ySplit="8" topLeftCell="A17" activePane="bottomLeft" state="frozen"/>
      <selection activeCell="Q553" sqref="Q553"/>
      <selection pane="bottomLeft" activeCell="AI26" sqref="AI26"/>
    </sheetView>
  </sheetViews>
  <sheetFormatPr defaultRowHeight="13.5" customHeight="1" x14ac:dyDescent="0.25"/>
  <cols>
    <col min="1" max="1" width="5" style="205" customWidth="1"/>
    <col min="2" max="2" width="1.140625" style="205" hidden="1" customWidth="1"/>
    <col min="3" max="3" width="1.7109375" style="205" hidden="1" customWidth="1"/>
    <col min="4" max="5" width="1.140625" style="205" hidden="1" customWidth="1"/>
    <col min="6" max="6" width="1.7109375" style="205" hidden="1" customWidth="1"/>
    <col min="7" max="7" width="2" style="205" hidden="1" customWidth="1"/>
    <col min="8" max="8" width="8.5703125" style="205" hidden="1" customWidth="1"/>
    <col min="9" max="9" width="1.140625" style="205" hidden="1" customWidth="1"/>
    <col min="10" max="10" width="22.5703125" style="205" customWidth="1"/>
    <col min="11" max="11" width="2.28515625" style="205" customWidth="1"/>
    <col min="12" max="12" width="1.7109375" style="205" customWidth="1"/>
    <col min="13" max="13" width="5.85546875" style="205" customWidth="1"/>
    <col min="14" max="14" width="30.7109375" style="205" customWidth="1"/>
    <col min="15" max="16" width="16.42578125" style="205" hidden="1" customWidth="1"/>
    <col min="17" max="17" width="21.85546875" style="205" customWidth="1"/>
    <col min="18" max="18" width="8.28515625" style="205" customWidth="1"/>
    <col min="19" max="19" width="8" style="205" customWidth="1"/>
    <col min="20" max="20" width="11" style="205" bestFit="1" customWidth="1"/>
    <col min="21" max="21" width="11" style="205" customWidth="1"/>
    <col min="22" max="22" width="11" style="331" customWidth="1"/>
    <col min="23" max="31" width="15.85546875" style="205" hidden="1" customWidth="1"/>
    <col min="32" max="32" width="18.28515625" style="205" hidden="1" customWidth="1"/>
    <col min="33" max="34" width="15.85546875" style="205" hidden="1" customWidth="1"/>
    <col min="35" max="35" width="22.42578125" style="335" customWidth="1"/>
    <col min="36" max="36" width="14.7109375" style="205" customWidth="1"/>
    <col min="37" max="37" width="24.28515625" style="407" customWidth="1"/>
    <col min="38" max="38" width="9.5703125" style="205" customWidth="1"/>
    <col min="39" max="39" width="6.85546875" style="205" customWidth="1"/>
    <col min="40" max="42" width="0" style="205" hidden="1" customWidth="1"/>
    <col min="43" max="43" width="9.140625" style="205"/>
    <col min="44" max="44" width="20.140625" style="205" bestFit="1" customWidth="1"/>
    <col min="45" max="45" width="15.85546875" style="205" bestFit="1" customWidth="1"/>
    <col min="46" max="16384" width="9.140625" style="205"/>
  </cols>
  <sheetData>
    <row r="1" spans="1:45" ht="13.5" customHeight="1" x14ac:dyDescent="0.25">
      <c r="A1" s="203"/>
      <c r="B1" s="646" t="s">
        <v>0</v>
      </c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C1" s="646"/>
      <c r="AD1" s="646"/>
      <c r="AE1" s="646"/>
      <c r="AF1" s="646"/>
      <c r="AG1" s="646"/>
      <c r="AH1" s="646"/>
      <c r="AI1" s="646"/>
      <c r="AJ1" s="646"/>
      <c r="AK1" s="646"/>
      <c r="AL1" s="646"/>
      <c r="AM1" s="646"/>
      <c r="AN1" s="204"/>
      <c r="AO1" s="204"/>
      <c r="AP1" s="204"/>
    </row>
    <row r="2" spans="1:45" s="206" customFormat="1" ht="13.5" customHeight="1" x14ac:dyDescent="0.25">
      <c r="A2" s="646" t="s">
        <v>541</v>
      </c>
      <c r="B2" s="646"/>
      <c r="C2" s="646"/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C2" s="646"/>
      <c r="AD2" s="646"/>
      <c r="AE2" s="646"/>
      <c r="AF2" s="646"/>
      <c r="AG2" s="646"/>
      <c r="AH2" s="646"/>
      <c r="AI2" s="646"/>
      <c r="AJ2" s="646"/>
      <c r="AK2" s="646"/>
      <c r="AL2" s="646"/>
      <c r="AM2" s="646"/>
    </row>
    <row r="3" spans="1:45" ht="13.5" customHeight="1" x14ac:dyDescent="0.25">
      <c r="A3" s="646" t="s">
        <v>647</v>
      </c>
      <c r="B3" s="646"/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C3" s="646"/>
      <c r="AD3" s="646"/>
      <c r="AE3" s="646"/>
      <c r="AF3" s="646"/>
      <c r="AG3" s="646"/>
      <c r="AH3" s="646"/>
      <c r="AI3" s="646"/>
      <c r="AJ3" s="646"/>
      <c r="AK3" s="646"/>
      <c r="AL3" s="646"/>
      <c r="AM3" s="646"/>
      <c r="AN3" s="646"/>
      <c r="AO3" s="646"/>
      <c r="AP3" s="204"/>
    </row>
    <row r="4" spans="1:45" ht="13.5" customHeight="1" x14ac:dyDescent="0.25">
      <c r="A4" s="203" t="s">
        <v>426</v>
      </c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3"/>
      <c r="S4" s="203"/>
      <c r="T4" s="204"/>
      <c r="U4" s="204"/>
      <c r="V4" s="208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402"/>
      <c r="AL4" s="204"/>
      <c r="AM4" s="204"/>
      <c r="AN4" s="204"/>
      <c r="AO4" s="204"/>
      <c r="AP4" s="204"/>
    </row>
    <row r="5" spans="1:45" ht="13.5" customHeight="1" x14ac:dyDescent="0.25">
      <c r="A5" s="497" t="s">
        <v>1</v>
      </c>
      <c r="B5" s="497" t="s">
        <v>56</v>
      </c>
      <c r="C5" s="497"/>
      <c r="D5" s="497"/>
      <c r="E5" s="497"/>
      <c r="F5" s="497"/>
      <c r="G5" s="497"/>
      <c r="H5" s="497"/>
      <c r="I5" s="497"/>
      <c r="J5" s="498" t="s">
        <v>192</v>
      </c>
      <c r="K5" s="497" t="s">
        <v>2</v>
      </c>
      <c r="L5" s="497"/>
      <c r="M5" s="497"/>
      <c r="N5" s="497"/>
      <c r="O5" s="497" t="s">
        <v>57</v>
      </c>
      <c r="P5" s="498" t="s">
        <v>58</v>
      </c>
      <c r="Q5" s="497" t="s">
        <v>3</v>
      </c>
      <c r="R5" s="497" t="s">
        <v>4</v>
      </c>
      <c r="S5" s="497" t="s">
        <v>59</v>
      </c>
      <c r="T5" s="505" t="s">
        <v>60</v>
      </c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0"/>
      <c r="AI5" s="506"/>
      <c r="AJ5" s="497" t="s">
        <v>5</v>
      </c>
      <c r="AK5" s="647" t="s">
        <v>61</v>
      </c>
      <c r="AL5" s="497" t="s">
        <v>5</v>
      </c>
      <c r="AM5" s="497" t="s">
        <v>62</v>
      </c>
      <c r="AN5" s="497" t="s">
        <v>63</v>
      </c>
      <c r="AO5" s="497" t="s">
        <v>64</v>
      </c>
      <c r="AP5" s="497" t="s">
        <v>62</v>
      </c>
    </row>
    <row r="6" spans="1:45" ht="13.5" customHeight="1" x14ac:dyDescent="0.25">
      <c r="A6" s="497"/>
      <c r="B6" s="497"/>
      <c r="C6" s="497"/>
      <c r="D6" s="497"/>
      <c r="E6" s="497"/>
      <c r="F6" s="497"/>
      <c r="G6" s="497"/>
      <c r="H6" s="497"/>
      <c r="I6" s="497"/>
      <c r="J6" s="499"/>
      <c r="K6" s="497"/>
      <c r="L6" s="497"/>
      <c r="M6" s="497"/>
      <c r="N6" s="497"/>
      <c r="O6" s="497"/>
      <c r="P6" s="499"/>
      <c r="Q6" s="497"/>
      <c r="R6" s="497"/>
      <c r="S6" s="497"/>
      <c r="T6" s="505" t="s">
        <v>65</v>
      </c>
      <c r="U6" s="506"/>
      <c r="V6" s="507" t="s">
        <v>66</v>
      </c>
      <c r="W6" s="498" t="s">
        <v>67</v>
      </c>
      <c r="X6" s="498" t="s">
        <v>68</v>
      </c>
      <c r="Y6" s="498" t="s">
        <v>69</v>
      </c>
      <c r="Z6" s="498" t="s">
        <v>70</v>
      </c>
      <c r="AA6" s="498" t="s">
        <v>71</v>
      </c>
      <c r="AB6" s="498" t="s">
        <v>72</v>
      </c>
      <c r="AC6" s="498" t="s">
        <v>73</v>
      </c>
      <c r="AD6" s="498" t="s">
        <v>74</v>
      </c>
      <c r="AE6" s="498" t="s">
        <v>75</v>
      </c>
      <c r="AF6" s="498" t="s">
        <v>76</v>
      </c>
      <c r="AG6" s="498" t="s">
        <v>77</v>
      </c>
      <c r="AH6" s="498" t="s">
        <v>78</v>
      </c>
      <c r="AI6" s="498" t="s">
        <v>79</v>
      </c>
      <c r="AJ6" s="497"/>
      <c r="AK6" s="647"/>
      <c r="AL6" s="497"/>
      <c r="AM6" s="497"/>
      <c r="AN6" s="497"/>
      <c r="AO6" s="497"/>
      <c r="AP6" s="497"/>
    </row>
    <row r="7" spans="1:45" ht="34.5" customHeight="1" x14ac:dyDescent="0.25">
      <c r="A7" s="497"/>
      <c r="B7" s="497"/>
      <c r="C7" s="497"/>
      <c r="D7" s="497"/>
      <c r="E7" s="497"/>
      <c r="F7" s="497"/>
      <c r="G7" s="497"/>
      <c r="H7" s="497"/>
      <c r="I7" s="497"/>
      <c r="J7" s="500"/>
      <c r="K7" s="497"/>
      <c r="L7" s="497"/>
      <c r="M7" s="497"/>
      <c r="N7" s="497"/>
      <c r="O7" s="497"/>
      <c r="P7" s="500"/>
      <c r="Q7" s="497"/>
      <c r="R7" s="497"/>
      <c r="S7" s="497"/>
      <c r="T7" s="435" t="s">
        <v>80</v>
      </c>
      <c r="U7" s="435" t="s">
        <v>6</v>
      </c>
      <c r="V7" s="508"/>
      <c r="W7" s="500"/>
      <c r="X7" s="500"/>
      <c r="Y7" s="500"/>
      <c r="Z7" s="500"/>
      <c r="AA7" s="500"/>
      <c r="AB7" s="500"/>
      <c r="AC7" s="500"/>
      <c r="AD7" s="500"/>
      <c r="AE7" s="500"/>
      <c r="AF7" s="500"/>
      <c r="AG7" s="500"/>
      <c r="AH7" s="500"/>
      <c r="AI7" s="500"/>
      <c r="AJ7" s="497"/>
      <c r="AK7" s="647"/>
      <c r="AL7" s="497"/>
      <c r="AM7" s="497"/>
      <c r="AN7" s="497"/>
      <c r="AO7" s="497"/>
      <c r="AP7" s="497"/>
    </row>
    <row r="8" spans="1:45" s="210" customFormat="1" ht="13.5" customHeight="1" x14ac:dyDescent="0.25">
      <c r="A8" s="436">
        <v>1</v>
      </c>
      <c r="B8" s="509">
        <v>2</v>
      </c>
      <c r="C8" s="509"/>
      <c r="D8" s="509"/>
      <c r="E8" s="509"/>
      <c r="F8" s="509"/>
      <c r="G8" s="509"/>
      <c r="H8" s="509"/>
      <c r="I8" s="509"/>
      <c r="J8" s="436"/>
      <c r="K8" s="509">
        <v>2</v>
      </c>
      <c r="L8" s="509"/>
      <c r="M8" s="509"/>
      <c r="N8" s="509"/>
      <c r="O8" s="436">
        <v>3</v>
      </c>
      <c r="P8" s="436">
        <v>3</v>
      </c>
      <c r="Q8" s="436">
        <v>4</v>
      </c>
      <c r="R8" s="436">
        <v>5</v>
      </c>
      <c r="S8" s="436">
        <v>6</v>
      </c>
      <c r="T8" s="436">
        <v>7</v>
      </c>
      <c r="U8" s="436" t="s">
        <v>81</v>
      </c>
      <c r="V8" s="107" t="s">
        <v>82</v>
      </c>
      <c r="W8" s="436"/>
      <c r="X8" s="436"/>
      <c r="Y8" s="436"/>
      <c r="Z8" s="436"/>
      <c r="AA8" s="436"/>
      <c r="AB8" s="436"/>
      <c r="AC8" s="436"/>
      <c r="AD8" s="436"/>
      <c r="AE8" s="436"/>
      <c r="AF8" s="436"/>
      <c r="AG8" s="436"/>
      <c r="AH8" s="436"/>
      <c r="AI8" s="436">
        <v>10</v>
      </c>
      <c r="AJ8" s="436" t="s">
        <v>83</v>
      </c>
      <c r="AK8" s="403" t="s">
        <v>84</v>
      </c>
      <c r="AL8" s="436" t="s">
        <v>85</v>
      </c>
      <c r="AM8" s="436">
        <v>14</v>
      </c>
      <c r="AN8" s="436"/>
      <c r="AO8" s="436"/>
      <c r="AP8" s="436">
        <v>12</v>
      </c>
    </row>
    <row r="9" spans="1:45" ht="13.5" customHeight="1" thickBot="1" x14ac:dyDescent="0.3">
      <c r="A9" s="211" t="s">
        <v>544</v>
      </c>
      <c r="B9" s="212"/>
      <c r="C9" s="212"/>
      <c r="D9" s="212"/>
      <c r="E9" s="212"/>
      <c r="F9" s="212"/>
      <c r="G9" s="212"/>
      <c r="H9" s="212"/>
      <c r="I9" s="213"/>
      <c r="J9" s="212"/>
      <c r="K9" s="214"/>
      <c r="L9" s="212"/>
      <c r="M9" s="212"/>
      <c r="N9" s="213"/>
      <c r="O9" s="211"/>
      <c r="P9" s="211"/>
      <c r="Q9" s="211"/>
      <c r="R9" s="211"/>
      <c r="S9" s="211"/>
      <c r="T9" s="211"/>
      <c r="U9" s="211"/>
      <c r="V9" s="215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 t="s">
        <v>215</v>
      </c>
      <c r="AJ9" s="211"/>
      <c r="AK9" s="404"/>
      <c r="AL9" s="211"/>
      <c r="AM9" s="211"/>
      <c r="AN9" s="217"/>
      <c r="AO9" s="217"/>
      <c r="AP9" s="217"/>
    </row>
    <row r="10" spans="1:45" s="226" customFormat="1" ht="29.25" customHeight="1" thickTop="1" thickBot="1" x14ac:dyDescent="0.3">
      <c r="A10" s="218"/>
      <c r="B10" s="643" t="s">
        <v>86</v>
      </c>
      <c r="C10" s="644"/>
      <c r="D10" s="644"/>
      <c r="E10" s="644"/>
      <c r="F10" s="644"/>
      <c r="G10" s="644"/>
      <c r="H10" s="644"/>
      <c r="I10" s="645"/>
      <c r="J10" s="454" t="s">
        <v>193</v>
      </c>
      <c r="K10" s="220"/>
      <c r="L10" s="644" t="s">
        <v>87</v>
      </c>
      <c r="M10" s="644"/>
      <c r="N10" s="645"/>
      <c r="O10" s="221">
        <f>SUM(O14,O24,O26)</f>
        <v>57230250000</v>
      </c>
      <c r="P10" s="221">
        <f>SUM(P14,P24,P26)</f>
        <v>57230250000</v>
      </c>
      <c r="Q10" s="221">
        <f>SUM(Q14,Q24,Q26)</f>
        <v>124313865783</v>
      </c>
      <c r="R10" s="222">
        <f>Q10/Q10*100</f>
        <v>100</v>
      </c>
      <c r="S10" s="221">
        <f>S14</f>
        <v>100</v>
      </c>
      <c r="T10" s="221">
        <f>SUM(AJ10)</f>
        <v>55.005333514735653</v>
      </c>
      <c r="U10" s="221">
        <f>AJ10</f>
        <v>55.005333514735653</v>
      </c>
      <c r="V10" s="223">
        <f>S10-T10</f>
        <v>44.994666485264347</v>
      </c>
      <c r="W10" s="221">
        <f t="shared" ref="W10:AI10" si="0">SUM(W14,W24,W26)</f>
        <v>0</v>
      </c>
      <c r="X10" s="221" t="e">
        <f t="shared" si="0"/>
        <v>#REF!</v>
      </c>
      <c r="Y10" s="221" t="e">
        <f t="shared" si="0"/>
        <v>#REF!</v>
      </c>
      <c r="Z10" s="221" t="e">
        <f t="shared" si="0"/>
        <v>#REF!</v>
      </c>
      <c r="AA10" s="221" t="e">
        <f t="shared" si="0"/>
        <v>#REF!</v>
      </c>
      <c r="AB10" s="221">
        <f t="shared" si="0"/>
        <v>33313624753</v>
      </c>
      <c r="AC10" s="221" t="e">
        <f t="shared" si="0"/>
        <v>#REF!</v>
      </c>
      <c r="AD10" s="221" t="e">
        <f t="shared" si="0"/>
        <v>#REF!</v>
      </c>
      <c r="AE10" s="221" t="e">
        <f t="shared" si="0"/>
        <v>#REF!</v>
      </c>
      <c r="AF10" s="221" t="e">
        <f t="shared" si="0"/>
        <v>#REF!</v>
      </c>
      <c r="AG10" s="221" t="e">
        <f t="shared" si="0"/>
        <v>#REF!</v>
      </c>
      <c r="AH10" s="221">
        <f t="shared" si="0"/>
        <v>78185513265</v>
      </c>
      <c r="AI10" s="221">
        <f t="shared" si="0"/>
        <v>68379256479</v>
      </c>
      <c r="AJ10" s="224">
        <f>AI10/Q10*100</f>
        <v>55.005333514735653</v>
      </c>
      <c r="AK10" s="221">
        <f>SUM(AK14,AK24,AK26)</f>
        <v>55934609304</v>
      </c>
      <c r="AL10" s="224">
        <f>AK10/Q10*100</f>
        <v>44.994666485264347</v>
      </c>
      <c r="AM10" s="224"/>
    </row>
    <row r="11" spans="1:45" s="235" customFormat="1" ht="13.5" customHeight="1" thickTop="1" thickBot="1" x14ac:dyDescent="0.3">
      <c r="A11" s="227"/>
      <c r="B11" s="442"/>
      <c r="C11" s="442"/>
      <c r="D11" s="442"/>
      <c r="E11" s="442"/>
      <c r="F11" s="442"/>
      <c r="G11" s="442"/>
      <c r="H11" s="442"/>
      <c r="I11" s="441"/>
      <c r="J11" s="442"/>
      <c r="K11" s="230"/>
      <c r="L11" s="442"/>
      <c r="M11" s="442"/>
      <c r="N11" s="441"/>
      <c r="O11" s="231"/>
      <c r="P11" s="231"/>
      <c r="Q11" s="231"/>
      <c r="R11" s="231"/>
      <c r="S11" s="231"/>
      <c r="T11" s="231"/>
      <c r="U11" s="231"/>
      <c r="V11" s="232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3"/>
      <c r="AK11" s="231"/>
      <c r="AL11" s="233"/>
      <c r="AM11" s="233"/>
    </row>
    <row r="12" spans="1:45" s="226" customFormat="1" ht="29.25" customHeight="1" thickTop="1" thickBot="1" x14ac:dyDescent="0.3">
      <c r="A12" s="218"/>
      <c r="B12" s="643" t="s">
        <v>86</v>
      </c>
      <c r="C12" s="644"/>
      <c r="D12" s="644"/>
      <c r="E12" s="644"/>
      <c r="F12" s="644"/>
      <c r="G12" s="644"/>
      <c r="H12" s="644"/>
      <c r="I12" s="645"/>
      <c r="J12" s="454" t="s">
        <v>194</v>
      </c>
      <c r="K12" s="220"/>
      <c r="L12" s="644" t="s">
        <v>195</v>
      </c>
      <c r="M12" s="644"/>
      <c r="N12" s="645"/>
      <c r="O12" s="221" t="e">
        <f>SUM(#REF!,O26,O33)</f>
        <v>#REF!</v>
      </c>
      <c r="P12" s="221" t="e">
        <f>SUM(#REF!,P26,P33)</f>
        <v>#REF!</v>
      </c>
      <c r="Q12" s="221">
        <f>SUM(Q14+Q24+Q26)</f>
        <v>124313865783</v>
      </c>
      <c r="R12" s="222">
        <f>Q12/Q12*100</f>
        <v>100</v>
      </c>
      <c r="S12" s="221">
        <v>100</v>
      </c>
      <c r="T12" s="221">
        <f>SUM(AJ12)</f>
        <v>55.005333514735653</v>
      </c>
      <c r="U12" s="221">
        <f>AJ12</f>
        <v>55.005333514735653</v>
      </c>
      <c r="V12" s="223">
        <f>S12-T12</f>
        <v>44.994666485264347</v>
      </c>
      <c r="W12" s="221">
        <f t="shared" ref="W12:AH12" si="1">SUM(W16,W26,W33)</f>
        <v>0</v>
      </c>
      <c r="X12" s="221" t="e">
        <f t="shared" si="1"/>
        <v>#REF!</v>
      </c>
      <c r="Y12" s="221" t="e">
        <f t="shared" si="1"/>
        <v>#REF!</v>
      </c>
      <c r="Z12" s="221" t="e">
        <f t="shared" si="1"/>
        <v>#REF!</v>
      </c>
      <c r="AA12" s="221" t="e">
        <f t="shared" si="1"/>
        <v>#REF!</v>
      </c>
      <c r="AB12" s="221">
        <f t="shared" si="1"/>
        <v>5549197752</v>
      </c>
      <c r="AC12" s="221" t="e">
        <f t="shared" si="1"/>
        <v>#REF!</v>
      </c>
      <c r="AD12" s="221" t="e">
        <f t="shared" si="1"/>
        <v>#REF!</v>
      </c>
      <c r="AE12" s="221" t="e">
        <f t="shared" si="1"/>
        <v>#REF!</v>
      </c>
      <c r="AF12" s="221" t="e">
        <f t="shared" si="1"/>
        <v>#REF!</v>
      </c>
      <c r="AG12" s="221" t="e">
        <f t="shared" si="1"/>
        <v>#REF!</v>
      </c>
      <c r="AH12" s="221">
        <f t="shared" si="1"/>
        <v>11081028822</v>
      </c>
      <c r="AI12" s="221">
        <f>SUM(AI14+AI24+AI26)</f>
        <v>68379256479</v>
      </c>
      <c r="AJ12" s="224">
        <f>AI12/Q12*100</f>
        <v>55.005333514735653</v>
      </c>
      <c r="AK12" s="221">
        <f>SUM(AK14+AK24+AK26)</f>
        <v>55934609304</v>
      </c>
      <c r="AL12" s="224">
        <f>AK12/Q12*100</f>
        <v>44.994666485264347</v>
      </c>
      <c r="AM12" s="224"/>
    </row>
    <row r="13" spans="1:45" s="235" customFormat="1" ht="13.5" customHeight="1" thickTop="1" x14ac:dyDescent="0.25">
      <c r="A13" s="227"/>
      <c r="B13" s="442"/>
      <c r="C13" s="442"/>
      <c r="D13" s="442"/>
      <c r="E13" s="442"/>
      <c r="F13" s="442"/>
      <c r="G13" s="442"/>
      <c r="H13" s="442"/>
      <c r="I13" s="441"/>
      <c r="J13" s="442"/>
      <c r="K13" s="230"/>
      <c r="L13" s="442"/>
      <c r="M13" s="442"/>
      <c r="N13" s="441"/>
      <c r="O13" s="231"/>
      <c r="P13" s="231"/>
      <c r="Q13" s="231"/>
      <c r="R13" s="231"/>
      <c r="S13" s="231"/>
      <c r="T13" s="231"/>
      <c r="U13" s="231"/>
      <c r="V13" s="232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3"/>
      <c r="AK13" s="231"/>
      <c r="AL13" s="233"/>
      <c r="AM13" s="233"/>
    </row>
    <row r="14" spans="1:45" s="226" customFormat="1" ht="28.5" customHeight="1" x14ac:dyDescent="0.25">
      <c r="A14" s="236" t="s">
        <v>7</v>
      </c>
      <c r="B14" s="642" t="s">
        <v>88</v>
      </c>
      <c r="C14" s="626"/>
      <c r="D14" s="626"/>
      <c r="E14" s="626"/>
      <c r="F14" s="626"/>
      <c r="G14" s="626"/>
      <c r="H14" s="626"/>
      <c r="I14" s="627"/>
      <c r="J14" s="444" t="s">
        <v>213</v>
      </c>
      <c r="K14" s="238"/>
      <c r="L14" s="626" t="s">
        <v>89</v>
      </c>
      <c r="M14" s="626"/>
      <c r="N14" s="627"/>
      <c r="O14" s="239">
        <v>53000250000</v>
      </c>
      <c r="P14" s="239">
        <f>O14</f>
        <v>53000250000</v>
      </c>
      <c r="Q14" s="239">
        <f>SUM(Q15:Q23)</f>
        <v>114000000000</v>
      </c>
      <c r="R14" s="240">
        <f>Q14/Q14*100</f>
        <v>100</v>
      </c>
      <c r="S14" s="240">
        <v>100</v>
      </c>
      <c r="T14" s="239">
        <f>AJ14</f>
        <v>48.382560135964916</v>
      </c>
      <c r="U14" s="239">
        <f>SUM(R14*T14)</f>
        <v>4838.2560135964914</v>
      </c>
      <c r="V14" s="241">
        <f>S14-T14</f>
        <v>51.617439864035084</v>
      </c>
      <c r="W14" s="239"/>
      <c r="X14" s="239" t="e">
        <f>#REF!</f>
        <v>#REF!</v>
      </c>
      <c r="Y14" s="239" t="e">
        <f>#REF!</f>
        <v>#REF!</v>
      </c>
      <c r="Z14" s="239" t="e">
        <f>#REF!</f>
        <v>#REF!</v>
      </c>
      <c r="AA14" s="239" t="e">
        <f>#REF!</f>
        <v>#REF!</v>
      </c>
      <c r="AB14" s="239">
        <v>27766121137</v>
      </c>
      <c r="AC14" s="239" t="e">
        <f>#REF!</f>
        <v>#REF!</v>
      </c>
      <c r="AD14" s="239" t="e">
        <f>#REF!</f>
        <v>#REF!</v>
      </c>
      <c r="AE14" s="239" t="e">
        <f>#REF!</f>
        <v>#REF!</v>
      </c>
      <c r="AF14" s="239" t="e">
        <f>[1]April!$N$12</f>
        <v>#REF!</v>
      </c>
      <c r="AG14" s="239" t="e">
        <f>[2]april!$N$12</f>
        <v>#REF!</v>
      </c>
      <c r="AH14" s="239">
        <f>'[3]DES SKPD'!$N$12</f>
        <v>67029484443</v>
      </c>
      <c r="AI14" s="239">
        <f>SUM(AI15:AI23)</f>
        <v>55156118555</v>
      </c>
      <c r="AJ14" s="240">
        <f t="shared" ref="AJ14:AJ27" si="2">AI14/Q14*100</f>
        <v>48.382560135964916</v>
      </c>
      <c r="AK14" s="239">
        <f>Q14-AI14</f>
        <v>58843881445</v>
      </c>
      <c r="AL14" s="240">
        <f t="shared" ref="AL14:AL27" si="3">AK14/Q14*100</f>
        <v>51.617439864035084</v>
      </c>
      <c r="AM14" s="236"/>
    </row>
    <row r="15" spans="1:45" ht="28.5" customHeight="1" x14ac:dyDescent="0.25">
      <c r="A15" s="243">
        <v>1</v>
      </c>
      <c r="B15" s="639" t="s">
        <v>90</v>
      </c>
      <c r="C15" s="597"/>
      <c r="D15" s="597"/>
      <c r="E15" s="597"/>
      <c r="F15" s="597"/>
      <c r="G15" s="597"/>
      <c r="H15" s="597"/>
      <c r="I15" s="598"/>
      <c r="J15" s="437" t="s">
        <v>355</v>
      </c>
      <c r="K15" s="245"/>
      <c r="L15" s="597" t="s">
        <v>389</v>
      </c>
      <c r="M15" s="597"/>
      <c r="N15" s="598"/>
      <c r="O15" s="180"/>
      <c r="P15" s="180"/>
      <c r="Q15" s="180">
        <v>4000000000</v>
      </c>
      <c r="R15" s="181">
        <f>Q15/Q$10*100</f>
        <v>3.2176619838870804</v>
      </c>
      <c r="S15" s="181">
        <v>100</v>
      </c>
      <c r="T15" s="180">
        <f>AJ15</f>
        <v>55.346840950000001</v>
      </c>
      <c r="U15" s="180">
        <f>R15*T15/100</f>
        <v>1.7808742605305972</v>
      </c>
      <c r="V15" s="182">
        <f t="shared" ref="V15:V26" si="4">S15-T15</f>
        <v>44.653159049999999</v>
      </c>
      <c r="W15" s="180"/>
      <c r="X15" s="180"/>
      <c r="Y15" s="180"/>
      <c r="Z15" s="180"/>
      <c r="AA15" s="180"/>
      <c r="AB15" s="180">
        <v>0</v>
      </c>
      <c r="AC15" s="180"/>
      <c r="AD15" s="180"/>
      <c r="AE15" s="180"/>
      <c r="AF15" s="180"/>
      <c r="AG15" s="180"/>
      <c r="AH15" s="180"/>
      <c r="AI15" s="180">
        <f>(431044330+333208441+275726549+410229067+542186223+221479028)</f>
        <v>2213873638</v>
      </c>
      <c r="AJ15" s="181">
        <f t="shared" si="2"/>
        <v>55.346840950000001</v>
      </c>
      <c r="AK15" s="180">
        <f>SUM(Q15-AI15)</f>
        <v>1786126362</v>
      </c>
      <c r="AL15" s="181">
        <f t="shared" si="3"/>
        <v>44.653159049999999</v>
      </c>
      <c r="AM15" s="243"/>
      <c r="AR15" s="247">
        <v>114000000000</v>
      </c>
      <c r="AS15" s="248">
        <f>Q14-AR15</f>
        <v>0</v>
      </c>
    </row>
    <row r="16" spans="1:45" ht="28.5" customHeight="1" x14ac:dyDescent="0.25">
      <c r="A16" s="243">
        <v>2</v>
      </c>
      <c r="B16" s="639" t="s">
        <v>91</v>
      </c>
      <c r="C16" s="597"/>
      <c r="D16" s="597"/>
      <c r="E16" s="597"/>
      <c r="F16" s="597"/>
      <c r="G16" s="597"/>
      <c r="H16" s="597"/>
      <c r="I16" s="598"/>
      <c r="J16" s="437" t="s">
        <v>356</v>
      </c>
      <c r="K16" s="245"/>
      <c r="L16" s="597" t="s">
        <v>390</v>
      </c>
      <c r="M16" s="597"/>
      <c r="N16" s="598"/>
      <c r="O16" s="180"/>
      <c r="P16" s="180"/>
      <c r="Q16" s="180">
        <v>16748000000</v>
      </c>
      <c r="R16" s="181">
        <f t="shared" ref="R16:R25" si="5">Q16/Q$10*100</f>
        <v>13.472350726535204</v>
      </c>
      <c r="S16" s="181">
        <v>100</v>
      </c>
      <c r="T16" s="180">
        <f>AJ16</f>
        <v>60.0084297528063</v>
      </c>
      <c r="U16" s="180">
        <f>R16*T16/100</f>
        <v>8.0845461217845678</v>
      </c>
      <c r="V16" s="182">
        <f t="shared" si="4"/>
        <v>39.9915702471937</v>
      </c>
      <c r="W16" s="180"/>
      <c r="X16" s="180"/>
      <c r="Y16" s="180"/>
      <c r="Z16" s="180"/>
      <c r="AA16" s="180"/>
      <c r="AB16" s="180">
        <v>0</v>
      </c>
      <c r="AC16" s="180"/>
      <c r="AD16" s="180"/>
      <c r="AE16" s="180"/>
      <c r="AF16" s="180"/>
      <c r="AG16" s="180"/>
      <c r="AH16" s="180"/>
      <c r="AI16" s="180">
        <f>(1914892402+1775904849+1319972393+1696852245+1901936169+1440653757)</f>
        <v>10050211815</v>
      </c>
      <c r="AJ16" s="181">
        <f t="shared" si="2"/>
        <v>60.0084297528063</v>
      </c>
      <c r="AK16" s="180">
        <f t="shared" ref="AK16:AK32" si="6">SUM(Q16-AI16)</f>
        <v>6697788185</v>
      </c>
      <c r="AL16" s="249">
        <f t="shared" si="3"/>
        <v>39.9915702471937</v>
      </c>
      <c r="AM16" s="243"/>
    </row>
    <row r="17" spans="1:39" ht="28.5" customHeight="1" x14ac:dyDescent="0.25">
      <c r="A17" s="243">
        <v>3</v>
      </c>
      <c r="B17" s="639" t="s">
        <v>92</v>
      </c>
      <c r="C17" s="597"/>
      <c r="D17" s="597"/>
      <c r="E17" s="597"/>
      <c r="F17" s="597"/>
      <c r="G17" s="597"/>
      <c r="H17" s="597"/>
      <c r="I17" s="598"/>
      <c r="J17" s="437" t="s">
        <v>357</v>
      </c>
      <c r="K17" s="245"/>
      <c r="L17" s="597" t="s">
        <v>391</v>
      </c>
      <c r="M17" s="597"/>
      <c r="N17" s="598"/>
      <c r="O17" s="180"/>
      <c r="P17" s="180"/>
      <c r="Q17" s="180">
        <v>714500000</v>
      </c>
      <c r="R17" s="181">
        <f t="shared" si="5"/>
        <v>0.57475487187182972</v>
      </c>
      <c r="S17" s="181">
        <v>100</v>
      </c>
      <c r="T17" s="180">
        <f>AJ17</f>
        <v>187.11960489853044</v>
      </c>
      <c r="U17" s="180">
        <f>R17*T17/100</f>
        <v>1.0754790453816225</v>
      </c>
      <c r="V17" s="182">
        <f t="shared" si="4"/>
        <v>-87.11960489853044</v>
      </c>
      <c r="W17" s="180"/>
      <c r="X17" s="180"/>
      <c r="Y17" s="180"/>
      <c r="Z17" s="180"/>
      <c r="AA17" s="180"/>
      <c r="AB17" s="180">
        <v>0</v>
      </c>
      <c r="AC17" s="180"/>
      <c r="AD17" s="180"/>
      <c r="AE17" s="180"/>
      <c r="AF17" s="180"/>
      <c r="AG17" s="180"/>
      <c r="AH17" s="180"/>
      <c r="AI17" s="180">
        <f>(78879037+65981530+49950581+654064553+259098029+228995847)</f>
        <v>1336969577</v>
      </c>
      <c r="AJ17" s="181">
        <f t="shared" si="2"/>
        <v>187.11960489853044</v>
      </c>
      <c r="AK17" s="180">
        <f t="shared" si="6"/>
        <v>-622469577</v>
      </c>
      <c r="AL17" s="181">
        <f t="shared" si="3"/>
        <v>-87.11960489853044</v>
      </c>
      <c r="AM17" s="243"/>
    </row>
    <row r="18" spans="1:39" ht="28.5" customHeight="1" x14ac:dyDescent="0.25">
      <c r="A18" s="243">
        <v>4</v>
      </c>
      <c r="B18" s="639" t="s">
        <v>93</v>
      </c>
      <c r="C18" s="597"/>
      <c r="D18" s="597"/>
      <c r="E18" s="597"/>
      <c r="F18" s="597"/>
      <c r="G18" s="597"/>
      <c r="H18" s="597"/>
      <c r="I18" s="598"/>
      <c r="J18" s="437" t="s">
        <v>358</v>
      </c>
      <c r="K18" s="245"/>
      <c r="L18" s="597" t="s">
        <v>392</v>
      </c>
      <c r="M18" s="597"/>
      <c r="N18" s="598"/>
      <c r="O18" s="180"/>
      <c r="P18" s="180"/>
      <c r="Q18" s="180">
        <v>4296000000</v>
      </c>
      <c r="R18" s="181">
        <f t="shared" si="5"/>
        <v>3.4557689706947241</v>
      </c>
      <c r="S18" s="181">
        <v>100</v>
      </c>
      <c r="T18" s="180">
        <f t="shared" ref="T18:T32" si="7">AJ18</f>
        <v>48.834046438547482</v>
      </c>
      <c r="U18" s="180">
        <f t="shared" ref="U18:U23" si="8">R18*T18/100</f>
        <v>1.6875918239579759</v>
      </c>
      <c r="V18" s="182">
        <f t="shared" si="4"/>
        <v>51.165953561452518</v>
      </c>
      <c r="W18" s="180"/>
      <c r="X18" s="180"/>
      <c r="Y18" s="180"/>
      <c r="Z18" s="180"/>
      <c r="AA18" s="180"/>
      <c r="AB18" s="180">
        <v>0</v>
      </c>
      <c r="AC18" s="180"/>
      <c r="AD18" s="180"/>
      <c r="AE18" s="180"/>
      <c r="AF18" s="180"/>
      <c r="AG18" s="180"/>
      <c r="AH18" s="180"/>
      <c r="AI18" s="180">
        <f>(583660366+480801633+270494857+445824057+209625737+107503985)</f>
        <v>2097910635</v>
      </c>
      <c r="AJ18" s="181">
        <f t="shared" si="2"/>
        <v>48.834046438547482</v>
      </c>
      <c r="AK18" s="180">
        <f t="shared" si="6"/>
        <v>2198089365</v>
      </c>
      <c r="AL18" s="249">
        <f t="shared" si="3"/>
        <v>51.165953561452518</v>
      </c>
      <c r="AM18" s="243"/>
    </row>
    <row r="19" spans="1:39" ht="28.5" customHeight="1" x14ac:dyDescent="0.25">
      <c r="A19" s="243">
        <v>5</v>
      </c>
      <c r="B19" s="639" t="s">
        <v>94</v>
      </c>
      <c r="C19" s="597"/>
      <c r="D19" s="597"/>
      <c r="E19" s="597"/>
      <c r="F19" s="597"/>
      <c r="G19" s="597"/>
      <c r="H19" s="597"/>
      <c r="I19" s="598"/>
      <c r="J19" s="437" t="s">
        <v>359</v>
      </c>
      <c r="K19" s="245"/>
      <c r="L19" s="597" t="s">
        <v>393</v>
      </c>
      <c r="M19" s="597"/>
      <c r="N19" s="598"/>
      <c r="O19" s="180"/>
      <c r="P19" s="180"/>
      <c r="Q19" s="180">
        <v>29977500000</v>
      </c>
      <c r="R19" s="181">
        <f t="shared" si="5"/>
        <v>24.114365530493735</v>
      </c>
      <c r="S19" s="181">
        <v>100</v>
      </c>
      <c r="T19" s="180">
        <f t="shared" si="7"/>
        <v>50.587091258443827</v>
      </c>
      <c r="U19" s="180">
        <f t="shared" si="8"/>
        <v>12.198756097305589</v>
      </c>
      <c r="V19" s="182">
        <f t="shared" si="4"/>
        <v>49.412908741556173</v>
      </c>
      <c r="W19" s="180"/>
      <c r="X19" s="180"/>
      <c r="Y19" s="180"/>
      <c r="Z19" s="180"/>
      <c r="AA19" s="180"/>
      <c r="AB19" s="180">
        <v>0</v>
      </c>
      <c r="AC19" s="180"/>
      <c r="AD19" s="180"/>
      <c r="AE19" s="180"/>
      <c r="AF19" s="180"/>
      <c r="AG19" s="180"/>
      <c r="AH19" s="180"/>
      <c r="AI19" s="180">
        <f>(2568866323+2496068783+2393680264+2434431784+2585521355+2686176773)</f>
        <v>15164745282</v>
      </c>
      <c r="AJ19" s="181">
        <f t="shared" si="2"/>
        <v>50.587091258443827</v>
      </c>
      <c r="AK19" s="180">
        <f t="shared" si="6"/>
        <v>14812754718</v>
      </c>
      <c r="AL19" s="249">
        <f t="shared" si="3"/>
        <v>49.412908741556166</v>
      </c>
      <c r="AM19" s="243"/>
    </row>
    <row r="20" spans="1:39" ht="28.5" customHeight="1" x14ac:dyDescent="0.25">
      <c r="A20" s="243">
        <v>6</v>
      </c>
      <c r="B20" s="639" t="s">
        <v>95</v>
      </c>
      <c r="C20" s="597"/>
      <c r="D20" s="597"/>
      <c r="E20" s="597"/>
      <c r="F20" s="597"/>
      <c r="G20" s="597"/>
      <c r="H20" s="597"/>
      <c r="I20" s="598"/>
      <c r="J20" s="437" t="s">
        <v>360</v>
      </c>
      <c r="K20" s="245"/>
      <c r="L20" s="597" t="s">
        <v>394</v>
      </c>
      <c r="M20" s="597"/>
      <c r="N20" s="598"/>
      <c r="O20" s="180"/>
      <c r="P20" s="180"/>
      <c r="Q20" s="180">
        <v>900000000</v>
      </c>
      <c r="R20" s="181">
        <f t="shared" si="5"/>
        <v>0.72397394637459311</v>
      </c>
      <c r="S20" s="181">
        <v>100</v>
      </c>
      <c r="T20" s="180">
        <f t="shared" si="7"/>
        <v>67.124182777777776</v>
      </c>
      <c r="U20" s="180">
        <f t="shared" si="8"/>
        <v>0.4859615950279727</v>
      </c>
      <c r="V20" s="182">
        <f t="shared" si="4"/>
        <v>32.875817222222224</v>
      </c>
      <c r="W20" s="180"/>
      <c r="X20" s="180"/>
      <c r="Y20" s="180"/>
      <c r="Z20" s="180"/>
      <c r="AA20" s="180"/>
      <c r="AB20" s="180">
        <v>0</v>
      </c>
      <c r="AC20" s="180"/>
      <c r="AD20" s="180"/>
      <c r="AE20" s="180"/>
      <c r="AF20" s="180"/>
      <c r="AG20" s="180"/>
      <c r="AH20" s="180"/>
      <c r="AI20" s="180">
        <f>(106607217+102146277+80605167+99122150+109683367+105953467)</f>
        <v>604117645</v>
      </c>
      <c r="AJ20" s="181">
        <f t="shared" si="2"/>
        <v>67.124182777777776</v>
      </c>
      <c r="AK20" s="180">
        <f t="shared" si="6"/>
        <v>295882355</v>
      </c>
      <c r="AL20" s="181">
        <f t="shared" si="3"/>
        <v>32.875817222222217</v>
      </c>
      <c r="AM20" s="243"/>
    </row>
    <row r="21" spans="1:39" ht="28.5" customHeight="1" x14ac:dyDescent="0.25">
      <c r="A21" s="243">
        <v>7</v>
      </c>
      <c r="B21" s="639" t="s">
        <v>96</v>
      </c>
      <c r="C21" s="597"/>
      <c r="D21" s="597"/>
      <c r="E21" s="597"/>
      <c r="F21" s="597"/>
      <c r="G21" s="597"/>
      <c r="H21" s="597"/>
      <c r="I21" s="598"/>
      <c r="J21" s="437" t="s">
        <v>361</v>
      </c>
      <c r="K21" s="245"/>
      <c r="L21" s="597" t="s">
        <v>97</v>
      </c>
      <c r="M21" s="597"/>
      <c r="N21" s="598"/>
      <c r="O21" s="180"/>
      <c r="P21" s="180"/>
      <c r="Q21" s="180">
        <v>300000000</v>
      </c>
      <c r="R21" s="181">
        <f t="shared" si="5"/>
        <v>0.24132464879153101</v>
      </c>
      <c r="S21" s="181">
        <v>100</v>
      </c>
      <c r="T21" s="180">
        <f t="shared" si="7"/>
        <v>57.880383999999992</v>
      </c>
      <c r="U21" s="180">
        <f t="shared" si="8"/>
        <v>0.1396796334071895</v>
      </c>
      <c r="V21" s="182">
        <f t="shared" si="4"/>
        <v>42.119616000000008</v>
      </c>
      <c r="W21" s="180"/>
      <c r="X21" s="180"/>
      <c r="Y21" s="180"/>
      <c r="Z21" s="180"/>
      <c r="AA21" s="180"/>
      <c r="AB21" s="180">
        <v>0</v>
      </c>
      <c r="AC21" s="180"/>
      <c r="AD21" s="180"/>
      <c r="AE21" s="180"/>
      <c r="AF21" s="180"/>
      <c r="AG21" s="180"/>
      <c r="AH21" s="180"/>
      <c r="AI21" s="180">
        <f>(28657603+30376120+28120950+28724784+32229464+25532231)</f>
        <v>173641152</v>
      </c>
      <c r="AJ21" s="181">
        <f t="shared" si="2"/>
        <v>57.880383999999992</v>
      </c>
      <c r="AK21" s="180">
        <f t="shared" si="6"/>
        <v>126358848</v>
      </c>
      <c r="AL21" s="181">
        <f t="shared" si="3"/>
        <v>42.119616000000001</v>
      </c>
      <c r="AM21" s="243"/>
    </row>
    <row r="22" spans="1:39" ht="28.5" customHeight="1" x14ac:dyDescent="0.25">
      <c r="A22" s="243">
        <v>8</v>
      </c>
      <c r="B22" s="639" t="s">
        <v>98</v>
      </c>
      <c r="C22" s="597"/>
      <c r="D22" s="597"/>
      <c r="E22" s="597"/>
      <c r="F22" s="597"/>
      <c r="G22" s="597"/>
      <c r="H22" s="597"/>
      <c r="I22" s="598"/>
      <c r="J22" s="437" t="s">
        <v>362</v>
      </c>
      <c r="K22" s="245"/>
      <c r="L22" s="597" t="s">
        <v>363</v>
      </c>
      <c r="M22" s="597"/>
      <c r="N22" s="598"/>
      <c r="O22" s="180"/>
      <c r="P22" s="180"/>
      <c r="Q22" s="180">
        <v>22900000000</v>
      </c>
      <c r="R22" s="181">
        <f t="shared" si="5"/>
        <v>18.421114857753533</v>
      </c>
      <c r="S22" s="181">
        <v>100</v>
      </c>
      <c r="T22" s="180">
        <f t="shared" si="7"/>
        <v>22.012006358078605</v>
      </c>
      <c r="U22" s="180">
        <f t="shared" si="8"/>
        <v>4.0548569737176701</v>
      </c>
      <c r="V22" s="182">
        <f t="shared" si="4"/>
        <v>77.987993641921392</v>
      </c>
      <c r="W22" s="180"/>
      <c r="X22" s="180"/>
      <c r="Y22" s="180"/>
      <c r="Z22" s="180"/>
      <c r="AA22" s="180"/>
      <c r="AB22" s="180">
        <v>0</v>
      </c>
      <c r="AC22" s="180"/>
      <c r="AD22" s="180"/>
      <c r="AE22" s="180"/>
      <c r="AF22" s="180"/>
      <c r="AG22" s="180"/>
      <c r="AH22" s="180"/>
      <c r="AI22" s="180">
        <f>(420432023+534056614+411915844+1363066652+1634298094+676980229)</f>
        <v>5040749456</v>
      </c>
      <c r="AJ22" s="181">
        <f t="shared" si="2"/>
        <v>22.012006358078605</v>
      </c>
      <c r="AK22" s="180">
        <f t="shared" si="6"/>
        <v>17859250544</v>
      </c>
      <c r="AL22" s="249">
        <f t="shared" si="3"/>
        <v>77.987993641921392</v>
      </c>
      <c r="AM22" s="243"/>
    </row>
    <row r="23" spans="1:39" ht="32.25" customHeight="1" x14ac:dyDescent="0.25">
      <c r="A23" s="243">
        <v>9</v>
      </c>
      <c r="B23" s="639" t="s">
        <v>99</v>
      </c>
      <c r="C23" s="597"/>
      <c r="D23" s="597"/>
      <c r="E23" s="597"/>
      <c r="F23" s="597"/>
      <c r="G23" s="597"/>
      <c r="H23" s="597"/>
      <c r="I23" s="598"/>
      <c r="J23" s="437" t="s">
        <v>364</v>
      </c>
      <c r="K23" s="245"/>
      <c r="L23" s="597" t="s">
        <v>100</v>
      </c>
      <c r="M23" s="597"/>
      <c r="N23" s="598"/>
      <c r="O23" s="180"/>
      <c r="P23" s="180"/>
      <c r="Q23" s="180">
        <v>34164000000</v>
      </c>
      <c r="R23" s="181">
        <f>Q23/Q$10*100</f>
        <v>27.482051004379553</v>
      </c>
      <c r="S23" s="181">
        <v>100</v>
      </c>
      <c r="T23" s="180">
        <f t="shared" si="7"/>
        <v>54.074169754712564</v>
      </c>
      <c r="U23" s="180">
        <f t="shared" si="8"/>
        <v>14.860690912184889</v>
      </c>
      <c r="V23" s="182">
        <f>S23-T23</f>
        <v>45.925830245287436</v>
      </c>
      <c r="W23" s="180"/>
      <c r="X23" s="180"/>
      <c r="Y23" s="180"/>
      <c r="Z23" s="180"/>
      <c r="AA23" s="180"/>
      <c r="AB23" s="180">
        <v>0</v>
      </c>
      <c r="AC23" s="180"/>
      <c r="AD23" s="180"/>
      <c r="AE23" s="180"/>
      <c r="AF23" s="180"/>
      <c r="AG23" s="180"/>
      <c r="AH23" s="180"/>
      <c r="AI23" s="180">
        <f>(3105790473+2487428016+3324117884+3597921750+3625913945+2332727287)</f>
        <v>18473899355</v>
      </c>
      <c r="AJ23" s="181">
        <f t="shared" si="2"/>
        <v>54.074169754712564</v>
      </c>
      <c r="AK23" s="180">
        <f t="shared" si="6"/>
        <v>15690100645</v>
      </c>
      <c r="AL23" s="181">
        <f t="shared" si="3"/>
        <v>45.925830245287436</v>
      </c>
      <c r="AM23" s="243"/>
    </row>
    <row r="24" spans="1:39" s="226" customFormat="1" ht="27.75" customHeight="1" x14ac:dyDescent="0.25">
      <c r="A24" s="236" t="s">
        <v>8</v>
      </c>
      <c r="B24" s="642" t="s">
        <v>101</v>
      </c>
      <c r="C24" s="626"/>
      <c r="D24" s="626"/>
      <c r="E24" s="626"/>
      <c r="F24" s="626"/>
      <c r="G24" s="626"/>
      <c r="H24" s="626"/>
      <c r="I24" s="627"/>
      <c r="J24" s="444" t="s">
        <v>214</v>
      </c>
      <c r="K24" s="238"/>
      <c r="L24" s="626" t="s">
        <v>102</v>
      </c>
      <c r="M24" s="626"/>
      <c r="N24" s="627"/>
      <c r="O24" s="239">
        <v>80000000</v>
      </c>
      <c r="P24" s="239">
        <f>O24</f>
        <v>80000000</v>
      </c>
      <c r="Q24" s="239">
        <f>SUM(Q25)</f>
        <v>161362180</v>
      </c>
      <c r="R24" s="240">
        <f>Q24/Q24*100</f>
        <v>100</v>
      </c>
      <c r="S24" s="240">
        <v>100</v>
      </c>
      <c r="T24" s="239">
        <f t="shared" si="7"/>
        <v>37.183434185135575</v>
      </c>
      <c r="U24" s="239">
        <f>AJ24</f>
        <v>37.183434185135575</v>
      </c>
      <c r="V24" s="241">
        <f t="shared" si="4"/>
        <v>62.816565814864425</v>
      </c>
      <c r="W24" s="239"/>
      <c r="X24" s="239" t="e">
        <f>#REF!</f>
        <v>#REF!</v>
      </c>
      <c r="Y24" s="239" t="e">
        <f>#REF!</f>
        <v>#REF!</v>
      </c>
      <c r="Z24" s="239" t="e">
        <f>#REF!</f>
        <v>#REF!</v>
      </c>
      <c r="AA24" s="239" t="e">
        <f>#REF!</f>
        <v>#REF!</v>
      </c>
      <c r="AB24" s="239">
        <v>15000000</v>
      </c>
      <c r="AC24" s="239" t="e">
        <f>#REF!</f>
        <v>#REF!</v>
      </c>
      <c r="AD24" s="239" t="e">
        <f>#REF!</f>
        <v>#REF!</v>
      </c>
      <c r="AE24" s="239" t="e">
        <f>#REF!</f>
        <v>#REF!</v>
      </c>
      <c r="AF24" s="239" t="e">
        <f>[1]April!$N$13</f>
        <v>#REF!</v>
      </c>
      <c r="AG24" s="239" t="e">
        <f>[2]april!$N$13</f>
        <v>#REF!</v>
      </c>
      <c r="AH24" s="239">
        <f>'[3]DES SKPD'!$N$13</f>
        <v>75000000</v>
      </c>
      <c r="AI24" s="239">
        <f>SUM(AI25)</f>
        <v>60000000</v>
      </c>
      <c r="AJ24" s="240">
        <f t="shared" si="2"/>
        <v>37.183434185135575</v>
      </c>
      <c r="AK24" s="239">
        <f t="shared" si="6"/>
        <v>101362180</v>
      </c>
      <c r="AL24" s="240">
        <f t="shared" si="3"/>
        <v>62.816565814864425</v>
      </c>
      <c r="AM24" s="236"/>
    </row>
    <row r="25" spans="1:39" ht="21" customHeight="1" x14ac:dyDescent="0.25">
      <c r="A25" s="243">
        <v>10</v>
      </c>
      <c r="B25" s="639" t="s">
        <v>103</v>
      </c>
      <c r="C25" s="597"/>
      <c r="D25" s="597"/>
      <c r="E25" s="597"/>
      <c r="F25" s="597"/>
      <c r="G25" s="597"/>
      <c r="H25" s="597"/>
      <c r="I25" s="598"/>
      <c r="J25" s="437" t="s">
        <v>365</v>
      </c>
      <c r="K25" s="245"/>
      <c r="L25" s="597" t="s">
        <v>540</v>
      </c>
      <c r="M25" s="597"/>
      <c r="N25" s="598"/>
      <c r="O25" s="180"/>
      <c r="P25" s="180"/>
      <c r="Q25" s="180">
        <v>161362180</v>
      </c>
      <c r="R25" s="181">
        <f t="shared" si="5"/>
        <v>0.12980223805578603</v>
      </c>
      <c r="S25" s="181">
        <v>100</v>
      </c>
      <c r="T25" s="180">
        <f t="shared" si="7"/>
        <v>37.183434185135575</v>
      </c>
      <c r="U25" s="180">
        <f>R25*T25/100</f>
        <v>4.8264929758306201E-2</v>
      </c>
      <c r="V25" s="182">
        <f>S25-T25</f>
        <v>62.816565814864425</v>
      </c>
      <c r="W25" s="180"/>
      <c r="X25" s="180"/>
      <c r="Y25" s="180"/>
      <c r="Z25" s="180"/>
      <c r="AA25" s="180"/>
      <c r="AB25" s="180">
        <v>0</v>
      </c>
      <c r="AC25" s="231" t="e">
        <f>#REF!</f>
        <v>#REF!</v>
      </c>
      <c r="AD25" s="180"/>
      <c r="AE25" s="180"/>
      <c r="AF25" s="180"/>
      <c r="AG25" s="180"/>
      <c r="AH25" s="180"/>
      <c r="AI25" s="180">
        <f>38400000+7200000+14400000+0</f>
        <v>60000000</v>
      </c>
      <c r="AJ25" s="181">
        <f t="shared" si="2"/>
        <v>37.183434185135575</v>
      </c>
      <c r="AK25" s="180">
        <f t="shared" si="6"/>
        <v>101362180</v>
      </c>
      <c r="AL25" s="181">
        <f t="shared" si="3"/>
        <v>62.816565814864425</v>
      </c>
      <c r="AM25" s="243"/>
    </row>
    <row r="26" spans="1:39" s="226" customFormat="1" ht="27.75" customHeight="1" x14ac:dyDescent="0.25">
      <c r="A26" s="236" t="s">
        <v>29</v>
      </c>
      <c r="B26" s="642" t="s">
        <v>104</v>
      </c>
      <c r="C26" s="626"/>
      <c r="D26" s="626"/>
      <c r="E26" s="626"/>
      <c r="F26" s="626"/>
      <c r="G26" s="626"/>
      <c r="H26" s="626"/>
      <c r="I26" s="627"/>
      <c r="J26" s="444" t="s">
        <v>366</v>
      </c>
      <c r="K26" s="238"/>
      <c r="L26" s="626" t="s">
        <v>105</v>
      </c>
      <c r="M26" s="626"/>
      <c r="N26" s="627"/>
      <c r="O26" s="239">
        <v>4150000000</v>
      </c>
      <c r="P26" s="239">
        <f>O26</f>
        <v>4150000000</v>
      </c>
      <c r="Q26" s="239">
        <f>SUM(Q27:Q34)</f>
        <v>10152503603</v>
      </c>
      <c r="R26" s="240">
        <f>Q26/Q26*100</f>
        <v>100</v>
      </c>
      <c r="S26" s="240">
        <v>100</v>
      </c>
      <c r="T26" s="239">
        <f t="shared" si="7"/>
        <v>129.65410738795873</v>
      </c>
      <c r="U26" s="239">
        <f>AJ26</f>
        <v>129.65410738795873</v>
      </c>
      <c r="V26" s="241">
        <f t="shared" si="4"/>
        <v>-29.654107387958732</v>
      </c>
      <c r="W26" s="239"/>
      <c r="X26" s="239" t="e">
        <f>#REF!</f>
        <v>#REF!</v>
      </c>
      <c r="Y26" s="239" t="e">
        <f>#REF!</f>
        <v>#REF!</v>
      </c>
      <c r="Z26" s="239" t="e">
        <f>#REF!</f>
        <v>#REF!</v>
      </c>
      <c r="AA26" s="239" t="e">
        <f>#REF!</f>
        <v>#REF!</v>
      </c>
      <c r="AB26" s="239">
        <v>5532503616</v>
      </c>
      <c r="AC26" s="239" t="e">
        <f>#REF!</f>
        <v>#REF!</v>
      </c>
      <c r="AD26" s="239" t="e">
        <f>#REF!</f>
        <v>#REF!</v>
      </c>
      <c r="AE26" s="239" t="e">
        <f>#REF!</f>
        <v>#REF!</v>
      </c>
      <c r="AF26" s="239" t="e">
        <f>[1]April!$N$14</f>
        <v>#REF!</v>
      </c>
      <c r="AG26" s="239" t="e">
        <f>[2]april!$N$14</f>
        <v>#REF!</v>
      </c>
      <c r="AH26" s="239">
        <f>'[3]DES SKPD'!$N$14</f>
        <v>11081028822</v>
      </c>
      <c r="AI26" s="239">
        <f>SUM(AI27:AI34)</f>
        <v>13163137924</v>
      </c>
      <c r="AJ26" s="240">
        <f t="shared" si="2"/>
        <v>129.65410738795873</v>
      </c>
      <c r="AK26" s="405">
        <f>SUM(Q26-AI26)</f>
        <v>-3010634321</v>
      </c>
      <c r="AL26" s="240">
        <f t="shared" si="3"/>
        <v>-29.654107387958739</v>
      </c>
      <c r="AM26" s="236"/>
    </row>
    <row r="27" spans="1:39" ht="24.95" customHeight="1" x14ac:dyDescent="0.25">
      <c r="A27" s="243">
        <v>11</v>
      </c>
      <c r="B27" s="639" t="s">
        <v>106</v>
      </c>
      <c r="C27" s="597"/>
      <c r="D27" s="597"/>
      <c r="E27" s="597"/>
      <c r="F27" s="597"/>
      <c r="G27" s="597"/>
      <c r="H27" s="597"/>
      <c r="I27" s="598"/>
      <c r="J27" s="437" t="s">
        <v>367</v>
      </c>
      <c r="K27" s="245"/>
      <c r="L27" s="597" t="s">
        <v>107</v>
      </c>
      <c r="M27" s="597"/>
      <c r="N27" s="598"/>
      <c r="O27" s="180">
        <v>2869514353</v>
      </c>
      <c r="P27" s="180"/>
      <c r="Q27" s="180">
        <v>9463503603</v>
      </c>
      <c r="R27" s="181">
        <f t="shared" ref="R27" si="9">Q27/Q$10*100</f>
        <v>7.6125889444378787</v>
      </c>
      <c r="S27" s="181">
        <v>100</v>
      </c>
      <c r="T27" s="180">
        <f t="shared" si="7"/>
        <v>16.242913327709967</v>
      </c>
      <c r="U27" s="180">
        <f t="shared" ref="U27:U32" si="10">R27*T27/100</f>
        <v>1.2365062242398757</v>
      </c>
      <c r="V27" s="182">
        <f>S27-T27</f>
        <v>83.757086672290029</v>
      </c>
      <c r="W27" s="180">
        <v>0</v>
      </c>
      <c r="X27" s="180">
        <v>0</v>
      </c>
      <c r="Y27" s="180">
        <f>[4]MARET!$N$14</f>
        <v>1079679809</v>
      </c>
      <c r="Z27" s="180">
        <v>3345735931</v>
      </c>
      <c r="AA27" s="180" t="e">
        <f>[5]maret!$Q$166</f>
        <v>#REF!</v>
      </c>
      <c r="AB27" s="180">
        <f>[6]JUNI!$S$166</f>
        <v>2116323666</v>
      </c>
      <c r="AC27" s="180"/>
      <c r="AD27" s="180"/>
      <c r="AE27" s="180"/>
      <c r="AF27" s="180"/>
      <c r="AG27" s="180"/>
      <c r="AH27" s="180"/>
      <c r="AI27" s="180">
        <f>(290269423+304174322+383891482+487632037+59321897+11859527)</f>
        <v>1537148688</v>
      </c>
      <c r="AJ27" s="181">
        <f t="shared" si="2"/>
        <v>16.242913327709967</v>
      </c>
      <c r="AK27" s="180">
        <f t="shared" si="6"/>
        <v>7926354915</v>
      </c>
      <c r="AL27" s="181">
        <f t="shared" si="3"/>
        <v>83.757086672290043</v>
      </c>
      <c r="AM27" s="243"/>
    </row>
    <row r="28" spans="1:39" ht="24.95" customHeight="1" x14ac:dyDescent="0.25">
      <c r="A28" s="243">
        <v>12</v>
      </c>
      <c r="B28" s="639" t="s">
        <v>108</v>
      </c>
      <c r="C28" s="597"/>
      <c r="D28" s="597"/>
      <c r="E28" s="597"/>
      <c r="F28" s="597"/>
      <c r="G28" s="597"/>
      <c r="H28" s="597"/>
      <c r="I28" s="598"/>
      <c r="J28" s="437"/>
      <c r="K28" s="245"/>
      <c r="L28" s="597" t="s">
        <v>110</v>
      </c>
      <c r="M28" s="597"/>
      <c r="N28" s="598"/>
      <c r="O28" s="180"/>
      <c r="P28" s="180"/>
      <c r="Q28" s="180">
        <v>0</v>
      </c>
      <c r="R28" s="181">
        <f>AI28/Q$10*100</f>
        <v>8.8891736576590006</v>
      </c>
      <c r="S28" s="181">
        <v>0</v>
      </c>
      <c r="T28" s="180">
        <f>AJ28</f>
        <v>0</v>
      </c>
      <c r="U28" s="180">
        <f>R28*T28/100</f>
        <v>0</v>
      </c>
      <c r="V28" s="182">
        <f>T28-S28</f>
        <v>0</v>
      </c>
      <c r="W28" s="180">
        <v>0</v>
      </c>
      <c r="X28" s="180">
        <v>0</v>
      </c>
      <c r="Y28" s="180" t="e">
        <f>'[7]LRA RINCIAN nBJEK'!$N$334</f>
        <v>#REF!</v>
      </c>
      <c r="Z28" s="180" t="e">
        <f>'[8]DPKD versi ekbang'!$P$334</f>
        <v>#REF!</v>
      </c>
      <c r="AA28" s="180" t="e">
        <f>[5]maret!$Q$224</f>
        <v>#REF!</v>
      </c>
      <c r="AB28" s="180">
        <f>[6]JUNI!$S$224</f>
        <v>1216233073</v>
      </c>
      <c r="AC28" s="180"/>
      <c r="AD28" s="180"/>
      <c r="AE28" s="180"/>
      <c r="AF28" s="180"/>
      <c r="AG28" s="180"/>
      <c r="AH28" s="180"/>
      <c r="AI28" s="180">
        <f xml:space="preserve"> (9193697642 + 221523585+363364923+332978349+913574366+25336545)</f>
        <v>11050475410</v>
      </c>
      <c r="AJ28" s="181">
        <v>0</v>
      </c>
      <c r="AK28" s="180">
        <f>SUM(Q28-AI28)</f>
        <v>-11050475410</v>
      </c>
      <c r="AL28" s="181">
        <v>0</v>
      </c>
      <c r="AM28" s="243"/>
    </row>
    <row r="29" spans="1:39" ht="24.95" customHeight="1" x14ac:dyDescent="0.25">
      <c r="A29" s="243">
        <v>13</v>
      </c>
      <c r="B29" s="639" t="s">
        <v>108</v>
      </c>
      <c r="C29" s="597"/>
      <c r="D29" s="597"/>
      <c r="E29" s="597"/>
      <c r="F29" s="597"/>
      <c r="G29" s="597"/>
      <c r="H29" s="597"/>
      <c r="I29" s="598"/>
      <c r="J29" s="437" t="s">
        <v>382</v>
      </c>
      <c r="K29" s="245"/>
      <c r="L29" s="597" t="s">
        <v>368</v>
      </c>
      <c r="M29" s="597"/>
      <c r="N29" s="598"/>
      <c r="O29" s="180"/>
      <c r="P29" s="180"/>
      <c r="Q29" s="180">
        <v>689000000</v>
      </c>
      <c r="R29" s="181">
        <f>AI29/Q$10*100</f>
        <v>0.26886175640570137</v>
      </c>
      <c r="S29" s="181">
        <v>0</v>
      </c>
      <c r="T29" s="180">
        <f t="shared" si="7"/>
        <v>48.5097885341074</v>
      </c>
      <c r="U29" s="180">
        <f t="shared" si="10"/>
        <v>0.13042426948149269</v>
      </c>
      <c r="V29" s="182">
        <f t="shared" ref="V29:V32" si="11">T29-S29</f>
        <v>48.5097885341074</v>
      </c>
      <c r="W29" s="180">
        <v>0</v>
      </c>
      <c r="X29" s="180">
        <v>0</v>
      </c>
      <c r="Y29" s="180" t="e">
        <f>'[7]LRA RINCIAN nBJEK'!$N$334</f>
        <v>#REF!</v>
      </c>
      <c r="Z29" s="180" t="e">
        <f>'[8]DPKD versi ekbang'!$P$334</f>
        <v>#REF!</v>
      </c>
      <c r="AA29" s="180" t="e">
        <f>[5]maret!$Q$265</f>
        <v>#REF!</v>
      </c>
      <c r="AB29" s="180">
        <f>[6]JUNI!$S$265</f>
        <v>727292590</v>
      </c>
      <c r="AC29" s="180"/>
      <c r="AD29" s="180"/>
      <c r="AE29" s="180"/>
      <c r="AF29" s="180"/>
      <c r="AG29" s="180"/>
      <c r="AH29" s="180"/>
      <c r="AI29" s="180">
        <f>(79828289+0+177590471+76813683+0)</f>
        <v>334232443</v>
      </c>
      <c r="AJ29" s="181">
        <f>AI29/Q29*100</f>
        <v>48.5097885341074</v>
      </c>
      <c r="AK29" s="180">
        <f t="shared" si="6"/>
        <v>354767557</v>
      </c>
      <c r="AL29" s="181">
        <f>AK29/Q29*100</f>
        <v>51.4902114658926</v>
      </c>
      <c r="AM29" s="243"/>
    </row>
    <row r="30" spans="1:39" ht="24.95" customHeight="1" x14ac:dyDescent="0.25">
      <c r="A30" s="243">
        <v>14</v>
      </c>
      <c r="B30" s="453"/>
      <c r="C30" s="437"/>
      <c r="D30" s="437"/>
      <c r="E30" s="437"/>
      <c r="F30" s="437"/>
      <c r="G30" s="437"/>
      <c r="H30" s="437"/>
      <c r="I30" s="438"/>
      <c r="J30" s="437"/>
      <c r="K30" s="245"/>
      <c r="L30" s="597" t="s">
        <v>637</v>
      </c>
      <c r="M30" s="597"/>
      <c r="N30" s="598"/>
      <c r="O30" s="180"/>
      <c r="P30" s="180"/>
      <c r="Q30" s="180">
        <v>0</v>
      </c>
      <c r="R30" s="181">
        <f>AI30/Q$10*100</f>
        <v>4.205082005192428E-5</v>
      </c>
      <c r="S30" s="181">
        <v>0</v>
      </c>
      <c r="T30" s="180">
        <f t="shared" si="7"/>
        <v>0</v>
      </c>
      <c r="U30" s="180">
        <f t="shared" si="10"/>
        <v>0</v>
      </c>
      <c r="V30" s="182">
        <f t="shared" si="11"/>
        <v>0</v>
      </c>
      <c r="W30" s="180">
        <v>0</v>
      </c>
      <c r="X30" s="180">
        <v>0</v>
      </c>
      <c r="Y30" s="180" t="e">
        <f>'[7]LRA RINCIAN nBJEK'!$N$334</f>
        <v>#REF!</v>
      </c>
      <c r="Z30" s="180" t="e">
        <f>'[8]DPKD versi ekbang'!$P$334</f>
        <v>#REF!</v>
      </c>
      <c r="AA30" s="180" t="e">
        <f>[5]maret!$Q$265</f>
        <v>#REF!</v>
      </c>
      <c r="AB30" s="180">
        <f>[6]JUNI!$S$265</f>
        <v>727292590</v>
      </c>
      <c r="AC30" s="180"/>
      <c r="AD30" s="180"/>
      <c r="AE30" s="180"/>
      <c r="AF30" s="180"/>
      <c r="AG30" s="180"/>
      <c r="AH30" s="180"/>
      <c r="AI30" s="180">
        <f>(52275+0)</f>
        <v>52275</v>
      </c>
      <c r="AJ30" s="181">
        <v>0</v>
      </c>
      <c r="AK30" s="180">
        <f t="shared" ref="AK30" si="12">SUM(Q30-AI30)</f>
        <v>-52275</v>
      </c>
      <c r="AL30" s="181">
        <v>0</v>
      </c>
      <c r="AM30" s="243"/>
    </row>
    <row r="31" spans="1:39" ht="24.95" customHeight="1" thickBot="1" x14ac:dyDescent="0.3">
      <c r="A31" s="243">
        <v>15</v>
      </c>
      <c r="B31" s="636" t="s">
        <v>108</v>
      </c>
      <c r="C31" s="637"/>
      <c r="D31" s="637"/>
      <c r="E31" s="637"/>
      <c r="F31" s="637"/>
      <c r="G31" s="637"/>
      <c r="H31" s="637"/>
      <c r="I31" s="638"/>
      <c r="J31" s="437"/>
      <c r="K31" s="245"/>
      <c r="L31" s="660" t="s">
        <v>385</v>
      </c>
      <c r="M31" s="660"/>
      <c r="N31" s="661"/>
      <c r="O31" s="180"/>
      <c r="P31" s="180"/>
      <c r="Q31" s="180"/>
      <c r="R31" s="181">
        <f>Q31/Q$10*100</f>
        <v>0</v>
      </c>
      <c r="S31" s="181">
        <v>0</v>
      </c>
      <c r="T31" s="180">
        <f t="shared" si="7"/>
        <v>0</v>
      </c>
      <c r="U31" s="180">
        <f t="shared" si="10"/>
        <v>0</v>
      </c>
      <c r="V31" s="182">
        <f t="shared" si="11"/>
        <v>0</v>
      </c>
      <c r="W31" s="180">
        <v>0</v>
      </c>
      <c r="X31" s="180">
        <v>0</v>
      </c>
      <c r="Y31" s="180" t="e">
        <f>'[7]LRA RINCIAN nBJEK'!$N$334</f>
        <v>#REF!</v>
      </c>
      <c r="Z31" s="180" t="e">
        <f>'[8]DPKD versi ekbang'!$P$334</f>
        <v>#REF!</v>
      </c>
      <c r="AA31" s="180" t="e">
        <f>[5]maret!$Q$269</f>
        <v>#REF!</v>
      </c>
      <c r="AB31" s="180">
        <f>[6]JUNI!$S$269</f>
        <v>319903749</v>
      </c>
      <c r="AC31" s="180"/>
      <c r="AD31" s="180"/>
      <c r="AE31" s="180"/>
      <c r="AF31" s="180"/>
      <c r="AG31" s="180"/>
      <c r="AH31" s="180"/>
      <c r="AI31" s="180">
        <f>(0+20+20+0+160216000+3)</f>
        <v>160216043</v>
      </c>
      <c r="AJ31" s="181">
        <v>0</v>
      </c>
      <c r="AK31" s="180">
        <f t="shared" si="6"/>
        <v>-160216043</v>
      </c>
      <c r="AL31" s="181">
        <v>0</v>
      </c>
      <c r="AM31" s="243"/>
    </row>
    <row r="32" spans="1:39" ht="24.95" customHeight="1" thickTop="1" thickBot="1" x14ac:dyDescent="0.3">
      <c r="A32" s="243">
        <v>16</v>
      </c>
      <c r="B32" s="451"/>
      <c r="C32" s="451"/>
      <c r="D32" s="451"/>
      <c r="E32" s="451"/>
      <c r="F32" s="451"/>
      <c r="G32" s="451"/>
      <c r="H32" s="451"/>
      <c r="I32" s="452"/>
      <c r="J32" s="437"/>
      <c r="K32" s="245"/>
      <c r="L32" s="597" t="s">
        <v>384</v>
      </c>
      <c r="M32" s="597"/>
      <c r="N32" s="598"/>
      <c r="O32" s="180">
        <v>599994905</v>
      </c>
      <c r="P32" s="180"/>
      <c r="Q32" s="180"/>
      <c r="R32" s="181">
        <f>Q32/Q$10*100</f>
        <v>0</v>
      </c>
      <c r="S32" s="181">
        <v>0</v>
      </c>
      <c r="T32" s="180">
        <f t="shared" si="7"/>
        <v>0</v>
      </c>
      <c r="U32" s="180">
        <f t="shared" si="10"/>
        <v>0</v>
      </c>
      <c r="V32" s="182">
        <f t="shared" si="11"/>
        <v>0</v>
      </c>
      <c r="W32" s="180">
        <v>0</v>
      </c>
      <c r="X32" s="180">
        <v>0</v>
      </c>
      <c r="Y32" s="180" t="e">
        <f>'[7]LRA RINCIAN nBJEK'!$N$334</f>
        <v>#REF!</v>
      </c>
      <c r="Z32" s="180" t="e">
        <f>'[8]DPKD versi ekbang'!$P$334</f>
        <v>#REF!</v>
      </c>
      <c r="AA32" s="180" t="e">
        <f>[5]maret!$Q$269</f>
        <v>#REF!</v>
      </c>
      <c r="AB32" s="180">
        <f>[6]JUNI!$S$269</f>
        <v>319903749</v>
      </c>
      <c r="AC32" s="180"/>
      <c r="AD32" s="180"/>
      <c r="AE32" s="180"/>
      <c r="AF32" s="180"/>
      <c r="AG32" s="180"/>
      <c r="AH32" s="180"/>
      <c r="AI32" s="180">
        <f>(750000+0+750000+500000+0+0)</f>
        <v>2000000</v>
      </c>
      <c r="AJ32" s="181">
        <v>0</v>
      </c>
      <c r="AK32" s="180">
        <f t="shared" si="6"/>
        <v>-2000000</v>
      </c>
      <c r="AL32" s="181">
        <v>0</v>
      </c>
      <c r="AM32" s="243"/>
    </row>
    <row r="33" spans="1:39" ht="24.95" customHeight="1" thickTop="1" x14ac:dyDescent="0.25">
      <c r="A33" s="243">
        <v>17</v>
      </c>
      <c r="B33" s="639" t="s">
        <v>108</v>
      </c>
      <c r="C33" s="597"/>
      <c r="D33" s="597"/>
      <c r="E33" s="597"/>
      <c r="F33" s="597"/>
      <c r="G33" s="597"/>
      <c r="H33" s="597"/>
      <c r="I33" s="598"/>
      <c r="J33" s="437"/>
      <c r="K33" s="245"/>
      <c r="L33" s="597" t="s">
        <v>109</v>
      </c>
      <c r="M33" s="597"/>
      <c r="N33" s="598"/>
      <c r="O33" s="180"/>
      <c r="P33" s="180"/>
      <c r="Q33" s="180"/>
      <c r="R33" s="181">
        <f>AI33/Q$10*100</f>
        <v>6.3327662207384838E-2</v>
      </c>
      <c r="S33" s="181">
        <v>0</v>
      </c>
      <c r="T33" s="180">
        <f>AJ33</f>
        <v>0</v>
      </c>
      <c r="U33" s="180">
        <f>R33*T33/100</f>
        <v>0</v>
      </c>
      <c r="V33" s="182">
        <f>T33-S33</f>
        <v>0</v>
      </c>
      <c r="W33" s="180">
        <v>0</v>
      </c>
      <c r="X33" s="180">
        <v>0</v>
      </c>
      <c r="Y33" s="180" t="e">
        <f>'[7]LRA RINCIAN nBJEK'!$N$334</f>
        <v>#REF!</v>
      </c>
      <c r="Z33" s="180" t="e">
        <f>'[8]DPKD versi ekbang'!$P$334</f>
        <v>#REF!</v>
      </c>
      <c r="AA33" s="180" t="e">
        <f>[5]maret!$Q$198</f>
        <v>#REF!</v>
      </c>
      <c r="AB33" s="180">
        <f>[6]JUNI!$S$198</f>
        <v>16694136</v>
      </c>
      <c r="AC33" s="180"/>
      <c r="AD33" s="180"/>
      <c r="AE33" s="180"/>
      <c r="AF33" s="180"/>
      <c r="AG33" s="180"/>
      <c r="AH33" s="180"/>
      <c r="AI33" s="180">
        <f>(20455657+28153435+16921231+8293419+4039427+861896)</f>
        <v>78725065</v>
      </c>
      <c r="AJ33" s="181">
        <v>0</v>
      </c>
      <c r="AK33" s="180">
        <f>SUM(Q33-AI33)</f>
        <v>-78725065</v>
      </c>
      <c r="AL33" s="181">
        <v>0</v>
      </c>
      <c r="AM33" s="243"/>
    </row>
    <row r="34" spans="1:39" ht="24.95" customHeight="1" thickBot="1" x14ac:dyDescent="0.3">
      <c r="A34" s="243">
        <v>18</v>
      </c>
      <c r="B34" s="437"/>
      <c r="C34" s="437"/>
      <c r="D34" s="437"/>
      <c r="E34" s="437"/>
      <c r="F34" s="437"/>
      <c r="G34" s="437"/>
      <c r="H34" s="437"/>
      <c r="I34" s="438"/>
      <c r="J34" s="437"/>
      <c r="K34" s="245"/>
      <c r="L34" s="637" t="s">
        <v>638</v>
      </c>
      <c r="M34" s="637"/>
      <c r="N34" s="638"/>
      <c r="O34" s="180"/>
      <c r="P34" s="180"/>
      <c r="Q34" s="180"/>
      <c r="R34" s="181">
        <f>AI34/Q$10*100</f>
        <v>2.316716628398698E-4</v>
      </c>
      <c r="S34" s="181">
        <v>1</v>
      </c>
      <c r="T34" s="180">
        <f>AJ34</f>
        <v>1</v>
      </c>
      <c r="U34" s="180">
        <f>R34*T34/100</f>
        <v>2.3167166283986979E-6</v>
      </c>
      <c r="V34" s="182">
        <f>T34-S34</f>
        <v>0</v>
      </c>
      <c r="W34" s="180">
        <v>0</v>
      </c>
      <c r="X34" s="180">
        <v>0</v>
      </c>
      <c r="Y34" s="180" t="e">
        <f>'[7]LRA RINCIAN nBJEK'!$N$334</f>
        <v>#REF!</v>
      </c>
      <c r="Z34" s="180" t="e">
        <f>'[8]DPKD versi ekbang'!$P$334</f>
        <v>#REF!</v>
      </c>
      <c r="AA34" s="180" t="e">
        <f>[5]maret!$Q$198</f>
        <v>#REF!</v>
      </c>
      <c r="AB34" s="180">
        <f>[6]JUNI!$S$198</f>
        <v>16694136</v>
      </c>
      <c r="AC34" s="180"/>
      <c r="AD34" s="180"/>
      <c r="AE34" s="180"/>
      <c r="AF34" s="180"/>
      <c r="AG34" s="180"/>
      <c r="AH34" s="180"/>
      <c r="AI34" s="180">
        <f>(288000+0)</f>
        <v>288000</v>
      </c>
      <c r="AJ34" s="181">
        <v>1</v>
      </c>
      <c r="AK34" s="180">
        <f>SUM(Q34-AI34)</f>
        <v>-288000</v>
      </c>
      <c r="AL34" s="181">
        <v>1</v>
      </c>
      <c r="AM34" s="243"/>
    </row>
    <row r="35" spans="1:39" s="256" customFormat="1" ht="27.75" customHeight="1" thickTop="1" thickBot="1" x14ac:dyDescent="0.3">
      <c r="A35" s="218"/>
      <c r="B35" s="254"/>
      <c r="C35" s="254"/>
      <c r="D35" s="254"/>
      <c r="E35" s="254"/>
      <c r="F35" s="254"/>
      <c r="G35" s="254"/>
      <c r="H35" s="254"/>
      <c r="I35" s="255"/>
      <c r="J35" s="254" t="s">
        <v>211</v>
      </c>
      <c r="K35" s="220"/>
      <c r="L35" s="640" t="s">
        <v>9</v>
      </c>
      <c r="M35" s="640"/>
      <c r="N35" s="641"/>
      <c r="O35" s="221" t="e">
        <f>SUM(O37:O58)</f>
        <v>#REF!</v>
      </c>
      <c r="P35" s="221" t="e">
        <f>SUM(P37:P58)</f>
        <v>#REF!</v>
      </c>
      <c r="Q35" s="221">
        <f>SUM(Q37+Q58)</f>
        <v>31786252581</v>
      </c>
      <c r="R35" s="222">
        <f>Q35/Q35*100</f>
        <v>100</v>
      </c>
      <c r="S35" s="221">
        <f>S37</f>
        <v>100</v>
      </c>
      <c r="T35" s="221">
        <f>AJ35</f>
        <v>43.630219550604529</v>
      </c>
      <c r="U35" s="221">
        <f>SUM(R35*T35/100)</f>
        <v>43.630219550604536</v>
      </c>
      <c r="V35" s="223">
        <f>S35-T35</f>
        <v>56.369780449395471</v>
      </c>
      <c r="W35" s="221">
        <f t="shared" ref="W35:AH35" si="13">SUM(W37:W58)</f>
        <v>0</v>
      </c>
      <c r="X35" s="221" t="e">
        <f t="shared" si="13"/>
        <v>#REF!</v>
      </c>
      <c r="Y35" s="221" t="e">
        <f t="shared" si="13"/>
        <v>#REF!</v>
      </c>
      <c r="Z35" s="221" t="e">
        <f t="shared" si="13"/>
        <v>#REF!</v>
      </c>
      <c r="AA35" s="221" t="e">
        <f t="shared" si="13"/>
        <v>#REF!</v>
      </c>
      <c r="AB35" s="221">
        <f t="shared" si="13"/>
        <v>13148060099</v>
      </c>
      <c r="AC35" s="221" t="e">
        <f t="shared" si="13"/>
        <v>#REF!</v>
      </c>
      <c r="AD35" s="221" t="e">
        <f t="shared" si="13"/>
        <v>#REF!</v>
      </c>
      <c r="AE35" s="221" t="e">
        <f t="shared" si="13"/>
        <v>#REF!</v>
      </c>
      <c r="AF35" s="221" t="e">
        <f t="shared" si="13"/>
        <v>#REF!</v>
      </c>
      <c r="AG35" s="221" t="e">
        <f t="shared" si="13"/>
        <v>#REF!</v>
      </c>
      <c r="AH35" s="221" t="e">
        <f t="shared" si="13"/>
        <v>#REF!</v>
      </c>
      <c r="AI35" s="221">
        <f>SUM(AI38+AI58)</f>
        <v>13868411788</v>
      </c>
      <c r="AJ35" s="224">
        <f>AI35/Q35*100</f>
        <v>43.630219550604529</v>
      </c>
      <c r="AK35" s="221">
        <f>SUM(AK38+AK58)</f>
        <v>17917840793</v>
      </c>
      <c r="AL35" s="224">
        <f>AK35/Q35*100</f>
        <v>56.369780449395471</v>
      </c>
      <c r="AM35" s="218"/>
    </row>
    <row r="36" spans="1:39" ht="13.5" customHeight="1" thickTop="1" x14ac:dyDescent="0.25">
      <c r="A36" s="243"/>
      <c r="B36" s="257"/>
      <c r="C36" s="257"/>
      <c r="D36" s="257"/>
      <c r="E36" s="257"/>
      <c r="F36" s="257"/>
      <c r="G36" s="257"/>
      <c r="H36" s="257"/>
      <c r="I36" s="258"/>
      <c r="J36" s="257"/>
      <c r="K36" s="245"/>
      <c r="L36" s="257"/>
      <c r="M36" s="257"/>
      <c r="N36" s="258"/>
      <c r="O36" s="243"/>
      <c r="P36" s="243"/>
      <c r="Q36" s="243"/>
      <c r="R36" s="243"/>
      <c r="S36" s="243"/>
      <c r="T36" s="243"/>
      <c r="U36" s="243"/>
      <c r="V36" s="182"/>
      <c r="W36" s="243"/>
      <c r="X36" s="243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73"/>
      <c r="AL36" s="243"/>
      <c r="AM36" s="243"/>
    </row>
    <row r="37" spans="1:39" s="226" customFormat="1" ht="28.5" customHeight="1" x14ac:dyDescent="0.25">
      <c r="A37" s="260"/>
      <c r="B37" s="633" t="s">
        <v>111</v>
      </c>
      <c r="C37" s="633"/>
      <c r="D37" s="633"/>
      <c r="E37" s="633"/>
      <c r="F37" s="633"/>
      <c r="G37" s="633"/>
      <c r="H37" s="633"/>
      <c r="I37" s="633"/>
      <c r="J37" s="450" t="s">
        <v>212</v>
      </c>
      <c r="K37" s="262"/>
      <c r="L37" s="634" t="s">
        <v>10</v>
      </c>
      <c r="M37" s="633"/>
      <c r="N37" s="633"/>
      <c r="O37" s="263">
        <v>6663803304</v>
      </c>
      <c r="P37" s="263">
        <f>O37</f>
        <v>6663803304</v>
      </c>
      <c r="Q37" s="263">
        <f>SUM(Q38)</f>
        <v>11607289675</v>
      </c>
      <c r="R37" s="222">
        <f>Q37/Q35*100</f>
        <v>36.516697416348386</v>
      </c>
      <c r="S37" s="260">
        <v>100</v>
      </c>
      <c r="T37" s="263">
        <f>AJ37</f>
        <v>54.988456691548883</v>
      </c>
      <c r="U37" s="263">
        <f>R37*T37/100</f>
        <v>20.079968343972681</v>
      </c>
      <c r="V37" s="264">
        <f>S37-T37</f>
        <v>45.011543308451117</v>
      </c>
      <c r="W37" s="263"/>
      <c r="X37" s="263" t="e">
        <f>#REF!</f>
        <v>#REF!</v>
      </c>
      <c r="Y37" s="263" t="e">
        <f>#REF!</f>
        <v>#REF!</v>
      </c>
      <c r="Z37" s="263" t="e">
        <f>#REF!</f>
        <v>#REF!</v>
      </c>
      <c r="AA37" s="263" t="e">
        <f>#REF!</f>
        <v>#REF!</v>
      </c>
      <c r="AB37" s="263">
        <v>2898050817</v>
      </c>
      <c r="AC37" s="263" t="e">
        <f>#REF!</f>
        <v>#REF!</v>
      </c>
      <c r="AD37" s="263" t="e">
        <f>#REF!</f>
        <v>#REF!</v>
      </c>
      <c r="AE37" s="263" t="e">
        <f>#REF!</f>
        <v>#REF!</v>
      </c>
      <c r="AF37" s="263" t="e">
        <f>[1]April!$N$17</f>
        <v>#REF!</v>
      </c>
      <c r="AG37" s="263" t="e">
        <f>[2]april!$N$17</f>
        <v>#REF!</v>
      </c>
      <c r="AH37" s="263">
        <f>'[3]DES SKPD'!$N$17</f>
        <v>8257610364</v>
      </c>
      <c r="AI37" s="263">
        <f>SUM(AI38)</f>
        <v>6382669456</v>
      </c>
      <c r="AJ37" s="260">
        <f>AI37/Q37*100</f>
        <v>54.988456691548883</v>
      </c>
      <c r="AK37" s="263">
        <f>SUM(AK38)</f>
        <v>5224620219</v>
      </c>
      <c r="AL37" s="260">
        <f>AK37/Q37*100</f>
        <v>45.011543308451117</v>
      </c>
      <c r="AM37" s="222"/>
    </row>
    <row r="38" spans="1:39" s="226" customFormat="1" ht="28.5" customHeight="1" x14ac:dyDescent="0.25">
      <c r="A38" s="260"/>
      <c r="B38" s="266"/>
      <c r="C38" s="266"/>
      <c r="D38" s="266"/>
      <c r="E38" s="266"/>
      <c r="F38" s="266"/>
      <c r="G38" s="266"/>
      <c r="H38" s="266"/>
      <c r="I38" s="267"/>
      <c r="J38" s="268" t="s">
        <v>219</v>
      </c>
      <c r="K38" s="262"/>
      <c r="L38" s="635" t="s">
        <v>218</v>
      </c>
      <c r="M38" s="635"/>
      <c r="N38" s="634"/>
      <c r="O38" s="263"/>
      <c r="P38" s="263"/>
      <c r="Q38" s="263">
        <f>SUM(Q39+Q51+Q55)</f>
        <v>11607289675</v>
      </c>
      <c r="R38" s="222">
        <f>Q38/Q35*100</f>
        <v>36.516697416348386</v>
      </c>
      <c r="S38" s="260">
        <v>100</v>
      </c>
      <c r="T38" s="263">
        <f t="shared" ref="T38:T56" si="14">AJ38</f>
        <v>54.988456691548883</v>
      </c>
      <c r="U38" s="263">
        <f>R38*T38/100</f>
        <v>20.079968343972681</v>
      </c>
      <c r="V38" s="264">
        <f t="shared" ref="V38:V56" si="15">S38-T38</f>
        <v>45.011543308451117</v>
      </c>
      <c r="W38" s="263"/>
      <c r="X38" s="263"/>
      <c r="Y38" s="263"/>
      <c r="Z38" s="263"/>
      <c r="AA38" s="263"/>
      <c r="AB38" s="263"/>
      <c r="AC38" s="263"/>
      <c r="AD38" s="263"/>
      <c r="AE38" s="263"/>
      <c r="AF38" s="263"/>
      <c r="AG38" s="263"/>
      <c r="AH38" s="263"/>
      <c r="AI38" s="263">
        <f>SUM(AI39+AI51+AI55)</f>
        <v>6382669456</v>
      </c>
      <c r="AJ38" s="260">
        <f t="shared" ref="AJ38:AJ56" si="16">AI38/Q38*100</f>
        <v>54.988456691548883</v>
      </c>
      <c r="AK38" s="263">
        <f>SUM(AK39+AK51+AK55)</f>
        <v>5224620219</v>
      </c>
      <c r="AL38" s="260">
        <f t="shared" ref="AL38:AL56" si="17">AK38/Q38*100</f>
        <v>45.011543308451117</v>
      </c>
      <c r="AM38" s="222"/>
    </row>
    <row r="39" spans="1:39" s="226" customFormat="1" ht="28.5" customHeight="1" x14ac:dyDescent="0.25">
      <c r="A39" s="269" t="s">
        <v>7</v>
      </c>
      <c r="B39" s="266"/>
      <c r="C39" s="266"/>
      <c r="D39" s="266"/>
      <c r="E39" s="266"/>
      <c r="F39" s="266"/>
      <c r="G39" s="266"/>
      <c r="H39" s="266"/>
      <c r="I39" s="267"/>
      <c r="J39" s="268" t="s">
        <v>220</v>
      </c>
      <c r="K39" s="262"/>
      <c r="L39" s="635" t="s">
        <v>221</v>
      </c>
      <c r="M39" s="635"/>
      <c r="N39" s="634"/>
      <c r="O39" s="263"/>
      <c r="P39" s="263"/>
      <c r="Q39" s="263">
        <f>SUM(Q40:Q50)</f>
        <v>4242771195</v>
      </c>
      <c r="R39" s="222">
        <f>Q39/Q38*100</f>
        <v>36.552643328426285</v>
      </c>
      <c r="S39" s="260">
        <v>100</v>
      </c>
      <c r="T39" s="263">
        <f t="shared" si="14"/>
        <v>48.754848680922095</v>
      </c>
      <c r="U39" s="263">
        <f>R39*T39/100</f>
        <v>17.8211859436514</v>
      </c>
      <c r="V39" s="264">
        <f t="shared" si="15"/>
        <v>51.245151319077905</v>
      </c>
      <c r="W39" s="263"/>
      <c r="X39" s="263"/>
      <c r="Y39" s="263"/>
      <c r="Z39" s="263"/>
      <c r="AA39" s="263"/>
      <c r="AB39" s="263"/>
      <c r="AC39" s="263"/>
      <c r="AD39" s="263"/>
      <c r="AE39" s="263"/>
      <c r="AF39" s="263"/>
      <c r="AG39" s="263"/>
      <c r="AH39" s="263"/>
      <c r="AI39" s="263">
        <f>SUM(AI40:AI50)</f>
        <v>2068556676</v>
      </c>
      <c r="AJ39" s="260">
        <f t="shared" si="16"/>
        <v>48.754848680922095</v>
      </c>
      <c r="AK39" s="263">
        <f t="shared" ref="AK39:AK56" si="18">Q39-AI39</f>
        <v>2174214519</v>
      </c>
      <c r="AL39" s="260">
        <f t="shared" si="17"/>
        <v>51.245151319077905</v>
      </c>
      <c r="AM39" s="222"/>
    </row>
    <row r="40" spans="1:39" s="235" customFormat="1" ht="28.5" customHeight="1" x14ac:dyDescent="0.25">
      <c r="A40" s="259">
        <v>1</v>
      </c>
      <c r="B40" s="445"/>
      <c r="C40" s="445"/>
      <c r="D40" s="445"/>
      <c r="E40" s="445"/>
      <c r="F40" s="445"/>
      <c r="G40" s="445"/>
      <c r="H40" s="445"/>
      <c r="I40" s="446"/>
      <c r="J40" s="445" t="s">
        <v>222</v>
      </c>
      <c r="K40" s="272"/>
      <c r="L40" s="628" t="s">
        <v>223</v>
      </c>
      <c r="M40" s="628"/>
      <c r="N40" s="629"/>
      <c r="O40" s="180"/>
      <c r="P40" s="180"/>
      <c r="Q40" s="180">
        <v>2590996506</v>
      </c>
      <c r="R40" s="181">
        <f>Q40/Q$35*100</f>
        <v>8.1513116382544233</v>
      </c>
      <c r="S40" s="273">
        <v>100</v>
      </c>
      <c r="T40" s="180">
        <f t="shared" si="14"/>
        <v>51.497553042242508</v>
      </c>
      <c r="U40" s="180">
        <f t="shared" ref="U40:U48" si="19">SUM(R40*T40)</f>
        <v>419.77260345485581</v>
      </c>
      <c r="V40" s="274">
        <f t="shared" si="15"/>
        <v>48.502446957757492</v>
      </c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>
        <f>889090600+227149400+218059800</f>
        <v>1334299800</v>
      </c>
      <c r="AJ40" s="181">
        <f t="shared" si="16"/>
        <v>51.497553042242508</v>
      </c>
      <c r="AK40" s="180">
        <f t="shared" si="18"/>
        <v>1256696706</v>
      </c>
      <c r="AL40" s="181">
        <f t="shared" si="17"/>
        <v>48.502446957757492</v>
      </c>
      <c r="AM40" s="181"/>
    </row>
    <row r="41" spans="1:39" s="235" customFormat="1" ht="28.5" customHeight="1" x14ac:dyDescent="0.25">
      <c r="A41" s="259">
        <v>2</v>
      </c>
      <c r="B41" s="445"/>
      <c r="C41" s="445"/>
      <c r="D41" s="445"/>
      <c r="E41" s="445"/>
      <c r="F41" s="445"/>
      <c r="G41" s="445"/>
      <c r="H41" s="445"/>
      <c r="I41" s="446"/>
      <c r="J41" s="445" t="s">
        <v>224</v>
      </c>
      <c r="K41" s="272"/>
      <c r="L41" s="628" t="s">
        <v>225</v>
      </c>
      <c r="M41" s="628"/>
      <c r="N41" s="629"/>
      <c r="O41" s="180"/>
      <c r="P41" s="180"/>
      <c r="Q41" s="180">
        <v>327556228</v>
      </c>
      <c r="R41" s="181">
        <f t="shared" ref="R41:R56" si="20">Q41/Q$35*100</f>
        <v>1.0304965241350732</v>
      </c>
      <c r="S41" s="273">
        <v>100</v>
      </c>
      <c r="T41" s="180">
        <f>AJ41</f>
        <v>43.889251893571078</v>
      </c>
      <c r="U41" s="180">
        <f t="shared" si="19"/>
        <v>45.227721523213674</v>
      </c>
      <c r="V41" s="275">
        <f t="shared" si="15"/>
        <v>56.110748106428922</v>
      </c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>
        <f>94829412+24966432+23966134</f>
        <v>143761978</v>
      </c>
      <c r="AJ41" s="181">
        <f t="shared" si="16"/>
        <v>43.889251893571078</v>
      </c>
      <c r="AK41" s="180">
        <f t="shared" si="18"/>
        <v>183794250</v>
      </c>
      <c r="AL41" s="181">
        <f t="shared" si="17"/>
        <v>56.110748106428922</v>
      </c>
      <c r="AM41" s="181"/>
    </row>
    <row r="42" spans="1:39" s="235" customFormat="1" ht="28.5" customHeight="1" x14ac:dyDescent="0.25">
      <c r="A42" s="259">
        <v>3</v>
      </c>
      <c r="B42" s="445"/>
      <c r="C42" s="445"/>
      <c r="D42" s="445"/>
      <c r="E42" s="445"/>
      <c r="F42" s="445"/>
      <c r="G42" s="445"/>
      <c r="H42" s="445"/>
      <c r="I42" s="446"/>
      <c r="J42" s="445" t="s">
        <v>226</v>
      </c>
      <c r="K42" s="272"/>
      <c r="L42" s="628" t="s">
        <v>227</v>
      </c>
      <c r="M42" s="628"/>
      <c r="N42" s="629"/>
      <c r="O42" s="180"/>
      <c r="P42" s="180"/>
      <c r="Q42" s="180">
        <v>316058750</v>
      </c>
      <c r="R42" s="181">
        <f t="shared" si="20"/>
        <v>0.99432529580074436</v>
      </c>
      <c r="S42" s="273">
        <v>100</v>
      </c>
      <c r="T42" s="180">
        <f t="shared" si="14"/>
        <v>41.811846689895468</v>
      </c>
      <c r="U42" s="180">
        <f t="shared" si="19"/>
        <v>41.574576827905688</v>
      </c>
      <c r="V42" s="275">
        <f t="shared" si="15"/>
        <v>58.188153310104532</v>
      </c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>
        <f>88100000+22025000+22025000</f>
        <v>132150000</v>
      </c>
      <c r="AJ42" s="181">
        <f>AI42/Q42*100</f>
        <v>41.811846689895468</v>
      </c>
      <c r="AK42" s="180">
        <f t="shared" si="18"/>
        <v>183908750</v>
      </c>
      <c r="AL42" s="181">
        <f t="shared" si="17"/>
        <v>58.188153310104532</v>
      </c>
      <c r="AM42" s="181"/>
    </row>
    <row r="43" spans="1:39" s="235" customFormat="1" ht="28.5" customHeight="1" x14ac:dyDescent="0.25">
      <c r="A43" s="259">
        <v>4</v>
      </c>
      <c r="B43" s="445"/>
      <c r="C43" s="445"/>
      <c r="D43" s="445"/>
      <c r="E43" s="445"/>
      <c r="F43" s="445"/>
      <c r="G43" s="445"/>
      <c r="H43" s="445"/>
      <c r="I43" s="446"/>
      <c r="J43" s="445" t="s">
        <v>228</v>
      </c>
      <c r="K43" s="272"/>
      <c r="L43" s="628" t="s">
        <v>229</v>
      </c>
      <c r="M43" s="628"/>
      <c r="N43" s="629"/>
      <c r="O43" s="180"/>
      <c r="P43" s="180"/>
      <c r="Q43" s="180">
        <v>100378250</v>
      </c>
      <c r="R43" s="181">
        <f t="shared" si="20"/>
        <v>0.31579139360391406</v>
      </c>
      <c r="S43" s="273">
        <v>100</v>
      </c>
      <c r="T43" s="180">
        <f t="shared" si="14"/>
        <v>40.05847880392416</v>
      </c>
      <c r="U43" s="180">
        <f t="shared" si="19"/>
        <v>12.650122847144063</v>
      </c>
      <c r="V43" s="275">
        <f t="shared" si="15"/>
        <v>59.94152119607584</v>
      </c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>
        <f>27295000+6455000+6460000</f>
        <v>40210000</v>
      </c>
      <c r="AJ43" s="181">
        <f t="shared" si="16"/>
        <v>40.05847880392416</v>
      </c>
      <c r="AK43" s="180">
        <f t="shared" si="18"/>
        <v>60168250</v>
      </c>
      <c r="AL43" s="181">
        <f t="shared" si="17"/>
        <v>59.94152119607584</v>
      </c>
      <c r="AM43" s="181"/>
    </row>
    <row r="44" spans="1:39" s="235" customFormat="1" ht="28.5" customHeight="1" x14ac:dyDescent="0.25">
      <c r="A44" s="259">
        <v>5</v>
      </c>
      <c r="B44" s="445"/>
      <c r="C44" s="445"/>
      <c r="D44" s="445"/>
      <c r="E44" s="445"/>
      <c r="F44" s="445"/>
      <c r="G44" s="445"/>
      <c r="H44" s="445"/>
      <c r="I44" s="446"/>
      <c r="J44" s="445" t="s">
        <v>230</v>
      </c>
      <c r="K44" s="272"/>
      <c r="L44" s="628" t="s">
        <v>231</v>
      </c>
      <c r="M44" s="628"/>
      <c r="N44" s="629"/>
      <c r="O44" s="180"/>
      <c r="P44" s="180"/>
      <c r="Q44" s="180">
        <v>220316124</v>
      </c>
      <c r="R44" s="273">
        <f t="shared" si="20"/>
        <v>0.69311764083726035</v>
      </c>
      <c r="S44" s="273">
        <v>100</v>
      </c>
      <c r="T44" s="180">
        <f t="shared" si="14"/>
        <v>42.041943330484514</v>
      </c>
      <c r="U44" s="180">
        <f t="shared" si="19"/>
        <v>29.140012577439219</v>
      </c>
      <c r="V44" s="275">
        <f t="shared" si="15"/>
        <v>57.958056669515486</v>
      </c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>
        <f>61919100+15353040+15353040</f>
        <v>92625180</v>
      </c>
      <c r="AJ44" s="273">
        <f t="shared" si="16"/>
        <v>42.041943330484514</v>
      </c>
      <c r="AK44" s="180">
        <f t="shared" si="18"/>
        <v>127690944</v>
      </c>
      <c r="AL44" s="273">
        <f t="shared" si="17"/>
        <v>57.958056669515479</v>
      </c>
      <c r="AM44" s="181"/>
    </row>
    <row r="45" spans="1:39" s="235" customFormat="1" ht="28.5" customHeight="1" x14ac:dyDescent="0.25">
      <c r="A45" s="259">
        <v>6</v>
      </c>
      <c r="B45" s="445"/>
      <c r="C45" s="445"/>
      <c r="D45" s="445"/>
      <c r="E45" s="445"/>
      <c r="F45" s="445"/>
      <c r="G45" s="445"/>
      <c r="H45" s="445"/>
      <c r="I45" s="446"/>
      <c r="J45" s="445" t="s">
        <v>232</v>
      </c>
      <c r="K45" s="272"/>
      <c r="L45" s="628" t="s">
        <v>234</v>
      </c>
      <c r="M45" s="628"/>
      <c r="N45" s="629"/>
      <c r="O45" s="180"/>
      <c r="P45" s="180"/>
      <c r="Q45" s="180">
        <v>868720</v>
      </c>
      <c r="R45" s="273">
        <f t="shared" si="20"/>
        <v>2.7330054015844291E-3</v>
      </c>
      <c r="S45" s="273">
        <v>100</v>
      </c>
      <c r="T45" s="180">
        <f t="shared" si="14"/>
        <v>63.024910212726773</v>
      </c>
      <c r="U45" s="180">
        <f t="shared" si="19"/>
        <v>0.17224742004575591</v>
      </c>
      <c r="V45" s="275">
        <f t="shared" si="15"/>
        <v>36.975089787273227</v>
      </c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>
        <f>363234+92138+92138</f>
        <v>547510</v>
      </c>
      <c r="AJ45" s="273">
        <f t="shared" si="16"/>
        <v>63.024910212726773</v>
      </c>
      <c r="AK45" s="180">
        <f t="shared" si="18"/>
        <v>321210</v>
      </c>
      <c r="AL45" s="273">
        <f t="shared" si="17"/>
        <v>36.975089787273227</v>
      </c>
      <c r="AM45" s="181"/>
    </row>
    <row r="46" spans="1:39" s="235" customFormat="1" ht="28.5" customHeight="1" x14ac:dyDescent="0.25">
      <c r="A46" s="259">
        <v>7</v>
      </c>
      <c r="B46" s="445"/>
      <c r="C46" s="445"/>
      <c r="D46" s="445"/>
      <c r="E46" s="445"/>
      <c r="F46" s="445"/>
      <c r="G46" s="445"/>
      <c r="H46" s="445"/>
      <c r="I46" s="446"/>
      <c r="J46" s="445" t="s">
        <v>233</v>
      </c>
      <c r="K46" s="272"/>
      <c r="L46" s="628" t="s">
        <v>235</v>
      </c>
      <c r="M46" s="628"/>
      <c r="N46" s="629"/>
      <c r="O46" s="180"/>
      <c r="P46" s="180"/>
      <c r="Q46" s="180">
        <v>45647</v>
      </c>
      <c r="R46" s="273">
        <f t="shared" si="20"/>
        <v>1.4360610733737503E-4</v>
      </c>
      <c r="S46" s="273">
        <v>100</v>
      </c>
      <c r="T46" s="180">
        <f t="shared" si="14"/>
        <v>51.322102219203892</v>
      </c>
      <c r="U46" s="180">
        <f t="shared" si="19"/>
        <v>7.3701673200707273E-3</v>
      </c>
      <c r="V46" s="275">
        <f t="shared" si="15"/>
        <v>48.677897780796108</v>
      </c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>
        <f>14589+5519+3319</f>
        <v>23427</v>
      </c>
      <c r="AJ46" s="273">
        <f t="shared" si="16"/>
        <v>51.322102219203892</v>
      </c>
      <c r="AK46" s="180">
        <f t="shared" si="18"/>
        <v>22220</v>
      </c>
      <c r="AL46" s="273">
        <f t="shared" si="17"/>
        <v>48.677897780796108</v>
      </c>
      <c r="AM46" s="181"/>
    </row>
    <row r="47" spans="1:39" s="235" customFormat="1" ht="28.5" customHeight="1" x14ac:dyDescent="0.25">
      <c r="A47" s="259">
        <v>8</v>
      </c>
      <c r="B47" s="445"/>
      <c r="C47" s="445"/>
      <c r="D47" s="445"/>
      <c r="E47" s="445"/>
      <c r="F47" s="445"/>
      <c r="G47" s="445"/>
      <c r="H47" s="445"/>
      <c r="I47" s="446"/>
      <c r="J47" s="445" t="s">
        <v>236</v>
      </c>
      <c r="K47" s="272"/>
      <c r="L47" s="628" t="s">
        <v>237</v>
      </c>
      <c r="M47" s="628"/>
      <c r="N47" s="629"/>
      <c r="O47" s="180"/>
      <c r="P47" s="180"/>
      <c r="Q47" s="180">
        <v>104506702</v>
      </c>
      <c r="R47" s="273">
        <f t="shared" si="20"/>
        <v>0.32877956196216762</v>
      </c>
      <c r="S47" s="273">
        <v>100</v>
      </c>
      <c r="T47" s="180">
        <f t="shared" si="14"/>
        <v>42.429696039972633</v>
      </c>
      <c r="U47" s="180">
        <f t="shared" si="19"/>
        <v>13.950016878210121</v>
      </c>
      <c r="V47" s="275">
        <f t="shared" si="15"/>
        <v>57.570303960027367</v>
      </c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>
        <f>29517615+7563482+7260779</f>
        <v>44341876</v>
      </c>
      <c r="AJ47" s="273">
        <f t="shared" si="16"/>
        <v>42.429696039972633</v>
      </c>
      <c r="AK47" s="180">
        <f t="shared" si="18"/>
        <v>60164826</v>
      </c>
      <c r="AL47" s="273">
        <f t="shared" si="17"/>
        <v>57.570303960027367</v>
      </c>
      <c r="AM47" s="181"/>
    </row>
    <row r="48" spans="1:39" s="235" customFormat="1" ht="28.5" customHeight="1" x14ac:dyDescent="0.25">
      <c r="A48" s="259">
        <v>9</v>
      </c>
      <c r="B48" s="445"/>
      <c r="C48" s="445"/>
      <c r="D48" s="445"/>
      <c r="E48" s="445"/>
      <c r="F48" s="445"/>
      <c r="G48" s="445"/>
      <c r="H48" s="445"/>
      <c r="I48" s="446"/>
      <c r="J48" s="445" t="s">
        <v>238</v>
      </c>
      <c r="K48" s="272"/>
      <c r="L48" s="628" t="s">
        <v>239</v>
      </c>
      <c r="M48" s="628"/>
      <c r="N48" s="629"/>
      <c r="O48" s="180"/>
      <c r="P48" s="180"/>
      <c r="Q48" s="180">
        <v>17042404</v>
      </c>
      <c r="R48" s="273">
        <f t="shared" si="20"/>
        <v>5.3615643922073949E-2</v>
      </c>
      <c r="S48" s="273">
        <v>100</v>
      </c>
      <c r="T48" s="180">
        <f t="shared" si="14"/>
        <v>64.008704405786887</v>
      </c>
      <c r="U48" s="180">
        <f t="shared" si="19"/>
        <v>3.4318679033339556</v>
      </c>
      <c r="V48" s="275">
        <f t="shared" si="15"/>
        <v>35.991295594213113</v>
      </c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>
        <f>6663947+2151304+2093371</f>
        <v>10908622</v>
      </c>
      <c r="AJ48" s="273">
        <f t="shared" si="16"/>
        <v>64.008704405786887</v>
      </c>
      <c r="AK48" s="180">
        <f t="shared" si="18"/>
        <v>6133782</v>
      </c>
      <c r="AL48" s="273">
        <f t="shared" si="17"/>
        <v>35.991295594213121</v>
      </c>
      <c r="AM48" s="181"/>
    </row>
    <row r="49" spans="1:39" s="235" customFormat="1" ht="28.5" customHeight="1" x14ac:dyDescent="0.25">
      <c r="A49" s="259">
        <v>10</v>
      </c>
      <c r="B49" s="445"/>
      <c r="C49" s="445"/>
      <c r="D49" s="445"/>
      <c r="E49" s="445"/>
      <c r="F49" s="445"/>
      <c r="G49" s="445"/>
      <c r="H49" s="445"/>
      <c r="I49" s="446"/>
      <c r="J49" s="445" t="s">
        <v>641</v>
      </c>
      <c r="K49" s="272"/>
      <c r="L49" s="628" t="s">
        <v>643</v>
      </c>
      <c r="M49" s="628"/>
      <c r="N49" s="629"/>
      <c r="O49" s="180"/>
      <c r="P49" s="180"/>
      <c r="Q49" s="180">
        <v>269688283</v>
      </c>
      <c r="R49" s="273">
        <f t="shared" si="20"/>
        <v>0.84844315105330848</v>
      </c>
      <c r="S49" s="273">
        <v>100</v>
      </c>
      <c r="T49" s="180">
        <f t="shared" si="14"/>
        <v>100</v>
      </c>
      <c r="U49" s="180">
        <f t="shared" ref="U49:U50" si="21">SUM(R49*T49)</f>
        <v>84.84431510533085</v>
      </c>
      <c r="V49" s="275">
        <f t="shared" si="15"/>
        <v>0</v>
      </c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>
        <v>269688283</v>
      </c>
      <c r="AJ49" s="273">
        <f t="shared" si="16"/>
        <v>100</v>
      </c>
      <c r="AK49" s="180">
        <f t="shared" si="18"/>
        <v>0</v>
      </c>
      <c r="AL49" s="273">
        <f t="shared" si="17"/>
        <v>0</v>
      </c>
      <c r="AM49" s="181"/>
    </row>
    <row r="50" spans="1:39" s="235" customFormat="1" ht="28.5" customHeight="1" x14ac:dyDescent="0.25">
      <c r="A50" s="259">
        <v>11</v>
      </c>
      <c r="B50" s="445"/>
      <c r="C50" s="445"/>
      <c r="D50" s="445"/>
      <c r="E50" s="445"/>
      <c r="F50" s="445"/>
      <c r="G50" s="445"/>
      <c r="H50" s="445"/>
      <c r="I50" s="446"/>
      <c r="J50" s="445" t="s">
        <v>642</v>
      </c>
      <c r="K50" s="272"/>
      <c r="L50" s="654" t="s">
        <v>644</v>
      </c>
      <c r="M50" s="654"/>
      <c r="N50" s="655"/>
      <c r="O50" s="180"/>
      <c r="P50" s="180"/>
      <c r="Q50" s="180">
        <v>295313581</v>
      </c>
      <c r="R50" s="273">
        <f t="shared" si="20"/>
        <v>0.929060700840594</v>
      </c>
      <c r="S50" s="273">
        <v>100</v>
      </c>
      <c r="T50" s="180">
        <f t="shared" si="14"/>
        <v>0</v>
      </c>
      <c r="U50" s="180">
        <f t="shared" si="21"/>
        <v>0</v>
      </c>
      <c r="V50" s="276">
        <f t="shared" si="15"/>
        <v>100</v>
      </c>
      <c r="W50" s="180"/>
      <c r="X50" s="180"/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>
        <v>0</v>
      </c>
      <c r="AJ50" s="273">
        <f t="shared" si="16"/>
        <v>0</v>
      </c>
      <c r="AK50" s="180">
        <f t="shared" si="18"/>
        <v>295313581</v>
      </c>
      <c r="AL50" s="273">
        <f t="shared" si="17"/>
        <v>100</v>
      </c>
      <c r="AM50" s="181"/>
    </row>
    <row r="51" spans="1:39" s="235" customFormat="1" ht="28.5" customHeight="1" x14ac:dyDescent="0.25">
      <c r="A51" s="277" t="s">
        <v>8</v>
      </c>
      <c r="B51" s="448"/>
      <c r="C51" s="448"/>
      <c r="D51" s="448"/>
      <c r="E51" s="448"/>
      <c r="F51" s="448"/>
      <c r="G51" s="448"/>
      <c r="H51" s="448"/>
      <c r="I51" s="448"/>
      <c r="J51" s="448" t="s">
        <v>240</v>
      </c>
      <c r="K51" s="279"/>
      <c r="L51" s="630" t="s">
        <v>241</v>
      </c>
      <c r="M51" s="631"/>
      <c r="N51" s="631"/>
      <c r="O51" s="280"/>
      <c r="P51" s="280"/>
      <c r="Q51" s="280">
        <f>SUM(Q52:Q54)</f>
        <v>2764518480</v>
      </c>
      <c r="R51" s="222">
        <f>Q51/Q38*100</f>
        <v>23.817088721015313</v>
      </c>
      <c r="S51" s="281">
        <v>100</v>
      </c>
      <c r="T51" s="280">
        <f t="shared" si="14"/>
        <v>56.039198551496028</v>
      </c>
      <c r="U51" s="280">
        <f t="shared" ref="U51:U56" si="22">R51*T51/100</f>
        <v>13.346905637555738</v>
      </c>
      <c r="V51" s="282">
        <f t="shared" si="15"/>
        <v>43.960801448503972</v>
      </c>
      <c r="W51" s="280"/>
      <c r="X51" s="280"/>
      <c r="Y51" s="280"/>
      <c r="Z51" s="280"/>
      <c r="AA51" s="280"/>
      <c r="AB51" s="280"/>
      <c r="AC51" s="280"/>
      <c r="AD51" s="280"/>
      <c r="AE51" s="280"/>
      <c r="AF51" s="280"/>
      <c r="AG51" s="280"/>
      <c r="AH51" s="280"/>
      <c r="AI51" s="280">
        <f>SUM(AI52:AI54)</f>
        <v>1549214000</v>
      </c>
      <c r="AJ51" s="281">
        <f t="shared" si="16"/>
        <v>56.039198551496028</v>
      </c>
      <c r="AK51" s="280">
        <f t="shared" si="18"/>
        <v>1215304480</v>
      </c>
      <c r="AL51" s="281">
        <f t="shared" si="17"/>
        <v>43.960801448503972</v>
      </c>
      <c r="AM51" s="284"/>
    </row>
    <row r="52" spans="1:39" s="235" customFormat="1" ht="28.5" customHeight="1" x14ac:dyDescent="0.25">
      <c r="A52" s="259">
        <v>1</v>
      </c>
      <c r="B52" s="445"/>
      <c r="C52" s="445"/>
      <c r="D52" s="445"/>
      <c r="E52" s="445"/>
      <c r="F52" s="445"/>
      <c r="G52" s="445"/>
      <c r="H52" s="445"/>
      <c r="I52" s="446"/>
      <c r="J52" s="445" t="s">
        <v>242</v>
      </c>
      <c r="K52" s="272"/>
      <c r="L52" s="628" t="s">
        <v>243</v>
      </c>
      <c r="M52" s="628"/>
      <c r="N52" s="629"/>
      <c r="O52" s="180"/>
      <c r="P52" s="180"/>
      <c r="Q52" s="180">
        <v>2501913480</v>
      </c>
      <c r="R52" s="273">
        <f t="shared" si="20"/>
        <v>7.87105517904146</v>
      </c>
      <c r="S52" s="273">
        <v>100</v>
      </c>
      <c r="T52" s="180">
        <f t="shared" si="14"/>
        <v>56.561907968136452</v>
      </c>
      <c r="U52" s="285">
        <f t="shared" si="22"/>
        <v>4.4520189864906685</v>
      </c>
      <c r="V52" s="275">
        <f t="shared" si="15"/>
        <v>43.438092031863548</v>
      </c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>
        <f>698105000+237825000+479200000</f>
        <v>1415130000</v>
      </c>
      <c r="AJ52" s="273">
        <f t="shared" si="16"/>
        <v>56.561907968136452</v>
      </c>
      <c r="AK52" s="180">
        <f t="shared" si="18"/>
        <v>1086783480</v>
      </c>
      <c r="AL52" s="273">
        <f t="shared" si="17"/>
        <v>43.438092031863548</v>
      </c>
      <c r="AM52" s="181"/>
    </row>
    <row r="53" spans="1:39" s="235" customFormat="1" ht="28.5" customHeight="1" x14ac:dyDescent="0.25">
      <c r="A53" s="259">
        <v>2</v>
      </c>
      <c r="B53" s="445"/>
      <c r="C53" s="445"/>
      <c r="D53" s="445"/>
      <c r="E53" s="445"/>
      <c r="F53" s="445"/>
      <c r="G53" s="445"/>
      <c r="H53" s="445"/>
      <c r="I53" s="446"/>
      <c r="J53" s="445" t="s">
        <v>244</v>
      </c>
      <c r="K53" s="272"/>
      <c r="L53" s="628" t="s">
        <v>245</v>
      </c>
      <c r="M53" s="628"/>
      <c r="N53" s="629"/>
      <c r="O53" s="180"/>
      <c r="P53" s="180"/>
      <c r="Q53" s="180">
        <v>218325000</v>
      </c>
      <c r="R53" s="273">
        <f t="shared" si="20"/>
        <v>0.68685353658361781</v>
      </c>
      <c r="S53" s="273">
        <v>100</v>
      </c>
      <c r="T53" s="180">
        <f t="shared" si="14"/>
        <v>51.274018092293595</v>
      </c>
      <c r="U53" s="180">
        <f t="shared" si="22"/>
        <v>0.35217740661544261</v>
      </c>
      <c r="V53" s="275">
        <f t="shared" si="15"/>
        <v>48.725981907706405</v>
      </c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>
        <f>55640000+18704000+37600000</f>
        <v>111944000</v>
      </c>
      <c r="AJ53" s="273">
        <f t="shared" si="16"/>
        <v>51.274018092293595</v>
      </c>
      <c r="AK53" s="180">
        <f t="shared" si="18"/>
        <v>106381000</v>
      </c>
      <c r="AL53" s="273">
        <f t="shared" si="17"/>
        <v>48.725981907706398</v>
      </c>
      <c r="AM53" s="181"/>
    </row>
    <row r="54" spans="1:39" s="235" customFormat="1" ht="28.5" customHeight="1" x14ac:dyDescent="0.25">
      <c r="A54" s="259">
        <v>3</v>
      </c>
      <c r="B54" s="445"/>
      <c r="C54" s="445"/>
      <c r="D54" s="445"/>
      <c r="E54" s="445"/>
      <c r="F54" s="445"/>
      <c r="G54" s="445"/>
      <c r="H54" s="445"/>
      <c r="I54" s="446"/>
      <c r="J54" s="445" t="s">
        <v>645</v>
      </c>
      <c r="K54" s="272"/>
      <c r="L54" s="654" t="s">
        <v>646</v>
      </c>
      <c r="M54" s="654"/>
      <c r="N54" s="655"/>
      <c r="O54" s="180"/>
      <c r="P54" s="180"/>
      <c r="Q54" s="180">
        <v>44280000</v>
      </c>
      <c r="R54" s="273">
        <f t="shared" si="20"/>
        <v>0.1393055060113253</v>
      </c>
      <c r="S54" s="273">
        <v>100</v>
      </c>
      <c r="T54" s="180">
        <f t="shared" si="14"/>
        <v>50</v>
      </c>
      <c r="U54" s="286">
        <f t="shared" si="22"/>
        <v>6.9652753005662649E-2</v>
      </c>
      <c r="V54" s="276">
        <f t="shared" si="15"/>
        <v>50</v>
      </c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>
        <v>22140000</v>
      </c>
      <c r="AJ54" s="273">
        <f t="shared" si="16"/>
        <v>50</v>
      </c>
      <c r="AK54" s="180">
        <f t="shared" si="18"/>
        <v>22140000</v>
      </c>
      <c r="AL54" s="273">
        <f t="shared" si="17"/>
        <v>50</v>
      </c>
      <c r="AM54" s="181"/>
    </row>
    <row r="55" spans="1:39" s="235" customFormat="1" ht="28.5" customHeight="1" x14ac:dyDescent="0.25">
      <c r="A55" s="277" t="s">
        <v>29</v>
      </c>
      <c r="B55" s="449"/>
      <c r="C55" s="449"/>
      <c r="D55" s="449"/>
      <c r="E55" s="449"/>
      <c r="F55" s="449"/>
      <c r="G55" s="449"/>
      <c r="H55" s="449"/>
      <c r="I55" s="447"/>
      <c r="J55" s="449" t="s">
        <v>246</v>
      </c>
      <c r="K55" s="279"/>
      <c r="L55" s="632" t="s">
        <v>247</v>
      </c>
      <c r="M55" s="632"/>
      <c r="N55" s="630"/>
      <c r="O55" s="280"/>
      <c r="P55" s="280"/>
      <c r="Q55" s="280">
        <f>SUM(Q56)</f>
        <v>4600000000</v>
      </c>
      <c r="R55" s="222">
        <f>Q55/Q38*100</f>
        <v>39.630267950558405</v>
      </c>
      <c r="S55" s="281">
        <v>100</v>
      </c>
      <c r="T55" s="280">
        <f t="shared" si="14"/>
        <v>60.106495217391313</v>
      </c>
      <c r="U55" s="280">
        <f t="shared" si="22"/>
        <v>23.820365110341751</v>
      </c>
      <c r="V55" s="282">
        <f t="shared" si="15"/>
        <v>39.893504782608687</v>
      </c>
      <c r="W55" s="280"/>
      <c r="X55" s="280"/>
      <c r="Y55" s="280"/>
      <c r="Z55" s="280"/>
      <c r="AA55" s="280"/>
      <c r="AB55" s="280"/>
      <c r="AC55" s="280"/>
      <c r="AD55" s="280"/>
      <c r="AE55" s="280"/>
      <c r="AF55" s="280"/>
      <c r="AG55" s="280"/>
      <c r="AH55" s="280"/>
      <c r="AI55" s="263">
        <f>SUM(AI56)</f>
        <v>2764898780</v>
      </c>
      <c r="AJ55" s="281">
        <f t="shared" si="16"/>
        <v>60.106495217391313</v>
      </c>
      <c r="AK55" s="280">
        <f t="shared" si="18"/>
        <v>1835101220</v>
      </c>
      <c r="AL55" s="281">
        <f t="shared" si="17"/>
        <v>39.893504782608694</v>
      </c>
      <c r="AM55" s="284"/>
    </row>
    <row r="56" spans="1:39" s="235" customFormat="1" ht="28.5" customHeight="1" x14ac:dyDescent="0.25">
      <c r="A56" s="259">
        <v>1</v>
      </c>
      <c r="B56" s="445"/>
      <c r="C56" s="445"/>
      <c r="D56" s="445"/>
      <c r="E56" s="445"/>
      <c r="F56" s="445"/>
      <c r="G56" s="445"/>
      <c r="H56" s="445"/>
      <c r="I56" s="446"/>
      <c r="J56" s="445" t="s">
        <v>248</v>
      </c>
      <c r="K56" s="272"/>
      <c r="L56" s="628" t="s">
        <v>427</v>
      </c>
      <c r="M56" s="628"/>
      <c r="N56" s="629"/>
      <c r="O56" s="180"/>
      <c r="P56" s="180"/>
      <c r="Q56" s="180">
        <v>4600000000</v>
      </c>
      <c r="R56" s="273">
        <f t="shared" si="20"/>
        <v>14.471665032793505</v>
      </c>
      <c r="S56" s="273">
        <v>100</v>
      </c>
      <c r="T56" s="180">
        <f t="shared" si="14"/>
        <v>60.106495217391313</v>
      </c>
      <c r="U56" s="285">
        <f t="shared" si="22"/>
        <v>8.6984106508129191</v>
      </c>
      <c r="V56" s="274">
        <f t="shared" si="15"/>
        <v>39.893504782608687</v>
      </c>
      <c r="W56" s="180"/>
      <c r="X56" s="180"/>
      <c r="Y56" s="180"/>
      <c r="Z56" s="180"/>
      <c r="AA56" s="180"/>
      <c r="AB56" s="180"/>
      <c r="AC56" s="180"/>
      <c r="AD56" s="180"/>
      <c r="AE56" s="180"/>
      <c r="AF56" s="180"/>
      <c r="AG56" s="180"/>
      <c r="AH56" s="180"/>
      <c r="AI56" s="180">
        <v>2764898780</v>
      </c>
      <c r="AJ56" s="273">
        <f t="shared" si="16"/>
        <v>60.106495217391313</v>
      </c>
      <c r="AK56" s="180">
        <f t="shared" si="18"/>
        <v>1835101220</v>
      </c>
      <c r="AL56" s="273">
        <f t="shared" si="17"/>
        <v>39.893504782608694</v>
      </c>
      <c r="AM56" s="181"/>
    </row>
    <row r="57" spans="1:39" ht="13.5" customHeight="1" x14ac:dyDescent="0.25">
      <c r="A57" s="243"/>
      <c r="B57" s="257"/>
      <c r="C57" s="257"/>
      <c r="D57" s="257"/>
      <c r="E57" s="257"/>
      <c r="F57" s="257"/>
      <c r="G57" s="257"/>
      <c r="H57" s="257"/>
      <c r="I57" s="258"/>
      <c r="J57" s="257"/>
      <c r="K57" s="245"/>
      <c r="L57" s="257"/>
      <c r="M57" s="257"/>
      <c r="N57" s="258"/>
      <c r="O57" s="243"/>
      <c r="P57" s="243"/>
      <c r="Q57" s="243"/>
      <c r="R57" s="243"/>
      <c r="S57" s="243"/>
      <c r="T57" s="243"/>
      <c r="U57" s="243"/>
      <c r="V57" s="182"/>
      <c r="W57" s="243"/>
      <c r="X57" s="243"/>
      <c r="Y57" s="243"/>
      <c r="Z57" s="243"/>
      <c r="AA57" s="243"/>
      <c r="AB57" s="243"/>
      <c r="AC57" s="243"/>
      <c r="AD57" s="243"/>
      <c r="AE57" s="243"/>
      <c r="AF57" s="243"/>
      <c r="AG57" s="243"/>
      <c r="AH57" s="243"/>
      <c r="AI57" s="243"/>
      <c r="AJ57" s="243"/>
      <c r="AK57" s="273"/>
      <c r="AL57" s="243"/>
      <c r="AM57" s="243"/>
    </row>
    <row r="58" spans="1:39" s="226" customFormat="1" ht="24.75" customHeight="1" x14ac:dyDescent="0.25">
      <c r="A58" s="289"/>
      <c r="B58" s="607" t="s">
        <v>112</v>
      </c>
      <c r="C58" s="607"/>
      <c r="D58" s="607"/>
      <c r="E58" s="607"/>
      <c r="F58" s="607"/>
      <c r="G58" s="607"/>
      <c r="H58" s="607"/>
      <c r="I58" s="608"/>
      <c r="J58" s="440" t="s">
        <v>441</v>
      </c>
      <c r="K58" s="291"/>
      <c r="L58" s="607" t="s">
        <v>11</v>
      </c>
      <c r="M58" s="607"/>
      <c r="N58" s="608"/>
      <c r="O58" s="263" t="e">
        <f>SUM(O59,O124,O161,O168,O180,O248,O688)</f>
        <v>#REF!</v>
      </c>
      <c r="P58" s="263" t="e">
        <f>SUM(P59,P124,P161,P168,P180,P248,P688)</f>
        <v>#REF!</v>
      </c>
      <c r="Q58" s="263">
        <f>SUM(Q59,Q124,Q161,Q168,Q180,Q248+Q679)</f>
        <v>20178962906</v>
      </c>
      <c r="R58" s="222">
        <f>Q58/Q35*100</f>
        <v>63.483302583651614</v>
      </c>
      <c r="S58" s="222">
        <f>S59</f>
        <v>100</v>
      </c>
      <c r="T58" s="263">
        <f t="shared" ref="T58:T143" si="23">AJ58</f>
        <v>37.096764421793914</v>
      </c>
      <c r="U58" s="263">
        <f t="shared" ref="U58:U94" si="24">R58*T58/100</f>
        <v>23.550251206631845</v>
      </c>
      <c r="V58" s="292">
        <f t="shared" ref="V58:V131" si="25">S58-T58</f>
        <v>62.903235578206086</v>
      </c>
      <c r="W58" s="263">
        <f>SUM(W59:W92)</f>
        <v>0</v>
      </c>
      <c r="X58" s="263" t="e">
        <f t="shared" ref="X58:AH58" si="26">SUM(X59,X124,X161,X168,X180,X248,X688)</f>
        <v>#REF!</v>
      </c>
      <c r="Y58" s="263" t="e">
        <f t="shared" si="26"/>
        <v>#REF!</v>
      </c>
      <c r="Z58" s="263" t="e">
        <f t="shared" si="26"/>
        <v>#REF!</v>
      </c>
      <c r="AA58" s="263" t="e">
        <f t="shared" si="26"/>
        <v>#REF!</v>
      </c>
      <c r="AB58" s="263">
        <f t="shared" si="26"/>
        <v>10250009282</v>
      </c>
      <c r="AC58" s="263" t="e">
        <f t="shared" si="26"/>
        <v>#REF!</v>
      </c>
      <c r="AD58" s="263" t="e">
        <f t="shared" si="26"/>
        <v>#REF!</v>
      </c>
      <c r="AE58" s="263" t="e">
        <f t="shared" si="26"/>
        <v>#REF!</v>
      </c>
      <c r="AF58" s="263" t="e">
        <f t="shared" si="26"/>
        <v>#REF!</v>
      </c>
      <c r="AG58" s="263" t="e">
        <f t="shared" si="26"/>
        <v>#REF!</v>
      </c>
      <c r="AH58" s="263" t="e">
        <f t="shared" si="26"/>
        <v>#REF!</v>
      </c>
      <c r="AI58" s="263">
        <f>SUM(AI59,AI124,AI161,AI168,AI180,AI248,AI679)</f>
        <v>7485742332</v>
      </c>
      <c r="AJ58" s="222">
        <f t="shared" ref="AJ58:AJ143" si="27">AI58/Q58*100</f>
        <v>37.096764421793914</v>
      </c>
      <c r="AK58" s="263">
        <f>SUM(Q58-AI58)</f>
        <v>12693220574</v>
      </c>
      <c r="AL58" s="222">
        <f t="shared" ref="AL58:AL143" si="28">AK58/Q58*100</f>
        <v>62.903235578206086</v>
      </c>
      <c r="AM58" s="240"/>
    </row>
    <row r="59" spans="1:39" s="226" customFormat="1" ht="28.5" customHeight="1" x14ac:dyDescent="0.25">
      <c r="A59" s="236" t="s">
        <v>7</v>
      </c>
      <c r="B59" s="626" t="s">
        <v>113</v>
      </c>
      <c r="C59" s="626"/>
      <c r="D59" s="626"/>
      <c r="E59" s="626"/>
      <c r="F59" s="626"/>
      <c r="G59" s="626"/>
      <c r="H59" s="626"/>
      <c r="I59" s="627"/>
      <c r="J59" s="444" t="s">
        <v>439</v>
      </c>
      <c r="K59" s="238"/>
      <c r="L59" s="626" t="s">
        <v>12</v>
      </c>
      <c r="M59" s="626"/>
      <c r="N59" s="627"/>
      <c r="O59" s="239">
        <f>SUM(O60:O94)</f>
        <v>1502806500</v>
      </c>
      <c r="P59" s="239">
        <f>SUM(P60:P94)</f>
        <v>1794406500</v>
      </c>
      <c r="Q59" s="239">
        <f>SUM(Q60+Q62+Q66+Q68+Q72+Q75+Q81+Q83+Q86+Q89+Q92+Q94+Q96+Q110)</f>
        <v>2525913744</v>
      </c>
      <c r="R59" s="240">
        <f>Q59/Q$58*100</f>
        <v>12.517559776320052</v>
      </c>
      <c r="S59" s="240">
        <f>S60</f>
        <v>100</v>
      </c>
      <c r="T59" s="293">
        <f t="shared" si="23"/>
        <v>43.100214034862148</v>
      </c>
      <c r="U59" s="293">
        <f t="shared" si="24"/>
        <v>5.3950950555357542</v>
      </c>
      <c r="V59" s="241">
        <f t="shared" si="25"/>
        <v>56.899785965137852</v>
      </c>
      <c r="W59" s="239">
        <f t="shared" ref="W59:AH59" si="29">SUM(W60:W94)</f>
        <v>0</v>
      </c>
      <c r="X59" s="239" t="e">
        <f t="shared" si="29"/>
        <v>#REF!</v>
      </c>
      <c r="Y59" s="239" t="e">
        <f t="shared" si="29"/>
        <v>#REF!</v>
      </c>
      <c r="Z59" s="239" t="e">
        <f t="shared" si="29"/>
        <v>#REF!</v>
      </c>
      <c r="AA59" s="239" t="e">
        <f t="shared" si="29"/>
        <v>#REF!</v>
      </c>
      <c r="AB59" s="239">
        <f t="shared" si="29"/>
        <v>1228213226</v>
      </c>
      <c r="AC59" s="239" t="e">
        <f t="shared" si="29"/>
        <v>#REF!</v>
      </c>
      <c r="AD59" s="239" t="e">
        <f t="shared" si="29"/>
        <v>#REF!</v>
      </c>
      <c r="AE59" s="239" t="e">
        <f t="shared" si="29"/>
        <v>#REF!</v>
      </c>
      <c r="AF59" s="239" t="e">
        <f t="shared" si="29"/>
        <v>#REF!</v>
      </c>
      <c r="AG59" s="239" t="e">
        <f t="shared" si="29"/>
        <v>#REF!</v>
      </c>
      <c r="AH59" s="239">
        <f t="shared" si="29"/>
        <v>3676337600</v>
      </c>
      <c r="AI59" s="239">
        <f>SUM(AI60+AI62+AI66+AI68+AI72+AI75+AI81+AI83+AI86+AI89+AI92+AI94+AI96+AI110)</f>
        <v>1088674230</v>
      </c>
      <c r="AJ59" s="240">
        <f t="shared" si="27"/>
        <v>43.100214034862148</v>
      </c>
      <c r="AK59" s="239">
        <f>SUM(Q59-AI59)</f>
        <v>1437239514</v>
      </c>
      <c r="AL59" s="240">
        <f t="shared" si="28"/>
        <v>56.899785965137852</v>
      </c>
      <c r="AM59" s="236"/>
    </row>
    <row r="60" spans="1:39" s="297" customFormat="1" ht="24.75" customHeight="1" x14ac:dyDescent="0.25">
      <c r="A60" s="227">
        <v>1</v>
      </c>
      <c r="B60" s="615" t="s">
        <v>114</v>
      </c>
      <c r="C60" s="615"/>
      <c r="D60" s="615"/>
      <c r="E60" s="615"/>
      <c r="F60" s="615"/>
      <c r="G60" s="615"/>
      <c r="H60" s="615"/>
      <c r="I60" s="614"/>
      <c r="J60" s="442" t="s">
        <v>442</v>
      </c>
      <c r="K60" s="230"/>
      <c r="L60" s="294"/>
      <c r="M60" s="615" t="s">
        <v>13</v>
      </c>
      <c r="N60" s="614"/>
      <c r="O60" s="295">
        <v>26300000</v>
      </c>
      <c r="P60" s="231">
        <v>28400000</v>
      </c>
      <c r="Q60" s="231">
        <f>SUM(Q61)</f>
        <v>27000000</v>
      </c>
      <c r="R60" s="233">
        <f>Q60/Q$59*100</f>
        <v>1.0689201111532491</v>
      </c>
      <c r="S60" s="233">
        <v>100</v>
      </c>
      <c r="T60" s="231">
        <f t="shared" si="23"/>
        <v>29.07037037037037</v>
      </c>
      <c r="U60" s="231">
        <f t="shared" si="24"/>
        <v>0.31073903527562413</v>
      </c>
      <c r="V60" s="296">
        <f t="shared" si="25"/>
        <v>70.92962962962963</v>
      </c>
      <c r="W60" s="231"/>
      <c r="X60" s="231" t="e">
        <f>#REF!</f>
        <v>#REF!</v>
      </c>
      <c r="Y60" s="231" t="e">
        <f>#REF!</f>
        <v>#REF!</v>
      </c>
      <c r="Z60" s="231" t="e">
        <f>#REF!</f>
        <v>#REF!</v>
      </c>
      <c r="AA60" s="231" t="e">
        <f>#REF!</f>
        <v>#REF!</v>
      </c>
      <c r="AB60" s="231">
        <v>5828000</v>
      </c>
      <c r="AC60" s="231" t="e">
        <f>#REF!</f>
        <v>#REF!</v>
      </c>
      <c r="AD60" s="231" t="e">
        <f>#REF!</f>
        <v>#REF!</v>
      </c>
      <c r="AE60" s="231" t="e">
        <f>#REF!</f>
        <v>#REF!</v>
      </c>
      <c r="AF60" s="231" t="e">
        <f>[1]April!N21</f>
        <v>#REF!</v>
      </c>
      <c r="AG60" s="231" t="e">
        <f>[2]april!N21</f>
        <v>#REF!</v>
      </c>
      <c r="AH60" s="231">
        <f>'[3]DES SKPD'!$N21</f>
        <v>14378000</v>
      </c>
      <c r="AI60" s="231">
        <f>SUM(AI61)</f>
        <v>7849000</v>
      </c>
      <c r="AJ60" s="233">
        <f>AI60/Q60*100</f>
        <v>29.07037037037037</v>
      </c>
      <c r="AK60" s="231">
        <f>Q60-AI60</f>
        <v>19151000</v>
      </c>
      <c r="AL60" s="233">
        <f>AK60/Q60*100</f>
        <v>70.92962962962963</v>
      </c>
      <c r="AM60" s="227"/>
    </row>
    <row r="61" spans="1:39" ht="29.25" customHeight="1" x14ac:dyDescent="0.25">
      <c r="A61" s="243"/>
      <c r="B61" s="437"/>
      <c r="C61" s="437"/>
      <c r="D61" s="437"/>
      <c r="E61" s="437"/>
      <c r="F61" s="437"/>
      <c r="G61" s="437"/>
      <c r="H61" s="437"/>
      <c r="I61" s="438"/>
      <c r="J61" s="437" t="s">
        <v>249</v>
      </c>
      <c r="K61" s="245"/>
      <c r="L61" s="257"/>
      <c r="M61" s="597" t="s">
        <v>250</v>
      </c>
      <c r="N61" s="598"/>
      <c r="O61" s="299"/>
      <c r="P61" s="180"/>
      <c r="Q61" s="180">
        <v>27000000</v>
      </c>
      <c r="R61" s="181">
        <f>Q61/Q$60*100</f>
        <v>100</v>
      </c>
      <c r="S61" s="181">
        <v>100</v>
      </c>
      <c r="T61" s="180">
        <f t="shared" si="23"/>
        <v>29.07037037037037</v>
      </c>
      <c r="U61" s="180">
        <f t="shared" si="24"/>
        <v>29.07037037037037</v>
      </c>
      <c r="V61" s="182">
        <f t="shared" si="25"/>
        <v>70.92962962962963</v>
      </c>
      <c r="W61" s="180"/>
      <c r="X61" s="180" t="e">
        <f>#REF!</f>
        <v>#REF!</v>
      </c>
      <c r="Y61" s="180" t="e">
        <f>#REF!</f>
        <v>#REF!</v>
      </c>
      <c r="Z61" s="180" t="e">
        <f>#REF!</f>
        <v>#REF!</v>
      </c>
      <c r="AA61" s="180" t="e">
        <f>#REF!</f>
        <v>#REF!</v>
      </c>
      <c r="AB61" s="180">
        <v>5828001</v>
      </c>
      <c r="AC61" s="180" t="e">
        <f>#REF!</f>
        <v>#REF!</v>
      </c>
      <c r="AD61" s="180" t="e">
        <f>#REF!</f>
        <v>#REF!</v>
      </c>
      <c r="AE61" s="180" t="e">
        <f>#REF!</f>
        <v>#REF!</v>
      </c>
      <c r="AF61" s="180" t="e">
        <f>[1]April!N22</f>
        <v>#REF!</v>
      </c>
      <c r="AG61" s="180" t="e">
        <f>[2]april!N22</f>
        <v>#REF!</v>
      </c>
      <c r="AH61" s="180">
        <f>'[3]DES SKPD'!$N22</f>
        <v>238296148</v>
      </c>
      <c r="AI61" s="180">
        <v>7849000</v>
      </c>
      <c r="AJ61" s="181">
        <f>AI61/Q61*100</f>
        <v>29.07037037037037</v>
      </c>
      <c r="AK61" s="180">
        <f>Q61-AI61</f>
        <v>19151000</v>
      </c>
      <c r="AL61" s="181">
        <f>AK61/Q61*100</f>
        <v>70.92962962962963</v>
      </c>
      <c r="AM61" s="243"/>
    </row>
    <row r="62" spans="1:39" s="297" customFormat="1" ht="29.25" customHeight="1" x14ac:dyDescent="0.25">
      <c r="A62" s="227">
        <f>A60+1</f>
        <v>2</v>
      </c>
      <c r="B62" s="615" t="s">
        <v>115</v>
      </c>
      <c r="C62" s="615"/>
      <c r="D62" s="615"/>
      <c r="E62" s="615"/>
      <c r="F62" s="615"/>
      <c r="G62" s="615"/>
      <c r="H62" s="615"/>
      <c r="I62" s="614"/>
      <c r="J62" s="442" t="s">
        <v>443</v>
      </c>
      <c r="K62" s="230"/>
      <c r="L62" s="294"/>
      <c r="M62" s="615" t="s">
        <v>14</v>
      </c>
      <c r="N62" s="614"/>
      <c r="O62" s="295">
        <v>31000000</v>
      </c>
      <c r="P62" s="231">
        <f>[9]Sheet1!$U$35</f>
        <v>320500000</v>
      </c>
      <c r="Q62" s="231">
        <f>SUM(Q63:Q65)</f>
        <v>380000000</v>
      </c>
      <c r="R62" s="233">
        <f>Q62/Q$59*100</f>
        <v>15.044060823638322</v>
      </c>
      <c r="S62" s="233">
        <v>100</v>
      </c>
      <c r="T62" s="231">
        <f t="shared" si="23"/>
        <v>44.350186842105266</v>
      </c>
      <c r="U62" s="231">
        <f t="shared" si="24"/>
        <v>6.6720690839235566</v>
      </c>
      <c r="V62" s="296">
        <f t="shared" si="25"/>
        <v>55.649813157894734</v>
      </c>
      <c r="W62" s="231"/>
      <c r="X62" s="231" t="e">
        <f>#REF!</f>
        <v>#REF!</v>
      </c>
      <c r="Y62" s="231" t="e">
        <f>#REF!</f>
        <v>#REF!</v>
      </c>
      <c r="Z62" s="231" t="e">
        <f>#REF!</f>
        <v>#REF!</v>
      </c>
      <c r="AA62" s="231" t="e">
        <f>#REF!</f>
        <v>#REF!</v>
      </c>
      <c r="AB62" s="231">
        <v>61516789</v>
      </c>
      <c r="AC62" s="231" t="e">
        <f>#REF!</f>
        <v>#REF!</v>
      </c>
      <c r="AD62" s="231" t="e">
        <f>#REF!</f>
        <v>#REF!</v>
      </c>
      <c r="AE62" s="231" t="e">
        <f>#REF!</f>
        <v>#REF!</v>
      </c>
      <c r="AF62" s="231" t="e">
        <f>[1]April!N22</f>
        <v>#REF!</v>
      </c>
      <c r="AG62" s="231" t="e">
        <f>[2]april!N22</f>
        <v>#REF!</v>
      </c>
      <c r="AH62" s="231">
        <f>'[3]DES SKPD'!$N22</f>
        <v>238296148</v>
      </c>
      <c r="AI62" s="231">
        <f>SUM(AI63:AI65)</f>
        <v>168530710</v>
      </c>
      <c r="AJ62" s="233">
        <f t="shared" si="27"/>
        <v>44.350186842105266</v>
      </c>
      <c r="AK62" s="231">
        <f t="shared" ref="AK62:AK123" si="30">Q62-AI62</f>
        <v>211469290</v>
      </c>
      <c r="AL62" s="233">
        <f t="shared" si="28"/>
        <v>55.649813157894734</v>
      </c>
      <c r="AM62" s="227"/>
    </row>
    <row r="63" spans="1:39" ht="23.25" customHeight="1" x14ac:dyDescent="0.25">
      <c r="A63" s="243"/>
      <c r="B63" s="437"/>
      <c r="C63" s="437"/>
      <c r="D63" s="437"/>
      <c r="E63" s="437"/>
      <c r="F63" s="437"/>
      <c r="G63" s="437"/>
      <c r="H63" s="437"/>
      <c r="I63" s="438"/>
      <c r="J63" s="437" t="s">
        <v>251</v>
      </c>
      <c r="K63" s="245"/>
      <c r="L63" s="257"/>
      <c r="M63" s="597" t="s">
        <v>252</v>
      </c>
      <c r="N63" s="598"/>
      <c r="O63" s="299"/>
      <c r="P63" s="180"/>
      <c r="Q63" s="180">
        <v>2808000</v>
      </c>
      <c r="R63" s="181">
        <f>Q63/Q$62*100</f>
        <v>0.73894736842105269</v>
      </c>
      <c r="S63" s="181">
        <v>101</v>
      </c>
      <c r="T63" s="180">
        <f t="shared" si="23"/>
        <v>13.910434472934474</v>
      </c>
      <c r="U63" s="180">
        <f t="shared" si="24"/>
        <v>0.10279078947368422</v>
      </c>
      <c r="V63" s="182">
        <f t="shared" si="25"/>
        <v>87.089565527065531</v>
      </c>
      <c r="W63" s="180"/>
      <c r="X63" s="180" t="e">
        <f>#REF!</f>
        <v>#REF!</v>
      </c>
      <c r="Y63" s="180" t="e">
        <f>#REF!</f>
        <v>#REF!</v>
      </c>
      <c r="Z63" s="180" t="e">
        <f>#REF!</f>
        <v>#REF!</v>
      </c>
      <c r="AA63" s="180" t="e">
        <f>#REF!</f>
        <v>#REF!</v>
      </c>
      <c r="AB63" s="180">
        <v>61516790</v>
      </c>
      <c r="AC63" s="180" t="e">
        <f>#REF!</f>
        <v>#REF!</v>
      </c>
      <c r="AD63" s="180" t="e">
        <f>#REF!</f>
        <v>#REF!</v>
      </c>
      <c r="AE63" s="180" t="e">
        <f>#REF!</f>
        <v>#REF!</v>
      </c>
      <c r="AF63" s="180" t="e">
        <f>[1]April!N23</f>
        <v>#REF!</v>
      </c>
      <c r="AG63" s="180" t="e">
        <f>[2]april!N23</f>
        <v>#REF!</v>
      </c>
      <c r="AH63" s="180">
        <f>'[3]DES SKPD'!$N23</f>
        <v>24482700</v>
      </c>
      <c r="AI63" s="180">
        <f>292951+97654</f>
        <v>390605</v>
      </c>
      <c r="AJ63" s="181">
        <f t="shared" si="27"/>
        <v>13.910434472934474</v>
      </c>
      <c r="AK63" s="180">
        <f t="shared" si="30"/>
        <v>2417395</v>
      </c>
      <c r="AL63" s="181">
        <f t="shared" si="28"/>
        <v>86.089565527065531</v>
      </c>
      <c r="AM63" s="243"/>
    </row>
    <row r="64" spans="1:39" ht="23.25" customHeight="1" x14ac:dyDescent="0.25">
      <c r="A64" s="243"/>
      <c r="B64" s="437"/>
      <c r="C64" s="437"/>
      <c r="D64" s="437"/>
      <c r="E64" s="437"/>
      <c r="F64" s="437"/>
      <c r="G64" s="437"/>
      <c r="H64" s="437"/>
      <c r="I64" s="438"/>
      <c r="J64" s="437" t="s">
        <v>409</v>
      </c>
      <c r="K64" s="245"/>
      <c r="L64" s="257"/>
      <c r="M64" s="597" t="s">
        <v>410</v>
      </c>
      <c r="N64" s="598"/>
      <c r="O64" s="299"/>
      <c r="P64" s="180"/>
      <c r="Q64" s="180">
        <v>24000000</v>
      </c>
      <c r="R64" s="181">
        <f>Q64/Q$62*100</f>
        <v>6.3157894736842106</v>
      </c>
      <c r="S64" s="181">
        <v>102</v>
      </c>
      <c r="T64" s="180">
        <f t="shared" si="23"/>
        <v>0</v>
      </c>
      <c r="U64" s="180">
        <f t="shared" si="24"/>
        <v>0</v>
      </c>
      <c r="V64" s="182">
        <f t="shared" si="25"/>
        <v>102</v>
      </c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>
        <v>0</v>
      </c>
      <c r="AJ64" s="181">
        <f>AI64/Q64*100</f>
        <v>0</v>
      </c>
      <c r="AK64" s="180">
        <f>Q64-AI64</f>
        <v>24000000</v>
      </c>
      <c r="AL64" s="181">
        <f>AK64/Q64*100</f>
        <v>100</v>
      </c>
      <c r="AM64" s="243"/>
    </row>
    <row r="65" spans="1:39" ht="48.75" customHeight="1" x14ac:dyDescent="0.25">
      <c r="A65" s="243"/>
      <c r="B65" s="437"/>
      <c r="C65" s="437"/>
      <c r="D65" s="437"/>
      <c r="E65" s="437"/>
      <c r="F65" s="437"/>
      <c r="G65" s="437"/>
      <c r="H65" s="437"/>
      <c r="I65" s="438"/>
      <c r="J65" s="437" t="s">
        <v>253</v>
      </c>
      <c r="K65" s="245"/>
      <c r="L65" s="257"/>
      <c r="M65" s="597" t="s">
        <v>254</v>
      </c>
      <c r="N65" s="598"/>
      <c r="O65" s="299"/>
      <c r="P65" s="180"/>
      <c r="Q65" s="180">
        <v>353192000</v>
      </c>
      <c r="R65" s="181">
        <f>Q65/Q$62*100</f>
        <v>92.945263157894743</v>
      </c>
      <c r="S65" s="181">
        <v>102</v>
      </c>
      <c r="T65" s="180">
        <f t="shared" si="23"/>
        <v>47.605864515617569</v>
      </c>
      <c r="U65" s="180">
        <f t="shared" si="24"/>
        <v>44.247396052631586</v>
      </c>
      <c r="V65" s="182">
        <f t="shared" si="25"/>
        <v>54.394135484382431</v>
      </c>
      <c r="W65" s="180"/>
      <c r="X65" s="180" t="e">
        <f>#REF!</f>
        <v>#REF!</v>
      </c>
      <c r="Y65" s="180" t="e">
        <f>#REF!</f>
        <v>#REF!</v>
      </c>
      <c r="Z65" s="180" t="e">
        <f>#REF!</f>
        <v>#REF!</v>
      </c>
      <c r="AA65" s="180" t="e">
        <f>#REF!</f>
        <v>#REF!</v>
      </c>
      <c r="AB65" s="180">
        <v>61516791</v>
      </c>
      <c r="AC65" s="180" t="e">
        <f>#REF!</f>
        <v>#REF!</v>
      </c>
      <c r="AD65" s="180" t="e">
        <f>#REF!</f>
        <v>#REF!</v>
      </c>
      <c r="AE65" s="180" t="e">
        <f>#REF!</f>
        <v>#REF!</v>
      </c>
      <c r="AF65" s="180" t="e">
        <f>[1]April!N24</f>
        <v>#REF!</v>
      </c>
      <c r="AG65" s="180" t="e">
        <f>[2]april!N24</f>
        <v>#REF!</v>
      </c>
      <c r="AH65" s="180">
        <f>'[3]DES SKPD'!$N24</f>
        <v>201339002</v>
      </c>
      <c r="AI65" s="429">
        <f>134368000+33599500+172605</f>
        <v>168140105</v>
      </c>
      <c r="AJ65" s="181">
        <f t="shared" si="27"/>
        <v>47.605864515617569</v>
      </c>
      <c r="AK65" s="180">
        <f t="shared" si="30"/>
        <v>185051895</v>
      </c>
      <c r="AL65" s="181">
        <f t="shared" si="28"/>
        <v>52.394135484382431</v>
      </c>
      <c r="AM65" s="243"/>
    </row>
    <row r="66" spans="1:39" s="297" customFormat="1" ht="45.75" customHeight="1" x14ac:dyDescent="0.25">
      <c r="A66" s="227">
        <f>A62+1</f>
        <v>3</v>
      </c>
      <c r="B66" s="615" t="s">
        <v>116</v>
      </c>
      <c r="C66" s="615"/>
      <c r="D66" s="615"/>
      <c r="E66" s="615"/>
      <c r="F66" s="615"/>
      <c r="G66" s="615"/>
      <c r="H66" s="615"/>
      <c r="I66" s="614"/>
      <c r="J66" s="442" t="s">
        <v>444</v>
      </c>
      <c r="K66" s="230"/>
      <c r="L66" s="294"/>
      <c r="M66" s="615" t="s">
        <v>117</v>
      </c>
      <c r="N66" s="614"/>
      <c r="O66" s="295">
        <v>32800000</v>
      </c>
      <c r="P66" s="231">
        <f>O66</f>
        <v>32800000</v>
      </c>
      <c r="Q66" s="231">
        <f>SUM(Q67)</f>
        <v>66540000</v>
      </c>
      <c r="R66" s="233">
        <f>Q66/Q$59*100</f>
        <v>2.6342942294865632</v>
      </c>
      <c r="S66" s="233">
        <v>100</v>
      </c>
      <c r="T66" s="231">
        <f t="shared" si="23"/>
        <v>43.05425308085362</v>
      </c>
      <c r="U66" s="231">
        <f t="shared" si="24"/>
        <v>1.1341757044574678</v>
      </c>
      <c r="V66" s="296">
        <f t="shared" si="25"/>
        <v>56.94574691914638</v>
      </c>
      <c r="W66" s="231"/>
      <c r="X66" s="231" t="e">
        <f>#REF!</f>
        <v>#REF!</v>
      </c>
      <c r="Y66" s="231" t="e">
        <f>#REF!</f>
        <v>#REF!</v>
      </c>
      <c r="Z66" s="231" t="e">
        <f>#REF!</f>
        <v>#REF!</v>
      </c>
      <c r="AA66" s="231" t="e">
        <f>#REF!</f>
        <v>#REF!</v>
      </c>
      <c r="AB66" s="231">
        <v>9127800</v>
      </c>
      <c r="AC66" s="231" t="e">
        <f>#REF!</f>
        <v>#REF!</v>
      </c>
      <c r="AD66" s="231" t="e">
        <f>#REF!</f>
        <v>#REF!</v>
      </c>
      <c r="AE66" s="231" t="e">
        <f>#REF!</f>
        <v>#REF!</v>
      </c>
      <c r="AF66" s="231" t="e">
        <f>[1]April!N23</f>
        <v>#REF!</v>
      </c>
      <c r="AG66" s="231" t="e">
        <f>[2]april!N23</f>
        <v>#REF!</v>
      </c>
      <c r="AH66" s="231">
        <f>'[3]DES SKPD'!$N23</f>
        <v>24482700</v>
      </c>
      <c r="AI66" s="231">
        <f>SUM(AI67)</f>
        <v>28648300</v>
      </c>
      <c r="AJ66" s="233">
        <f t="shared" si="27"/>
        <v>43.05425308085362</v>
      </c>
      <c r="AK66" s="231">
        <f t="shared" si="30"/>
        <v>37891700</v>
      </c>
      <c r="AL66" s="233">
        <f t="shared" si="28"/>
        <v>56.94574691914638</v>
      </c>
      <c r="AM66" s="227"/>
    </row>
    <row r="67" spans="1:39" s="297" customFormat="1" ht="28.5" customHeight="1" x14ac:dyDescent="0.25">
      <c r="A67" s="227"/>
      <c r="B67" s="442"/>
      <c r="C67" s="442"/>
      <c r="D67" s="442"/>
      <c r="E67" s="442"/>
      <c r="F67" s="442"/>
      <c r="G67" s="442"/>
      <c r="H67" s="442"/>
      <c r="I67" s="441"/>
      <c r="J67" s="437" t="s">
        <v>255</v>
      </c>
      <c r="K67" s="245"/>
      <c r="L67" s="257"/>
      <c r="M67" s="597" t="s">
        <v>256</v>
      </c>
      <c r="N67" s="598"/>
      <c r="O67" s="299"/>
      <c r="P67" s="180"/>
      <c r="Q67" s="180">
        <v>66540000</v>
      </c>
      <c r="R67" s="181">
        <f>Q67/Q$66*100</f>
        <v>100</v>
      </c>
      <c r="S67" s="181">
        <v>100</v>
      </c>
      <c r="T67" s="180">
        <f t="shared" si="23"/>
        <v>43.05425308085362</v>
      </c>
      <c r="U67" s="180">
        <f t="shared" si="24"/>
        <v>43.05425308085362</v>
      </c>
      <c r="V67" s="182">
        <f t="shared" si="25"/>
        <v>56.94574691914638</v>
      </c>
      <c r="W67" s="180"/>
      <c r="X67" s="180" t="e">
        <f>#REF!</f>
        <v>#REF!</v>
      </c>
      <c r="Y67" s="180" t="e">
        <f>#REF!</f>
        <v>#REF!</v>
      </c>
      <c r="Z67" s="180" t="e">
        <f>#REF!</f>
        <v>#REF!</v>
      </c>
      <c r="AA67" s="180" t="e">
        <f>#REF!</f>
        <v>#REF!</v>
      </c>
      <c r="AB67" s="180">
        <v>9127801</v>
      </c>
      <c r="AC67" s="180" t="e">
        <f>#REF!</f>
        <v>#REF!</v>
      </c>
      <c r="AD67" s="180" t="e">
        <f>#REF!</f>
        <v>#REF!</v>
      </c>
      <c r="AE67" s="180" t="e">
        <f>#REF!</f>
        <v>#REF!</v>
      </c>
      <c r="AF67" s="180" t="e">
        <f>[1]April!N24</f>
        <v>#REF!</v>
      </c>
      <c r="AG67" s="180" t="e">
        <f>[2]april!N24</f>
        <v>#REF!</v>
      </c>
      <c r="AH67" s="180">
        <f>'[3]DES SKPD'!$N24</f>
        <v>201339002</v>
      </c>
      <c r="AI67" s="180">
        <f>19325100+9323200</f>
        <v>28648300</v>
      </c>
      <c r="AJ67" s="181">
        <f t="shared" si="27"/>
        <v>43.05425308085362</v>
      </c>
      <c r="AK67" s="180">
        <f t="shared" si="30"/>
        <v>37891700</v>
      </c>
      <c r="AL67" s="181">
        <f t="shared" si="28"/>
        <v>56.94574691914638</v>
      </c>
      <c r="AM67" s="227"/>
    </row>
    <row r="68" spans="1:39" s="297" customFormat="1" ht="24.75" customHeight="1" x14ac:dyDescent="0.25">
      <c r="A68" s="227">
        <f>A66+1</f>
        <v>4</v>
      </c>
      <c r="B68" s="615" t="s">
        <v>118</v>
      </c>
      <c r="C68" s="615"/>
      <c r="D68" s="615"/>
      <c r="E68" s="615"/>
      <c r="F68" s="615"/>
      <c r="G68" s="615"/>
      <c r="H68" s="615"/>
      <c r="I68" s="614"/>
      <c r="J68" s="442" t="s">
        <v>445</v>
      </c>
      <c r="K68" s="230"/>
      <c r="L68" s="294"/>
      <c r="M68" s="615" t="s">
        <v>15</v>
      </c>
      <c r="N68" s="614"/>
      <c r="O68" s="295">
        <v>218550000</v>
      </c>
      <c r="P68" s="231">
        <f>O68</f>
        <v>218550000</v>
      </c>
      <c r="Q68" s="231">
        <f>SUM(Q69:Q71)</f>
        <v>336900000</v>
      </c>
      <c r="R68" s="233">
        <f>Q68/Q$59*100</f>
        <v>13.337747609167765</v>
      </c>
      <c r="S68" s="233">
        <v>100</v>
      </c>
      <c r="T68" s="231">
        <f t="shared" si="23"/>
        <v>35.246957554170379</v>
      </c>
      <c r="U68" s="231">
        <f t="shared" si="24"/>
        <v>4.7011502384857371</v>
      </c>
      <c r="V68" s="296">
        <f t="shared" si="25"/>
        <v>64.753042445829621</v>
      </c>
      <c r="W68" s="231"/>
      <c r="X68" s="231" t="e">
        <f>#REF!</f>
        <v>#REF!</v>
      </c>
      <c r="Y68" s="231" t="e">
        <f>#REF!</f>
        <v>#REF!</v>
      </c>
      <c r="Z68" s="231" t="e">
        <f>#REF!</f>
        <v>#REF!</v>
      </c>
      <c r="AA68" s="231" t="e">
        <f>#REF!</f>
        <v>#REF!</v>
      </c>
      <c r="AB68" s="231">
        <v>103406334</v>
      </c>
      <c r="AC68" s="231" t="e">
        <f>#REF!</f>
        <v>#REF!</v>
      </c>
      <c r="AD68" s="231" t="e">
        <f>#REF!</f>
        <v>#REF!</v>
      </c>
      <c r="AE68" s="231" t="e">
        <f>#REF!</f>
        <v>#REF!</v>
      </c>
      <c r="AF68" s="231" t="e">
        <f>[1]April!N24</f>
        <v>#REF!</v>
      </c>
      <c r="AG68" s="231" t="e">
        <f>[2]april!N24</f>
        <v>#REF!</v>
      </c>
      <c r="AH68" s="231">
        <f>'[3]DES SKPD'!$N24</f>
        <v>201339002</v>
      </c>
      <c r="AI68" s="231">
        <f>SUM(AI69:AI71)</f>
        <v>118747000</v>
      </c>
      <c r="AJ68" s="233">
        <f t="shared" si="27"/>
        <v>35.246957554170379</v>
      </c>
      <c r="AK68" s="231">
        <f t="shared" si="30"/>
        <v>218153000</v>
      </c>
      <c r="AL68" s="233">
        <f t="shared" si="28"/>
        <v>64.753042445829621</v>
      </c>
      <c r="AM68" s="227"/>
    </row>
    <row r="69" spans="1:39" ht="24.75" customHeight="1" x14ac:dyDescent="0.25">
      <c r="A69" s="243"/>
      <c r="B69" s="437"/>
      <c r="C69" s="437"/>
      <c r="D69" s="437"/>
      <c r="E69" s="437"/>
      <c r="F69" s="437"/>
      <c r="G69" s="437"/>
      <c r="H69" s="437"/>
      <c r="I69" s="438"/>
      <c r="J69" s="437" t="s">
        <v>259</v>
      </c>
      <c r="K69" s="245"/>
      <c r="L69" s="257"/>
      <c r="M69" s="597" t="s">
        <v>260</v>
      </c>
      <c r="N69" s="598"/>
      <c r="O69" s="299"/>
      <c r="P69" s="180"/>
      <c r="Q69" s="180">
        <v>1500000</v>
      </c>
      <c r="R69" s="181">
        <f>Q69/Q$68*100</f>
        <v>0.44523597506678536</v>
      </c>
      <c r="S69" s="181">
        <v>100</v>
      </c>
      <c r="T69" s="180">
        <f t="shared" si="23"/>
        <v>0</v>
      </c>
      <c r="U69" s="180">
        <f t="shared" si="24"/>
        <v>0</v>
      </c>
      <c r="V69" s="182">
        <f t="shared" si="25"/>
        <v>100</v>
      </c>
      <c r="W69" s="180"/>
      <c r="X69" s="180" t="e">
        <f>#REF!</f>
        <v>#REF!</v>
      </c>
      <c r="Y69" s="180" t="e">
        <f>#REF!</f>
        <v>#REF!</v>
      </c>
      <c r="Z69" s="180" t="e">
        <f>#REF!</f>
        <v>#REF!</v>
      </c>
      <c r="AA69" s="180" t="e">
        <f>#REF!</f>
        <v>#REF!</v>
      </c>
      <c r="AB69" s="180">
        <v>103406335</v>
      </c>
      <c r="AC69" s="180" t="e">
        <f>#REF!</f>
        <v>#REF!</v>
      </c>
      <c r="AD69" s="180" t="e">
        <f>#REF!</f>
        <v>#REF!</v>
      </c>
      <c r="AE69" s="180" t="e">
        <f>#REF!</f>
        <v>#REF!</v>
      </c>
      <c r="AF69" s="180" t="e">
        <f>[1]April!N26</f>
        <v>#REF!</v>
      </c>
      <c r="AG69" s="180" t="e">
        <f>[2]april!N26</f>
        <v>#REF!</v>
      </c>
      <c r="AH69" s="180">
        <f>'[3]DES SKPD'!$N26</f>
        <v>449102800</v>
      </c>
      <c r="AI69" s="180">
        <v>0</v>
      </c>
      <c r="AJ69" s="181">
        <f t="shared" si="27"/>
        <v>0</v>
      </c>
      <c r="AK69" s="180">
        <f t="shared" si="30"/>
        <v>1500000</v>
      </c>
      <c r="AL69" s="181">
        <f t="shared" si="28"/>
        <v>100</v>
      </c>
      <c r="AM69" s="243"/>
    </row>
    <row r="70" spans="1:39" ht="26.25" customHeight="1" x14ac:dyDescent="0.25">
      <c r="A70" s="243"/>
      <c r="B70" s="437"/>
      <c r="C70" s="437"/>
      <c r="D70" s="437"/>
      <c r="E70" s="437"/>
      <c r="F70" s="437"/>
      <c r="G70" s="437"/>
      <c r="H70" s="437"/>
      <c r="I70" s="438"/>
      <c r="J70" s="437" t="s">
        <v>261</v>
      </c>
      <c r="K70" s="245"/>
      <c r="L70" s="257"/>
      <c r="M70" s="597" t="s">
        <v>262</v>
      </c>
      <c r="N70" s="598"/>
      <c r="O70" s="299"/>
      <c r="P70" s="180"/>
      <c r="Q70" s="180">
        <v>120000000</v>
      </c>
      <c r="R70" s="181">
        <f>Q70/Q$68*100</f>
        <v>35.618878005342829</v>
      </c>
      <c r="S70" s="181">
        <v>100</v>
      </c>
      <c r="T70" s="180">
        <f t="shared" si="23"/>
        <v>45.622500000000002</v>
      </c>
      <c r="U70" s="180">
        <f t="shared" si="24"/>
        <v>16.250222617987532</v>
      </c>
      <c r="V70" s="182">
        <f t="shared" si="25"/>
        <v>54.377499999999998</v>
      </c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G70" s="180"/>
      <c r="AH70" s="180"/>
      <c r="AI70" s="180">
        <f>27423000+27324000</f>
        <v>54747000</v>
      </c>
      <c r="AJ70" s="181">
        <f t="shared" si="27"/>
        <v>45.622500000000002</v>
      </c>
      <c r="AK70" s="180">
        <f t="shared" si="30"/>
        <v>65253000</v>
      </c>
      <c r="AL70" s="181">
        <f t="shared" si="28"/>
        <v>54.377499999999998</v>
      </c>
      <c r="AM70" s="243"/>
    </row>
    <row r="71" spans="1:39" ht="24.75" customHeight="1" x14ac:dyDescent="0.25">
      <c r="A71" s="243"/>
      <c r="B71" s="437"/>
      <c r="C71" s="437"/>
      <c r="D71" s="437"/>
      <c r="E71" s="437"/>
      <c r="F71" s="437"/>
      <c r="G71" s="437"/>
      <c r="H71" s="437"/>
      <c r="I71" s="438"/>
      <c r="J71" s="437" t="s">
        <v>263</v>
      </c>
      <c r="K71" s="245"/>
      <c r="L71" s="257"/>
      <c r="M71" s="597" t="s">
        <v>264</v>
      </c>
      <c r="N71" s="598"/>
      <c r="O71" s="299"/>
      <c r="P71" s="180"/>
      <c r="Q71" s="180">
        <v>215400000</v>
      </c>
      <c r="R71" s="181">
        <f>Q71/Q$68*100</f>
        <v>63.935886019590384</v>
      </c>
      <c r="S71" s="181">
        <v>100</v>
      </c>
      <c r="T71" s="180">
        <f t="shared" si="23"/>
        <v>29.71216341689879</v>
      </c>
      <c r="U71" s="180">
        <f t="shared" si="24"/>
        <v>18.996734936182843</v>
      </c>
      <c r="V71" s="182">
        <f t="shared" si="25"/>
        <v>70.28783658310121</v>
      </c>
      <c r="W71" s="180"/>
      <c r="X71" s="180" t="e">
        <f>#REF!</f>
        <v>#REF!</v>
      </c>
      <c r="Y71" s="180" t="e">
        <f>#REF!</f>
        <v>#REF!</v>
      </c>
      <c r="Z71" s="180" t="e">
        <f>#REF!</f>
        <v>#REF!</v>
      </c>
      <c r="AA71" s="180" t="e">
        <f>#REF!</f>
        <v>#REF!</v>
      </c>
      <c r="AB71" s="180">
        <v>103406335</v>
      </c>
      <c r="AC71" s="180" t="e">
        <f>#REF!</f>
        <v>#REF!</v>
      </c>
      <c r="AD71" s="180" t="e">
        <f>#REF!</f>
        <v>#REF!</v>
      </c>
      <c r="AE71" s="180" t="e">
        <f>#REF!</f>
        <v>#REF!</v>
      </c>
      <c r="AF71" s="180" t="e">
        <f>[1]April!N26</f>
        <v>#REF!</v>
      </c>
      <c r="AG71" s="180" t="e">
        <f>[2]april!N26</f>
        <v>#REF!</v>
      </c>
      <c r="AH71" s="180">
        <f>'[3]DES SKPD'!$N26</f>
        <v>449102800</v>
      </c>
      <c r="AI71" s="180">
        <f>38400000+25600000</f>
        <v>64000000</v>
      </c>
      <c r="AJ71" s="181">
        <f t="shared" si="27"/>
        <v>29.71216341689879</v>
      </c>
      <c r="AK71" s="180">
        <f t="shared" si="30"/>
        <v>151400000</v>
      </c>
      <c r="AL71" s="181">
        <f t="shared" si="28"/>
        <v>70.28783658310121</v>
      </c>
      <c r="AM71" s="243"/>
    </row>
    <row r="72" spans="1:39" s="297" customFormat="1" ht="24.75" customHeight="1" x14ac:dyDescent="0.25">
      <c r="A72" s="227">
        <f>A68+1</f>
        <v>5</v>
      </c>
      <c r="B72" s="615" t="s">
        <v>119</v>
      </c>
      <c r="C72" s="615"/>
      <c r="D72" s="615"/>
      <c r="E72" s="615"/>
      <c r="F72" s="615"/>
      <c r="G72" s="615"/>
      <c r="H72" s="615"/>
      <c r="I72" s="614"/>
      <c r="J72" s="442" t="s">
        <v>446</v>
      </c>
      <c r="K72" s="230"/>
      <c r="L72" s="294"/>
      <c r="M72" s="615" t="s">
        <v>16</v>
      </c>
      <c r="N72" s="614"/>
      <c r="O72" s="295">
        <v>201527500</v>
      </c>
      <c r="P72" s="231">
        <f>O72</f>
        <v>201527500</v>
      </c>
      <c r="Q72" s="231">
        <f>SUM(Q73:Q74)</f>
        <v>411693900</v>
      </c>
      <c r="R72" s="233">
        <f>Q72/Q$59*100</f>
        <v>16.298810716633877</v>
      </c>
      <c r="S72" s="233">
        <v>100</v>
      </c>
      <c r="T72" s="231">
        <f t="shared" si="23"/>
        <v>49.611786815398531</v>
      </c>
      <c r="U72" s="231">
        <f t="shared" si="24"/>
        <v>8.0861312261817275</v>
      </c>
      <c r="V72" s="296">
        <f t="shared" si="25"/>
        <v>50.388213184601469</v>
      </c>
      <c r="W72" s="231"/>
      <c r="X72" s="231" t="e">
        <f>#REF!</f>
        <v>#REF!</v>
      </c>
      <c r="Y72" s="231" t="e">
        <f>#REF!</f>
        <v>#REF!</v>
      </c>
      <c r="Z72" s="231" t="e">
        <f>#REF!</f>
        <v>#REF!</v>
      </c>
      <c r="AA72" s="231" t="e">
        <f>#REF!</f>
        <v>#REF!</v>
      </c>
      <c r="AB72" s="231">
        <v>99905000</v>
      </c>
      <c r="AC72" s="231" t="e">
        <f>#REF!</f>
        <v>#REF!</v>
      </c>
      <c r="AD72" s="231" t="e">
        <f>#REF!</f>
        <v>#REF!</v>
      </c>
      <c r="AE72" s="231" t="e">
        <f>#REF!</f>
        <v>#REF!</v>
      </c>
      <c r="AF72" s="231" t="e">
        <f>[1]April!N25</f>
        <v>#REF!</v>
      </c>
      <c r="AG72" s="231" t="e">
        <f>[2]april!N25</f>
        <v>#REF!</v>
      </c>
      <c r="AH72" s="231">
        <f>'[3]DES SKPD'!$N25</f>
        <v>229473500</v>
      </c>
      <c r="AI72" s="231">
        <f>SUM(AI73:AI74)</f>
        <v>204248700</v>
      </c>
      <c r="AJ72" s="233">
        <f>AI72/Q72*100</f>
        <v>49.611786815398531</v>
      </c>
      <c r="AK72" s="231">
        <f>Q72-AI72</f>
        <v>207445200</v>
      </c>
      <c r="AL72" s="233">
        <f>AK72/Q72*100</f>
        <v>50.388213184601469</v>
      </c>
      <c r="AM72" s="227"/>
    </row>
    <row r="73" spans="1:39" ht="29.25" customHeight="1" x14ac:dyDescent="0.25">
      <c r="A73" s="243"/>
      <c r="B73" s="437"/>
      <c r="C73" s="437"/>
      <c r="D73" s="437"/>
      <c r="E73" s="437"/>
      <c r="F73" s="437"/>
      <c r="G73" s="437"/>
      <c r="H73" s="437"/>
      <c r="I73" s="438"/>
      <c r="J73" s="437" t="s">
        <v>259</v>
      </c>
      <c r="K73" s="245"/>
      <c r="L73" s="257"/>
      <c r="M73" s="597" t="s">
        <v>260</v>
      </c>
      <c r="N73" s="598"/>
      <c r="O73" s="299"/>
      <c r="P73" s="180"/>
      <c r="Q73" s="180">
        <v>2400000</v>
      </c>
      <c r="R73" s="181">
        <f>Q73/Q$72*100</f>
        <v>0.58295738654374041</v>
      </c>
      <c r="S73" s="181">
        <v>100</v>
      </c>
      <c r="T73" s="180">
        <f t="shared" si="23"/>
        <v>0</v>
      </c>
      <c r="U73" s="180">
        <f t="shared" si="24"/>
        <v>0</v>
      </c>
      <c r="V73" s="182">
        <f t="shared" si="25"/>
        <v>100</v>
      </c>
      <c r="W73" s="180"/>
      <c r="X73" s="180"/>
      <c r="Y73" s="180"/>
      <c r="Z73" s="180"/>
      <c r="AA73" s="180"/>
      <c r="AB73" s="180"/>
      <c r="AC73" s="180"/>
      <c r="AD73" s="180"/>
      <c r="AE73" s="180"/>
      <c r="AF73" s="180"/>
      <c r="AG73" s="180"/>
      <c r="AH73" s="180"/>
      <c r="AI73" s="180">
        <v>0</v>
      </c>
      <c r="AJ73" s="181">
        <f t="shared" si="27"/>
        <v>0</v>
      </c>
      <c r="AK73" s="180">
        <f t="shared" si="30"/>
        <v>2400000</v>
      </c>
      <c r="AL73" s="181">
        <f t="shared" si="28"/>
        <v>100</v>
      </c>
      <c r="AM73" s="243"/>
    </row>
    <row r="74" spans="1:39" ht="24.75" customHeight="1" x14ac:dyDescent="0.25">
      <c r="A74" s="243"/>
      <c r="B74" s="437"/>
      <c r="C74" s="437"/>
      <c r="D74" s="437"/>
      <c r="E74" s="437"/>
      <c r="F74" s="437"/>
      <c r="G74" s="437"/>
      <c r="H74" s="437"/>
      <c r="I74" s="438"/>
      <c r="J74" s="437" t="s">
        <v>265</v>
      </c>
      <c r="K74" s="245"/>
      <c r="L74" s="257"/>
      <c r="M74" s="597" t="s">
        <v>266</v>
      </c>
      <c r="N74" s="598"/>
      <c r="O74" s="299"/>
      <c r="P74" s="180"/>
      <c r="Q74" s="180">
        <v>409293900</v>
      </c>
      <c r="R74" s="181">
        <f>Q74/Q$72*100</f>
        <v>99.41704261345626</v>
      </c>
      <c r="S74" s="181">
        <v>100</v>
      </c>
      <c r="T74" s="180">
        <f t="shared" si="23"/>
        <v>49.902698281112912</v>
      </c>
      <c r="U74" s="180">
        <f t="shared" si="24"/>
        <v>49.611786815398524</v>
      </c>
      <c r="V74" s="182">
        <f t="shared" si="25"/>
        <v>50.097301718887088</v>
      </c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>
        <f>101874100+102374600</f>
        <v>204248700</v>
      </c>
      <c r="AJ74" s="181">
        <f t="shared" si="27"/>
        <v>49.902698281112912</v>
      </c>
      <c r="AK74" s="180">
        <f t="shared" si="30"/>
        <v>205045200</v>
      </c>
      <c r="AL74" s="181">
        <f t="shared" si="28"/>
        <v>50.097301718887088</v>
      </c>
      <c r="AM74" s="243"/>
    </row>
    <row r="75" spans="1:39" s="297" customFormat="1" ht="27.75" customHeight="1" x14ac:dyDescent="0.25">
      <c r="A75" s="227">
        <f>A72+1</f>
        <v>6</v>
      </c>
      <c r="B75" s="615" t="s">
        <v>120</v>
      </c>
      <c r="C75" s="615"/>
      <c r="D75" s="615"/>
      <c r="E75" s="615"/>
      <c r="F75" s="615"/>
      <c r="G75" s="615"/>
      <c r="H75" s="615"/>
      <c r="I75" s="614"/>
      <c r="J75" s="442" t="s">
        <v>447</v>
      </c>
      <c r="K75" s="230"/>
      <c r="L75" s="294"/>
      <c r="M75" s="615" t="s">
        <v>17</v>
      </c>
      <c r="N75" s="614"/>
      <c r="O75" s="295">
        <v>261210000</v>
      </c>
      <c r="P75" s="231">
        <f>O75</f>
        <v>261210000</v>
      </c>
      <c r="Q75" s="231">
        <f>SUM(Q76:Q80)</f>
        <v>422840000</v>
      </c>
      <c r="R75" s="233">
        <f>Q75/Q$59*100</f>
        <v>16.740080733334811</v>
      </c>
      <c r="S75" s="233">
        <v>100</v>
      </c>
      <c r="T75" s="231">
        <f t="shared" si="23"/>
        <v>61.377353135937938</v>
      </c>
      <c r="U75" s="231">
        <f t="shared" si="24"/>
        <v>10.274618466940018</v>
      </c>
      <c r="V75" s="296">
        <f t="shared" si="25"/>
        <v>38.622646864062062</v>
      </c>
      <c r="W75" s="231"/>
      <c r="X75" s="231" t="e">
        <f>#REF!</f>
        <v>#REF!</v>
      </c>
      <c r="Y75" s="231" t="e">
        <f>#REF!</f>
        <v>#REF!</v>
      </c>
      <c r="Z75" s="231" t="e">
        <f>#REF!</f>
        <v>#REF!</v>
      </c>
      <c r="AA75" s="231" t="e">
        <f>#REF!</f>
        <v>#REF!</v>
      </c>
      <c r="AB75" s="231">
        <v>171140000</v>
      </c>
      <c r="AC75" s="231" t="e">
        <f>#REF!</f>
        <v>#REF!</v>
      </c>
      <c r="AD75" s="231" t="e">
        <f>#REF!</f>
        <v>#REF!</v>
      </c>
      <c r="AE75" s="231" t="e">
        <f>#REF!</f>
        <v>#REF!</v>
      </c>
      <c r="AF75" s="231" t="e">
        <f>[1]April!N26</f>
        <v>#REF!</v>
      </c>
      <c r="AG75" s="231" t="e">
        <f>[2]april!N26</f>
        <v>#REF!</v>
      </c>
      <c r="AH75" s="231">
        <f>'[3]DES SKPD'!$N26</f>
        <v>449102800</v>
      </c>
      <c r="AI75" s="231">
        <f>SUM(AI76:AI80)</f>
        <v>259528000</v>
      </c>
      <c r="AJ75" s="233">
        <f t="shared" si="27"/>
        <v>61.377353135937938</v>
      </c>
      <c r="AK75" s="231">
        <f t="shared" si="30"/>
        <v>163312000</v>
      </c>
      <c r="AL75" s="233">
        <f t="shared" si="28"/>
        <v>38.622646864062055</v>
      </c>
      <c r="AM75" s="227"/>
    </row>
    <row r="76" spans="1:39" s="297" customFormat="1" ht="27.75" customHeight="1" x14ac:dyDescent="0.25">
      <c r="A76" s="227"/>
      <c r="B76" s="442"/>
      <c r="C76" s="442"/>
      <c r="D76" s="442"/>
      <c r="E76" s="442"/>
      <c r="F76" s="442"/>
      <c r="G76" s="442"/>
      <c r="H76" s="442"/>
      <c r="I76" s="441"/>
      <c r="J76" s="437" t="s">
        <v>259</v>
      </c>
      <c r="K76" s="245"/>
      <c r="L76" s="257"/>
      <c r="M76" s="597" t="s">
        <v>260</v>
      </c>
      <c r="N76" s="598"/>
      <c r="O76" s="299"/>
      <c r="P76" s="180"/>
      <c r="Q76" s="180">
        <v>2400000</v>
      </c>
      <c r="R76" s="181">
        <f>Q76/Q$75*100</f>
        <v>0.56759057799640522</v>
      </c>
      <c r="S76" s="181">
        <v>100</v>
      </c>
      <c r="T76" s="180">
        <f t="shared" si="23"/>
        <v>0</v>
      </c>
      <c r="U76" s="180">
        <f t="shared" si="24"/>
        <v>0</v>
      </c>
      <c r="V76" s="182">
        <f t="shared" si="25"/>
        <v>100</v>
      </c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>
        <v>0</v>
      </c>
      <c r="AJ76" s="181">
        <f t="shared" si="27"/>
        <v>0</v>
      </c>
      <c r="AK76" s="180">
        <f t="shared" si="30"/>
        <v>2400000</v>
      </c>
      <c r="AL76" s="181">
        <f t="shared" si="28"/>
        <v>100</v>
      </c>
      <c r="AM76" s="227"/>
    </row>
    <row r="77" spans="1:39" s="297" customFormat="1" ht="27.75" customHeight="1" x14ac:dyDescent="0.25">
      <c r="A77" s="227"/>
      <c r="B77" s="442"/>
      <c r="C77" s="442"/>
      <c r="D77" s="442"/>
      <c r="E77" s="442"/>
      <c r="F77" s="442"/>
      <c r="G77" s="442"/>
      <c r="H77" s="442"/>
      <c r="I77" s="441"/>
      <c r="J77" s="437" t="s">
        <v>267</v>
      </c>
      <c r="K77" s="245"/>
      <c r="L77" s="257"/>
      <c r="M77" s="597" t="s">
        <v>268</v>
      </c>
      <c r="N77" s="598"/>
      <c r="O77" s="299"/>
      <c r="P77" s="180"/>
      <c r="Q77" s="180">
        <v>8000000</v>
      </c>
      <c r="R77" s="181">
        <f>Q77/Q$75*100</f>
        <v>1.8919685933213508</v>
      </c>
      <c r="S77" s="181">
        <v>100</v>
      </c>
      <c r="T77" s="180">
        <f t="shared" si="23"/>
        <v>0</v>
      </c>
      <c r="U77" s="180">
        <f t="shared" si="24"/>
        <v>0</v>
      </c>
      <c r="V77" s="182">
        <f t="shared" si="25"/>
        <v>100</v>
      </c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>
        <v>0</v>
      </c>
      <c r="AJ77" s="181">
        <f t="shared" si="27"/>
        <v>0</v>
      </c>
      <c r="AK77" s="180">
        <f t="shared" si="30"/>
        <v>8000000</v>
      </c>
      <c r="AL77" s="181">
        <f t="shared" si="28"/>
        <v>100</v>
      </c>
      <c r="AM77" s="227"/>
    </row>
    <row r="78" spans="1:39" s="297" customFormat="1" ht="27.75" customHeight="1" x14ac:dyDescent="0.25">
      <c r="A78" s="227"/>
      <c r="B78" s="442"/>
      <c r="C78" s="442"/>
      <c r="D78" s="442"/>
      <c r="E78" s="442"/>
      <c r="F78" s="442"/>
      <c r="G78" s="442"/>
      <c r="H78" s="442"/>
      <c r="I78" s="441"/>
      <c r="J78" s="437" t="s">
        <v>269</v>
      </c>
      <c r="K78" s="245"/>
      <c r="L78" s="257"/>
      <c r="M78" s="597" t="s">
        <v>270</v>
      </c>
      <c r="N78" s="598"/>
      <c r="O78" s="299"/>
      <c r="P78" s="180"/>
      <c r="Q78" s="180">
        <v>383113000</v>
      </c>
      <c r="R78" s="181">
        <f>Q78/Q$75*100</f>
        <v>90.604720461640326</v>
      </c>
      <c r="S78" s="181">
        <v>100</v>
      </c>
      <c r="T78" s="180">
        <f t="shared" si="23"/>
        <v>65.653736626008524</v>
      </c>
      <c r="U78" s="180">
        <f t="shared" si="24"/>
        <v>59.485384542616593</v>
      </c>
      <c r="V78" s="182">
        <f t="shared" si="25"/>
        <v>34.346263373991476</v>
      </c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>
        <f>125938000+117590000+8000000</f>
        <v>251528000</v>
      </c>
      <c r="AJ78" s="181">
        <f t="shared" si="27"/>
        <v>65.653736626008524</v>
      </c>
      <c r="AK78" s="180">
        <f t="shared" si="30"/>
        <v>131585000</v>
      </c>
      <c r="AL78" s="181">
        <f t="shared" si="28"/>
        <v>34.346263373991484</v>
      </c>
      <c r="AM78" s="227"/>
    </row>
    <row r="79" spans="1:39" s="297" customFormat="1" ht="27.75" customHeight="1" x14ac:dyDescent="0.25">
      <c r="A79" s="227"/>
      <c r="B79" s="442"/>
      <c r="C79" s="442"/>
      <c r="D79" s="442"/>
      <c r="E79" s="442"/>
      <c r="F79" s="442"/>
      <c r="G79" s="442"/>
      <c r="H79" s="442"/>
      <c r="I79" s="441"/>
      <c r="J79" s="437" t="s">
        <v>315</v>
      </c>
      <c r="K79" s="245"/>
      <c r="L79" s="257"/>
      <c r="M79" s="597" t="s">
        <v>271</v>
      </c>
      <c r="N79" s="598"/>
      <c r="O79" s="299"/>
      <c r="P79" s="180"/>
      <c r="Q79" s="180">
        <v>19327000</v>
      </c>
      <c r="R79" s="181">
        <f>Q79/Q$75*100</f>
        <v>4.5707596253902185</v>
      </c>
      <c r="S79" s="181">
        <v>100</v>
      </c>
      <c r="T79" s="180">
        <f t="shared" si="23"/>
        <v>41.392870078129043</v>
      </c>
      <c r="U79" s="180">
        <f t="shared" si="24"/>
        <v>1.8919685933213508</v>
      </c>
      <c r="V79" s="182">
        <f t="shared" si="25"/>
        <v>58.607129921870957</v>
      </c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>
        <v>8000000</v>
      </c>
      <c r="AJ79" s="181">
        <f t="shared" si="27"/>
        <v>41.392870078129043</v>
      </c>
      <c r="AK79" s="180">
        <f t="shared" si="30"/>
        <v>11327000</v>
      </c>
      <c r="AL79" s="181">
        <f t="shared" si="28"/>
        <v>58.607129921870957</v>
      </c>
      <c r="AM79" s="227"/>
    </row>
    <row r="80" spans="1:39" s="297" customFormat="1" ht="27.75" customHeight="1" x14ac:dyDescent="0.25">
      <c r="A80" s="227"/>
      <c r="B80" s="442"/>
      <c r="C80" s="442"/>
      <c r="D80" s="442"/>
      <c r="E80" s="442"/>
      <c r="F80" s="442"/>
      <c r="G80" s="442"/>
      <c r="H80" s="442"/>
      <c r="I80" s="441"/>
      <c r="J80" s="437" t="s">
        <v>316</v>
      </c>
      <c r="K80" s="245"/>
      <c r="L80" s="257"/>
      <c r="M80" s="597" t="s">
        <v>317</v>
      </c>
      <c r="N80" s="598"/>
      <c r="O80" s="299"/>
      <c r="P80" s="180"/>
      <c r="Q80" s="180">
        <v>10000000</v>
      </c>
      <c r="R80" s="181">
        <f>Q80/Q$75*100</f>
        <v>2.3649607416516885</v>
      </c>
      <c r="S80" s="181">
        <v>100</v>
      </c>
      <c r="T80" s="180">
        <f t="shared" si="23"/>
        <v>0</v>
      </c>
      <c r="U80" s="180">
        <f t="shared" si="24"/>
        <v>0</v>
      </c>
      <c r="V80" s="182">
        <f t="shared" si="25"/>
        <v>100</v>
      </c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>
        <v>0</v>
      </c>
      <c r="AJ80" s="181">
        <f t="shared" si="27"/>
        <v>0</v>
      </c>
      <c r="AK80" s="180">
        <f t="shared" si="30"/>
        <v>10000000</v>
      </c>
      <c r="AL80" s="181">
        <f t="shared" si="28"/>
        <v>100</v>
      </c>
      <c r="AM80" s="227"/>
    </row>
    <row r="81" spans="1:39" s="297" customFormat="1" ht="28.5" customHeight="1" x14ac:dyDescent="0.25">
      <c r="A81" s="227">
        <f>A75+1</f>
        <v>7</v>
      </c>
      <c r="B81" s="615" t="s">
        <v>121</v>
      </c>
      <c r="C81" s="615"/>
      <c r="D81" s="615"/>
      <c r="E81" s="615"/>
      <c r="F81" s="615"/>
      <c r="G81" s="615"/>
      <c r="H81" s="615"/>
      <c r="I81" s="614"/>
      <c r="J81" s="442" t="s">
        <v>448</v>
      </c>
      <c r="K81" s="230"/>
      <c r="L81" s="294"/>
      <c r="M81" s="615" t="s">
        <v>18</v>
      </c>
      <c r="N81" s="614"/>
      <c r="O81" s="295">
        <v>20900000</v>
      </c>
      <c r="P81" s="231">
        <f>O81</f>
        <v>20900000</v>
      </c>
      <c r="Q81" s="231">
        <f>SUM(Q82:Q82)</f>
        <v>21100000</v>
      </c>
      <c r="R81" s="233">
        <f>Q81/Q$59*100</f>
        <v>0.83534127204939101</v>
      </c>
      <c r="S81" s="233">
        <v>100</v>
      </c>
      <c r="T81" s="231">
        <f t="shared" si="23"/>
        <v>47.324644549763036</v>
      </c>
      <c r="U81" s="231">
        <f t="shared" si="24"/>
        <v>0.39532228777484335</v>
      </c>
      <c r="V81" s="296">
        <f t="shared" si="25"/>
        <v>52.675355450236964</v>
      </c>
      <c r="W81" s="231"/>
      <c r="X81" s="231" t="e">
        <f>#REF!</f>
        <v>#REF!</v>
      </c>
      <c r="Y81" s="231" t="e">
        <f>#REF!</f>
        <v>#REF!</v>
      </c>
      <c r="Z81" s="231" t="e">
        <f>#REF!</f>
        <v>#REF!</v>
      </c>
      <c r="AA81" s="231" t="e">
        <f>#REF!</f>
        <v>#REF!</v>
      </c>
      <c r="AB81" s="231">
        <v>12597300</v>
      </c>
      <c r="AC81" s="231" t="e">
        <f>#REF!</f>
        <v>#REF!</v>
      </c>
      <c r="AD81" s="231" t="e">
        <f>#REF!</f>
        <v>#REF!</v>
      </c>
      <c r="AE81" s="231" t="e">
        <f>#REF!</f>
        <v>#REF!</v>
      </c>
      <c r="AF81" s="231" t="e">
        <f>[1]April!N27</f>
        <v>#REF!</v>
      </c>
      <c r="AG81" s="231">
        <v>27808300</v>
      </c>
      <c r="AH81" s="231">
        <f>'[3]DES SKPD'!$N27</f>
        <v>35785800</v>
      </c>
      <c r="AI81" s="231">
        <f>SUM(AI82:AI82)</f>
        <v>9985500</v>
      </c>
      <c r="AJ81" s="233">
        <f t="shared" si="27"/>
        <v>47.324644549763036</v>
      </c>
      <c r="AK81" s="231">
        <f t="shared" si="30"/>
        <v>11114500</v>
      </c>
      <c r="AL81" s="233">
        <f t="shared" si="28"/>
        <v>52.675355450236971</v>
      </c>
      <c r="AM81" s="227"/>
    </row>
    <row r="82" spans="1:39" ht="36" customHeight="1" x14ac:dyDescent="0.25">
      <c r="A82" s="243"/>
      <c r="B82" s="437"/>
      <c r="C82" s="437"/>
      <c r="D82" s="437"/>
      <c r="E82" s="437"/>
      <c r="F82" s="437"/>
      <c r="G82" s="437"/>
      <c r="H82" s="437"/>
      <c r="I82" s="438"/>
      <c r="J82" s="437" t="s">
        <v>272</v>
      </c>
      <c r="K82" s="245"/>
      <c r="L82" s="257"/>
      <c r="M82" s="597" t="s">
        <v>429</v>
      </c>
      <c r="N82" s="598"/>
      <c r="O82" s="299"/>
      <c r="P82" s="180"/>
      <c r="Q82" s="180">
        <v>21100000</v>
      </c>
      <c r="R82" s="181">
        <f>Q82/Q$81*100</f>
        <v>100</v>
      </c>
      <c r="S82" s="181">
        <v>100</v>
      </c>
      <c r="T82" s="180">
        <f t="shared" si="23"/>
        <v>47.324644549763036</v>
      </c>
      <c r="U82" s="180">
        <f t="shared" si="24"/>
        <v>47.324644549763036</v>
      </c>
      <c r="V82" s="182">
        <f t="shared" si="25"/>
        <v>52.675355450236964</v>
      </c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231"/>
      <c r="AH82" s="180"/>
      <c r="AI82" s="180">
        <v>9985500</v>
      </c>
      <c r="AJ82" s="181">
        <f t="shared" si="27"/>
        <v>47.324644549763036</v>
      </c>
      <c r="AK82" s="180">
        <f t="shared" si="30"/>
        <v>11114500</v>
      </c>
      <c r="AL82" s="181">
        <f t="shared" si="28"/>
        <v>52.675355450236971</v>
      </c>
      <c r="AM82" s="243"/>
    </row>
    <row r="83" spans="1:39" s="297" customFormat="1" ht="29.25" customHeight="1" x14ac:dyDescent="0.25">
      <c r="A83" s="227">
        <f>A81+1</f>
        <v>8</v>
      </c>
      <c r="B83" s="442"/>
      <c r="C83" s="442"/>
      <c r="D83" s="442"/>
      <c r="E83" s="442"/>
      <c r="F83" s="442"/>
      <c r="G83" s="442"/>
      <c r="H83" s="442"/>
      <c r="I83" s="441"/>
      <c r="J83" s="442" t="s">
        <v>449</v>
      </c>
      <c r="K83" s="230"/>
      <c r="L83" s="294"/>
      <c r="M83" s="615" t="s">
        <v>196</v>
      </c>
      <c r="N83" s="614"/>
      <c r="O83" s="300"/>
      <c r="P83" s="231"/>
      <c r="Q83" s="231">
        <f>SUM(Q84:Q85)</f>
        <v>36200000</v>
      </c>
      <c r="R83" s="233">
        <f>Q83/Q$59*100</f>
        <v>1.4331447416202823</v>
      </c>
      <c r="S83" s="233">
        <v>100</v>
      </c>
      <c r="T83" s="231">
        <f t="shared" si="23"/>
        <v>52.872928176795575</v>
      </c>
      <c r="U83" s="231">
        <f t="shared" si="24"/>
        <v>0.75774558990641439</v>
      </c>
      <c r="V83" s="296">
        <f t="shared" si="25"/>
        <v>47.127071823204425</v>
      </c>
      <c r="W83" s="231"/>
      <c r="X83" s="231" t="e">
        <f>#REF!</f>
        <v>#REF!</v>
      </c>
      <c r="Y83" s="231" t="e">
        <f>#REF!</f>
        <v>#REF!</v>
      </c>
      <c r="Z83" s="231" t="e">
        <f>#REF!</f>
        <v>#REF!</v>
      </c>
      <c r="AA83" s="231" t="e">
        <f>#REF!</f>
        <v>#REF!</v>
      </c>
      <c r="AB83" s="231">
        <v>12597300</v>
      </c>
      <c r="AC83" s="231" t="e">
        <f>#REF!</f>
        <v>#REF!</v>
      </c>
      <c r="AD83" s="231" t="e">
        <f>#REF!</f>
        <v>#REF!</v>
      </c>
      <c r="AE83" s="231" t="e">
        <f>#REF!</f>
        <v>#REF!</v>
      </c>
      <c r="AF83" s="231" t="e">
        <f>[1]April!N28</f>
        <v>#REF!</v>
      </c>
      <c r="AG83" s="231">
        <v>27808300</v>
      </c>
      <c r="AH83" s="231">
        <f>'[3]DES SKPD'!$N28</f>
        <v>46904000</v>
      </c>
      <c r="AI83" s="231">
        <f>SUM(AI84:AI85)</f>
        <v>19140000</v>
      </c>
      <c r="AJ83" s="233">
        <f t="shared" si="27"/>
        <v>52.872928176795575</v>
      </c>
      <c r="AK83" s="231">
        <f t="shared" si="30"/>
        <v>17060000</v>
      </c>
      <c r="AL83" s="233">
        <f t="shared" si="28"/>
        <v>47.127071823204417</v>
      </c>
      <c r="AM83" s="227"/>
    </row>
    <row r="84" spans="1:39" s="297" customFormat="1" ht="24.75" customHeight="1" x14ac:dyDescent="0.25">
      <c r="A84" s="227"/>
      <c r="B84" s="442"/>
      <c r="C84" s="442"/>
      <c r="D84" s="442"/>
      <c r="E84" s="442"/>
      <c r="F84" s="442"/>
      <c r="G84" s="442"/>
      <c r="H84" s="442"/>
      <c r="I84" s="441"/>
      <c r="J84" s="437" t="s">
        <v>411</v>
      </c>
      <c r="K84" s="230"/>
      <c r="L84" s="294"/>
      <c r="M84" s="597" t="s">
        <v>412</v>
      </c>
      <c r="N84" s="598"/>
      <c r="O84" s="300"/>
      <c r="P84" s="231"/>
      <c r="Q84" s="180">
        <v>17000000</v>
      </c>
      <c r="R84" s="181">
        <f>Q84/Q$83*100</f>
        <v>46.961325966850829</v>
      </c>
      <c r="S84" s="181">
        <v>100</v>
      </c>
      <c r="T84" s="180">
        <f t="shared" si="23"/>
        <v>0</v>
      </c>
      <c r="U84" s="180">
        <f t="shared" si="24"/>
        <v>0</v>
      </c>
      <c r="V84" s="182">
        <f t="shared" si="25"/>
        <v>100</v>
      </c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231"/>
      <c r="AH84" s="180"/>
      <c r="AI84" s="180">
        <v>0</v>
      </c>
      <c r="AJ84" s="181">
        <f t="shared" si="27"/>
        <v>0</v>
      </c>
      <c r="AK84" s="180">
        <f t="shared" si="30"/>
        <v>17000000</v>
      </c>
      <c r="AL84" s="181">
        <f t="shared" si="28"/>
        <v>100</v>
      </c>
      <c r="AM84" s="227"/>
    </row>
    <row r="85" spans="1:39" ht="24.75" customHeight="1" x14ac:dyDescent="0.25">
      <c r="A85" s="243"/>
      <c r="B85" s="437"/>
      <c r="C85" s="437"/>
      <c r="D85" s="437"/>
      <c r="E85" s="437"/>
      <c r="F85" s="437"/>
      <c r="G85" s="437"/>
      <c r="H85" s="437"/>
      <c r="I85" s="438"/>
      <c r="J85" s="437" t="s">
        <v>546</v>
      </c>
      <c r="K85" s="245"/>
      <c r="L85" s="257"/>
      <c r="M85" s="597" t="s">
        <v>431</v>
      </c>
      <c r="N85" s="598"/>
      <c r="O85" s="301"/>
      <c r="P85" s="180"/>
      <c r="Q85" s="180">
        <v>19200000</v>
      </c>
      <c r="R85" s="181">
        <f>Q85/Q$83*100</f>
        <v>53.038674033149171</v>
      </c>
      <c r="S85" s="181">
        <v>100</v>
      </c>
      <c r="T85" s="180">
        <f t="shared" si="23"/>
        <v>99.6875</v>
      </c>
      <c r="U85" s="180">
        <f t="shared" si="24"/>
        <v>52.872928176795575</v>
      </c>
      <c r="V85" s="182">
        <f t="shared" si="25"/>
        <v>0.3125</v>
      </c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231"/>
      <c r="AH85" s="180"/>
      <c r="AI85" s="180">
        <v>19140000</v>
      </c>
      <c r="AJ85" s="181">
        <f t="shared" si="27"/>
        <v>99.6875</v>
      </c>
      <c r="AK85" s="180">
        <f t="shared" si="30"/>
        <v>60000</v>
      </c>
      <c r="AL85" s="181">
        <f t="shared" si="28"/>
        <v>0.3125</v>
      </c>
      <c r="AM85" s="243"/>
    </row>
    <row r="86" spans="1:39" s="297" customFormat="1" ht="31.5" customHeight="1" x14ac:dyDescent="0.25">
      <c r="A86" s="227">
        <f>A83+1</f>
        <v>9</v>
      </c>
      <c r="B86" s="615" t="s">
        <v>121</v>
      </c>
      <c r="C86" s="615"/>
      <c r="D86" s="615"/>
      <c r="E86" s="615"/>
      <c r="F86" s="615"/>
      <c r="G86" s="615"/>
      <c r="H86" s="615"/>
      <c r="I86" s="614"/>
      <c r="J86" s="442" t="s">
        <v>450</v>
      </c>
      <c r="K86" s="230"/>
      <c r="L86" s="294"/>
      <c r="M86" s="615" t="s">
        <v>19</v>
      </c>
      <c r="N86" s="614"/>
      <c r="O86" s="295">
        <v>50800000</v>
      </c>
      <c r="P86" s="231">
        <f>O86</f>
        <v>50800000</v>
      </c>
      <c r="Q86" s="302">
        <f>SUM(Q87:Q88)</f>
        <v>42270000</v>
      </c>
      <c r="R86" s="233">
        <f>Q86/Q$59*100</f>
        <v>1.6734538184610313</v>
      </c>
      <c r="S86" s="233">
        <v>100</v>
      </c>
      <c r="T86" s="231">
        <f t="shared" si="23"/>
        <v>22.214336408800566</v>
      </c>
      <c r="U86" s="231">
        <f t="shared" si="24"/>
        <v>0.37174666087885222</v>
      </c>
      <c r="V86" s="296">
        <f t="shared" si="25"/>
        <v>77.785663591199437</v>
      </c>
      <c r="W86" s="231"/>
      <c r="X86" s="231" t="e">
        <f>#REF!</f>
        <v>#REF!</v>
      </c>
      <c r="Y86" s="231" t="e">
        <f>#REF!</f>
        <v>#REF!</v>
      </c>
      <c r="Z86" s="231" t="e">
        <f>#REF!</f>
        <v>#REF!</v>
      </c>
      <c r="AA86" s="231" t="e">
        <f>#REF!</f>
        <v>#REF!</v>
      </c>
      <c r="AB86" s="231">
        <v>23113500</v>
      </c>
      <c r="AC86" s="231" t="e">
        <f>#REF!</f>
        <v>#REF!</v>
      </c>
      <c r="AD86" s="231" t="e">
        <f>#REF!</f>
        <v>#REF!</v>
      </c>
      <c r="AE86" s="231" t="e">
        <f>#REF!</f>
        <v>#REF!</v>
      </c>
      <c r="AF86" s="231" t="e">
        <f>[1]April!N28</f>
        <v>#REF!</v>
      </c>
      <c r="AG86" s="231" t="e">
        <f>[2]april!N28</f>
        <v>#REF!</v>
      </c>
      <c r="AH86" s="231">
        <f>'[3]DES SKPD'!$N28</f>
        <v>46904000</v>
      </c>
      <c r="AI86" s="231">
        <f>SUM(AI87:AI88)</f>
        <v>9390000</v>
      </c>
      <c r="AJ86" s="233">
        <f t="shared" si="27"/>
        <v>22.214336408800566</v>
      </c>
      <c r="AK86" s="231">
        <f t="shared" si="30"/>
        <v>32880000</v>
      </c>
      <c r="AL86" s="233">
        <f t="shared" si="28"/>
        <v>77.785663591199423</v>
      </c>
      <c r="AM86" s="227"/>
    </row>
    <row r="87" spans="1:39" ht="24.75" customHeight="1" x14ac:dyDescent="0.25">
      <c r="A87" s="243"/>
      <c r="B87" s="437"/>
      <c r="C87" s="437"/>
      <c r="D87" s="437"/>
      <c r="E87" s="437"/>
      <c r="F87" s="437"/>
      <c r="G87" s="437"/>
      <c r="H87" s="437"/>
      <c r="I87" s="438"/>
      <c r="J87" s="437" t="s">
        <v>276</v>
      </c>
      <c r="K87" s="245"/>
      <c r="L87" s="257"/>
      <c r="M87" s="597" t="s">
        <v>277</v>
      </c>
      <c r="N87" s="598"/>
      <c r="O87" s="299"/>
      <c r="P87" s="180"/>
      <c r="Q87" s="180">
        <v>37600000</v>
      </c>
      <c r="R87" s="181">
        <f>Q87/Q$86*100</f>
        <v>88.951975396262128</v>
      </c>
      <c r="S87" s="181">
        <v>100</v>
      </c>
      <c r="T87" s="180">
        <f t="shared" si="23"/>
        <v>24.973404255319149</v>
      </c>
      <c r="U87" s="180">
        <f t="shared" si="24"/>
        <v>22.21433640880057</v>
      </c>
      <c r="V87" s="182">
        <f t="shared" si="25"/>
        <v>75.026595744680847</v>
      </c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>
        <f>3130000+6260000</f>
        <v>9390000</v>
      </c>
      <c r="AJ87" s="181">
        <f t="shared" si="27"/>
        <v>24.973404255319149</v>
      </c>
      <c r="AK87" s="180">
        <f t="shared" si="30"/>
        <v>28210000</v>
      </c>
      <c r="AL87" s="181">
        <f t="shared" si="28"/>
        <v>75.026595744680847</v>
      </c>
      <c r="AM87" s="243"/>
    </row>
    <row r="88" spans="1:39" ht="39.75" customHeight="1" x14ac:dyDescent="0.25">
      <c r="A88" s="243"/>
      <c r="B88" s="437"/>
      <c r="C88" s="437"/>
      <c r="D88" s="437"/>
      <c r="E88" s="437"/>
      <c r="F88" s="437"/>
      <c r="G88" s="437"/>
      <c r="H88" s="437"/>
      <c r="I88" s="438"/>
      <c r="J88" s="437" t="s">
        <v>432</v>
      </c>
      <c r="K88" s="245"/>
      <c r="L88" s="257"/>
      <c r="M88" s="597" t="s">
        <v>433</v>
      </c>
      <c r="N88" s="598"/>
      <c r="O88" s="299"/>
      <c r="P88" s="180"/>
      <c r="Q88" s="180">
        <v>4670000</v>
      </c>
      <c r="R88" s="181">
        <f>Q88/Q$86*100</f>
        <v>11.048024603737876</v>
      </c>
      <c r="S88" s="181">
        <v>100</v>
      </c>
      <c r="T88" s="180">
        <f t="shared" si="23"/>
        <v>0</v>
      </c>
      <c r="U88" s="180">
        <f t="shared" si="24"/>
        <v>0</v>
      </c>
      <c r="V88" s="182">
        <f t="shared" si="25"/>
        <v>100</v>
      </c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>
        <v>0</v>
      </c>
      <c r="AJ88" s="181">
        <f t="shared" si="27"/>
        <v>0</v>
      </c>
      <c r="AK88" s="180">
        <f t="shared" si="30"/>
        <v>4670000</v>
      </c>
      <c r="AL88" s="181">
        <f t="shared" si="28"/>
        <v>100</v>
      </c>
      <c r="AM88" s="243"/>
    </row>
    <row r="89" spans="1:39" s="297" customFormat="1" ht="30.75" customHeight="1" x14ac:dyDescent="0.25">
      <c r="A89" s="227">
        <f>A86+1</f>
        <v>10</v>
      </c>
      <c r="B89" s="615" t="s">
        <v>122</v>
      </c>
      <c r="C89" s="615"/>
      <c r="D89" s="615"/>
      <c r="E89" s="615"/>
      <c r="F89" s="615"/>
      <c r="G89" s="615"/>
      <c r="H89" s="615"/>
      <c r="I89" s="614"/>
      <c r="J89" s="442" t="s">
        <v>451</v>
      </c>
      <c r="K89" s="230"/>
      <c r="L89" s="294"/>
      <c r="M89" s="615" t="s">
        <v>20</v>
      </c>
      <c r="N89" s="614"/>
      <c r="O89" s="295">
        <v>124190000</v>
      </c>
      <c r="P89" s="231">
        <f>O89</f>
        <v>124190000</v>
      </c>
      <c r="Q89" s="231">
        <f>SUM(Q90:Q91)</f>
        <v>118340000</v>
      </c>
      <c r="R89" s="233">
        <f>Q89/Q$59*100</f>
        <v>4.6850372575509454</v>
      </c>
      <c r="S89" s="233">
        <v>100</v>
      </c>
      <c r="T89" s="231">
        <f>AJ89</f>
        <v>32.533378401216837</v>
      </c>
      <c r="U89" s="231">
        <f t="shared" si="24"/>
        <v>1.5242008992370411</v>
      </c>
      <c r="V89" s="296">
        <f t="shared" si="25"/>
        <v>67.466621598783163</v>
      </c>
      <c r="W89" s="231"/>
      <c r="X89" s="231" t="e">
        <f>#REF!</f>
        <v>#REF!</v>
      </c>
      <c r="Y89" s="231" t="e">
        <f>#REF!</f>
        <v>#REF!</v>
      </c>
      <c r="Z89" s="231" t="e">
        <f>#REF!</f>
        <v>#REF!</v>
      </c>
      <c r="AA89" s="231" t="e">
        <f>#REF!</f>
        <v>#REF!</v>
      </c>
      <c r="AB89" s="231">
        <v>53635000</v>
      </c>
      <c r="AC89" s="231" t="e">
        <f>#REF!</f>
        <v>#REF!</v>
      </c>
      <c r="AD89" s="231" t="e">
        <f>#REF!</f>
        <v>#REF!</v>
      </c>
      <c r="AE89" s="231" t="e">
        <f>#REF!</f>
        <v>#REF!</v>
      </c>
      <c r="AF89" s="231" t="e">
        <f>[1]April!N29</f>
        <v>#REF!</v>
      </c>
      <c r="AG89" s="231" t="e">
        <f>[2]april!N29</f>
        <v>#REF!</v>
      </c>
      <c r="AH89" s="231">
        <f>'[3]DES SKPD'!$N29</f>
        <v>138020848</v>
      </c>
      <c r="AI89" s="231">
        <f>SUM(AI90:AI91)</f>
        <v>38500000</v>
      </c>
      <c r="AJ89" s="233">
        <f t="shared" si="27"/>
        <v>32.533378401216837</v>
      </c>
      <c r="AK89" s="231">
        <f t="shared" si="30"/>
        <v>79840000</v>
      </c>
      <c r="AL89" s="233">
        <f t="shared" si="28"/>
        <v>67.466621598783178</v>
      </c>
      <c r="AM89" s="227"/>
    </row>
    <row r="90" spans="1:39" ht="32.25" customHeight="1" x14ac:dyDescent="0.25">
      <c r="A90" s="243"/>
      <c r="B90" s="437"/>
      <c r="C90" s="437"/>
      <c r="D90" s="437"/>
      <c r="E90" s="437"/>
      <c r="F90" s="437"/>
      <c r="G90" s="437"/>
      <c r="H90" s="437"/>
      <c r="I90" s="438"/>
      <c r="J90" s="437" t="s">
        <v>278</v>
      </c>
      <c r="K90" s="245"/>
      <c r="L90" s="257"/>
      <c r="M90" s="597" t="s">
        <v>279</v>
      </c>
      <c r="N90" s="598"/>
      <c r="O90" s="299"/>
      <c r="P90" s="180"/>
      <c r="Q90" s="180">
        <v>54000000</v>
      </c>
      <c r="R90" s="181">
        <f>Q90/Q$89*100</f>
        <v>45.631232043265172</v>
      </c>
      <c r="S90" s="181">
        <v>100</v>
      </c>
      <c r="T90" s="180">
        <f>AJ90</f>
        <v>35.185185185185183</v>
      </c>
      <c r="U90" s="180">
        <f t="shared" si="24"/>
        <v>16.05543349670441</v>
      </c>
      <c r="V90" s="182">
        <f t="shared" si="25"/>
        <v>64.81481481481481</v>
      </c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>
        <f>9500000+9500000</f>
        <v>19000000</v>
      </c>
      <c r="AJ90" s="181">
        <f t="shared" si="27"/>
        <v>35.185185185185183</v>
      </c>
      <c r="AK90" s="180">
        <f t="shared" si="30"/>
        <v>35000000</v>
      </c>
      <c r="AL90" s="181">
        <f t="shared" si="28"/>
        <v>64.81481481481481</v>
      </c>
      <c r="AM90" s="243"/>
    </row>
    <row r="91" spans="1:39" ht="24.75" customHeight="1" x14ac:dyDescent="0.25">
      <c r="A91" s="243"/>
      <c r="B91" s="437"/>
      <c r="C91" s="437"/>
      <c r="D91" s="437"/>
      <c r="E91" s="437"/>
      <c r="F91" s="437"/>
      <c r="G91" s="437"/>
      <c r="H91" s="437"/>
      <c r="I91" s="438"/>
      <c r="J91" s="437" t="s">
        <v>280</v>
      </c>
      <c r="K91" s="245"/>
      <c r="L91" s="257"/>
      <c r="M91" s="597" t="s">
        <v>281</v>
      </c>
      <c r="N91" s="598"/>
      <c r="O91" s="299"/>
      <c r="P91" s="180"/>
      <c r="Q91" s="180">
        <v>64340000</v>
      </c>
      <c r="R91" s="181">
        <f>Q91/Q$89*100</f>
        <v>54.368767956734828</v>
      </c>
      <c r="S91" s="181">
        <v>100</v>
      </c>
      <c r="T91" s="180">
        <f>AJ91</f>
        <v>30.307740130556422</v>
      </c>
      <c r="U91" s="180">
        <f t="shared" si="24"/>
        <v>16.477944904512423</v>
      </c>
      <c r="V91" s="182">
        <f t="shared" si="25"/>
        <v>69.692259869443575</v>
      </c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>
        <f>14000000+5500000</f>
        <v>19500000</v>
      </c>
      <c r="AJ91" s="181">
        <f t="shared" si="27"/>
        <v>30.307740130556422</v>
      </c>
      <c r="AK91" s="180">
        <f t="shared" si="30"/>
        <v>44840000</v>
      </c>
      <c r="AL91" s="181">
        <f t="shared" si="28"/>
        <v>69.692259869443589</v>
      </c>
      <c r="AM91" s="243"/>
    </row>
    <row r="92" spans="1:39" s="297" customFormat="1" ht="31.5" customHeight="1" x14ac:dyDescent="0.25">
      <c r="A92" s="227">
        <f>A89+1</f>
        <v>11</v>
      </c>
      <c r="B92" s="615" t="s">
        <v>123</v>
      </c>
      <c r="C92" s="615"/>
      <c r="D92" s="615"/>
      <c r="E92" s="615"/>
      <c r="F92" s="615"/>
      <c r="G92" s="615"/>
      <c r="H92" s="615"/>
      <c r="I92" s="614"/>
      <c r="J92" s="442" t="s">
        <v>452</v>
      </c>
      <c r="K92" s="230"/>
      <c r="L92" s="294"/>
      <c r="M92" s="615" t="s">
        <v>21</v>
      </c>
      <c r="N92" s="614"/>
      <c r="O92" s="295">
        <v>517929000</v>
      </c>
      <c r="P92" s="231">
        <f>O92</f>
        <v>517929000</v>
      </c>
      <c r="Q92" s="231">
        <f>SUM(Q93:Q93)</f>
        <v>483349844</v>
      </c>
      <c r="R92" s="233">
        <f>Q92/Q$59*100</f>
        <v>19.135643295347617</v>
      </c>
      <c r="S92" s="233">
        <v>100</v>
      </c>
      <c r="T92" s="231">
        <f t="shared" si="23"/>
        <v>38.671165889524936</v>
      </c>
      <c r="U92" s="231">
        <f>R92*T92/100</f>
        <v>7.3999763627716337</v>
      </c>
      <c r="V92" s="296">
        <f t="shared" si="25"/>
        <v>61.328834110475064</v>
      </c>
      <c r="W92" s="231"/>
      <c r="X92" s="231" t="e">
        <f>#REF!</f>
        <v>#REF!</v>
      </c>
      <c r="Y92" s="231" t="e">
        <f>#REF!</f>
        <v>#REF!</v>
      </c>
      <c r="Z92" s="231" t="e">
        <f>#REF!</f>
        <v>#REF!</v>
      </c>
      <c r="AA92" s="231" t="e">
        <f>#REF!</f>
        <v>#REF!</v>
      </c>
      <c r="AB92" s="231">
        <v>317394150</v>
      </c>
      <c r="AC92" s="231" t="e">
        <f>#REF!</f>
        <v>#REF!</v>
      </c>
      <c r="AD92" s="231" t="e">
        <f>#REF!</f>
        <v>#REF!</v>
      </c>
      <c r="AE92" s="231" t="e">
        <f>#REF!</f>
        <v>#REF!</v>
      </c>
      <c r="AF92" s="231" t="e">
        <f>[1]April!N30</f>
        <v>#REF!</v>
      </c>
      <c r="AG92" s="231" t="e">
        <f>[2]april!N30</f>
        <v>#REF!</v>
      </c>
      <c r="AH92" s="231">
        <f>'[3]DES SKPD'!$N30</f>
        <v>660543350</v>
      </c>
      <c r="AI92" s="231">
        <f>SUM(AI93:AI93)</f>
        <v>186917020</v>
      </c>
      <c r="AJ92" s="233">
        <f t="shared" si="27"/>
        <v>38.671165889524936</v>
      </c>
      <c r="AK92" s="231">
        <f t="shared" si="30"/>
        <v>296432824</v>
      </c>
      <c r="AL92" s="233">
        <f t="shared" si="28"/>
        <v>61.328834110475064</v>
      </c>
      <c r="AM92" s="227"/>
    </row>
    <row r="93" spans="1:39" ht="26.25" customHeight="1" x14ac:dyDescent="0.25">
      <c r="A93" s="243"/>
      <c r="B93" s="437"/>
      <c r="C93" s="437"/>
      <c r="D93" s="437"/>
      <c r="E93" s="437"/>
      <c r="F93" s="437"/>
      <c r="G93" s="437"/>
      <c r="H93" s="437"/>
      <c r="I93" s="438"/>
      <c r="J93" s="437" t="s">
        <v>282</v>
      </c>
      <c r="K93" s="245"/>
      <c r="L93" s="257"/>
      <c r="M93" s="597" t="s">
        <v>283</v>
      </c>
      <c r="N93" s="598"/>
      <c r="O93" s="299"/>
      <c r="P93" s="180"/>
      <c r="Q93" s="180">
        <v>483349844</v>
      </c>
      <c r="R93" s="181">
        <f>Q93/Q$92*100</f>
        <v>100</v>
      </c>
      <c r="S93" s="181">
        <v>100</v>
      </c>
      <c r="T93" s="180">
        <f t="shared" si="23"/>
        <v>38.671165889524936</v>
      </c>
      <c r="U93" s="180">
        <f>R93*T93/100</f>
        <v>38.671165889524936</v>
      </c>
      <c r="V93" s="182">
        <f t="shared" si="25"/>
        <v>61.328834110475064</v>
      </c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>
        <f>50584820+136332200</f>
        <v>186917020</v>
      </c>
      <c r="AJ93" s="181">
        <f t="shared" si="27"/>
        <v>38.671165889524936</v>
      </c>
      <c r="AK93" s="180">
        <f t="shared" si="30"/>
        <v>296432824</v>
      </c>
      <c r="AL93" s="181">
        <f t="shared" si="28"/>
        <v>61.328834110475064</v>
      </c>
      <c r="AM93" s="243"/>
    </row>
    <row r="94" spans="1:39" s="297" customFormat="1" ht="30.75" customHeight="1" x14ac:dyDescent="0.25">
      <c r="A94" s="227">
        <f>A92+1</f>
        <v>12</v>
      </c>
      <c r="B94" s="615" t="s">
        <v>124</v>
      </c>
      <c r="C94" s="615"/>
      <c r="D94" s="615"/>
      <c r="E94" s="615"/>
      <c r="F94" s="615"/>
      <c r="G94" s="615"/>
      <c r="H94" s="615"/>
      <c r="I94" s="614"/>
      <c r="J94" s="442" t="s">
        <v>453</v>
      </c>
      <c r="K94" s="230"/>
      <c r="L94" s="294"/>
      <c r="M94" s="615" t="s">
        <v>22</v>
      </c>
      <c r="N94" s="614"/>
      <c r="O94" s="295">
        <v>17600000</v>
      </c>
      <c r="P94" s="231">
        <f>O94</f>
        <v>17600000</v>
      </c>
      <c r="Q94" s="231">
        <f>SUM(Q95:Q95)</f>
        <v>31400000</v>
      </c>
      <c r="R94" s="233">
        <f>Q94/Q$59*100</f>
        <v>1.2431144996374826</v>
      </c>
      <c r="S94" s="233">
        <v>100</v>
      </c>
      <c r="T94" s="231">
        <f t="shared" si="23"/>
        <v>0</v>
      </c>
      <c r="U94" s="231">
        <f t="shared" si="24"/>
        <v>0</v>
      </c>
      <c r="V94" s="296">
        <f t="shared" si="25"/>
        <v>100</v>
      </c>
      <c r="W94" s="231"/>
      <c r="X94" s="231" t="e">
        <f>#REF!</f>
        <v>#REF!</v>
      </c>
      <c r="Y94" s="231" t="e">
        <f>#REF!</f>
        <v>#REF!</v>
      </c>
      <c r="Z94" s="231" t="e">
        <f>#REF!</f>
        <v>#REF!</v>
      </c>
      <c r="AA94" s="231" t="e">
        <f>#REF!</f>
        <v>#REF!</v>
      </c>
      <c r="AB94" s="231">
        <v>13150000</v>
      </c>
      <c r="AC94" s="231" t="e">
        <f>#REF!</f>
        <v>#REF!</v>
      </c>
      <c r="AD94" s="231" t="e">
        <f>#REF!</f>
        <v>#REF!</v>
      </c>
      <c r="AE94" s="231" t="e">
        <f>#REF!</f>
        <v>#REF!</v>
      </c>
      <c r="AF94" s="231" t="e">
        <f>[1]April!N31</f>
        <v>#REF!</v>
      </c>
      <c r="AG94" s="231" t="e">
        <f>[2]april!N31</f>
        <v>#REF!</v>
      </c>
      <c r="AH94" s="231">
        <f>'[3]DES SKPD'!$N31</f>
        <v>27445000</v>
      </c>
      <c r="AI94" s="231">
        <f>SUM(AI95:AI95)</f>
        <v>0</v>
      </c>
      <c r="AJ94" s="233">
        <f t="shared" si="27"/>
        <v>0</v>
      </c>
      <c r="AK94" s="231">
        <f t="shared" si="30"/>
        <v>31400000</v>
      </c>
      <c r="AL94" s="233">
        <f t="shared" si="28"/>
        <v>100</v>
      </c>
      <c r="AM94" s="227"/>
    </row>
    <row r="95" spans="1:39" ht="26.25" customHeight="1" x14ac:dyDescent="0.25">
      <c r="A95" s="243"/>
      <c r="B95" s="437"/>
      <c r="C95" s="437"/>
      <c r="D95" s="437"/>
      <c r="E95" s="437"/>
      <c r="F95" s="437"/>
      <c r="G95" s="437"/>
      <c r="H95" s="437"/>
      <c r="I95" s="438"/>
      <c r="J95" s="437" t="s">
        <v>284</v>
      </c>
      <c r="K95" s="245"/>
      <c r="L95" s="257"/>
      <c r="M95" s="597" t="s">
        <v>285</v>
      </c>
      <c r="N95" s="598"/>
      <c r="O95" s="299"/>
      <c r="P95" s="180"/>
      <c r="Q95" s="180">
        <v>31400000</v>
      </c>
      <c r="R95" s="181">
        <f>Q95/Q$94*100</f>
        <v>100</v>
      </c>
      <c r="S95" s="181">
        <v>100</v>
      </c>
      <c r="T95" s="180">
        <f t="shared" si="23"/>
        <v>0</v>
      </c>
      <c r="U95" s="180">
        <f>R95*T95/100</f>
        <v>0</v>
      </c>
      <c r="V95" s="182">
        <f t="shared" si="25"/>
        <v>100</v>
      </c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>
        <v>0</v>
      </c>
      <c r="AJ95" s="181">
        <f t="shared" si="27"/>
        <v>0</v>
      </c>
      <c r="AK95" s="180">
        <f t="shared" si="30"/>
        <v>31400000</v>
      </c>
      <c r="AL95" s="181">
        <f t="shared" si="28"/>
        <v>100</v>
      </c>
      <c r="AM95" s="243"/>
    </row>
    <row r="96" spans="1:39" ht="26.25" customHeight="1" x14ac:dyDescent="0.25">
      <c r="A96" s="227">
        <f>A94+1</f>
        <v>13</v>
      </c>
      <c r="B96" s="615" t="s">
        <v>124</v>
      </c>
      <c r="C96" s="615"/>
      <c r="D96" s="615"/>
      <c r="E96" s="615"/>
      <c r="F96" s="615"/>
      <c r="G96" s="615"/>
      <c r="H96" s="615"/>
      <c r="I96" s="614"/>
      <c r="J96" s="442" t="s">
        <v>547</v>
      </c>
      <c r="K96" s="230"/>
      <c r="L96" s="294"/>
      <c r="M96" s="615" t="s">
        <v>548</v>
      </c>
      <c r="N96" s="614"/>
      <c r="O96" s="295">
        <v>17600000</v>
      </c>
      <c r="P96" s="231">
        <f>O96</f>
        <v>17600000</v>
      </c>
      <c r="Q96" s="231">
        <f>SUM(Q97:Q109)</f>
        <v>71640000</v>
      </c>
      <c r="R96" s="233">
        <f>Q96/Q$59*100</f>
        <v>2.8362013615932877</v>
      </c>
      <c r="S96" s="233">
        <v>100</v>
      </c>
      <c r="T96" s="231">
        <f t="shared" si="23"/>
        <v>23.185371300949189</v>
      </c>
      <c r="U96" s="231">
        <f t="shared" ref="U96" si="31">R96*T96/100</f>
        <v>0.65758381652798026</v>
      </c>
      <c r="V96" s="296">
        <f t="shared" si="25"/>
        <v>76.814628699050814</v>
      </c>
      <c r="W96" s="231"/>
      <c r="X96" s="231" t="e">
        <f>#REF!</f>
        <v>#REF!</v>
      </c>
      <c r="Y96" s="231" t="e">
        <f>#REF!</f>
        <v>#REF!</v>
      </c>
      <c r="Z96" s="231" t="e">
        <f>#REF!</f>
        <v>#REF!</v>
      </c>
      <c r="AA96" s="231" t="e">
        <f>#REF!</f>
        <v>#REF!</v>
      </c>
      <c r="AB96" s="231">
        <v>13150000</v>
      </c>
      <c r="AC96" s="231" t="e">
        <f>#REF!</f>
        <v>#REF!</v>
      </c>
      <c r="AD96" s="231" t="e">
        <f>#REF!</f>
        <v>#REF!</v>
      </c>
      <c r="AE96" s="231" t="e">
        <f>#REF!</f>
        <v>#REF!</v>
      </c>
      <c r="AF96" s="231" t="e">
        <f>[1]April!N33</f>
        <v>#REF!</v>
      </c>
      <c r="AG96" s="231" t="e">
        <f>[2]april!N33</f>
        <v>#REF!</v>
      </c>
      <c r="AH96" s="231" t="e">
        <f>'[3]DES SKPD'!$N33</f>
        <v>#REF!</v>
      </c>
      <c r="AI96" s="231">
        <f>SUM(AI97:AI109)</f>
        <v>16610000</v>
      </c>
      <c r="AJ96" s="233">
        <f t="shared" si="27"/>
        <v>23.185371300949189</v>
      </c>
      <c r="AK96" s="231">
        <f t="shared" si="30"/>
        <v>55030000</v>
      </c>
      <c r="AL96" s="233">
        <f t="shared" si="28"/>
        <v>76.814628699050814</v>
      </c>
      <c r="AM96" s="227"/>
    </row>
    <row r="97" spans="1:39" ht="26.25" customHeight="1" x14ac:dyDescent="0.25">
      <c r="A97" s="243"/>
      <c r="B97" s="437"/>
      <c r="C97" s="437"/>
      <c r="D97" s="437"/>
      <c r="E97" s="437"/>
      <c r="F97" s="437"/>
      <c r="G97" s="437"/>
      <c r="H97" s="437"/>
      <c r="I97" s="438"/>
      <c r="J97" s="437" t="s">
        <v>265</v>
      </c>
      <c r="K97" s="245"/>
      <c r="L97" s="257"/>
      <c r="M97" s="597" t="s">
        <v>266</v>
      </c>
      <c r="N97" s="598"/>
      <c r="O97" s="299"/>
      <c r="P97" s="180"/>
      <c r="Q97" s="180">
        <v>12590000</v>
      </c>
      <c r="R97" s="181">
        <f>Q97/Q$94*100</f>
        <v>40.095541401273884</v>
      </c>
      <c r="S97" s="181">
        <v>100</v>
      </c>
      <c r="T97" s="180">
        <f t="shared" si="23"/>
        <v>52.343129467831616</v>
      </c>
      <c r="U97" s="180">
        <f>R97*T97/100</f>
        <v>20.987261146496817</v>
      </c>
      <c r="V97" s="182">
        <f t="shared" si="25"/>
        <v>47.656870532168384</v>
      </c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>
        <f>3000000+3590000</f>
        <v>6590000</v>
      </c>
      <c r="AJ97" s="181">
        <f t="shared" si="27"/>
        <v>52.343129467831616</v>
      </c>
      <c r="AK97" s="180">
        <f t="shared" si="30"/>
        <v>6000000</v>
      </c>
      <c r="AL97" s="181">
        <f t="shared" si="28"/>
        <v>47.656870532168391</v>
      </c>
      <c r="AM97" s="243"/>
    </row>
    <row r="98" spans="1:39" ht="26.25" customHeight="1" x14ac:dyDescent="0.25">
      <c r="A98" s="243"/>
      <c r="B98" s="437"/>
      <c r="C98" s="437"/>
      <c r="D98" s="437"/>
      <c r="E98" s="437"/>
      <c r="F98" s="437"/>
      <c r="G98" s="437"/>
      <c r="H98" s="437"/>
      <c r="I98" s="438"/>
      <c r="J98" s="437" t="s">
        <v>272</v>
      </c>
      <c r="K98" s="245"/>
      <c r="L98" s="257"/>
      <c r="M98" s="597" t="s">
        <v>429</v>
      </c>
      <c r="N98" s="598"/>
      <c r="O98" s="299"/>
      <c r="P98" s="180"/>
      <c r="Q98" s="180">
        <v>3000000</v>
      </c>
      <c r="R98" s="181">
        <f t="shared" ref="R98:R109" si="32">Q98/Q$94*100</f>
        <v>9.5541401273885356</v>
      </c>
      <c r="S98" s="181">
        <v>100</v>
      </c>
      <c r="T98" s="180">
        <f t="shared" si="23"/>
        <v>25</v>
      </c>
      <c r="U98" s="180">
        <f t="shared" ref="U98:U110" si="33">R98*T98/100</f>
        <v>2.3885350318471339</v>
      </c>
      <c r="V98" s="182">
        <f t="shared" si="25"/>
        <v>75</v>
      </c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>
        <v>750000</v>
      </c>
      <c r="AJ98" s="181">
        <f t="shared" si="27"/>
        <v>25</v>
      </c>
      <c r="AK98" s="180">
        <f t="shared" si="30"/>
        <v>2250000</v>
      </c>
      <c r="AL98" s="181">
        <f t="shared" si="28"/>
        <v>75</v>
      </c>
      <c r="AM98" s="243"/>
    </row>
    <row r="99" spans="1:39" ht="26.25" customHeight="1" x14ac:dyDescent="0.25">
      <c r="A99" s="243"/>
      <c r="B99" s="437"/>
      <c r="C99" s="437"/>
      <c r="D99" s="437"/>
      <c r="E99" s="437"/>
      <c r="F99" s="437"/>
      <c r="G99" s="437"/>
      <c r="H99" s="437"/>
      <c r="I99" s="438"/>
      <c r="J99" s="437" t="s">
        <v>249</v>
      </c>
      <c r="K99" s="245"/>
      <c r="L99" s="257"/>
      <c r="M99" s="597" t="s">
        <v>250</v>
      </c>
      <c r="N99" s="598"/>
      <c r="O99" s="299"/>
      <c r="P99" s="180"/>
      <c r="Q99" s="180">
        <v>390000</v>
      </c>
      <c r="R99" s="181">
        <f t="shared" si="32"/>
        <v>1.2420382165605097</v>
      </c>
      <c r="S99" s="181">
        <v>100</v>
      </c>
      <c r="T99" s="180">
        <f t="shared" si="23"/>
        <v>100</v>
      </c>
      <c r="U99" s="180">
        <f t="shared" si="33"/>
        <v>1.2420382165605097</v>
      </c>
      <c r="V99" s="182">
        <f t="shared" si="25"/>
        <v>0</v>
      </c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>
        <v>390000</v>
      </c>
      <c r="AJ99" s="181">
        <f t="shared" si="27"/>
        <v>100</v>
      </c>
      <c r="AK99" s="180">
        <f t="shared" si="30"/>
        <v>0</v>
      </c>
      <c r="AL99" s="181">
        <f t="shared" si="28"/>
        <v>0</v>
      </c>
      <c r="AM99" s="243"/>
    </row>
    <row r="100" spans="1:39" ht="26.25" customHeight="1" x14ac:dyDescent="0.25">
      <c r="A100" s="243"/>
      <c r="B100" s="437"/>
      <c r="C100" s="437"/>
      <c r="D100" s="437"/>
      <c r="E100" s="437"/>
      <c r="F100" s="437"/>
      <c r="G100" s="437"/>
      <c r="H100" s="437"/>
      <c r="I100" s="438"/>
      <c r="J100" s="437" t="s">
        <v>261</v>
      </c>
      <c r="K100" s="245"/>
      <c r="L100" s="257"/>
      <c r="M100" s="597" t="s">
        <v>262</v>
      </c>
      <c r="N100" s="598"/>
      <c r="O100" s="299"/>
      <c r="P100" s="180"/>
      <c r="Q100" s="180">
        <v>3700000</v>
      </c>
      <c r="R100" s="181">
        <f t="shared" si="32"/>
        <v>11.783439490445859</v>
      </c>
      <c r="S100" s="181">
        <v>100</v>
      </c>
      <c r="T100" s="180">
        <f t="shared" si="23"/>
        <v>54.054054054054056</v>
      </c>
      <c r="U100" s="180">
        <f t="shared" si="33"/>
        <v>6.369426751592357</v>
      </c>
      <c r="V100" s="182">
        <f t="shared" si="25"/>
        <v>45.945945945945944</v>
      </c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>
        <f>1000000+1000000</f>
        <v>2000000</v>
      </c>
      <c r="AJ100" s="181">
        <f t="shared" si="27"/>
        <v>54.054054054054056</v>
      </c>
      <c r="AK100" s="180">
        <f t="shared" si="30"/>
        <v>1700000</v>
      </c>
      <c r="AL100" s="181">
        <f t="shared" si="28"/>
        <v>45.945945945945951</v>
      </c>
      <c r="AM100" s="243"/>
    </row>
    <row r="101" spans="1:39" ht="26.25" customHeight="1" x14ac:dyDescent="0.25">
      <c r="A101" s="243"/>
      <c r="B101" s="437"/>
      <c r="C101" s="437"/>
      <c r="D101" s="437"/>
      <c r="E101" s="437"/>
      <c r="F101" s="437"/>
      <c r="G101" s="437"/>
      <c r="H101" s="437"/>
      <c r="I101" s="438"/>
      <c r="J101" s="437" t="s">
        <v>315</v>
      </c>
      <c r="K101" s="245"/>
      <c r="L101" s="257"/>
      <c r="M101" s="597" t="s">
        <v>271</v>
      </c>
      <c r="N101" s="598"/>
      <c r="O101" s="299"/>
      <c r="P101" s="180"/>
      <c r="Q101" s="180">
        <v>2000000</v>
      </c>
      <c r="R101" s="181">
        <f t="shared" si="32"/>
        <v>6.369426751592357</v>
      </c>
      <c r="S101" s="181">
        <v>100</v>
      </c>
      <c r="T101" s="180">
        <f t="shared" si="23"/>
        <v>40</v>
      </c>
      <c r="U101" s="180">
        <f t="shared" si="33"/>
        <v>2.547770700636943</v>
      </c>
      <c r="V101" s="182">
        <f t="shared" si="25"/>
        <v>60</v>
      </c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>
        <f>400000+400000</f>
        <v>800000</v>
      </c>
      <c r="AJ101" s="181">
        <f t="shared" si="27"/>
        <v>40</v>
      </c>
      <c r="AK101" s="180">
        <f t="shared" si="30"/>
        <v>1200000</v>
      </c>
      <c r="AL101" s="181">
        <f t="shared" si="28"/>
        <v>60</v>
      </c>
      <c r="AM101" s="243"/>
    </row>
    <row r="102" spans="1:39" ht="26.25" customHeight="1" x14ac:dyDescent="0.25">
      <c r="A102" s="243"/>
      <c r="B102" s="437"/>
      <c r="C102" s="437"/>
      <c r="D102" s="437"/>
      <c r="E102" s="437"/>
      <c r="F102" s="437"/>
      <c r="G102" s="437"/>
      <c r="H102" s="437"/>
      <c r="I102" s="438"/>
      <c r="J102" s="437" t="s">
        <v>278</v>
      </c>
      <c r="K102" s="245"/>
      <c r="L102" s="257"/>
      <c r="M102" s="597" t="s">
        <v>279</v>
      </c>
      <c r="N102" s="598"/>
      <c r="O102" s="299"/>
      <c r="P102" s="180"/>
      <c r="Q102" s="180">
        <v>2160000</v>
      </c>
      <c r="R102" s="181">
        <f t="shared" si="32"/>
        <v>6.8789808917197455</v>
      </c>
      <c r="S102" s="181">
        <v>100</v>
      </c>
      <c r="T102" s="180">
        <f t="shared" si="23"/>
        <v>50</v>
      </c>
      <c r="U102" s="180">
        <f t="shared" si="33"/>
        <v>3.4394904458598727</v>
      </c>
      <c r="V102" s="182">
        <f t="shared" si="25"/>
        <v>50</v>
      </c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>
        <f>540000+540000</f>
        <v>1080000</v>
      </c>
      <c r="AJ102" s="181">
        <f t="shared" si="27"/>
        <v>50</v>
      </c>
      <c r="AK102" s="180">
        <f t="shared" si="30"/>
        <v>1080000</v>
      </c>
      <c r="AL102" s="181">
        <f t="shared" si="28"/>
        <v>50</v>
      </c>
      <c r="AM102" s="243"/>
    </row>
    <row r="103" spans="1:39" ht="26.25" customHeight="1" x14ac:dyDescent="0.25">
      <c r="A103" s="243"/>
      <c r="B103" s="437"/>
      <c r="C103" s="437"/>
      <c r="D103" s="437"/>
      <c r="E103" s="437"/>
      <c r="F103" s="437"/>
      <c r="G103" s="437"/>
      <c r="H103" s="437"/>
      <c r="I103" s="438"/>
      <c r="J103" s="437" t="s">
        <v>284</v>
      </c>
      <c r="K103" s="245"/>
      <c r="L103" s="257"/>
      <c r="M103" s="597" t="s">
        <v>285</v>
      </c>
      <c r="N103" s="598"/>
      <c r="O103" s="299"/>
      <c r="P103" s="180"/>
      <c r="Q103" s="180">
        <v>15000000</v>
      </c>
      <c r="R103" s="181">
        <f t="shared" si="32"/>
        <v>47.770700636942678</v>
      </c>
      <c r="S103" s="181">
        <v>100</v>
      </c>
      <c r="T103" s="180">
        <f t="shared" si="23"/>
        <v>0</v>
      </c>
      <c r="U103" s="180">
        <f t="shared" si="33"/>
        <v>0</v>
      </c>
      <c r="V103" s="182">
        <f t="shared" si="25"/>
        <v>100</v>
      </c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>
        <v>0</v>
      </c>
      <c r="AJ103" s="181">
        <f t="shared" si="27"/>
        <v>0</v>
      </c>
      <c r="AK103" s="180">
        <f t="shared" si="30"/>
        <v>15000000</v>
      </c>
      <c r="AL103" s="181">
        <f t="shared" si="28"/>
        <v>100</v>
      </c>
      <c r="AM103" s="243"/>
    </row>
    <row r="104" spans="1:39" ht="26.25" customHeight="1" x14ac:dyDescent="0.25">
      <c r="A104" s="243"/>
      <c r="B104" s="437"/>
      <c r="C104" s="437"/>
      <c r="D104" s="437"/>
      <c r="E104" s="437"/>
      <c r="F104" s="437"/>
      <c r="G104" s="437"/>
      <c r="H104" s="437"/>
      <c r="I104" s="438"/>
      <c r="J104" s="437" t="s">
        <v>282</v>
      </c>
      <c r="K104" s="245"/>
      <c r="L104" s="257"/>
      <c r="M104" s="597" t="s">
        <v>503</v>
      </c>
      <c r="N104" s="598"/>
      <c r="O104" s="299"/>
      <c r="P104" s="180"/>
      <c r="Q104" s="180">
        <v>10000000</v>
      </c>
      <c r="R104" s="181">
        <f t="shared" si="32"/>
        <v>31.847133757961782</v>
      </c>
      <c r="S104" s="181">
        <v>100</v>
      </c>
      <c r="T104" s="180">
        <f t="shared" si="23"/>
        <v>0</v>
      </c>
      <c r="U104" s="180">
        <f t="shared" si="33"/>
        <v>0</v>
      </c>
      <c r="V104" s="182">
        <f t="shared" si="25"/>
        <v>100</v>
      </c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>
        <v>0</v>
      </c>
      <c r="AJ104" s="181">
        <f t="shared" si="27"/>
        <v>0</v>
      </c>
      <c r="AK104" s="180">
        <f t="shared" si="30"/>
        <v>10000000</v>
      </c>
      <c r="AL104" s="181">
        <f t="shared" si="28"/>
        <v>100</v>
      </c>
      <c r="AM104" s="243"/>
    </row>
    <row r="105" spans="1:39" ht="26.25" customHeight="1" x14ac:dyDescent="0.25">
      <c r="A105" s="243"/>
      <c r="B105" s="437"/>
      <c r="C105" s="437"/>
      <c r="D105" s="437"/>
      <c r="E105" s="437"/>
      <c r="F105" s="437"/>
      <c r="G105" s="437"/>
      <c r="H105" s="437"/>
      <c r="I105" s="438"/>
      <c r="J105" s="437" t="s">
        <v>304</v>
      </c>
      <c r="K105" s="245"/>
      <c r="L105" s="257"/>
      <c r="M105" s="597" t="s">
        <v>549</v>
      </c>
      <c r="N105" s="598"/>
      <c r="O105" s="299"/>
      <c r="P105" s="180"/>
      <c r="Q105" s="180">
        <v>6000000</v>
      </c>
      <c r="R105" s="181">
        <f t="shared" si="32"/>
        <v>19.108280254777071</v>
      </c>
      <c r="S105" s="181">
        <v>100</v>
      </c>
      <c r="T105" s="180">
        <f t="shared" si="23"/>
        <v>8.3333333333333321</v>
      </c>
      <c r="U105" s="180">
        <f t="shared" si="33"/>
        <v>1.592356687898089</v>
      </c>
      <c r="V105" s="182">
        <f t="shared" si="25"/>
        <v>91.666666666666671</v>
      </c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>
        <v>500000</v>
      </c>
      <c r="AJ105" s="181">
        <f t="shared" si="27"/>
        <v>8.3333333333333321</v>
      </c>
      <c r="AK105" s="180">
        <f t="shared" si="30"/>
        <v>5500000</v>
      </c>
      <c r="AL105" s="181">
        <f t="shared" si="28"/>
        <v>91.666666666666657</v>
      </c>
      <c r="AM105" s="243"/>
    </row>
    <row r="106" spans="1:39" ht="26.25" customHeight="1" x14ac:dyDescent="0.25">
      <c r="A106" s="243"/>
      <c r="B106" s="437"/>
      <c r="C106" s="437"/>
      <c r="D106" s="437"/>
      <c r="E106" s="437"/>
      <c r="F106" s="437"/>
      <c r="G106" s="437"/>
      <c r="H106" s="437"/>
      <c r="I106" s="438"/>
      <c r="J106" s="437" t="s">
        <v>551</v>
      </c>
      <c r="K106" s="245"/>
      <c r="L106" s="257"/>
      <c r="M106" s="597" t="s">
        <v>550</v>
      </c>
      <c r="N106" s="598"/>
      <c r="O106" s="299"/>
      <c r="P106" s="180"/>
      <c r="Q106" s="180">
        <v>10800000</v>
      </c>
      <c r="R106" s="181">
        <f t="shared" si="32"/>
        <v>34.394904458598724</v>
      </c>
      <c r="S106" s="181">
        <v>100</v>
      </c>
      <c r="T106" s="180">
        <f t="shared" si="23"/>
        <v>41.666666666666671</v>
      </c>
      <c r="U106" s="180">
        <f t="shared" si="33"/>
        <v>14.331210191082803</v>
      </c>
      <c r="V106" s="182">
        <f t="shared" si="25"/>
        <v>58.333333333333329</v>
      </c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>
        <f>1800000+900000+900000+900000</f>
        <v>4500000</v>
      </c>
      <c r="AJ106" s="181">
        <f t="shared" si="27"/>
        <v>41.666666666666671</v>
      </c>
      <c r="AK106" s="180">
        <f t="shared" si="30"/>
        <v>6300000</v>
      </c>
      <c r="AL106" s="181">
        <f t="shared" si="28"/>
        <v>58.333333333333336</v>
      </c>
      <c r="AM106" s="243"/>
    </row>
    <row r="107" spans="1:39" ht="26.25" customHeight="1" x14ac:dyDescent="0.25">
      <c r="A107" s="243"/>
      <c r="B107" s="437"/>
      <c r="C107" s="437"/>
      <c r="D107" s="437"/>
      <c r="E107" s="437"/>
      <c r="F107" s="437"/>
      <c r="G107" s="437"/>
      <c r="H107" s="437"/>
      <c r="I107" s="438"/>
      <c r="J107" s="437" t="s">
        <v>553</v>
      </c>
      <c r="K107" s="245"/>
      <c r="L107" s="257"/>
      <c r="M107" s="597" t="s">
        <v>552</v>
      </c>
      <c r="N107" s="598"/>
      <c r="O107" s="299"/>
      <c r="P107" s="180"/>
      <c r="Q107" s="180">
        <v>1500000</v>
      </c>
      <c r="R107" s="181">
        <f t="shared" si="32"/>
        <v>4.7770700636942678</v>
      </c>
      <c r="S107" s="181">
        <v>100</v>
      </c>
      <c r="T107" s="180">
        <f t="shared" si="23"/>
        <v>0</v>
      </c>
      <c r="U107" s="180">
        <f t="shared" si="33"/>
        <v>0</v>
      </c>
      <c r="V107" s="182">
        <f t="shared" si="25"/>
        <v>100</v>
      </c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>
        <v>0</v>
      </c>
      <c r="AJ107" s="181">
        <f t="shared" si="27"/>
        <v>0</v>
      </c>
      <c r="AK107" s="180">
        <f t="shared" si="30"/>
        <v>1500000</v>
      </c>
      <c r="AL107" s="181">
        <f t="shared" si="28"/>
        <v>100</v>
      </c>
      <c r="AM107" s="243"/>
    </row>
    <row r="108" spans="1:39" ht="26.25" customHeight="1" x14ac:dyDescent="0.25">
      <c r="A108" s="243"/>
      <c r="B108" s="437"/>
      <c r="C108" s="437"/>
      <c r="D108" s="437"/>
      <c r="E108" s="437"/>
      <c r="F108" s="437"/>
      <c r="G108" s="437"/>
      <c r="H108" s="437"/>
      <c r="I108" s="438"/>
      <c r="J108" s="437" t="s">
        <v>554</v>
      </c>
      <c r="K108" s="245"/>
      <c r="L108" s="257"/>
      <c r="M108" s="597" t="s">
        <v>431</v>
      </c>
      <c r="N108" s="598"/>
      <c r="O108" s="299"/>
      <c r="P108" s="180"/>
      <c r="Q108" s="180">
        <v>2000000</v>
      </c>
      <c r="R108" s="181">
        <f t="shared" si="32"/>
        <v>6.369426751592357</v>
      </c>
      <c r="S108" s="181">
        <v>100</v>
      </c>
      <c r="T108" s="180">
        <f t="shared" si="23"/>
        <v>0</v>
      </c>
      <c r="U108" s="180">
        <f t="shared" si="33"/>
        <v>0</v>
      </c>
      <c r="V108" s="182">
        <f t="shared" si="25"/>
        <v>100</v>
      </c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>
        <v>0</v>
      </c>
      <c r="AJ108" s="181">
        <f t="shared" si="27"/>
        <v>0</v>
      </c>
      <c r="AK108" s="180">
        <f t="shared" si="30"/>
        <v>2000000</v>
      </c>
      <c r="AL108" s="181">
        <f t="shared" si="28"/>
        <v>100</v>
      </c>
      <c r="AM108" s="243"/>
    </row>
    <row r="109" spans="1:39" ht="26.25" customHeight="1" x14ac:dyDescent="0.25">
      <c r="A109" s="243"/>
      <c r="B109" s="437"/>
      <c r="C109" s="437"/>
      <c r="D109" s="437"/>
      <c r="E109" s="437"/>
      <c r="F109" s="437"/>
      <c r="G109" s="437"/>
      <c r="H109" s="437"/>
      <c r="I109" s="438"/>
      <c r="J109" s="437" t="s">
        <v>274</v>
      </c>
      <c r="K109" s="245"/>
      <c r="L109" s="257"/>
      <c r="M109" s="597" t="s">
        <v>555</v>
      </c>
      <c r="N109" s="598"/>
      <c r="O109" s="299"/>
      <c r="P109" s="180"/>
      <c r="Q109" s="180">
        <v>2500000</v>
      </c>
      <c r="R109" s="181">
        <f t="shared" si="32"/>
        <v>7.9617834394904454</v>
      </c>
      <c r="S109" s="181">
        <v>100</v>
      </c>
      <c r="T109" s="180">
        <f t="shared" si="23"/>
        <v>0</v>
      </c>
      <c r="U109" s="180">
        <f t="shared" si="33"/>
        <v>0</v>
      </c>
      <c r="V109" s="182">
        <f t="shared" si="25"/>
        <v>100</v>
      </c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>
        <v>0</v>
      </c>
      <c r="AJ109" s="181">
        <f t="shared" si="27"/>
        <v>0</v>
      </c>
      <c r="AK109" s="180">
        <f t="shared" si="30"/>
        <v>2500000</v>
      </c>
      <c r="AL109" s="181">
        <f t="shared" si="28"/>
        <v>100</v>
      </c>
      <c r="AM109" s="243"/>
    </row>
    <row r="110" spans="1:39" ht="26.25" customHeight="1" x14ac:dyDescent="0.25">
      <c r="A110" s="227">
        <f>A96+1</f>
        <v>14</v>
      </c>
      <c r="B110" s="615" t="s">
        <v>124</v>
      </c>
      <c r="C110" s="615"/>
      <c r="D110" s="615"/>
      <c r="E110" s="615"/>
      <c r="F110" s="615"/>
      <c r="G110" s="615"/>
      <c r="H110" s="615"/>
      <c r="I110" s="614"/>
      <c r="J110" s="442" t="s">
        <v>547</v>
      </c>
      <c r="K110" s="230"/>
      <c r="L110" s="294"/>
      <c r="M110" s="615" t="s">
        <v>556</v>
      </c>
      <c r="N110" s="614"/>
      <c r="O110" s="295">
        <v>17600000</v>
      </c>
      <c r="P110" s="231">
        <f>O110</f>
        <v>17600000</v>
      </c>
      <c r="Q110" s="231">
        <f>SUM(Q111:Q123)</f>
        <v>76640000</v>
      </c>
      <c r="R110" s="233">
        <f>Q110/Q$59*100</f>
        <v>3.0341495303253714</v>
      </c>
      <c r="S110" s="233">
        <v>100</v>
      </c>
      <c r="T110" s="231">
        <f t="shared" si="23"/>
        <v>26.852818371607519</v>
      </c>
      <c r="U110" s="231">
        <f t="shared" si="33"/>
        <v>0.81475466250125461</v>
      </c>
      <c r="V110" s="296">
        <f t="shared" si="25"/>
        <v>73.147181628392474</v>
      </c>
      <c r="W110" s="231"/>
      <c r="X110" s="231" t="e">
        <f>#REF!</f>
        <v>#REF!</v>
      </c>
      <c r="Y110" s="231" t="e">
        <f>#REF!</f>
        <v>#REF!</v>
      </c>
      <c r="Z110" s="231" t="e">
        <f>#REF!</f>
        <v>#REF!</v>
      </c>
      <c r="AA110" s="231" t="e">
        <f>#REF!</f>
        <v>#REF!</v>
      </c>
      <c r="AB110" s="231">
        <v>13150000</v>
      </c>
      <c r="AC110" s="231" t="e">
        <f>#REF!</f>
        <v>#REF!</v>
      </c>
      <c r="AD110" s="231" t="e">
        <f>#REF!</f>
        <v>#REF!</v>
      </c>
      <c r="AE110" s="231" t="e">
        <f>#REF!</f>
        <v>#REF!</v>
      </c>
      <c r="AF110" s="231" t="e">
        <f>[1]April!N47</f>
        <v>#REF!</v>
      </c>
      <c r="AG110" s="231" t="e">
        <f>[2]april!N47</f>
        <v>#REF!</v>
      </c>
      <c r="AH110" s="231" t="e">
        <f>'[3]DES SKPD'!$N47</f>
        <v>#REF!</v>
      </c>
      <c r="AI110" s="231">
        <f>SUM(AI111:AI123)</f>
        <v>20580000</v>
      </c>
      <c r="AJ110" s="233">
        <f t="shared" si="27"/>
        <v>26.852818371607519</v>
      </c>
      <c r="AK110" s="231">
        <f t="shared" si="30"/>
        <v>56060000</v>
      </c>
      <c r="AL110" s="233">
        <f t="shared" si="28"/>
        <v>73.147181628392488</v>
      </c>
      <c r="AM110" s="243"/>
    </row>
    <row r="111" spans="1:39" ht="26.25" customHeight="1" x14ac:dyDescent="0.25">
      <c r="A111" s="243"/>
      <c r="B111" s="437"/>
      <c r="C111" s="437"/>
      <c r="D111" s="437"/>
      <c r="E111" s="437"/>
      <c r="F111" s="437"/>
      <c r="G111" s="437"/>
      <c r="H111" s="437"/>
      <c r="I111" s="438"/>
      <c r="J111" s="437" t="s">
        <v>265</v>
      </c>
      <c r="K111" s="245"/>
      <c r="L111" s="257"/>
      <c r="M111" s="597" t="s">
        <v>266</v>
      </c>
      <c r="N111" s="598"/>
      <c r="O111" s="299"/>
      <c r="P111" s="180"/>
      <c r="Q111" s="180">
        <v>6530000</v>
      </c>
      <c r="R111" s="181">
        <f t="shared" ref="R111:R123" si="34">Q111/Q$94*100</f>
        <v>20.796178343949045</v>
      </c>
      <c r="S111" s="181">
        <v>100</v>
      </c>
      <c r="T111" s="180">
        <f t="shared" si="23"/>
        <v>24.502297090352222</v>
      </c>
      <c r="U111" s="180">
        <f>R111*T111/100</f>
        <v>5.095541401273886</v>
      </c>
      <c r="V111" s="182">
        <f t="shared" si="25"/>
        <v>75.497702909647785</v>
      </c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>
        <v>1600000</v>
      </c>
      <c r="AJ111" s="181">
        <f t="shared" si="27"/>
        <v>24.502297090352222</v>
      </c>
      <c r="AK111" s="180">
        <f t="shared" si="30"/>
        <v>4930000</v>
      </c>
      <c r="AL111" s="181">
        <f t="shared" si="28"/>
        <v>75.497702909647785</v>
      </c>
      <c r="AM111" s="243"/>
    </row>
    <row r="112" spans="1:39" ht="26.25" customHeight="1" x14ac:dyDescent="0.25">
      <c r="A112" s="243"/>
      <c r="B112" s="437"/>
      <c r="C112" s="437"/>
      <c r="D112" s="437"/>
      <c r="E112" s="437"/>
      <c r="F112" s="437"/>
      <c r="G112" s="437"/>
      <c r="H112" s="437"/>
      <c r="I112" s="438"/>
      <c r="J112" s="437" t="s">
        <v>272</v>
      </c>
      <c r="K112" s="245"/>
      <c r="L112" s="257"/>
      <c r="M112" s="597" t="s">
        <v>429</v>
      </c>
      <c r="N112" s="598"/>
      <c r="O112" s="299"/>
      <c r="P112" s="180"/>
      <c r="Q112" s="180">
        <v>2000000</v>
      </c>
      <c r="R112" s="181">
        <f t="shared" si="34"/>
        <v>6.369426751592357</v>
      </c>
      <c r="S112" s="181">
        <v>100</v>
      </c>
      <c r="T112" s="180">
        <f t="shared" si="23"/>
        <v>25</v>
      </c>
      <c r="U112" s="180">
        <f t="shared" ref="U112:U123" si="35">R112*T112/100</f>
        <v>1.5923566878980893</v>
      </c>
      <c r="V112" s="182">
        <f t="shared" si="25"/>
        <v>75</v>
      </c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>
        <v>500000</v>
      </c>
      <c r="AJ112" s="181">
        <f t="shared" si="27"/>
        <v>25</v>
      </c>
      <c r="AK112" s="180">
        <f t="shared" si="30"/>
        <v>1500000</v>
      </c>
      <c r="AL112" s="181">
        <f t="shared" si="28"/>
        <v>75</v>
      </c>
      <c r="AM112" s="243"/>
    </row>
    <row r="113" spans="1:39" ht="26.25" customHeight="1" x14ac:dyDescent="0.25">
      <c r="A113" s="243"/>
      <c r="B113" s="437"/>
      <c r="C113" s="437"/>
      <c r="D113" s="437"/>
      <c r="E113" s="437"/>
      <c r="F113" s="437"/>
      <c r="G113" s="437"/>
      <c r="H113" s="437"/>
      <c r="I113" s="438"/>
      <c r="J113" s="437" t="s">
        <v>249</v>
      </c>
      <c r="K113" s="245"/>
      <c r="L113" s="257"/>
      <c r="M113" s="597" t="s">
        <v>250</v>
      </c>
      <c r="N113" s="598"/>
      <c r="O113" s="299"/>
      <c r="P113" s="180"/>
      <c r="Q113" s="180">
        <v>240000</v>
      </c>
      <c r="R113" s="181">
        <f t="shared" si="34"/>
        <v>0.76433121019108285</v>
      </c>
      <c r="S113" s="181">
        <v>100</v>
      </c>
      <c r="T113" s="180">
        <f t="shared" si="23"/>
        <v>25</v>
      </c>
      <c r="U113" s="180">
        <f t="shared" si="35"/>
        <v>0.19108280254777071</v>
      </c>
      <c r="V113" s="182">
        <f t="shared" si="25"/>
        <v>75</v>
      </c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>
        <v>60000</v>
      </c>
      <c r="AJ113" s="181">
        <f t="shared" si="27"/>
        <v>25</v>
      </c>
      <c r="AK113" s="180">
        <f t="shared" si="30"/>
        <v>180000</v>
      </c>
      <c r="AL113" s="181">
        <f t="shared" si="28"/>
        <v>75</v>
      </c>
      <c r="AM113" s="243"/>
    </row>
    <row r="114" spans="1:39" ht="26.25" customHeight="1" x14ac:dyDescent="0.25">
      <c r="A114" s="243"/>
      <c r="B114" s="437"/>
      <c r="C114" s="437"/>
      <c r="D114" s="437"/>
      <c r="E114" s="437"/>
      <c r="F114" s="437"/>
      <c r="G114" s="437"/>
      <c r="H114" s="437"/>
      <c r="I114" s="438"/>
      <c r="J114" s="437" t="s">
        <v>261</v>
      </c>
      <c r="K114" s="245"/>
      <c r="L114" s="257"/>
      <c r="M114" s="597" t="s">
        <v>262</v>
      </c>
      <c r="N114" s="598"/>
      <c r="O114" s="299"/>
      <c r="P114" s="180"/>
      <c r="Q114" s="180">
        <v>3300000</v>
      </c>
      <c r="R114" s="181">
        <f t="shared" si="34"/>
        <v>10.509554140127388</v>
      </c>
      <c r="S114" s="181">
        <v>100</v>
      </c>
      <c r="T114" s="180">
        <f t="shared" si="23"/>
        <v>24.242424242424242</v>
      </c>
      <c r="U114" s="180">
        <f t="shared" si="35"/>
        <v>2.5477707006369426</v>
      </c>
      <c r="V114" s="182">
        <f t="shared" si="25"/>
        <v>75.757575757575751</v>
      </c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>
        <v>800000</v>
      </c>
      <c r="AJ114" s="181">
        <f t="shared" si="27"/>
        <v>24.242424242424242</v>
      </c>
      <c r="AK114" s="180">
        <f t="shared" si="30"/>
        <v>2500000</v>
      </c>
      <c r="AL114" s="181">
        <f t="shared" si="28"/>
        <v>75.757575757575751</v>
      </c>
      <c r="AM114" s="243"/>
    </row>
    <row r="115" spans="1:39" ht="26.25" customHeight="1" x14ac:dyDescent="0.25">
      <c r="A115" s="243"/>
      <c r="B115" s="437"/>
      <c r="C115" s="437"/>
      <c r="D115" s="437"/>
      <c r="E115" s="437"/>
      <c r="F115" s="437"/>
      <c r="G115" s="437"/>
      <c r="H115" s="437"/>
      <c r="I115" s="438"/>
      <c r="J115" s="437" t="s">
        <v>409</v>
      </c>
      <c r="K115" s="245"/>
      <c r="L115" s="257"/>
      <c r="M115" s="597" t="s">
        <v>410</v>
      </c>
      <c r="N115" s="598"/>
      <c r="O115" s="299"/>
      <c r="P115" s="180"/>
      <c r="Q115" s="180">
        <v>12000000</v>
      </c>
      <c r="R115" s="181">
        <f t="shared" si="34"/>
        <v>38.216560509554142</v>
      </c>
      <c r="S115" s="181">
        <v>101</v>
      </c>
      <c r="T115" s="180">
        <f t="shared" si="23"/>
        <v>24.75</v>
      </c>
      <c r="U115" s="180">
        <f t="shared" si="35"/>
        <v>9.4585987261146496</v>
      </c>
      <c r="V115" s="182">
        <f t="shared" si="25"/>
        <v>76.25</v>
      </c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>
        <f>982500+1987500</f>
        <v>2970000</v>
      </c>
      <c r="AJ115" s="181">
        <f t="shared" si="27"/>
        <v>24.75</v>
      </c>
      <c r="AK115" s="180">
        <f t="shared" si="30"/>
        <v>9030000</v>
      </c>
      <c r="AL115" s="181">
        <f t="shared" si="28"/>
        <v>75.25</v>
      </c>
      <c r="AM115" s="243"/>
    </row>
    <row r="116" spans="1:39" ht="26.25" customHeight="1" x14ac:dyDescent="0.25">
      <c r="A116" s="243"/>
      <c r="B116" s="437"/>
      <c r="C116" s="437"/>
      <c r="D116" s="437"/>
      <c r="E116" s="437"/>
      <c r="F116" s="437"/>
      <c r="G116" s="437"/>
      <c r="H116" s="437"/>
      <c r="I116" s="438"/>
      <c r="J116" s="437" t="s">
        <v>315</v>
      </c>
      <c r="K116" s="245"/>
      <c r="L116" s="257"/>
      <c r="M116" s="597" t="s">
        <v>271</v>
      </c>
      <c r="N116" s="598"/>
      <c r="O116" s="299"/>
      <c r="P116" s="180"/>
      <c r="Q116" s="180">
        <v>2000000</v>
      </c>
      <c r="R116" s="181">
        <f t="shared" si="34"/>
        <v>6.369426751592357</v>
      </c>
      <c r="S116" s="181">
        <v>100</v>
      </c>
      <c r="T116" s="180">
        <f t="shared" si="23"/>
        <v>25</v>
      </c>
      <c r="U116" s="180">
        <f t="shared" si="35"/>
        <v>1.5923566878980893</v>
      </c>
      <c r="V116" s="182">
        <f t="shared" si="25"/>
        <v>75</v>
      </c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>
        <v>500000</v>
      </c>
      <c r="AJ116" s="181">
        <f t="shared" si="27"/>
        <v>25</v>
      </c>
      <c r="AK116" s="180">
        <f t="shared" si="30"/>
        <v>1500000</v>
      </c>
      <c r="AL116" s="181">
        <f t="shared" si="28"/>
        <v>75</v>
      </c>
      <c r="AM116" s="243"/>
    </row>
    <row r="117" spans="1:39" ht="26.25" customHeight="1" x14ac:dyDescent="0.25">
      <c r="A117" s="243"/>
      <c r="B117" s="437"/>
      <c r="C117" s="437"/>
      <c r="D117" s="437"/>
      <c r="E117" s="437"/>
      <c r="F117" s="437"/>
      <c r="G117" s="437"/>
      <c r="H117" s="437"/>
      <c r="I117" s="438"/>
      <c r="J117" s="437" t="s">
        <v>278</v>
      </c>
      <c r="K117" s="245"/>
      <c r="L117" s="257"/>
      <c r="M117" s="597" t="s">
        <v>279</v>
      </c>
      <c r="N117" s="598"/>
      <c r="O117" s="299"/>
      <c r="P117" s="180"/>
      <c r="Q117" s="180">
        <v>2160000</v>
      </c>
      <c r="R117" s="181">
        <f t="shared" si="34"/>
        <v>6.8789808917197455</v>
      </c>
      <c r="S117" s="181">
        <v>100</v>
      </c>
      <c r="T117" s="180">
        <f t="shared" si="23"/>
        <v>23.148148148148149</v>
      </c>
      <c r="U117" s="180">
        <f t="shared" si="35"/>
        <v>1.5923566878980893</v>
      </c>
      <c r="V117" s="182">
        <f t="shared" si="25"/>
        <v>76.851851851851848</v>
      </c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>
        <v>500000</v>
      </c>
      <c r="AJ117" s="181">
        <f t="shared" si="27"/>
        <v>23.148148148148149</v>
      </c>
      <c r="AK117" s="180">
        <f t="shared" si="30"/>
        <v>1660000</v>
      </c>
      <c r="AL117" s="181">
        <f t="shared" si="28"/>
        <v>76.851851851851848</v>
      </c>
      <c r="AM117" s="243"/>
    </row>
    <row r="118" spans="1:39" ht="26.25" customHeight="1" x14ac:dyDescent="0.25">
      <c r="A118" s="243"/>
      <c r="B118" s="437"/>
      <c r="C118" s="437"/>
      <c r="D118" s="437"/>
      <c r="E118" s="437"/>
      <c r="F118" s="437"/>
      <c r="G118" s="437"/>
      <c r="H118" s="437"/>
      <c r="I118" s="438"/>
      <c r="J118" s="437" t="s">
        <v>284</v>
      </c>
      <c r="K118" s="245"/>
      <c r="L118" s="257"/>
      <c r="M118" s="597" t="s">
        <v>285</v>
      </c>
      <c r="N118" s="598"/>
      <c r="O118" s="299"/>
      <c r="P118" s="180"/>
      <c r="Q118" s="180">
        <v>18900000</v>
      </c>
      <c r="R118" s="181">
        <f t="shared" si="34"/>
        <v>60.191082802547768</v>
      </c>
      <c r="S118" s="181">
        <v>100</v>
      </c>
      <c r="T118" s="180">
        <f t="shared" si="23"/>
        <v>24.603174603174601</v>
      </c>
      <c r="U118" s="180">
        <f t="shared" si="35"/>
        <v>14.808917197452226</v>
      </c>
      <c r="V118" s="182">
        <f t="shared" si="25"/>
        <v>75.396825396825392</v>
      </c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>
        <v>4650000</v>
      </c>
      <c r="AJ118" s="181">
        <f t="shared" si="27"/>
        <v>24.603174603174601</v>
      </c>
      <c r="AK118" s="180">
        <f t="shared" si="30"/>
        <v>14250000</v>
      </c>
      <c r="AL118" s="181">
        <f t="shared" si="28"/>
        <v>75.396825396825392</v>
      </c>
      <c r="AM118" s="243"/>
    </row>
    <row r="119" spans="1:39" ht="26.25" customHeight="1" x14ac:dyDescent="0.25">
      <c r="A119" s="243"/>
      <c r="B119" s="437"/>
      <c r="C119" s="437"/>
      <c r="D119" s="437"/>
      <c r="E119" s="437"/>
      <c r="F119" s="437"/>
      <c r="G119" s="437"/>
      <c r="H119" s="437"/>
      <c r="I119" s="438"/>
      <c r="J119" s="437" t="s">
        <v>282</v>
      </c>
      <c r="K119" s="245"/>
      <c r="L119" s="257"/>
      <c r="M119" s="597" t="s">
        <v>503</v>
      </c>
      <c r="N119" s="598"/>
      <c r="O119" s="299"/>
      <c r="P119" s="180"/>
      <c r="Q119" s="180">
        <v>4110000</v>
      </c>
      <c r="R119" s="181">
        <f t="shared" si="34"/>
        <v>13.089171974522293</v>
      </c>
      <c r="S119" s="181">
        <v>100</v>
      </c>
      <c r="T119" s="180">
        <f t="shared" si="23"/>
        <v>0</v>
      </c>
      <c r="U119" s="180">
        <f t="shared" si="35"/>
        <v>0</v>
      </c>
      <c r="V119" s="182">
        <f t="shared" si="25"/>
        <v>100</v>
      </c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>
        <v>0</v>
      </c>
      <c r="AJ119" s="181">
        <f t="shared" si="27"/>
        <v>0</v>
      </c>
      <c r="AK119" s="180">
        <f t="shared" si="30"/>
        <v>4110000</v>
      </c>
      <c r="AL119" s="181">
        <f t="shared" si="28"/>
        <v>100</v>
      </c>
      <c r="AM119" s="243"/>
    </row>
    <row r="120" spans="1:39" ht="26.25" customHeight="1" x14ac:dyDescent="0.25">
      <c r="A120" s="243"/>
      <c r="B120" s="437"/>
      <c r="C120" s="437"/>
      <c r="D120" s="437"/>
      <c r="E120" s="437"/>
      <c r="F120" s="437"/>
      <c r="G120" s="437"/>
      <c r="H120" s="437"/>
      <c r="I120" s="438"/>
      <c r="J120" s="437" t="s">
        <v>304</v>
      </c>
      <c r="K120" s="245"/>
      <c r="L120" s="257"/>
      <c r="M120" s="597" t="s">
        <v>549</v>
      </c>
      <c r="N120" s="598"/>
      <c r="O120" s="299"/>
      <c r="P120" s="180"/>
      <c r="Q120" s="180">
        <v>2000000</v>
      </c>
      <c r="R120" s="181">
        <f t="shared" si="34"/>
        <v>6.369426751592357</v>
      </c>
      <c r="S120" s="181">
        <v>100</v>
      </c>
      <c r="T120" s="180">
        <f t="shared" si="23"/>
        <v>25</v>
      </c>
      <c r="U120" s="180">
        <f t="shared" si="35"/>
        <v>1.5923566878980893</v>
      </c>
      <c r="V120" s="182">
        <f t="shared" si="25"/>
        <v>75</v>
      </c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>
        <v>500000</v>
      </c>
      <c r="AJ120" s="181">
        <f t="shared" si="27"/>
        <v>25</v>
      </c>
      <c r="AK120" s="180">
        <f t="shared" si="30"/>
        <v>1500000</v>
      </c>
      <c r="AL120" s="181">
        <f t="shared" si="28"/>
        <v>75</v>
      </c>
      <c r="AM120" s="243"/>
    </row>
    <row r="121" spans="1:39" ht="26.25" customHeight="1" x14ac:dyDescent="0.25">
      <c r="A121" s="243"/>
      <c r="B121" s="437"/>
      <c r="C121" s="437"/>
      <c r="D121" s="437"/>
      <c r="E121" s="437"/>
      <c r="F121" s="437"/>
      <c r="G121" s="437"/>
      <c r="H121" s="437"/>
      <c r="I121" s="438"/>
      <c r="J121" s="437" t="s">
        <v>551</v>
      </c>
      <c r="K121" s="245"/>
      <c r="L121" s="257"/>
      <c r="M121" s="597" t="s">
        <v>550</v>
      </c>
      <c r="N121" s="598"/>
      <c r="O121" s="299"/>
      <c r="P121" s="180"/>
      <c r="Q121" s="180">
        <v>20400000</v>
      </c>
      <c r="R121" s="181">
        <f t="shared" si="34"/>
        <v>64.968152866242036</v>
      </c>
      <c r="S121" s="181">
        <v>100</v>
      </c>
      <c r="T121" s="180">
        <f t="shared" si="23"/>
        <v>41.666666666666671</v>
      </c>
      <c r="U121" s="180">
        <f t="shared" si="35"/>
        <v>27.070063694267517</v>
      </c>
      <c r="V121" s="182">
        <f t="shared" si="25"/>
        <v>58.333333333333329</v>
      </c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>
        <f>3400000+1700000+1700000+1700000</f>
        <v>8500000</v>
      </c>
      <c r="AJ121" s="181">
        <f t="shared" si="27"/>
        <v>41.666666666666671</v>
      </c>
      <c r="AK121" s="180">
        <f t="shared" si="30"/>
        <v>11900000</v>
      </c>
      <c r="AL121" s="181">
        <f t="shared" si="28"/>
        <v>58.333333333333336</v>
      </c>
      <c r="AM121" s="243"/>
    </row>
    <row r="122" spans="1:39" ht="26.25" customHeight="1" x14ac:dyDescent="0.25">
      <c r="A122" s="243"/>
      <c r="B122" s="437"/>
      <c r="C122" s="437"/>
      <c r="D122" s="437"/>
      <c r="E122" s="437"/>
      <c r="F122" s="437"/>
      <c r="G122" s="437"/>
      <c r="H122" s="437"/>
      <c r="I122" s="438"/>
      <c r="J122" s="437" t="s">
        <v>554</v>
      </c>
      <c r="K122" s="245"/>
      <c r="L122" s="257"/>
      <c r="M122" s="597" t="s">
        <v>431</v>
      </c>
      <c r="N122" s="598"/>
      <c r="O122" s="299"/>
      <c r="P122" s="180"/>
      <c r="Q122" s="180">
        <v>2000000</v>
      </c>
      <c r="R122" s="181">
        <f t="shared" si="34"/>
        <v>6.369426751592357</v>
      </c>
      <c r="S122" s="181">
        <v>100</v>
      </c>
      <c r="T122" s="180">
        <f t="shared" si="23"/>
        <v>0</v>
      </c>
      <c r="U122" s="180">
        <f t="shared" si="35"/>
        <v>0</v>
      </c>
      <c r="V122" s="182">
        <f t="shared" si="25"/>
        <v>100</v>
      </c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>
        <v>0</v>
      </c>
      <c r="AJ122" s="181">
        <f t="shared" si="27"/>
        <v>0</v>
      </c>
      <c r="AK122" s="180">
        <f t="shared" si="30"/>
        <v>2000000</v>
      </c>
      <c r="AL122" s="181">
        <f t="shared" si="28"/>
        <v>100</v>
      </c>
      <c r="AM122" s="243"/>
    </row>
    <row r="123" spans="1:39" ht="26.25" customHeight="1" x14ac:dyDescent="0.25">
      <c r="A123" s="243"/>
      <c r="B123" s="437"/>
      <c r="C123" s="437"/>
      <c r="D123" s="437"/>
      <c r="E123" s="437"/>
      <c r="F123" s="437"/>
      <c r="G123" s="437"/>
      <c r="H123" s="437"/>
      <c r="I123" s="438"/>
      <c r="J123" s="437" t="s">
        <v>274</v>
      </c>
      <c r="K123" s="245"/>
      <c r="L123" s="257"/>
      <c r="M123" s="597" t="s">
        <v>555</v>
      </c>
      <c r="N123" s="598"/>
      <c r="O123" s="299"/>
      <c r="P123" s="180"/>
      <c r="Q123" s="180">
        <v>1000000</v>
      </c>
      <c r="R123" s="181">
        <f t="shared" si="34"/>
        <v>3.1847133757961785</v>
      </c>
      <c r="S123" s="181">
        <v>100</v>
      </c>
      <c r="T123" s="180">
        <f t="shared" si="23"/>
        <v>0</v>
      </c>
      <c r="U123" s="180">
        <f t="shared" si="35"/>
        <v>0</v>
      </c>
      <c r="V123" s="182">
        <f t="shared" si="25"/>
        <v>100</v>
      </c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>
        <v>0</v>
      </c>
      <c r="AJ123" s="181">
        <f t="shared" si="27"/>
        <v>0</v>
      </c>
      <c r="AK123" s="180">
        <f t="shared" si="30"/>
        <v>1000000</v>
      </c>
      <c r="AL123" s="181">
        <f t="shared" si="28"/>
        <v>100</v>
      </c>
      <c r="AM123" s="243"/>
    </row>
    <row r="124" spans="1:39" s="226" customFormat="1" ht="27" customHeight="1" x14ac:dyDescent="0.25">
      <c r="A124" s="289" t="s">
        <v>8</v>
      </c>
      <c r="B124" s="625" t="s">
        <v>125</v>
      </c>
      <c r="C124" s="625"/>
      <c r="D124" s="625"/>
      <c r="E124" s="625"/>
      <c r="F124" s="625"/>
      <c r="G124" s="625"/>
      <c r="H124" s="625"/>
      <c r="I124" s="625"/>
      <c r="J124" s="443" t="s">
        <v>440</v>
      </c>
      <c r="K124" s="291"/>
      <c r="L124" s="608" t="s">
        <v>23</v>
      </c>
      <c r="M124" s="625"/>
      <c r="N124" s="625"/>
      <c r="O124" s="263">
        <f>SUM(O127:O158)</f>
        <v>2275595000</v>
      </c>
      <c r="P124" s="263">
        <f>SUM(P127:P158)</f>
        <v>1979635000</v>
      </c>
      <c r="Q124" s="263">
        <f>SUM(Q125+Q127+Q139+Q141+Q144+Q148+Q155+Q157+Q159)</f>
        <v>3511736000</v>
      </c>
      <c r="R124" s="222">
        <f>Q124/Q$58*100</f>
        <v>17.402955822649453</v>
      </c>
      <c r="S124" s="222">
        <v>100</v>
      </c>
      <c r="T124" s="263">
        <f t="shared" si="23"/>
        <v>62.987541005360313</v>
      </c>
      <c r="U124" s="263">
        <f>SUM(R124*T124/100)</f>
        <v>10.961693934936065</v>
      </c>
      <c r="V124" s="292">
        <f>SUM(S124-T124)</f>
        <v>37.012458994639687</v>
      </c>
      <c r="W124" s="263">
        <f t="shared" ref="W124:AH124" si="36">SUM(W127:W158)</f>
        <v>0</v>
      </c>
      <c r="X124" s="263" t="e">
        <f t="shared" si="36"/>
        <v>#REF!</v>
      </c>
      <c r="Y124" s="263" t="e">
        <f t="shared" si="36"/>
        <v>#REF!</v>
      </c>
      <c r="Z124" s="263" t="e">
        <f t="shared" si="36"/>
        <v>#REF!</v>
      </c>
      <c r="AA124" s="263" t="e">
        <f t="shared" si="36"/>
        <v>#REF!</v>
      </c>
      <c r="AB124" s="263">
        <f t="shared" si="36"/>
        <v>3331855358</v>
      </c>
      <c r="AC124" s="263" t="e">
        <f t="shared" si="36"/>
        <v>#REF!</v>
      </c>
      <c r="AD124" s="263" t="e">
        <f t="shared" si="36"/>
        <v>#REF!</v>
      </c>
      <c r="AE124" s="263" t="e">
        <f t="shared" si="36"/>
        <v>#REF!</v>
      </c>
      <c r="AF124" s="263" t="e">
        <f t="shared" si="36"/>
        <v>#REF!</v>
      </c>
      <c r="AG124" s="263" t="e">
        <f t="shared" si="36"/>
        <v>#REF!</v>
      </c>
      <c r="AH124" s="263" t="e">
        <f t="shared" si="36"/>
        <v>#REF!</v>
      </c>
      <c r="AI124" s="263">
        <f>SUM(AI125+AI127+AI139+AI141+AI144+AI148+AI155+AI157+AI159)</f>
        <v>2211956153</v>
      </c>
      <c r="AJ124" s="222">
        <f t="shared" si="27"/>
        <v>62.987541005360313</v>
      </c>
      <c r="AK124" s="263">
        <f>SUM(Q124-AI124)</f>
        <v>1299779847</v>
      </c>
      <c r="AL124" s="222">
        <f t="shared" si="28"/>
        <v>37.012458994639694</v>
      </c>
      <c r="AM124" s="236"/>
    </row>
    <row r="125" spans="1:39" s="235" customFormat="1" ht="27" customHeight="1" x14ac:dyDescent="0.25">
      <c r="A125" s="227">
        <f>A110+1</f>
        <v>15</v>
      </c>
      <c r="B125" s="615" t="s">
        <v>126</v>
      </c>
      <c r="C125" s="615"/>
      <c r="D125" s="615"/>
      <c r="E125" s="615"/>
      <c r="F125" s="615"/>
      <c r="G125" s="615"/>
      <c r="H125" s="615"/>
      <c r="I125" s="614"/>
      <c r="J125" s="304" t="s">
        <v>557</v>
      </c>
      <c r="K125" s="230"/>
      <c r="L125" s="294"/>
      <c r="M125" s="615" t="s">
        <v>558</v>
      </c>
      <c r="N125" s="614"/>
      <c r="O125" s="295">
        <v>833155000</v>
      </c>
      <c r="P125" s="231">
        <f>O125</f>
        <v>833155000</v>
      </c>
      <c r="Q125" s="231">
        <f>SUM(Q126)</f>
        <v>318296000</v>
      </c>
      <c r="R125" s="233">
        <f>Q125/Q$59*100</f>
        <v>12.60122206294943</v>
      </c>
      <c r="S125" s="233">
        <v>100</v>
      </c>
      <c r="T125" s="231">
        <f t="shared" si="23"/>
        <v>35.419860758539222</v>
      </c>
      <c r="U125" s="231">
        <f t="shared" ref="U125:U140" si="37">R125*T125/100</f>
        <v>4.4633353085710121</v>
      </c>
      <c r="V125" s="296">
        <f t="shared" ref="V125:V126" si="38">S125-T125</f>
        <v>64.580139241460785</v>
      </c>
      <c r="W125" s="231"/>
      <c r="X125" s="231" t="e">
        <f>#REF!</f>
        <v>#REF!</v>
      </c>
      <c r="Y125" s="231" t="e">
        <f>#REF!</f>
        <v>#REF!</v>
      </c>
      <c r="Z125" s="231" t="e">
        <f>#REF!</f>
        <v>#REF!</v>
      </c>
      <c r="AA125" s="231" t="e">
        <f>#REF!</f>
        <v>#REF!</v>
      </c>
      <c r="AB125" s="231">
        <v>139212000</v>
      </c>
      <c r="AC125" s="231" t="e">
        <f>#REF!</f>
        <v>#REF!</v>
      </c>
      <c r="AD125" s="231" t="e">
        <f>#REF!</f>
        <v>#REF!</v>
      </c>
      <c r="AE125" s="231" t="e">
        <f>#REF!</f>
        <v>#REF!</v>
      </c>
      <c r="AF125" s="231" t="e">
        <f>[1]April!N30</f>
        <v>#REF!</v>
      </c>
      <c r="AG125" s="231" t="e">
        <f>[2]april!N30</f>
        <v>#REF!</v>
      </c>
      <c r="AH125" s="231">
        <f>'[3]DES SKPD'!$N30</f>
        <v>660543350</v>
      </c>
      <c r="AI125" s="231">
        <f>SUM(AI126)</f>
        <v>112740000</v>
      </c>
      <c r="AJ125" s="233">
        <f t="shared" si="27"/>
        <v>35.419860758539222</v>
      </c>
      <c r="AK125" s="231">
        <f t="shared" ref="AK125:AK160" si="39">Q125-AI125</f>
        <v>205556000</v>
      </c>
      <c r="AL125" s="233">
        <f t="shared" si="28"/>
        <v>64.58013924146077</v>
      </c>
      <c r="AM125" s="227"/>
    </row>
    <row r="126" spans="1:39" s="235" customFormat="1" ht="27" customHeight="1" x14ac:dyDescent="0.25">
      <c r="A126" s="243"/>
      <c r="B126" s="437"/>
      <c r="C126" s="437"/>
      <c r="D126" s="437"/>
      <c r="E126" s="437"/>
      <c r="F126" s="437"/>
      <c r="G126" s="437"/>
      <c r="H126" s="437"/>
      <c r="I126" s="438"/>
      <c r="J126" s="437" t="s">
        <v>434</v>
      </c>
      <c r="K126" s="245"/>
      <c r="L126" s="257"/>
      <c r="M126" s="597" t="s">
        <v>559</v>
      </c>
      <c r="N126" s="598"/>
      <c r="O126" s="299"/>
      <c r="P126" s="180"/>
      <c r="Q126" s="180">
        <v>318296000</v>
      </c>
      <c r="R126" s="181">
        <f t="shared" ref="R126" si="40">Q126/Q$94*100</f>
        <v>1013.6815286624204</v>
      </c>
      <c r="S126" s="181">
        <v>100</v>
      </c>
      <c r="T126" s="180">
        <f t="shared" si="23"/>
        <v>35.419860758539222</v>
      </c>
      <c r="U126" s="180">
        <f t="shared" si="37"/>
        <v>359.04458598726114</v>
      </c>
      <c r="V126" s="182">
        <f t="shared" si="38"/>
        <v>64.580139241460785</v>
      </c>
      <c r="W126" s="180"/>
      <c r="X126" s="180" t="e">
        <f>#REF!</f>
        <v>#REF!</v>
      </c>
      <c r="Y126" s="180" t="e">
        <f>#REF!</f>
        <v>#REF!</v>
      </c>
      <c r="Z126" s="180" t="e">
        <f>#REF!</f>
        <v>#REF!</v>
      </c>
      <c r="AA126" s="180" t="e">
        <f>#REF!</f>
        <v>#REF!</v>
      </c>
      <c r="AB126" s="180">
        <v>139212001</v>
      </c>
      <c r="AC126" s="180" t="e">
        <f>#REF!</f>
        <v>#REF!</v>
      </c>
      <c r="AD126" s="180" t="e">
        <f>#REF!</f>
        <v>#REF!</v>
      </c>
      <c r="AE126" s="180" t="e">
        <f>#REF!</f>
        <v>#REF!</v>
      </c>
      <c r="AF126" s="180" t="e">
        <f>[1]April!N32</f>
        <v>#REF!</v>
      </c>
      <c r="AG126" s="180" t="e">
        <f>[2]april!N32</f>
        <v>#REF!</v>
      </c>
      <c r="AH126" s="180" t="e">
        <f>'[3]DES SKPD'!$N32</f>
        <v>#REF!</v>
      </c>
      <c r="AI126" s="180">
        <f>61250000+51490000</f>
        <v>112740000</v>
      </c>
      <c r="AJ126" s="181">
        <f t="shared" si="27"/>
        <v>35.419860758539222</v>
      </c>
      <c r="AK126" s="180">
        <f t="shared" si="39"/>
        <v>205556000</v>
      </c>
      <c r="AL126" s="181">
        <f t="shared" si="28"/>
        <v>64.58013924146077</v>
      </c>
      <c r="AM126" s="227"/>
    </row>
    <row r="127" spans="1:39" s="297" customFormat="1" ht="33" customHeight="1" x14ac:dyDescent="0.25">
      <c r="A127" s="227">
        <f>A125+1</f>
        <v>16</v>
      </c>
      <c r="B127" s="615" t="s">
        <v>126</v>
      </c>
      <c r="C127" s="615"/>
      <c r="D127" s="615"/>
      <c r="E127" s="615"/>
      <c r="F127" s="615"/>
      <c r="G127" s="615"/>
      <c r="H127" s="615"/>
      <c r="I127" s="614"/>
      <c r="J127" s="304" t="s">
        <v>455</v>
      </c>
      <c r="K127" s="230"/>
      <c r="L127" s="294"/>
      <c r="M127" s="615" t="s">
        <v>24</v>
      </c>
      <c r="N127" s="614"/>
      <c r="O127" s="295">
        <v>833155000</v>
      </c>
      <c r="P127" s="231">
        <f>O127</f>
        <v>833155000</v>
      </c>
      <c r="Q127" s="231">
        <f>SUM(Q128:Q138)</f>
        <v>1068800000</v>
      </c>
      <c r="R127" s="233">
        <f>Q127/Q$59*100</f>
        <v>42.313400548170108</v>
      </c>
      <c r="S127" s="233">
        <v>100</v>
      </c>
      <c r="T127" s="231">
        <f t="shared" si="23"/>
        <v>86.810366766467055</v>
      </c>
      <c r="U127" s="231">
        <f t="shared" si="37"/>
        <v>36.732418207230751</v>
      </c>
      <c r="V127" s="296">
        <f t="shared" si="25"/>
        <v>13.189633233532945</v>
      </c>
      <c r="W127" s="231"/>
      <c r="X127" s="231" t="e">
        <f>#REF!</f>
        <v>#REF!</v>
      </c>
      <c r="Y127" s="231" t="e">
        <f>#REF!</f>
        <v>#REF!</v>
      </c>
      <c r="Z127" s="231" t="e">
        <f>#REF!</f>
        <v>#REF!</v>
      </c>
      <c r="AA127" s="231" t="e">
        <f>#REF!</f>
        <v>#REF!</v>
      </c>
      <c r="AB127" s="231">
        <v>139212000</v>
      </c>
      <c r="AC127" s="231" t="e">
        <f>#REF!</f>
        <v>#REF!</v>
      </c>
      <c r="AD127" s="231" t="e">
        <f>#REF!</f>
        <v>#REF!</v>
      </c>
      <c r="AE127" s="231" t="e">
        <f>#REF!</f>
        <v>#REF!</v>
      </c>
      <c r="AF127" s="231" t="e">
        <f>[1]April!N35</f>
        <v>#REF!</v>
      </c>
      <c r="AG127" s="231" t="e">
        <f>[2]april!N35</f>
        <v>#REF!</v>
      </c>
      <c r="AH127" s="231">
        <f>'[3]DES SKPD'!$N35</f>
        <v>979532000</v>
      </c>
      <c r="AI127" s="231">
        <f>SUM(AI128:AI138)</f>
        <v>927829200</v>
      </c>
      <c r="AJ127" s="233">
        <f t="shared" si="27"/>
        <v>86.810366766467055</v>
      </c>
      <c r="AK127" s="231">
        <f t="shared" si="39"/>
        <v>140970800</v>
      </c>
      <c r="AL127" s="233">
        <f t="shared" si="28"/>
        <v>13.189633233532936</v>
      </c>
      <c r="AM127" s="227"/>
    </row>
    <row r="128" spans="1:39" ht="24.75" customHeight="1" x14ac:dyDescent="0.25">
      <c r="A128" s="243"/>
      <c r="B128" s="437"/>
      <c r="C128" s="437"/>
      <c r="D128" s="437"/>
      <c r="E128" s="437"/>
      <c r="F128" s="437"/>
      <c r="G128" s="437"/>
      <c r="H128" s="437"/>
      <c r="I128" s="438"/>
      <c r="J128" s="437" t="s">
        <v>561</v>
      </c>
      <c r="K128" s="245"/>
      <c r="L128" s="257"/>
      <c r="M128" s="597" t="s">
        <v>560</v>
      </c>
      <c r="N128" s="598"/>
      <c r="O128" s="299"/>
      <c r="P128" s="180"/>
      <c r="Q128" s="180">
        <v>35000000</v>
      </c>
      <c r="R128" s="181">
        <f t="shared" ref="R128:R138" si="41">Q128/Q$127*100</f>
        <v>3.2747005988023949</v>
      </c>
      <c r="S128" s="181">
        <v>100</v>
      </c>
      <c r="T128" s="180">
        <f t="shared" si="23"/>
        <v>99.285714285714292</v>
      </c>
      <c r="U128" s="180">
        <f t="shared" si="37"/>
        <v>3.2513098802395213</v>
      </c>
      <c r="V128" s="182">
        <f t="shared" si="25"/>
        <v>0.7142857142857082</v>
      </c>
      <c r="W128" s="180"/>
      <c r="X128" s="180" t="e">
        <f>#REF!</f>
        <v>#REF!</v>
      </c>
      <c r="Y128" s="180" t="e">
        <f>#REF!</f>
        <v>#REF!</v>
      </c>
      <c r="Z128" s="180" t="e">
        <f>#REF!</f>
        <v>#REF!</v>
      </c>
      <c r="AA128" s="180" t="e">
        <f>#REF!</f>
        <v>#REF!</v>
      </c>
      <c r="AB128" s="180">
        <v>139212001</v>
      </c>
      <c r="AC128" s="180" t="e">
        <f>#REF!</f>
        <v>#REF!</v>
      </c>
      <c r="AD128" s="180" t="e">
        <f>#REF!</f>
        <v>#REF!</v>
      </c>
      <c r="AE128" s="180" t="e">
        <f>#REF!</f>
        <v>#REF!</v>
      </c>
      <c r="AF128" s="180" t="e">
        <f>[1]April!N37</f>
        <v>#REF!</v>
      </c>
      <c r="AG128" s="180" t="e">
        <f>[2]april!N37</f>
        <v>#REF!</v>
      </c>
      <c r="AH128" s="180">
        <f>'[3]DES SKPD'!$N37</f>
        <v>0</v>
      </c>
      <c r="AI128" s="180">
        <v>34750000</v>
      </c>
      <c r="AJ128" s="181">
        <f t="shared" si="27"/>
        <v>99.285714285714292</v>
      </c>
      <c r="AK128" s="180">
        <f t="shared" si="39"/>
        <v>250000</v>
      </c>
      <c r="AL128" s="181">
        <f t="shared" si="28"/>
        <v>0.7142857142857143</v>
      </c>
      <c r="AM128" s="243"/>
    </row>
    <row r="129" spans="1:39" ht="33" customHeight="1" x14ac:dyDescent="0.25">
      <c r="A129" s="243"/>
      <c r="B129" s="437"/>
      <c r="C129" s="437"/>
      <c r="D129" s="437"/>
      <c r="E129" s="437"/>
      <c r="F129" s="437"/>
      <c r="G129" s="437"/>
      <c r="H129" s="437"/>
      <c r="I129" s="438"/>
      <c r="J129" s="437" t="s">
        <v>563</v>
      </c>
      <c r="K129" s="245"/>
      <c r="L129" s="257"/>
      <c r="M129" s="597" t="s">
        <v>562</v>
      </c>
      <c r="N129" s="598"/>
      <c r="O129" s="299"/>
      <c r="P129" s="180"/>
      <c r="Q129" s="180">
        <v>110000000</v>
      </c>
      <c r="R129" s="181">
        <f t="shared" si="41"/>
        <v>10.29191616766467</v>
      </c>
      <c r="S129" s="181">
        <v>100</v>
      </c>
      <c r="T129" s="180">
        <f t="shared" si="23"/>
        <v>98.636363636363626</v>
      </c>
      <c r="U129" s="180">
        <f t="shared" si="37"/>
        <v>10.151571856287424</v>
      </c>
      <c r="V129" s="182">
        <f t="shared" si="25"/>
        <v>1.363636363636374</v>
      </c>
      <c r="W129" s="180"/>
      <c r="X129" s="180" t="e">
        <f>#REF!</f>
        <v>#REF!</v>
      </c>
      <c r="Y129" s="180" t="e">
        <f>#REF!</f>
        <v>#REF!</v>
      </c>
      <c r="Z129" s="180" t="e">
        <f>#REF!</f>
        <v>#REF!</v>
      </c>
      <c r="AA129" s="180" t="e">
        <f>#REF!</f>
        <v>#REF!</v>
      </c>
      <c r="AB129" s="180">
        <v>139212002</v>
      </c>
      <c r="AC129" s="180" t="e">
        <f>#REF!</f>
        <v>#REF!</v>
      </c>
      <c r="AD129" s="180" t="e">
        <f>#REF!</f>
        <v>#REF!</v>
      </c>
      <c r="AE129" s="180" t="e">
        <f>#REF!</f>
        <v>#REF!</v>
      </c>
      <c r="AF129" s="180" t="e">
        <f>[1]April!N37</f>
        <v>#REF!</v>
      </c>
      <c r="AG129" s="180" t="e">
        <f>[2]april!N37</f>
        <v>#REF!</v>
      </c>
      <c r="AH129" s="180">
        <f>'[3]DES SKPD'!$N37</f>
        <v>0</v>
      </c>
      <c r="AI129" s="180">
        <v>108500000</v>
      </c>
      <c r="AJ129" s="181">
        <f t="shared" si="27"/>
        <v>98.636363636363626</v>
      </c>
      <c r="AK129" s="180">
        <f t="shared" si="39"/>
        <v>1500000</v>
      </c>
      <c r="AL129" s="181">
        <f t="shared" si="28"/>
        <v>1.3636363636363635</v>
      </c>
      <c r="AM129" s="243"/>
    </row>
    <row r="130" spans="1:39" ht="27" customHeight="1" x14ac:dyDescent="0.25">
      <c r="A130" s="243"/>
      <c r="B130" s="437"/>
      <c r="C130" s="437"/>
      <c r="D130" s="437"/>
      <c r="E130" s="437"/>
      <c r="F130" s="437"/>
      <c r="G130" s="437"/>
      <c r="H130" s="437"/>
      <c r="I130" s="438"/>
      <c r="J130" s="437" t="s">
        <v>564</v>
      </c>
      <c r="K130" s="245"/>
      <c r="L130" s="257"/>
      <c r="M130" s="597" t="s">
        <v>565</v>
      </c>
      <c r="N130" s="598"/>
      <c r="O130" s="299"/>
      <c r="P130" s="180"/>
      <c r="Q130" s="180">
        <v>25000000</v>
      </c>
      <c r="R130" s="181">
        <f t="shared" si="41"/>
        <v>2.3390718562874251</v>
      </c>
      <c r="S130" s="181">
        <v>100</v>
      </c>
      <c r="T130" s="180">
        <f t="shared" si="23"/>
        <v>0</v>
      </c>
      <c r="U130" s="180">
        <f t="shared" si="37"/>
        <v>0</v>
      </c>
      <c r="V130" s="182">
        <f t="shared" si="25"/>
        <v>100</v>
      </c>
      <c r="W130" s="180"/>
      <c r="X130" s="180" t="e">
        <f>#REF!</f>
        <v>#REF!</v>
      </c>
      <c r="Y130" s="180" t="e">
        <f>#REF!</f>
        <v>#REF!</v>
      </c>
      <c r="Z130" s="180" t="e">
        <f>#REF!</f>
        <v>#REF!</v>
      </c>
      <c r="AA130" s="180" t="e">
        <f>#REF!</f>
        <v>#REF!</v>
      </c>
      <c r="AB130" s="180">
        <v>139212003</v>
      </c>
      <c r="AC130" s="180" t="e">
        <f>#REF!</f>
        <v>#REF!</v>
      </c>
      <c r="AD130" s="180" t="e">
        <f>#REF!</f>
        <v>#REF!</v>
      </c>
      <c r="AE130" s="180" t="e">
        <f>#REF!</f>
        <v>#REF!</v>
      </c>
      <c r="AF130" s="180" t="e">
        <f>[1]April!N38</f>
        <v>#REF!</v>
      </c>
      <c r="AG130" s="180" t="e">
        <f>[2]april!N38</f>
        <v>#REF!</v>
      </c>
      <c r="AH130" s="180">
        <f>'[3]DES SKPD'!$N38</f>
        <v>322038365</v>
      </c>
      <c r="AI130" s="180">
        <v>0</v>
      </c>
      <c r="AJ130" s="181">
        <f t="shared" si="27"/>
        <v>0</v>
      </c>
      <c r="AK130" s="180">
        <f t="shared" si="39"/>
        <v>25000000</v>
      </c>
      <c r="AL130" s="181">
        <f t="shared" si="28"/>
        <v>100</v>
      </c>
      <c r="AM130" s="243"/>
    </row>
    <row r="131" spans="1:39" ht="27.75" customHeight="1" x14ac:dyDescent="0.25">
      <c r="A131" s="243"/>
      <c r="B131" s="437"/>
      <c r="C131" s="437"/>
      <c r="D131" s="437"/>
      <c r="E131" s="437"/>
      <c r="F131" s="437"/>
      <c r="G131" s="437"/>
      <c r="H131" s="437"/>
      <c r="I131" s="438"/>
      <c r="J131" s="437" t="s">
        <v>566</v>
      </c>
      <c r="K131" s="245"/>
      <c r="L131" s="257"/>
      <c r="M131" s="597" t="s">
        <v>567</v>
      </c>
      <c r="N131" s="598"/>
      <c r="O131" s="299"/>
      <c r="P131" s="180"/>
      <c r="Q131" s="180">
        <v>12000000</v>
      </c>
      <c r="R131" s="181">
        <f t="shared" si="41"/>
        <v>1.1227544910179641</v>
      </c>
      <c r="S131" s="181">
        <v>100</v>
      </c>
      <c r="T131" s="180">
        <f t="shared" si="23"/>
        <v>82.415000000000006</v>
      </c>
      <c r="U131" s="180">
        <f t="shared" si="37"/>
        <v>0.92531811377245521</v>
      </c>
      <c r="V131" s="182">
        <f t="shared" si="25"/>
        <v>17.584999999999994</v>
      </c>
      <c r="W131" s="180"/>
      <c r="X131" s="180" t="e">
        <f>#REF!</f>
        <v>#REF!</v>
      </c>
      <c r="Y131" s="180" t="e">
        <f>#REF!</f>
        <v>#REF!</v>
      </c>
      <c r="Z131" s="180" t="e">
        <f>#REF!</f>
        <v>#REF!</v>
      </c>
      <c r="AA131" s="180" t="e">
        <f>#REF!</f>
        <v>#REF!</v>
      </c>
      <c r="AB131" s="180">
        <v>139212004</v>
      </c>
      <c r="AC131" s="180" t="e">
        <f>#REF!</f>
        <v>#REF!</v>
      </c>
      <c r="AD131" s="180" t="e">
        <f>#REF!</f>
        <v>#REF!</v>
      </c>
      <c r="AE131" s="180" t="e">
        <f>#REF!</f>
        <v>#REF!</v>
      </c>
      <c r="AF131" s="180" t="e">
        <f>[1]April!N39</f>
        <v>#REF!</v>
      </c>
      <c r="AG131" s="180" t="e">
        <f>[2]april!N39</f>
        <v>#REF!</v>
      </c>
      <c r="AH131" s="180">
        <f>'[3]DES SKPD'!$N39</f>
        <v>676934270</v>
      </c>
      <c r="AI131" s="180">
        <v>9889800</v>
      </c>
      <c r="AJ131" s="181">
        <f t="shared" si="27"/>
        <v>82.415000000000006</v>
      </c>
      <c r="AK131" s="180">
        <f t="shared" si="39"/>
        <v>2110200</v>
      </c>
      <c r="AL131" s="181">
        <f t="shared" si="28"/>
        <v>17.585000000000001</v>
      </c>
      <c r="AM131" s="243"/>
    </row>
    <row r="132" spans="1:39" ht="27.75" customHeight="1" x14ac:dyDescent="0.25">
      <c r="A132" s="243"/>
      <c r="B132" s="437"/>
      <c r="C132" s="437"/>
      <c r="D132" s="437"/>
      <c r="E132" s="437"/>
      <c r="F132" s="437"/>
      <c r="G132" s="437"/>
      <c r="H132" s="437"/>
      <c r="I132" s="438"/>
      <c r="J132" s="437" t="s">
        <v>435</v>
      </c>
      <c r="K132" s="245"/>
      <c r="L132" s="257"/>
      <c r="M132" s="597" t="s">
        <v>396</v>
      </c>
      <c r="N132" s="598"/>
      <c r="O132" s="299"/>
      <c r="P132" s="180"/>
      <c r="Q132" s="180">
        <v>42500000</v>
      </c>
      <c r="R132" s="181">
        <f t="shared" si="41"/>
        <v>3.9764221556886228</v>
      </c>
      <c r="S132" s="181">
        <v>100</v>
      </c>
      <c r="T132" s="180">
        <f t="shared" si="23"/>
        <v>97.294117647058826</v>
      </c>
      <c r="U132" s="180">
        <f t="shared" si="37"/>
        <v>3.8688248502994016</v>
      </c>
      <c r="V132" s="182">
        <f t="shared" ref="V132:V153" si="42">S132-T132</f>
        <v>2.705882352941174</v>
      </c>
      <c r="W132" s="180"/>
      <c r="X132" s="180" t="e">
        <f>#REF!</f>
        <v>#REF!</v>
      </c>
      <c r="Y132" s="180" t="e">
        <f>#REF!</f>
        <v>#REF!</v>
      </c>
      <c r="Z132" s="180" t="e">
        <f>#REF!</f>
        <v>#REF!</v>
      </c>
      <c r="AA132" s="180" t="e">
        <f>#REF!</f>
        <v>#REF!</v>
      </c>
      <c r="AB132" s="180">
        <v>139212004</v>
      </c>
      <c r="AC132" s="180" t="e">
        <f>#REF!</f>
        <v>#REF!</v>
      </c>
      <c r="AD132" s="180" t="e">
        <f>#REF!</f>
        <v>#REF!</v>
      </c>
      <c r="AE132" s="180" t="e">
        <f>#REF!</f>
        <v>#REF!</v>
      </c>
      <c r="AF132" s="180" t="e">
        <f>[1]April!N40</f>
        <v>#REF!</v>
      </c>
      <c r="AG132" s="180" t="e">
        <f>[2]april!N40</f>
        <v>#REF!</v>
      </c>
      <c r="AH132" s="180">
        <f>'[3]DES SKPD'!$N40</f>
        <v>140440000</v>
      </c>
      <c r="AI132" s="180">
        <v>41350000</v>
      </c>
      <c r="AJ132" s="181">
        <f t="shared" si="27"/>
        <v>97.294117647058826</v>
      </c>
      <c r="AK132" s="180">
        <f t="shared" si="39"/>
        <v>1150000</v>
      </c>
      <c r="AL132" s="181">
        <f t="shared" si="28"/>
        <v>2.7058823529411762</v>
      </c>
      <c r="AM132" s="243"/>
    </row>
    <row r="133" spans="1:39" ht="27.75" customHeight="1" x14ac:dyDescent="0.25">
      <c r="A133" s="243"/>
      <c r="B133" s="437"/>
      <c r="C133" s="437"/>
      <c r="D133" s="437"/>
      <c r="E133" s="437"/>
      <c r="F133" s="437"/>
      <c r="G133" s="437"/>
      <c r="H133" s="437"/>
      <c r="I133" s="438"/>
      <c r="J133" s="437" t="s">
        <v>400</v>
      </c>
      <c r="K133" s="245"/>
      <c r="L133" s="257"/>
      <c r="M133" s="597" t="s">
        <v>568</v>
      </c>
      <c r="N133" s="598"/>
      <c r="O133" s="299"/>
      <c r="P133" s="180"/>
      <c r="Q133" s="180">
        <v>493300000</v>
      </c>
      <c r="R133" s="181">
        <f t="shared" si="41"/>
        <v>46.154565868263475</v>
      </c>
      <c r="S133" s="181">
        <v>100</v>
      </c>
      <c r="T133" s="180">
        <f t="shared" si="23"/>
        <v>83.323575917291706</v>
      </c>
      <c r="U133" s="180">
        <f t="shared" si="37"/>
        <v>38.457634730538921</v>
      </c>
      <c r="V133" s="182">
        <f t="shared" si="42"/>
        <v>16.676424082708294</v>
      </c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>
        <v>411035200</v>
      </c>
      <c r="AJ133" s="181">
        <f t="shared" si="27"/>
        <v>83.323575917291706</v>
      </c>
      <c r="AK133" s="180">
        <f t="shared" si="39"/>
        <v>82264800</v>
      </c>
      <c r="AL133" s="181">
        <f t="shared" si="28"/>
        <v>16.676424082708291</v>
      </c>
      <c r="AM133" s="243"/>
    </row>
    <row r="134" spans="1:39" ht="27.75" customHeight="1" x14ac:dyDescent="0.25">
      <c r="A134" s="243"/>
      <c r="B134" s="437"/>
      <c r="C134" s="437"/>
      <c r="D134" s="437"/>
      <c r="E134" s="437"/>
      <c r="F134" s="437"/>
      <c r="G134" s="437"/>
      <c r="H134" s="437"/>
      <c r="I134" s="438"/>
      <c r="J134" s="437" t="s">
        <v>569</v>
      </c>
      <c r="K134" s="245"/>
      <c r="L134" s="257"/>
      <c r="M134" s="597" t="s">
        <v>570</v>
      </c>
      <c r="N134" s="598"/>
      <c r="O134" s="299"/>
      <c r="P134" s="180"/>
      <c r="Q134" s="180">
        <v>50000000</v>
      </c>
      <c r="R134" s="181">
        <f t="shared" si="41"/>
        <v>4.6781437125748502</v>
      </c>
      <c r="S134" s="181">
        <v>100</v>
      </c>
      <c r="T134" s="180">
        <f t="shared" si="23"/>
        <v>98.346800000000002</v>
      </c>
      <c r="U134" s="180">
        <f t="shared" si="37"/>
        <v>4.6008046407185628</v>
      </c>
      <c r="V134" s="182">
        <f t="shared" si="42"/>
        <v>1.6531999999999982</v>
      </c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>
        <v>49173400</v>
      </c>
      <c r="AJ134" s="181">
        <f t="shared" si="27"/>
        <v>98.346800000000002</v>
      </c>
      <c r="AK134" s="180">
        <f t="shared" si="39"/>
        <v>826600</v>
      </c>
      <c r="AL134" s="181">
        <f t="shared" si="28"/>
        <v>1.6532000000000002</v>
      </c>
      <c r="AM134" s="243"/>
    </row>
    <row r="135" spans="1:39" ht="27.75" customHeight="1" x14ac:dyDescent="0.25">
      <c r="A135" s="243"/>
      <c r="B135" s="437"/>
      <c r="C135" s="437"/>
      <c r="D135" s="437"/>
      <c r="E135" s="437"/>
      <c r="F135" s="437"/>
      <c r="G135" s="437"/>
      <c r="H135" s="437"/>
      <c r="I135" s="438"/>
      <c r="J135" s="437" t="s">
        <v>286</v>
      </c>
      <c r="K135" s="245"/>
      <c r="L135" s="257"/>
      <c r="M135" s="597" t="s">
        <v>571</v>
      </c>
      <c r="N135" s="598"/>
      <c r="O135" s="299"/>
      <c r="P135" s="180"/>
      <c r="Q135" s="180">
        <v>50000000</v>
      </c>
      <c r="R135" s="181">
        <f t="shared" si="41"/>
        <v>4.6781437125748502</v>
      </c>
      <c r="S135" s="181">
        <v>100</v>
      </c>
      <c r="T135" s="180">
        <f t="shared" si="23"/>
        <v>98.4</v>
      </c>
      <c r="U135" s="180">
        <f t="shared" si="37"/>
        <v>4.6032934131736525</v>
      </c>
      <c r="V135" s="182">
        <f t="shared" si="42"/>
        <v>1.5999999999999943</v>
      </c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>
        <v>49200000</v>
      </c>
      <c r="AJ135" s="181">
        <f t="shared" si="27"/>
        <v>98.4</v>
      </c>
      <c r="AK135" s="180">
        <f t="shared" si="39"/>
        <v>800000</v>
      </c>
      <c r="AL135" s="181">
        <f t="shared" si="28"/>
        <v>1.6</v>
      </c>
      <c r="AM135" s="243"/>
    </row>
    <row r="136" spans="1:39" ht="27.75" customHeight="1" x14ac:dyDescent="0.25">
      <c r="A136" s="243"/>
      <c r="B136" s="437"/>
      <c r="C136" s="437"/>
      <c r="D136" s="437"/>
      <c r="E136" s="437"/>
      <c r="F136" s="437"/>
      <c r="G136" s="437"/>
      <c r="H136" s="437"/>
      <c r="I136" s="438"/>
      <c r="J136" s="437" t="s">
        <v>402</v>
      </c>
      <c r="K136" s="245"/>
      <c r="L136" s="257"/>
      <c r="M136" s="597" t="s">
        <v>572</v>
      </c>
      <c r="N136" s="598"/>
      <c r="O136" s="299"/>
      <c r="P136" s="180"/>
      <c r="Q136" s="180">
        <v>192000000</v>
      </c>
      <c r="R136" s="181">
        <f t="shared" si="41"/>
        <v>17.964071856287426</v>
      </c>
      <c r="S136" s="181">
        <v>100</v>
      </c>
      <c r="T136" s="180">
        <f t="shared" si="23"/>
        <v>89.400468750000002</v>
      </c>
      <c r="U136" s="180">
        <f t="shared" si="37"/>
        <v>16.059964446107784</v>
      </c>
      <c r="V136" s="182">
        <f t="shared" si="42"/>
        <v>10.599531249999998</v>
      </c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>
        <v>171648900</v>
      </c>
      <c r="AJ136" s="181">
        <f t="shared" si="27"/>
        <v>89.400468750000002</v>
      </c>
      <c r="AK136" s="180">
        <f t="shared" si="39"/>
        <v>20351100</v>
      </c>
      <c r="AL136" s="181">
        <f t="shared" si="28"/>
        <v>10.59953125</v>
      </c>
      <c r="AM136" s="243"/>
    </row>
    <row r="137" spans="1:39" ht="27.75" customHeight="1" x14ac:dyDescent="0.25">
      <c r="A137" s="243"/>
      <c r="B137" s="437"/>
      <c r="C137" s="437"/>
      <c r="D137" s="437"/>
      <c r="E137" s="437"/>
      <c r="F137" s="437"/>
      <c r="G137" s="437"/>
      <c r="H137" s="437"/>
      <c r="I137" s="438"/>
      <c r="J137" s="437" t="s">
        <v>573</v>
      </c>
      <c r="K137" s="245"/>
      <c r="L137" s="257"/>
      <c r="M137" s="597" t="s">
        <v>574</v>
      </c>
      <c r="N137" s="598"/>
      <c r="O137" s="299"/>
      <c r="P137" s="180"/>
      <c r="Q137" s="180">
        <v>15000000</v>
      </c>
      <c r="R137" s="181">
        <f t="shared" si="41"/>
        <v>1.403443113772455</v>
      </c>
      <c r="S137" s="181">
        <v>100</v>
      </c>
      <c r="T137" s="180">
        <f t="shared" si="23"/>
        <v>81.879333333333335</v>
      </c>
      <c r="U137" s="180">
        <f t="shared" si="37"/>
        <v>1.149129865269461</v>
      </c>
      <c r="V137" s="182">
        <f t="shared" si="42"/>
        <v>18.120666666666665</v>
      </c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>
        <v>12281900</v>
      </c>
      <c r="AJ137" s="181">
        <f t="shared" si="27"/>
        <v>81.879333333333335</v>
      </c>
      <c r="AK137" s="180">
        <f t="shared" si="39"/>
        <v>2718100</v>
      </c>
      <c r="AL137" s="181">
        <f t="shared" si="28"/>
        <v>18.120666666666665</v>
      </c>
      <c r="AM137" s="243"/>
    </row>
    <row r="138" spans="1:39" ht="27.75" customHeight="1" x14ac:dyDescent="0.25">
      <c r="A138" s="243"/>
      <c r="B138" s="437"/>
      <c r="C138" s="437"/>
      <c r="D138" s="437"/>
      <c r="E138" s="437"/>
      <c r="F138" s="437"/>
      <c r="G138" s="437"/>
      <c r="H138" s="437"/>
      <c r="I138" s="438"/>
      <c r="J138" s="437" t="s">
        <v>575</v>
      </c>
      <c r="K138" s="245"/>
      <c r="L138" s="257"/>
      <c r="M138" s="597" t="s">
        <v>576</v>
      </c>
      <c r="N138" s="598"/>
      <c r="O138" s="299"/>
      <c r="P138" s="180"/>
      <c r="Q138" s="180">
        <v>44000000</v>
      </c>
      <c r="R138" s="181">
        <f t="shared" si="41"/>
        <v>4.1167664670658679</v>
      </c>
      <c r="S138" s="181">
        <v>100</v>
      </c>
      <c r="T138" s="180">
        <f t="shared" si="23"/>
        <v>90.909090909090907</v>
      </c>
      <c r="U138" s="180">
        <f t="shared" si="37"/>
        <v>3.7425149700598799</v>
      </c>
      <c r="V138" s="182">
        <f t="shared" si="42"/>
        <v>9.0909090909090935</v>
      </c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>
        <v>40000000</v>
      </c>
      <c r="AJ138" s="181">
        <f t="shared" si="27"/>
        <v>90.909090909090907</v>
      </c>
      <c r="AK138" s="180">
        <f t="shared" si="39"/>
        <v>4000000</v>
      </c>
      <c r="AL138" s="181">
        <f t="shared" si="28"/>
        <v>9.0909090909090917</v>
      </c>
      <c r="AM138" s="243"/>
    </row>
    <row r="139" spans="1:39" s="297" customFormat="1" ht="24.75" customHeight="1" x14ac:dyDescent="0.25">
      <c r="A139" s="227">
        <f>A127+1</f>
        <v>17</v>
      </c>
      <c r="B139" s="615" t="s">
        <v>127</v>
      </c>
      <c r="C139" s="615"/>
      <c r="D139" s="615"/>
      <c r="E139" s="615"/>
      <c r="F139" s="615"/>
      <c r="G139" s="615"/>
      <c r="H139" s="615"/>
      <c r="I139" s="614"/>
      <c r="J139" s="304" t="s">
        <v>456</v>
      </c>
      <c r="K139" s="230"/>
      <c r="L139" s="294"/>
      <c r="M139" s="615" t="s">
        <v>579</v>
      </c>
      <c r="N139" s="614"/>
      <c r="O139" s="295">
        <v>68210000</v>
      </c>
      <c r="P139" s="231">
        <f>O139</f>
        <v>68210000</v>
      </c>
      <c r="Q139" s="231">
        <f>SUM(Q140:Q140)</f>
        <v>190800000</v>
      </c>
      <c r="R139" s="233">
        <f>Q139/Q$59*100</f>
        <v>7.5537021188162949</v>
      </c>
      <c r="S139" s="233">
        <v>100</v>
      </c>
      <c r="T139" s="231">
        <f t="shared" si="23"/>
        <v>46.80293501048218</v>
      </c>
      <c r="U139" s="231">
        <f t="shared" si="37"/>
        <v>3.535354293555006</v>
      </c>
      <c r="V139" s="296">
        <f t="shared" si="42"/>
        <v>53.19706498951782</v>
      </c>
      <c r="W139" s="231"/>
      <c r="X139" s="231" t="e">
        <f>#REF!</f>
        <v>#REF!</v>
      </c>
      <c r="Y139" s="231" t="e">
        <f>#REF!</f>
        <v>#REF!</v>
      </c>
      <c r="Z139" s="231" t="e">
        <f>#REF!</f>
        <v>#REF!</v>
      </c>
      <c r="AA139" s="231" t="e">
        <f>#REF!</f>
        <v>#REF!</v>
      </c>
      <c r="AB139" s="231">
        <v>139212000</v>
      </c>
      <c r="AC139" s="231" t="e">
        <f>#REF!</f>
        <v>#REF!</v>
      </c>
      <c r="AD139" s="231" t="e">
        <f>#REF!</f>
        <v>#REF!</v>
      </c>
      <c r="AE139" s="231" t="e">
        <f>#REF!</f>
        <v>#REF!</v>
      </c>
      <c r="AF139" s="231" t="e">
        <f>[1]April!N47</f>
        <v>#REF!</v>
      </c>
      <c r="AG139" s="231" t="e">
        <f>[2]april!N47</f>
        <v>#REF!</v>
      </c>
      <c r="AH139" s="231" t="e">
        <f>'[3]DES SKPD'!$N47</f>
        <v>#REF!</v>
      </c>
      <c r="AI139" s="231">
        <f>SUM(AI140)</f>
        <v>89300000</v>
      </c>
      <c r="AJ139" s="233">
        <f t="shared" si="27"/>
        <v>46.80293501048218</v>
      </c>
      <c r="AK139" s="231">
        <f t="shared" si="39"/>
        <v>101500000</v>
      </c>
      <c r="AL139" s="233">
        <f t="shared" si="28"/>
        <v>53.19706498951782</v>
      </c>
      <c r="AM139" s="227"/>
    </row>
    <row r="140" spans="1:39" ht="29.25" customHeight="1" x14ac:dyDescent="0.25">
      <c r="A140" s="243"/>
      <c r="B140" s="437"/>
      <c r="C140" s="437"/>
      <c r="D140" s="437"/>
      <c r="E140" s="437"/>
      <c r="F140" s="437"/>
      <c r="G140" s="437"/>
      <c r="H140" s="437"/>
      <c r="I140" s="438"/>
      <c r="J140" s="437" t="s">
        <v>577</v>
      </c>
      <c r="K140" s="245"/>
      <c r="L140" s="257"/>
      <c r="M140" s="597" t="s">
        <v>578</v>
      </c>
      <c r="N140" s="598"/>
      <c r="O140" s="299"/>
      <c r="P140" s="180"/>
      <c r="Q140" s="180">
        <v>190800000</v>
      </c>
      <c r="R140" s="181">
        <f t="shared" ref="R140" si="43">Q140/Q$127*100</f>
        <v>17.851796407185631</v>
      </c>
      <c r="S140" s="181">
        <v>100</v>
      </c>
      <c r="T140" s="180">
        <f t="shared" si="23"/>
        <v>46.80293501048218</v>
      </c>
      <c r="U140" s="180">
        <f t="shared" si="37"/>
        <v>8.3551646706586844</v>
      </c>
      <c r="V140" s="182">
        <f t="shared" si="42"/>
        <v>53.19706498951782</v>
      </c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>
        <v>89300000</v>
      </c>
      <c r="AJ140" s="181">
        <f t="shared" si="27"/>
        <v>46.80293501048218</v>
      </c>
      <c r="AK140" s="180">
        <f t="shared" si="39"/>
        <v>101500000</v>
      </c>
      <c r="AL140" s="181">
        <f t="shared" si="28"/>
        <v>53.19706498951782</v>
      </c>
      <c r="AM140" s="243"/>
    </row>
    <row r="141" spans="1:39" s="297" customFormat="1" ht="31.5" customHeight="1" x14ac:dyDescent="0.25">
      <c r="A141" s="227">
        <f>A139+1</f>
        <v>18</v>
      </c>
      <c r="B141" s="615" t="s">
        <v>128</v>
      </c>
      <c r="C141" s="615"/>
      <c r="D141" s="615"/>
      <c r="E141" s="615"/>
      <c r="F141" s="615"/>
      <c r="G141" s="615"/>
      <c r="H141" s="615"/>
      <c r="I141" s="614"/>
      <c r="J141" s="304" t="s">
        <v>457</v>
      </c>
      <c r="K141" s="230"/>
      <c r="L141" s="294"/>
      <c r="M141" s="615" t="s">
        <v>129</v>
      </c>
      <c r="N141" s="614"/>
      <c r="O141" s="295">
        <v>295960000</v>
      </c>
      <c r="P141" s="231">
        <v>0</v>
      </c>
      <c r="Q141" s="231">
        <f>SUM(Q142:Q143)</f>
        <v>326040000</v>
      </c>
      <c r="R141" s="233">
        <f>Q141/Q$59*100</f>
        <v>12.907804186681682</v>
      </c>
      <c r="S141" s="233">
        <v>100</v>
      </c>
      <c r="T141" s="231">
        <f t="shared" si="23"/>
        <v>98.760888234572448</v>
      </c>
      <c r="U141" s="231">
        <f>R141*T141/100</f>
        <v>12.747862066346158</v>
      </c>
      <c r="V141" s="296">
        <f t="shared" si="42"/>
        <v>1.2391117654275519</v>
      </c>
      <c r="W141" s="231"/>
      <c r="X141" s="231"/>
      <c r="Y141" s="231"/>
      <c r="Z141" s="231"/>
      <c r="AA141" s="231"/>
      <c r="AB141" s="231"/>
      <c r="AC141" s="231"/>
      <c r="AD141" s="231"/>
      <c r="AE141" s="231"/>
      <c r="AF141" s="231"/>
      <c r="AG141" s="231" t="e">
        <f>[2]april!N37</f>
        <v>#REF!</v>
      </c>
      <c r="AH141" s="231">
        <f>'[3]DES SKPD'!$N37</f>
        <v>0</v>
      </c>
      <c r="AI141" s="231">
        <f>SUM(AI142:AI143)</f>
        <v>322000000</v>
      </c>
      <c r="AJ141" s="233">
        <f t="shared" si="27"/>
        <v>98.760888234572448</v>
      </c>
      <c r="AK141" s="231">
        <f t="shared" si="39"/>
        <v>4040000</v>
      </c>
      <c r="AL141" s="233">
        <f t="shared" si="28"/>
        <v>1.239111765427555</v>
      </c>
      <c r="AM141" s="227"/>
    </row>
    <row r="142" spans="1:39" ht="24.75" customHeight="1" x14ac:dyDescent="0.25">
      <c r="A142" s="243"/>
      <c r="B142" s="437"/>
      <c r="C142" s="437"/>
      <c r="D142" s="437"/>
      <c r="E142" s="437"/>
      <c r="F142" s="437"/>
      <c r="G142" s="437"/>
      <c r="H142" s="437"/>
      <c r="I142" s="438"/>
      <c r="J142" s="437" t="s">
        <v>259</v>
      </c>
      <c r="K142" s="245"/>
      <c r="L142" s="257"/>
      <c r="M142" s="623" t="s">
        <v>260</v>
      </c>
      <c r="N142" s="624"/>
      <c r="O142" s="299"/>
      <c r="P142" s="180"/>
      <c r="Q142" s="180">
        <v>1040000</v>
      </c>
      <c r="R142" s="181">
        <f>Q142/Q$35*100</f>
        <v>3.271854703066358E-3</v>
      </c>
      <c r="S142" s="181">
        <v>100</v>
      </c>
      <c r="T142" s="180">
        <f t="shared" si="23"/>
        <v>0</v>
      </c>
      <c r="U142" s="180">
        <f>R142*T142/100</f>
        <v>0</v>
      </c>
      <c r="V142" s="182">
        <f t="shared" si="42"/>
        <v>100</v>
      </c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>
        <v>0</v>
      </c>
      <c r="AJ142" s="181">
        <f t="shared" si="27"/>
        <v>0</v>
      </c>
      <c r="AK142" s="180">
        <f t="shared" si="39"/>
        <v>1040000</v>
      </c>
      <c r="AL142" s="181">
        <f t="shared" si="28"/>
        <v>100</v>
      </c>
      <c r="AM142" s="243"/>
    </row>
    <row r="143" spans="1:39" ht="24.75" customHeight="1" x14ac:dyDescent="0.25">
      <c r="A143" s="243"/>
      <c r="B143" s="437"/>
      <c r="C143" s="437"/>
      <c r="D143" s="437"/>
      <c r="E143" s="437"/>
      <c r="F143" s="437"/>
      <c r="G143" s="437"/>
      <c r="H143" s="437"/>
      <c r="I143" s="438"/>
      <c r="J143" s="437" t="s">
        <v>288</v>
      </c>
      <c r="K143" s="245"/>
      <c r="L143" s="257"/>
      <c r="M143" s="597" t="s">
        <v>289</v>
      </c>
      <c r="N143" s="598"/>
      <c r="O143" s="299"/>
      <c r="P143" s="180"/>
      <c r="Q143" s="180">
        <v>325000000</v>
      </c>
      <c r="R143" s="181">
        <f>Q143/Q$141*100</f>
        <v>99.681020733652318</v>
      </c>
      <c r="S143" s="181">
        <v>100</v>
      </c>
      <c r="T143" s="180">
        <f t="shared" si="23"/>
        <v>99.07692307692308</v>
      </c>
      <c r="U143" s="180">
        <f>R143*T143/100</f>
        <v>98.760888234572448</v>
      </c>
      <c r="V143" s="182">
        <f t="shared" si="42"/>
        <v>0.9230769230769198</v>
      </c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 t="e">
        <f>[2]april!N39</f>
        <v>#REF!</v>
      </c>
      <c r="AH143" s="180">
        <f>'[3]DES SKPD'!$N39</f>
        <v>676934270</v>
      </c>
      <c r="AI143" s="180">
        <v>322000000</v>
      </c>
      <c r="AJ143" s="181">
        <f t="shared" si="27"/>
        <v>99.07692307692308</v>
      </c>
      <c r="AK143" s="180">
        <f t="shared" si="39"/>
        <v>3000000</v>
      </c>
      <c r="AL143" s="181">
        <f t="shared" si="28"/>
        <v>0.92307692307692313</v>
      </c>
      <c r="AM143" s="243"/>
    </row>
    <row r="144" spans="1:39" s="297" customFormat="1" ht="31.5" customHeight="1" x14ac:dyDescent="0.25">
      <c r="A144" s="227">
        <f>A141+1</f>
        <v>19</v>
      </c>
      <c r="B144" s="615" t="s">
        <v>128</v>
      </c>
      <c r="C144" s="615"/>
      <c r="D144" s="615"/>
      <c r="E144" s="615"/>
      <c r="F144" s="615"/>
      <c r="G144" s="615"/>
      <c r="H144" s="615"/>
      <c r="I144" s="614"/>
      <c r="J144" s="304" t="s">
        <v>458</v>
      </c>
      <c r="K144" s="230"/>
      <c r="L144" s="294"/>
      <c r="M144" s="615" t="s">
        <v>26</v>
      </c>
      <c r="N144" s="614"/>
      <c r="O144" s="295">
        <v>295960000</v>
      </c>
      <c r="P144" s="231">
        <f>O144</f>
        <v>295960000</v>
      </c>
      <c r="Q144" s="231">
        <f>SUM(Q145:Q147)</f>
        <v>151500000</v>
      </c>
      <c r="R144" s="233">
        <f>Q144/Q$59*100</f>
        <v>5.997829512582121</v>
      </c>
      <c r="S144" s="233">
        <v>100</v>
      </c>
      <c r="T144" s="231">
        <f t="shared" ref="T144:T207" si="44">AJ144</f>
        <v>56.039603960396043</v>
      </c>
      <c r="U144" s="231">
        <f>R144*T144/100</f>
        <v>3.3611599050707728</v>
      </c>
      <c r="V144" s="296">
        <f t="shared" si="42"/>
        <v>43.960396039603957</v>
      </c>
      <c r="W144" s="231"/>
      <c r="X144" s="231" t="e">
        <f>#REF!</f>
        <v>#REF!</v>
      </c>
      <c r="Y144" s="231" t="e">
        <f>#REF!</f>
        <v>#REF!</v>
      </c>
      <c r="Z144" s="231" t="e">
        <f>#REF!</f>
        <v>#REF!</v>
      </c>
      <c r="AA144" s="231" t="e">
        <f>#REF!</f>
        <v>#REF!</v>
      </c>
      <c r="AB144" s="231">
        <v>91844000</v>
      </c>
      <c r="AC144" s="231" t="e">
        <f>#REF!</f>
        <v>#REF!</v>
      </c>
      <c r="AD144" s="231" t="e">
        <f>#REF!</f>
        <v>#REF!</v>
      </c>
      <c r="AE144" s="231" t="e">
        <f>#REF!</f>
        <v>#REF!</v>
      </c>
      <c r="AF144" s="231" t="e">
        <f>[1]April!N38</f>
        <v>#REF!</v>
      </c>
      <c r="AG144" s="231" t="e">
        <f>[2]april!N38</f>
        <v>#REF!</v>
      </c>
      <c r="AH144" s="231">
        <f>'[3]DES SKPD'!$N38</f>
        <v>322038365</v>
      </c>
      <c r="AI144" s="231">
        <f>SUM(AI145:AI147)</f>
        <v>84900000</v>
      </c>
      <c r="AJ144" s="233">
        <f t="shared" ref="AJ144:AJ207" si="45">AI144/Q144*100</f>
        <v>56.039603960396043</v>
      </c>
      <c r="AK144" s="231">
        <f t="shared" si="39"/>
        <v>66600000</v>
      </c>
      <c r="AL144" s="233">
        <f t="shared" ref="AL144:AL207" si="46">AK144/Q144*100</f>
        <v>43.960396039603964</v>
      </c>
      <c r="AM144" s="227"/>
    </row>
    <row r="145" spans="1:39" ht="30.75" customHeight="1" x14ac:dyDescent="0.25">
      <c r="A145" s="243"/>
      <c r="B145" s="437"/>
      <c r="C145" s="437"/>
      <c r="D145" s="437"/>
      <c r="E145" s="437"/>
      <c r="F145" s="437"/>
      <c r="G145" s="437"/>
      <c r="H145" s="437"/>
      <c r="I145" s="438"/>
      <c r="J145" s="437" t="s">
        <v>259</v>
      </c>
      <c r="K145" s="245"/>
      <c r="L145" s="257"/>
      <c r="M145" s="597" t="s">
        <v>260</v>
      </c>
      <c r="N145" s="598"/>
      <c r="O145" s="299"/>
      <c r="P145" s="180"/>
      <c r="Q145" s="180">
        <v>800000</v>
      </c>
      <c r="R145" s="181">
        <f>Q145/Q$144*100</f>
        <v>0.528052805280528</v>
      </c>
      <c r="S145" s="181">
        <v>100</v>
      </c>
      <c r="T145" s="180">
        <f t="shared" si="44"/>
        <v>0</v>
      </c>
      <c r="U145" s="180">
        <f t="shared" ref="U145:U160" si="47">R145*T145/100</f>
        <v>0</v>
      </c>
      <c r="V145" s="182">
        <f t="shared" si="42"/>
        <v>100</v>
      </c>
      <c r="W145" s="180"/>
      <c r="X145" s="180" t="e">
        <f>#REF!</f>
        <v>#REF!</v>
      </c>
      <c r="Y145" s="180" t="e">
        <f>#REF!</f>
        <v>#REF!</v>
      </c>
      <c r="Z145" s="180" t="e">
        <f>#REF!</f>
        <v>#REF!</v>
      </c>
      <c r="AA145" s="180" t="e">
        <f>#REF!</f>
        <v>#REF!</v>
      </c>
      <c r="AB145" s="180">
        <v>91844002</v>
      </c>
      <c r="AC145" s="180" t="e">
        <f>#REF!</f>
        <v>#REF!</v>
      </c>
      <c r="AD145" s="180" t="e">
        <f>#REF!</f>
        <v>#REF!</v>
      </c>
      <c r="AE145" s="180" t="e">
        <f>#REF!</f>
        <v>#REF!</v>
      </c>
      <c r="AF145" s="180" t="e">
        <f>[1]April!N40</f>
        <v>#REF!</v>
      </c>
      <c r="AG145" s="180" t="e">
        <f>[2]april!N40</f>
        <v>#REF!</v>
      </c>
      <c r="AH145" s="180">
        <f>'[3]DES SKPD'!$N40</f>
        <v>140440000</v>
      </c>
      <c r="AI145" s="180">
        <v>0</v>
      </c>
      <c r="AJ145" s="181">
        <f t="shared" si="45"/>
        <v>0</v>
      </c>
      <c r="AK145" s="180">
        <f t="shared" si="39"/>
        <v>800000</v>
      </c>
      <c r="AL145" s="181">
        <f t="shared" si="46"/>
        <v>100</v>
      </c>
      <c r="AM145" s="243"/>
    </row>
    <row r="146" spans="1:39" ht="24.75" customHeight="1" x14ac:dyDescent="0.25">
      <c r="A146" s="243"/>
      <c r="B146" s="437"/>
      <c r="C146" s="437"/>
      <c r="D146" s="437"/>
      <c r="E146" s="437"/>
      <c r="F146" s="437"/>
      <c r="G146" s="437"/>
      <c r="H146" s="437"/>
      <c r="I146" s="438"/>
      <c r="J146" s="437" t="s">
        <v>290</v>
      </c>
      <c r="K146" s="245"/>
      <c r="L146" s="257"/>
      <c r="M146" s="597" t="s">
        <v>291</v>
      </c>
      <c r="N146" s="598"/>
      <c r="O146" s="299"/>
      <c r="P146" s="180"/>
      <c r="Q146" s="180">
        <v>95400000</v>
      </c>
      <c r="R146" s="181">
        <f>Q146/Q$144*100</f>
        <v>62.970297029702969</v>
      </c>
      <c r="S146" s="181">
        <v>100</v>
      </c>
      <c r="T146" s="180">
        <f t="shared" si="44"/>
        <v>31.341719077568136</v>
      </c>
      <c r="U146" s="180">
        <f t="shared" si="47"/>
        <v>19.735973597359738</v>
      </c>
      <c r="V146" s="182">
        <f t="shared" si="42"/>
        <v>68.658280922431857</v>
      </c>
      <c r="W146" s="180"/>
      <c r="X146" s="180" t="e">
        <f>#REF!</f>
        <v>#REF!</v>
      </c>
      <c r="Y146" s="180" t="e">
        <f>#REF!</f>
        <v>#REF!</v>
      </c>
      <c r="Z146" s="180" t="e">
        <f>#REF!</f>
        <v>#REF!</v>
      </c>
      <c r="AA146" s="180" t="e">
        <f>#REF!</f>
        <v>#REF!</v>
      </c>
      <c r="AB146" s="180">
        <v>91844003</v>
      </c>
      <c r="AC146" s="180" t="e">
        <f>#REF!</f>
        <v>#REF!</v>
      </c>
      <c r="AD146" s="180" t="e">
        <f>#REF!</f>
        <v>#REF!</v>
      </c>
      <c r="AE146" s="180" t="e">
        <f>#REF!</f>
        <v>#REF!</v>
      </c>
      <c r="AF146" s="180" t="e">
        <f>[1]April!N41</f>
        <v>#REF!</v>
      </c>
      <c r="AG146" s="180" t="e">
        <f>[2]april!N41</f>
        <v>#REF!</v>
      </c>
      <c r="AH146" s="180">
        <f>'[3]DES SKPD'!$N41</f>
        <v>231767600</v>
      </c>
      <c r="AI146" s="180">
        <f>10400000+5200000+7150000+7150000</f>
        <v>29900000</v>
      </c>
      <c r="AJ146" s="181">
        <f t="shared" si="45"/>
        <v>31.341719077568136</v>
      </c>
      <c r="AK146" s="180">
        <f t="shared" si="39"/>
        <v>65500000</v>
      </c>
      <c r="AL146" s="181">
        <f t="shared" si="46"/>
        <v>68.658280922431871</v>
      </c>
      <c r="AM146" s="243"/>
    </row>
    <row r="147" spans="1:39" ht="36" customHeight="1" x14ac:dyDescent="0.25">
      <c r="A147" s="243"/>
      <c r="B147" s="437"/>
      <c r="C147" s="437"/>
      <c r="D147" s="437"/>
      <c r="E147" s="437"/>
      <c r="F147" s="437"/>
      <c r="G147" s="437"/>
      <c r="H147" s="437"/>
      <c r="I147" s="438"/>
      <c r="J147" s="437" t="s">
        <v>292</v>
      </c>
      <c r="K147" s="245"/>
      <c r="L147" s="257"/>
      <c r="M147" s="597" t="s">
        <v>293</v>
      </c>
      <c r="N147" s="598"/>
      <c r="O147" s="299"/>
      <c r="P147" s="180"/>
      <c r="Q147" s="180">
        <v>55300000</v>
      </c>
      <c r="R147" s="181">
        <f>Q147/Q$144*100</f>
        <v>36.5016501650165</v>
      </c>
      <c r="S147" s="181">
        <v>100</v>
      </c>
      <c r="T147" s="180">
        <f t="shared" si="44"/>
        <v>99.457504520795652</v>
      </c>
      <c r="U147" s="180">
        <f t="shared" si="47"/>
        <v>36.303630363036298</v>
      </c>
      <c r="V147" s="182">
        <f t="shared" si="42"/>
        <v>0.54249547920434793</v>
      </c>
      <c r="W147" s="180"/>
      <c r="X147" s="180" t="e">
        <f>#REF!</f>
        <v>#REF!</v>
      </c>
      <c r="Y147" s="180" t="e">
        <f>#REF!</f>
        <v>#REF!</v>
      </c>
      <c r="Z147" s="180" t="e">
        <f>#REF!</f>
        <v>#REF!</v>
      </c>
      <c r="AA147" s="180" t="e">
        <f>#REF!</f>
        <v>#REF!</v>
      </c>
      <c r="AB147" s="180">
        <v>91844004</v>
      </c>
      <c r="AC147" s="180" t="e">
        <f>#REF!</f>
        <v>#REF!</v>
      </c>
      <c r="AD147" s="180" t="e">
        <f>#REF!</f>
        <v>#REF!</v>
      </c>
      <c r="AE147" s="180" t="e">
        <f>#REF!</f>
        <v>#REF!</v>
      </c>
      <c r="AF147" s="180" t="e">
        <f>[1]April!N42</f>
        <v>#REF!</v>
      </c>
      <c r="AG147" s="180" t="e">
        <f>[2]april!N42</f>
        <v>#REF!</v>
      </c>
      <c r="AH147" s="180" t="e">
        <f>'[3]DES SKPD'!$N42</f>
        <v>#REF!</v>
      </c>
      <c r="AI147" s="180">
        <v>55000000</v>
      </c>
      <c r="AJ147" s="181">
        <f t="shared" si="45"/>
        <v>99.457504520795652</v>
      </c>
      <c r="AK147" s="180">
        <f t="shared" si="39"/>
        <v>300000</v>
      </c>
      <c r="AL147" s="181">
        <f t="shared" si="46"/>
        <v>0.54249547920433994</v>
      </c>
      <c r="AM147" s="243"/>
    </row>
    <row r="148" spans="1:39" s="297" customFormat="1" ht="32.25" customHeight="1" x14ac:dyDescent="0.25">
      <c r="A148" s="227">
        <f>A144+1</f>
        <v>20</v>
      </c>
      <c r="B148" s="615" t="s">
        <v>130</v>
      </c>
      <c r="C148" s="615"/>
      <c r="D148" s="615"/>
      <c r="E148" s="615"/>
      <c r="F148" s="615"/>
      <c r="G148" s="615"/>
      <c r="H148" s="615"/>
      <c r="I148" s="614"/>
      <c r="J148" s="304" t="s">
        <v>459</v>
      </c>
      <c r="K148" s="230"/>
      <c r="L148" s="294"/>
      <c r="M148" s="615" t="s">
        <v>27</v>
      </c>
      <c r="N148" s="614"/>
      <c r="O148" s="295">
        <v>641710000</v>
      </c>
      <c r="P148" s="231">
        <f>O148</f>
        <v>641710000</v>
      </c>
      <c r="Q148" s="231">
        <f>SUM(Q149:Q154)</f>
        <v>1030500000</v>
      </c>
      <c r="R148" s="233">
        <f>Q148/Q$59*100</f>
        <v>40.797117575682343</v>
      </c>
      <c r="S148" s="233">
        <v>100</v>
      </c>
      <c r="T148" s="231">
        <f>AJ148</f>
        <v>45.941140514313439</v>
      </c>
      <c r="U148" s="231">
        <f>R148*T148/100</f>
        <v>18.74266111123389</v>
      </c>
      <c r="V148" s="296">
        <f>S148-T148</f>
        <v>54.058859485686561</v>
      </c>
      <c r="W148" s="231"/>
      <c r="X148" s="231" t="e">
        <f>#REF!</f>
        <v>#REF!</v>
      </c>
      <c r="Y148" s="231" t="e">
        <f>#REF!</f>
        <v>#REF!</v>
      </c>
      <c r="Z148" s="231" t="e">
        <f>#REF!</f>
        <v>#REF!</v>
      </c>
      <c r="AA148" s="231" t="e">
        <f>#REF!</f>
        <v>#REF!</v>
      </c>
      <c r="AB148" s="231">
        <v>335806263</v>
      </c>
      <c r="AC148" s="231" t="e">
        <f>#REF!</f>
        <v>#REF!</v>
      </c>
      <c r="AD148" s="231" t="e">
        <f>#REF!</f>
        <v>#REF!</v>
      </c>
      <c r="AE148" s="231" t="e">
        <f>#REF!</f>
        <v>#REF!</v>
      </c>
      <c r="AF148" s="231" t="e">
        <f>[1]April!N39</f>
        <v>#REF!</v>
      </c>
      <c r="AG148" s="231" t="e">
        <f>[2]april!N39</f>
        <v>#REF!</v>
      </c>
      <c r="AH148" s="231">
        <f>'[3]DES SKPD'!$N39</f>
        <v>676934270</v>
      </c>
      <c r="AI148" s="231">
        <f>SUM(AI149:AI154)</f>
        <v>473423453</v>
      </c>
      <c r="AJ148" s="233">
        <f>AI148/Q148*100</f>
        <v>45.941140514313439</v>
      </c>
      <c r="AK148" s="231">
        <f>Q148-AI148</f>
        <v>557076547</v>
      </c>
      <c r="AL148" s="233">
        <f>AK148/Q148*100</f>
        <v>54.058859485686561</v>
      </c>
      <c r="AM148" s="227"/>
    </row>
    <row r="149" spans="1:39" s="297" customFormat="1" ht="32.25" customHeight="1" x14ac:dyDescent="0.25">
      <c r="A149" s="227"/>
      <c r="B149" s="442"/>
      <c r="C149" s="442"/>
      <c r="D149" s="442"/>
      <c r="E149" s="442"/>
      <c r="F149" s="442"/>
      <c r="G149" s="442"/>
      <c r="H149" s="442"/>
      <c r="I149" s="441"/>
      <c r="J149" s="437" t="s">
        <v>259</v>
      </c>
      <c r="K149" s="245"/>
      <c r="L149" s="257"/>
      <c r="M149" s="597" t="s">
        <v>260</v>
      </c>
      <c r="N149" s="598"/>
      <c r="O149" s="299"/>
      <c r="P149" s="180"/>
      <c r="Q149" s="180">
        <v>800000</v>
      </c>
      <c r="R149" s="181">
        <f>Q149/Q$144*100</f>
        <v>0.528052805280528</v>
      </c>
      <c r="S149" s="181">
        <v>100</v>
      </c>
      <c r="T149" s="180">
        <f t="shared" ref="T149" si="48">AJ149</f>
        <v>0</v>
      </c>
      <c r="U149" s="180">
        <f t="shared" ref="U149" si="49">R149*T149/100</f>
        <v>0</v>
      </c>
      <c r="V149" s="182">
        <f t="shared" ref="V149" si="50">S149-T149</f>
        <v>100</v>
      </c>
      <c r="W149" s="180"/>
      <c r="X149" s="180" t="e">
        <f>#REF!</f>
        <v>#REF!</v>
      </c>
      <c r="Y149" s="180" t="e">
        <f>#REF!</f>
        <v>#REF!</v>
      </c>
      <c r="Z149" s="180" t="e">
        <f>#REF!</f>
        <v>#REF!</v>
      </c>
      <c r="AA149" s="180" t="e">
        <f>#REF!</f>
        <v>#REF!</v>
      </c>
      <c r="AB149" s="180">
        <v>91844002</v>
      </c>
      <c r="AC149" s="180" t="e">
        <f>#REF!</f>
        <v>#REF!</v>
      </c>
      <c r="AD149" s="180" t="e">
        <f>#REF!</f>
        <v>#REF!</v>
      </c>
      <c r="AE149" s="180" t="e">
        <f>#REF!</f>
        <v>#REF!</v>
      </c>
      <c r="AF149" s="180" t="e">
        <f>[1]April!N44</f>
        <v>#REF!</v>
      </c>
      <c r="AG149" s="180" t="e">
        <f>[2]april!N44</f>
        <v>#REF!</v>
      </c>
      <c r="AH149" s="180" t="e">
        <f>'[3]DES SKPD'!$N44</f>
        <v>#REF!</v>
      </c>
      <c r="AI149" s="180">
        <v>0</v>
      </c>
      <c r="AJ149" s="181">
        <f t="shared" ref="AJ149" si="51">AI149/Q149*100</f>
        <v>0</v>
      </c>
      <c r="AK149" s="180">
        <f t="shared" ref="AK149" si="52">Q149-AI149</f>
        <v>800000</v>
      </c>
      <c r="AL149" s="181">
        <f t="shared" ref="AL149" si="53">AK149/Q149*100</f>
        <v>100</v>
      </c>
      <c r="AM149" s="227"/>
    </row>
    <row r="150" spans="1:39" ht="28.5" customHeight="1" x14ac:dyDescent="0.25">
      <c r="A150" s="243"/>
      <c r="B150" s="437"/>
      <c r="C150" s="437"/>
      <c r="D150" s="437"/>
      <c r="E150" s="437"/>
      <c r="F150" s="437"/>
      <c r="G150" s="437"/>
      <c r="H150" s="437"/>
      <c r="I150" s="438"/>
      <c r="J150" s="437" t="s">
        <v>294</v>
      </c>
      <c r="K150" s="245"/>
      <c r="L150" s="257"/>
      <c r="M150" s="597" t="s">
        <v>295</v>
      </c>
      <c r="N150" s="598"/>
      <c r="O150" s="299"/>
      <c r="P150" s="180"/>
      <c r="Q150" s="180">
        <v>67090000</v>
      </c>
      <c r="R150" s="181">
        <f t="shared" ref="R150:R154" si="54">Q150/Q$148*100</f>
        <v>6.5104318292091223</v>
      </c>
      <c r="S150" s="181">
        <v>100</v>
      </c>
      <c r="T150" s="180">
        <f t="shared" si="44"/>
        <v>99.604710090922637</v>
      </c>
      <c r="U150" s="180">
        <f t="shared" si="47"/>
        <v>6.4846967491508973</v>
      </c>
      <c r="V150" s="182">
        <f t="shared" si="42"/>
        <v>0.39528990907736272</v>
      </c>
      <c r="W150" s="180"/>
      <c r="X150" s="180" t="e">
        <f>#REF!</f>
        <v>#REF!</v>
      </c>
      <c r="Y150" s="180" t="e">
        <f>#REF!</f>
        <v>#REF!</v>
      </c>
      <c r="Z150" s="180" t="e">
        <f>#REF!</f>
        <v>#REF!</v>
      </c>
      <c r="AA150" s="180" t="e">
        <f>#REF!</f>
        <v>#REF!</v>
      </c>
      <c r="AB150" s="180">
        <v>335806265</v>
      </c>
      <c r="AC150" s="180" t="e">
        <f>#REF!</f>
        <v>#REF!</v>
      </c>
      <c r="AD150" s="180" t="e">
        <f>#REF!</f>
        <v>#REF!</v>
      </c>
      <c r="AE150" s="180" t="e">
        <f>#REF!</f>
        <v>#REF!</v>
      </c>
      <c r="AF150" s="180" t="e">
        <f>[1]April!N41</f>
        <v>#REF!</v>
      </c>
      <c r="AG150" s="180" t="e">
        <f>[2]april!N41</f>
        <v>#REF!</v>
      </c>
      <c r="AH150" s="180">
        <f>'[3]DES SKPD'!$N41</f>
        <v>231767600</v>
      </c>
      <c r="AI150" s="180">
        <v>66824800</v>
      </c>
      <c r="AJ150" s="181">
        <f t="shared" si="45"/>
        <v>99.604710090922637</v>
      </c>
      <c r="AK150" s="180">
        <f t="shared" si="39"/>
        <v>265200</v>
      </c>
      <c r="AL150" s="181">
        <f t="shared" si="46"/>
        <v>0.39528990907735878</v>
      </c>
      <c r="AM150" s="243"/>
    </row>
    <row r="151" spans="1:39" ht="28.5" customHeight="1" x14ac:dyDescent="0.25">
      <c r="A151" s="243"/>
      <c r="B151" s="437"/>
      <c r="C151" s="437"/>
      <c r="D151" s="437"/>
      <c r="E151" s="437"/>
      <c r="F151" s="437"/>
      <c r="G151" s="437"/>
      <c r="H151" s="437"/>
      <c r="I151" s="438"/>
      <c r="J151" s="437" t="s">
        <v>296</v>
      </c>
      <c r="K151" s="245"/>
      <c r="L151" s="257"/>
      <c r="M151" s="597" t="s">
        <v>297</v>
      </c>
      <c r="N151" s="598"/>
      <c r="O151" s="299"/>
      <c r="P151" s="180"/>
      <c r="Q151" s="180">
        <v>297450000</v>
      </c>
      <c r="R151" s="181">
        <f t="shared" si="54"/>
        <v>28.864628820960696</v>
      </c>
      <c r="S151" s="181">
        <v>100</v>
      </c>
      <c r="T151" s="180">
        <f t="shared" si="44"/>
        <v>7.0483156833081191</v>
      </c>
      <c r="U151" s="180">
        <f t="shared" si="47"/>
        <v>2.0344701601164483</v>
      </c>
      <c r="V151" s="182">
        <f t="shared" si="42"/>
        <v>92.951684316691882</v>
      </c>
      <c r="W151" s="180"/>
      <c r="X151" s="180" t="e">
        <f>#REF!</f>
        <v>#REF!</v>
      </c>
      <c r="Y151" s="180" t="e">
        <f>#REF!</f>
        <v>#REF!</v>
      </c>
      <c r="Z151" s="180" t="e">
        <f>#REF!</f>
        <v>#REF!</v>
      </c>
      <c r="AA151" s="180" t="e">
        <f>#REF!</f>
        <v>#REF!</v>
      </c>
      <c r="AB151" s="180">
        <v>335806266</v>
      </c>
      <c r="AC151" s="180" t="e">
        <f>#REF!</f>
        <v>#REF!</v>
      </c>
      <c r="AD151" s="180" t="e">
        <f>#REF!</f>
        <v>#REF!</v>
      </c>
      <c r="AE151" s="180" t="e">
        <f>#REF!</f>
        <v>#REF!</v>
      </c>
      <c r="AF151" s="180" t="e">
        <f>[1]April!N42</f>
        <v>#REF!</v>
      </c>
      <c r="AG151" s="180" t="e">
        <f>[2]april!N42</f>
        <v>#REF!</v>
      </c>
      <c r="AH151" s="180" t="e">
        <f>'[3]DES SKPD'!$N42</f>
        <v>#REF!</v>
      </c>
      <c r="AI151" s="180">
        <f>8977800+11987415</f>
        <v>20965215</v>
      </c>
      <c r="AJ151" s="181">
        <f t="shared" si="45"/>
        <v>7.0483156833081191</v>
      </c>
      <c r="AK151" s="180">
        <f t="shared" si="39"/>
        <v>276484785</v>
      </c>
      <c r="AL151" s="181">
        <f t="shared" si="46"/>
        <v>92.951684316691882</v>
      </c>
      <c r="AM151" s="243"/>
    </row>
    <row r="152" spans="1:39" ht="28.5" customHeight="1" x14ac:dyDescent="0.25">
      <c r="A152" s="243"/>
      <c r="B152" s="437"/>
      <c r="C152" s="437"/>
      <c r="D152" s="437"/>
      <c r="E152" s="437"/>
      <c r="F152" s="437"/>
      <c r="G152" s="437"/>
      <c r="H152" s="437"/>
      <c r="I152" s="438"/>
      <c r="J152" s="437" t="s">
        <v>298</v>
      </c>
      <c r="K152" s="245"/>
      <c r="L152" s="257"/>
      <c r="M152" s="597" t="s">
        <v>299</v>
      </c>
      <c r="N152" s="598"/>
      <c r="O152" s="299"/>
      <c r="P152" s="180"/>
      <c r="Q152" s="180">
        <v>241500000</v>
      </c>
      <c r="R152" s="181">
        <f t="shared" si="54"/>
        <v>23.435225618631733</v>
      </c>
      <c r="S152" s="181">
        <v>100</v>
      </c>
      <c r="T152" s="180">
        <f t="shared" si="44"/>
        <v>55.512049689440992</v>
      </c>
      <c r="U152" s="180">
        <f t="shared" si="47"/>
        <v>13.009374090247452</v>
      </c>
      <c r="V152" s="182">
        <f t="shared" si="42"/>
        <v>44.487950310559008</v>
      </c>
      <c r="W152" s="180"/>
      <c r="X152" s="180" t="e">
        <f>#REF!</f>
        <v>#REF!</v>
      </c>
      <c r="Y152" s="180" t="e">
        <f>#REF!</f>
        <v>#REF!</v>
      </c>
      <c r="Z152" s="180" t="e">
        <f>#REF!</f>
        <v>#REF!</v>
      </c>
      <c r="AA152" s="180" t="e">
        <f>#REF!</f>
        <v>#REF!</v>
      </c>
      <c r="AB152" s="180">
        <v>335806267</v>
      </c>
      <c r="AC152" s="180" t="e">
        <f>#REF!</f>
        <v>#REF!</v>
      </c>
      <c r="AD152" s="180" t="e">
        <f>#REF!</f>
        <v>#REF!</v>
      </c>
      <c r="AE152" s="180" t="e">
        <f>#REF!</f>
        <v>#REF!</v>
      </c>
      <c r="AF152" s="180" t="e">
        <f>[1]April!N43</f>
        <v>#REF!</v>
      </c>
      <c r="AG152" s="180" t="e">
        <f>[2]april!N43</f>
        <v>#REF!</v>
      </c>
      <c r="AH152" s="180">
        <f>'[3]DES SKPD'!$N43</f>
        <v>38085000</v>
      </c>
      <c r="AI152" s="180">
        <f>59073775+74987825</f>
        <v>134061600</v>
      </c>
      <c r="AJ152" s="181">
        <f t="shared" si="45"/>
        <v>55.512049689440992</v>
      </c>
      <c r="AK152" s="180">
        <f t="shared" si="39"/>
        <v>107438400</v>
      </c>
      <c r="AL152" s="181">
        <f t="shared" si="46"/>
        <v>44.487950310559008</v>
      </c>
      <c r="AM152" s="243"/>
    </row>
    <row r="153" spans="1:39" ht="28.5" customHeight="1" x14ac:dyDescent="0.25">
      <c r="A153" s="243"/>
      <c r="B153" s="437"/>
      <c r="C153" s="437"/>
      <c r="D153" s="437"/>
      <c r="E153" s="437"/>
      <c r="F153" s="437"/>
      <c r="G153" s="437"/>
      <c r="H153" s="437"/>
      <c r="I153" s="438"/>
      <c r="J153" s="437" t="s">
        <v>581</v>
      </c>
      <c r="K153" s="245"/>
      <c r="L153" s="257"/>
      <c r="M153" s="597" t="s">
        <v>580</v>
      </c>
      <c r="N153" s="598"/>
      <c r="O153" s="299"/>
      <c r="P153" s="180"/>
      <c r="Q153" s="180">
        <v>411660000</v>
      </c>
      <c r="R153" s="181">
        <f t="shared" si="54"/>
        <v>39.94759825327511</v>
      </c>
      <c r="S153" s="181">
        <v>100</v>
      </c>
      <c r="T153" s="180">
        <f t="shared" si="44"/>
        <v>59.896963027741336</v>
      </c>
      <c r="U153" s="180">
        <f t="shared" si="47"/>
        <v>23.927398156234837</v>
      </c>
      <c r="V153" s="182">
        <f t="shared" si="42"/>
        <v>40.103036972258664</v>
      </c>
      <c r="W153" s="180"/>
      <c r="X153" s="180" t="e">
        <f>#REF!</f>
        <v>#REF!</v>
      </c>
      <c r="Y153" s="180" t="e">
        <f>#REF!</f>
        <v>#REF!</v>
      </c>
      <c r="Z153" s="180" t="e">
        <f>#REF!</f>
        <v>#REF!</v>
      </c>
      <c r="AA153" s="180" t="e">
        <f>#REF!</f>
        <v>#REF!</v>
      </c>
      <c r="AB153" s="180">
        <v>335806268</v>
      </c>
      <c r="AC153" s="180" t="e">
        <f>#REF!</f>
        <v>#REF!</v>
      </c>
      <c r="AD153" s="180" t="e">
        <f>#REF!</f>
        <v>#REF!</v>
      </c>
      <c r="AE153" s="180" t="e">
        <f>#REF!</f>
        <v>#REF!</v>
      </c>
      <c r="AF153" s="180" t="e">
        <f>[1]April!N44</f>
        <v>#REF!</v>
      </c>
      <c r="AG153" s="180" t="e">
        <f>[2]april!N44</f>
        <v>#REF!</v>
      </c>
      <c r="AH153" s="180" t="e">
        <f>'[3]DES SKPD'!$N44</f>
        <v>#REF!</v>
      </c>
      <c r="AI153" s="180">
        <f>38300000+153200000+38300000+6981150+9790688</f>
        <v>246571838</v>
      </c>
      <c r="AJ153" s="181">
        <f t="shared" si="45"/>
        <v>59.896963027741336</v>
      </c>
      <c r="AK153" s="180">
        <f t="shared" si="39"/>
        <v>165088162</v>
      </c>
      <c r="AL153" s="181">
        <f t="shared" si="46"/>
        <v>40.103036972258657</v>
      </c>
      <c r="AM153" s="243"/>
    </row>
    <row r="154" spans="1:39" ht="32.25" customHeight="1" x14ac:dyDescent="0.25">
      <c r="A154" s="243"/>
      <c r="B154" s="437"/>
      <c r="C154" s="437"/>
      <c r="D154" s="437"/>
      <c r="E154" s="437"/>
      <c r="F154" s="437"/>
      <c r="G154" s="437"/>
      <c r="H154" s="437"/>
      <c r="I154" s="438"/>
      <c r="J154" s="437" t="s">
        <v>551</v>
      </c>
      <c r="K154" s="245"/>
      <c r="L154" s="257"/>
      <c r="M154" s="597" t="s">
        <v>550</v>
      </c>
      <c r="N154" s="598"/>
      <c r="O154" s="299"/>
      <c r="P154" s="180"/>
      <c r="Q154" s="180">
        <v>12000000</v>
      </c>
      <c r="R154" s="181">
        <f t="shared" si="54"/>
        <v>1.1644832605531297</v>
      </c>
      <c r="S154" s="181"/>
      <c r="T154" s="180">
        <f t="shared" si="44"/>
        <v>41.666666666666671</v>
      </c>
      <c r="U154" s="180">
        <f t="shared" si="47"/>
        <v>0.48520135856380409</v>
      </c>
      <c r="V154" s="182">
        <f>S154-T154</f>
        <v>-41.666666666666671</v>
      </c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>
        <f>2000000+1000000+1000000+1000000</f>
        <v>5000000</v>
      </c>
      <c r="AJ154" s="181">
        <f t="shared" si="45"/>
        <v>41.666666666666671</v>
      </c>
      <c r="AK154" s="180">
        <f t="shared" si="39"/>
        <v>7000000</v>
      </c>
      <c r="AL154" s="181">
        <f t="shared" si="46"/>
        <v>58.333333333333336</v>
      </c>
      <c r="AM154" s="243"/>
    </row>
    <row r="155" spans="1:39" s="297" customFormat="1" ht="33.75" customHeight="1" x14ac:dyDescent="0.25">
      <c r="A155" s="227">
        <f>A148+1</f>
        <v>21</v>
      </c>
      <c r="B155" s="615" t="s">
        <v>131</v>
      </c>
      <c r="C155" s="615"/>
      <c r="D155" s="615"/>
      <c r="E155" s="615"/>
      <c r="F155" s="615"/>
      <c r="G155" s="615"/>
      <c r="H155" s="615"/>
      <c r="I155" s="614"/>
      <c r="J155" s="304" t="s">
        <v>460</v>
      </c>
      <c r="K155" s="230"/>
      <c r="L155" s="294"/>
      <c r="M155" s="615" t="s">
        <v>28</v>
      </c>
      <c r="N155" s="614"/>
      <c r="O155" s="295">
        <v>140600000</v>
      </c>
      <c r="P155" s="231">
        <f>O155</f>
        <v>140600000</v>
      </c>
      <c r="Q155" s="231">
        <f>SUM(Q156:Q156)</f>
        <v>96500000</v>
      </c>
      <c r="R155" s="233">
        <f>Q155/Q$124*100</f>
        <v>2.7479286597853601</v>
      </c>
      <c r="S155" s="233">
        <v>100</v>
      </c>
      <c r="T155" s="231">
        <f t="shared" si="44"/>
        <v>99.52435233160621</v>
      </c>
      <c r="U155" s="231">
        <f t="shared" si="47"/>
        <v>2.7348582011859661</v>
      </c>
      <c r="V155" s="296">
        <f>S155-T155</f>
        <v>0.47564766839379047</v>
      </c>
      <c r="W155" s="231"/>
      <c r="X155" s="231" t="e">
        <f>#REF!</f>
        <v>#REF!</v>
      </c>
      <c r="Y155" s="231" t="e">
        <f>#REF!</f>
        <v>#REF!</v>
      </c>
      <c r="Z155" s="231" t="e">
        <f>#REF!</f>
        <v>#REF!</v>
      </c>
      <c r="AA155" s="231" t="e">
        <f>#REF!</f>
        <v>#REF!</v>
      </c>
      <c r="AB155" s="231">
        <v>54780000</v>
      </c>
      <c r="AC155" s="231" t="e">
        <f>#REF!</f>
        <v>#REF!</v>
      </c>
      <c r="AD155" s="231" t="e">
        <f>#REF!</f>
        <v>#REF!</v>
      </c>
      <c r="AE155" s="231" t="e">
        <f>#REF!</f>
        <v>#REF!</v>
      </c>
      <c r="AF155" s="231" t="e">
        <f>[1]April!N40</f>
        <v>#REF!</v>
      </c>
      <c r="AG155" s="231">
        <v>140440000</v>
      </c>
      <c r="AH155" s="231">
        <f>'[3]DES SKPD'!$N40</f>
        <v>140440000</v>
      </c>
      <c r="AI155" s="231">
        <f>SUM(AI156:AI156)</f>
        <v>96041000</v>
      </c>
      <c r="AJ155" s="233">
        <f t="shared" si="45"/>
        <v>99.52435233160621</v>
      </c>
      <c r="AK155" s="231">
        <f t="shared" si="39"/>
        <v>459000</v>
      </c>
      <c r="AL155" s="233">
        <f t="shared" si="46"/>
        <v>0.47564766839378236</v>
      </c>
      <c r="AM155" s="227"/>
    </row>
    <row r="156" spans="1:39" ht="29.25" customHeight="1" x14ac:dyDescent="0.25">
      <c r="A156" s="243"/>
      <c r="B156" s="437"/>
      <c r="C156" s="437"/>
      <c r="D156" s="437"/>
      <c r="E156" s="437"/>
      <c r="F156" s="437"/>
      <c r="G156" s="437"/>
      <c r="H156" s="437"/>
      <c r="I156" s="438"/>
      <c r="J156" s="437" t="s">
        <v>302</v>
      </c>
      <c r="K156" s="245"/>
      <c r="L156" s="257"/>
      <c r="M156" s="597" t="s">
        <v>303</v>
      </c>
      <c r="N156" s="598"/>
      <c r="O156" s="299"/>
      <c r="P156" s="180"/>
      <c r="Q156" s="180">
        <v>96500000</v>
      </c>
      <c r="R156" s="181">
        <f>Q156/Q$155*100</f>
        <v>100</v>
      </c>
      <c r="S156" s="181">
        <v>100</v>
      </c>
      <c r="T156" s="180">
        <f t="shared" si="44"/>
        <v>99.52435233160621</v>
      </c>
      <c r="U156" s="180">
        <f t="shared" si="47"/>
        <v>99.52435233160621</v>
      </c>
      <c r="V156" s="182">
        <f t="shared" ref="V156:V219" si="55">S156-T156</f>
        <v>0.47564766839379047</v>
      </c>
      <c r="W156" s="180"/>
      <c r="X156" s="180" t="e">
        <f>#REF!</f>
        <v>#REF!</v>
      </c>
      <c r="Y156" s="180" t="e">
        <f>#REF!</f>
        <v>#REF!</v>
      </c>
      <c r="Z156" s="180" t="e">
        <f>#REF!</f>
        <v>#REF!</v>
      </c>
      <c r="AA156" s="180" t="e">
        <f>#REF!</f>
        <v>#REF!</v>
      </c>
      <c r="AB156" s="180">
        <v>54780002</v>
      </c>
      <c r="AC156" s="180" t="e">
        <f>#REF!</f>
        <v>#REF!</v>
      </c>
      <c r="AD156" s="180" t="e">
        <f>#REF!</f>
        <v>#REF!</v>
      </c>
      <c r="AE156" s="180" t="e">
        <f>#REF!</f>
        <v>#REF!</v>
      </c>
      <c r="AF156" s="180" t="e">
        <f>[1]April!N42</f>
        <v>#REF!</v>
      </c>
      <c r="AG156" s="231">
        <v>140440002</v>
      </c>
      <c r="AH156" s="180" t="e">
        <f>'[3]DES SKPD'!$N42</f>
        <v>#REF!</v>
      </c>
      <c r="AI156" s="180">
        <v>96041000</v>
      </c>
      <c r="AJ156" s="181">
        <f t="shared" si="45"/>
        <v>99.52435233160621</v>
      </c>
      <c r="AK156" s="180">
        <f t="shared" si="39"/>
        <v>459000</v>
      </c>
      <c r="AL156" s="181">
        <f t="shared" si="46"/>
        <v>0.47564766839378236</v>
      </c>
      <c r="AM156" s="243"/>
    </row>
    <row r="157" spans="1:39" s="297" customFormat="1" ht="33" customHeight="1" x14ac:dyDescent="0.25">
      <c r="A157" s="227">
        <f>SUM(A155+1)</f>
        <v>22</v>
      </c>
      <c r="B157" s="442"/>
      <c r="C157" s="442"/>
      <c r="D157" s="442"/>
      <c r="E157" s="442"/>
      <c r="F157" s="442"/>
      <c r="G157" s="442"/>
      <c r="H157" s="442"/>
      <c r="I157" s="441"/>
      <c r="J157" s="304" t="s">
        <v>461</v>
      </c>
      <c r="K157" s="230"/>
      <c r="L157" s="294"/>
      <c r="M157" s="615" t="s">
        <v>197</v>
      </c>
      <c r="N157" s="614"/>
      <c r="O157" s="295"/>
      <c r="P157" s="231"/>
      <c r="Q157" s="231">
        <f>SUM(Q158:Q158)</f>
        <v>230100000</v>
      </c>
      <c r="R157" s="233">
        <f>Q157/Q$124*100</f>
        <v>6.552314866493381</v>
      </c>
      <c r="S157" s="233">
        <v>100</v>
      </c>
      <c r="T157" s="231">
        <f t="shared" si="44"/>
        <v>45.94632768361582</v>
      </c>
      <c r="U157" s="231">
        <f t="shared" si="47"/>
        <v>3.010548059421323</v>
      </c>
      <c r="V157" s="296">
        <f t="shared" si="55"/>
        <v>54.05367231638418</v>
      </c>
      <c r="W157" s="231"/>
      <c r="X157" s="231" t="e">
        <f>#REF!</f>
        <v>#REF!</v>
      </c>
      <c r="Y157" s="231" t="e">
        <f>#REF!</f>
        <v>#REF!</v>
      </c>
      <c r="Z157" s="231" t="e">
        <f>#REF!</f>
        <v>#REF!</v>
      </c>
      <c r="AA157" s="231" t="e">
        <f>#REF!</f>
        <v>#REF!</v>
      </c>
      <c r="AB157" s="231">
        <v>54780000</v>
      </c>
      <c r="AC157" s="231" t="e">
        <f>#REF!</f>
        <v>#REF!</v>
      </c>
      <c r="AD157" s="231" t="e">
        <f>#REF!</f>
        <v>#REF!</v>
      </c>
      <c r="AE157" s="231" t="e">
        <f>#REF!</f>
        <v>#REF!</v>
      </c>
      <c r="AF157" s="231" t="e">
        <f>[1]April!N41</f>
        <v>#REF!</v>
      </c>
      <c r="AG157" s="231">
        <v>140440000</v>
      </c>
      <c r="AH157" s="231">
        <f>'[3]DES SKPD'!$N41</f>
        <v>231767600</v>
      </c>
      <c r="AI157" s="231">
        <f>SUM(AI158:AI158)</f>
        <v>105722500</v>
      </c>
      <c r="AJ157" s="233">
        <f t="shared" si="45"/>
        <v>45.94632768361582</v>
      </c>
      <c r="AK157" s="231">
        <f t="shared" si="39"/>
        <v>124377500</v>
      </c>
      <c r="AL157" s="233">
        <f t="shared" si="46"/>
        <v>54.05367231638418</v>
      </c>
      <c r="AM157" s="227"/>
    </row>
    <row r="158" spans="1:39" ht="28.5" customHeight="1" x14ac:dyDescent="0.25">
      <c r="A158" s="243"/>
      <c r="B158" s="437"/>
      <c r="C158" s="437"/>
      <c r="D158" s="437"/>
      <c r="E158" s="437"/>
      <c r="F158" s="437"/>
      <c r="G158" s="437"/>
      <c r="H158" s="437"/>
      <c r="I158" s="438"/>
      <c r="J158" s="437" t="s">
        <v>304</v>
      </c>
      <c r="K158" s="245"/>
      <c r="L158" s="257"/>
      <c r="M158" s="597" t="s">
        <v>305</v>
      </c>
      <c r="N158" s="598"/>
      <c r="O158" s="299"/>
      <c r="P158" s="180"/>
      <c r="Q158" s="180">
        <v>230100000</v>
      </c>
      <c r="R158" s="181">
        <f>Q158/Q$157*100</f>
        <v>100</v>
      </c>
      <c r="S158" s="181">
        <v>100</v>
      </c>
      <c r="T158" s="180">
        <f t="shared" si="44"/>
        <v>45.94632768361582</v>
      </c>
      <c r="U158" s="180">
        <f t="shared" si="47"/>
        <v>45.94632768361582</v>
      </c>
      <c r="V158" s="182">
        <f t="shared" si="55"/>
        <v>54.05367231638418</v>
      </c>
      <c r="W158" s="180"/>
      <c r="X158" s="180" t="e">
        <f>#REF!</f>
        <v>#REF!</v>
      </c>
      <c r="Y158" s="180" t="e">
        <f>#REF!</f>
        <v>#REF!</v>
      </c>
      <c r="Z158" s="180" t="e">
        <f>#REF!</f>
        <v>#REF!</v>
      </c>
      <c r="AA158" s="180" t="e">
        <f>#REF!</f>
        <v>#REF!</v>
      </c>
      <c r="AB158" s="180">
        <v>54780002</v>
      </c>
      <c r="AC158" s="180" t="e">
        <f>#REF!</f>
        <v>#REF!</v>
      </c>
      <c r="AD158" s="180" t="e">
        <f>#REF!</f>
        <v>#REF!</v>
      </c>
      <c r="AE158" s="180" t="e">
        <f>#REF!</f>
        <v>#REF!</v>
      </c>
      <c r="AF158" s="180" t="e">
        <f>[1]April!N43</f>
        <v>#REF!</v>
      </c>
      <c r="AG158" s="231">
        <v>140440002</v>
      </c>
      <c r="AH158" s="180">
        <f>'[3]DES SKPD'!$N43</f>
        <v>38085000</v>
      </c>
      <c r="AI158" s="180">
        <f>42345000+52672500+10705000</f>
        <v>105722500</v>
      </c>
      <c r="AJ158" s="181">
        <f t="shared" si="45"/>
        <v>45.94632768361582</v>
      </c>
      <c r="AK158" s="180">
        <f t="shared" si="39"/>
        <v>124377500</v>
      </c>
      <c r="AL158" s="181">
        <f t="shared" si="46"/>
        <v>54.05367231638418</v>
      </c>
      <c r="AM158" s="243"/>
    </row>
    <row r="159" spans="1:39" ht="28.5" customHeight="1" x14ac:dyDescent="0.25">
      <c r="A159" s="227">
        <f>SUM(A157+1)</f>
        <v>23</v>
      </c>
      <c r="B159" s="442"/>
      <c r="C159" s="442"/>
      <c r="D159" s="442"/>
      <c r="E159" s="442"/>
      <c r="F159" s="442"/>
      <c r="G159" s="442"/>
      <c r="H159" s="442"/>
      <c r="I159" s="441"/>
      <c r="J159" s="304" t="s">
        <v>582</v>
      </c>
      <c r="K159" s="230"/>
      <c r="L159" s="294"/>
      <c r="M159" s="615" t="s">
        <v>583</v>
      </c>
      <c r="N159" s="614"/>
      <c r="O159" s="295"/>
      <c r="P159" s="231"/>
      <c r="Q159" s="231">
        <f>SUM(Q160:Q160)</f>
        <v>99200000</v>
      </c>
      <c r="R159" s="233">
        <f>Q159/Q$124*100</f>
        <v>2.8248137103700275</v>
      </c>
      <c r="S159" s="233">
        <v>100</v>
      </c>
      <c r="T159" s="231">
        <f t="shared" si="44"/>
        <v>0</v>
      </c>
      <c r="U159" s="231">
        <f t="shared" si="47"/>
        <v>0</v>
      </c>
      <c r="V159" s="296">
        <f t="shared" si="55"/>
        <v>100</v>
      </c>
      <c r="W159" s="231"/>
      <c r="X159" s="231" t="e">
        <f>#REF!</f>
        <v>#REF!</v>
      </c>
      <c r="Y159" s="231" t="e">
        <f>#REF!</f>
        <v>#REF!</v>
      </c>
      <c r="Z159" s="231" t="e">
        <f>#REF!</f>
        <v>#REF!</v>
      </c>
      <c r="AA159" s="231" t="e">
        <f>#REF!</f>
        <v>#REF!</v>
      </c>
      <c r="AB159" s="231">
        <v>54780000</v>
      </c>
      <c r="AC159" s="231" t="e">
        <f>#REF!</f>
        <v>#REF!</v>
      </c>
      <c r="AD159" s="231" t="e">
        <f>#REF!</f>
        <v>#REF!</v>
      </c>
      <c r="AE159" s="231" t="e">
        <f>#REF!</f>
        <v>#REF!</v>
      </c>
      <c r="AF159" s="231" t="e">
        <f>[1]April!N43</f>
        <v>#REF!</v>
      </c>
      <c r="AG159" s="231">
        <v>140440000</v>
      </c>
      <c r="AH159" s="231">
        <f>'[3]DES SKPD'!$N43</f>
        <v>38085000</v>
      </c>
      <c r="AI159" s="231">
        <f>SUM(AI160)</f>
        <v>0</v>
      </c>
      <c r="AJ159" s="233">
        <f t="shared" si="45"/>
        <v>0</v>
      </c>
      <c r="AK159" s="231">
        <f t="shared" si="39"/>
        <v>99200000</v>
      </c>
      <c r="AL159" s="233">
        <f t="shared" si="46"/>
        <v>100</v>
      </c>
      <c r="AM159" s="243"/>
    </row>
    <row r="160" spans="1:39" ht="28.5" customHeight="1" x14ac:dyDescent="0.25">
      <c r="A160" s="243"/>
      <c r="B160" s="437"/>
      <c r="C160" s="437"/>
      <c r="D160" s="437"/>
      <c r="E160" s="437"/>
      <c r="F160" s="437"/>
      <c r="G160" s="437"/>
      <c r="H160" s="437"/>
      <c r="I160" s="438"/>
      <c r="J160" s="437" t="s">
        <v>292</v>
      </c>
      <c r="K160" s="245"/>
      <c r="L160" s="257"/>
      <c r="M160" s="597" t="s">
        <v>584</v>
      </c>
      <c r="N160" s="598"/>
      <c r="O160" s="299"/>
      <c r="P160" s="180"/>
      <c r="Q160" s="180">
        <v>99200000</v>
      </c>
      <c r="R160" s="181">
        <f>Q160/Q$157*100</f>
        <v>43.111690569317688</v>
      </c>
      <c r="S160" s="181">
        <v>100</v>
      </c>
      <c r="T160" s="180">
        <f t="shared" si="44"/>
        <v>0</v>
      </c>
      <c r="U160" s="180">
        <f t="shared" si="47"/>
        <v>0</v>
      </c>
      <c r="V160" s="182">
        <f t="shared" si="55"/>
        <v>100</v>
      </c>
      <c r="W160" s="180"/>
      <c r="X160" s="180" t="e">
        <f>#REF!</f>
        <v>#REF!</v>
      </c>
      <c r="Y160" s="180" t="e">
        <f>#REF!</f>
        <v>#REF!</v>
      </c>
      <c r="Z160" s="180" t="e">
        <f>#REF!</f>
        <v>#REF!</v>
      </c>
      <c r="AA160" s="180" t="e">
        <f>#REF!</f>
        <v>#REF!</v>
      </c>
      <c r="AB160" s="180">
        <v>54780002</v>
      </c>
      <c r="AC160" s="180" t="e">
        <f>#REF!</f>
        <v>#REF!</v>
      </c>
      <c r="AD160" s="180" t="e">
        <f>#REF!</f>
        <v>#REF!</v>
      </c>
      <c r="AE160" s="180" t="e">
        <f>#REF!</f>
        <v>#REF!</v>
      </c>
      <c r="AF160" s="180" t="e">
        <f>[1]April!N45</f>
        <v>#REF!</v>
      </c>
      <c r="AG160" s="231">
        <v>140440002</v>
      </c>
      <c r="AH160" s="180">
        <f>'[3]DES SKPD'!$N45</f>
        <v>320566100</v>
      </c>
      <c r="AI160" s="180">
        <v>0</v>
      </c>
      <c r="AJ160" s="181">
        <f t="shared" si="45"/>
        <v>0</v>
      </c>
      <c r="AK160" s="180">
        <f t="shared" si="39"/>
        <v>99200000</v>
      </c>
      <c r="AL160" s="181">
        <f t="shared" si="46"/>
        <v>100</v>
      </c>
      <c r="AM160" s="243"/>
    </row>
    <row r="161" spans="1:39" s="226" customFormat="1" ht="29.25" customHeight="1" x14ac:dyDescent="0.25">
      <c r="A161" s="289" t="s">
        <v>29</v>
      </c>
      <c r="B161" s="607" t="s">
        <v>132</v>
      </c>
      <c r="C161" s="607"/>
      <c r="D161" s="607"/>
      <c r="E161" s="607"/>
      <c r="F161" s="607"/>
      <c r="G161" s="607"/>
      <c r="H161" s="607"/>
      <c r="I161" s="608"/>
      <c r="J161" s="443" t="s">
        <v>454</v>
      </c>
      <c r="K161" s="291"/>
      <c r="L161" s="607" t="s">
        <v>383</v>
      </c>
      <c r="M161" s="607"/>
      <c r="N161" s="608"/>
      <c r="O161" s="263">
        <f>SUM(O165)</f>
        <v>39710000</v>
      </c>
      <c r="P161" s="263">
        <f>SUM(P165)</f>
        <v>39710000</v>
      </c>
      <c r="Q161" s="263">
        <f>SUM(Q162+Q165)</f>
        <v>103000000</v>
      </c>
      <c r="R161" s="222">
        <f>Q161/Q$35*100</f>
        <v>0.32403945616907198</v>
      </c>
      <c r="S161" s="222">
        <v>100</v>
      </c>
      <c r="T161" s="263">
        <f t="shared" si="44"/>
        <v>26.844660194174757</v>
      </c>
      <c r="U161" s="263">
        <f>SUM(R161*T161/100)</f>
        <v>8.6987290903639228E-2</v>
      </c>
      <c r="V161" s="292">
        <f t="shared" si="55"/>
        <v>73.155339805825236</v>
      </c>
      <c r="W161" s="263">
        <f>SUM(W165)</f>
        <v>0</v>
      </c>
      <c r="X161" s="263" t="e">
        <f>SUM(X165)</f>
        <v>#REF!</v>
      </c>
      <c r="Y161" s="263" t="e">
        <f t="shared" ref="Y161:AH161" si="56">SUM(Y165)</f>
        <v>#REF!</v>
      </c>
      <c r="Z161" s="263" t="e">
        <f t="shared" si="56"/>
        <v>#REF!</v>
      </c>
      <c r="AA161" s="263" t="e">
        <f t="shared" si="56"/>
        <v>#REF!</v>
      </c>
      <c r="AB161" s="263">
        <f t="shared" si="56"/>
        <v>38085000</v>
      </c>
      <c r="AC161" s="263" t="e">
        <f t="shared" si="56"/>
        <v>#REF!</v>
      </c>
      <c r="AD161" s="263" t="e">
        <f t="shared" si="56"/>
        <v>#REF!</v>
      </c>
      <c r="AE161" s="263" t="e">
        <f t="shared" si="56"/>
        <v>#REF!</v>
      </c>
      <c r="AF161" s="263" t="e">
        <f t="shared" si="56"/>
        <v>#REF!</v>
      </c>
      <c r="AG161" s="263" t="e">
        <f t="shared" si="56"/>
        <v>#REF!</v>
      </c>
      <c r="AH161" s="263">
        <f t="shared" si="56"/>
        <v>38085000</v>
      </c>
      <c r="AI161" s="263">
        <f>SUM(AI162+AI165)</f>
        <v>27650000</v>
      </c>
      <c r="AJ161" s="222">
        <f t="shared" si="45"/>
        <v>26.844660194174757</v>
      </c>
      <c r="AK161" s="263">
        <f>SUM(Q161-AI161)</f>
        <v>75350000</v>
      </c>
      <c r="AL161" s="222">
        <f t="shared" si="46"/>
        <v>73.15533980582525</v>
      </c>
      <c r="AM161" s="289"/>
    </row>
    <row r="162" spans="1:39" s="235" customFormat="1" ht="29.25" customHeight="1" x14ac:dyDescent="0.25">
      <c r="A162" s="227">
        <f>A159+1</f>
        <v>24</v>
      </c>
      <c r="B162" s="442"/>
      <c r="C162" s="442"/>
      <c r="D162" s="442"/>
      <c r="E162" s="442"/>
      <c r="F162" s="442"/>
      <c r="G162" s="442"/>
      <c r="H162" s="442"/>
      <c r="I162" s="441"/>
      <c r="J162" s="304" t="s">
        <v>462</v>
      </c>
      <c r="K162" s="230"/>
      <c r="L162" s="442"/>
      <c r="M162" s="615" t="s">
        <v>386</v>
      </c>
      <c r="N162" s="614"/>
      <c r="O162" s="231"/>
      <c r="P162" s="231"/>
      <c r="Q162" s="231">
        <f>SUM(Q163:Q164)</f>
        <v>71000000</v>
      </c>
      <c r="R162" s="233">
        <f>Q162/Q$35*100</f>
        <v>0.2233670037670302</v>
      </c>
      <c r="S162" s="233">
        <v>100</v>
      </c>
      <c r="T162" s="231">
        <f t="shared" si="44"/>
        <v>0</v>
      </c>
      <c r="U162" s="231">
        <f t="shared" ref="U162:U167" si="57">R162*T162/100</f>
        <v>0</v>
      </c>
      <c r="V162" s="296">
        <f t="shared" si="55"/>
        <v>100</v>
      </c>
      <c r="W162" s="231"/>
      <c r="X162" s="231" t="e">
        <f>#REF!</f>
        <v>#REF!</v>
      </c>
      <c r="Y162" s="231" t="e">
        <f>#REF!</f>
        <v>#REF!</v>
      </c>
      <c r="Z162" s="231" t="e">
        <f>#REF!</f>
        <v>#REF!</v>
      </c>
      <c r="AA162" s="231" t="e">
        <f>#REF!</f>
        <v>#REF!</v>
      </c>
      <c r="AB162" s="231">
        <v>38085000</v>
      </c>
      <c r="AC162" s="231" t="e">
        <f>#REF!</f>
        <v>#REF!</v>
      </c>
      <c r="AD162" s="231" t="e">
        <f>#REF!</f>
        <v>#REF!</v>
      </c>
      <c r="AE162" s="231" t="e">
        <f>#REF!</f>
        <v>#REF!</v>
      </c>
      <c r="AF162" s="231" t="e">
        <f>[1]April!$N$43</f>
        <v>#REF!</v>
      </c>
      <c r="AG162" s="231" t="e">
        <f>[2]april!$N$43</f>
        <v>#REF!</v>
      </c>
      <c r="AH162" s="231">
        <f>'[3]DES SKPD'!$N39</f>
        <v>676934270</v>
      </c>
      <c r="AI162" s="231">
        <f>SUM(AI163:AI164)</f>
        <v>0</v>
      </c>
      <c r="AJ162" s="233">
        <f t="shared" si="45"/>
        <v>0</v>
      </c>
      <c r="AK162" s="231">
        <f t="shared" ref="AK162:AK167" si="58">Q162-AI162</f>
        <v>71000000</v>
      </c>
      <c r="AL162" s="233">
        <f t="shared" si="46"/>
        <v>100</v>
      </c>
      <c r="AM162" s="227"/>
    </row>
    <row r="163" spans="1:39" s="235" customFormat="1" ht="29.25" customHeight="1" x14ac:dyDescent="0.25">
      <c r="A163" s="227"/>
      <c r="B163" s="442"/>
      <c r="C163" s="442"/>
      <c r="D163" s="442"/>
      <c r="E163" s="442"/>
      <c r="F163" s="442"/>
      <c r="G163" s="442"/>
      <c r="H163" s="442"/>
      <c r="I163" s="441"/>
      <c r="J163" s="437" t="s">
        <v>259</v>
      </c>
      <c r="K163" s="245"/>
      <c r="L163" s="257"/>
      <c r="M163" s="597" t="s">
        <v>260</v>
      </c>
      <c r="N163" s="598"/>
      <c r="O163" s="231"/>
      <c r="P163" s="231"/>
      <c r="Q163" s="180">
        <v>800000</v>
      </c>
      <c r="R163" s="181">
        <f>Q163/Q$162*100</f>
        <v>1.1267605633802817</v>
      </c>
      <c r="S163" s="181">
        <v>100</v>
      </c>
      <c r="T163" s="180">
        <f t="shared" si="44"/>
        <v>0</v>
      </c>
      <c r="U163" s="180">
        <f t="shared" si="57"/>
        <v>0</v>
      </c>
      <c r="V163" s="182">
        <f t="shared" si="55"/>
        <v>100</v>
      </c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>
        <v>0</v>
      </c>
      <c r="AJ163" s="181">
        <f t="shared" si="45"/>
        <v>0</v>
      </c>
      <c r="AK163" s="180">
        <f t="shared" si="58"/>
        <v>800000</v>
      </c>
      <c r="AL163" s="181">
        <f t="shared" si="46"/>
        <v>100</v>
      </c>
      <c r="AM163" s="243"/>
    </row>
    <row r="164" spans="1:39" s="235" customFormat="1" ht="29.25" customHeight="1" x14ac:dyDescent="0.25">
      <c r="A164" s="227"/>
      <c r="B164" s="442"/>
      <c r="C164" s="442"/>
      <c r="D164" s="442"/>
      <c r="E164" s="442"/>
      <c r="F164" s="442"/>
      <c r="G164" s="442"/>
      <c r="H164" s="442"/>
      <c r="I164" s="441"/>
      <c r="J164" s="437" t="s">
        <v>387</v>
      </c>
      <c r="K164" s="230"/>
      <c r="L164" s="442"/>
      <c r="M164" s="597" t="s">
        <v>388</v>
      </c>
      <c r="N164" s="598"/>
      <c r="O164" s="231"/>
      <c r="P164" s="231"/>
      <c r="Q164" s="180">
        <v>70200000</v>
      </c>
      <c r="R164" s="181">
        <f>Q164/Q$162*100</f>
        <v>98.873239436619713</v>
      </c>
      <c r="S164" s="181">
        <v>100</v>
      </c>
      <c r="T164" s="180">
        <f t="shared" si="44"/>
        <v>0</v>
      </c>
      <c r="U164" s="180">
        <f t="shared" si="57"/>
        <v>0</v>
      </c>
      <c r="V164" s="182">
        <f t="shared" si="55"/>
        <v>100</v>
      </c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>
        <v>0</v>
      </c>
      <c r="AJ164" s="181">
        <f t="shared" si="45"/>
        <v>0</v>
      </c>
      <c r="AK164" s="180">
        <f t="shared" si="58"/>
        <v>70200000</v>
      </c>
      <c r="AL164" s="181">
        <f t="shared" si="46"/>
        <v>100</v>
      </c>
      <c r="AM164" s="243"/>
    </row>
    <row r="165" spans="1:39" s="297" customFormat="1" ht="28.5" customHeight="1" x14ac:dyDescent="0.25">
      <c r="A165" s="227">
        <f>A162+1</f>
        <v>25</v>
      </c>
      <c r="B165" s="615" t="s">
        <v>133</v>
      </c>
      <c r="C165" s="615"/>
      <c r="D165" s="615"/>
      <c r="E165" s="615"/>
      <c r="F165" s="615"/>
      <c r="G165" s="615"/>
      <c r="H165" s="615"/>
      <c r="I165" s="614"/>
      <c r="J165" s="304" t="s">
        <v>463</v>
      </c>
      <c r="K165" s="230"/>
      <c r="L165" s="294"/>
      <c r="M165" s="615" t="s">
        <v>134</v>
      </c>
      <c r="N165" s="614"/>
      <c r="O165" s="231">
        <v>39710000</v>
      </c>
      <c r="P165" s="231">
        <f>O165</f>
        <v>39710000</v>
      </c>
      <c r="Q165" s="231">
        <f>SUM(Q166:Q167)</f>
        <v>32000000</v>
      </c>
      <c r="R165" s="233">
        <f>Q165/Q$35*100</f>
        <v>0.10067245240204178</v>
      </c>
      <c r="S165" s="233">
        <v>100</v>
      </c>
      <c r="T165" s="231">
        <f t="shared" si="44"/>
        <v>86.40625</v>
      </c>
      <c r="U165" s="231">
        <f t="shared" si="57"/>
        <v>8.6987290903639228E-2</v>
      </c>
      <c r="V165" s="296">
        <f t="shared" si="55"/>
        <v>13.59375</v>
      </c>
      <c r="W165" s="231"/>
      <c r="X165" s="231" t="e">
        <f>#REF!</f>
        <v>#REF!</v>
      </c>
      <c r="Y165" s="231" t="e">
        <f>#REF!</f>
        <v>#REF!</v>
      </c>
      <c r="Z165" s="231" t="e">
        <f>#REF!</f>
        <v>#REF!</v>
      </c>
      <c r="AA165" s="231" t="e">
        <f>#REF!</f>
        <v>#REF!</v>
      </c>
      <c r="AB165" s="231">
        <v>38085000</v>
      </c>
      <c r="AC165" s="231" t="e">
        <f>#REF!</f>
        <v>#REF!</v>
      </c>
      <c r="AD165" s="231" t="e">
        <f>#REF!</f>
        <v>#REF!</v>
      </c>
      <c r="AE165" s="231" t="e">
        <f>#REF!</f>
        <v>#REF!</v>
      </c>
      <c r="AF165" s="231" t="e">
        <f>[1]April!$N$43</f>
        <v>#REF!</v>
      </c>
      <c r="AG165" s="231" t="e">
        <f>[2]april!$N$43</f>
        <v>#REF!</v>
      </c>
      <c r="AH165" s="231">
        <f>'[3]DES SKPD'!$N43</f>
        <v>38085000</v>
      </c>
      <c r="AI165" s="231">
        <f>SUM(AI166:AI167)</f>
        <v>27650000</v>
      </c>
      <c r="AJ165" s="233">
        <f t="shared" si="45"/>
        <v>86.40625</v>
      </c>
      <c r="AK165" s="231">
        <f t="shared" si="58"/>
        <v>4350000</v>
      </c>
      <c r="AL165" s="233">
        <f t="shared" si="46"/>
        <v>13.593749999999998</v>
      </c>
      <c r="AM165" s="227"/>
    </row>
    <row r="166" spans="1:39" ht="24.75" customHeight="1" x14ac:dyDescent="0.25">
      <c r="A166" s="243"/>
      <c r="B166" s="437"/>
      <c r="C166" s="437"/>
      <c r="D166" s="437"/>
      <c r="E166" s="437"/>
      <c r="F166" s="437"/>
      <c r="G166" s="437"/>
      <c r="H166" s="437"/>
      <c r="I166" s="438"/>
      <c r="J166" s="437" t="s">
        <v>259</v>
      </c>
      <c r="K166" s="245"/>
      <c r="L166" s="257"/>
      <c r="M166" s="597" t="s">
        <v>260</v>
      </c>
      <c r="N166" s="598"/>
      <c r="O166" s="180"/>
      <c r="P166" s="180"/>
      <c r="Q166" s="180">
        <v>800000</v>
      </c>
      <c r="R166" s="181">
        <f>Q166/Q$165*100</f>
        <v>2.5</v>
      </c>
      <c r="S166" s="181">
        <v>100</v>
      </c>
      <c r="T166" s="180">
        <f t="shared" si="44"/>
        <v>0</v>
      </c>
      <c r="U166" s="180">
        <f t="shared" si="57"/>
        <v>0</v>
      </c>
      <c r="V166" s="182">
        <f t="shared" si="55"/>
        <v>100</v>
      </c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>
        <v>0</v>
      </c>
      <c r="AJ166" s="181">
        <f t="shared" si="45"/>
        <v>0</v>
      </c>
      <c r="AK166" s="180">
        <f t="shared" si="58"/>
        <v>800000</v>
      </c>
      <c r="AL166" s="181">
        <f t="shared" si="46"/>
        <v>100</v>
      </c>
      <c r="AM166" s="243"/>
    </row>
    <row r="167" spans="1:39" ht="24.75" customHeight="1" x14ac:dyDescent="0.25">
      <c r="A167" s="243"/>
      <c r="B167" s="437"/>
      <c r="C167" s="437"/>
      <c r="D167" s="437"/>
      <c r="E167" s="437"/>
      <c r="F167" s="437"/>
      <c r="G167" s="437"/>
      <c r="H167" s="437"/>
      <c r="I167" s="438"/>
      <c r="J167" s="437" t="s">
        <v>311</v>
      </c>
      <c r="K167" s="245"/>
      <c r="L167" s="257"/>
      <c r="M167" s="597" t="s">
        <v>312</v>
      </c>
      <c r="N167" s="598"/>
      <c r="O167" s="180"/>
      <c r="P167" s="180"/>
      <c r="Q167" s="180">
        <v>31200000</v>
      </c>
      <c r="R167" s="181">
        <f>Q167/Q$165*100</f>
        <v>97.5</v>
      </c>
      <c r="S167" s="181">
        <v>100</v>
      </c>
      <c r="T167" s="180">
        <f t="shared" si="44"/>
        <v>88.621794871794862</v>
      </c>
      <c r="U167" s="180">
        <f t="shared" si="57"/>
        <v>86.406249999999986</v>
      </c>
      <c r="V167" s="182">
        <f t="shared" si="55"/>
        <v>11.378205128205138</v>
      </c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>
        <v>27650000</v>
      </c>
      <c r="AJ167" s="181">
        <f t="shared" si="45"/>
        <v>88.621794871794862</v>
      </c>
      <c r="AK167" s="180">
        <f t="shared" si="58"/>
        <v>3550000</v>
      </c>
      <c r="AL167" s="181">
        <f t="shared" si="46"/>
        <v>11.378205128205128</v>
      </c>
      <c r="AM167" s="243"/>
    </row>
    <row r="168" spans="1:39" s="226" customFormat="1" ht="28.5" customHeight="1" x14ac:dyDescent="0.25">
      <c r="A168" s="289" t="s">
        <v>30</v>
      </c>
      <c r="B168" s="607" t="s">
        <v>135</v>
      </c>
      <c r="C168" s="607"/>
      <c r="D168" s="607"/>
      <c r="E168" s="607"/>
      <c r="F168" s="607"/>
      <c r="G168" s="607"/>
      <c r="H168" s="607"/>
      <c r="I168" s="608"/>
      <c r="J168" s="443" t="s">
        <v>464</v>
      </c>
      <c r="K168" s="291"/>
      <c r="L168" s="607" t="s">
        <v>31</v>
      </c>
      <c r="M168" s="607"/>
      <c r="N168" s="608"/>
      <c r="O168" s="263">
        <f>SUM(O169:O171)</f>
        <v>789320000</v>
      </c>
      <c r="P168" s="263">
        <f>SUM(P169:P171)</f>
        <v>789320000</v>
      </c>
      <c r="Q168" s="263">
        <f>SUM(Q169+Q171)</f>
        <v>102870000</v>
      </c>
      <c r="R168" s="222">
        <f>Q168/Q$58*100</f>
        <v>0.50978833986266314</v>
      </c>
      <c r="S168" s="305">
        <v>100</v>
      </c>
      <c r="T168" s="306">
        <f t="shared" si="44"/>
        <v>47.905122970739768</v>
      </c>
      <c r="U168" s="263">
        <f>SUM(R168*T168/100)</f>
        <v>0.24421473110170155</v>
      </c>
      <c r="V168" s="307">
        <f t="shared" si="55"/>
        <v>52.094877029260232</v>
      </c>
      <c r="W168" s="263">
        <f t="shared" ref="W168:AH168" si="59">SUM(W169:W171)</f>
        <v>0</v>
      </c>
      <c r="X168" s="263" t="e">
        <f t="shared" si="59"/>
        <v>#REF!</v>
      </c>
      <c r="Y168" s="263" t="e">
        <f t="shared" si="59"/>
        <v>#REF!</v>
      </c>
      <c r="Z168" s="263" t="e">
        <f t="shared" si="59"/>
        <v>#REF!</v>
      </c>
      <c r="AA168" s="263" t="e">
        <f t="shared" si="59"/>
        <v>#REF!</v>
      </c>
      <c r="AB168" s="263">
        <f t="shared" si="59"/>
        <v>189087374</v>
      </c>
      <c r="AC168" s="263" t="e">
        <f t="shared" si="59"/>
        <v>#REF!</v>
      </c>
      <c r="AD168" s="263" t="e">
        <f t="shared" si="59"/>
        <v>#REF!</v>
      </c>
      <c r="AE168" s="263" t="e">
        <f t="shared" si="59"/>
        <v>#REF!</v>
      </c>
      <c r="AF168" s="263" t="e">
        <f t="shared" si="59"/>
        <v>#REF!</v>
      </c>
      <c r="AG168" s="263" t="e">
        <f t="shared" si="59"/>
        <v>#REF!</v>
      </c>
      <c r="AH168" s="263">
        <f t="shared" si="59"/>
        <v>663965174</v>
      </c>
      <c r="AI168" s="263">
        <f>SUM(AI169+AI171)</f>
        <v>49280000</v>
      </c>
      <c r="AJ168" s="222">
        <f t="shared" si="45"/>
        <v>47.905122970739768</v>
      </c>
      <c r="AK168" s="263">
        <f>SUM(Q168-AI168)</f>
        <v>53590000</v>
      </c>
      <c r="AL168" s="222">
        <f t="shared" si="46"/>
        <v>52.094877029260232</v>
      </c>
      <c r="AM168" s="289"/>
    </row>
    <row r="169" spans="1:39" s="297" customFormat="1" ht="29.25" customHeight="1" x14ac:dyDescent="0.25">
      <c r="A169" s="227">
        <f>A165+1</f>
        <v>26</v>
      </c>
      <c r="B169" s="615" t="s">
        <v>136</v>
      </c>
      <c r="C169" s="615"/>
      <c r="D169" s="615"/>
      <c r="E169" s="615"/>
      <c r="F169" s="615"/>
      <c r="G169" s="615"/>
      <c r="H169" s="615"/>
      <c r="I169" s="614"/>
      <c r="J169" s="304" t="s">
        <v>465</v>
      </c>
      <c r="K169" s="230"/>
      <c r="L169" s="294"/>
      <c r="M169" s="615" t="s">
        <v>32</v>
      </c>
      <c r="N169" s="614"/>
      <c r="O169" s="295">
        <v>350000000</v>
      </c>
      <c r="P169" s="231">
        <f>O169</f>
        <v>350000000</v>
      </c>
      <c r="Q169" s="231">
        <f>SUM(Q170:Q170)</f>
        <v>37300000</v>
      </c>
      <c r="R169" s="233">
        <f>Q169/Q$168*100</f>
        <v>36.259356469330221</v>
      </c>
      <c r="S169" s="233">
        <v>100</v>
      </c>
      <c r="T169" s="231">
        <f t="shared" si="44"/>
        <v>33.512064343163537</v>
      </c>
      <c r="U169" s="231">
        <f>R169*T169/100</f>
        <v>12.151258870418975</v>
      </c>
      <c r="V169" s="296">
        <f t="shared" si="55"/>
        <v>66.48793565683647</v>
      </c>
      <c r="W169" s="231"/>
      <c r="X169" s="231" t="e">
        <f>#REF!</f>
        <v>#REF!</v>
      </c>
      <c r="Y169" s="231" t="e">
        <f>#REF!</f>
        <v>#REF!</v>
      </c>
      <c r="Z169" s="231" t="e">
        <f>#REF!</f>
        <v>#REF!</v>
      </c>
      <c r="AA169" s="231" t="e">
        <f>#REF!</f>
        <v>#REF!</v>
      </c>
      <c r="AB169" s="231">
        <v>112882300</v>
      </c>
      <c r="AC169" s="231" t="e">
        <f>#REF!</f>
        <v>#REF!</v>
      </c>
      <c r="AD169" s="231" t="e">
        <f>#REF!</f>
        <v>#REF!</v>
      </c>
      <c r="AE169" s="231" t="e">
        <f>#REF!</f>
        <v>#REF!</v>
      </c>
      <c r="AF169" s="231" t="e">
        <f>[1]April!N45</f>
        <v>#REF!</v>
      </c>
      <c r="AG169" s="231" t="e">
        <f>[2]april!N45</f>
        <v>#REF!</v>
      </c>
      <c r="AH169" s="231">
        <f>'[3]DES SKPD'!$N45</f>
        <v>320566100</v>
      </c>
      <c r="AI169" s="231">
        <f>SUM(AI170:AI170)</f>
        <v>12500000</v>
      </c>
      <c r="AJ169" s="233">
        <f t="shared" si="45"/>
        <v>33.512064343163537</v>
      </c>
      <c r="AK169" s="231">
        <f t="shared" ref="AK169:AK179" si="60">Q169-AI169</f>
        <v>24800000</v>
      </c>
      <c r="AL169" s="233">
        <f t="shared" si="46"/>
        <v>66.487935656836456</v>
      </c>
      <c r="AM169" s="227"/>
    </row>
    <row r="170" spans="1:39" ht="29.25" customHeight="1" x14ac:dyDescent="0.25">
      <c r="A170" s="243"/>
      <c r="B170" s="437"/>
      <c r="C170" s="437"/>
      <c r="D170" s="437"/>
      <c r="E170" s="437"/>
      <c r="F170" s="437"/>
      <c r="G170" s="437"/>
      <c r="H170" s="437"/>
      <c r="I170" s="438"/>
      <c r="J170" s="437" t="s">
        <v>313</v>
      </c>
      <c r="K170" s="245"/>
      <c r="L170" s="257"/>
      <c r="M170" s="597" t="s">
        <v>314</v>
      </c>
      <c r="N170" s="598"/>
      <c r="O170" s="299"/>
      <c r="P170" s="180"/>
      <c r="Q170" s="180">
        <v>37300000</v>
      </c>
      <c r="R170" s="181">
        <f>Q170/Q$169*100</f>
        <v>100</v>
      </c>
      <c r="S170" s="181">
        <v>100</v>
      </c>
      <c r="T170" s="180">
        <f t="shared" si="44"/>
        <v>33.512064343163537</v>
      </c>
      <c r="U170" s="180">
        <f>R170*T170/100</f>
        <v>33.512064343163537</v>
      </c>
      <c r="V170" s="182">
        <f t="shared" si="55"/>
        <v>66.48793565683647</v>
      </c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>
        <v>12500000</v>
      </c>
      <c r="AJ170" s="181">
        <f t="shared" si="45"/>
        <v>33.512064343163537</v>
      </c>
      <c r="AK170" s="180">
        <f t="shared" si="60"/>
        <v>24800000</v>
      </c>
      <c r="AL170" s="181">
        <f t="shared" si="46"/>
        <v>66.487935656836456</v>
      </c>
      <c r="AM170" s="243"/>
    </row>
    <row r="171" spans="1:39" s="297" customFormat="1" ht="33.75" customHeight="1" x14ac:dyDescent="0.25">
      <c r="A171" s="227">
        <f>A169+1</f>
        <v>27</v>
      </c>
      <c r="B171" s="615" t="s">
        <v>137</v>
      </c>
      <c r="C171" s="615"/>
      <c r="D171" s="615"/>
      <c r="E171" s="615"/>
      <c r="F171" s="615"/>
      <c r="G171" s="615"/>
      <c r="H171" s="615"/>
      <c r="I171" s="614"/>
      <c r="J171" s="304" t="s">
        <v>466</v>
      </c>
      <c r="K171" s="230"/>
      <c r="L171" s="294"/>
      <c r="M171" s="615" t="s">
        <v>33</v>
      </c>
      <c r="N171" s="614"/>
      <c r="O171" s="295">
        <v>439320000</v>
      </c>
      <c r="P171" s="231">
        <f>O171</f>
        <v>439320000</v>
      </c>
      <c r="Q171" s="231">
        <f>SUM(Q172:Q179)</f>
        <v>65570000</v>
      </c>
      <c r="R171" s="233">
        <f>Q171/Q$168*100</f>
        <v>63.740643530669786</v>
      </c>
      <c r="S171" s="233">
        <v>100</v>
      </c>
      <c r="T171" s="231">
        <f t="shared" si="44"/>
        <v>56.092725331706575</v>
      </c>
      <c r="U171" s="231">
        <f>R171*T171/100</f>
        <v>35.753864100320797</v>
      </c>
      <c r="V171" s="296">
        <f t="shared" si="55"/>
        <v>43.907274668293425</v>
      </c>
      <c r="W171" s="231"/>
      <c r="X171" s="231" t="e">
        <f>#REF!</f>
        <v>#REF!</v>
      </c>
      <c r="Y171" s="231" t="e">
        <f>#REF!</f>
        <v>#REF!</v>
      </c>
      <c r="Z171" s="231" t="e">
        <f>#REF!</f>
        <v>#REF!</v>
      </c>
      <c r="AA171" s="231" t="e">
        <f>#REF!</f>
        <v>#REF!</v>
      </c>
      <c r="AB171" s="231">
        <v>76205074</v>
      </c>
      <c r="AC171" s="231" t="e">
        <f>#REF!</f>
        <v>#REF!</v>
      </c>
      <c r="AD171" s="231" t="e">
        <f>#REF!</f>
        <v>#REF!</v>
      </c>
      <c r="AE171" s="231" t="e">
        <f>#REF!</f>
        <v>#REF!</v>
      </c>
      <c r="AF171" s="231" t="e">
        <f>[1]April!N46</f>
        <v>#REF!</v>
      </c>
      <c r="AG171" s="231" t="e">
        <f>[2]april!N46</f>
        <v>#REF!</v>
      </c>
      <c r="AH171" s="231">
        <f>'[3]DES SKPD'!$N46</f>
        <v>343399074</v>
      </c>
      <c r="AI171" s="231">
        <f>SUM(AI172:AI179)</f>
        <v>36780000</v>
      </c>
      <c r="AJ171" s="233">
        <f t="shared" si="45"/>
        <v>56.092725331706575</v>
      </c>
      <c r="AK171" s="231">
        <f t="shared" si="60"/>
        <v>28790000</v>
      </c>
      <c r="AL171" s="233">
        <f t="shared" si="46"/>
        <v>43.907274668293425</v>
      </c>
      <c r="AM171" s="227"/>
    </row>
    <row r="172" spans="1:39" ht="28.5" customHeight="1" x14ac:dyDescent="0.25">
      <c r="A172" s="243"/>
      <c r="B172" s="437"/>
      <c r="C172" s="437"/>
      <c r="D172" s="437"/>
      <c r="E172" s="437"/>
      <c r="F172" s="437"/>
      <c r="G172" s="437"/>
      <c r="H172" s="437"/>
      <c r="I172" s="438"/>
      <c r="J172" s="437" t="s">
        <v>259</v>
      </c>
      <c r="K172" s="245"/>
      <c r="L172" s="257"/>
      <c r="M172" s="597" t="s">
        <v>260</v>
      </c>
      <c r="N172" s="598"/>
      <c r="O172" s="299"/>
      <c r="P172" s="180"/>
      <c r="Q172" s="180">
        <v>770000</v>
      </c>
      <c r="R172" s="181">
        <f t="shared" ref="R172:R179" si="61">Q172/Q$171*100</f>
        <v>1.1743175232575873</v>
      </c>
      <c r="S172" s="181">
        <v>100</v>
      </c>
      <c r="T172" s="180">
        <f t="shared" si="44"/>
        <v>100</v>
      </c>
      <c r="U172" s="180">
        <f t="shared" ref="U172:U180" si="62">R172*T172/100</f>
        <v>1.1743175232575873</v>
      </c>
      <c r="V172" s="182">
        <f t="shared" si="55"/>
        <v>0</v>
      </c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>
        <v>770000</v>
      </c>
      <c r="AJ172" s="181">
        <f t="shared" si="45"/>
        <v>100</v>
      </c>
      <c r="AK172" s="180">
        <f t="shared" si="60"/>
        <v>0</v>
      </c>
      <c r="AL172" s="181">
        <f t="shared" si="46"/>
        <v>0</v>
      </c>
      <c r="AM172" s="243"/>
    </row>
    <row r="173" spans="1:39" ht="32.25" customHeight="1" x14ac:dyDescent="0.25">
      <c r="A173" s="243"/>
      <c r="B173" s="437"/>
      <c r="C173" s="437"/>
      <c r="D173" s="437"/>
      <c r="E173" s="437"/>
      <c r="F173" s="437"/>
      <c r="G173" s="437"/>
      <c r="H173" s="437"/>
      <c r="I173" s="438"/>
      <c r="J173" s="437" t="s">
        <v>315</v>
      </c>
      <c r="K173" s="245"/>
      <c r="L173" s="257"/>
      <c r="M173" s="597" t="s">
        <v>428</v>
      </c>
      <c r="N173" s="598"/>
      <c r="O173" s="299"/>
      <c r="P173" s="180"/>
      <c r="Q173" s="180">
        <v>1500000</v>
      </c>
      <c r="R173" s="181">
        <f t="shared" si="61"/>
        <v>2.2876315388134816</v>
      </c>
      <c r="S173" s="181">
        <v>100</v>
      </c>
      <c r="T173" s="180">
        <f t="shared" si="44"/>
        <v>60</v>
      </c>
      <c r="U173" s="180">
        <f t="shared" si="62"/>
        <v>1.3725789232880892</v>
      </c>
      <c r="V173" s="182">
        <f t="shared" si="55"/>
        <v>40</v>
      </c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>
        <v>900000</v>
      </c>
      <c r="AJ173" s="181">
        <f t="shared" si="45"/>
        <v>60</v>
      </c>
      <c r="AK173" s="180">
        <f t="shared" si="60"/>
        <v>600000</v>
      </c>
      <c r="AL173" s="181">
        <f t="shared" si="46"/>
        <v>40</v>
      </c>
      <c r="AM173" s="243"/>
    </row>
    <row r="174" spans="1:39" ht="32.25" customHeight="1" x14ac:dyDescent="0.25">
      <c r="A174" s="243"/>
      <c r="B174" s="437"/>
      <c r="C174" s="437"/>
      <c r="D174" s="437"/>
      <c r="E174" s="437"/>
      <c r="F174" s="437"/>
      <c r="G174" s="437"/>
      <c r="H174" s="437"/>
      <c r="I174" s="438"/>
      <c r="J174" s="437" t="s">
        <v>316</v>
      </c>
      <c r="K174" s="245"/>
      <c r="L174" s="257"/>
      <c r="M174" s="597" t="s">
        <v>317</v>
      </c>
      <c r="N174" s="598"/>
      <c r="O174" s="299"/>
      <c r="P174" s="180"/>
      <c r="Q174" s="180">
        <v>300000</v>
      </c>
      <c r="R174" s="181">
        <f t="shared" si="61"/>
        <v>0.45752630776269632</v>
      </c>
      <c r="S174" s="181">
        <v>100</v>
      </c>
      <c r="T174" s="180">
        <f t="shared" si="44"/>
        <v>50</v>
      </c>
      <c r="U174" s="180">
        <f t="shared" si="62"/>
        <v>0.22876315388134816</v>
      </c>
      <c r="V174" s="182">
        <f t="shared" si="55"/>
        <v>50</v>
      </c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>
        <v>150000</v>
      </c>
      <c r="AJ174" s="181">
        <f t="shared" si="45"/>
        <v>50</v>
      </c>
      <c r="AK174" s="180">
        <f t="shared" si="60"/>
        <v>150000</v>
      </c>
      <c r="AL174" s="181">
        <f t="shared" si="46"/>
        <v>50</v>
      </c>
      <c r="AM174" s="243"/>
    </row>
    <row r="175" spans="1:39" ht="30.75" customHeight="1" x14ac:dyDescent="0.25">
      <c r="A175" s="243"/>
      <c r="B175" s="437"/>
      <c r="C175" s="437"/>
      <c r="D175" s="437"/>
      <c r="E175" s="437"/>
      <c r="F175" s="437"/>
      <c r="G175" s="437"/>
      <c r="H175" s="437"/>
      <c r="I175" s="438"/>
      <c r="J175" s="437" t="s">
        <v>318</v>
      </c>
      <c r="K175" s="245"/>
      <c r="L175" s="257"/>
      <c r="M175" s="597" t="s">
        <v>319</v>
      </c>
      <c r="N175" s="598"/>
      <c r="O175" s="299"/>
      <c r="P175" s="180"/>
      <c r="Q175" s="180">
        <v>26250000</v>
      </c>
      <c r="R175" s="181">
        <f t="shared" si="61"/>
        <v>40.033551929235934</v>
      </c>
      <c r="S175" s="181">
        <v>100</v>
      </c>
      <c r="T175" s="180">
        <f t="shared" si="44"/>
        <v>93.333333333333329</v>
      </c>
      <c r="U175" s="180">
        <f t="shared" si="62"/>
        <v>37.36464846728687</v>
      </c>
      <c r="V175" s="182">
        <f t="shared" si="55"/>
        <v>6.6666666666666714</v>
      </c>
      <c r="W175" s="180"/>
      <c r="X175" s="180"/>
      <c r="Y175" s="180"/>
      <c r="Z175" s="180"/>
      <c r="AA175" s="180"/>
      <c r="AB175" s="180"/>
      <c r="AC175" s="180"/>
      <c r="AD175" s="180"/>
      <c r="AE175" s="180"/>
      <c r="AF175" s="180"/>
      <c r="AG175" s="180"/>
      <c r="AH175" s="180"/>
      <c r="AI175" s="180">
        <v>24500000</v>
      </c>
      <c r="AJ175" s="181">
        <f t="shared" si="45"/>
        <v>93.333333333333329</v>
      </c>
      <c r="AK175" s="180">
        <f t="shared" si="60"/>
        <v>1750000</v>
      </c>
      <c r="AL175" s="181">
        <f t="shared" si="46"/>
        <v>6.666666666666667</v>
      </c>
      <c r="AM175" s="243"/>
    </row>
    <row r="176" spans="1:39" ht="24.75" customHeight="1" x14ac:dyDescent="0.25">
      <c r="A176" s="243"/>
      <c r="B176" s="437"/>
      <c r="C176" s="437"/>
      <c r="D176" s="437"/>
      <c r="E176" s="437"/>
      <c r="F176" s="437"/>
      <c r="G176" s="437"/>
      <c r="H176" s="437"/>
      <c r="I176" s="438"/>
      <c r="J176" s="437" t="s">
        <v>284</v>
      </c>
      <c r="K176" s="245"/>
      <c r="L176" s="257"/>
      <c r="M176" s="597" t="s">
        <v>585</v>
      </c>
      <c r="N176" s="598"/>
      <c r="O176" s="299"/>
      <c r="P176" s="180"/>
      <c r="Q176" s="180">
        <v>12900000</v>
      </c>
      <c r="R176" s="181">
        <f t="shared" si="61"/>
        <v>19.673631233795945</v>
      </c>
      <c r="S176" s="181">
        <v>100</v>
      </c>
      <c r="T176" s="180">
        <f t="shared" si="44"/>
        <v>46.589147286821699</v>
      </c>
      <c r="U176" s="180">
        <f t="shared" si="62"/>
        <v>9.1657770321793492</v>
      </c>
      <c r="V176" s="182">
        <f t="shared" si="55"/>
        <v>53.410852713178301</v>
      </c>
      <c r="W176" s="180"/>
      <c r="X176" s="180"/>
      <c r="Y176" s="180"/>
      <c r="Z176" s="180"/>
      <c r="AA176" s="180"/>
      <c r="AB176" s="180"/>
      <c r="AC176" s="180"/>
      <c r="AD176" s="180"/>
      <c r="AE176" s="180"/>
      <c r="AF176" s="180"/>
      <c r="AG176" s="180"/>
      <c r="AH176" s="180"/>
      <c r="AI176" s="180">
        <v>6010000</v>
      </c>
      <c r="AJ176" s="181">
        <f t="shared" si="45"/>
        <v>46.589147286821699</v>
      </c>
      <c r="AK176" s="180">
        <f t="shared" si="60"/>
        <v>6890000</v>
      </c>
      <c r="AL176" s="181">
        <f t="shared" si="46"/>
        <v>53.410852713178294</v>
      </c>
      <c r="AM176" s="243"/>
    </row>
    <row r="177" spans="1:44" ht="24.75" customHeight="1" x14ac:dyDescent="0.25">
      <c r="A177" s="243"/>
      <c r="B177" s="437"/>
      <c r="C177" s="437"/>
      <c r="D177" s="437"/>
      <c r="E177" s="437"/>
      <c r="F177" s="437"/>
      <c r="G177" s="437"/>
      <c r="H177" s="437"/>
      <c r="I177" s="438"/>
      <c r="J177" s="437" t="s">
        <v>282</v>
      </c>
      <c r="K177" s="245"/>
      <c r="L177" s="257"/>
      <c r="M177" s="597" t="s">
        <v>586</v>
      </c>
      <c r="N177" s="598"/>
      <c r="O177" s="299"/>
      <c r="P177" s="180"/>
      <c r="Q177" s="180">
        <v>5000000</v>
      </c>
      <c r="R177" s="181">
        <f t="shared" si="61"/>
        <v>7.6254384627116059</v>
      </c>
      <c r="S177" s="181">
        <v>100</v>
      </c>
      <c r="T177" s="180">
        <f t="shared" si="44"/>
        <v>0</v>
      </c>
      <c r="U177" s="180">
        <f t="shared" si="62"/>
        <v>0</v>
      </c>
      <c r="V177" s="182">
        <f>S177-T177</f>
        <v>100</v>
      </c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>
        <v>0</v>
      </c>
      <c r="AJ177" s="181">
        <f t="shared" si="45"/>
        <v>0</v>
      </c>
      <c r="AK177" s="180">
        <f t="shared" si="60"/>
        <v>5000000</v>
      </c>
      <c r="AL177" s="181">
        <f t="shared" si="46"/>
        <v>100</v>
      </c>
      <c r="AM177" s="243"/>
    </row>
    <row r="178" spans="1:44" ht="24.75" customHeight="1" x14ac:dyDescent="0.25">
      <c r="A178" s="243"/>
      <c r="B178" s="437"/>
      <c r="C178" s="437"/>
      <c r="D178" s="437"/>
      <c r="E178" s="437"/>
      <c r="F178" s="437"/>
      <c r="G178" s="437"/>
      <c r="H178" s="437"/>
      <c r="I178" s="438"/>
      <c r="J178" s="437" t="s">
        <v>320</v>
      </c>
      <c r="K178" s="245"/>
      <c r="L178" s="257"/>
      <c r="M178" s="597" t="s">
        <v>321</v>
      </c>
      <c r="N178" s="598"/>
      <c r="O178" s="299"/>
      <c r="P178" s="180"/>
      <c r="Q178" s="180">
        <v>18400000</v>
      </c>
      <c r="R178" s="181">
        <f t="shared" si="61"/>
        <v>28.061613542778709</v>
      </c>
      <c r="S178" s="181">
        <v>100</v>
      </c>
      <c r="T178" s="180">
        <f t="shared" si="44"/>
        <v>21.739130434782609</v>
      </c>
      <c r="U178" s="180">
        <f t="shared" si="62"/>
        <v>6.1003507701692845</v>
      </c>
      <c r="V178" s="182">
        <f t="shared" ref="V178:V179" si="63">S178-T178</f>
        <v>78.260869565217391</v>
      </c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>
        <v>4000000</v>
      </c>
      <c r="AJ178" s="181">
        <f t="shared" si="45"/>
        <v>21.739130434782609</v>
      </c>
      <c r="AK178" s="180">
        <f t="shared" si="60"/>
        <v>14400000</v>
      </c>
      <c r="AL178" s="181">
        <f t="shared" si="46"/>
        <v>78.260869565217391</v>
      </c>
      <c r="AM178" s="243"/>
    </row>
    <row r="179" spans="1:44" ht="24.75" customHeight="1" x14ac:dyDescent="0.25">
      <c r="A179" s="243"/>
      <c r="B179" s="437"/>
      <c r="C179" s="437"/>
      <c r="D179" s="437"/>
      <c r="E179" s="437"/>
      <c r="F179" s="437"/>
      <c r="G179" s="437"/>
      <c r="H179" s="437"/>
      <c r="I179" s="438"/>
      <c r="J179" s="437" t="s">
        <v>407</v>
      </c>
      <c r="K179" s="245"/>
      <c r="L179" s="257"/>
      <c r="M179" s="597" t="s">
        <v>414</v>
      </c>
      <c r="N179" s="598"/>
      <c r="O179" s="299"/>
      <c r="P179" s="180"/>
      <c r="Q179" s="180">
        <v>450000</v>
      </c>
      <c r="R179" s="181">
        <f t="shared" si="61"/>
        <v>0.68628946164404447</v>
      </c>
      <c r="S179" s="181">
        <v>100</v>
      </c>
      <c r="T179" s="180">
        <f t="shared" si="44"/>
        <v>100</v>
      </c>
      <c r="U179" s="180">
        <f t="shared" si="62"/>
        <v>0.68628946164404458</v>
      </c>
      <c r="V179" s="182">
        <f t="shared" si="63"/>
        <v>0</v>
      </c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>
        <v>450000</v>
      </c>
      <c r="AJ179" s="181">
        <f t="shared" si="45"/>
        <v>100</v>
      </c>
      <c r="AK179" s="180">
        <f t="shared" si="60"/>
        <v>0</v>
      </c>
      <c r="AL179" s="181">
        <f t="shared" si="46"/>
        <v>0</v>
      </c>
      <c r="AM179" s="243"/>
    </row>
    <row r="180" spans="1:44" s="226" customFormat="1" ht="36.75" customHeight="1" x14ac:dyDescent="0.25">
      <c r="A180" s="289" t="s">
        <v>34</v>
      </c>
      <c r="B180" s="607" t="s">
        <v>138</v>
      </c>
      <c r="C180" s="607"/>
      <c r="D180" s="607"/>
      <c r="E180" s="607"/>
      <c r="F180" s="607"/>
      <c r="G180" s="607"/>
      <c r="H180" s="607"/>
      <c r="I180" s="608"/>
      <c r="J180" s="443" t="s">
        <v>467</v>
      </c>
      <c r="K180" s="291"/>
      <c r="L180" s="607" t="s">
        <v>35</v>
      </c>
      <c r="M180" s="607"/>
      <c r="N180" s="608"/>
      <c r="O180" s="263">
        <f>SUM(O181:O230)</f>
        <v>2212865000</v>
      </c>
      <c r="P180" s="263">
        <f>SUM(P181:P230)</f>
        <v>1923365000</v>
      </c>
      <c r="Q180" s="263">
        <f>SUM(Q181+Q193+Q201+Q209+Q216+Q222+Q230+Q241)</f>
        <v>1358098427</v>
      </c>
      <c r="R180" s="222">
        <f>Q180/Q$58*100</f>
        <v>6.7302687126511538</v>
      </c>
      <c r="S180" s="222">
        <f>S181</f>
        <v>100</v>
      </c>
      <c r="T180" s="263">
        <f t="shared" si="44"/>
        <v>21.879251466064765</v>
      </c>
      <c r="U180" s="263">
        <f t="shared" si="62"/>
        <v>1.4725324159828259</v>
      </c>
      <c r="V180" s="292">
        <f t="shared" si="55"/>
        <v>78.120748533935227</v>
      </c>
      <c r="W180" s="263">
        <f t="shared" ref="W180:AH180" si="64">SUM(W181:W230)</f>
        <v>0</v>
      </c>
      <c r="X180" s="263" t="e">
        <f t="shared" si="64"/>
        <v>#REF!</v>
      </c>
      <c r="Y180" s="263" t="e">
        <f t="shared" si="64"/>
        <v>#REF!</v>
      </c>
      <c r="Z180" s="263" t="e">
        <f t="shared" si="64"/>
        <v>#REF!</v>
      </c>
      <c r="AA180" s="263" t="e">
        <f t="shared" si="64"/>
        <v>#REF!</v>
      </c>
      <c r="AB180" s="263">
        <f t="shared" si="64"/>
        <v>1160108089</v>
      </c>
      <c r="AC180" s="263" t="e">
        <f t="shared" si="64"/>
        <v>#REF!</v>
      </c>
      <c r="AD180" s="263" t="e">
        <f t="shared" si="64"/>
        <v>#REF!</v>
      </c>
      <c r="AE180" s="263" t="e">
        <f t="shared" si="64"/>
        <v>#REF!</v>
      </c>
      <c r="AF180" s="263" t="e">
        <f t="shared" si="64"/>
        <v>#REF!</v>
      </c>
      <c r="AG180" s="263" t="e">
        <f t="shared" si="64"/>
        <v>#REF!</v>
      </c>
      <c r="AH180" s="263" t="e">
        <f t="shared" si="64"/>
        <v>#REF!</v>
      </c>
      <c r="AI180" s="263">
        <f>SUM(AI181+AI193+AI201+AI209+AI216+AI222+AI230+AI241)</f>
        <v>297141770</v>
      </c>
      <c r="AJ180" s="222">
        <f t="shared" si="45"/>
        <v>21.879251466064765</v>
      </c>
      <c r="AK180" s="263">
        <f>SUM(Q180-AI180)</f>
        <v>1060956657</v>
      </c>
      <c r="AL180" s="222">
        <f t="shared" si="46"/>
        <v>78.120748533935242</v>
      </c>
      <c r="AM180" s="289"/>
    </row>
    <row r="181" spans="1:44" s="297" customFormat="1" ht="42" customHeight="1" x14ac:dyDescent="0.25">
      <c r="A181" s="227">
        <f>A171+1</f>
        <v>28</v>
      </c>
      <c r="B181" s="615" t="s">
        <v>139</v>
      </c>
      <c r="C181" s="615"/>
      <c r="D181" s="615"/>
      <c r="E181" s="615"/>
      <c r="F181" s="615"/>
      <c r="G181" s="615"/>
      <c r="H181" s="615"/>
      <c r="I181" s="614"/>
      <c r="J181" s="304" t="s">
        <v>468</v>
      </c>
      <c r="K181" s="230"/>
      <c r="L181" s="294"/>
      <c r="M181" s="615" t="s">
        <v>36</v>
      </c>
      <c r="N181" s="614"/>
      <c r="O181" s="300">
        <v>1093890000</v>
      </c>
      <c r="P181" s="231">
        <f>[9]Sheet1!$U$80</f>
        <v>804390000</v>
      </c>
      <c r="Q181" s="231">
        <f>SUM(Q182:Q192)</f>
        <v>496093427</v>
      </c>
      <c r="R181" s="233">
        <f>Q181/Q$180*100</f>
        <v>36.528532626008264</v>
      </c>
      <c r="S181" s="233">
        <v>100</v>
      </c>
      <c r="T181" s="231">
        <f t="shared" si="44"/>
        <v>28.510409995817177</v>
      </c>
      <c r="U181" s="231">
        <f>R181*T181/100</f>
        <v>10.414434417130799</v>
      </c>
      <c r="V181" s="296">
        <f t="shared" si="55"/>
        <v>71.489590004182816</v>
      </c>
      <c r="W181" s="231"/>
      <c r="X181" s="231" t="e">
        <f>#REF!</f>
        <v>#REF!</v>
      </c>
      <c r="Y181" s="231" t="e">
        <f>#REF!</f>
        <v>#REF!</v>
      </c>
      <c r="Z181" s="231" t="e">
        <f>#REF!</f>
        <v>#REF!</v>
      </c>
      <c r="AA181" s="231" t="e">
        <f>#REF!</f>
        <v>#REF!</v>
      </c>
      <c r="AB181" s="231">
        <v>258208050</v>
      </c>
      <c r="AC181" s="231" t="e">
        <f>#REF!</f>
        <v>#REF!</v>
      </c>
      <c r="AD181" s="231" t="e">
        <f>#REF!</f>
        <v>#REF!</v>
      </c>
      <c r="AE181" s="231" t="e">
        <f>#REF!</f>
        <v>#REF!</v>
      </c>
      <c r="AF181" s="231" t="e">
        <f>[1]April!N48</f>
        <v>#REF!</v>
      </c>
      <c r="AG181" s="231" t="e">
        <f>[2]april!N48</f>
        <v>#REF!</v>
      </c>
      <c r="AH181" s="231">
        <f>'[3]DES SKPD'!$N48</f>
        <v>531334050</v>
      </c>
      <c r="AI181" s="231">
        <f>SUM(AI182:AI192)</f>
        <v>141438270</v>
      </c>
      <c r="AJ181" s="233">
        <f t="shared" si="45"/>
        <v>28.510409995817177</v>
      </c>
      <c r="AK181" s="231">
        <f>Q181-AI181</f>
        <v>354655157</v>
      </c>
      <c r="AL181" s="233">
        <f t="shared" si="46"/>
        <v>71.48959000418283</v>
      </c>
      <c r="AM181" s="227"/>
    </row>
    <row r="182" spans="1:44" ht="28.5" customHeight="1" x14ac:dyDescent="0.25">
      <c r="A182" s="243"/>
      <c r="B182" s="437"/>
      <c r="C182" s="437"/>
      <c r="D182" s="437"/>
      <c r="E182" s="437"/>
      <c r="F182" s="437"/>
      <c r="G182" s="437"/>
      <c r="H182" s="437"/>
      <c r="I182" s="438"/>
      <c r="J182" s="437" t="s">
        <v>259</v>
      </c>
      <c r="K182" s="245"/>
      <c r="L182" s="257"/>
      <c r="M182" s="597" t="s">
        <v>260</v>
      </c>
      <c r="N182" s="598"/>
      <c r="O182" s="301"/>
      <c r="P182" s="180"/>
      <c r="Q182" s="180">
        <v>1096000</v>
      </c>
      <c r="R182" s="181">
        <f t="shared" ref="R182:R192" si="65">Q182/Q$181*100</f>
        <v>0.22092612809401324</v>
      </c>
      <c r="S182" s="181">
        <v>100</v>
      </c>
      <c r="T182" s="180">
        <f t="shared" si="44"/>
        <v>0</v>
      </c>
      <c r="U182" s="180">
        <f t="shared" ref="U182:U190" si="66">R182*T182/100</f>
        <v>0</v>
      </c>
      <c r="V182" s="182">
        <f t="shared" si="55"/>
        <v>100</v>
      </c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>
        <v>0</v>
      </c>
      <c r="AJ182" s="181">
        <f t="shared" si="45"/>
        <v>0</v>
      </c>
      <c r="AK182" s="180">
        <f t="shared" ref="AK182:AK245" si="67">Q182-AI182</f>
        <v>1096000</v>
      </c>
      <c r="AL182" s="181">
        <f t="shared" si="46"/>
        <v>100</v>
      </c>
      <c r="AM182" s="243"/>
      <c r="AR182" s="205">
        <f>SUM(69300000-48250000)</f>
        <v>21050000</v>
      </c>
    </row>
    <row r="183" spans="1:44" ht="28.5" customHeight="1" x14ac:dyDescent="0.25">
      <c r="A183" s="243"/>
      <c r="B183" s="437"/>
      <c r="C183" s="437"/>
      <c r="D183" s="437"/>
      <c r="E183" s="437"/>
      <c r="F183" s="437"/>
      <c r="G183" s="437"/>
      <c r="H183" s="437"/>
      <c r="I183" s="438"/>
      <c r="J183" s="437" t="s">
        <v>273</v>
      </c>
      <c r="K183" s="245"/>
      <c r="L183" s="257"/>
      <c r="M183" s="597" t="s">
        <v>322</v>
      </c>
      <c r="N183" s="598"/>
      <c r="O183" s="301"/>
      <c r="P183" s="180"/>
      <c r="Q183" s="180">
        <v>6900000</v>
      </c>
      <c r="R183" s="181">
        <f t="shared" si="65"/>
        <v>1.3908670473072002</v>
      </c>
      <c r="S183" s="181">
        <v>100</v>
      </c>
      <c r="T183" s="180">
        <f>AJ183</f>
        <v>100</v>
      </c>
      <c r="U183" s="180">
        <f t="shared" si="66"/>
        <v>1.3908670473072002</v>
      </c>
      <c r="V183" s="182">
        <f t="shared" si="55"/>
        <v>0</v>
      </c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>
        <v>6900000</v>
      </c>
      <c r="AJ183" s="181">
        <f>AI183/Q183*100</f>
        <v>100</v>
      </c>
      <c r="AK183" s="180">
        <f t="shared" si="67"/>
        <v>0</v>
      </c>
      <c r="AL183" s="181">
        <f t="shared" si="46"/>
        <v>0</v>
      </c>
      <c r="AM183" s="243"/>
    </row>
    <row r="184" spans="1:44" ht="28.5" customHeight="1" x14ac:dyDescent="0.25">
      <c r="A184" s="243"/>
      <c r="B184" s="437"/>
      <c r="C184" s="437"/>
      <c r="D184" s="437"/>
      <c r="E184" s="437"/>
      <c r="F184" s="437"/>
      <c r="G184" s="437"/>
      <c r="H184" s="437"/>
      <c r="I184" s="438"/>
      <c r="J184" s="437" t="s">
        <v>587</v>
      </c>
      <c r="K184" s="245"/>
      <c r="L184" s="257"/>
      <c r="M184" s="597" t="s">
        <v>588</v>
      </c>
      <c r="N184" s="598"/>
      <c r="O184" s="301"/>
      <c r="P184" s="180"/>
      <c r="Q184" s="180">
        <v>80900000</v>
      </c>
      <c r="R184" s="181">
        <f t="shared" si="65"/>
        <v>16.307412192340941</v>
      </c>
      <c r="S184" s="181">
        <v>100</v>
      </c>
      <c r="T184" s="180">
        <f>AJ184</f>
        <v>0</v>
      </c>
      <c r="U184" s="180">
        <f t="shared" si="66"/>
        <v>0</v>
      </c>
      <c r="V184" s="182">
        <f t="shared" si="55"/>
        <v>100</v>
      </c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>
        <v>0</v>
      </c>
      <c r="AJ184" s="181">
        <f>AI184/Q184*100</f>
        <v>0</v>
      </c>
      <c r="AK184" s="180">
        <f t="shared" si="67"/>
        <v>80900000</v>
      </c>
      <c r="AL184" s="181"/>
      <c r="AM184" s="243"/>
    </row>
    <row r="185" spans="1:44" ht="28.5" customHeight="1" x14ac:dyDescent="0.25">
      <c r="A185" s="243"/>
      <c r="B185" s="437"/>
      <c r="C185" s="437"/>
      <c r="D185" s="437"/>
      <c r="E185" s="437"/>
      <c r="F185" s="437"/>
      <c r="G185" s="437"/>
      <c r="H185" s="437"/>
      <c r="I185" s="438"/>
      <c r="J185" s="437" t="s">
        <v>323</v>
      </c>
      <c r="K185" s="245"/>
      <c r="L185" s="257"/>
      <c r="M185" s="597" t="s">
        <v>324</v>
      </c>
      <c r="N185" s="598"/>
      <c r="O185" s="301"/>
      <c r="P185" s="180"/>
      <c r="Q185" s="180">
        <v>23150000</v>
      </c>
      <c r="R185" s="181">
        <f t="shared" si="65"/>
        <v>4.6664597311828526</v>
      </c>
      <c r="S185" s="181">
        <v>100</v>
      </c>
      <c r="T185" s="180">
        <f t="shared" si="44"/>
        <v>57.8488120950324</v>
      </c>
      <c r="U185" s="180">
        <f t="shared" si="66"/>
        <v>2.6994915213823223</v>
      </c>
      <c r="V185" s="182">
        <f t="shared" si="55"/>
        <v>42.1511879049676</v>
      </c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>
        <v>13392000</v>
      </c>
      <c r="AJ185" s="181">
        <f t="shared" si="45"/>
        <v>57.8488120950324</v>
      </c>
      <c r="AK185" s="180">
        <f t="shared" si="67"/>
        <v>9758000</v>
      </c>
      <c r="AL185" s="181">
        <f t="shared" si="46"/>
        <v>42.1511879049676</v>
      </c>
      <c r="AM185" s="243"/>
    </row>
    <row r="186" spans="1:44" ht="28.5" customHeight="1" x14ac:dyDescent="0.25">
      <c r="A186" s="243"/>
      <c r="B186" s="437"/>
      <c r="C186" s="437"/>
      <c r="D186" s="437"/>
      <c r="E186" s="437"/>
      <c r="F186" s="437"/>
      <c r="G186" s="437"/>
      <c r="H186" s="437"/>
      <c r="I186" s="438"/>
      <c r="J186" s="437" t="s">
        <v>269</v>
      </c>
      <c r="K186" s="245"/>
      <c r="L186" s="257"/>
      <c r="M186" s="597" t="s">
        <v>589</v>
      </c>
      <c r="N186" s="598"/>
      <c r="O186" s="301"/>
      <c r="P186" s="180"/>
      <c r="Q186" s="180">
        <v>23500000</v>
      </c>
      <c r="R186" s="181">
        <f t="shared" si="65"/>
        <v>4.737010958220174</v>
      </c>
      <c r="S186" s="181">
        <v>100</v>
      </c>
      <c r="T186" s="180">
        <f t="shared" si="44"/>
        <v>27.659574468085108</v>
      </c>
      <c r="U186" s="180">
        <f t="shared" si="66"/>
        <v>1.3102370735502609</v>
      </c>
      <c r="V186" s="182">
        <f t="shared" si="55"/>
        <v>72.340425531914889</v>
      </c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>
        <v>6500000</v>
      </c>
      <c r="AJ186" s="181">
        <f t="shared" si="45"/>
        <v>27.659574468085108</v>
      </c>
      <c r="AK186" s="180">
        <f t="shared" si="67"/>
        <v>17000000</v>
      </c>
      <c r="AL186" s="181">
        <f t="shared" si="46"/>
        <v>72.340425531914903</v>
      </c>
      <c r="AM186" s="243"/>
    </row>
    <row r="187" spans="1:44" ht="28.5" customHeight="1" x14ac:dyDescent="0.25">
      <c r="A187" s="243"/>
      <c r="B187" s="437"/>
      <c r="C187" s="437"/>
      <c r="D187" s="437"/>
      <c r="E187" s="437"/>
      <c r="F187" s="437"/>
      <c r="G187" s="437"/>
      <c r="H187" s="437"/>
      <c r="I187" s="438"/>
      <c r="J187" s="437" t="s">
        <v>315</v>
      </c>
      <c r="K187" s="245"/>
      <c r="L187" s="257"/>
      <c r="M187" s="597" t="s">
        <v>271</v>
      </c>
      <c r="N187" s="598"/>
      <c r="O187" s="301"/>
      <c r="P187" s="180"/>
      <c r="Q187" s="180">
        <v>5200000</v>
      </c>
      <c r="R187" s="181">
        <f t="shared" si="65"/>
        <v>1.0481896588402086</v>
      </c>
      <c r="S187" s="181">
        <v>100</v>
      </c>
      <c r="T187" s="180">
        <f t="shared" si="44"/>
        <v>7.6730769230769225</v>
      </c>
      <c r="U187" s="180">
        <f t="shared" si="66"/>
        <v>8.0428398822546765E-2</v>
      </c>
      <c r="V187" s="182">
        <f t="shared" si="55"/>
        <v>92.32692307692308</v>
      </c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>
        <v>399000</v>
      </c>
      <c r="AJ187" s="181">
        <f t="shared" si="45"/>
        <v>7.6730769230769225</v>
      </c>
      <c r="AK187" s="180">
        <f t="shared" si="67"/>
        <v>4801000</v>
      </c>
      <c r="AL187" s="181">
        <f t="shared" si="46"/>
        <v>92.326923076923066</v>
      </c>
      <c r="AM187" s="243"/>
    </row>
    <row r="188" spans="1:44" ht="28.5" customHeight="1" x14ac:dyDescent="0.25">
      <c r="A188" s="243"/>
      <c r="B188" s="437"/>
      <c r="C188" s="437"/>
      <c r="D188" s="437"/>
      <c r="E188" s="437"/>
      <c r="F188" s="437"/>
      <c r="G188" s="437"/>
      <c r="H188" s="437"/>
      <c r="I188" s="438"/>
      <c r="J188" s="437" t="s">
        <v>328</v>
      </c>
      <c r="K188" s="245"/>
      <c r="L188" s="257"/>
      <c r="M188" s="597" t="s">
        <v>329</v>
      </c>
      <c r="N188" s="598"/>
      <c r="O188" s="301"/>
      <c r="P188" s="180"/>
      <c r="Q188" s="180">
        <v>36000000</v>
      </c>
      <c r="R188" s="181">
        <f t="shared" si="65"/>
        <v>7.2566976381245221</v>
      </c>
      <c r="S188" s="181">
        <v>100</v>
      </c>
      <c r="T188" s="180">
        <f t="shared" si="44"/>
        <v>50</v>
      </c>
      <c r="U188" s="180">
        <f t="shared" si="66"/>
        <v>3.628348819062261</v>
      </c>
      <c r="V188" s="182">
        <f t="shared" si="55"/>
        <v>50</v>
      </c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>
        <v>18000000</v>
      </c>
      <c r="AJ188" s="181">
        <f t="shared" si="45"/>
        <v>50</v>
      </c>
      <c r="AK188" s="180">
        <f t="shared" si="67"/>
        <v>18000000</v>
      </c>
      <c r="AL188" s="181">
        <f t="shared" si="46"/>
        <v>50</v>
      </c>
      <c r="AM188" s="243"/>
    </row>
    <row r="189" spans="1:44" ht="28.5" customHeight="1" x14ac:dyDescent="0.25">
      <c r="A189" s="243"/>
      <c r="B189" s="437"/>
      <c r="C189" s="437"/>
      <c r="D189" s="437"/>
      <c r="E189" s="437"/>
      <c r="F189" s="437"/>
      <c r="G189" s="437"/>
      <c r="H189" s="437"/>
      <c r="I189" s="438"/>
      <c r="J189" s="437" t="s">
        <v>280</v>
      </c>
      <c r="K189" s="245"/>
      <c r="L189" s="257"/>
      <c r="M189" s="597" t="s">
        <v>425</v>
      </c>
      <c r="N189" s="598"/>
      <c r="O189" s="301"/>
      <c r="P189" s="180"/>
      <c r="Q189" s="180">
        <v>40500000</v>
      </c>
      <c r="R189" s="181">
        <f t="shared" si="65"/>
        <v>8.1637848428900881</v>
      </c>
      <c r="S189" s="181">
        <v>100</v>
      </c>
      <c r="T189" s="180">
        <f t="shared" si="44"/>
        <v>4.3209876543209873</v>
      </c>
      <c r="U189" s="180">
        <f t="shared" si="66"/>
        <v>0.3527561351866087</v>
      </c>
      <c r="V189" s="182">
        <f t="shared" si="55"/>
        <v>95.679012345679013</v>
      </c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>
        <v>1750000</v>
      </c>
      <c r="AJ189" s="181">
        <f t="shared" si="45"/>
        <v>4.3209876543209873</v>
      </c>
      <c r="AK189" s="180">
        <f t="shared" si="67"/>
        <v>38750000</v>
      </c>
      <c r="AL189" s="181">
        <f t="shared" si="46"/>
        <v>95.679012345679013</v>
      </c>
      <c r="AM189" s="243"/>
    </row>
    <row r="190" spans="1:44" ht="28.5" customHeight="1" x14ac:dyDescent="0.25">
      <c r="A190" s="243"/>
      <c r="B190" s="437"/>
      <c r="C190" s="437"/>
      <c r="D190" s="437"/>
      <c r="E190" s="437"/>
      <c r="F190" s="437"/>
      <c r="G190" s="437"/>
      <c r="H190" s="437"/>
      <c r="I190" s="438"/>
      <c r="J190" s="437" t="s">
        <v>282</v>
      </c>
      <c r="K190" s="245"/>
      <c r="L190" s="257"/>
      <c r="M190" s="597" t="s">
        <v>590</v>
      </c>
      <c r="N190" s="598"/>
      <c r="O190" s="301"/>
      <c r="P190" s="180"/>
      <c r="Q190" s="180">
        <v>40047427</v>
      </c>
      <c r="R190" s="181">
        <f t="shared" si="65"/>
        <v>8.0725574701073395</v>
      </c>
      <c r="S190" s="181">
        <v>100</v>
      </c>
      <c r="T190" s="180">
        <f t="shared" si="44"/>
        <v>31.206174618908726</v>
      </c>
      <c r="U190" s="180">
        <f t="shared" si="66"/>
        <v>2.5191363803334572</v>
      </c>
      <c r="V190" s="182">
        <f t="shared" si="55"/>
        <v>68.793825381091267</v>
      </c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>
        <v>12497270</v>
      </c>
      <c r="AJ190" s="181">
        <f t="shared" si="45"/>
        <v>31.206174618908726</v>
      </c>
      <c r="AK190" s="180">
        <f t="shared" si="67"/>
        <v>27550157</v>
      </c>
      <c r="AL190" s="181">
        <f t="shared" si="46"/>
        <v>68.793825381091281</v>
      </c>
      <c r="AM190" s="243"/>
    </row>
    <row r="191" spans="1:44" ht="28.5" customHeight="1" x14ac:dyDescent="0.25">
      <c r="A191" s="243"/>
      <c r="B191" s="437"/>
      <c r="C191" s="437"/>
      <c r="D191" s="437"/>
      <c r="E191" s="437"/>
      <c r="F191" s="437"/>
      <c r="G191" s="437"/>
      <c r="H191" s="437"/>
      <c r="I191" s="438"/>
      <c r="J191" s="437" t="s">
        <v>306</v>
      </c>
      <c r="K191" s="245"/>
      <c r="L191" s="257"/>
      <c r="M191" s="597" t="s">
        <v>591</v>
      </c>
      <c r="N191" s="598"/>
      <c r="O191" s="301"/>
      <c r="P191" s="180"/>
      <c r="Q191" s="180">
        <v>40000000</v>
      </c>
      <c r="R191" s="181">
        <f t="shared" si="65"/>
        <v>8.0629973756939126</v>
      </c>
      <c r="S191" s="181">
        <v>100</v>
      </c>
      <c r="T191" s="180">
        <f>AJ192</f>
        <v>0</v>
      </c>
      <c r="U191" s="180">
        <f>R191*T191/100</f>
        <v>0</v>
      </c>
      <c r="V191" s="182">
        <f>S191-T191</f>
        <v>100</v>
      </c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>
        <v>0</v>
      </c>
      <c r="AJ191" s="181">
        <f>AI191/Q191*100</f>
        <v>0</v>
      </c>
      <c r="AK191" s="180">
        <f t="shared" si="67"/>
        <v>40000000</v>
      </c>
      <c r="AL191" s="181">
        <f t="shared" si="46"/>
        <v>100</v>
      </c>
      <c r="AM191" s="243"/>
    </row>
    <row r="192" spans="1:44" ht="28.5" customHeight="1" x14ac:dyDescent="0.25">
      <c r="A192" s="243"/>
      <c r="B192" s="437"/>
      <c r="C192" s="437"/>
      <c r="D192" s="437"/>
      <c r="E192" s="437"/>
      <c r="F192" s="437"/>
      <c r="G192" s="437"/>
      <c r="H192" s="437"/>
      <c r="I192" s="438"/>
      <c r="J192" s="437" t="s">
        <v>551</v>
      </c>
      <c r="K192" s="245"/>
      <c r="L192" s="257"/>
      <c r="M192" s="597" t="s">
        <v>550</v>
      </c>
      <c r="N192" s="598"/>
      <c r="O192" s="301"/>
      <c r="P192" s="180"/>
      <c r="Q192" s="180">
        <v>198800000</v>
      </c>
      <c r="R192" s="181">
        <f t="shared" si="65"/>
        <v>40.07309695719875</v>
      </c>
      <c r="S192" s="181">
        <v>100</v>
      </c>
      <c r="T192" s="180">
        <f>AJ193</f>
        <v>0</v>
      </c>
      <c r="U192" s="180">
        <f>R192*T192/100</f>
        <v>0</v>
      </c>
      <c r="V192" s="182">
        <f>S192-T192</f>
        <v>100</v>
      </c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>
        <f>32800000+16400000+16400000+16400000</f>
        <v>82000000</v>
      </c>
      <c r="AJ192" s="181">
        <f>AI191/Q191*100</f>
        <v>0</v>
      </c>
      <c r="AK192" s="180">
        <f t="shared" si="67"/>
        <v>116800000</v>
      </c>
      <c r="AL192" s="181">
        <f t="shared" si="46"/>
        <v>58.752515090543255</v>
      </c>
      <c r="AM192" s="243"/>
    </row>
    <row r="193" spans="1:39" s="297" customFormat="1" ht="28.5" customHeight="1" x14ac:dyDescent="0.25">
      <c r="A193" s="227">
        <f>A181+1</f>
        <v>29</v>
      </c>
      <c r="B193" s="615" t="s">
        <v>140</v>
      </c>
      <c r="C193" s="615"/>
      <c r="D193" s="615"/>
      <c r="E193" s="615"/>
      <c r="F193" s="615"/>
      <c r="G193" s="615"/>
      <c r="H193" s="615"/>
      <c r="I193" s="614"/>
      <c r="J193" s="304" t="s">
        <v>469</v>
      </c>
      <c r="K193" s="230"/>
      <c r="L193" s="294"/>
      <c r="M193" s="615" t="s">
        <v>37</v>
      </c>
      <c r="N193" s="614"/>
      <c r="O193" s="295">
        <v>144225000</v>
      </c>
      <c r="P193" s="231">
        <f>O193</f>
        <v>144225000</v>
      </c>
      <c r="Q193" s="231">
        <f>SUM(Q194:Q200)</f>
        <v>131070000</v>
      </c>
      <c r="R193" s="233">
        <f>Q193/Q$180*100</f>
        <v>9.6509941690698966</v>
      </c>
      <c r="S193" s="233">
        <v>100</v>
      </c>
      <c r="T193" s="231">
        <f t="shared" si="44"/>
        <v>0</v>
      </c>
      <c r="U193" s="231">
        <f>R193*T193/100</f>
        <v>0</v>
      </c>
      <c r="V193" s="296">
        <f t="shared" si="55"/>
        <v>100</v>
      </c>
      <c r="W193" s="231"/>
      <c r="X193" s="231" t="e">
        <f>#REF!</f>
        <v>#REF!</v>
      </c>
      <c r="Y193" s="231" t="e">
        <f>#REF!</f>
        <v>#REF!</v>
      </c>
      <c r="Z193" s="231" t="e">
        <f>#REF!</f>
        <v>#REF!</v>
      </c>
      <c r="AA193" s="231" t="e">
        <f>#REF!</f>
        <v>#REF!</v>
      </c>
      <c r="AB193" s="231">
        <v>0</v>
      </c>
      <c r="AC193" s="231" t="e">
        <f>#REF!</f>
        <v>#REF!</v>
      </c>
      <c r="AD193" s="231" t="e">
        <f>#REF!</f>
        <v>#REF!</v>
      </c>
      <c r="AE193" s="231" t="e">
        <f>#REF!</f>
        <v>#REF!</v>
      </c>
      <c r="AF193" s="231" t="e">
        <f>[1]April!N49</f>
        <v>#REF!</v>
      </c>
      <c r="AG193" s="231" t="e">
        <f>[2]april!N49</f>
        <v>#REF!</v>
      </c>
      <c r="AH193" s="231">
        <f>'[3]DES SKPD'!$N49</f>
        <v>143100490</v>
      </c>
      <c r="AI193" s="231">
        <f>SUM(AI194:AI200)</f>
        <v>0</v>
      </c>
      <c r="AJ193" s="233">
        <f t="shared" si="45"/>
        <v>0</v>
      </c>
      <c r="AK193" s="231">
        <f t="shared" si="67"/>
        <v>131070000</v>
      </c>
      <c r="AL193" s="233">
        <f t="shared" si="46"/>
        <v>100</v>
      </c>
      <c r="AM193" s="227"/>
    </row>
    <row r="194" spans="1:39" ht="28.5" customHeight="1" x14ac:dyDescent="0.25">
      <c r="A194" s="243"/>
      <c r="B194" s="437"/>
      <c r="C194" s="437"/>
      <c r="D194" s="437"/>
      <c r="E194" s="437"/>
      <c r="F194" s="437"/>
      <c r="G194" s="437"/>
      <c r="H194" s="437"/>
      <c r="I194" s="438"/>
      <c r="J194" s="437" t="s">
        <v>326</v>
      </c>
      <c r="K194" s="245"/>
      <c r="L194" s="257"/>
      <c r="M194" s="597" t="s">
        <v>327</v>
      </c>
      <c r="N194" s="598"/>
      <c r="O194" s="299"/>
      <c r="P194" s="180"/>
      <c r="Q194" s="180">
        <v>16750000</v>
      </c>
      <c r="R194" s="181">
        <f t="shared" ref="R194:R200" si="68">Q194/Q$193*100</f>
        <v>12.779430838483252</v>
      </c>
      <c r="S194" s="181">
        <v>100</v>
      </c>
      <c r="T194" s="180">
        <f t="shared" si="44"/>
        <v>0</v>
      </c>
      <c r="U194" s="180">
        <f t="shared" ref="U194:U200" si="69">R194*T194/100</f>
        <v>0</v>
      </c>
      <c r="V194" s="182">
        <f t="shared" si="55"/>
        <v>100</v>
      </c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>
        <v>0</v>
      </c>
      <c r="AJ194" s="181">
        <f t="shared" si="45"/>
        <v>0</v>
      </c>
      <c r="AK194" s="180">
        <f t="shared" si="67"/>
        <v>16750000</v>
      </c>
      <c r="AL194" s="181">
        <f t="shared" si="46"/>
        <v>100</v>
      </c>
      <c r="AM194" s="243"/>
    </row>
    <row r="195" spans="1:39" ht="28.5" customHeight="1" x14ac:dyDescent="0.25">
      <c r="A195" s="243"/>
      <c r="B195" s="437"/>
      <c r="C195" s="437"/>
      <c r="D195" s="437"/>
      <c r="E195" s="437"/>
      <c r="F195" s="437"/>
      <c r="G195" s="437"/>
      <c r="H195" s="437"/>
      <c r="I195" s="438"/>
      <c r="J195" s="437" t="s">
        <v>323</v>
      </c>
      <c r="K195" s="245"/>
      <c r="L195" s="257"/>
      <c r="M195" s="597" t="s">
        <v>324</v>
      </c>
      <c r="N195" s="598"/>
      <c r="O195" s="299"/>
      <c r="P195" s="180"/>
      <c r="Q195" s="180">
        <v>9132000</v>
      </c>
      <c r="R195" s="181">
        <f t="shared" si="68"/>
        <v>6.9672693980315863</v>
      </c>
      <c r="S195" s="181">
        <v>100</v>
      </c>
      <c r="T195" s="180">
        <f t="shared" si="44"/>
        <v>0</v>
      </c>
      <c r="U195" s="180">
        <f t="shared" si="69"/>
        <v>0</v>
      </c>
      <c r="V195" s="182">
        <f t="shared" si="55"/>
        <v>100</v>
      </c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>
        <v>0</v>
      </c>
      <c r="AJ195" s="181">
        <f t="shared" si="45"/>
        <v>0</v>
      </c>
      <c r="AK195" s="180">
        <f t="shared" si="67"/>
        <v>9132000</v>
      </c>
      <c r="AL195" s="181">
        <f t="shared" si="46"/>
        <v>100</v>
      </c>
      <c r="AM195" s="243"/>
    </row>
    <row r="196" spans="1:39" ht="28.5" customHeight="1" x14ac:dyDescent="0.25">
      <c r="A196" s="243"/>
      <c r="B196" s="437"/>
      <c r="C196" s="437"/>
      <c r="D196" s="437"/>
      <c r="E196" s="437"/>
      <c r="F196" s="437"/>
      <c r="G196" s="437"/>
      <c r="H196" s="437"/>
      <c r="I196" s="438"/>
      <c r="J196" s="437" t="s">
        <v>269</v>
      </c>
      <c r="K196" s="245"/>
      <c r="L196" s="257"/>
      <c r="M196" s="597" t="s">
        <v>270</v>
      </c>
      <c r="N196" s="598"/>
      <c r="O196" s="299"/>
      <c r="P196" s="180"/>
      <c r="Q196" s="180">
        <v>13650000</v>
      </c>
      <c r="R196" s="181">
        <f t="shared" si="68"/>
        <v>10.414282444495308</v>
      </c>
      <c r="S196" s="181">
        <v>100</v>
      </c>
      <c r="T196" s="180">
        <f t="shared" si="44"/>
        <v>0</v>
      </c>
      <c r="U196" s="180">
        <f t="shared" si="69"/>
        <v>0</v>
      </c>
      <c r="V196" s="182">
        <f t="shared" si="55"/>
        <v>100</v>
      </c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>
        <v>0</v>
      </c>
      <c r="AJ196" s="181">
        <f t="shared" si="45"/>
        <v>0</v>
      </c>
      <c r="AK196" s="180">
        <f t="shared" si="67"/>
        <v>13650000</v>
      </c>
      <c r="AL196" s="181">
        <f t="shared" si="46"/>
        <v>100</v>
      </c>
      <c r="AM196" s="243"/>
    </row>
    <row r="197" spans="1:39" ht="28.5" customHeight="1" x14ac:dyDescent="0.25">
      <c r="A197" s="243"/>
      <c r="B197" s="437"/>
      <c r="C197" s="437"/>
      <c r="D197" s="437"/>
      <c r="E197" s="437"/>
      <c r="F197" s="437"/>
      <c r="G197" s="437"/>
      <c r="H197" s="437"/>
      <c r="I197" s="438"/>
      <c r="J197" s="437" t="s">
        <v>315</v>
      </c>
      <c r="K197" s="245"/>
      <c r="L197" s="257"/>
      <c r="M197" s="597" t="s">
        <v>271</v>
      </c>
      <c r="N197" s="598"/>
      <c r="O197" s="299"/>
      <c r="P197" s="180"/>
      <c r="Q197" s="180">
        <v>1418000</v>
      </c>
      <c r="R197" s="181">
        <f t="shared" si="68"/>
        <v>1.0818646524757762</v>
      </c>
      <c r="S197" s="181">
        <v>100</v>
      </c>
      <c r="T197" s="180">
        <f t="shared" si="44"/>
        <v>0</v>
      </c>
      <c r="U197" s="180">
        <f t="shared" si="69"/>
        <v>0</v>
      </c>
      <c r="V197" s="182">
        <f t="shared" si="55"/>
        <v>100</v>
      </c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>
        <v>0</v>
      </c>
      <c r="AJ197" s="181">
        <f t="shared" si="45"/>
        <v>0</v>
      </c>
      <c r="AK197" s="180">
        <f t="shared" si="67"/>
        <v>1418000</v>
      </c>
      <c r="AL197" s="181">
        <f t="shared" si="46"/>
        <v>100</v>
      </c>
      <c r="AM197" s="243"/>
    </row>
    <row r="198" spans="1:39" ht="28.5" customHeight="1" x14ac:dyDescent="0.25">
      <c r="A198" s="243"/>
      <c r="B198" s="437"/>
      <c r="C198" s="437"/>
      <c r="D198" s="437"/>
      <c r="E198" s="437"/>
      <c r="F198" s="437"/>
      <c r="G198" s="437"/>
      <c r="H198" s="437"/>
      <c r="I198" s="438"/>
      <c r="J198" s="437" t="s">
        <v>328</v>
      </c>
      <c r="K198" s="245"/>
      <c r="L198" s="257"/>
      <c r="M198" s="597" t="s">
        <v>329</v>
      </c>
      <c r="N198" s="598"/>
      <c r="O198" s="299"/>
      <c r="P198" s="180"/>
      <c r="Q198" s="180">
        <v>82500000</v>
      </c>
      <c r="R198" s="181">
        <f t="shared" si="68"/>
        <v>62.943465323872736</v>
      </c>
      <c r="S198" s="181">
        <v>100</v>
      </c>
      <c r="T198" s="180">
        <f t="shared" si="44"/>
        <v>0</v>
      </c>
      <c r="U198" s="180">
        <f t="shared" si="69"/>
        <v>0</v>
      </c>
      <c r="V198" s="182">
        <f t="shared" si="55"/>
        <v>100</v>
      </c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>
        <v>0</v>
      </c>
      <c r="AJ198" s="181">
        <f t="shared" si="45"/>
        <v>0</v>
      </c>
      <c r="AK198" s="180">
        <f t="shared" si="67"/>
        <v>82500000</v>
      </c>
      <c r="AL198" s="181">
        <f t="shared" si="46"/>
        <v>100</v>
      </c>
      <c r="AM198" s="243"/>
    </row>
    <row r="199" spans="1:39" ht="28.5" customHeight="1" x14ac:dyDescent="0.25">
      <c r="A199" s="243"/>
      <c r="B199" s="437"/>
      <c r="C199" s="437"/>
      <c r="D199" s="437"/>
      <c r="E199" s="437"/>
      <c r="F199" s="437"/>
      <c r="G199" s="437"/>
      <c r="H199" s="437"/>
      <c r="I199" s="438"/>
      <c r="J199" s="437" t="s">
        <v>284</v>
      </c>
      <c r="K199" s="245"/>
      <c r="L199" s="257"/>
      <c r="M199" s="597" t="s">
        <v>285</v>
      </c>
      <c r="N199" s="598"/>
      <c r="O199" s="299"/>
      <c r="P199" s="180"/>
      <c r="Q199" s="180">
        <v>2120000</v>
      </c>
      <c r="R199" s="181">
        <f t="shared" si="68"/>
        <v>1.617456321049821</v>
      </c>
      <c r="S199" s="181">
        <v>100</v>
      </c>
      <c r="T199" s="180">
        <f t="shared" si="44"/>
        <v>0</v>
      </c>
      <c r="U199" s="180">
        <f t="shared" si="69"/>
        <v>0</v>
      </c>
      <c r="V199" s="182">
        <f t="shared" si="55"/>
        <v>100</v>
      </c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>
        <v>0</v>
      </c>
      <c r="AJ199" s="181">
        <f t="shared" si="45"/>
        <v>0</v>
      </c>
      <c r="AK199" s="180">
        <f t="shared" si="67"/>
        <v>2120000</v>
      </c>
      <c r="AL199" s="181">
        <f t="shared" si="46"/>
        <v>100</v>
      </c>
      <c r="AM199" s="243"/>
    </row>
    <row r="200" spans="1:39" ht="28.5" customHeight="1" x14ac:dyDescent="0.25">
      <c r="A200" s="243"/>
      <c r="B200" s="437"/>
      <c r="C200" s="437"/>
      <c r="D200" s="437"/>
      <c r="E200" s="437"/>
      <c r="F200" s="437"/>
      <c r="G200" s="437"/>
      <c r="H200" s="437"/>
      <c r="I200" s="438"/>
      <c r="J200" s="437" t="s">
        <v>282</v>
      </c>
      <c r="K200" s="245"/>
      <c r="L200" s="257"/>
      <c r="M200" s="597" t="s">
        <v>283</v>
      </c>
      <c r="N200" s="598"/>
      <c r="O200" s="299"/>
      <c r="P200" s="180"/>
      <c r="Q200" s="180">
        <v>5500000</v>
      </c>
      <c r="R200" s="181">
        <f t="shared" si="68"/>
        <v>4.1962310215915153</v>
      </c>
      <c r="S200" s="181">
        <v>100</v>
      </c>
      <c r="T200" s="180">
        <f t="shared" si="44"/>
        <v>0</v>
      </c>
      <c r="U200" s="180">
        <f t="shared" si="69"/>
        <v>0</v>
      </c>
      <c r="V200" s="182">
        <f t="shared" si="55"/>
        <v>100</v>
      </c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>
        <v>0</v>
      </c>
      <c r="AJ200" s="181">
        <f t="shared" si="45"/>
        <v>0</v>
      </c>
      <c r="AK200" s="180">
        <f t="shared" si="67"/>
        <v>5500000</v>
      </c>
      <c r="AL200" s="181">
        <f t="shared" si="46"/>
        <v>100</v>
      </c>
      <c r="AM200" s="243"/>
    </row>
    <row r="201" spans="1:39" ht="28.5" customHeight="1" x14ac:dyDescent="0.25">
      <c r="A201" s="227">
        <v>30</v>
      </c>
      <c r="B201" s="437"/>
      <c r="C201" s="437"/>
      <c r="D201" s="437"/>
      <c r="E201" s="437"/>
      <c r="F201" s="437"/>
      <c r="G201" s="437"/>
      <c r="H201" s="437"/>
      <c r="I201" s="438"/>
      <c r="J201" s="304" t="s">
        <v>474</v>
      </c>
      <c r="K201" s="230"/>
      <c r="L201" s="294"/>
      <c r="M201" s="615" t="s">
        <v>470</v>
      </c>
      <c r="N201" s="614"/>
      <c r="O201" s="295">
        <v>144225000</v>
      </c>
      <c r="P201" s="231">
        <f>O201</f>
        <v>144225000</v>
      </c>
      <c r="Q201" s="231">
        <f>SUM(Q202:Q208)</f>
        <v>168774000</v>
      </c>
      <c r="R201" s="233">
        <f>Q201/Q$180*100</f>
        <v>12.427228884493804</v>
      </c>
      <c r="S201" s="233">
        <v>100</v>
      </c>
      <c r="T201" s="231">
        <f t="shared" si="44"/>
        <v>32.871473094196972</v>
      </c>
      <c r="U201" s="231">
        <f>R201*T201/100</f>
        <v>4.0850131991206551</v>
      </c>
      <c r="V201" s="296">
        <f t="shared" si="55"/>
        <v>67.128526905803028</v>
      </c>
      <c r="W201" s="231"/>
      <c r="X201" s="231" t="e">
        <f>#REF!</f>
        <v>#REF!</v>
      </c>
      <c r="Y201" s="231" t="e">
        <f>#REF!</f>
        <v>#REF!</v>
      </c>
      <c r="Z201" s="231" t="e">
        <f>#REF!</f>
        <v>#REF!</v>
      </c>
      <c r="AA201" s="231" t="e">
        <f>#REF!</f>
        <v>#REF!</v>
      </c>
      <c r="AB201" s="231">
        <v>0</v>
      </c>
      <c r="AC201" s="231" t="e">
        <f>#REF!</f>
        <v>#REF!</v>
      </c>
      <c r="AD201" s="231" t="e">
        <f>#REF!</f>
        <v>#REF!</v>
      </c>
      <c r="AE201" s="231" t="e">
        <f>#REF!</f>
        <v>#REF!</v>
      </c>
      <c r="AF201" s="231" t="e">
        <f>[1]April!N58</f>
        <v>#REF!</v>
      </c>
      <c r="AG201" s="231" t="e">
        <f>[2]april!N58</f>
        <v>#REF!</v>
      </c>
      <c r="AH201" s="231">
        <f>'[3]DES SKPD'!$N58</f>
        <v>133587000</v>
      </c>
      <c r="AI201" s="231">
        <f>SUM(AI202:AI208)</f>
        <v>55478500</v>
      </c>
      <c r="AJ201" s="233">
        <f t="shared" si="45"/>
        <v>32.871473094196972</v>
      </c>
      <c r="AK201" s="231">
        <f t="shared" si="67"/>
        <v>113295500</v>
      </c>
      <c r="AL201" s="233">
        <f t="shared" si="46"/>
        <v>67.128526905803028</v>
      </c>
      <c r="AM201" s="243"/>
    </row>
    <row r="202" spans="1:39" ht="28.5" customHeight="1" x14ac:dyDescent="0.25">
      <c r="A202" s="243"/>
      <c r="B202" s="437"/>
      <c r="C202" s="437"/>
      <c r="D202" s="437"/>
      <c r="E202" s="437"/>
      <c r="F202" s="437"/>
      <c r="G202" s="437"/>
      <c r="H202" s="437"/>
      <c r="I202" s="438"/>
      <c r="J202" s="437" t="s">
        <v>273</v>
      </c>
      <c r="K202" s="245"/>
      <c r="L202" s="257"/>
      <c r="M202" s="597" t="s">
        <v>322</v>
      </c>
      <c r="N202" s="598"/>
      <c r="O202" s="299"/>
      <c r="P202" s="180"/>
      <c r="Q202" s="180">
        <v>34600000</v>
      </c>
      <c r="R202" s="181">
        <f t="shared" ref="R202:R208" si="70">Q202/Q$201*100</f>
        <v>20.500788036071906</v>
      </c>
      <c r="S202" s="181">
        <v>100</v>
      </c>
      <c r="T202" s="180">
        <f t="shared" si="44"/>
        <v>52.312138728323696</v>
      </c>
      <c r="U202" s="180">
        <f t="shared" ref="U202:U208" si="71">R202*T202/100</f>
        <v>10.724400677829522</v>
      </c>
      <c r="V202" s="182">
        <f t="shared" si="55"/>
        <v>47.687861271676304</v>
      </c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>
        <v>18100000</v>
      </c>
      <c r="AJ202" s="181">
        <f t="shared" si="45"/>
        <v>52.312138728323696</v>
      </c>
      <c r="AK202" s="180">
        <f t="shared" si="67"/>
        <v>16500000</v>
      </c>
      <c r="AL202" s="181">
        <f t="shared" si="46"/>
        <v>47.687861271676304</v>
      </c>
      <c r="AM202" s="243"/>
    </row>
    <row r="203" spans="1:39" ht="28.5" customHeight="1" x14ac:dyDescent="0.25">
      <c r="A203" s="243"/>
      <c r="B203" s="437"/>
      <c r="C203" s="437"/>
      <c r="D203" s="437"/>
      <c r="E203" s="437"/>
      <c r="F203" s="437"/>
      <c r="G203" s="437"/>
      <c r="H203" s="437"/>
      <c r="I203" s="438"/>
      <c r="J203" s="437" t="s">
        <v>323</v>
      </c>
      <c r="K203" s="245"/>
      <c r="L203" s="257"/>
      <c r="M203" s="597" t="s">
        <v>324</v>
      </c>
      <c r="N203" s="598"/>
      <c r="O203" s="299"/>
      <c r="P203" s="180"/>
      <c r="Q203" s="180">
        <v>100464000</v>
      </c>
      <c r="R203" s="181">
        <f t="shared" si="70"/>
        <v>59.525756336876533</v>
      </c>
      <c r="S203" s="181">
        <v>100</v>
      </c>
      <c r="T203" s="180">
        <f t="shared" si="44"/>
        <v>24.409738811912725</v>
      </c>
      <c r="U203" s="180">
        <f t="shared" si="71"/>
        <v>14.530081647647147</v>
      </c>
      <c r="V203" s="182">
        <f t="shared" si="55"/>
        <v>75.590261188087283</v>
      </c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>
        <f>18502000+6021000</f>
        <v>24523000</v>
      </c>
      <c r="AJ203" s="181">
        <f t="shared" si="45"/>
        <v>24.409738811912725</v>
      </c>
      <c r="AK203" s="180">
        <f t="shared" si="67"/>
        <v>75941000</v>
      </c>
      <c r="AL203" s="181">
        <f t="shared" si="46"/>
        <v>75.590261188087268</v>
      </c>
      <c r="AM203" s="243"/>
    </row>
    <row r="204" spans="1:39" ht="28.5" customHeight="1" x14ac:dyDescent="0.25">
      <c r="A204" s="243"/>
      <c r="B204" s="437"/>
      <c r="C204" s="437"/>
      <c r="D204" s="437"/>
      <c r="E204" s="437"/>
      <c r="F204" s="437"/>
      <c r="G204" s="437"/>
      <c r="H204" s="437"/>
      <c r="I204" s="438"/>
      <c r="J204" s="437" t="s">
        <v>269</v>
      </c>
      <c r="K204" s="245"/>
      <c r="L204" s="257"/>
      <c r="M204" s="597" t="s">
        <v>270</v>
      </c>
      <c r="N204" s="598"/>
      <c r="O204" s="299"/>
      <c r="P204" s="180"/>
      <c r="Q204" s="180">
        <v>9000000</v>
      </c>
      <c r="R204" s="181">
        <f t="shared" si="70"/>
        <v>5.3325749226776642</v>
      </c>
      <c r="S204" s="181">
        <v>100</v>
      </c>
      <c r="T204" s="180">
        <f t="shared" si="44"/>
        <v>37.777777777777779</v>
      </c>
      <c r="U204" s="180">
        <f t="shared" si="71"/>
        <v>2.0145283041226731</v>
      </c>
      <c r="V204" s="182">
        <f t="shared" si="55"/>
        <v>62.222222222222221</v>
      </c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>
        <v>3400000</v>
      </c>
      <c r="AJ204" s="181">
        <f t="shared" si="45"/>
        <v>37.777777777777779</v>
      </c>
      <c r="AK204" s="180">
        <f t="shared" si="67"/>
        <v>5600000</v>
      </c>
      <c r="AL204" s="181">
        <f t="shared" si="46"/>
        <v>62.222222222222221</v>
      </c>
      <c r="AM204" s="243"/>
    </row>
    <row r="205" spans="1:39" ht="28.5" customHeight="1" x14ac:dyDescent="0.25">
      <c r="A205" s="243"/>
      <c r="B205" s="437"/>
      <c r="C205" s="437"/>
      <c r="D205" s="437"/>
      <c r="E205" s="437"/>
      <c r="F205" s="437"/>
      <c r="G205" s="437"/>
      <c r="H205" s="437"/>
      <c r="I205" s="438"/>
      <c r="J205" s="437" t="s">
        <v>315</v>
      </c>
      <c r="K205" s="245"/>
      <c r="L205" s="257"/>
      <c r="M205" s="597" t="s">
        <v>271</v>
      </c>
      <c r="N205" s="598"/>
      <c r="O205" s="299"/>
      <c r="P205" s="180"/>
      <c r="Q205" s="180">
        <v>360000</v>
      </c>
      <c r="R205" s="181">
        <f t="shared" si="70"/>
        <v>0.21330299690710655</v>
      </c>
      <c r="S205" s="181">
        <v>100</v>
      </c>
      <c r="T205" s="180">
        <f t="shared" si="44"/>
        <v>0</v>
      </c>
      <c r="U205" s="180">
        <f t="shared" si="71"/>
        <v>0</v>
      </c>
      <c r="V205" s="182">
        <f t="shared" si="55"/>
        <v>100</v>
      </c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>
        <v>0</v>
      </c>
      <c r="AJ205" s="181">
        <f t="shared" si="45"/>
        <v>0</v>
      </c>
      <c r="AK205" s="180">
        <f t="shared" si="67"/>
        <v>360000</v>
      </c>
      <c r="AL205" s="181">
        <f t="shared" si="46"/>
        <v>100</v>
      </c>
      <c r="AM205" s="243"/>
    </row>
    <row r="206" spans="1:39" ht="28.5" customHeight="1" x14ac:dyDescent="0.25">
      <c r="A206" s="243"/>
      <c r="B206" s="437"/>
      <c r="C206" s="437"/>
      <c r="D206" s="437"/>
      <c r="E206" s="437"/>
      <c r="F206" s="437"/>
      <c r="G206" s="437"/>
      <c r="H206" s="437"/>
      <c r="I206" s="438"/>
      <c r="J206" s="437" t="s">
        <v>280</v>
      </c>
      <c r="K206" s="245"/>
      <c r="L206" s="257"/>
      <c r="M206" s="597" t="s">
        <v>425</v>
      </c>
      <c r="N206" s="598"/>
      <c r="O206" s="299"/>
      <c r="P206" s="180"/>
      <c r="Q206" s="180">
        <v>3500000</v>
      </c>
      <c r="R206" s="181">
        <f t="shared" si="70"/>
        <v>2.073779136596869</v>
      </c>
      <c r="S206" s="181">
        <v>100</v>
      </c>
      <c r="T206" s="180">
        <f t="shared" si="44"/>
        <v>100</v>
      </c>
      <c r="U206" s="180">
        <f t="shared" si="71"/>
        <v>2.073779136596869</v>
      </c>
      <c r="V206" s="182">
        <f t="shared" si="55"/>
        <v>0</v>
      </c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>
        <v>3500000</v>
      </c>
      <c r="AJ206" s="181">
        <f t="shared" si="45"/>
        <v>100</v>
      </c>
      <c r="AK206" s="180">
        <f t="shared" si="67"/>
        <v>0</v>
      </c>
      <c r="AL206" s="181">
        <f t="shared" si="46"/>
        <v>0</v>
      </c>
      <c r="AM206" s="243"/>
    </row>
    <row r="207" spans="1:39" ht="28.5" customHeight="1" x14ac:dyDescent="0.25">
      <c r="A207" s="243"/>
      <c r="B207" s="437"/>
      <c r="C207" s="437"/>
      <c r="D207" s="437"/>
      <c r="E207" s="437"/>
      <c r="F207" s="437"/>
      <c r="G207" s="437"/>
      <c r="H207" s="437"/>
      <c r="I207" s="438"/>
      <c r="J207" s="437" t="s">
        <v>284</v>
      </c>
      <c r="K207" s="245"/>
      <c r="L207" s="257"/>
      <c r="M207" s="597" t="s">
        <v>285</v>
      </c>
      <c r="N207" s="598"/>
      <c r="O207" s="299"/>
      <c r="P207" s="180"/>
      <c r="Q207" s="180">
        <v>5250000</v>
      </c>
      <c r="R207" s="181">
        <f t="shared" si="70"/>
        <v>3.1106687048953039</v>
      </c>
      <c r="S207" s="181">
        <v>100</v>
      </c>
      <c r="T207" s="180">
        <f t="shared" si="44"/>
        <v>41.714285714285715</v>
      </c>
      <c r="U207" s="180">
        <f t="shared" si="71"/>
        <v>1.2975932311848981</v>
      </c>
      <c r="V207" s="182">
        <f t="shared" si="55"/>
        <v>58.285714285714285</v>
      </c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>
        <v>2190000</v>
      </c>
      <c r="AJ207" s="181">
        <f t="shared" si="45"/>
        <v>41.714285714285715</v>
      </c>
      <c r="AK207" s="180">
        <f t="shared" si="67"/>
        <v>3060000</v>
      </c>
      <c r="AL207" s="181">
        <f t="shared" si="46"/>
        <v>58.285714285714285</v>
      </c>
      <c r="AM207" s="243"/>
    </row>
    <row r="208" spans="1:39" ht="28.5" customHeight="1" x14ac:dyDescent="0.25">
      <c r="A208" s="243"/>
      <c r="B208" s="437"/>
      <c r="C208" s="437"/>
      <c r="D208" s="437"/>
      <c r="E208" s="437"/>
      <c r="F208" s="437"/>
      <c r="G208" s="437"/>
      <c r="H208" s="437"/>
      <c r="I208" s="438"/>
      <c r="J208" s="437" t="s">
        <v>282</v>
      </c>
      <c r="K208" s="245"/>
      <c r="L208" s="257"/>
      <c r="M208" s="597" t="s">
        <v>283</v>
      </c>
      <c r="N208" s="598"/>
      <c r="O208" s="299"/>
      <c r="P208" s="180"/>
      <c r="Q208" s="180">
        <v>15600000</v>
      </c>
      <c r="R208" s="181">
        <f t="shared" si="70"/>
        <v>9.2431298659746162</v>
      </c>
      <c r="S208" s="181">
        <v>100</v>
      </c>
      <c r="T208" s="180">
        <f t="shared" ref="T208:T280" si="72">AJ208</f>
        <v>24.137820512820511</v>
      </c>
      <c r="U208" s="180">
        <f t="shared" si="71"/>
        <v>2.2310900968158602</v>
      </c>
      <c r="V208" s="182">
        <f t="shared" si="55"/>
        <v>75.862179487179489</v>
      </c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80"/>
      <c r="AH208" s="180"/>
      <c r="AI208" s="180">
        <v>3765500</v>
      </c>
      <c r="AJ208" s="181">
        <f t="shared" ref="AJ208:AJ280" si="73">AI208/Q208*100</f>
        <v>24.137820512820511</v>
      </c>
      <c r="AK208" s="180">
        <f t="shared" si="67"/>
        <v>11834500</v>
      </c>
      <c r="AL208" s="181">
        <f t="shared" ref="AL208:AL280" si="74">AK208/Q208*100</f>
        <v>75.862179487179475</v>
      </c>
      <c r="AM208" s="243"/>
    </row>
    <row r="209" spans="1:39" s="297" customFormat="1" ht="28.5" customHeight="1" x14ac:dyDescent="0.25">
      <c r="A209" s="227">
        <f>A201+1</f>
        <v>31</v>
      </c>
      <c r="B209" s="615" t="s">
        <v>141</v>
      </c>
      <c r="C209" s="615"/>
      <c r="D209" s="615"/>
      <c r="E209" s="615"/>
      <c r="F209" s="615"/>
      <c r="G209" s="615"/>
      <c r="H209" s="615"/>
      <c r="I209" s="614"/>
      <c r="J209" s="304" t="s">
        <v>475</v>
      </c>
      <c r="K209" s="230"/>
      <c r="L209" s="294"/>
      <c r="M209" s="615" t="s">
        <v>142</v>
      </c>
      <c r="N209" s="614"/>
      <c r="O209" s="295">
        <v>299485000</v>
      </c>
      <c r="P209" s="231">
        <f>O209</f>
        <v>299485000</v>
      </c>
      <c r="Q209" s="231">
        <f>SUM(Q210:Q215)</f>
        <v>142716000</v>
      </c>
      <c r="R209" s="233">
        <f>Q209/Q$180*100</f>
        <v>10.508516699725181</v>
      </c>
      <c r="S209" s="233">
        <v>100</v>
      </c>
      <c r="T209" s="231">
        <f t="shared" si="72"/>
        <v>0</v>
      </c>
      <c r="U209" s="231">
        <f>R209*T209/100</f>
        <v>0</v>
      </c>
      <c r="V209" s="296">
        <f t="shared" si="55"/>
        <v>100</v>
      </c>
      <c r="W209" s="231"/>
      <c r="X209" s="231" t="e">
        <f>#REF!</f>
        <v>#REF!</v>
      </c>
      <c r="Y209" s="231" t="e">
        <f>#REF!</f>
        <v>#REF!</v>
      </c>
      <c r="Z209" s="231" t="e">
        <f>#REF!</f>
        <v>#REF!</v>
      </c>
      <c r="AA209" s="231" t="e">
        <f>#REF!</f>
        <v>#REF!</v>
      </c>
      <c r="AB209" s="231">
        <v>4600000</v>
      </c>
      <c r="AC209" s="231" t="e">
        <f>#REF!</f>
        <v>#REF!</v>
      </c>
      <c r="AD209" s="231" t="e">
        <f>#REF!</f>
        <v>#REF!</v>
      </c>
      <c r="AE209" s="231" t="e">
        <f>#REF!</f>
        <v>#REF!</v>
      </c>
      <c r="AF209" s="231" t="e">
        <f>[1]April!N50</f>
        <v>#REF!</v>
      </c>
      <c r="AG209" s="231" t="e">
        <f>[2]april!N50</f>
        <v>#REF!</v>
      </c>
      <c r="AH209" s="231">
        <f>'[3]DES SKPD'!$N50</f>
        <v>221288650</v>
      </c>
      <c r="AI209" s="231">
        <f>SUM(AI210:AI215)</f>
        <v>0</v>
      </c>
      <c r="AJ209" s="233">
        <f t="shared" si="73"/>
        <v>0</v>
      </c>
      <c r="AK209" s="231">
        <f t="shared" si="67"/>
        <v>142716000</v>
      </c>
      <c r="AL209" s="233">
        <f t="shared" si="74"/>
        <v>100</v>
      </c>
      <c r="AM209" s="227"/>
    </row>
    <row r="210" spans="1:39" ht="28.5" customHeight="1" x14ac:dyDescent="0.25">
      <c r="A210" s="243"/>
      <c r="B210" s="437"/>
      <c r="C210" s="437"/>
      <c r="D210" s="437"/>
      <c r="E210" s="437"/>
      <c r="F210" s="437"/>
      <c r="G210" s="437"/>
      <c r="H210" s="437"/>
      <c r="I210" s="438"/>
      <c r="J210" s="437" t="s">
        <v>323</v>
      </c>
      <c r="K210" s="245"/>
      <c r="L210" s="257"/>
      <c r="M210" s="597" t="s">
        <v>324</v>
      </c>
      <c r="N210" s="598"/>
      <c r="O210" s="299"/>
      <c r="P210" s="180"/>
      <c r="Q210" s="180">
        <v>27408000</v>
      </c>
      <c r="R210" s="181">
        <f t="shared" ref="R210:R215" si="75">Q210/Q$209*100</f>
        <v>19.2045741192298</v>
      </c>
      <c r="S210" s="181">
        <v>100</v>
      </c>
      <c r="T210" s="180">
        <f t="shared" si="72"/>
        <v>0</v>
      </c>
      <c r="U210" s="180">
        <f t="shared" ref="U210:U229" si="76">R210*T210/100</f>
        <v>0</v>
      </c>
      <c r="V210" s="182">
        <f t="shared" si="55"/>
        <v>100</v>
      </c>
      <c r="W210" s="180"/>
      <c r="X210" s="180" t="e">
        <f>#REF!</f>
        <v>#REF!</v>
      </c>
      <c r="Y210" s="180" t="e">
        <f>#REF!</f>
        <v>#REF!</v>
      </c>
      <c r="Z210" s="180" t="e">
        <f>#REF!</f>
        <v>#REF!</v>
      </c>
      <c r="AA210" s="180" t="e">
        <f>#REF!</f>
        <v>#REF!</v>
      </c>
      <c r="AB210" s="180">
        <v>4600002</v>
      </c>
      <c r="AC210" s="180" t="e">
        <f>#REF!</f>
        <v>#REF!</v>
      </c>
      <c r="AD210" s="180" t="e">
        <f>#REF!</f>
        <v>#REF!</v>
      </c>
      <c r="AE210" s="180" t="e">
        <f>#REF!</f>
        <v>#REF!</v>
      </c>
      <c r="AF210" s="180" t="e">
        <f>[1]April!N52</f>
        <v>#REF!</v>
      </c>
      <c r="AG210" s="180" t="e">
        <f>[2]april!N52</f>
        <v>#REF!</v>
      </c>
      <c r="AH210" s="180">
        <f>'[3]DES SKPD'!$N52</f>
        <v>73668000</v>
      </c>
      <c r="AI210" s="180">
        <v>0</v>
      </c>
      <c r="AJ210" s="181">
        <f t="shared" si="73"/>
        <v>0</v>
      </c>
      <c r="AK210" s="180">
        <f t="shared" si="67"/>
        <v>27408000</v>
      </c>
      <c r="AL210" s="181">
        <f t="shared" si="74"/>
        <v>100</v>
      </c>
      <c r="AM210" s="243"/>
    </row>
    <row r="211" spans="1:39" ht="28.5" customHeight="1" x14ac:dyDescent="0.25">
      <c r="A211" s="243"/>
      <c r="B211" s="437"/>
      <c r="C211" s="437"/>
      <c r="D211" s="437"/>
      <c r="E211" s="437"/>
      <c r="F211" s="437"/>
      <c r="G211" s="437"/>
      <c r="H211" s="437"/>
      <c r="I211" s="438"/>
      <c r="J211" s="437" t="s">
        <v>269</v>
      </c>
      <c r="K211" s="245"/>
      <c r="L211" s="257"/>
      <c r="M211" s="597" t="s">
        <v>270</v>
      </c>
      <c r="N211" s="598"/>
      <c r="O211" s="299"/>
      <c r="P211" s="180"/>
      <c r="Q211" s="180">
        <v>17800000</v>
      </c>
      <c r="R211" s="181">
        <f t="shared" si="75"/>
        <v>12.472322654782927</v>
      </c>
      <c r="S211" s="181">
        <v>100</v>
      </c>
      <c r="T211" s="180">
        <f t="shared" si="72"/>
        <v>0</v>
      </c>
      <c r="U211" s="180">
        <f t="shared" si="76"/>
        <v>0</v>
      </c>
      <c r="V211" s="182">
        <f t="shared" si="55"/>
        <v>100</v>
      </c>
      <c r="W211" s="180"/>
      <c r="X211" s="180" t="e">
        <f>#REF!</f>
        <v>#REF!</v>
      </c>
      <c r="Y211" s="180" t="e">
        <f>#REF!</f>
        <v>#REF!</v>
      </c>
      <c r="Z211" s="180" t="e">
        <f>#REF!</f>
        <v>#REF!</v>
      </c>
      <c r="AA211" s="180" t="e">
        <f>#REF!</f>
        <v>#REF!</v>
      </c>
      <c r="AB211" s="180">
        <v>4600003</v>
      </c>
      <c r="AC211" s="180" t="e">
        <f>#REF!</f>
        <v>#REF!</v>
      </c>
      <c r="AD211" s="180" t="e">
        <f>#REF!</f>
        <v>#REF!</v>
      </c>
      <c r="AE211" s="180" t="e">
        <f>#REF!</f>
        <v>#REF!</v>
      </c>
      <c r="AF211" s="180" t="e">
        <f>[1]April!N53</f>
        <v>#REF!</v>
      </c>
      <c r="AG211" s="180" t="e">
        <f>[2]april!N53</f>
        <v>#REF!</v>
      </c>
      <c r="AH211" s="180" t="e">
        <f>'[3]DES SKPD'!$N53</f>
        <v>#REF!</v>
      </c>
      <c r="AI211" s="180">
        <v>0</v>
      </c>
      <c r="AJ211" s="181">
        <f t="shared" si="73"/>
        <v>0</v>
      </c>
      <c r="AK211" s="180">
        <f t="shared" si="67"/>
        <v>17800000</v>
      </c>
      <c r="AL211" s="181">
        <f t="shared" si="74"/>
        <v>100</v>
      </c>
      <c r="AM211" s="243"/>
    </row>
    <row r="212" spans="1:39" ht="28.5" customHeight="1" x14ac:dyDescent="0.25">
      <c r="A212" s="243"/>
      <c r="B212" s="437"/>
      <c r="C212" s="437"/>
      <c r="D212" s="437"/>
      <c r="E212" s="437"/>
      <c r="F212" s="437"/>
      <c r="G212" s="437"/>
      <c r="H212" s="437"/>
      <c r="I212" s="438"/>
      <c r="J212" s="437" t="s">
        <v>315</v>
      </c>
      <c r="K212" s="245"/>
      <c r="L212" s="257"/>
      <c r="M212" s="597" t="s">
        <v>271</v>
      </c>
      <c r="N212" s="598"/>
      <c r="O212" s="299"/>
      <c r="P212" s="180"/>
      <c r="Q212" s="180">
        <v>3648000</v>
      </c>
      <c r="R212" s="181">
        <f t="shared" si="75"/>
        <v>2.5561254519465235</v>
      </c>
      <c r="S212" s="181">
        <v>100</v>
      </c>
      <c r="T212" s="180">
        <f t="shared" si="72"/>
        <v>0</v>
      </c>
      <c r="U212" s="180">
        <f t="shared" si="76"/>
        <v>0</v>
      </c>
      <c r="V212" s="182">
        <f t="shared" si="55"/>
        <v>100</v>
      </c>
      <c r="W212" s="180"/>
      <c r="X212" s="180" t="e">
        <f>#REF!</f>
        <v>#REF!</v>
      </c>
      <c r="Y212" s="180" t="e">
        <f>#REF!</f>
        <v>#REF!</v>
      </c>
      <c r="Z212" s="180" t="e">
        <f>#REF!</f>
        <v>#REF!</v>
      </c>
      <c r="AA212" s="180" t="e">
        <f>#REF!</f>
        <v>#REF!</v>
      </c>
      <c r="AB212" s="180">
        <v>4600004</v>
      </c>
      <c r="AC212" s="180" t="e">
        <f>#REF!</f>
        <v>#REF!</v>
      </c>
      <c r="AD212" s="180" t="e">
        <f>#REF!</f>
        <v>#REF!</v>
      </c>
      <c r="AE212" s="180" t="e">
        <f>#REF!</f>
        <v>#REF!</v>
      </c>
      <c r="AF212" s="180" t="e">
        <f>[1]April!N54</f>
        <v>#REF!</v>
      </c>
      <c r="AG212" s="180" t="e">
        <f>[2]april!N54</f>
        <v>#REF!</v>
      </c>
      <c r="AH212" s="180">
        <f>'[3]DES SKPD'!$N54</f>
        <v>508172500</v>
      </c>
      <c r="AI212" s="180">
        <v>0</v>
      </c>
      <c r="AJ212" s="181">
        <f t="shared" si="73"/>
        <v>0</v>
      </c>
      <c r="AK212" s="180">
        <f t="shared" si="67"/>
        <v>3648000</v>
      </c>
      <c r="AL212" s="181">
        <f t="shared" si="74"/>
        <v>100</v>
      </c>
      <c r="AM212" s="243"/>
    </row>
    <row r="213" spans="1:39" ht="28.5" customHeight="1" x14ac:dyDescent="0.25">
      <c r="A213" s="243"/>
      <c r="B213" s="437"/>
      <c r="C213" s="437"/>
      <c r="D213" s="437"/>
      <c r="E213" s="437"/>
      <c r="F213" s="437"/>
      <c r="G213" s="437"/>
      <c r="H213" s="437"/>
      <c r="I213" s="438"/>
      <c r="J213" s="437" t="s">
        <v>328</v>
      </c>
      <c r="K213" s="245"/>
      <c r="L213" s="257"/>
      <c r="M213" s="597" t="s">
        <v>329</v>
      </c>
      <c r="N213" s="598"/>
      <c r="O213" s="299"/>
      <c r="P213" s="180"/>
      <c r="Q213" s="180">
        <v>36000000</v>
      </c>
      <c r="R213" s="181">
        <f t="shared" si="75"/>
        <v>25.224922223156476</v>
      </c>
      <c r="S213" s="181">
        <v>100</v>
      </c>
      <c r="T213" s="180">
        <f t="shared" si="72"/>
        <v>0</v>
      </c>
      <c r="U213" s="180">
        <f t="shared" si="76"/>
        <v>0</v>
      </c>
      <c r="V213" s="182">
        <f t="shared" si="55"/>
        <v>100</v>
      </c>
      <c r="W213" s="180"/>
      <c r="X213" s="180" t="e">
        <f>#REF!</f>
        <v>#REF!</v>
      </c>
      <c r="Y213" s="180" t="e">
        <f>#REF!</f>
        <v>#REF!</v>
      </c>
      <c r="Z213" s="180" t="e">
        <f>#REF!</f>
        <v>#REF!</v>
      </c>
      <c r="AA213" s="180" t="e">
        <f>#REF!</f>
        <v>#REF!</v>
      </c>
      <c r="AB213" s="180">
        <v>4600004</v>
      </c>
      <c r="AC213" s="180" t="e">
        <f>#REF!</f>
        <v>#REF!</v>
      </c>
      <c r="AD213" s="180" t="e">
        <f>#REF!</f>
        <v>#REF!</v>
      </c>
      <c r="AE213" s="180" t="e">
        <f>#REF!</f>
        <v>#REF!</v>
      </c>
      <c r="AF213" s="180" t="e">
        <f>[1]April!N55</f>
        <v>#REF!</v>
      </c>
      <c r="AG213" s="180" t="e">
        <f>[2]april!N55</f>
        <v>#REF!</v>
      </c>
      <c r="AH213" s="180" t="e">
        <f>'[3]DES SKPD'!$N55</f>
        <v>#REF!</v>
      </c>
      <c r="AI213" s="180">
        <v>0</v>
      </c>
      <c r="AJ213" s="181">
        <f t="shared" si="73"/>
        <v>0</v>
      </c>
      <c r="AK213" s="180">
        <f t="shared" si="67"/>
        <v>36000000</v>
      </c>
      <c r="AL213" s="181">
        <f t="shared" si="74"/>
        <v>100</v>
      </c>
      <c r="AM213" s="243"/>
    </row>
    <row r="214" spans="1:39" ht="28.5" customHeight="1" x14ac:dyDescent="0.25">
      <c r="A214" s="243"/>
      <c r="B214" s="437"/>
      <c r="C214" s="437"/>
      <c r="D214" s="437"/>
      <c r="E214" s="437"/>
      <c r="F214" s="437"/>
      <c r="G214" s="437"/>
      <c r="H214" s="437"/>
      <c r="I214" s="438"/>
      <c r="J214" s="437" t="s">
        <v>280</v>
      </c>
      <c r="K214" s="245"/>
      <c r="L214" s="257"/>
      <c r="M214" s="597" t="s">
        <v>281</v>
      </c>
      <c r="N214" s="598"/>
      <c r="O214" s="299"/>
      <c r="P214" s="180"/>
      <c r="Q214" s="180">
        <v>15750000</v>
      </c>
      <c r="R214" s="181">
        <f t="shared" si="75"/>
        <v>11.035903472630959</v>
      </c>
      <c r="S214" s="181">
        <v>100</v>
      </c>
      <c r="T214" s="180">
        <f t="shared" si="72"/>
        <v>0</v>
      </c>
      <c r="U214" s="180">
        <f t="shared" si="76"/>
        <v>0</v>
      </c>
      <c r="V214" s="182">
        <f t="shared" si="55"/>
        <v>100</v>
      </c>
      <c r="W214" s="180"/>
      <c r="X214" s="180" t="e">
        <f>#REF!</f>
        <v>#REF!</v>
      </c>
      <c r="Y214" s="180" t="e">
        <f>#REF!</f>
        <v>#REF!</v>
      </c>
      <c r="Z214" s="180" t="e">
        <f>#REF!</f>
        <v>#REF!</v>
      </c>
      <c r="AA214" s="180" t="e">
        <f>#REF!</f>
        <v>#REF!</v>
      </c>
      <c r="AB214" s="180">
        <v>4600005</v>
      </c>
      <c r="AC214" s="180" t="e">
        <f>#REF!</f>
        <v>#REF!</v>
      </c>
      <c r="AD214" s="180" t="e">
        <f>#REF!</f>
        <v>#REF!</v>
      </c>
      <c r="AE214" s="180" t="e">
        <f>#REF!</f>
        <v>#REF!</v>
      </c>
      <c r="AF214" s="180" t="e">
        <f>[1]April!N55</f>
        <v>#REF!</v>
      </c>
      <c r="AG214" s="180" t="e">
        <f>[2]april!N55</f>
        <v>#REF!</v>
      </c>
      <c r="AH214" s="180" t="e">
        <f>'[3]DES SKPD'!$N55</f>
        <v>#REF!</v>
      </c>
      <c r="AI214" s="180">
        <v>0</v>
      </c>
      <c r="AJ214" s="181">
        <f t="shared" si="73"/>
        <v>0</v>
      </c>
      <c r="AK214" s="180">
        <f t="shared" si="67"/>
        <v>15750000</v>
      </c>
      <c r="AL214" s="181">
        <f t="shared" si="74"/>
        <v>100</v>
      </c>
      <c r="AM214" s="243"/>
    </row>
    <row r="215" spans="1:39" ht="28.5" customHeight="1" x14ac:dyDescent="0.25">
      <c r="A215" s="243"/>
      <c r="B215" s="437"/>
      <c r="C215" s="437"/>
      <c r="D215" s="437"/>
      <c r="E215" s="437"/>
      <c r="F215" s="437"/>
      <c r="G215" s="437"/>
      <c r="H215" s="437"/>
      <c r="I215" s="438"/>
      <c r="J215" s="437" t="s">
        <v>282</v>
      </c>
      <c r="K215" s="245"/>
      <c r="L215" s="257"/>
      <c r="M215" s="597" t="s">
        <v>283</v>
      </c>
      <c r="N215" s="598"/>
      <c r="O215" s="299"/>
      <c r="P215" s="180"/>
      <c r="Q215" s="180">
        <v>42110000</v>
      </c>
      <c r="R215" s="181">
        <f t="shared" si="75"/>
        <v>29.506152078253312</v>
      </c>
      <c r="S215" s="181">
        <v>100</v>
      </c>
      <c r="T215" s="180">
        <f t="shared" si="72"/>
        <v>0</v>
      </c>
      <c r="U215" s="180">
        <f t="shared" si="76"/>
        <v>0</v>
      </c>
      <c r="V215" s="182">
        <f t="shared" si="55"/>
        <v>100</v>
      </c>
      <c r="W215" s="180"/>
      <c r="X215" s="180" t="e">
        <f>#REF!</f>
        <v>#REF!</v>
      </c>
      <c r="Y215" s="180" t="e">
        <f>#REF!</f>
        <v>#REF!</v>
      </c>
      <c r="Z215" s="180" t="e">
        <f>#REF!</f>
        <v>#REF!</v>
      </c>
      <c r="AA215" s="180" t="e">
        <f>#REF!</f>
        <v>#REF!</v>
      </c>
      <c r="AB215" s="180">
        <v>4600006</v>
      </c>
      <c r="AC215" s="180" t="e">
        <f>#REF!</f>
        <v>#REF!</v>
      </c>
      <c r="AD215" s="180" t="e">
        <f>#REF!</f>
        <v>#REF!</v>
      </c>
      <c r="AE215" s="180" t="e">
        <f>#REF!</f>
        <v>#REF!</v>
      </c>
      <c r="AF215" s="180" t="e">
        <f>[1]April!N56</f>
        <v>#REF!</v>
      </c>
      <c r="AG215" s="180" t="e">
        <f>[2]april!N56</f>
        <v>#REF!</v>
      </c>
      <c r="AH215" s="180">
        <f>'[3]DES SKPD'!$N56</f>
        <v>260098500</v>
      </c>
      <c r="AI215" s="180">
        <v>0</v>
      </c>
      <c r="AJ215" s="181">
        <f t="shared" si="73"/>
        <v>0</v>
      </c>
      <c r="AK215" s="180">
        <f t="shared" si="67"/>
        <v>42110000</v>
      </c>
      <c r="AL215" s="181">
        <f t="shared" si="74"/>
        <v>100</v>
      </c>
      <c r="AM215" s="243"/>
    </row>
    <row r="216" spans="1:39" s="297" customFormat="1" ht="32.25" customHeight="1" x14ac:dyDescent="0.25">
      <c r="A216" s="227">
        <f>A209+1</f>
        <v>32</v>
      </c>
      <c r="B216" s="615" t="s">
        <v>141</v>
      </c>
      <c r="C216" s="615"/>
      <c r="D216" s="615"/>
      <c r="E216" s="615"/>
      <c r="F216" s="615"/>
      <c r="G216" s="615"/>
      <c r="H216" s="615"/>
      <c r="I216" s="614"/>
      <c r="J216" s="304" t="s">
        <v>476</v>
      </c>
      <c r="K216" s="230"/>
      <c r="L216" s="294"/>
      <c r="M216" s="615" t="s">
        <v>143</v>
      </c>
      <c r="N216" s="614"/>
      <c r="O216" s="295">
        <v>359210000</v>
      </c>
      <c r="P216" s="231">
        <f>O216</f>
        <v>359210000</v>
      </c>
      <c r="Q216" s="231">
        <f>SUM(Q217:Q221)</f>
        <v>138060000</v>
      </c>
      <c r="R216" s="233">
        <f>Q216/Q$180*100</f>
        <v>10.16568440514069</v>
      </c>
      <c r="S216" s="233">
        <v>100</v>
      </c>
      <c r="T216" s="231">
        <f t="shared" si="72"/>
        <v>38.570186875271624</v>
      </c>
      <c r="U216" s="231">
        <f t="shared" si="76"/>
        <v>3.9209234722131083</v>
      </c>
      <c r="V216" s="296">
        <f t="shared" si="55"/>
        <v>61.429813124728376</v>
      </c>
      <c r="W216" s="231"/>
      <c r="X216" s="231" t="e">
        <f>#REF!</f>
        <v>#REF!</v>
      </c>
      <c r="Y216" s="231" t="e">
        <f>#REF!</f>
        <v>#REF!</v>
      </c>
      <c r="Z216" s="231" t="e">
        <f>#REF!</f>
        <v>#REF!</v>
      </c>
      <c r="AA216" s="231" t="e">
        <f>#REF!</f>
        <v>#REF!</v>
      </c>
      <c r="AB216" s="231">
        <v>173940000</v>
      </c>
      <c r="AC216" s="231" t="e">
        <f>#REF!</f>
        <v>#REF!</v>
      </c>
      <c r="AD216" s="231" t="e">
        <f>#REF!</f>
        <v>#REF!</v>
      </c>
      <c r="AE216" s="231" t="e">
        <f>#REF!</f>
        <v>#REF!</v>
      </c>
      <c r="AF216" s="231" t="e">
        <f>[1]April!N51</f>
        <v>#REF!</v>
      </c>
      <c r="AG216" s="231" t="e">
        <f>[2]april!N51</f>
        <v>#REF!</v>
      </c>
      <c r="AH216" s="231">
        <f>'[3]DES SKPD'!$N51</f>
        <v>317812000</v>
      </c>
      <c r="AI216" s="231">
        <f>SUM(AI217:AI221)</f>
        <v>53250000</v>
      </c>
      <c r="AJ216" s="233">
        <f t="shared" si="73"/>
        <v>38.570186875271624</v>
      </c>
      <c r="AK216" s="231">
        <f t="shared" si="67"/>
        <v>84810000</v>
      </c>
      <c r="AL216" s="233">
        <f t="shared" si="74"/>
        <v>61.429813124728383</v>
      </c>
      <c r="AM216" s="227"/>
    </row>
    <row r="217" spans="1:39" ht="28.5" customHeight="1" x14ac:dyDescent="0.25">
      <c r="A217" s="243"/>
      <c r="B217" s="437"/>
      <c r="C217" s="437"/>
      <c r="D217" s="437"/>
      <c r="E217" s="437"/>
      <c r="F217" s="437"/>
      <c r="G217" s="437"/>
      <c r="H217" s="437"/>
      <c r="I217" s="438"/>
      <c r="J217" s="437" t="s">
        <v>332</v>
      </c>
      <c r="K217" s="245"/>
      <c r="L217" s="257"/>
      <c r="M217" s="597" t="s">
        <v>335</v>
      </c>
      <c r="N217" s="598"/>
      <c r="O217" s="299"/>
      <c r="P217" s="180"/>
      <c r="Q217" s="180">
        <v>1000000</v>
      </c>
      <c r="R217" s="181">
        <f>Q217/Q$216*100</f>
        <v>0.72432275822106329</v>
      </c>
      <c r="S217" s="181">
        <v>100</v>
      </c>
      <c r="T217" s="180">
        <f t="shared" si="72"/>
        <v>25</v>
      </c>
      <c r="U217" s="180">
        <f t="shared" si="76"/>
        <v>0.18108068955526582</v>
      </c>
      <c r="V217" s="182">
        <f t="shared" si="55"/>
        <v>75</v>
      </c>
      <c r="W217" s="180"/>
      <c r="X217" s="180" t="e">
        <f>#REF!</f>
        <v>#REF!</v>
      </c>
      <c r="Y217" s="180" t="e">
        <f>#REF!</f>
        <v>#REF!</v>
      </c>
      <c r="Z217" s="180" t="e">
        <f>#REF!</f>
        <v>#REF!</v>
      </c>
      <c r="AA217" s="180" t="e">
        <f>#REF!</f>
        <v>#REF!</v>
      </c>
      <c r="AB217" s="180">
        <v>173940002</v>
      </c>
      <c r="AC217" s="180" t="e">
        <f>#REF!</f>
        <v>#REF!</v>
      </c>
      <c r="AD217" s="180" t="e">
        <f>#REF!</f>
        <v>#REF!</v>
      </c>
      <c r="AE217" s="180" t="e">
        <f>#REF!</f>
        <v>#REF!</v>
      </c>
      <c r="AF217" s="180" t="e">
        <f>[1]April!N53</f>
        <v>#REF!</v>
      </c>
      <c r="AG217" s="180" t="e">
        <f>[2]april!N53</f>
        <v>#REF!</v>
      </c>
      <c r="AH217" s="180" t="e">
        <f>'[3]DES SKPD'!$N53</f>
        <v>#REF!</v>
      </c>
      <c r="AI217" s="180">
        <v>250000</v>
      </c>
      <c r="AJ217" s="181">
        <f t="shared" si="73"/>
        <v>25</v>
      </c>
      <c r="AK217" s="180">
        <f t="shared" si="67"/>
        <v>750000</v>
      </c>
      <c r="AL217" s="181">
        <f t="shared" si="74"/>
        <v>75</v>
      </c>
      <c r="AM217" s="243"/>
    </row>
    <row r="218" spans="1:39" ht="28.5" customHeight="1" x14ac:dyDescent="0.25">
      <c r="A218" s="243"/>
      <c r="B218" s="437"/>
      <c r="C218" s="437"/>
      <c r="D218" s="437"/>
      <c r="E218" s="437"/>
      <c r="F218" s="437"/>
      <c r="G218" s="437"/>
      <c r="H218" s="437"/>
      <c r="I218" s="438"/>
      <c r="J218" s="437" t="s">
        <v>333</v>
      </c>
      <c r="K218" s="245"/>
      <c r="L218" s="257"/>
      <c r="M218" s="597" t="s">
        <v>334</v>
      </c>
      <c r="N218" s="598"/>
      <c r="O218" s="299"/>
      <c r="P218" s="180"/>
      <c r="Q218" s="180">
        <v>20000000</v>
      </c>
      <c r="R218" s="181">
        <f>Q218/Q$216*100</f>
        <v>14.486455164421267</v>
      </c>
      <c r="S218" s="181">
        <v>100</v>
      </c>
      <c r="T218" s="180">
        <f t="shared" si="72"/>
        <v>25</v>
      </c>
      <c r="U218" s="180">
        <f t="shared" si="76"/>
        <v>3.6216137911053168</v>
      </c>
      <c r="V218" s="182">
        <f t="shared" si="55"/>
        <v>75</v>
      </c>
      <c r="W218" s="180"/>
      <c r="X218" s="180" t="e">
        <f>#REF!</f>
        <v>#REF!</v>
      </c>
      <c r="Y218" s="180" t="e">
        <f>#REF!</f>
        <v>#REF!</v>
      </c>
      <c r="Z218" s="180" t="e">
        <f>#REF!</f>
        <v>#REF!</v>
      </c>
      <c r="AA218" s="180" t="e">
        <f>#REF!</f>
        <v>#REF!</v>
      </c>
      <c r="AB218" s="180">
        <v>173940003</v>
      </c>
      <c r="AC218" s="180" t="e">
        <f>#REF!</f>
        <v>#REF!</v>
      </c>
      <c r="AD218" s="180" t="e">
        <f>#REF!</f>
        <v>#REF!</v>
      </c>
      <c r="AE218" s="180" t="e">
        <f>#REF!</f>
        <v>#REF!</v>
      </c>
      <c r="AF218" s="180" t="e">
        <f>[1]April!N54</f>
        <v>#REF!</v>
      </c>
      <c r="AG218" s="180" t="e">
        <f>[2]april!N54</f>
        <v>#REF!</v>
      </c>
      <c r="AH218" s="180">
        <f>'[3]DES SKPD'!$N54</f>
        <v>508172500</v>
      </c>
      <c r="AI218" s="180">
        <v>5000000</v>
      </c>
      <c r="AJ218" s="181">
        <f t="shared" si="73"/>
        <v>25</v>
      </c>
      <c r="AK218" s="180">
        <f t="shared" si="67"/>
        <v>15000000</v>
      </c>
      <c r="AL218" s="181">
        <f t="shared" si="74"/>
        <v>75</v>
      </c>
      <c r="AM218" s="243"/>
    </row>
    <row r="219" spans="1:39" ht="28.5" customHeight="1" x14ac:dyDescent="0.25">
      <c r="A219" s="243"/>
      <c r="B219" s="437"/>
      <c r="C219" s="437"/>
      <c r="D219" s="437"/>
      <c r="E219" s="437"/>
      <c r="F219" s="437"/>
      <c r="G219" s="437"/>
      <c r="H219" s="437"/>
      <c r="I219" s="438"/>
      <c r="J219" s="437" t="s">
        <v>336</v>
      </c>
      <c r="K219" s="245"/>
      <c r="L219" s="257"/>
      <c r="M219" s="597" t="s">
        <v>337</v>
      </c>
      <c r="N219" s="598"/>
      <c r="O219" s="299"/>
      <c r="P219" s="180"/>
      <c r="Q219" s="180">
        <v>92100000</v>
      </c>
      <c r="R219" s="181">
        <f>Q219/Q$216*100</f>
        <v>66.710126032159934</v>
      </c>
      <c r="S219" s="181">
        <v>100</v>
      </c>
      <c r="T219" s="180">
        <f t="shared" si="72"/>
        <v>47.23127035830619</v>
      </c>
      <c r="U219" s="180">
        <f t="shared" si="76"/>
        <v>31.508039982616257</v>
      </c>
      <c r="V219" s="182">
        <f t="shared" si="55"/>
        <v>52.76872964169381</v>
      </c>
      <c r="W219" s="180"/>
      <c r="X219" s="180" t="e">
        <f>#REF!</f>
        <v>#REF!</v>
      </c>
      <c r="Y219" s="180" t="e">
        <f>#REF!</f>
        <v>#REF!</v>
      </c>
      <c r="Z219" s="180" t="e">
        <f>#REF!</f>
        <v>#REF!</v>
      </c>
      <c r="AA219" s="180" t="e">
        <f>#REF!</f>
        <v>#REF!</v>
      </c>
      <c r="AB219" s="180">
        <v>173940004</v>
      </c>
      <c r="AC219" s="180" t="e">
        <f>#REF!</f>
        <v>#REF!</v>
      </c>
      <c r="AD219" s="180" t="e">
        <f>#REF!</f>
        <v>#REF!</v>
      </c>
      <c r="AE219" s="180" t="e">
        <f>#REF!</f>
        <v>#REF!</v>
      </c>
      <c r="AF219" s="180" t="e">
        <f>[1]April!N55</f>
        <v>#REF!</v>
      </c>
      <c r="AG219" s="180" t="e">
        <f>[2]april!N55</f>
        <v>#REF!</v>
      </c>
      <c r="AH219" s="180" t="e">
        <f>'[3]DES SKPD'!$N55</f>
        <v>#REF!</v>
      </c>
      <c r="AI219" s="180">
        <f>25500000+18000000</f>
        <v>43500000</v>
      </c>
      <c r="AJ219" s="181">
        <f t="shared" si="73"/>
        <v>47.23127035830619</v>
      </c>
      <c r="AK219" s="180">
        <f t="shared" si="67"/>
        <v>48600000</v>
      </c>
      <c r="AL219" s="181">
        <f t="shared" si="74"/>
        <v>52.76872964169381</v>
      </c>
      <c r="AM219" s="243"/>
    </row>
    <row r="220" spans="1:39" ht="28.5" customHeight="1" x14ac:dyDescent="0.25">
      <c r="A220" s="243"/>
      <c r="B220" s="437"/>
      <c r="C220" s="437"/>
      <c r="D220" s="437"/>
      <c r="E220" s="437"/>
      <c r="F220" s="437"/>
      <c r="G220" s="437"/>
      <c r="H220" s="437"/>
      <c r="I220" s="438"/>
      <c r="J220" s="437" t="s">
        <v>309</v>
      </c>
      <c r="K220" s="245"/>
      <c r="L220" s="257"/>
      <c r="M220" s="597" t="s">
        <v>310</v>
      </c>
      <c r="N220" s="598"/>
      <c r="O220" s="299"/>
      <c r="P220" s="180"/>
      <c r="Q220" s="180">
        <v>21600000</v>
      </c>
      <c r="R220" s="181">
        <f>Q220/Q$216*100</f>
        <v>15.645371577574968</v>
      </c>
      <c r="S220" s="181">
        <v>100</v>
      </c>
      <c r="T220" s="180">
        <f t="shared" si="72"/>
        <v>20.833333333333336</v>
      </c>
      <c r="U220" s="180">
        <f t="shared" si="76"/>
        <v>3.259452411994785</v>
      </c>
      <c r="V220" s="182">
        <f t="shared" ref="V220:V297" si="77">S220-T220</f>
        <v>79.166666666666657</v>
      </c>
      <c r="W220" s="180"/>
      <c r="X220" s="180" t="e">
        <f>#REF!</f>
        <v>#REF!</v>
      </c>
      <c r="Y220" s="180" t="e">
        <f>#REF!</f>
        <v>#REF!</v>
      </c>
      <c r="Z220" s="180" t="e">
        <f>#REF!</f>
        <v>#REF!</v>
      </c>
      <c r="AA220" s="180" t="e">
        <f>#REF!</f>
        <v>#REF!</v>
      </c>
      <c r="AB220" s="180">
        <v>173940006</v>
      </c>
      <c r="AC220" s="180" t="e">
        <f>#REF!</f>
        <v>#REF!</v>
      </c>
      <c r="AD220" s="180" t="e">
        <f>#REF!</f>
        <v>#REF!</v>
      </c>
      <c r="AE220" s="180" t="e">
        <f>#REF!</f>
        <v>#REF!</v>
      </c>
      <c r="AF220" s="180" t="e">
        <f>[1]April!N57</f>
        <v>#REF!</v>
      </c>
      <c r="AG220" s="180" t="e">
        <f>[2]april!N57</f>
        <v>#REF!</v>
      </c>
      <c r="AH220" s="180">
        <f>'[3]DES SKPD'!$N57</f>
        <v>371775000</v>
      </c>
      <c r="AI220" s="180">
        <f>900000+2700000+900000</f>
        <v>4500000</v>
      </c>
      <c r="AJ220" s="181">
        <f>AI220/Q220*100</f>
        <v>20.833333333333336</v>
      </c>
      <c r="AK220" s="180">
        <f>Q220-AI220</f>
        <v>17100000</v>
      </c>
      <c r="AL220" s="181">
        <f t="shared" si="74"/>
        <v>79.166666666666657</v>
      </c>
      <c r="AM220" s="243"/>
    </row>
    <row r="221" spans="1:39" s="428" customFormat="1" ht="28.5" customHeight="1" x14ac:dyDescent="0.25">
      <c r="A221" s="243"/>
      <c r="B221" s="437"/>
      <c r="C221" s="437"/>
      <c r="D221" s="437"/>
      <c r="E221" s="437"/>
      <c r="F221" s="437"/>
      <c r="G221" s="437"/>
      <c r="H221" s="437"/>
      <c r="I221" s="438"/>
      <c r="J221" s="437" t="s">
        <v>551</v>
      </c>
      <c r="K221" s="245"/>
      <c r="L221" s="257"/>
      <c r="M221" s="597" t="s">
        <v>550</v>
      </c>
      <c r="N221" s="598"/>
      <c r="O221" s="432"/>
      <c r="P221" s="180"/>
      <c r="Q221" s="180">
        <v>3360000</v>
      </c>
      <c r="R221" s="181">
        <f>Q221/Q$216*100</f>
        <v>2.4337244676227727</v>
      </c>
      <c r="S221" s="181">
        <v>100</v>
      </c>
      <c r="T221" s="180">
        <f t="shared" si="72"/>
        <v>0</v>
      </c>
      <c r="U221" s="180">
        <f t="shared" si="76"/>
        <v>0</v>
      </c>
      <c r="V221" s="182">
        <f t="shared" si="77"/>
        <v>100</v>
      </c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>
        <f>1800000+900000-2700000</f>
        <v>0</v>
      </c>
      <c r="AJ221" s="181">
        <f>AI221/Q221*100</f>
        <v>0</v>
      </c>
      <c r="AK221" s="180">
        <f>Q221-AI221</f>
        <v>3360000</v>
      </c>
      <c r="AL221" s="181">
        <f t="shared" si="74"/>
        <v>100</v>
      </c>
      <c r="AM221" s="243"/>
    </row>
    <row r="222" spans="1:39" ht="28.5" customHeight="1" x14ac:dyDescent="0.25">
      <c r="A222" s="227">
        <v>33</v>
      </c>
      <c r="B222" s="437"/>
      <c r="C222" s="437"/>
      <c r="D222" s="437"/>
      <c r="E222" s="437"/>
      <c r="F222" s="437"/>
      <c r="G222" s="437"/>
      <c r="H222" s="437"/>
      <c r="I222" s="438"/>
      <c r="J222" s="304" t="s">
        <v>477</v>
      </c>
      <c r="K222" s="230"/>
      <c r="L222" s="294"/>
      <c r="M222" s="615" t="s">
        <v>472</v>
      </c>
      <c r="N222" s="614"/>
      <c r="O222" s="295">
        <v>85915000</v>
      </c>
      <c r="P222" s="231">
        <f>O222</f>
        <v>85915000</v>
      </c>
      <c r="Q222" s="231">
        <f>SUM(Q223:Q229)</f>
        <v>102020000</v>
      </c>
      <c r="R222" s="233">
        <f>Q222/Q$180*100</f>
        <v>7.5119739462005866</v>
      </c>
      <c r="S222" s="233">
        <v>100</v>
      </c>
      <c r="T222" s="231">
        <f t="shared" si="72"/>
        <v>0</v>
      </c>
      <c r="U222" s="231">
        <f t="shared" si="76"/>
        <v>0</v>
      </c>
      <c r="V222" s="296">
        <f t="shared" si="77"/>
        <v>100</v>
      </c>
      <c r="W222" s="231"/>
      <c r="X222" s="231" t="e">
        <f>#REF!</f>
        <v>#REF!</v>
      </c>
      <c r="Y222" s="231" t="e">
        <f>#REF!</f>
        <v>#REF!</v>
      </c>
      <c r="Z222" s="231" t="e">
        <f>#REF!</f>
        <v>#REF!</v>
      </c>
      <c r="AA222" s="231" t="e">
        <f>#REF!</f>
        <v>#REF!</v>
      </c>
      <c r="AB222" s="231">
        <v>0</v>
      </c>
      <c r="AC222" s="231" t="e">
        <f>#REF!</f>
        <v>#REF!</v>
      </c>
      <c r="AD222" s="231" t="e">
        <f>#REF!</f>
        <v>#REF!</v>
      </c>
      <c r="AE222" s="231" t="e">
        <f>#REF!</f>
        <v>#REF!</v>
      </c>
      <c r="AF222" s="231" t="e">
        <f>[1]April!N45</f>
        <v>#REF!</v>
      </c>
      <c r="AG222" s="231" t="e">
        <f>[2]april!N45</f>
        <v>#REF!</v>
      </c>
      <c r="AH222" s="231">
        <f>'[3]DES SKPD'!$N45</f>
        <v>320566100</v>
      </c>
      <c r="AI222" s="231">
        <f>SUM(AI223:AI229)</f>
        <v>0</v>
      </c>
      <c r="AJ222" s="233">
        <f t="shared" si="73"/>
        <v>0</v>
      </c>
      <c r="AK222" s="231">
        <f t="shared" si="67"/>
        <v>102020000</v>
      </c>
      <c r="AL222" s="233">
        <f t="shared" si="74"/>
        <v>100</v>
      </c>
      <c r="AM222" s="243"/>
    </row>
    <row r="223" spans="1:39" ht="28.5" customHeight="1" x14ac:dyDescent="0.25">
      <c r="A223" s="243"/>
      <c r="B223" s="437"/>
      <c r="C223" s="437"/>
      <c r="D223" s="437"/>
      <c r="E223" s="437"/>
      <c r="F223" s="437"/>
      <c r="G223" s="437"/>
      <c r="H223" s="437"/>
      <c r="I223" s="438"/>
      <c r="J223" s="437" t="s">
        <v>257</v>
      </c>
      <c r="K223" s="245"/>
      <c r="L223" s="257"/>
      <c r="M223" s="597" t="s">
        <v>592</v>
      </c>
      <c r="N223" s="598"/>
      <c r="O223" s="299"/>
      <c r="P223" s="180"/>
      <c r="Q223" s="180">
        <v>1600000</v>
      </c>
      <c r="R223" s="181">
        <f t="shared" ref="R223:R229" si="78">Q223/Q$222*100</f>
        <v>1.5683199372672023</v>
      </c>
      <c r="S223" s="181">
        <v>100</v>
      </c>
      <c r="T223" s="180">
        <f t="shared" si="72"/>
        <v>0</v>
      </c>
      <c r="U223" s="180">
        <f t="shared" si="76"/>
        <v>0</v>
      </c>
      <c r="V223" s="182">
        <f t="shared" si="77"/>
        <v>100</v>
      </c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>
        <v>0</v>
      </c>
      <c r="AJ223" s="181">
        <f t="shared" si="73"/>
        <v>0</v>
      </c>
      <c r="AK223" s="180">
        <f t="shared" si="67"/>
        <v>1600000</v>
      </c>
      <c r="AL223" s="181">
        <f t="shared" si="74"/>
        <v>100</v>
      </c>
      <c r="AM223" s="243"/>
    </row>
    <row r="224" spans="1:39" ht="28.5" customHeight="1" x14ac:dyDescent="0.25">
      <c r="A224" s="243"/>
      <c r="B224" s="437"/>
      <c r="C224" s="437"/>
      <c r="D224" s="437"/>
      <c r="E224" s="437"/>
      <c r="F224" s="437"/>
      <c r="G224" s="437"/>
      <c r="H224" s="437"/>
      <c r="I224" s="438"/>
      <c r="J224" s="437" t="s">
        <v>593</v>
      </c>
      <c r="K224" s="245"/>
      <c r="L224" s="257"/>
      <c r="M224" s="597" t="s">
        <v>270</v>
      </c>
      <c r="N224" s="598"/>
      <c r="O224" s="299"/>
      <c r="P224" s="180"/>
      <c r="Q224" s="180">
        <v>2000000</v>
      </c>
      <c r="R224" s="181">
        <f t="shared" si="78"/>
        <v>1.9603999215840031</v>
      </c>
      <c r="S224" s="181">
        <v>100</v>
      </c>
      <c r="T224" s="180">
        <f t="shared" si="72"/>
        <v>0</v>
      </c>
      <c r="U224" s="180">
        <f t="shared" si="76"/>
        <v>0</v>
      </c>
      <c r="V224" s="182">
        <f t="shared" si="77"/>
        <v>100</v>
      </c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>
        <v>0</v>
      </c>
      <c r="AJ224" s="181">
        <f t="shared" si="73"/>
        <v>0</v>
      </c>
      <c r="AK224" s="180">
        <f t="shared" si="67"/>
        <v>2000000</v>
      </c>
      <c r="AL224" s="181">
        <f t="shared" si="74"/>
        <v>100</v>
      </c>
      <c r="AM224" s="243"/>
    </row>
    <row r="225" spans="1:39" ht="28.5" customHeight="1" x14ac:dyDescent="0.25">
      <c r="A225" s="243"/>
      <c r="B225" s="437"/>
      <c r="C225" s="437"/>
      <c r="D225" s="437"/>
      <c r="E225" s="437"/>
      <c r="F225" s="437"/>
      <c r="G225" s="437"/>
      <c r="H225" s="437"/>
      <c r="I225" s="438"/>
      <c r="J225" s="437" t="s">
        <v>593</v>
      </c>
      <c r="K225" s="245"/>
      <c r="L225" s="257"/>
      <c r="M225" s="597" t="s">
        <v>428</v>
      </c>
      <c r="N225" s="598"/>
      <c r="O225" s="299"/>
      <c r="P225" s="180"/>
      <c r="Q225" s="180">
        <v>1500000</v>
      </c>
      <c r="R225" s="181">
        <f t="shared" si="78"/>
        <v>1.4702999411880022</v>
      </c>
      <c r="S225" s="181">
        <v>100</v>
      </c>
      <c r="T225" s="180">
        <f t="shared" si="72"/>
        <v>0</v>
      </c>
      <c r="U225" s="180">
        <f t="shared" si="76"/>
        <v>0</v>
      </c>
      <c r="V225" s="182">
        <f t="shared" si="77"/>
        <v>100</v>
      </c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>
        <v>0</v>
      </c>
      <c r="AJ225" s="181">
        <f t="shared" si="73"/>
        <v>0</v>
      </c>
      <c r="AK225" s="180">
        <f t="shared" si="67"/>
        <v>1500000</v>
      </c>
      <c r="AL225" s="181">
        <f t="shared" si="74"/>
        <v>100</v>
      </c>
      <c r="AM225" s="243"/>
    </row>
    <row r="226" spans="1:39" ht="28.5" customHeight="1" x14ac:dyDescent="0.25">
      <c r="A226" s="243"/>
      <c r="B226" s="437"/>
      <c r="C226" s="437"/>
      <c r="D226" s="437"/>
      <c r="E226" s="437"/>
      <c r="F226" s="437"/>
      <c r="G226" s="437"/>
      <c r="H226" s="437"/>
      <c r="I226" s="438"/>
      <c r="J226" s="437" t="s">
        <v>318</v>
      </c>
      <c r="K226" s="245"/>
      <c r="L226" s="257"/>
      <c r="M226" s="597" t="s">
        <v>319</v>
      </c>
      <c r="N226" s="598"/>
      <c r="O226" s="299"/>
      <c r="P226" s="180"/>
      <c r="Q226" s="180">
        <v>22750000</v>
      </c>
      <c r="R226" s="181">
        <f t="shared" si="78"/>
        <v>22.299549108018034</v>
      </c>
      <c r="S226" s="181">
        <v>100</v>
      </c>
      <c r="T226" s="180">
        <f t="shared" si="72"/>
        <v>0</v>
      </c>
      <c r="U226" s="180">
        <f t="shared" si="76"/>
        <v>0</v>
      </c>
      <c r="V226" s="182">
        <f t="shared" si="77"/>
        <v>100</v>
      </c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>
        <v>0</v>
      </c>
      <c r="AJ226" s="181">
        <f t="shared" si="73"/>
        <v>0</v>
      </c>
      <c r="AK226" s="180">
        <f t="shared" si="67"/>
        <v>22750000</v>
      </c>
      <c r="AL226" s="181">
        <f t="shared" si="74"/>
        <v>100</v>
      </c>
      <c r="AM226" s="243"/>
    </row>
    <row r="227" spans="1:39" ht="28.5" customHeight="1" x14ac:dyDescent="0.25">
      <c r="A227" s="243"/>
      <c r="B227" s="437"/>
      <c r="C227" s="437"/>
      <c r="D227" s="437"/>
      <c r="E227" s="437"/>
      <c r="F227" s="437"/>
      <c r="G227" s="437"/>
      <c r="H227" s="437"/>
      <c r="I227" s="438"/>
      <c r="J227" s="437" t="s">
        <v>280</v>
      </c>
      <c r="K227" s="245"/>
      <c r="L227" s="257"/>
      <c r="M227" s="597" t="s">
        <v>425</v>
      </c>
      <c r="N227" s="598"/>
      <c r="O227" s="299"/>
      <c r="P227" s="180"/>
      <c r="Q227" s="180">
        <v>7000000</v>
      </c>
      <c r="R227" s="181">
        <f t="shared" si="78"/>
        <v>6.8613997255440111</v>
      </c>
      <c r="S227" s="181">
        <v>100</v>
      </c>
      <c r="T227" s="180">
        <f t="shared" si="72"/>
        <v>0</v>
      </c>
      <c r="U227" s="180">
        <f t="shared" si="76"/>
        <v>0</v>
      </c>
      <c r="V227" s="182">
        <f t="shared" si="77"/>
        <v>100</v>
      </c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>
        <v>0</v>
      </c>
      <c r="AJ227" s="181">
        <f t="shared" si="73"/>
        <v>0</v>
      </c>
      <c r="AK227" s="180">
        <f t="shared" si="67"/>
        <v>7000000</v>
      </c>
      <c r="AL227" s="181">
        <f t="shared" si="74"/>
        <v>100</v>
      </c>
      <c r="AM227" s="243"/>
    </row>
    <row r="228" spans="1:39" ht="28.5" customHeight="1" x14ac:dyDescent="0.25">
      <c r="A228" s="243"/>
      <c r="B228" s="437"/>
      <c r="C228" s="437"/>
      <c r="D228" s="437"/>
      <c r="E228" s="437"/>
      <c r="F228" s="437"/>
      <c r="G228" s="437"/>
      <c r="H228" s="437"/>
      <c r="I228" s="438"/>
      <c r="J228" s="437" t="s">
        <v>282</v>
      </c>
      <c r="K228" s="245"/>
      <c r="L228" s="257"/>
      <c r="M228" s="597" t="s">
        <v>590</v>
      </c>
      <c r="N228" s="598"/>
      <c r="O228" s="299"/>
      <c r="P228" s="180"/>
      <c r="Q228" s="180">
        <v>27170000</v>
      </c>
      <c r="R228" s="181">
        <f t="shared" si="78"/>
        <v>26.63203293471868</v>
      </c>
      <c r="S228" s="181">
        <v>100</v>
      </c>
      <c r="T228" s="180">
        <f t="shared" si="72"/>
        <v>0</v>
      </c>
      <c r="U228" s="180">
        <f t="shared" si="76"/>
        <v>0</v>
      </c>
      <c r="V228" s="182">
        <f>S228-T228</f>
        <v>100</v>
      </c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>
        <v>0</v>
      </c>
      <c r="AJ228" s="181">
        <f t="shared" si="73"/>
        <v>0</v>
      </c>
      <c r="AK228" s="180">
        <f t="shared" si="67"/>
        <v>27170000</v>
      </c>
      <c r="AL228" s="181">
        <f t="shared" si="74"/>
        <v>100</v>
      </c>
      <c r="AM228" s="243"/>
    </row>
    <row r="229" spans="1:39" ht="28.5" customHeight="1" x14ac:dyDescent="0.25">
      <c r="A229" s="243"/>
      <c r="B229" s="437"/>
      <c r="C229" s="437"/>
      <c r="D229" s="437"/>
      <c r="E229" s="437"/>
      <c r="F229" s="437"/>
      <c r="G229" s="437"/>
      <c r="H229" s="437"/>
      <c r="I229" s="438"/>
      <c r="J229" s="437" t="s">
        <v>594</v>
      </c>
      <c r="K229" s="245"/>
      <c r="L229" s="257"/>
      <c r="M229" s="597" t="s">
        <v>591</v>
      </c>
      <c r="N229" s="598"/>
      <c r="O229" s="299"/>
      <c r="P229" s="180"/>
      <c r="Q229" s="180">
        <v>40000000</v>
      </c>
      <c r="R229" s="181">
        <f t="shared" si="78"/>
        <v>39.20799843168006</v>
      </c>
      <c r="S229" s="181">
        <v>100</v>
      </c>
      <c r="T229" s="180">
        <f t="shared" si="72"/>
        <v>0</v>
      </c>
      <c r="U229" s="180">
        <f t="shared" si="76"/>
        <v>0</v>
      </c>
      <c r="V229" s="182">
        <f>S229-T229</f>
        <v>100</v>
      </c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>
        <v>0</v>
      </c>
      <c r="AJ229" s="181">
        <f t="shared" si="73"/>
        <v>0</v>
      </c>
      <c r="AK229" s="180">
        <f t="shared" si="67"/>
        <v>40000000</v>
      </c>
      <c r="AL229" s="181">
        <f t="shared" si="74"/>
        <v>100</v>
      </c>
      <c r="AM229" s="243"/>
    </row>
    <row r="230" spans="1:39" s="297" customFormat="1" ht="24.75" customHeight="1" x14ac:dyDescent="0.25">
      <c r="A230" s="227">
        <f>A222+1</f>
        <v>34</v>
      </c>
      <c r="B230" s="615" t="s">
        <v>144</v>
      </c>
      <c r="C230" s="615"/>
      <c r="D230" s="615"/>
      <c r="E230" s="615"/>
      <c r="F230" s="615"/>
      <c r="G230" s="615"/>
      <c r="H230" s="615"/>
      <c r="I230" s="614"/>
      <c r="J230" s="304" t="s">
        <v>478</v>
      </c>
      <c r="K230" s="230"/>
      <c r="L230" s="294"/>
      <c r="M230" s="615" t="s">
        <v>167</v>
      </c>
      <c r="N230" s="614"/>
      <c r="O230" s="295">
        <v>85915000</v>
      </c>
      <c r="P230" s="231">
        <f>O230</f>
        <v>85915000</v>
      </c>
      <c r="Q230" s="231">
        <f>SUM(Q231:Q240)</f>
        <v>131325000</v>
      </c>
      <c r="R230" s="233">
        <f>Q230/Q$180*100</f>
        <v>9.6697704223171161</v>
      </c>
      <c r="S230" s="233">
        <v>100</v>
      </c>
      <c r="T230" s="231">
        <f t="shared" si="72"/>
        <v>31.962687987816484</v>
      </c>
      <c r="U230" s="231">
        <f>R230*T230/100</f>
        <v>3.090718549223384</v>
      </c>
      <c r="V230" s="296">
        <f t="shared" si="77"/>
        <v>68.03731201218352</v>
      </c>
      <c r="W230" s="231"/>
      <c r="X230" s="231" t="e">
        <f>#REF!</f>
        <v>#REF!</v>
      </c>
      <c r="Y230" s="231" t="e">
        <f>#REF!</f>
        <v>#REF!</v>
      </c>
      <c r="Z230" s="231" t="e">
        <f>#REF!</f>
        <v>#REF!</v>
      </c>
      <c r="AA230" s="231" t="e">
        <f>#REF!</f>
        <v>#REF!</v>
      </c>
      <c r="AB230" s="231">
        <v>0</v>
      </c>
      <c r="AC230" s="231" t="e">
        <f>#REF!</f>
        <v>#REF!</v>
      </c>
      <c r="AD230" s="231" t="e">
        <f>#REF!</f>
        <v>#REF!</v>
      </c>
      <c r="AE230" s="231" t="e">
        <f>#REF!</f>
        <v>#REF!</v>
      </c>
      <c r="AF230" s="231" t="e">
        <f>[1]April!N52</f>
        <v>#REF!</v>
      </c>
      <c r="AG230" s="231" t="e">
        <f>[2]april!N52</f>
        <v>#REF!</v>
      </c>
      <c r="AH230" s="231">
        <f>'[3]DES SKPD'!$N52</f>
        <v>73668000</v>
      </c>
      <c r="AI230" s="231">
        <f>SUM(AI231:AI240)</f>
        <v>41975000</v>
      </c>
      <c r="AJ230" s="233">
        <f t="shared" si="73"/>
        <v>31.962687987816484</v>
      </c>
      <c r="AK230" s="231">
        <f t="shared" si="67"/>
        <v>89350000</v>
      </c>
      <c r="AL230" s="233">
        <f t="shared" si="74"/>
        <v>68.03731201218352</v>
      </c>
      <c r="AM230" s="227"/>
    </row>
    <row r="231" spans="1:39" ht="24.75" customHeight="1" x14ac:dyDescent="0.25">
      <c r="A231" s="243"/>
      <c r="B231" s="437"/>
      <c r="C231" s="437"/>
      <c r="D231" s="437"/>
      <c r="E231" s="437"/>
      <c r="F231" s="437"/>
      <c r="G231" s="437"/>
      <c r="H231" s="437"/>
      <c r="I231" s="438"/>
      <c r="J231" s="437" t="s">
        <v>273</v>
      </c>
      <c r="K231" s="245"/>
      <c r="L231" s="257"/>
      <c r="M231" s="597" t="s">
        <v>322</v>
      </c>
      <c r="N231" s="598"/>
      <c r="O231" s="299"/>
      <c r="P231" s="180"/>
      <c r="Q231" s="180">
        <v>4600000</v>
      </c>
      <c r="R231" s="181">
        <f t="shared" ref="R231:R240" si="79">Q231/Q$230*100</f>
        <v>3.5027603274319441</v>
      </c>
      <c r="S231" s="181">
        <v>100</v>
      </c>
      <c r="T231" s="180">
        <f t="shared" si="72"/>
        <v>0</v>
      </c>
      <c r="U231" s="180">
        <f t="shared" ref="U231:U301" si="80">R231*T231/100</f>
        <v>0</v>
      </c>
      <c r="V231" s="182">
        <f t="shared" si="77"/>
        <v>100</v>
      </c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>
        <v>0</v>
      </c>
      <c r="AJ231" s="181">
        <f t="shared" si="73"/>
        <v>0</v>
      </c>
      <c r="AK231" s="180">
        <f t="shared" si="67"/>
        <v>4600000</v>
      </c>
      <c r="AL231" s="181">
        <f t="shared" si="74"/>
        <v>100</v>
      </c>
      <c r="AM231" s="243"/>
    </row>
    <row r="232" spans="1:39" ht="24.75" customHeight="1" x14ac:dyDescent="0.25">
      <c r="A232" s="243"/>
      <c r="B232" s="437"/>
      <c r="C232" s="437"/>
      <c r="D232" s="437"/>
      <c r="E232" s="437"/>
      <c r="F232" s="437"/>
      <c r="G232" s="437"/>
      <c r="H232" s="437"/>
      <c r="I232" s="438"/>
      <c r="J232" s="437" t="s">
        <v>323</v>
      </c>
      <c r="K232" s="245"/>
      <c r="L232" s="257"/>
      <c r="M232" s="597" t="s">
        <v>324</v>
      </c>
      <c r="N232" s="598"/>
      <c r="O232" s="299"/>
      <c r="P232" s="180"/>
      <c r="Q232" s="180">
        <v>13776000</v>
      </c>
      <c r="R232" s="181">
        <f t="shared" si="79"/>
        <v>10.490005711022272</v>
      </c>
      <c r="S232" s="181">
        <v>100</v>
      </c>
      <c r="T232" s="180">
        <f t="shared" si="72"/>
        <v>0</v>
      </c>
      <c r="U232" s="180">
        <f t="shared" si="80"/>
        <v>0</v>
      </c>
      <c r="V232" s="182">
        <f t="shared" si="77"/>
        <v>100</v>
      </c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>
        <v>0</v>
      </c>
      <c r="AJ232" s="181">
        <f t="shared" si="73"/>
        <v>0</v>
      </c>
      <c r="AK232" s="180">
        <f t="shared" si="67"/>
        <v>13776000</v>
      </c>
      <c r="AL232" s="181">
        <f t="shared" si="74"/>
        <v>100</v>
      </c>
      <c r="AM232" s="243"/>
    </row>
    <row r="233" spans="1:39" ht="24.75" customHeight="1" x14ac:dyDescent="0.25">
      <c r="A233" s="243"/>
      <c r="B233" s="437"/>
      <c r="C233" s="437"/>
      <c r="D233" s="437"/>
      <c r="E233" s="437"/>
      <c r="F233" s="437"/>
      <c r="G233" s="437"/>
      <c r="H233" s="437"/>
      <c r="I233" s="438"/>
      <c r="J233" s="437" t="s">
        <v>269</v>
      </c>
      <c r="K233" s="245"/>
      <c r="L233" s="257"/>
      <c r="M233" s="597" t="s">
        <v>270</v>
      </c>
      <c r="N233" s="598"/>
      <c r="O233" s="299"/>
      <c r="P233" s="180"/>
      <c r="Q233" s="180">
        <v>4000000</v>
      </c>
      <c r="R233" s="181">
        <f t="shared" si="79"/>
        <v>3.0458785455929944</v>
      </c>
      <c r="S233" s="181">
        <v>100</v>
      </c>
      <c r="T233" s="180">
        <f t="shared" si="72"/>
        <v>0</v>
      </c>
      <c r="U233" s="180">
        <f t="shared" si="80"/>
        <v>0</v>
      </c>
      <c r="V233" s="182">
        <f t="shared" si="77"/>
        <v>100</v>
      </c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>
        <v>0</v>
      </c>
      <c r="AJ233" s="181">
        <f t="shared" si="73"/>
        <v>0</v>
      </c>
      <c r="AK233" s="180">
        <f t="shared" si="67"/>
        <v>4000000</v>
      </c>
      <c r="AL233" s="181">
        <f t="shared" si="74"/>
        <v>100</v>
      </c>
      <c r="AM233" s="243"/>
    </row>
    <row r="234" spans="1:39" ht="24.75" customHeight="1" x14ac:dyDescent="0.25">
      <c r="A234" s="243"/>
      <c r="B234" s="437"/>
      <c r="C234" s="437"/>
      <c r="D234" s="437"/>
      <c r="E234" s="437"/>
      <c r="F234" s="437"/>
      <c r="G234" s="437"/>
      <c r="H234" s="437"/>
      <c r="I234" s="438"/>
      <c r="J234" s="437" t="s">
        <v>315</v>
      </c>
      <c r="K234" s="245"/>
      <c r="L234" s="257"/>
      <c r="M234" s="597" t="s">
        <v>271</v>
      </c>
      <c r="N234" s="598"/>
      <c r="O234" s="299"/>
      <c r="P234" s="180"/>
      <c r="Q234" s="180">
        <v>2889000</v>
      </c>
      <c r="R234" s="181">
        <f t="shared" si="79"/>
        <v>2.1998857795545406</v>
      </c>
      <c r="S234" s="181">
        <v>100</v>
      </c>
      <c r="T234" s="180">
        <f t="shared" si="72"/>
        <v>18.172377985462099</v>
      </c>
      <c r="U234" s="180">
        <f t="shared" si="80"/>
        <v>0.39977155910908058</v>
      </c>
      <c r="V234" s="182">
        <f t="shared" si="77"/>
        <v>81.827622014537894</v>
      </c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>
        <v>525000</v>
      </c>
      <c r="AJ234" s="181">
        <f t="shared" si="73"/>
        <v>18.172377985462099</v>
      </c>
      <c r="AK234" s="180">
        <f t="shared" si="67"/>
        <v>2364000</v>
      </c>
      <c r="AL234" s="181">
        <f t="shared" si="74"/>
        <v>81.827622014537909</v>
      </c>
      <c r="AM234" s="243"/>
    </row>
    <row r="235" spans="1:39" ht="24.75" customHeight="1" x14ac:dyDescent="0.25">
      <c r="A235" s="243"/>
      <c r="B235" s="437"/>
      <c r="C235" s="437"/>
      <c r="D235" s="437"/>
      <c r="E235" s="437"/>
      <c r="F235" s="437"/>
      <c r="G235" s="437"/>
      <c r="H235" s="437"/>
      <c r="I235" s="438"/>
      <c r="J235" s="437" t="s">
        <v>328</v>
      </c>
      <c r="K235" s="245"/>
      <c r="L235" s="257"/>
      <c r="M235" s="597" t="s">
        <v>329</v>
      </c>
      <c r="N235" s="598"/>
      <c r="O235" s="299"/>
      <c r="P235" s="180"/>
      <c r="Q235" s="180">
        <v>47750000</v>
      </c>
      <c r="R235" s="181">
        <f t="shared" si="79"/>
        <v>36.360175138016373</v>
      </c>
      <c r="S235" s="181">
        <v>100</v>
      </c>
      <c r="T235" s="180">
        <f t="shared" si="72"/>
        <v>58.638743455497377</v>
      </c>
      <c r="U235" s="180">
        <f t="shared" si="80"/>
        <v>21.321149819150961</v>
      </c>
      <c r="V235" s="182">
        <f t="shared" si="77"/>
        <v>41.361256544502623</v>
      </c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>
        <v>28000000</v>
      </c>
      <c r="AJ235" s="181">
        <f t="shared" si="73"/>
        <v>58.638743455497377</v>
      </c>
      <c r="AK235" s="180">
        <f t="shared" si="67"/>
        <v>19750000</v>
      </c>
      <c r="AL235" s="181">
        <f t="shared" si="74"/>
        <v>41.361256544502616</v>
      </c>
      <c r="AM235" s="243"/>
    </row>
    <row r="236" spans="1:39" ht="24.75" customHeight="1" x14ac:dyDescent="0.25">
      <c r="A236" s="243"/>
      <c r="B236" s="437"/>
      <c r="C236" s="437"/>
      <c r="D236" s="437"/>
      <c r="E236" s="437"/>
      <c r="F236" s="437"/>
      <c r="G236" s="437"/>
      <c r="H236" s="437"/>
      <c r="I236" s="438"/>
      <c r="J236" s="437" t="s">
        <v>280</v>
      </c>
      <c r="K236" s="245"/>
      <c r="L236" s="257"/>
      <c r="M236" s="597" t="s">
        <v>281</v>
      </c>
      <c r="N236" s="598"/>
      <c r="O236" s="299"/>
      <c r="P236" s="180"/>
      <c r="Q236" s="180">
        <v>15750000</v>
      </c>
      <c r="R236" s="181">
        <f t="shared" si="79"/>
        <v>11.993146773272416</v>
      </c>
      <c r="S236" s="181">
        <v>100</v>
      </c>
      <c r="T236" s="180">
        <f t="shared" si="72"/>
        <v>14.285714285714285</v>
      </c>
      <c r="U236" s="180">
        <f t="shared" si="80"/>
        <v>1.7133066818960594</v>
      </c>
      <c r="V236" s="182">
        <f t="shared" si="77"/>
        <v>85.714285714285722</v>
      </c>
      <c r="W236" s="180"/>
      <c r="X236" s="180"/>
      <c r="Y236" s="180"/>
      <c r="Z236" s="180"/>
      <c r="AA236" s="180"/>
      <c r="AB236" s="180"/>
      <c r="AC236" s="180"/>
      <c r="AD236" s="180"/>
      <c r="AE236" s="180"/>
      <c r="AF236" s="180"/>
      <c r="AG236" s="180"/>
      <c r="AH236" s="180"/>
      <c r="AI236" s="180">
        <v>2250000</v>
      </c>
      <c r="AJ236" s="181">
        <f t="shared" si="73"/>
        <v>14.285714285714285</v>
      </c>
      <c r="AK236" s="180">
        <f t="shared" si="67"/>
        <v>13500000</v>
      </c>
      <c r="AL236" s="181">
        <f t="shared" si="74"/>
        <v>85.714285714285708</v>
      </c>
      <c r="AM236" s="243"/>
    </row>
    <row r="237" spans="1:39" ht="24.75" customHeight="1" x14ac:dyDescent="0.25">
      <c r="A237" s="243"/>
      <c r="B237" s="437"/>
      <c r="C237" s="437"/>
      <c r="D237" s="437"/>
      <c r="E237" s="437"/>
      <c r="F237" s="437"/>
      <c r="G237" s="437"/>
      <c r="H237" s="437"/>
      <c r="I237" s="438"/>
      <c r="J237" s="437" t="s">
        <v>284</v>
      </c>
      <c r="K237" s="245"/>
      <c r="L237" s="257"/>
      <c r="M237" s="597" t="s">
        <v>585</v>
      </c>
      <c r="N237" s="598"/>
      <c r="O237" s="299"/>
      <c r="P237" s="180"/>
      <c r="Q237" s="180">
        <v>5550000</v>
      </c>
      <c r="R237" s="181">
        <f t="shared" si="79"/>
        <v>4.2261564820102802</v>
      </c>
      <c r="S237" s="181">
        <v>100</v>
      </c>
      <c r="T237" s="180">
        <f t="shared" si="72"/>
        <v>49.549549549549546</v>
      </c>
      <c r="U237" s="180">
        <f t="shared" si="80"/>
        <v>2.0940415000951837</v>
      </c>
      <c r="V237" s="182">
        <f t="shared" si="77"/>
        <v>50.450450450450454</v>
      </c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>
        <v>2750000</v>
      </c>
      <c r="AJ237" s="181">
        <f t="shared" si="73"/>
        <v>49.549549549549546</v>
      </c>
      <c r="AK237" s="180">
        <f t="shared" si="67"/>
        <v>2800000</v>
      </c>
      <c r="AL237" s="181">
        <f t="shared" si="74"/>
        <v>50.450450450450447</v>
      </c>
      <c r="AM237" s="243"/>
    </row>
    <row r="238" spans="1:39" ht="24.75" customHeight="1" x14ac:dyDescent="0.25">
      <c r="A238" s="243"/>
      <c r="B238" s="437"/>
      <c r="C238" s="437"/>
      <c r="D238" s="437"/>
      <c r="E238" s="437"/>
      <c r="F238" s="437"/>
      <c r="G238" s="437"/>
      <c r="H238" s="437"/>
      <c r="I238" s="438"/>
      <c r="J238" s="437" t="s">
        <v>282</v>
      </c>
      <c r="K238" s="245"/>
      <c r="L238" s="257"/>
      <c r="M238" s="597" t="s">
        <v>503</v>
      </c>
      <c r="N238" s="598"/>
      <c r="O238" s="299"/>
      <c r="P238" s="180"/>
      <c r="Q238" s="180">
        <v>21160000</v>
      </c>
      <c r="R238" s="181">
        <f t="shared" si="79"/>
        <v>16.11269750618694</v>
      </c>
      <c r="S238" s="181">
        <v>100</v>
      </c>
      <c r="T238" s="180">
        <f t="shared" si="72"/>
        <v>0</v>
      </c>
      <c r="U238" s="180">
        <f t="shared" si="80"/>
        <v>0</v>
      </c>
      <c r="V238" s="182">
        <f t="shared" si="77"/>
        <v>100</v>
      </c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180"/>
      <c r="AI238" s="180">
        <v>0</v>
      </c>
      <c r="AJ238" s="181">
        <f t="shared" si="73"/>
        <v>0</v>
      </c>
      <c r="AK238" s="180">
        <f t="shared" si="67"/>
        <v>21160000</v>
      </c>
      <c r="AL238" s="181">
        <f t="shared" si="74"/>
        <v>100</v>
      </c>
      <c r="AM238" s="243"/>
    </row>
    <row r="239" spans="1:39" ht="24.75" customHeight="1" x14ac:dyDescent="0.25">
      <c r="A239" s="243"/>
      <c r="B239" s="437"/>
      <c r="C239" s="437"/>
      <c r="D239" s="437"/>
      <c r="E239" s="437"/>
      <c r="F239" s="437"/>
      <c r="G239" s="437"/>
      <c r="H239" s="437"/>
      <c r="I239" s="438"/>
      <c r="J239" s="437" t="s">
        <v>320</v>
      </c>
      <c r="K239" s="245"/>
      <c r="L239" s="257"/>
      <c r="M239" s="597" t="s">
        <v>321</v>
      </c>
      <c r="N239" s="598"/>
      <c r="O239" s="299"/>
      <c r="P239" s="180"/>
      <c r="Q239" s="180">
        <v>11200000</v>
      </c>
      <c r="R239" s="181">
        <f t="shared" si="79"/>
        <v>8.5284599276603839</v>
      </c>
      <c r="S239" s="181">
        <v>100</v>
      </c>
      <c r="T239" s="180">
        <f t="shared" si="72"/>
        <v>33.928571428571431</v>
      </c>
      <c r="U239" s="180">
        <f t="shared" si="80"/>
        <v>2.8935846183133447</v>
      </c>
      <c r="V239" s="182">
        <f t="shared" si="77"/>
        <v>66.071428571428569</v>
      </c>
      <c r="W239" s="180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80"/>
      <c r="AH239" s="180"/>
      <c r="AI239" s="180">
        <v>3800000</v>
      </c>
      <c r="AJ239" s="181">
        <f t="shared" si="73"/>
        <v>33.928571428571431</v>
      </c>
      <c r="AK239" s="180">
        <f t="shared" si="67"/>
        <v>7400000</v>
      </c>
      <c r="AL239" s="181">
        <f t="shared" si="74"/>
        <v>66.071428571428569</v>
      </c>
      <c r="AM239" s="243"/>
    </row>
    <row r="240" spans="1:39" ht="24.75" customHeight="1" x14ac:dyDescent="0.25">
      <c r="A240" s="243"/>
      <c r="B240" s="437"/>
      <c r="C240" s="437"/>
      <c r="D240" s="437"/>
      <c r="E240" s="437"/>
      <c r="F240" s="437"/>
      <c r="G240" s="437"/>
      <c r="H240" s="437"/>
      <c r="I240" s="438"/>
      <c r="J240" s="437" t="s">
        <v>407</v>
      </c>
      <c r="K240" s="245"/>
      <c r="L240" s="257"/>
      <c r="M240" s="597" t="s">
        <v>595</v>
      </c>
      <c r="N240" s="598"/>
      <c r="O240" s="299"/>
      <c r="P240" s="180"/>
      <c r="Q240" s="180">
        <v>4650000</v>
      </c>
      <c r="R240" s="181">
        <f t="shared" si="79"/>
        <v>3.5408338092518559</v>
      </c>
      <c r="S240" s="181">
        <v>100</v>
      </c>
      <c r="T240" s="180">
        <f t="shared" si="72"/>
        <v>100</v>
      </c>
      <c r="U240" s="180">
        <f t="shared" si="80"/>
        <v>3.5408338092518559</v>
      </c>
      <c r="V240" s="182">
        <f t="shared" si="77"/>
        <v>0</v>
      </c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180"/>
      <c r="AI240" s="180">
        <v>4650000</v>
      </c>
      <c r="AJ240" s="181">
        <f t="shared" si="73"/>
        <v>100</v>
      </c>
      <c r="AK240" s="180">
        <f t="shared" si="67"/>
        <v>0</v>
      </c>
      <c r="AL240" s="181">
        <f t="shared" si="74"/>
        <v>0</v>
      </c>
      <c r="AM240" s="243"/>
    </row>
    <row r="241" spans="1:39" s="297" customFormat="1" ht="24.75" customHeight="1" x14ac:dyDescent="0.25">
      <c r="A241" s="227">
        <f>A230+1</f>
        <v>35</v>
      </c>
      <c r="B241" s="618" t="s">
        <v>144</v>
      </c>
      <c r="C241" s="615"/>
      <c r="D241" s="615"/>
      <c r="E241" s="615"/>
      <c r="F241" s="615"/>
      <c r="G241" s="615"/>
      <c r="H241" s="615"/>
      <c r="I241" s="614"/>
      <c r="J241" s="304" t="s">
        <v>596</v>
      </c>
      <c r="K241" s="230"/>
      <c r="L241" s="294"/>
      <c r="M241" s="615" t="s">
        <v>639</v>
      </c>
      <c r="N241" s="614"/>
      <c r="O241" s="295">
        <v>85915000</v>
      </c>
      <c r="P241" s="231">
        <f>O241</f>
        <v>85915000</v>
      </c>
      <c r="Q241" s="231">
        <f>SUM(Q242:Q247)</f>
        <v>48040000</v>
      </c>
      <c r="R241" s="233">
        <f>Q241/Q$180*100</f>
        <v>3.5372988470444637</v>
      </c>
      <c r="S241" s="233">
        <v>100</v>
      </c>
      <c r="T241" s="231">
        <f>AJ241</f>
        <v>10.407993338884262</v>
      </c>
      <c r="U241" s="231">
        <f>R241*T241/100</f>
        <v>0.3681618283768176</v>
      </c>
      <c r="V241" s="296">
        <f t="shared" si="77"/>
        <v>89.592006661115732</v>
      </c>
      <c r="W241" s="231"/>
      <c r="X241" s="231" t="e">
        <f>#REF!</f>
        <v>#REF!</v>
      </c>
      <c r="Y241" s="231" t="e">
        <f>#REF!</f>
        <v>#REF!</v>
      </c>
      <c r="Z241" s="231" t="e">
        <f>#REF!</f>
        <v>#REF!</v>
      </c>
      <c r="AA241" s="231" t="e">
        <f>#REF!</f>
        <v>#REF!</v>
      </c>
      <c r="AB241" s="231">
        <v>0</v>
      </c>
      <c r="AC241" s="231" t="e">
        <f>#REF!</f>
        <v>#REF!</v>
      </c>
      <c r="AD241" s="231" t="e">
        <f>#REF!</f>
        <v>#REF!</v>
      </c>
      <c r="AE241" s="231" t="e">
        <f>#REF!</f>
        <v>#REF!</v>
      </c>
      <c r="AF241" s="231" t="e">
        <f>[1]April!N63</f>
        <v>#REF!</v>
      </c>
      <c r="AG241" s="231" t="e">
        <f>[2]april!N63</f>
        <v>#REF!</v>
      </c>
      <c r="AH241" s="231">
        <f>'[3]DES SKPD'!$N63</f>
        <v>174573000</v>
      </c>
      <c r="AI241" s="231">
        <f>SUM(AI242:AI247)</f>
        <v>5000000</v>
      </c>
      <c r="AJ241" s="233">
        <f>AI241/Q241*100</f>
        <v>10.407993338884262</v>
      </c>
      <c r="AK241" s="231">
        <f t="shared" si="67"/>
        <v>43040000</v>
      </c>
      <c r="AL241" s="233">
        <f t="shared" si="74"/>
        <v>89.592006661115747</v>
      </c>
      <c r="AM241" s="227"/>
    </row>
    <row r="242" spans="1:39" ht="24.75" customHeight="1" x14ac:dyDescent="0.25">
      <c r="A242" s="243"/>
      <c r="B242" s="437"/>
      <c r="C242" s="437"/>
      <c r="D242" s="437"/>
      <c r="E242" s="437"/>
      <c r="F242" s="437"/>
      <c r="G242" s="437"/>
      <c r="H242" s="437"/>
      <c r="I242" s="438"/>
      <c r="J242" s="437" t="s">
        <v>273</v>
      </c>
      <c r="K242" s="245"/>
      <c r="L242" s="257"/>
      <c r="M242" s="597" t="s">
        <v>322</v>
      </c>
      <c r="N242" s="598"/>
      <c r="O242" s="299"/>
      <c r="P242" s="180"/>
      <c r="Q242" s="180">
        <v>12400000</v>
      </c>
      <c r="R242" s="181">
        <f t="shared" ref="R242:R247" si="81">Q242/Q$230*100</f>
        <v>9.4422234913382841</v>
      </c>
      <c r="S242" s="181">
        <v>100</v>
      </c>
      <c r="T242" s="180">
        <f t="shared" ref="T242:T247" si="82">AJ242</f>
        <v>0</v>
      </c>
      <c r="U242" s="180">
        <f t="shared" ref="U242:U247" si="83">R242*T242/100</f>
        <v>0</v>
      </c>
      <c r="V242" s="182">
        <f t="shared" si="77"/>
        <v>100</v>
      </c>
      <c r="W242" s="180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180"/>
      <c r="AI242" s="180">
        <v>0</v>
      </c>
      <c r="AJ242" s="181">
        <f t="shared" ref="AJ242:AJ247" si="84">AI242/Q242*100</f>
        <v>0</v>
      </c>
      <c r="AK242" s="180">
        <f t="shared" si="67"/>
        <v>12400000</v>
      </c>
      <c r="AL242" s="181">
        <f t="shared" si="74"/>
        <v>100</v>
      </c>
      <c r="AM242" s="243"/>
    </row>
    <row r="243" spans="1:39" ht="24.75" customHeight="1" x14ac:dyDescent="0.25">
      <c r="A243" s="243"/>
      <c r="B243" s="437"/>
      <c r="C243" s="437"/>
      <c r="D243" s="437"/>
      <c r="E243" s="437"/>
      <c r="F243" s="437"/>
      <c r="G243" s="437"/>
      <c r="H243" s="437"/>
      <c r="I243" s="438"/>
      <c r="J243" s="437" t="s">
        <v>315</v>
      </c>
      <c r="K243" s="245"/>
      <c r="L243" s="257"/>
      <c r="M243" s="597" t="s">
        <v>599</v>
      </c>
      <c r="N243" s="598"/>
      <c r="O243" s="299"/>
      <c r="P243" s="180"/>
      <c r="Q243" s="180">
        <v>1000000</v>
      </c>
      <c r="R243" s="181">
        <f t="shared" si="81"/>
        <v>0.76146963639824861</v>
      </c>
      <c r="S243" s="181">
        <v>100</v>
      </c>
      <c r="T243" s="180">
        <f t="shared" si="82"/>
        <v>0</v>
      </c>
      <c r="U243" s="180">
        <f t="shared" si="83"/>
        <v>0</v>
      </c>
      <c r="V243" s="182">
        <f t="shared" si="77"/>
        <v>100</v>
      </c>
      <c r="W243" s="180"/>
      <c r="X243" s="180"/>
      <c r="Y243" s="180"/>
      <c r="Z243" s="180"/>
      <c r="AA243" s="180"/>
      <c r="AB243" s="180"/>
      <c r="AC243" s="180"/>
      <c r="AD243" s="180"/>
      <c r="AE243" s="180"/>
      <c r="AF243" s="180"/>
      <c r="AG243" s="180"/>
      <c r="AH243" s="180"/>
      <c r="AI243" s="180">
        <v>0</v>
      </c>
      <c r="AJ243" s="181">
        <f t="shared" si="84"/>
        <v>0</v>
      </c>
      <c r="AK243" s="180">
        <f t="shared" si="67"/>
        <v>1000000</v>
      </c>
      <c r="AL243" s="181">
        <f t="shared" si="74"/>
        <v>100</v>
      </c>
      <c r="AM243" s="243"/>
    </row>
    <row r="244" spans="1:39" ht="24.75" customHeight="1" x14ac:dyDescent="0.25">
      <c r="A244" s="243"/>
      <c r="B244" s="437"/>
      <c r="C244" s="437"/>
      <c r="D244" s="437"/>
      <c r="E244" s="437"/>
      <c r="F244" s="437"/>
      <c r="G244" s="437"/>
      <c r="H244" s="437"/>
      <c r="I244" s="438"/>
      <c r="J244" s="437" t="s">
        <v>318</v>
      </c>
      <c r="K244" s="245"/>
      <c r="L244" s="257"/>
      <c r="M244" s="597" t="s">
        <v>319</v>
      </c>
      <c r="N244" s="598"/>
      <c r="O244" s="299"/>
      <c r="P244" s="180"/>
      <c r="Q244" s="180">
        <v>14000000</v>
      </c>
      <c r="R244" s="181">
        <f t="shared" si="81"/>
        <v>10.66057490957548</v>
      </c>
      <c r="S244" s="181">
        <v>100</v>
      </c>
      <c r="T244" s="180">
        <f t="shared" si="82"/>
        <v>0</v>
      </c>
      <c r="U244" s="180">
        <f>R244*T244/100</f>
        <v>0</v>
      </c>
      <c r="V244" s="182">
        <f t="shared" si="77"/>
        <v>100</v>
      </c>
      <c r="W244" s="180"/>
      <c r="X244" s="180"/>
      <c r="Y244" s="180"/>
      <c r="Z244" s="180"/>
      <c r="AA244" s="180"/>
      <c r="AB244" s="180"/>
      <c r="AC244" s="180"/>
      <c r="AD244" s="180"/>
      <c r="AE244" s="180"/>
      <c r="AF244" s="180"/>
      <c r="AG244" s="180"/>
      <c r="AH244" s="180"/>
      <c r="AI244" s="180">
        <v>0</v>
      </c>
      <c r="AJ244" s="181">
        <f t="shared" si="84"/>
        <v>0</v>
      </c>
      <c r="AK244" s="180">
        <f t="shared" si="67"/>
        <v>14000000</v>
      </c>
      <c r="AL244" s="181">
        <f t="shared" si="74"/>
        <v>100</v>
      </c>
      <c r="AM244" s="243"/>
    </row>
    <row r="245" spans="1:39" ht="24.75" customHeight="1" x14ac:dyDescent="0.25">
      <c r="A245" s="243"/>
      <c r="B245" s="437"/>
      <c r="C245" s="437"/>
      <c r="D245" s="437"/>
      <c r="E245" s="437"/>
      <c r="F245" s="437"/>
      <c r="G245" s="437"/>
      <c r="H245" s="437"/>
      <c r="I245" s="438"/>
      <c r="J245" s="437" t="s">
        <v>537</v>
      </c>
      <c r="K245" s="245"/>
      <c r="L245" s="257"/>
      <c r="M245" s="597" t="s">
        <v>600</v>
      </c>
      <c r="N245" s="598"/>
      <c r="O245" s="299"/>
      <c r="P245" s="180"/>
      <c r="Q245" s="180">
        <v>2640000</v>
      </c>
      <c r="R245" s="181">
        <f t="shared" si="81"/>
        <v>2.0102798400913762</v>
      </c>
      <c r="S245" s="181">
        <v>100</v>
      </c>
      <c r="T245" s="180">
        <f t="shared" si="82"/>
        <v>0</v>
      </c>
      <c r="U245" s="180">
        <f t="shared" si="83"/>
        <v>0</v>
      </c>
      <c r="V245" s="182">
        <f t="shared" si="77"/>
        <v>100</v>
      </c>
      <c r="W245" s="180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180"/>
      <c r="AI245" s="180">
        <v>0</v>
      </c>
      <c r="AJ245" s="181">
        <f t="shared" si="84"/>
        <v>0</v>
      </c>
      <c r="AK245" s="180">
        <f t="shared" si="67"/>
        <v>2640000</v>
      </c>
      <c r="AL245" s="181">
        <f t="shared" si="74"/>
        <v>100</v>
      </c>
      <c r="AM245" s="243"/>
    </row>
    <row r="246" spans="1:39" ht="24.75" customHeight="1" x14ac:dyDescent="0.25">
      <c r="A246" s="243"/>
      <c r="B246" s="437"/>
      <c r="C246" s="437"/>
      <c r="D246" s="437"/>
      <c r="E246" s="437"/>
      <c r="F246" s="437"/>
      <c r="G246" s="437"/>
      <c r="H246" s="437"/>
      <c r="I246" s="438"/>
      <c r="J246" s="437" t="s">
        <v>320</v>
      </c>
      <c r="K246" s="245"/>
      <c r="L246" s="257"/>
      <c r="M246" s="597" t="s">
        <v>321</v>
      </c>
      <c r="N246" s="598"/>
      <c r="O246" s="299"/>
      <c r="P246" s="180"/>
      <c r="Q246" s="180">
        <v>6000000</v>
      </c>
      <c r="R246" s="181">
        <f t="shared" si="81"/>
        <v>4.5688178183894914</v>
      </c>
      <c r="S246" s="181">
        <v>100</v>
      </c>
      <c r="T246" s="180">
        <f t="shared" si="82"/>
        <v>0</v>
      </c>
      <c r="U246" s="180">
        <f t="shared" si="83"/>
        <v>0</v>
      </c>
      <c r="V246" s="182">
        <f t="shared" si="77"/>
        <v>100</v>
      </c>
      <c r="W246" s="180"/>
      <c r="X246" s="180"/>
      <c r="Y246" s="180"/>
      <c r="Z246" s="180"/>
      <c r="AA246" s="180"/>
      <c r="AB246" s="180"/>
      <c r="AC246" s="180"/>
      <c r="AD246" s="180"/>
      <c r="AE246" s="180"/>
      <c r="AF246" s="180"/>
      <c r="AG246" s="180"/>
      <c r="AH246" s="180"/>
      <c r="AI246" s="180">
        <v>0</v>
      </c>
      <c r="AJ246" s="181">
        <f t="shared" si="84"/>
        <v>0</v>
      </c>
      <c r="AK246" s="180">
        <f t="shared" ref="AK246:AK247" si="85">Q246-AI246</f>
        <v>6000000</v>
      </c>
      <c r="AL246" s="181">
        <f t="shared" si="74"/>
        <v>100</v>
      </c>
      <c r="AM246" s="243"/>
    </row>
    <row r="247" spans="1:39" ht="24.75" customHeight="1" x14ac:dyDescent="0.25">
      <c r="A247" s="243"/>
      <c r="B247" s="437"/>
      <c r="C247" s="437"/>
      <c r="D247" s="437"/>
      <c r="E247" s="437"/>
      <c r="F247" s="437"/>
      <c r="G247" s="437"/>
      <c r="H247" s="437"/>
      <c r="I247" s="438"/>
      <c r="J247" s="437" t="s">
        <v>598</v>
      </c>
      <c r="K247" s="245"/>
      <c r="L247" s="257"/>
      <c r="M247" s="621" t="s">
        <v>550</v>
      </c>
      <c r="N247" s="622"/>
      <c r="O247" s="299"/>
      <c r="P247" s="180"/>
      <c r="Q247" s="180">
        <v>12000000</v>
      </c>
      <c r="R247" s="181">
        <f t="shared" si="81"/>
        <v>9.1376356367789828</v>
      </c>
      <c r="S247" s="181">
        <v>100</v>
      </c>
      <c r="T247" s="180">
        <f t="shared" si="82"/>
        <v>41.666666666666671</v>
      </c>
      <c r="U247" s="180">
        <f t="shared" si="83"/>
        <v>3.8073481819912431</v>
      </c>
      <c r="V247" s="182">
        <f t="shared" si="77"/>
        <v>58.333333333333329</v>
      </c>
      <c r="W247" s="180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>
        <f>3000000+1000000+1000000</f>
        <v>5000000</v>
      </c>
      <c r="AJ247" s="181">
        <f t="shared" si="84"/>
        <v>41.666666666666671</v>
      </c>
      <c r="AK247" s="180">
        <f t="shared" si="85"/>
        <v>7000000</v>
      </c>
      <c r="AL247" s="181">
        <f t="shared" si="74"/>
        <v>58.333333333333336</v>
      </c>
      <c r="AM247" s="243"/>
    </row>
    <row r="248" spans="1:39" s="226" customFormat="1" ht="27.75" customHeight="1" x14ac:dyDescent="0.25">
      <c r="A248" s="289" t="s">
        <v>38</v>
      </c>
      <c r="B248" s="607" t="s">
        <v>145</v>
      </c>
      <c r="C248" s="607"/>
      <c r="D248" s="607"/>
      <c r="E248" s="607"/>
      <c r="F248" s="607"/>
      <c r="G248" s="607"/>
      <c r="H248" s="607"/>
      <c r="I248" s="608"/>
      <c r="J248" s="443" t="s">
        <v>473</v>
      </c>
      <c r="K248" s="291"/>
      <c r="L248" s="607" t="s">
        <v>39</v>
      </c>
      <c r="M248" s="607"/>
      <c r="N248" s="608"/>
      <c r="O248" s="263" t="e">
        <f>SUM(O249:O680)</f>
        <v>#REF!</v>
      </c>
      <c r="P248" s="263" t="e">
        <f>SUM(P249:P680)</f>
        <v>#REF!</v>
      </c>
      <c r="Q248" s="263">
        <f>SUM(Q249+Q264+Q275+Q287+Q297+Q309+Q317+Q325+Q332+Q339+Q350+Q356+Q364+Q377+Q387+Q400+Q408+Q422+Q425+Q436+Q447+Q457+Q466+Q476+Q483+Q490+Q495+Q504+Q511+Q523+Q530+Q542+Q553+Q562+Q572+Q585+Q594+Q608+Q618+Q627+Q637+Q644+Q659+Q673)</f>
        <v>11927844735</v>
      </c>
      <c r="R248" s="222">
        <f>Q248/Q$35*100</f>
        <v>37.525168166976002</v>
      </c>
      <c r="S248" s="222">
        <f>S249</f>
        <v>100</v>
      </c>
      <c r="T248" s="263">
        <f>AJ248</f>
        <v>31.076529426336467</v>
      </c>
      <c r="U248" s="308">
        <f t="shared" si="80"/>
        <v>11.661519927692542</v>
      </c>
      <c r="V248" s="292">
        <f t="shared" si="77"/>
        <v>68.923470573663536</v>
      </c>
      <c r="W248" s="263">
        <f t="shared" ref="W248:AH248" si="86">SUM(W249:W680)</f>
        <v>0</v>
      </c>
      <c r="X248" s="263" t="e">
        <f t="shared" si="86"/>
        <v>#REF!</v>
      </c>
      <c r="Y248" s="263" t="e">
        <f t="shared" si="86"/>
        <v>#REF!</v>
      </c>
      <c r="Z248" s="263" t="e">
        <f t="shared" si="86"/>
        <v>#REF!</v>
      </c>
      <c r="AA248" s="263" t="e">
        <f t="shared" si="86"/>
        <v>#REF!</v>
      </c>
      <c r="AB248" s="263">
        <f t="shared" si="86"/>
        <v>4302660235</v>
      </c>
      <c r="AC248" s="263" t="e">
        <f t="shared" si="86"/>
        <v>#REF!</v>
      </c>
      <c r="AD248" s="263" t="e">
        <f t="shared" si="86"/>
        <v>#REF!</v>
      </c>
      <c r="AE248" s="263" t="e">
        <f t="shared" si="86"/>
        <v>#REF!</v>
      </c>
      <c r="AF248" s="263" t="e">
        <f t="shared" si="86"/>
        <v>#REF!</v>
      </c>
      <c r="AG248" s="263" t="e">
        <f t="shared" si="86"/>
        <v>#REF!</v>
      </c>
      <c r="AH248" s="263" t="e">
        <f t="shared" si="86"/>
        <v>#REF!</v>
      </c>
      <c r="AI248" s="263">
        <f>SUM(AI249+AI264+AI275+AI287+AI297+AI309+AI317+AI325+AI332+AI339+AI350+AI356+AI364+AI377+AI387+AI400+AI408+AI422+AI425+AI436+AI447+AI457+AI466+AI476+AI483+AI490+AI495+AI504+AI511+AI523+AI530+AI542+AI553+AI562+AI572+AI585+AI594+AI608+AI618+AI627+AI637+AI644+AI659+AI673)</f>
        <v>3706760179</v>
      </c>
      <c r="AJ248" s="222">
        <f>AI248/Q248*100</f>
        <v>31.076529426336467</v>
      </c>
      <c r="AK248" s="263">
        <f>SUM(Q248-AI248)</f>
        <v>8221084556</v>
      </c>
      <c r="AL248" s="222">
        <f t="shared" si="74"/>
        <v>68.923470573663536</v>
      </c>
      <c r="AM248" s="289"/>
    </row>
    <row r="249" spans="1:39" s="297" customFormat="1" ht="24.75" customHeight="1" x14ac:dyDescent="0.25">
      <c r="A249" s="227">
        <f>A241+1</f>
        <v>36</v>
      </c>
      <c r="B249" s="615" t="s">
        <v>146</v>
      </c>
      <c r="C249" s="615"/>
      <c r="D249" s="615"/>
      <c r="E249" s="615"/>
      <c r="F249" s="615"/>
      <c r="G249" s="615"/>
      <c r="H249" s="615"/>
      <c r="I249" s="614"/>
      <c r="J249" s="304" t="s">
        <v>479</v>
      </c>
      <c r="K249" s="230"/>
      <c r="L249" s="294"/>
      <c r="M249" s="609" t="s">
        <v>40</v>
      </c>
      <c r="N249" s="609"/>
      <c r="O249" s="309">
        <v>628725000</v>
      </c>
      <c r="P249" s="231">
        <f>O249</f>
        <v>628725000</v>
      </c>
      <c r="Q249" s="231">
        <f>SUM(Q250:Q263)</f>
        <v>462073720</v>
      </c>
      <c r="R249" s="233">
        <f>Q249/Q$248*100</f>
        <v>3.8739079042849394</v>
      </c>
      <c r="S249" s="233">
        <v>100</v>
      </c>
      <c r="T249" s="231">
        <f t="shared" si="72"/>
        <v>42.738526657607792</v>
      </c>
      <c r="U249" s="231">
        <f t="shared" si="80"/>
        <v>1.655651162363994</v>
      </c>
      <c r="V249" s="296">
        <f t="shared" si="77"/>
        <v>57.261473342392208</v>
      </c>
      <c r="W249" s="231"/>
      <c r="X249" s="231" t="e">
        <f>#REF!</f>
        <v>#REF!</v>
      </c>
      <c r="Y249" s="231" t="e">
        <f>#REF!</f>
        <v>#REF!</v>
      </c>
      <c r="Z249" s="231" t="e">
        <f>#REF!</f>
        <v>#REF!</v>
      </c>
      <c r="AA249" s="231" t="e">
        <f>#REF!</f>
        <v>#REF!</v>
      </c>
      <c r="AB249" s="231">
        <v>391775000</v>
      </c>
      <c r="AC249" s="231" t="e">
        <f>#REF!</f>
        <v>#REF!</v>
      </c>
      <c r="AD249" s="231" t="e">
        <f>#REF!</f>
        <v>#REF!</v>
      </c>
      <c r="AE249" s="231" t="e">
        <f>#REF!</f>
        <v>#REF!</v>
      </c>
      <c r="AF249" s="231" t="e">
        <f>[1]April!N54</f>
        <v>#REF!</v>
      </c>
      <c r="AG249" s="231" t="e">
        <f>[2]april!N54</f>
        <v>#REF!</v>
      </c>
      <c r="AH249" s="231">
        <f>'[3]DES SKPD'!$N54</f>
        <v>508172500</v>
      </c>
      <c r="AI249" s="231">
        <f>SUM(AI250:AI263)</f>
        <v>197483500</v>
      </c>
      <c r="AJ249" s="233">
        <f t="shared" si="73"/>
        <v>42.738526657607792</v>
      </c>
      <c r="AK249" s="231">
        <f t="shared" ref="AK249:AK312" si="87">Q249-AI249</f>
        <v>264590220</v>
      </c>
      <c r="AL249" s="233">
        <f t="shared" si="74"/>
        <v>57.261473342392208</v>
      </c>
      <c r="AM249" s="227"/>
    </row>
    <row r="250" spans="1:39" ht="28.5" customHeight="1" x14ac:dyDescent="0.25">
      <c r="A250" s="243"/>
      <c r="B250" s="437"/>
      <c r="C250" s="437"/>
      <c r="D250" s="437"/>
      <c r="E250" s="437"/>
      <c r="F250" s="437"/>
      <c r="G250" s="437"/>
      <c r="H250" s="437"/>
      <c r="I250" s="438"/>
      <c r="J250" s="437" t="s">
        <v>259</v>
      </c>
      <c r="K250" s="245"/>
      <c r="L250" s="257"/>
      <c r="M250" s="591" t="s">
        <v>260</v>
      </c>
      <c r="N250" s="592"/>
      <c r="O250" s="179"/>
      <c r="P250" s="180"/>
      <c r="Q250" s="180">
        <v>3080000</v>
      </c>
      <c r="R250" s="181">
        <f t="shared" ref="R250:R261" si="88">Q250/Q$249*100</f>
        <v>0.66656030557202006</v>
      </c>
      <c r="S250" s="181">
        <v>100</v>
      </c>
      <c r="T250" s="180">
        <f>AJ250</f>
        <v>24.350649350649352</v>
      </c>
      <c r="U250" s="180">
        <f t="shared" si="80"/>
        <v>0.16231176272045944</v>
      </c>
      <c r="V250" s="182">
        <f t="shared" si="77"/>
        <v>75.649350649350652</v>
      </c>
      <c r="W250" s="180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180"/>
      <c r="AI250" s="180">
        <v>750000</v>
      </c>
      <c r="AJ250" s="181">
        <f t="shared" si="73"/>
        <v>24.350649350649352</v>
      </c>
      <c r="AK250" s="180">
        <f t="shared" si="87"/>
        <v>2330000</v>
      </c>
      <c r="AL250" s="181">
        <f t="shared" si="74"/>
        <v>75.649350649350637</v>
      </c>
      <c r="AM250" s="243"/>
    </row>
    <row r="251" spans="1:39" ht="24.75" customHeight="1" x14ac:dyDescent="0.25">
      <c r="A251" s="243"/>
      <c r="B251" s="437"/>
      <c r="C251" s="437"/>
      <c r="D251" s="437"/>
      <c r="E251" s="437"/>
      <c r="F251" s="437"/>
      <c r="G251" s="437"/>
      <c r="H251" s="437"/>
      <c r="I251" s="438"/>
      <c r="J251" s="437" t="s">
        <v>326</v>
      </c>
      <c r="K251" s="245"/>
      <c r="L251" s="257"/>
      <c r="M251" s="591" t="s">
        <v>327</v>
      </c>
      <c r="N251" s="592"/>
      <c r="O251" s="179"/>
      <c r="P251" s="180"/>
      <c r="Q251" s="180">
        <v>128800000</v>
      </c>
      <c r="R251" s="181">
        <f t="shared" si="88"/>
        <v>27.874340051193563</v>
      </c>
      <c r="S251" s="181">
        <v>100</v>
      </c>
      <c r="T251" s="180">
        <f t="shared" si="72"/>
        <v>50</v>
      </c>
      <c r="U251" s="180">
        <f t="shared" si="80"/>
        <v>13.937170025596782</v>
      </c>
      <c r="V251" s="182">
        <f t="shared" si="77"/>
        <v>50</v>
      </c>
      <c r="W251" s="180"/>
      <c r="X251" s="180"/>
      <c r="Y251" s="180"/>
      <c r="Z251" s="180"/>
      <c r="AA251" s="180"/>
      <c r="AB251" s="180"/>
      <c r="AC251" s="180"/>
      <c r="AD251" s="180"/>
      <c r="AE251" s="180"/>
      <c r="AF251" s="180"/>
      <c r="AG251" s="180"/>
      <c r="AH251" s="180"/>
      <c r="AI251" s="180">
        <v>64400000</v>
      </c>
      <c r="AJ251" s="181">
        <f t="shared" si="73"/>
        <v>50</v>
      </c>
      <c r="AK251" s="180">
        <f t="shared" si="87"/>
        <v>64400000</v>
      </c>
      <c r="AL251" s="181">
        <f t="shared" si="74"/>
        <v>50</v>
      </c>
      <c r="AM251" s="243"/>
    </row>
    <row r="252" spans="1:39" ht="24.75" customHeight="1" x14ac:dyDescent="0.25">
      <c r="A252" s="243"/>
      <c r="B252" s="437"/>
      <c r="C252" s="437"/>
      <c r="D252" s="437"/>
      <c r="E252" s="437"/>
      <c r="F252" s="437"/>
      <c r="G252" s="437"/>
      <c r="H252" s="437"/>
      <c r="I252" s="438"/>
      <c r="J252" s="437" t="s">
        <v>323</v>
      </c>
      <c r="K252" s="245"/>
      <c r="L252" s="257"/>
      <c r="M252" s="591" t="s">
        <v>324</v>
      </c>
      <c r="N252" s="592"/>
      <c r="O252" s="179"/>
      <c r="P252" s="180"/>
      <c r="Q252" s="180">
        <v>3000000</v>
      </c>
      <c r="R252" s="181">
        <f t="shared" si="88"/>
        <v>0.64924705088183765</v>
      </c>
      <c r="S252" s="181">
        <v>100</v>
      </c>
      <c r="T252" s="180">
        <f t="shared" si="72"/>
        <v>0</v>
      </c>
      <c r="U252" s="180">
        <f t="shared" si="80"/>
        <v>0</v>
      </c>
      <c r="V252" s="182">
        <f t="shared" si="77"/>
        <v>100</v>
      </c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180"/>
      <c r="AI252" s="180">
        <v>0</v>
      </c>
      <c r="AJ252" s="181">
        <f t="shared" si="73"/>
        <v>0</v>
      </c>
      <c r="AK252" s="180">
        <f t="shared" si="87"/>
        <v>3000000</v>
      </c>
      <c r="AL252" s="181">
        <f t="shared" si="74"/>
        <v>100</v>
      </c>
      <c r="AM252" s="243"/>
    </row>
    <row r="253" spans="1:39" ht="24.75" customHeight="1" x14ac:dyDescent="0.25">
      <c r="A253" s="243"/>
      <c r="B253" s="437"/>
      <c r="C253" s="437"/>
      <c r="D253" s="437"/>
      <c r="E253" s="437"/>
      <c r="F253" s="437"/>
      <c r="G253" s="437"/>
      <c r="H253" s="437"/>
      <c r="I253" s="438"/>
      <c r="J253" s="437" t="s">
        <v>269</v>
      </c>
      <c r="K253" s="245"/>
      <c r="L253" s="257"/>
      <c r="M253" s="591" t="s">
        <v>270</v>
      </c>
      <c r="N253" s="592"/>
      <c r="O253" s="179"/>
      <c r="P253" s="180"/>
      <c r="Q253" s="180">
        <v>52000000</v>
      </c>
      <c r="R253" s="181">
        <f t="shared" si="88"/>
        <v>11.253615548618519</v>
      </c>
      <c r="S253" s="181">
        <v>100</v>
      </c>
      <c r="T253" s="180">
        <f t="shared" si="72"/>
        <v>9.6153846153846168</v>
      </c>
      <c r="U253" s="180">
        <f t="shared" si="80"/>
        <v>1.0820784181363963</v>
      </c>
      <c r="V253" s="182">
        <f t="shared" si="77"/>
        <v>90.384615384615387</v>
      </c>
      <c r="W253" s="180"/>
      <c r="X253" s="180"/>
      <c r="Y253" s="180"/>
      <c r="Z253" s="180"/>
      <c r="AA253" s="180"/>
      <c r="AB253" s="180"/>
      <c r="AC253" s="180"/>
      <c r="AD253" s="180"/>
      <c r="AE253" s="180"/>
      <c r="AF253" s="180"/>
      <c r="AG253" s="180"/>
      <c r="AH253" s="180"/>
      <c r="AI253" s="180">
        <v>5000000</v>
      </c>
      <c r="AJ253" s="181">
        <f t="shared" si="73"/>
        <v>9.6153846153846168</v>
      </c>
      <c r="AK253" s="180">
        <f t="shared" si="87"/>
        <v>47000000</v>
      </c>
      <c r="AL253" s="181">
        <f t="shared" si="74"/>
        <v>90.384615384615387</v>
      </c>
      <c r="AM253" s="243"/>
    </row>
    <row r="254" spans="1:39" ht="24.75" customHeight="1" x14ac:dyDescent="0.25">
      <c r="A254" s="243"/>
      <c r="B254" s="437"/>
      <c r="C254" s="437"/>
      <c r="D254" s="437"/>
      <c r="E254" s="437"/>
      <c r="F254" s="437"/>
      <c r="G254" s="437"/>
      <c r="H254" s="437"/>
      <c r="I254" s="438"/>
      <c r="J254" s="437" t="s">
        <v>315</v>
      </c>
      <c r="K254" s="245"/>
      <c r="L254" s="257"/>
      <c r="M254" s="591" t="s">
        <v>271</v>
      </c>
      <c r="N254" s="592"/>
      <c r="O254" s="179"/>
      <c r="P254" s="180"/>
      <c r="Q254" s="180">
        <v>4000000</v>
      </c>
      <c r="R254" s="181">
        <f t="shared" si="88"/>
        <v>0.8656627345091169</v>
      </c>
      <c r="S254" s="181">
        <v>100</v>
      </c>
      <c r="T254" s="180">
        <f t="shared" si="72"/>
        <v>50</v>
      </c>
      <c r="U254" s="180">
        <f t="shared" si="80"/>
        <v>0.43283136725455845</v>
      </c>
      <c r="V254" s="182">
        <f t="shared" si="77"/>
        <v>50</v>
      </c>
      <c r="W254" s="180"/>
      <c r="X254" s="180"/>
      <c r="Y254" s="180"/>
      <c r="Z254" s="180"/>
      <c r="AA254" s="180"/>
      <c r="AB254" s="180"/>
      <c r="AC254" s="180"/>
      <c r="AD254" s="180"/>
      <c r="AE254" s="180"/>
      <c r="AF254" s="180"/>
      <c r="AG254" s="180"/>
      <c r="AH254" s="180"/>
      <c r="AI254" s="180">
        <v>2000000</v>
      </c>
      <c r="AJ254" s="181">
        <f t="shared" si="73"/>
        <v>50</v>
      </c>
      <c r="AK254" s="180">
        <f t="shared" si="87"/>
        <v>2000000</v>
      </c>
      <c r="AL254" s="181">
        <f t="shared" si="74"/>
        <v>50</v>
      </c>
      <c r="AM254" s="243"/>
    </row>
    <row r="255" spans="1:39" ht="24.75" customHeight="1" x14ac:dyDescent="0.25">
      <c r="A255" s="243"/>
      <c r="B255" s="437"/>
      <c r="C255" s="437"/>
      <c r="D255" s="437"/>
      <c r="E255" s="437"/>
      <c r="F255" s="437"/>
      <c r="G255" s="437"/>
      <c r="H255" s="437"/>
      <c r="I255" s="438"/>
      <c r="J255" s="437" t="s">
        <v>328</v>
      </c>
      <c r="K255" s="245"/>
      <c r="L255" s="257"/>
      <c r="M255" s="591" t="s">
        <v>329</v>
      </c>
      <c r="N255" s="592"/>
      <c r="O255" s="179"/>
      <c r="P255" s="180"/>
      <c r="Q255" s="180">
        <v>20000000</v>
      </c>
      <c r="R255" s="181">
        <f t="shared" si="88"/>
        <v>4.3283136725455842</v>
      </c>
      <c r="S255" s="181">
        <v>100</v>
      </c>
      <c r="T255" s="180">
        <f t="shared" si="72"/>
        <v>50</v>
      </c>
      <c r="U255" s="180">
        <f t="shared" si="80"/>
        <v>2.1641568362727921</v>
      </c>
      <c r="V255" s="182">
        <f t="shared" si="77"/>
        <v>50</v>
      </c>
      <c r="W255" s="180"/>
      <c r="X255" s="180"/>
      <c r="Y255" s="180"/>
      <c r="Z255" s="180"/>
      <c r="AA255" s="180"/>
      <c r="AB255" s="180"/>
      <c r="AC255" s="180"/>
      <c r="AD255" s="180"/>
      <c r="AE255" s="180"/>
      <c r="AF255" s="180"/>
      <c r="AG255" s="180"/>
      <c r="AH255" s="180"/>
      <c r="AI255" s="180">
        <v>10000000</v>
      </c>
      <c r="AJ255" s="181">
        <f t="shared" si="73"/>
        <v>50</v>
      </c>
      <c r="AK255" s="180">
        <f t="shared" si="87"/>
        <v>10000000</v>
      </c>
      <c r="AL255" s="181">
        <f t="shared" si="74"/>
        <v>50</v>
      </c>
      <c r="AM255" s="243"/>
    </row>
    <row r="256" spans="1:39" ht="31.5" customHeight="1" x14ac:dyDescent="0.25">
      <c r="A256" s="243"/>
      <c r="B256" s="437"/>
      <c r="C256" s="437"/>
      <c r="D256" s="437"/>
      <c r="E256" s="437"/>
      <c r="F256" s="437"/>
      <c r="G256" s="437"/>
      <c r="H256" s="437"/>
      <c r="I256" s="438"/>
      <c r="J256" s="437" t="s">
        <v>318</v>
      </c>
      <c r="K256" s="245"/>
      <c r="L256" s="257"/>
      <c r="M256" s="591" t="s">
        <v>319</v>
      </c>
      <c r="N256" s="592"/>
      <c r="O256" s="179"/>
      <c r="P256" s="180"/>
      <c r="Q256" s="180">
        <v>61500000</v>
      </c>
      <c r="R256" s="181">
        <f t="shared" si="88"/>
        <v>13.30956454307767</v>
      </c>
      <c r="S256" s="181">
        <v>100</v>
      </c>
      <c r="T256" s="180">
        <f t="shared" si="72"/>
        <v>78.455284552845526</v>
      </c>
      <c r="U256" s="180">
        <f t="shared" si="80"/>
        <v>10.442056735016219</v>
      </c>
      <c r="V256" s="182">
        <f t="shared" si="77"/>
        <v>21.544715447154474</v>
      </c>
      <c r="W256" s="180"/>
      <c r="X256" s="180"/>
      <c r="Y256" s="180"/>
      <c r="Z256" s="180"/>
      <c r="AA256" s="180"/>
      <c r="AB256" s="180"/>
      <c r="AC256" s="180"/>
      <c r="AD256" s="180"/>
      <c r="AE256" s="180"/>
      <c r="AF256" s="180"/>
      <c r="AG256" s="180"/>
      <c r="AH256" s="180"/>
      <c r="AI256" s="180">
        <v>48250000</v>
      </c>
      <c r="AJ256" s="181">
        <f t="shared" si="73"/>
        <v>78.455284552845526</v>
      </c>
      <c r="AK256" s="180">
        <f t="shared" si="87"/>
        <v>13250000</v>
      </c>
      <c r="AL256" s="181">
        <f t="shared" si="74"/>
        <v>21.544715447154474</v>
      </c>
      <c r="AM256" s="243"/>
    </row>
    <row r="257" spans="1:39" ht="24.75" customHeight="1" x14ac:dyDescent="0.25">
      <c r="A257" s="243"/>
      <c r="B257" s="437"/>
      <c r="C257" s="437"/>
      <c r="D257" s="437"/>
      <c r="E257" s="437"/>
      <c r="F257" s="437"/>
      <c r="G257" s="437"/>
      <c r="H257" s="437"/>
      <c r="I257" s="438"/>
      <c r="J257" s="437" t="s">
        <v>280</v>
      </c>
      <c r="K257" s="245"/>
      <c r="L257" s="257"/>
      <c r="M257" s="591" t="s">
        <v>281</v>
      </c>
      <c r="N257" s="592"/>
      <c r="O257" s="179"/>
      <c r="P257" s="180"/>
      <c r="Q257" s="180">
        <v>15000000</v>
      </c>
      <c r="R257" s="181">
        <f t="shared" si="88"/>
        <v>3.2462352544091884</v>
      </c>
      <c r="S257" s="181">
        <v>100</v>
      </c>
      <c r="T257" s="180">
        <f t="shared" si="72"/>
        <v>0</v>
      </c>
      <c r="U257" s="180">
        <f t="shared" si="80"/>
        <v>0</v>
      </c>
      <c r="V257" s="182">
        <f t="shared" si="77"/>
        <v>100</v>
      </c>
      <c r="W257" s="180"/>
      <c r="X257" s="180"/>
      <c r="Y257" s="180"/>
      <c r="Z257" s="180"/>
      <c r="AA257" s="180"/>
      <c r="AB257" s="180"/>
      <c r="AC257" s="180"/>
      <c r="AD257" s="180"/>
      <c r="AE257" s="180"/>
      <c r="AF257" s="180"/>
      <c r="AG257" s="180"/>
      <c r="AH257" s="180"/>
      <c r="AI257" s="180">
        <v>0</v>
      </c>
      <c r="AJ257" s="181">
        <f t="shared" si="73"/>
        <v>0</v>
      </c>
      <c r="AK257" s="180">
        <f t="shared" si="87"/>
        <v>15000000</v>
      </c>
      <c r="AL257" s="181">
        <f t="shared" si="74"/>
        <v>100</v>
      </c>
      <c r="AM257" s="243"/>
    </row>
    <row r="258" spans="1:39" ht="24.75" customHeight="1" x14ac:dyDescent="0.25">
      <c r="A258" s="243"/>
      <c r="B258" s="437"/>
      <c r="C258" s="437"/>
      <c r="D258" s="437"/>
      <c r="E258" s="437"/>
      <c r="F258" s="437"/>
      <c r="G258" s="437"/>
      <c r="H258" s="437"/>
      <c r="I258" s="438"/>
      <c r="J258" s="437" t="s">
        <v>284</v>
      </c>
      <c r="K258" s="245"/>
      <c r="L258" s="257"/>
      <c r="M258" s="591" t="s">
        <v>285</v>
      </c>
      <c r="N258" s="592"/>
      <c r="O258" s="179"/>
      <c r="P258" s="180"/>
      <c r="Q258" s="180">
        <v>6600000</v>
      </c>
      <c r="R258" s="181">
        <f t="shared" si="88"/>
        <v>1.4283435119400427</v>
      </c>
      <c r="S258" s="181">
        <v>100</v>
      </c>
      <c r="T258" s="180">
        <f t="shared" si="72"/>
        <v>0</v>
      </c>
      <c r="U258" s="180">
        <f t="shared" si="80"/>
        <v>0</v>
      </c>
      <c r="V258" s="182">
        <f t="shared" si="77"/>
        <v>100</v>
      </c>
      <c r="W258" s="180"/>
      <c r="X258" s="180"/>
      <c r="Y258" s="180"/>
      <c r="Z258" s="180"/>
      <c r="AA258" s="180"/>
      <c r="AB258" s="180"/>
      <c r="AC258" s="180"/>
      <c r="AD258" s="180"/>
      <c r="AE258" s="180"/>
      <c r="AF258" s="180"/>
      <c r="AG258" s="180"/>
      <c r="AH258" s="180"/>
      <c r="AI258" s="180">
        <v>0</v>
      </c>
      <c r="AJ258" s="181">
        <f t="shared" si="73"/>
        <v>0</v>
      </c>
      <c r="AK258" s="180">
        <f t="shared" si="87"/>
        <v>6600000</v>
      </c>
      <c r="AL258" s="181">
        <f t="shared" si="74"/>
        <v>100</v>
      </c>
      <c r="AM258" s="243"/>
    </row>
    <row r="259" spans="1:39" ht="24.75" customHeight="1" x14ac:dyDescent="0.25">
      <c r="A259" s="243"/>
      <c r="B259" s="437"/>
      <c r="C259" s="437"/>
      <c r="D259" s="437"/>
      <c r="E259" s="437"/>
      <c r="F259" s="437"/>
      <c r="G259" s="437"/>
      <c r="H259" s="437"/>
      <c r="I259" s="438"/>
      <c r="J259" s="437" t="s">
        <v>282</v>
      </c>
      <c r="K259" s="245"/>
      <c r="L259" s="257"/>
      <c r="M259" s="591" t="s">
        <v>283</v>
      </c>
      <c r="N259" s="592"/>
      <c r="O259" s="179"/>
      <c r="P259" s="180"/>
      <c r="Q259" s="180">
        <v>33250000</v>
      </c>
      <c r="R259" s="181">
        <f t="shared" si="88"/>
        <v>7.1958214806070337</v>
      </c>
      <c r="S259" s="181">
        <v>100</v>
      </c>
      <c r="T259" s="180">
        <f t="shared" si="72"/>
        <v>46.145864661654137</v>
      </c>
      <c r="U259" s="180">
        <f t="shared" si="80"/>
        <v>3.3205740417351586</v>
      </c>
      <c r="V259" s="182">
        <f t="shared" si="77"/>
        <v>53.854135338345863</v>
      </c>
      <c r="W259" s="180"/>
      <c r="X259" s="180"/>
      <c r="Y259" s="180"/>
      <c r="Z259" s="180"/>
      <c r="AA259" s="180"/>
      <c r="AB259" s="180"/>
      <c r="AC259" s="180"/>
      <c r="AD259" s="180"/>
      <c r="AE259" s="180"/>
      <c r="AF259" s="180"/>
      <c r="AG259" s="180"/>
      <c r="AH259" s="180"/>
      <c r="AI259" s="180">
        <v>15343500</v>
      </c>
      <c r="AJ259" s="181">
        <f t="shared" si="73"/>
        <v>46.145864661654137</v>
      </c>
      <c r="AK259" s="180">
        <f t="shared" si="87"/>
        <v>17906500</v>
      </c>
      <c r="AL259" s="181">
        <f t="shared" si="74"/>
        <v>53.854135338345863</v>
      </c>
      <c r="AM259" s="243"/>
    </row>
    <row r="260" spans="1:39" ht="24.75" customHeight="1" x14ac:dyDescent="0.25">
      <c r="A260" s="243"/>
      <c r="B260" s="437"/>
      <c r="C260" s="437"/>
      <c r="D260" s="437"/>
      <c r="E260" s="437"/>
      <c r="F260" s="437"/>
      <c r="G260" s="437"/>
      <c r="H260" s="437"/>
      <c r="I260" s="438"/>
      <c r="J260" s="437" t="s">
        <v>306</v>
      </c>
      <c r="K260" s="245"/>
      <c r="L260" s="257"/>
      <c r="M260" s="591" t="s">
        <v>325</v>
      </c>
      <c r="N260" s="592"/>
      <c r="O260" s="179"/>
      <c r="P260" s="180"/>
      <c r="Q260" s="180">
        <v>45000000</v>
      </c>
      <c r="R260" s="181">
        <f t="shared" si="88"/>
        <v>9.7387057632275642</v>
      </c>
      <c r="S260" s="181">
        <v>100</v>
      </c>
      <c r="T260" s="180">
        <f t="shared" si="72"/>
        <v>99.533333333333331</v>
      </c>
      <c r="U260" s="180">
        <f t="shared" si="80"/>
        <v>9.6932584696658353</v>
      </c>
      <c r="V260" s="182">
        <f t="shared" si="77"/>
        <v>0.46666666666666856</v>
      </c>
      <c r="W260" s="180"/>
      <c r="X260" s="180"/>
      <c r="Y260" s="180"/>
      <c r="Z260" s="180"/>
      <c r="AA260" s="180"/>
      <c r="AB260" s="180"/>
      <c r="AC260" s="180"/>
      <c r="AD260" s="180"/>
      <c r="AE260" s="180"/>
      <c r="AF260" s="180"/>
      <c r="AG260" s="180"/>
      <c r="AH260" s="180"/>
      <c r="AI260" s="180">
        <v>44790000</v>
      </c>
      <c r="AJ260" s="181">
        <f t="shared" si="73"/>
        <v>99.533333333333331</v>
      </c>
      <c r="AK260" s="180">
        <f t="shared" si="87"/>
        <v>210000</v>
      </c>
      <c r="AL260" s="181">
        <f t="shared" si="74"/>
        <v>0.46666666666666673</v>
      </c>
      <c r="AM260" s="243"/>
    </row>
    <row r="261" spans="1:39" ht="24.75" customHeight="1" x14ac:dyDescent="0.25">
      <c r="A261" s="243"/>
      <c r="B261" s="437"/>
      <c r="C261" s="437"/>
      <c r="D261" s="437"/>
      <c r="E261" s="437"/>
      <c r="F261" s="437"/>
      <c r="G261" s="437"/>
      <c r="H261" s="437"/>
      <c r="I261" s="438"/>
      <c r="J261" s="437" t="s">
        <v>379</v>
      </c>
      <c r="K261" s="245"/>
      <c r="L261" s="257"/>
      <c r="M261" s="591" t="s">
        <v>601</v>
      </c>
      <c r="N261" s="592"/>
      <c r="O261" s="179"/>
      <c r="P261" s="180"/>
      <c r="Q261" s="180">
        <v>31843720</v>
      </c>
      <c r="R261" s="181">
        <f t="shared" si="88"/>
        <v>6.8914804330356638</v>
      </c>
      <c r="S261" s="181">
        <v>100</v>
      </c>
      <c r="T261" s="180">
        <f t="shared" si="72"/>
        <v>0</v>
      </c>
      <c r="U261" s="180">
        <f t="shared" si="80"/>
        <v>0</v>
      </c>
      <c r="V261" s="182">
        <f t="shared" si="77"/>
        <v>100</v>
      </c>
      <c r="W261" s="180"/>
      <c r="X261" s="180"/>
      <c r="Y261" s="180"/>
      <c r="Z261" s="180"/>
      <c r="AA261" s="180"/>
      <c r="AB261" s="180"/>
      <c r="AC261" s="180"/>
      <c r="AD261" s="180"/>
      <c r="AE261" s="180"/>
      <c r="AF261" s="180"/>
      <c r="AG261" s="180"/>
      <c r="AH261" s="180"/>
      <c r="AI261" s="180">
        <v>0</v>
      </c>
      <c r="AJ261" s="181">
        <f t="shared" si="73"/>
        <v>0</v>
      </c>
      <c r="AK261" s="180">
        <f t="shared" si="87"/>
        <v>31843720</v>
      </c>
      <c r="AL261" s="181">
        <f t="shared" si="74"/>
        <v>100</v>
      </c>
      <c r="AM261" s="243"/>
    </row>
    <row r="262" spans="1:39" ht="24.75" customHeight="1" x14ac:dyDescent="0.25">
      <c r="A262" s="243"/>
      <c r="B262" s="437"/>
      <c r="C262" s="437"/>
      <c r="D262" s="437"/>
      <c r="E262" s="437"/>
      <c r="F262" s="437"/>
      <c r="G262" s="437"/>
      <c r="H262" s="437"/>
      <c r="I262" s="438"/>
      <c r="J262" s="437" t="s">
        <v>380</v>
      </c>
      <c r="K262" s="245"/>
      <c r="L262" s="257"/>
      <c r="M262" s="591" t="s">
        <v>321</v>
      </c>
      <c r="N262" s="592"/>
      <c r="O262" s="179"/>
      <c r="P262" s="180"/>
      <c r="Q262" s="180">
        <v>40000000</v>
      </c>
      <c r="R262" s="181">
        <f>Q262/Q$249*100</f>
        <v>8.6566273450911684</v>
      </c>
      <c r="S262" s="181">
        <v>100</v>
      </c>
      <c r="T262" s="180">
        <f t="shared" si="72"/>
        <v>13.5</v>
      </c>
      <c r="U262" s="180">
        <f t="shared" si="80"/>
        <v>1.1686446915873077</v>
      </c>
      <c r="V262" s="182">
        <f t="shared" si="77"/>
        <v>86.5</v>
      </c>
      <c r="W262" s="180"/>
      <c r="X262" s="180"/>
      <c r="Y262" s="180"/>
      <c r="Z262" s="180"/>
      <c r="AA262" s="180"/>
      <c r="AB262" s="180"/>
      <c r="AC262" s="180"/>
      <c r="AD262" s="180"/>
      <c r="AE262" s="180"/>
      <c r="AF262" s="180"/>
      <c r="AG262" s="180"/>
      <c r="AH262" s="180"/>
      <c r="AI262" s="180">
        <v>5400000</v>
      </c>
      <c r="AJ262" s="181">
        <f t="shared" si="73"/>
        <v>13.5</v>
      </c>
      <c r="AK262" s="180">
        <f t="shared" si="87"/>
        <v>34600000</v>
      </c>
      <c r="AL262" s="181">
        <f t="shared" si="74"/>
        <v>86.5</v>
      </c>
      <c r="AM262" s="243"/>
    </row>
    <row r="263" spans="1:39" ht="24.75" customHeight="1" x14ac:dyDescent="0.25">
      <c r="A263" s="243"/>
      <c r="B263" s="437"/>
      <c r="C263" s="437"/>
      <c r="D263" s="437"/>
      <c r="E263" s="437"/>
      <c r="F263" s="437"/>
      <c r="G263" s="437"/>
      <c r="H263" s="437"/>
      <c r="I263" s="438"/>
      <c r="J263" s="437" t="s">
        <v>413</v>
      </c>
      <c r="K263" s="245"/>
      <c r="L263" s="257"/>
      <c r="M263" s="591" t="s">
        <v>414</v>
      </c>
      <c r="N263" s="592"/>
      <c r="O263" s="179"/>
      <c r="P263" s="180"/>
      <c r="Q263" s="180">
        <v>18000000</v>
      </c>
      <c r="R263" s="181">
        <f>Q263/Q$249*100</f>
        <v>3.8954823052910257</v>
      </c>
      <c r="S263" s="181">
        <v>100</v>
      </c>
      <c r="T263" s="180">
        <f t="shared" si="72"/>
        <v>8.6111111111111107</v>
      </c>
      <c r="U263" s="180">
        <f t="shared" si="80"/>
        <v>0.33544430962228278</v>
      </c>
      <c r="V263" s="182">
        <f t="shared" si="77"/>
        <v>91.388888888888886</v>
      </c>
      <c r="W263" s="180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180"/>
      <c r="AI263" s="180">
        <v>1550000</v>
      </c>
      <c r="AJ263" s="181">
        <f t="shared" si="73"/>
        <v>8.6111111111111107</v>
      </c>
      <c r="AK263" s="180">
        <f t="shared" si="87"/>
        <v>16450000</v>
      </c>
      <c r="AL263" s="181">
        <f t="shared" si="74"/>
        <v>91.388888888888886</v>
      </c>
      <c r="AM263" s="243"/>
    </row>
    <row r="264" spans="1:39" s="297" customFormat="1" ht="30.75" customHeight="1" x14ac:dyDescent="0.25">
      <c r="A264" s="227">
        <f>SUM(A249+1)</f>
        <v>37</v>
      </c>
      <c r="B264" s="442"/>
      <c r="C264" s="442"/>
      <c r="D264" s="442"/>
      <c r="E264" s="442"/>
      <c r="F264" s="442"/>
      <c r="G264" s="442"/>
      <c r="H264" s="442"/>
      <c r="I264" s="441"/>
      <c r="J264" s="304" t="s">
        <v>480</v>
      </c>
      <c r="K264" s="230"/>
      <c r="L264" s="294"/>
      <c r="M264" s="610" t="s">
        <v>338</v>
      </c>
      <c r="N264" s="612"/>
      <c r="O264" s="309"/>
      <c r="P264" s="231"/>
      <c r="Q264" s="231">
        <f>SUM(Q265:Q274)</f>
        <v>64057069</v>
      </c>
      <c r="R264" s="233">
        <f>Q264/Q$248*100</f>
        <v>0.53703808544754672</v>
      </c>
      <c r="S264" s="233">
        <v>100</v>
      </c>
      <c r="T264" s="231">
        <f t="shared" si="72"/>
        <v>0</v>
      </c>
      <c r="U264" s="231">
        <f>R264*T264/100</f>
        <v>0</v>
      </c>
      <c r="V264" s="296">
        <f t="shared" si="77"/>
        <v>100</v>
      </c>
      <c r="W264" s="231"/>
      <c r="X264" s="231" t="e">
        <f>#REF!</f>
        <v>#REF!</v>
      </c>
      <c r="Y264" s="231" t="e">
        <f>#REF!</f>
        <v>#REF!</v>
      </c>
      <c r="Z264" s="231" t="e">
        <f>#REF!</f>
        <v>#REF!</v>
      </c>
      <c r="AA264" s="231" t="e">
        <f>#REF!</f>
        <v>#REF!</v>
      </c>
      <c r="AB264" s="231">
        <v>391775001</v>
      </c>
      <c r="AC264" s="231" t="e">
        <f>#REF!</f>
        <v>#REF!</v>
      </c>
      <c r="AD264" s="231" t="e">
        <f>#REF!</f>
        <v>#REF!</v>
      </c>
      <c r="AE264" s="231" t="e">
        <f>#REF!</f>
        <v>#REF!</v>
      </c>
      <c r="AF264" s="231" t="e">
        <f>[1]April!N55</f>
        <v>#REF!</v>
      </c>
      <c r="AG264" s="231" t="e">
        <f>[2]april!N55</f>
        <v>#REF!</v>
      </c>
      <c r="AH264" s="231" t="e">
        <f>'[3]DES SKPD'!$N55</f>
        <v>#REF!</v>
      </c>
      <c r="AI264" s="231">
        <f>SUM(AI265:AI274)</f>
        <v>0</v>
      </c>
      <c r="AJ264" s="233">
        <f t="shared" si="73"/>
        <v>0</v>
      </c>
      <c r="AK264" s="231">
        <f t="shared" si="87"/>
        <v>64057069</v>
      </c>
      <c r="AL264" s="233">
        <f t="shared" si="74"/>
        <v>100</v>
      </c>
      <c r="AM264" s="227"/>
    </row>
    <row r="265" spans="1:39" ht="24.75" customHeight="1" x14ac:dyDescent="0.25">
      <c r="A265" s="243"/>
      <c r="B265" s="437"/>
      <c r="C265" s="437"/>
      <c r="D265" s="437"/>
      <c r="E265" s="437"/>
      <c r="F265" s="437"/>
      <c r="G265" s="437"/>
      <c r="H265" s="437"/>
      <c r="I265" s="438"/>
      <c r="J265" s="437" t="s">
        <v>326</v>
      </c>
      <c r="K265" s="245"/>
      <c r="L265" s="257"/>
      <c r="M265" s="591" t="s">
        <v>327</v>
      </c>
      <c r="N265" s="592"/>
      <c r="O265" s="179"/>
      <c r="P265" s="180"/>
      <c r="Q265" s="180">
        <v>15750000</v>
      </c>
      <c r="R265" s="181">
        <f>Q265/Q$264*100</f>
        <v>24.587450293737291</v>
      </c>
      <c r="S265" s="181">
        <v>100</v>
      </c>
      <c r="T265" s="180">
        <f t="shared" si="72"/>
        <v>0</v>
      </c>
      <c r="U265" s="180">
        <f t="shared" si="80"/>
        <v>0</v>
      </c>
      <c r="V265" s="182">
        <f t="shared" si="77"/>
        <v>100</v>
      </c>
      <c r="W265" s="180"/>
      <c r="X265" s="180"/>
      <c r="Y265" s="180"/>
      <c r="Z265" s="180"/>
      <c r="AA265" s="180"/>
      <c r="AB265" s="180"/>
      <c r="AC265" s="180"/>
      <c r="AD265" s="180"/>
      <c r="AE265" s="180"/>
      <c r="AF265" s="180"/>
      <c r="AG265" s="180"/>
      <c r="AH265" s="180"/>
      <c r="AI265" s="180">
        <v>0</v>
      </c>
      <c r="AJ265" s="181">
        <f t="shared" si="73"/>
        <v>0</v>
      </c>
      <c r="AK265" s="180">
        <f t="shared" si="87"/>
        <v>15750000</v>
      </c>
      <c r="AL265" s="181">
        <f t="shared" si="74"/>
        <v>100</v>
      </c>
      <c r="AM265" s="243"/>
    </row>
    <row r="266" spans="1:39" ht="24.75" customHeight="1" x14ac:dyDescent="0.25">
      <c r="A266" s="243"/>
      <c r="B266" s="437"/>
      <c r="C266" s="437"/>
      <c r="D266" s="437"/>
      <c r="E266" s="437"/>
      <c r="F266" s="437"/>
      <c r="G266" s="437"/>
      <c r="H266" s="437"/>
      <c r="I266" s="438"/>
      <c r="J266" s="437" t="s">
        <v>323</v>
      </c>
      <c r="K266" s="245"/>
      <c r="L266" s="257"/>
      <c r="M266" s="591" t="s">
        <v>324</v>
      </c>
      <c r="N266" s="592"/>
      <c r="O266" s="179"/>
      <c r="P266" s="180"/>
      <c r="Q266" s="180">
        <v>2468000</v>
      </c>
      <c r="R266" s="181">
        <f t="shared" ref="R266:R274" si="89">Q266/Q$264*100</f>
        <v>3.8528144333297552</v>
      </c>
      <c r="S266" s="181">
        <v>100</v>
      </c>
      <c r="T266" s="180">
        <f t="shared" si="72"/>
        <v>0</v>
      </c>
      <c r="U266" s="180">
        <f t="shared" si="80"/>
        <v>0</v>
      </c>
      <c r="V266" s="182">
        <f t="shared" si="77"/>
        <v>100</v>
      </c>
      <c r="W266" s="180"/>
      <c r="X266" s="180"/>
      <c r="Y266" s="180"/>
      <c r="Z266" s="180"/>
      <c r="AA266" s="180"/>
      <c r="AB266" s="180"/>
      <c r="AC266" s="180"/>
      <c r="AD266" s="180"/>
      <c r="AE266" s="180"/>
      <c r="AF266" s="180"/>
      <c r="AG266" s="180"/>
      <c r="AH266" s="180"/>
      <c r="AI266" s="180">
        <v>0</v>
      </c>
      <c r="AJ266" s="181">
        <f t="shared" si="73"/>
        <v>0</v>
      </c>
      <c r="AK266" s="180">
        <f t="shared" si="87"/>
        <v>2468000</v>
      </c>
      <c r="AL266" s="181">
        <f t="shared" si="74"/>
        <v>100</v>
      </c>
      <c r="AM266" s="243"/>
    </row>
    <row r="267" spans="1:39" ht="24.75" customHeight="1" x14ac:dyDescent="0.25">
      <c r="A267" s="243"/>
      <c r="B267" s="437"/>
      <c r="C267" s="437"/>
      <c r="D267" s="437"/>
      <c r="E267" s="437"/>
      <c r="F267" s="437"/>
      <c r="G267" s="437"/>
      <c r="H267" s="437"/>
      <c r="I267" s="438"/>
      <c r="J267" s="437" t="s">
        <v>269</v>
      </c>
      <c r="K267" s="245"/>
      <c r="L267" s="257"/>
      <c r="M267" s="591" t="s">
        <v>352</v>
      </c>
      <c r="N267" s="592"/>
      <c r="O267" s="179"/>
      <c r="P267" s="180"/>
      <c r="Q267" s="180">
        <v>3000000</v>
      </c>
      <c r="R267" s="181">
        <f t="shared" si="89"/>
        <v>4.6833238654737697</v>
      </c>
      <c r="S267" s="181">
        <v>100</v>
      </c>
      <c r="T267" s="180">
        <f t="shared" si="72"/>
        <v>0</v>
      </c>
      <c r="U267" s="180">
        <f t="shared" si="80"/>
        <v>0</v>
      </c>
      <c r="V267" s="182">
        <f t="shared" si="77"/>
        <v>100</v>
      </c>
      <c r="W267" s="180"/>
      <c r="X267" s="180"/>
      <c r="Y267" s="180"/>
      <c r="Z267" s="180"/>
      <c r="AA267" s="180"/>
      <c r="AB267" s="180"/>
      <c r="AC267" s="180"/>
      <c r="AD267" s="180"/>
      <c r="AE267" s="180"/>
      <c r="AF267" s="180"/>
      <c r="AG267" s="180"/>
      <c r="AH267" s="180"/>
      <c r="AI267" s="180">
        <v>0</v>
      </c>
      <c r="AJ267" s="181">
        <f t="shared" si="73"/>
        <v>0</v>
      </c>
      <c r="AK267" s="180">
        <f t="shared" si="87"/>
        <v>3000000</v>
      </c>
      <c r="AL267" s="181">
        <f t="shared" si="74"/>
        <v>100</v>
      </c>
      <c r="AM267" s="243"/>
    </row>
    <row r="268" spans="1:39" ht="29.25" customHeight="1" x14ac:dyDescent="0.25">
      <c r="A268" s="243"/>
      <c r="B268" s="437"/>
      <c r="C268" s="437"/>
      <c r="D268" s="437"/>
      <c r="E268" s="437"/>
      <c r="F268" s="437"/>
      <c r="G268" s="437"/>
      <c r="H268" s="437"/>
      <c r="I268" s="438"/>
      <c r="J268" s="437" t="s">
        <v>315</v>
      </c>
      <c r="K268" s="245"/>
      <c r="L268" s="257"/>
      <c r="M268" s="591" t="s">
        <v>428</v>
      </c>
      <c r="N268" s="592"/>
      <c r="O268" s="179"/>
      <c r="P268" s="180"/>
      <c r="Q268" s="180">
        <v>2820000</v>
      </c>
      <c r="R268" s="181">
        <f t="shared" si="89"/>
        <v>4.4023244335453438</v>
      </c>
      <c r="S268" s="181">
        <v>100</v>
      </c>
      <c r="T268" s="180">
        <f t="shared" si="72"/>
        <v>0</v>
      </c>
      <c r="U268" s="180">
        <f t="shared" si="80"/>
        <v>0</v>
      </c>
      <c r="V268" s="182">
        <f t="shared" si="77"/>
        <v>100</v>
      </c>
      <c r="W268" s="180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180"/>
      <c r="AI268" s="180">
        <v>0</v>
      </c>
      <c r="AJ268" s="181">
        <f t="shared" si="73"/>
        <v>0</v>
      </c>
      <c r="AK268" s="180">
        <f t="shared" si="87"/>
        <v>2820000</v>
      </c>
      <c r="AL268" s="181">
        <f t="shared" si="74"/>
        <v>100</v>
      </c>
      <c r="AM268" s="243"/>
    </row>
    <row r="269" spans="1:39" ht="29.25" customHeight="1" x14ac:dyDescent="0.25">
      <c r="A269" s="243"/>
      <c r="B269" s="437"/>
      <c r="C269" s="437"/>
      <c r="D269" s="437"/>
      <c r="E269" s="437"/>
      <c r="F269" s="437"/>
      <c r="G269" s="437"/>
      <c r="H269" s="437"/>
      <c r="I269" s="438"/>
      <c r="J269" s="437" t="s">
        <v>318</v>
      </c>
      <c r="K269" s="245"/>
      <c r="L269" s="257"/>
      <c r="M269" s="591" t="s">
        <v>602</v>
      </c>
      <c r="N269" s="592"/>
      <c r="O269" s="179"/>
      <c r="P269" s="180"/>
      <c r="Q269" s="180">
        <v>20000000</v>
      </c>
      <c r="R269" s="181">
        <f t="shared" si="89"/>
        <v>31.222159103158464</v>
      </c>
      <c r="S269" s="181">
        <v>100</v>
      </c>
      <c r="T269" s="180">
        <f t="shared" si="72"/>
        <v>0</v>
      </c>
      <c r="U269" s="180">
        <f t="shared" si="80"/>
        <v>0</v>
      </c>
      <c r="V269" s="182">
        <f t="shared" si="77"/>
        <v>100</v>
      </c>
      <c r="W269" s="180"/>
      <c r="X269" s="180"/>
      <c r="Y269" s="180"/>
      <c r="Z269" s="180"/>
      <c r="AA269" s="180"/>
      <c r="AB269" s="180"/>
      <c r="AC269" s="180"/>
      <c r="AD269" s="180"/>
      <c r="AE269" s="180"/>
      <c r="AF269" s="180"/>
      <c r="AG269" s="180"/>
      <c r="AH269" s="180"/>
      <c r="AI269" s="180">
        <v>0</v>
      </c>
      <c r="AJ269" s="181">
        <f t="shared" si="73"/>
        <v>0</v>
      </c>
      <c r="AK269" s="180">
        <f t="shared" si="87"/>
        <v>20000000</v>
      </c>
      <c r="AL269" s="181">
        <f t="shared" si="74"/>
        <v>100</v>
      </c>
      <c r="AM269" s="243"/>
    </row>
    <row r="270" spans="1:39" ht="29.25" customHeight="1" x14ac:dyDescent="0.25">
      <c r="A270" s="243"/>
      <c r="B270" s="437"/>
      <c r="C270" s="437"/>
      <c r="D270" s="437"/>
      <c r="E270" s="437"/>
      <c r="F270" s="437"/>
      <c r="G270" s="437"/>
      <c r="H270" s="437"/>
      <c r="I270" s="438"/>
      <c r="J270" s="437" t="s">
        <v>339</v>
      </c>
      <c r="K270" s="245"/>
      <c r="L270" s="257"/>
      <c r="M270" s="591" t="s">
        <v>340</v>
      </c>
      <c r="N270" s="592"/>
      <c r="O270" s="179"/>
      <c r="P270" s="180"/>
      <c r="Q270" s="180">
        <v>2000000</v>
      </c>
      <c r="R270" s="181">
        <f t="shared" si="89"/>
        <v>3.1222159103158469</v>
      </c>
      <c r="S270" s="181">
        <v>100</v>
      </c>
      <c r="T270" s="180">
        <f t="shared" si="72"/>
        <v>0</v>
      </c>
      <c r="U270" s="180">
        <f t="shared" si="80"/>
        <v>0</v>
      </c>
      <c r="V270" s="182">
        <f t="shared" si="77"/>
        <v>100</v>
      </c>
      <c r="W270" s="180"/>
      <c r="X270" s="180"/>
      <c r="Y270" s="180"/>
      <c r="Z270" s="180"/>
      <c r="AA270" s="180"/>
      <c r="AB270" s="180"/>
      <c r="AC270" s="180"/>
      <c r="AD270" s="180"/>
      <c r="AE270" s="180"/>
      <c r="AF270" s="180"/>
      <c r="AG270" s="180"/>
      <c r="AH270" s="180"/>
      <c r="AI270" s="180">
        <v>0</v>
      </c>
      <c r="AJ270" s="181">
        <f t="shared" si="73"/>
        <v>0</v>
      </c>
      <c r="AK270" s="180">
        <f t="shared" si="87"/>
        <v>2000000</v>
      </c>
      <c r="AL270" s="181">
        <f t="shared" si="74"/>
        <v>100</v>
      </c>
      <c r="AM270" s="243"/>
    </row>
    <row r="271" spans="1:39" ht="29.25" customHeight="1" x14ac:dyDescent="0.25">
      <c r="A271" s="243"/>
      <c r="B271" s="437"/>
      <c r="C271" s="437"/>
      <c r="D271" s="437"/>
      <c r="E271" s="437"/>
      <c r="F271" s="437"/>
      <c r="G271" s="437"/>
      <c r="H271" s="437"/>
      <c r="I271" s="438"/>
      <c r="J271" s="437" t="s">
        <v>284</v>
      </c>
      <c r="K271" s="245"/>
      <c r="L271" s="257"/>
      <c r="M271" s="591" t="s">
        <v>603</v>
      </c>
      <c r="N271" s="592"/>
      <c r="O271" s="179"/>
      <c r="P271" s="180"/>
      <c r="Q271" s="180">
        <v>1119069</v>
      </c>
      <c r="R271" s="181">
        <f t="shared" si="89"/>
        <v>1.746987518270622</v>
      </c>
      <c r="S271" s="181">
        <v>100</v>
      </c>
      <c r="T271" s="180">
        <f t="shared" si="72"/>
        <v>0</v>
      </c>
      <c r="U271" s="180">
        <f t="shared" si="80"/>
        <v>0</v>
      </c>
      <c r="V271" s="182">
        <f t="shared" si="77"/>
        <v>100</v>
      </c>
      <c r="W271" s="180"/>
      <c r="X271" s="180"/>
      <c r="Y271" s="180"/>
      <c r="Z271" s="180"/>
      <c r="AA271" s="180"/>
      <c r="AB271" s="180"/>
      <c r="AC271" s="180"/>
      <c r="AD271" s="180"/>
      <c r="AE271" s="180"/>
      <c r="AF271" s="180"/>
      <c r="AG271" s="180"/>
      <c r="AH271" s="180"/>
      <c r="AI271" s="180">
        <v>0</v>
      </c>
      <c r="AJ271" s="181">
        <f t="shared" si="73"/>
        <v>0</v>
      </c>
      <c r="AK271" s="180">
        <f t="shared" si="87"/>
        <v>1119069</v>
      </c>
      <c r="AL271" s="181">
        <f t="shared" si="74"/>
        <v>100</v>
      </c>
      <c r="AM271" s="243"/>
    </row>
    <row r="272" spans="1:39" ht="29.25" customHeight="1" x14ac:dyDescent="0.25">
      <c r="A272" s="243"/>
      <c r="B272" s="437"/>
      <c r="C272" s="437"/>
      <c r="D272" s="437"/>
      <c r="E272" s="437"/>
      <c r="F272" s="437"/>
      <c r="G272" s="437"/>
      <c r="H272" s="437"/>
      <c r="I272" s="438"/>
      <c r="J272" s="437" t="s">
        <v>282</v>
      </c>
      <c r="K272" s="245"/>
      <c r="L272" s="257"/>
      <c r="M272" s="591" t="s">
        <v>283</v>
      </c>
      <c r="N272" s="592"/>
      <c r="O272" s="179"/>
      <c r="P272" s="180"/>
      <c r="Q272" s="180">
        <v>6900000</v>
      </c>
      <c r="R272" s="181">
        <f t="shared" si="89"/>
        <v>10.771644890589672</v>
      </c>
      <c r="S272" s="181">
        <v>100</v>
      </c>
      <c r="T272" s="180">
        <f t="shared" si="72"/>
        <v>0</v>
      </c>
      <c r="U272" s="180">
        <f t="shared" si="80"/>
        <v>0</v>
      </c>
      <c r="V272" s="182">
        <f t="shared" si="77"/>
        <v>100</v>
      </c>
      <c r="W272" s="180"/>
      <c r="X272" s="180"/>
      <c r="Y272" s="180"/>
      <c r="Z272" s="180"/>
      <c r="AA272" s="180"/>
      <c r="AB272" s="180"/>
      <c r="AC272" s="180"/>
      <c r="AD272" s="180"/>
      <c r="AE272" s="180"/>
      <c r="AF272" s="180"/>
      <c r="AG272" s="180"/>
      <c r="AH272" s="180"/>
      <c r="AI272" s="180">
        <v>0</v>
      </c>
      <c r="AJ272" s="181">
        <f t="shared" si="73"/>
        <v>0</v>
      </c>
      <c r="AK272" s="180">
        <f t="shared" si="87"/>
        <v>6900000</v>
      </c>
      <c r="AL272" s="181">
        <f t="shared" si="74"/>
        <v>100</v>
      </c>
      <c r="AM272" s="243"/>
    </row>
    <row r="273" spans="1:39" ht="29.25" customHeight="1" x14ac:dyDescent="0.25">
      <c r="A273" s="243"/>
      <c r="B273" s="437"/>
      <c r="C273" s="437"/>
      <c r="D273" s="437"/>
      <c r="E273" s="437"/>
      <c r="F273" s="437"/>
      <c r="G273" s="437"/>
      <c r="H273" s="437"/>
      <c r="I273" s="438"/>
      <c r="J273" s="437" t="s">
        <v>320</v>
      </c>
      <c r="K273" s="245"/>
      <c r="L273" s="257"/>
      <c r="M273" s="591" t="s">
        <v>321</v>
      </c>
      <c r="N273" s="592"/>
      <c r="O273" s="179"/>
      <c r="P273" s="180"/>
      <c r="Q273" s="180">
        <v>7200000</v>
      </c>
      <c r="R273" s="181">
        <f t="shared" si="89"/>
        <v>11.239977277137047</v>
      </c>
      <c r="S273" s="181">
        <v>100</v>
      </c>
      <c r="T273" s="180">
        <f t="shared" si="72"/>
        <v>0</v>
      </c>
      <c r="U273" s="180">
        <f t="shared" si="80"/>
        <v>0</v>
      </c>
      <c r="V273" s="182">
        <f t="shared" si="77"/>
        <v>100</v>
      </c>
      <c r="W273" s="180"/>
      <c r="X273" s="180"/>
      <c r="Y273" s="180"/>
      <c r="Z273" s="180"/>
      <c r="AA273" s="180"/>
      <c r="AB273" s="180"/>
      <c r="AC273" s="180"/>
      <c r="AD273" s="180"/>
      <c r="AE273" s="180"/>
      <c r="AF273" s="180"/>
      <c r="AG273" s="180"/>
      <c r="AH273" s="180"/>
      <c r="AI273" s="180">
        <v>0</v>
      </c>
      <c r="AJ273" s="181">
        <f t="shared" si="73"/>
        <v>0</v>
      </c>
      <c r="AK273" s="180">
        <f t="shared" si="87"/>
        <v>7200000</v>
      </c>
      <c r="AL273" s="181">
        <f t="shared" si="74"/>
        <v>100</v>
      </c>
      <c r="AM273" s="243"/>
    </row>
    <row r="274" spans="1:39" ht="24.75" customHeight="1" x14ac:dyDescent="0.25">
      <c r="A274" s="243"/>
      <c r="B274" s="437"/>
      <c r="C274" s="437"/>
      <c r="D274" s="437"/>
      <c r="E274" s="437"/>
      <c r="F274" s="437"/>
      <c r="G274" s="437"/>
      <c r="H274" s="437"/>
      <c r="I274" s="438"/>
      <c r="J274" s="437" t="s">
        <v>407</v>
      </c>
      <c r="K274" s="245"/>
      <c r="L274" s="257"/>
      <c r="M274" s="591" t="s">
        <v>414</v>
      </c>
      <c r="N274" s="592"/>
      <c r="O274" s="179"/>
      <c r="P274" s="180"/>
      <c r="Q274" s="180">
        <v>2800000</v>
      </c>
      <c r="R274" s="181">
        <f t="shared" si="89"/>
        <v>4.371102274442185</v>
      </c>
      <c r="S274" s="181">
        <v>100</v>
      </c>
      <c r="T274" s="180">
        <f t="shared" si="72"/>
        <v>0</v>
      </c>
      <c r="U274" s="180">
        <f t="shared" si="80"/>
        <v>0</v>
      </c>
      <c r="V274" s="182">
        <f t="shared" si="77"/>
        <v>100</v>
      </c>
      <c r="W274" s="180"/>
      <c r="X274" s="180"/>
      <c r="Y274" s="180"/>
      <c r="Z274" s="180"/>
      <c r="AA274" s="180"/>
      <c r="AB274" s="180"/>
      <c r="AC274" s="180"/>
      <c r="AD274" s="180"/>
      <c r="AE274" s="180"/>
      <c r="AF274" s="180"/>
      <c r="AG274" s="180"/>
      <c r="AH274" s="180"/>
      <c r="AI274" s="180">
        <v>0</v>
      </c>
      <c r="AJ274" s="181">
        <f t="shared" si="73"/>
        <v>0</v>
      </c>
      <c r="AK274" s="180">
        <f t="shared" si="87"/>
        <v>2800000</v>
      </c>
      <c r="AL274" s="181">
        <f t="shared" si="74"/>
        <v>100</v>
      </c>
      <c r="AM274" s="243"/>
    </row>
    <row r="275" spans="1:39" s="311" customFormat="1" ht="34.5" customHeight="1" x14ac:dyDescent="0.25">
      <c r="A275" s="227">
        <f>(A264+1)</f>
        <v>38</v>
      </c>
      <c r="B275" s="615" t="s">
        <v>150</v>
      </c>
      <c r="C275" s="615"/>
      <c r="D275" s="615"/>
      <c r="E275" s="615"/>
      <c r="F275" s="615"/>
      <c r="G275" s="615"/>
      <c r="H275" s="615"/>
      <c r="I275" s="614"/>
      <c r="J275" s="304" t="s">
        <v>482</v>
      </c>
      <c r="K275" s="230"/>
      <c r="L275" s="294"/>
      <c r="M275" s="609" t="s">
        <v>41</v>
      </c>
      <c r="N275" s="609"/>
      <c r="O275" s="310">
        <v>461840000</v>
      </c>
      <c r="P275" s="231">
        <f>O275</f>
        <v>461840000</v>
      </c>
      <c r="Q275" s="231">
        <f>SUM(Q276:Q286)</f>
        <v>300818900</v>
      </c>
      <c r="R275" s="233">
        <f>Q275/Q$248*100</f>
        <v>2.5219887304309383</v>
      </c>
      <c r="S275" s="233">
        <v>100</v>
      </c>
      <c r="T275" s="231">
        <f t="shared" si="72"/>
        <v>9.3689259551178452</v>
      </c>
      <c r="U275" s="231">
        <f t="shared" si="80"/>
        <v>0.23628325675049119</v>
      </c>
      <c r="V275" s="296">
        <f t="shared" si="77"/>
        <v>90.631074044882155</v>
      </c>
      <c r="W275" s="231"/>
      <c r="X275" s="231" t="e">
        <f>#REF!</f>
        <v>#REF!</v>
      </c>
      <c r="Y275" s="231" t="e">
        <f>#REF!</f>
        <v>#REF!</v>
      </c>
      <c r="Z275" s="231" t="e">
        <f>#REF!</f>
        <v>#REF!</v>
      </c>
      <c r="AA275" s="231" t="e">
        <f>#REF!</f>
        <v>#REF!</v>
      </c>
      <c r="AB275" s="231">
        <v>26033000</v>
      </c>
      <c r="AC275" s="231" t="e">
        <f>#REF!</f>
        <v>#REF!</v>
      </c>
      <c r="AD275" s="231" t="e">
        <f>#REF!</f>
        <v>#REF!</v>
      </c>
      <c r="AE275" s="231" t="e">
        <f>#REF!</f>
        <v>#REF!</v>
      </c>
      <c r="AF275" s="231" t="e">
        <f>[1]April!N57</f>
        <v>#REF!</v>
      </c>
      <c r="AG275" s="231" t="e">
        <f>[2]april!N57</f>
        <v>#REF!</v>
      </c>
      <c r="AH275" s="231">
        <f>'[3]DES SKPD'!$N57</f>
        <v>371775000</v>
      </c>
      <c r="AI275" s="231">
        <f>SUM(AI276:AI286)</f>
        <v>28183500</v>
      </c>
      <c r="AJ275" s="233">
        <f t="shared" si="73"/>
        <v>9.3689259551178452</v>
      </c>
      <c r="AK275" s="231">
        <f t="shared" si="87"/>
        <v>272635400</v>
      </c>
      <c r="AL275" s="233">
        <f t="shared" si="74"/>
        <v>90.631074044882155</v>
      </c>
      <c r="AM275" s="227"/>
    </row>
    <row r="276" spans="1:39" ht="28.5" customHeight="1" x14ac:dyDescent="0.25">
      <c r="A276" s="243"/>
      <c r="B276" s="437"/>
      <c r="C276" s="437"/>
      <c r="D276" s="437"/>
      <c r="E276" s="437"/>
      <c r="F276" s="437"/>
      <c r="G276" s="437"/>
      <c r="H276" s="437"/>
      <c r="I276" s="438"/>
      <c r="J276" s="437" t="s">
        <v>257</v>
      </c>
      <c r="K276" s="245"/>
      <c r="L276" s="257"/>
      <c r="M276" s="591" t="s">
        <v>260</v>
      </c>
      <c r="N276" s="592"/>
      <c r="O276" s="179"/>
      <c r="P276" s="180"/>
      <c r="Q276" s="180">
        <v>1540000</v>
      </c>
      <c r="R276" s="181">
        <f>Q276/Q$275*100</f>
        <v>0.51193591891998813</v>
      </c>
      <c r="S276" s="181">
        <v>100</v>
      </c>
      <c r="T276" s="180">
        <f t="shared" si="72"/>
        <v>0</v>
      </c>
      <c r="U276" s="180">
        <f t="shared" si="80"/>
        <v>0</v>
      </c>
      <c r="V276" s="182">
        <f t="shared" si="77"/>
        <v>100</v>
      </c>
      <c r="W276" s="180"/>
      <c r="X276" s="180"/>
      <c r="Y276" s="180"/>
      <c r="Z276" s="180"/>
      <c r="AA276" s="180"/>
      <c r="AB276" s="180"/>
      <c r="AC276" s="180"/>
      <c r="AD276" s="180"/>
      <c r="AE276" s="180"/>
      <c r="AF276" s="180"/>
      <c r="AG276" s="180"/>
      <c r="AH276" s="180"/>
      <c r="AI276" s="180">
        <v>0</v>
      </c>
      <c r="AJ276" s="181">
        <f t="shared" si="73"/>
        <v>0</v>
      </c>
      <c r="AK276" s="180">
        <f t="shared" si="87"/>
        <v>1540000</v>
      </c>
      <c r="AL276" s="181">
        <f t="shared" si="74"/>
        <v>100</v>
      </c>
      <c r="AM276" s="243"/>
    </row>
    <row r="277" spans="1:39" ht="28.5" customHeight="1" x14ac:dyDescent="0.25">
      <c r="A277" s="243"/>
      <c r="B277" s="437"/>
      <c r="C277" s="437"/>
      <c r="D277" s="437"/>
      <c r="E277" s="437"/>
      <c r="F277" s="437"/>
      <c r="G277" s="437"/>
      <c r="H277" s="437"/>
      <c r="I277" s="438"/>
      <c r="J277" s="437" t="s">
        <v>326</v>
      </c>
      <c r="K277" s="245"/>
      <c r="L277" s="257"/>
      <c r="M277" s="591" t="s">
        <v>327</v>
      </c>
      <c r="N277" s="592"/>
      <c r="O277" s="179"/>
      <c r="P277" s="180"/>
      <c r="Q277" s="180">
        <v>140400000</v>
      </c>
      <c r="R277" s="181">
        <f t="shared" ref="R277:R286" si="90">Q277/Q$275*100</f>
        <v>46.672599361276838</v>
      </c>
      <c r="S277" s="181">
        <v>100</v>
      </c>
      <c r="T277" s="180">
        <f t="shared" si="72"/>
        <v>0</v>
      </c>
      <c r="U277" s="180">
        <f t="shared" si="80"/>
        <v>0</v>
      </c>
      <c r="V277" s="182">
        <f t="shared" si="77"/>
        <v>100</v>
      </c>
      <c r="W277" s="180"/>
      <c r="X277" s="180"/>
      <c r="Y277" s="180"/>
      <c r="Z277" s="180"/>
      <c r="AA277" s="180"/>
      <c r="AB277" s="180"/>
      <c r="AC277" s="180"/>
      <c r="AD277" s="180"/>
      <c r="AE277" s="180"/>
      <c r="AF277" s="180"/>
      <c r="AG277" s="180"/>
      <c r="AH277" s="180"/>
      <c r="AI277" s="180">
        <v>0</v>
      </c>
      <c r="AJ277" s="181">
        <f t="shared" si="73"/>
        <v>0</v>
      </c>
      <c r="AK277" s="180">
        <f t="shared" si="87"/>
        <v>140400000</v>
      </c>
      <c r="AL277" s="181">
        <f t="shared" si="74"/>
        <v>100</v>
      </c>
      <c r="AM277" s="243"/>
    </row>
    <row r="278" spans="1:39" ht="28.5" customHeight="1" x14ac:dyDescent="0.25">
      <c r="A278" s="243"/>
      <c r="B278" s="437"/>
      <c r="C278" s="437"/>
      <c r="D278" s="437"/>
      <c r="E278" s="437"/>
      <c r="F278" s="437"/>
      <c r="G278" s="437"/>
      <c r="H278" s="437"/>
      <c r="I278" s="438"/>
      <c r="J278" s="437" t="s">
        <v>323</v>
      </c>
      <c r="K278" s="245"/>
      <c r="L278" s="257"/>
      <c r="M278" s="591" t="s">
        <v>324</v>
      </c>
      <c r="N278" s="592"/>
      <c r="O278" s="179"/>
      <c r="P278" s="180"/>
      <c r="Q278" s="180">
        <v>10250000</v>
      </c>
      <c r="R278" s="181">
        <f t="shared" si="90"/>
        <v>3.4073656941103101</v>
      </c>
      <c r="S278" s="181">
        <v>100</v>
      </c>
      <c r="T278" s="180">
        <f t="shared" si="72"/>
        <v>0</v>
      </c>
      <c r="U278" s="180">
        <f t="shared" si="80"/>
        <v>0</v>
      </c>
      <c r="V278" s="182">
        <f t="shared" si="77"/>
        <v>100</v>
      </c>
      <c r="W278" s="180"/>
      <c r="X278" s="180"/>
      <c r="Y278" s="180"/>
      <c r="Z278" s="180"/>
      <c r="AA278" s="180"/>
      <c r="AB278" s="180"/>
      <c r="AC278" s="180"/>
      <c r="AD278" s="180"/>
      <c r="AE278" s="180"/>
      <c r="AF278" s="180"/>
      <c r="AG278" s="180"/>
      <c r="AH278" s="180"/>
      <c r="AI278" s="180">
        <v>0</v>
      </c>
      <c r="AJ278" s="181">
        <f t="shared" si="73"/>
        <v>0</v>
      </c>
      <c r="AK278" s="180">
        <f t="shared" si="87"/>
        <v>10250000</v>
      </c>
      <c r="AL278" s="181">
        <f t="shared" si="74"/>
        <v>100</v>
      </c>
      <c r="AM278" s="243"/>
    </row>
    <row r="279" spans="1:39" ht="28.5" customHeight="1" x14ac:dyDescent="0.25">
      <c r="A279" s="243"/>
      <c r="B279" s="437"/>
      <c r="C279" s="437"/>
      <c r="D279" s="437"/>
      <c r="E279" s="437"/>
      <c r="F279" s="437"/>
      <c r="G279" s="437"/>
      <c r="H279" s="437"/>
      <c r="I279" s="438"/>
      <c r="J279" s="437" t="s">
        <v>336</v>
      </c>
      <c r="K279" s="245"/>
      <c r="L279" s="257"/>
      <c r="M279" s="591" t="s">
        <v>337</v>
      </c>
      <c r="N279" s="592"/>
      <c r="O279" s="179"/>
      <c r="P279" s="180"/>
      <c r="Q279" s="180">
        <v>10000000</v>
      </c>
      <c r="R279" s="181">
        <f t="shared" si="90"/>
        <v>3.3242592137661564</v>
      </c>
      <c r="S279" s="181">
        <v>100</v>
      </c>
      <c r="T279" s="180">
        <f t="shared" si="72"/>
        <v>0</v>
      </c>
      <c r="U279" s="180">
        <f t="shared" si="80"/>
        <v>0</v>
      </c>
      <c r="V279" s="182">
        <f t="shared" si="77"/>
        <v>100</v>
      </c>
      <c r="W279" s="180"/>
      <c r="X279" s="180"/>
      <c r="Y279" s="180"/>
      <c r="Z279" s="180"/>
      <c r="AA279" s="180"/>
      <c r="AB279" s="180"/>
      <c r="AC279" s="180"/>
      <c r="AD279" s="180"/>
      <c r="AE279" s="180"/>
      <c r="AF279" s="180"/>
      <c r="AG279" s="180"/>
      <c r="AH279" s="180"/>
      <c r="AI279" s="180">
        <v>0</v>
      </c>
      <c r="AJ279" s="181">
        <f t="shared" si="73"/>
        <v>0</v>
      </c>
      <c r="AK279" s="180">
        <f t="shared" si="87"/>
        <v>10000000</v>
      </c>
      <c r="AL279" s="181">
        <f t="shared" si="74"/>
        <v>100</v>
      </c>
      <c r="AM279" s="243"/>
    </row>
    <row r="280" spans="1:39" ht="28.5" customHeight="1" x14ac:dyDescent="0.25">
      <c r="A280" s="243"/>
      <c r="B280" s="437"/>
      <c r="C280" s="437"/>
      <c r="D280" s="437"/>
      <c r="E280" s="437"/>
      <c r="F280" s="437"/>
      <c r="G280" s="437"/>
      <c r="H280" s="437"/>
      <c r="I280" s="438"/>
      <c r="J280" s="437" t="s">
        <v>269</v>
      </c>
      <c r="K280" s="245"/>
      <c r="L280" s="257"/>
      <c r="M280" s="591" t="s">
        <v>270</v>
      </c>
      <c r="N280" s="592"/>
      <c r="O280" s="179"/>
      <c r="P280" s="180"/>
      <c r="Q280" s="180">
        <v>23000000</v>
      </c>
      <c r="R280" s="181">
        <f t="shared" si="90"/>
        <v>7.6457961916621588</v>
      </c>
      <c r="S280" s="181">
        <v>100</v>
      </c>
      <c r="T280" s="180">
        <f t="shared" si="72"/>
        <v>67.391304347826093</v>
      </c>
      <c r="U280" s="180">
        <f t="shared" si="80"/>
        <v>5.1526017813375429</v>
      </c>
      <c r="V280" s="182">
        <f t="shared" si="77"/>
        <v>32.608695652173907</v>
      </c>
      <c r="W280" s="180"/>
      <c r="X280" s="180"/>
      <c r="Y280" s="180"/>
      <c r="Z280" s="180"/>
      <c r="AA280" s="180"/>
      <c r="AB280" s="180"/>
      <c r="AC280" s="180"/>
      <c r="AD280" s="180"/>
      <c r="AE280" s="180"/>
      <c r="AF280" s="180"/>
      <c r="AG280" s="180"/>
      <c r="AH280" s="180"/>
      <c r="AI280" s="180">
        <v>15500000</v>
      </c>
      <c r="AJ280" s="181">
        <f t="shared" si="73"/>
        <v>67.391304347826093</v>
      </c>
      <c r="AK280" s="180">
        <f t="shared" si="87"/>
        <v>7500000</v>
      </c>
      <c r="AL280" s="181">
        <f t="shared" si="74"/>
        <v>32.608695652173914</v>
      </c>
      <c r="AM280" s="243"/>
    </row>
    <row r="281" spans="1:39" ht="28.5" customHeight="1" x14ac:dyDescent="0.25">
      <c r="A281" s="243"/>
      <c r="B281" s="437"/>
      <c r="C281" s="437"/>
      <c r="D281" s="437"/>
      <c r="E281" s="437"/>
      <c r="F281" s="437"/>
      <c r="G281" s="437"/>
      <c r="H281" s="437"/>
      <c r="I281" s="438"/>
      <c r="J281" s="437" t="s">
        <v>315</v>
      </c>
      <c r="K281" s="245"/>
      <c r="L281" s="257"/>
      <c r="M281" s="591" t="s">
        <v>271</v>
      </c>
      <c r="N281" s="592"/>
      <c r="O281" s="179"/>
      <c r="P281" s="180"/>
      <c r="Q281" s="180">
        <v>17250000</v>
      </c>
      <c r="R281" s="181">
        <f t="shared" si="90"/>
        <v>5.7343471437466196</v>
      </c>
      <c r="S281" s="181">
        <v>100</v>
      </c>
      <c r="T281" s="180">
        <f t="shared" ref="T281:T344" si="91">AJ281</f>
        <v>0</v>
      </c>
      <c r="U281" s="180">
        <f t="shared" si="80"/>
        <v>0</v>
      </c>
      <c r="V281" s="182">
        <f t="shared" si="77"/>
        <v>100</v>
      </c>
      <c r="W281" s="180"/>
      <c r="X281" s="180"/>
      <c r="Y281" s="180"/>
      <c r="Z281" s="180"/>
      <c r="AA281" s="180"/>
      <c r="AB281" s="180"/>
      <c r="AC281" s="180"/>
      <c r="AD281" s="180"/>
      <c r="AE281" s="180"/>
      <c r="AF281" s="180"/>
      <c r="AG281" s="180"/>
      <c r="AH281" s="180"/>
      <c r="AI281" s="180">
        <v>0</v>
      </c>
      <c r="AJ281" s="181">
        <f t="shared" ref="AJ281:AJ344" si="92">AI281/Q281*100</f>
        <v>0</v>
      </c>
      <c r="AK281" s="180">
        <f t="shared" si="87"/>
        <v>17250000</v>
      </c>
      <c r="AL281" s="181">
        <f t="shared" ref="AL281:AL344" si="93">AK281/Q281*100</f>
        <v>100</v>
      </c>
      <c r="AM281" s="243"/>
    </row>
    <row r="282" spans="1:39" ht="28.5" customHeight="1" x14ac:dyDescent="0.25">
      <c r="A282" s="243"/>
      <c r="B282" s="437"/>
      <c r="C282" s="437"/>
      <c r="D282" s="437"/>
      <c r="E282" s="437"/>
      <c r="F282" s="437"/>
      <c r="G282" s="437"/>
      <c r="H282" s="437"/>
      <c r="I282" s="438"/>
      <c r="J282" s="437" t="s">
        <v>318</v>
      </c>
      <c r="K282" s="245"/>
      <c r="L282" s="257"/>
      <c r="M282" s="591" t="s">
        <v>319</v>
      </c>
      <c r="N282" s="592"/>
      <c r="O282" s="179"/>
      <c r="P282" s="180"/>
      <c r="Q282" s="180">
        <v>32500000</v>
      </c>
      <c r="R282" s="181">
        <f t="shared" si="90"/>
        <v>10.803842444740008</v>
      </c>
      <c r="S282" s="181">
        <v>100</v>
      </c>
      <c r="T282" s="180">
        <f t="shared" si="91"/>
        <v>0</v>
      </c>
      <c r="U282" s="180">
        <f t="shared" si="80"/>
        <v>0</v>
      </c>
      <c r="V282" s="182">
        <f t="shared" si="77"/>
        <v>100</v>
      </c>
      <c r="W282" s="180"/>
      <c r="X282" s="180"/>
      <c r="Y282" s="180"/>
      <c r="Z282" s="180"/>
      <c r="AA282" s="180"/>
      <c r="AB282" s="180"/>
      <c r="AC282" s="180"/>
      <c r="AD282" s="180"/>
      <c r="AE282" s="180"/>
      <c r="AF282" s="180"/>
      <c r="AG282" s="180"/>
      <c r="AH282" s="180"/>
      <c r="AI282" s="180">
        <v>0</v>
      </c>
      <c r="AJ282" s="181">
        <f t="shared" si="92"/>
        <v>0</v>
      </c>
      <c r="AK282" s="180">
        <f t="shared" si="87"/>
        <v>32500000</v>
      </c>
      <c r="AL282" s="181">
        <f t="shared" si="93"/>
        <v>100</v>
      </c>
      <c r="AM282" s="243"/>
    </row>
    <row r="283" spans="1:39" ht="28.5" customHeight="1" x14ac:dyDescent="0.25">
      <c r="A283" s="243"/>
      <c r="B283" s="437"/>
      <c r="C283" s="437"/>
      <c r="D283" s="437"/>
      <c r="E283" s="437"/>
      <c r="F283" s="437"/>
      <c r="G283" s="437"/>
      <c r="H283" s="437"/>
      <c r="I283" s="438"/>
      <c r="J283" s="437" t="s">
        <v>280</v>
      </c>
      <c r="K283" s="245"/>
      <c r="L283" s="257"/>
      <c r="M283" s="591" t="s">
        <v>281</v>
      </c>
      <c r="N283" s="592"/>
      <c r="O283" s="179"/>
      <c r="P283" s="180"/>
      <c r="Q283" s="180">
        <v>6500000</v>
      </c>
      <c r="R283" s="181">
        <f t="shared" si="90"/>
        <v>2.1607684889480017</v>
      </c>
      <c r="S283" s="181">
        <v>100</v>
      </c>
      <c r="T283" s="180">
        <f t="shared" si="91"/>
        <v>0</v>
      </c>
      <c r="U283" s="180">
        <f t="shared" si="80"/>
        <v>0</v>
      </c>
      <c r="V283" s="182">
        <f t="shared" si="77"/>
        <v>100</v>
      </c>
      <c r="W283" s="180"/>
      <c r="X283" s="180"/>
      <c r="Y283" s="180"/>
      <c r="Z283" s="180"/>
      <c r="AA283" s="180"/>
      <c r="AB283" s="180"/>
      <c r="AC283" s="180"/>
      <c r="AD283" s="180"/>
      <c r="AE283" s="180"/>
      <c r="AF283" s="180"/>
      <c r="AG283" s="180"/>
      <c r="AH283" s="180"/>
      <c r="AI283" s="180">
        <v>0</v>
      </c>
      <c r="AJ283" s="181">
        <f t="shared" si="92"/>
        <v>0</v>
      </c>
      <c r="AK283" s="180">
        <f t="shared" si="87"/>
        <v>6500000</v>
      </c>
      <c r="AL283" s="181">
        <f t="shared" si="93"/>
        <v>100</v>
      </c>
      <c r="AM283" s="243"/>
    </row>
    <row r="284" spans="1:39" ht="28.5" customHeight="1" x14ac:dyDescent="0.25">
      <c r="A284" s="243"/>
      <c r="B284" s="437"/>
      <c r="C284" s="437"/>
      <c r="D284" s="437"/>
      <c r="E284" s="437"/>
      <c r="F284" s="437"/>
      <c r="G284" s="437"/>
      <c r="H284" s="437"/>
      <c r="I284" s="438"/>
      <c r="J284" s="437" t="s">
        <v>284</v>
      </c>
      <c r="K284" s="245"/>
      <c r="L284" s="257"/>
      <c r="M284" s="591" t="s">
        <v>285</v>
      </c>
      <c r="N284" s="592"/>
      <c r="O284" s="179"/>
      <c r="P284" s="180"/>
      <c r="Q284" s="180">
        <v>2700000</v>
      </c>
      <c r="R284" s="181">
        <f t="shared" si="90"/>
        <v>0.89754998771686223</v>
      </c>
      <c r="S284" s="181">
        <v>100</v>
      </c>
      <c r="T284" s="180">
        <f t="shared" si="91"/>
        <v>16.296296296296298</v>
      </c>
      <c r="U284" s="180">
        <f t="shared" si="80"/>
        <v>0.1462674054057109</v>
      </c>
      <c r="V284" s="182">
        <f t="shared" si="77"/>
        <v>83.703703703703695</v>
      </c>
      <c r="W284" s="180"/>
      <c r="X284" s="180"/>
      <c r="Y284" s="180"/>
      <c r="Z284" s="180"/>
      <c r="AA284" s="180"/>
      <c r="AB284" s="180"/>
      <c r="AC284" s="180"/>
      <c r="AD284" s="180"/>
      <c r="AE284" s="180"/>
      <c r="AF284" s="180"/>
      <c r="AG284" s="180"/>
      <c r="AH284" s="180"/>
      <c r="AI284" s="180">
        <v>440000</v>
      </c>
      <c r="AJ284" s="181">
        <f t="shared" si="92"/>
        <v>16.296296296296298</v>
      </c>
      <c r="AK284" s="180">
        <f t="shared" si="87"/>
        <v>2260000</v>
      </c>
      <c r="AL284" s="181">
        <f t="shared" si="93"/>
        <v>83.703703703703695</v>
      </c>
      <c r="AM284" s="243"/>
    </row>
    <row r="285" spans="1:39" ht="28.5" customHeight="1" x14ac:dyDescent="0.25">
      <c r="A285" s="243"/>
      <c r="B285" s="437"/>
      <c r="C285" s="437"/>
      <c r="D285" s="437"/>
      <c r="E285" s="437"/>
      <c r="F285" s="437"/>
      <c r="G285" s="437"/>
      <c r="H285" s="437"/>
      <c r="I285" s="438"/>
      <c r="J285" s="437" t="s">
        <v>282</v>
      </c>
      <c r="K285" s="245"/>
      <c r="L285" s="257"/>
      <c r="M285" s="591" t="s">
        <v>283</v>
      </c>
      <c r="N285" s="592"/>
      <c r="O285" s="179"/>
      <c r="P285" s="180"/>
      <c r="Q285" s="180">
        <v>55878900</v>
      </c>
      <c r="R285" s="181">
        <f t="shared" si="90"/>
        <v>18.575594818011769</v>
      </c>
      <c r="S285" s="181">
        <v>100</v>
      </c>
      <c r="T285" s="180">
        <f t="shared" si="91"/>
        <v>21.910774907881152</v>
      </c>
      <c r="U285" s="180">
        <f t="shared" si="80"/>
        <v>4.0700567683745943</v>
      </c>
      <c r="V285" s="182">
        <f t="shared" si="77"/>
        <v>78.089225092118852</v>
      </c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  <c r="AG285" s="180"/>
      <c r="AH285" s="180"/>
      <c r="AI285" s="180">
        <v>12243500</v>
      </c>
      <c r="AJ285" s="181">
        <f t="shared" si="92"/>
        <v>21.910774907881152</v>
      </c>
      <c r="AK285" s="180">
        <f t="shared" si="87"/>
        <v>43635400</v>
      </c>
      <c r="AL285" s="181">
        <f t="shared" si="93"/>
        <v>78.089225092118852</v>
      </c>
      <c r="AM285" s="243"/>
    </row>
    <row r="286" spans="1:39" ht="28.5" customHeight="1" x14ac:dyDescent="0.25">
      <c r="A286" s="243"/>
      <c r="B286" s="437"/>
      <c r="C286" s="437"/>
      <c r="D286" s="437"/>
      <c r="E286" s="437"/>
      <c r="F286" s="437"/>
      <c r="G286" s="437"/>
      <c r="H286" s="437"/>
      <c r="I286" s="438"/>
      <c r="J286" s="437" t="s">
        <v>320</v>
      </c>
      <c r="K286" s="245"/>
      <c r="L286" s="257"/>
      <c r="M286" s="591" t="s">
        <v>414</v>
      </c>
      <c r="N286" s="592"/>
      <c r="O286" s="179"/>
      <c r="P286" s="180"/>
      <c r="Q286" s="180">
        <v>800000</v>
      </c>
      <c r="R286" s="181">
        <f t="shared" si="90"/>
        <v>0.26594073710129251</v>
      </c>
      <c r="S286" s="181">
        <v>100</v>
      </c>
      <c r="T286" s="180">
        <f t="shared" si="91"/>
        <v>0</v>
      </c>
      <c r="U286" s="180">
        <f t="shared" si="80"/>
        <v>0</v>
      </c>
      <c r="V286" s="182">
        <f t="shared" si="77"/>
        <v>100</v>
      </c>
      <c r="W286" s="180"/>
      <c r="X286" s="180"/>
      <c r="Y286" s="180"/>
      <c r="Z286" s="180"/>
      <c r="AA286" s="180"/>
      <c r="AB286" s="180"/>
      <c r="AC286" s="180"/>
      <c r="AD286" s="180"/>
      <c r="AE286" s="180"/>
      <c r="AF286" s="180"/>
      <c r="AG286" s="180"/>
      <c r="AH286" s="180"/>
      <c r="AI286" s="180">
        <v>0</v>
      </c>
      <c r="AJ286" s="181">
        <f t="shared" si="92"/>
        <v>0</v>
      </c>
      <c r="AK286" s="180">
        <f t="shared" si="87"/>
        <v>800000</v>
      </c>
      <c r="AL286" s="181">
        <f t="shared" si="93"/>
        <v>100</v>
      </c>
      <c r="AM286" s="243"/>
    </row>
    <row r="287" spans="1:39" s="297" customFormat="1" ht="28.5" customHeight="1" x14ac:dyDescent="0.25">
      <c r="A287" s="227">
        <f>A275+1</f>
        <v>39</v>
      </c>
      <c r="B287" s="615" t="s">
        <v>151</v>
      </c>
      <c r="C287" s="615"/>
      <c r="D287" s="615"/>
      <c r="E287" s="615"/>
      <c r="F287" s="615"/>
      <c r="G287" s="615"/>
      <c r="H287" s="615"/>
      <c r="I287" s="614"/>
      <c r="J287" s="304" t="s">
        <v>483</v>
      </c>
      <c r="K287" s="230"/>
      <c r="L287" s="294"/>
      <c r="M287" s="610" t="s">
        <v>42</v>
      </c>
      <c r="N287" s="610"/>
      <c r="O287" s="309">
        <v>128761142</v>
      </c>
      <c r="P287" s="231">
        <f>O287</f>
        <v>128761142</v>
      </c>
      <c r="Q287" s="231">
        <f>SUM(Q288:Q296)</f>
        <v>412682320</v>
      </c>
      <c r="R287" s="233">
        <f>Q287/Q$248*100</f>
        <v>3.4598230373427139</v>
      </c>
      <c r="S287" s="233">
        <v>100</v>
      </c>
      <c r="T287" s="231">
        <f t="shared" si="91"/>
        <v>6.0579285296254035</v>
      </c>
      <c r="U287" s="231">
        <f t="shared" si="80"/>
        <v>0.20959360685373646</v>
      </c>
      <c r="V287" s="296">
        <f t="shared" si="77"/>
        <v>93.9420714703746</v>
      </c>
      <c r="W287" s="231"/>
      <c r="X287" s="231" t="e">
        <f>#REF!</f>
        <v>#REF!</v>
      </c>
      <c r="Y287" s="231" t="e">
        <f>#REF!</f>
        <v>#REF!</v>
      </c>
      <c r="Z287" s="231" t="e">
        <f>#REF!</f>
        <v>#REF!</v>
      </c>
      <c r="AA287" s="231" t="e">
        <f>#REF!</f>
        <v>#REF!</v>
      </c>
      <c r="AB287" s="231">
        <v>11060000</v>
      </c>
      <c r="AC287" s="231" t="e">
        <f>#REF!</f>
        <v>#REF!</v>
      </c>
      <c r="AD287" s="231" t="e">
        <f>#REF!</f>
        <v>#REF!</v>
      </c>
      <c r="AE287" s="231" t="e">
        <f>#REF!</f>
        <v>#REF!</v>
      </c>
      <c r="AF287" s="231" t="e">
        <f>[1]April!N58</f>
        <v>#REF!</v>
      </c>
      <c r="AG287" s="231">
        <v>137440000</v>
      </c>
      <c r="AH287" s="231">
        <f>'[3]DES SKPD'!$N58</f>
        <v>133587000</v>
      </c>
      <c r="AI287" s="231">
        <f>SUM(AI288:AI296)</f>
        <v>25000000</v>
      </c>
      <c r="AJ287" s="233">
        <f t="shared" si="92"/>
        <v>6.0579285296254035</v>
      </c>
      <c r="AK287" s="231">
        <f t="shared" si="87"/>
        <v>387682320</v>
      </c>
      <c r="AL287" s="233">
        <f t="shared" si="93"/>
        <v>93.9420714703746</v>
      </c>
      <c r="AM287" s="227"/>
    </row>
    <row r="288" spans="1:39" ht="28.5" customHeight="1" x14ac:dyDescent="0.25">
      <c r="A288" s="243"/>
      <c r="B288" s="437"/>
      <c r="C288" s="437"/>
      <c r="D288" s="437"/>
      <c r="E288" s="437"/>
      <c r="F288" s="437"/>
      <c r="G288" s="437"/>
      <c r="H288" s="437"/>
      <c r="I288" s="438"/>
      <c r="J288" s="437" t="s">
        <v>257</v>
      </c>
      <c r="K288" s="245"/>
      <c r="L288" s="257"/>
      <c r="M288" s="591" t="s">
        <v>260</v>
      </c>
      <c r="N288" s="592"/>
      <c r="O288" s="179"/>
      <c r="P288" s="180"/>
      <c r="Q288" s="180">
        <v>1540000</v>
      </c>
      <c r="R288" s="181">
        <f>Q288/Q$297*100</f>
        <v>0.51971035259647624</v>
      </c>
      <c r="S288" s="181">
        <v>100</v>
      </c>
      <c r="T288" s="180">
        <f t="shared" si="91"/>
        <v>0</v>
      </c>
      <c r="U288" s="180">
        <f t="shared" si="80"/>
        <v>0</v>
      </c>
      <c r="V288" s="182">
        <f t="shared" si="77"/>
        <v>100</v>
      </c>
      <c r="W288" s="180"/>
      <c r="X288" s="180"/>
      <c r="Y288" s="180"/>
      <c r="Z288" s="180"/>
      <c r="AA288" s="180"/>
      <c r="AB288" s="180"/>
      <c r="AC288" s="180"/>
      <c r="AD288" s="180"/>
      <c r="AE288" s="180"/>
      <c r="AF288" s="180"/>
      <c r="AG288" s="180"/>
      <c r="AH288" s="180"/>
      <c r="AI288" s="180">
        <v>0</v>
      </c>
      <c r="AJ288" s="181">
        <f t="shared" si="92"/>
        <v>0</v>
      </c>
      <c r="AK288" s="180">
        <f t="shared" si="87"/>
        <v>1540000</v>
      </c>
      <c r="AL288" s="181">
        <f t="shared" si="93"/>
        <v>100</v>
      </c>
      <c r="AM288" s="243"/>
    </row>
    <row r="289" spans="1:39" ht="28.5" customHeight="1" x14ac:dyDescent="0.25">
      <c r="A289" s="243"/>
      <c r="B289" s="437"/>
      <c r="C289" s="437"/>
      <c r="D289" s="437"/>
      <c r="E289" s="437"/>
      <c r="F289" s="437"/>
      <c r="G289" s="437"/>
      <c r="H289" s="437"/>
      <c r="I289" s="438"/>
      <c r="J289" s="437" t="s">
        <v>326</v>
      </c>
      <c r="K289" s="245"/>
      <c r="L289" s="257"/>
      <c r="M289" s="591" t="s">
        <v>327</v>
      </c>
      <c r="N289" s="592"/>
      <c r="O289" s="179"/>
      <c r="P289" s="180"/>
      <c r="Q289" s="180">
        <v>255600000</v>
      </c>
      <c r="R289" s="181">
        <f>Q289/Q$297*100</f>
        <v>86.258419560817757</v>
      </c>
      <c r="S289" s="181">
        <v>100</v>
      </c>
      <c r="T289" s="180">
        <f>AJ289</f>
        <v>0</v>
      </c>
      <c r="U289" s="180">
        <f>R289*T289/100</f>
        <v>0</v>
      </c>
      <c r="V289" s="182">
        <f>S289-T289</f>
        <v>100</v>
      </c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  <c r="AG289" s="180"/>
      <c r="AH289" s="180"/>
      <c r="AI289" s="180">
        <v>0</v>
      </c>
      <c r="AJ289" s="181">
        <f t="shared" si="92"/>
        <v>0</v>
      </c>
      <c r="AK289" s="180">
        <f t="shared" si="87"/>
        <v>255600000</v>
      </c>
      <c r="AL289" s="181">
        <f t="shared" si="93"/>
        <v>100</v>
      </c>
      <c r="AM289" s="243"/>
    </row>
    <row r="290" spans="1:39" ht="28.5" customHeight="1" x14ac:dyDescent="0.25">
      <c r="A290" s="243"/>
      <c r="B290" s="437"/>
      <c r="C290" s="437"/>
      <c r="D290" s="437"/>
      <c r="E290" s="437"/>
      <c r="F290" s="437"/>
      <c r="G290" s="437"/>
      <c r="H290" s="437"/>
      <c r="I290" s="438"/>
      <c r="J290" s="437" t="s">
        <v>604</v>
      </c>
      <c r="K290" s="245"/>
      <c r="L290" s="257"/>
      <c r="M290" s="591" t="s">
        <v>324</v>
      </c>
      <c r="N290" s="592"/>
      <c r="O290" s="179"/>
      <c r="P290" s="180"/>
      <c r="Q290" s="180">
        <v>10000000</v>
      </c>
      <c r="R290" s="181"/>
      <c r="S290" s="181">
        <v>100</v>
      </c>
      <c r="T290" s="180">
        <f>AJ290</f>
        <v>0</v>
      </c>
      <c r="U290" s="180"/>
      <c r="V290" s="182">
        <f>S290-T290</f>
        <v>100</v>
      </c>
      <c r="W290" s="180"/>
      <c r="X290" s="180"/>
      <c r="Y290" s="180"/>
      <c r="Z290" s="180"/>
      <c r="AA290" s="180"/>
      <c r="AB290" s="180"/>
      <c r="AC290" s="180"/>
      <c r="AD290" s="180"/>
      <c r="AE290" s="180"/>
      <c r="AF290" s="180"/>
      <c r="AG290" s="180"/>
      <c r="AH290" s="180"/>
      <c r="AI290" s="180">
        <v>0</v>
      </c>
      <c r="AJ290" s="181">
        <f t="shared" si="92"/>
        <v>0</v>
      </c>
      <c r="AK290" s="180">
        <f t="shared" si="87"/>
        <v>10000000</v>
      </c>
      <c r="AL290" s="181">
        <f t="shared" si="93"/>
        <v>100</v>
      </c>
      <c r="AM290" s="243"/>
    </row>
    <row r="291" spans="1:39" ht="28.5" customHeight="1" x14ac:dyDescent="0.25">
      <c r="A291" s="243"/>
      <c r="B291" s="437"/>
      <c r="C291" s="437"/>
      <c r="D291" s="437"/>
      <c r="E291" s="437"/>
      <c r="F291" s="437"/>
      <c r="G291" s="437"/>
      <c r="H291" s="437"/>
      <c r="I291" s="438"/>
      <c r="J291" s="437" t="s">
        <v>269</v>
      </c>
      <c r="K291" s="245"/>
      <c r="L291" s="257"/>
      <c r="M291" s="591" t="s">
        <v>270</v>
      </c>
      <c r="N291" s="592"/>
      <c r="O291" s="179"/>
      <c r="P291" s="180"/>
      <c r="Q291" s="180">
        <v>25000000</v>
      </c>
      <c r="R291" s="181">
        <f t="shared" ref="R291:R296" si="94">Q291/Q$297*100</f>
        <v>8.4368563733194204</v>
      </c>
      <c r="S291" s="181">
        <v>100</v>
      </c>
      <c r="T291" s="180">
        <f t="shared" si="91"/>
        <v>100</v>
      </c>
      <c r="U291" s="180">
        <f t="shared" si="80"/>
        <v>8.4368563733194204</v>
      </c>
      <c r="V291" s="182">
        <f t="shared" si="77"/>
        <v>0</v>
      </c>
      <c r="W291" s="180"/>
      <c r="X291" s="180"/>
      <c r="Y291" s="180"/>
      <c r="Z291" s="180"/>
      <c r="AA291" s="180"/>
      <c r="AB291" s="180"/>
      <c r="AC291" s="180"/>
      <c r="AD291" s="180"/>
      <c r="AE291" s="180"/>
      <c r="AF291" s="180"/>
      <c r="AG291" s="180"/>
      <c r="AH291" s="180"/>
      <c r="AI291" s="180">
        <v>25000000</v>
      </c>
      <c r="AJ291" s="181">
        <f t="shared" si="92"/>
        <v>100</v>
      </c>
      <c r="AK291" s="180">
        <f t="shared" si="87"/>
        <v>0</v>
      </c>
      <c r="AL291" s="181">
        <f t="shared" si="93"/>
        <v>0</v>
      </c>
      <c r="AM291" s="243"/>
    </row>
    <row r="292" spans="1:39" ht="28.5" customHeight="1" x14ac:dyDescent="0.25">
      <c r="A292" s="243"/>
      <c r="B292" s="437"/>
      <c r="C292" s="437"/>
      <c r="D292" s="437"/>
      <c r="E292" s="437"/>
      <c r="F292" s="437"/>
      <c r="G292" s="437"/>
      <c r="H292" s="437"/>
      <c r="I292" s="438"/>
      <c r="J292" s="437" t="s">
        <v>315</v>
      </c>
      <c r="K292" s="245"/>
      <c r="L292" s="257"/>
      <c r="M292" s="591" t="s">
        <v>271</v>
      </c>
      <c r="N292" s="592"/>
      <c r="O292" s="179"/>
      <c r="P292" s="180"/>
      <c r="Q292" s="180">
        <v>1000000</v>
      </c>
      <c r="R292" s="181">
        <f t="shared" si="94"/>
        <v>0.33747425493277683</v>
      </c>
      <c r="S292" s="181">
        <v>100</v>
      </c>
      <c r="T292" s="180">
        <f t="shared" si="91"/>
        <v>0</v>
      </c>
      <c r="U292" s="180">
        <f t="shared" si="80"/>
        <v>0</v>
      </c>
      <c r="V292" s="182">
        <f t="shared" si="77"/>
        <v>100</v>
      </c>
      <c r="W292" s="180"/>
      <c r="X292" s="180"/>
      <c r="Y292" s="180"/>
      <c r="Z292" s="180"/>
      <c r="AA292" s="180"/>
      <c r="AB292" s="180"/>
      <c r="AC292" s="180"/>
      <c r="AD292" s="180"/>
      <c r="AE292" s="180"/>
      <c r="AF292" s="180"/>
      <c r="AG292" s="180"/>
      <c r="AH292" s="180"/>
      <c r="AI292" s="180">
        <v>0</v>
      </c>
      <c r="AJ292" s="181">
        <f t="shared" si="92"/>
        <v>0</v>
      </c>
      <c r="AK292" s="180">
        <f t="shared" si="87"/>
        <v>1000000</v>
      </c>
      <c r="AL292" s="181">
        <f t="shared" si="93"/>
        <v>100</v>
      </c>
      <c r="AM292" s="243"/>
    </row>
    <row r="293" spans="1:39" ht="28.5" customHeight="1" x14ac:dyDescent="0.25">
      <c r="A293" s="243"/>
      <c r="B293" s="437"/>
      <c r="C293" s="437"/>
      <c r="D293" s="437"/>
      <c r="E293" s="437"/>
      <c r="F293" s="437"/>
      <c r="G293" s="437"/>
      <c r="H293" s="437"/>
      <c r="I293" s="438"/>
      <c r="J293" s="437" t="s">
        <v>318</v>
      </c>
      <c r="K293" s="245"/>
      <c r="L293" s="257"/>
      <c r="M293" s="591" t="s">
        <v>319</v>
      </c>
      <c r="N293" s="592"/>
      <c r="O293" s="179"/>
      <c r="P293" s="180"/>
      <c r="Q293" s="180">
        <v>105482320</v>
      </c>
      <c r="R293" s="181">
        <f t="shared" si="94"/>
        <v>35.597567350580746</v>
      </c>
      <c r="S293" s="181">
        <v>100</v>
      </c>
      <c r="T293" s="180">
        <f t="shared" si="91"/>
        <v>0</v>
      </c>
      <c r="U293" s="180"/>
      <c r="V293" s="182">
        <f t="shared" si="77"/>
        <v>100</v>
      </c>
      <c r="W293" s="180"/>
      <c r="X293" s="180"/>
      <c r="Y293" s="180"/>
      <c r="Z293" s="180"/>
      <c r="AA293" s="180"/>
      <c r="AB293" s="180"/>
      <c r="AC293" s="180"/>
      <c r="AD293" s="180"/>
      <c r="AE293" s="180"/>
      <c r="AF293" s="180"/>
      <c r="AG293" s="180"/>
      <c r="AH293" s="180"/>
      <c r="AI293" s="180">
        <v>0</v>
      </c>
      <c r="AJ293" s="181">
        <f t="shared" si="92"/>
        <v>0</v>
      </c>
      <c r="AK293" s="180">
        <f t="shared" si="87"/>
        <v>105482320</v>
      </c>
      <c r="AL293" s="181">
        <f t="shared" si="93"/>
        <v>100</v>
      </c>
      <c r="AM293" s="243"/>
    </row>
    <row r="294" spans="1:39" ht="28.5" customHeight="1" x14ac:dyDescent="0.25">
      <c r="A294" s="243"/>
      <c r="B294" s="437"/>
      <c r="C294" s="437"/>
      <c r="D294" s="437"/>
      <c r="E294" s="437"/>
      <c r="F294" s="437"/>
      <c r="G294" s="437"/>
      <c r="H294" s="437"/>
      <c r="I294" s="438"/>
      <c r="J294" s="437" t="s">
        <v>280</v>
      </c>
      <c r="K294" s="245"/>
      <c r="L294" s="257"/>
      <c r="M294" s="591" t="s">
        <v>281</v>
      </c>
      <c r="N294" s="592"/>
      <c r="O294" s="179"/>
      <c r="P294" s="180"/>
      <c r="Q294" s="180">
        <v>13000000</v>
      </c>
      <c r="R294" s="181">
        <f t="shared" si="94"/>
        <v>4.3871653141260989</v>
      </c>
      <c r="S294" s="181">
        <v>100</v>
      </c>
      <c r="T294" s="180">
        <f t="shared" si="91"/>
        <v>0</v>
      </c>
      <c r="U294" s="180">
        <f t="shared" si="80"/>
        <v>0</v>
      </c>
      <c r="V294" s="182">
        <f t="shared" si="77"/>
        <v>100</v>
      </c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>
        <v>0</v>
      </c>
      <c r="AJ294" s="181">
        <f t="shared" si="92"/>
        <v>0</v>
      </c>
      <c r="AK294" s="180">
        <f t="shared" si="87"/>
        <v>13000000</v>
      </c>
      <c r="AL294" s="181">
        <f t="shared" si="93"/>
        <v>100</v>
      </c>
      <c r="AM294" s="243"/>
    </row>
    <row r="295" spans="1:39" ht="28.5" customHeight="1" x14ac:dyDescent="0.25">
      <c r="A295" s="243"/>
      <c r="B295" s="437"/>
      <c r="C295" s="437"/>
      <c r="D295" s="437"/>
      <c r="E295" s="437"/>
      <c r="F295" s="437"/>
      <c r="G295" s="437"/>
      <c r="H295" s="437"/>
      <c r="I295" s="438"/>
      <c r="J295" s="437" t="s">
        <v>284</v>
      </c>
      <c r="K295" s="245"/>
      <c r="L295" s="257"/>
      <c r="M295" s="591" t="s">
        <v>600</v>
      </c>
      <c r="N295" s="592"/>
      <c r="O295" s="179"/>
      <c r="P295" s="180"/>
      <c r="Q295" s="180">
        <v>660000</v>
      </c>
      <c r="R295" s="181">
        <f t="shared" si="94"/>
        <v>0.22273300825563269</v>
      </c>
      <c r="S295" s="181">
        <v>100</v>
      </c>
      <c r="T295" s="180">
        <f t="shared" si="91"/>
        <v>0</v>
      </c>
      <c r="U295" s="180"/>
      <c r="V295" s="182">
        <f t="shared" si="77"/>
        <v>100</v>
      </c>
      <c r="W295" s="180"/>
      <c r="X295" s="180"/>
      <c r="Y295" s="180"/>
      <c r="Z295" s="180"/>
      <c r="AA295" s="180"/>
      <c r="AB295" s="180"/>
      <c r="AC295" s="180"/>
      <c r="AD295" s="180"/>
      <c r="AE295" s="180"/>
      <c r="AF295" s="180"/>
      <c r="AG295" s="180"/>
      <c r="AH295" s="180"/>
      <c r="AI295" s="180">
        <v>0</v>
      </c>
      <c r="AJ295" s="181">
        <f t="shared" si="92"/>
        <v>0</v>
      </c>
      <c r="AK295" s="180">
        <f t="shared" si="87"/>
        <v>660000</v>
      </c>
      <c r="AL295" s="181">
        <f t="shared" si="93"/>
        <v>100</v>
      </c>
      <c r="AM295" s="243"/>
    </row>
    <row r="296" spans="1:39" ht="28.5" customHeight="1" x14ac:dyDescent="0.25">
      <c r="A296" s="243"/>
      <c r="B296" s="437"/>
      <c r="C296" s="437"/>
      <c r="D296" s="437"/>
      <c r="E296" s="437"/>
      <c r="F296" s="437"/>
      <c r="G296" s="437"/>
      <c r="H296" s="437"/>
      <c r="I296" s="438"/>
      <c r="J296" s="437" t="s">
        <v>407</v>
      </c>
      <c r="K296" s="245"/>
      <c r="L296" s="257"/>
      <c r="M296" s="591" t="s">
        <v>414</v>
      </c>
      <c r="N296" s="592"/>
      <c r="O296" s="179"/>
      <c r="P296" s="180"/>
      <c r="Q296" s="180">
        <v>400000</v>
      </c>
      <c r="R296" s="181">
        <f t="shared" si="94"/>
        <v>0.13498970197311072</v>
      </c>
      <c r="S296" s="181">
        <v>100</v>
      </c>
      <c r="T296" s="180">
        <f t="shared" si="91"/>
        <v>0</v>
      </c>
      <c r="U296" s="180">
        <f t="shared" si="80"/>
        <v>0</v>
      </c>
      <c r="V296" s="182">
        <f t="shared" si="77"/>
        <v>100</v>
      </c>
      <c r="W296" s="180"/>
      <c r="X296" s="180"/>
      <c r="Y296" s="180"/>
      <c r="Z296" s="180"/>
      <c r="AA296" s="180"/>
      <c r="AB296" s="180"/>
      <c r="AC296" s="180"/>
      <c r="AD296" s="180"/>
      <c r="AE296" s="180"/>
      <c r="AF296" s="180"/>
      <c r="AG296" s="180"/>
      <c r="AH296" s="180"/>
      <c r="AI296" s="180">
        <v>0</v>
      </c>
      <c r="AJ296" s="181">
        <f t="shared" si="92"/>
        <v>0</v>
      </c>
      <c r="AK296" s="180">
        <f t="shared" si="87"/>
        <v>400000</v>
      </c>
      <c r="AL296" s="181">
        <f t="shared" si="93"/>
        <v>100</v>
      </c>
      <c r="AM296" s="243"/>
    </row>
    <row r="297" spans="1:39" s="311" customFormat="1" ht="33" customHeight="1" x14ac:dyDescent="0.25">
      <c r="A297" s="227">
        <f>A287+1</f>
        <v>40</v>
      </c>
      <c r="B297" s="615" t="s">
        <v>147</v>
      </c>
      <c r="C297" s="615"/>
      <c r="D297" s="615"/>
      <c r="E297" s="615"/>
      <c r="F297" s="615"/>
      <c r="G297" s="615"/>
      <c r="H297" s="615"/>
      <c r="I297" s="614"/>
      <c r="J297" s="304" t="s">
        <v>484</v>
      </c>
      <c r="K297" s="230"/>
      <c r="L297" s="294"/>
      <c r="M297" s="609" t="s">
        <v>43</v>
      </c>
      <c r="N297" s="609"/>
      <c r="O297" s="310">
        <v>450820000</v>
      </c>
      <c r="P297" s="231">
        <f>O297</f>
        <v>450820000</v>
      </c>
      <c r="Q297" s="231">
        <f>SUM(Q298:Q308)</f>
        <v>296318900</v>
      </c>
      <c r="R297" s="233">
        <f>Q297/Q$248*100</f>
        <v>2.4842618811972654</v>
      </c>
      <c r="S297" s="233">
        <v>100</v>
      </c>
      <c r="T297" s="231">
        <f t="shared" si="91"/>
        <v>0</v>
      </c>
      <c r="U297" s="231">
        <f t="shared" si="80"/>
        <v>0</v>
      </c>
      <c r="V297" s="296">
        <f t="shared" si="77"/>
        <v>100</v>
      </c>
      <c r="W297" s="231"/>
      <c r="X297" s="231" t="e">
        <f>#REF!</f>
        <v>#REF!</v>
      </c>
      <c r="Y297" s="231" t="e">
        <f>#REF!</f>
        <v>#REF!</v>
      </c>
      <c r="Z297" s="231" t="e">
        <f>#REF!</f>
        <v>#REF!</v>
      </c>
      <c r="AA297" s="231" t="e">
        <f>#REF!</f>
        <v>#REF!</v>
      </c>
      <c r="AB297" s="231">
        <v>0</v>
      </c>
      <c r="AC297" s="231" t="e">
        <f>#REF!</f>
        <v>#REF!</v>
      </c>
      <c r="AD297" s="231" t="e">
        <f>#REF!</f>
        <v>#REF!</v>
      </c>
      <c r="AE297" s="231" t="e">
        <f>#REF!</f>
        <v>#REF!</v>
      </c>
      <c r="AF297" s="231" t="e">
        <f>[1]April!N59</f>
        <v>#REF!</v>
      </c>
      <c r="AG297" s="231" t="e">
        <f>[2]april!N59</f>
        <v>#REF!</v>
      </c>
      <c r="AH297" s="231">
        <f>'[3]DES SKPD'!$N59</f>
        <v>395224250</v>
      </c>
      <c r="AI297" s="231">
        <f>SUM(AI298:AI308)</f>
        <v>0</v>
      </c>
      <c r="AJ297" s="233">
        <f t="shared" si="92"/>
        <v>0</v>
      </c>
      <c r="AK297" s="231">
        <f t="shared" si="87"/>
        <v>296318900</v>
      </c>
      <c r="AL297" s="233">
        <f t="shared" si="93"/>
        <v>100</v>
      </c>
      <c r="AM297" s="227"/>
    </row>
    <row r="298" spans="1:39" ht="28.5" customHeight="1" x14ac:dyDescent="0.25">
      <c r="A298" s="243"/>
      <c r="B298" s="437"/>
      <c r="C298" s="437"/>
      <c r="D298" s="437"/>
      <c r="E298" s="437"/>
      <c r="F298" s="437"/>
      <c r="G298" s="437"/>
      <c r="H298" s="437"/>
      <c r="I298" s="438"/>
      <c r="J298" s="437" t="s">
        <v>257</v>
      </c>
      <c r="K298" s="245"/>
      <c r="L298" s="257"/>
      <c r="M298" s="591" t="s">
        <v>260</v>
      </c>
      <c r="N298" s="592"/>
      <c r="O298" s="179"/>
      <c r="P298" s="180"/>
      <c r="Q298" s="180">
        <v>1540000</v>
      </c>
      <c r="R298" s="181">
        <f>Q298/Q$297*100</f>
        <v>0.51971035259647624</v>
      </c>
      <c r="S298" s="181">
        <v>100</v>
      </c>
      <c r="T298" s="180">
        <f t="shared" si="91"/>
        <v>0</v>
      </c>
      <c r="U298" s="180">
        <f t="shared" si="80"/>
        <v>0</v>
      </c>
      <c r="V298" s="182">
        <f t="shared" ref="V298:V537" si="95">S298-T298</f>
        <v>100</v>
      </c>
      <c r="W298" s="180"/>
      <c r="X298" s="180"/>
      <c r="Y298" s="180"/>
      <c r="Z298" s="180"/>
      <c r="AA298" s="180"/>
      <c r="AB298" s="180"/>
      <c r="AC298" s="180"/>
      <c r="AD298" s="180"/>
      <c r="AE298" s="180"/>
      <c r="AF298" s="180"/>
      <c r="AG298" s="180"/>
      <c r="AH298" s="180"/>
      <c r="AI298" s="180">
        <v>0</v>
      </c>
      <c r="AJ298" s="181">
        <f t="shared" si="92"/>
        <v>0</v>
      </c>
      <c r="AK298" s="180">
        <f t="shared" si="87"/>
        <v>1540000</v>
      </c>
      <c r="AL298" s="181">
        <f t="shared" si="93"/>
        <v>100</v>
      </c>
      <c r="AM298" s="243"/>
    </row>
    <row r="299" spans="1:39" ht="28.5" customHeight="1" x14ac:dyDescent="0.25">
      <c r="A299" s="243"/>
      <c r="B299" s="437"/>
      <c r="C299" s="437"/>
      <c r="D299" s="437"/>
      <c r="E299" s="437"/>
      <c r="F299" s="437"/>
      <c r="G299" s="437"/>
      <c r="H299" s="437"/>
      <c r="I299" s="438"/>
      <c r="J299" s="437" t="s">
        <v>326</v>
      </c>
      <c r="K299" s="245"/>
      <c r="L299" s="257"/>
      <c r="M299" s="591" t="s">
        <v>327</v>
      </c>
      <c r="N299" s="592"/>
      <c r="O299" s="179"/>
      <c r="P299" s="180"/>
      <c r="Q299" s="180">
        <v>140400000</v>
      </c>
      <c r="R299" s="181">
        <f t="shared" ref="R299:R308" si="96">Q299/Q$297*100</f>
        <v>47.381385392561867</v>
      </c>
      <c r="S299" s="181">
        <v>100</v>
      </c>
      <c r="T299" s="180">
        <f t="shared" si="91"/>
        <v>0</v>
      </c>
      <c r="U299" s="180">
        <f t="shared" si="80"/>
        <v>0</v>
      </c>
      <c r="V299" s="182">
        <f t="shared" si="95"/>
        <v>100</v>
      </c>
      <c r="W299" s="180"/>
      <c r="X299" s="180"/>
      <c r="Y299" s="180"/>
      <c r="Z299" s="180"/>
      <c r="AA299" s="180"/>
      <c r="AB299" s="180"/>
      <c r="AC299" s="180"/>
      <c r="AD299" s="180"/>
      <c r="AE299" s="180"/>
      <c r="AF299" s="180"/>
      <c r="AG299" s="180"/>
      <c r="AH299" s="180"/>
      <c r="AI299" s="180">
        <v>0</v>
      </c>
      <c r="AJ299" s="181">
        <f t="shared" si="92"/>
        <v>0</v>
      </c>
      <c r="AK299" s="180">
        <f t="shared" si="87"/>
        <v>140400000</v>
      </c>
      <c r="AL299" s="181">
        <f t="shared" si="93"/>
        <v>100</v>
      </c>
      <c r="AM299" s="243"/>
    </row>
    <row r="300" spans="1:39" ht="28.5" customHeight="1" x14ac:dyDescent="0.25">
      <c r="A300" s="243"/>
      <c r="B300" s="437"/>
      <c r="C300" s="437"/>
      <c r="D300" s="437"/>
      <c r="E300" s="437"/>
      <c r="F300" s="437"/>
      <c r="G300" s="437"/>
      <c r="H300" s="437"/>
      <c r="I300" s="438"/>
      <c r="J300" s="437" t="s">
        <v>323</v>
      </c>
      <c r="K300" s="245"/>
      <c r="L300" s="257"/>
      <c r="M300" s="591" t="s">
        <v>324</v>
      </c>
      <c r="N300" s="592"/>
      <c r="O300" s="179"/>
      <c r="P300" s="180"/>
      <c r="Q300" s="180">
        <v>10000000</v>
      </c>
      <c r="R300" s="181">
        <f t="shared" si="96"/>
        <v>3.3747425493277681</v>
      </c>
      <c r="S300" s="181">
        <v>100</v>
      </c>
      <c r="T300" s="180">
        <f t="shared" si="91"/>
        <v>0</v>
      </c>
      <c r="U300" s="180">
        <f t="shared" si="80"/>
        <v>0</v>
      </c>
      <c r="V300" s="182">
        <f t="shared" si="95"/>
        <v>100</v>
      </c>
      <c r="W300" s="180"/>
      <c r="X300" s="180"/>
      <c r="Y300" s="180"/>
      <c r="Z300" s="180"/>
      <c r="AA300" s="180"/>
      <c r="AB300" s="180"/>
      <c r="AC300" s="180"/>
      <c r="AD300" s="180"/>
      <c r="AE300" s="180"/>
      <c r="AF300" s="180"/>
      <c r="AG300" s="180"/>
      <c r="AH300" s="180"/>
      <c r="AI300" s="180">
        <v>0</v>
      </c>
      <c r="AJ300" s="181">
        <f t="shared" si="92"/>
        <v>0</v>
      </c>
      <c r="AK300" s="180">
        <f t="shared" si="87"/>
        <v>10000000</v>
      </c>
      <c r="AL300" s="181">
        <f t="shared" si="93"/>
        <v>100</v>
      </c>
      <c r="AM300" s="243"/>
    </row>
    <row r="301" spans="1:39" ht="28.5" customHeight="1" x14ac:dyDescent="0.25">
      <c r="A301" s="243"/>
      <c r="B301" s="437"/>
      <c r="C301" s="437"/>
      <c r="D301" s="437"/>
      <c r="E301" s="437"/>
      <c r="F301" s="437"/>
      <c r="G301" s="437"/>
      <c r="H301" s="437"/>
      <c r="I301" s="438"/>
      <c r="J301" s="437" t="s">
        <v>341</v>
      </c>
      <c r="K301" s="245"/>
      <c r="L301" s="257"/>
      <c r="M301" s="591" t="s">
        <v>337</v>
      </c>
      <c r="N301" s="592"/>
      <c r="O301" s="179"/>
      <c r="P301" s="180"/>
      <c r="Q301" s="180">
        <v>10000000</v>
      </c>
      <c r="R301" s="181">
        <f t="shared" si="96"/>
        <v>3.3747425493277681</v>
      </c>
      <c r="S301" s="181">
        <v>100</v>
      </c>
      <c r="T301" s="180">
        <f t="shared" si="91"/>
        <v>0</v>
      </c>
      <c r="U301" s="180">
        <f t="shared" si="80"/>
        <v>0</v>
      </c>
      <c r="V301" s="182">
        <f t="shared" si="95"/>
        <v>100</v>
      </c>
      <c r="W301" s="180"/>
      <c r="X301" s="180"/>
      <c r="Y301" s="180"/>
      <c r="Z301" s="180"/>
      <c r="AA301" s="180"/>
      <c r="AB301" s="180"/>
      <c r="AC301" s="180"/>
      <c r="AD301" s="180"/>
      <c r="AE301" s="180"/>
      <c r="AF301" s="180"/>
      <c r="AG301" s="180"/>
      <c r="AH301" s="180"/>
      <c r="AI301" s="180">
        <v>0</v>
      </c>
      <c r="AJ301" s="181">
        <f t="shared" si="92"/>
        <v>0</v>
      </c>
      <c r="AK301" s="180">
        <f t="shared" si="87"/>
        <v>10000000</v>
      </c>
      <c r="AL301" s="181">
        <f t="shared" si="93"/>
        <v>100</v>
      </c>
      <c r="AM301" s="243"/>
    </row>
    <row r="302" spans="1:39" ht="28.5" customHeight="1" x14ac:dyDescent="0.25">
      <c r="A302" s="243"/>
      <c r="B302" s="437"/>
      <c r="C302" s="437"/>
      <c r="D302" s="437"/>
      <c r="E302" s="437"/>
      <c r="F302" s="437"/>
      <c r="G302" s="437"/>
      <c r="H302" s="437"/>
      <c r="I302" s="438"/>
      <c r="J302" s="437" t="s">
        <v>269</v>
      </c>
      <c r="K302" s="245"/>
      <c r="L302" s="257"/>
      <c r="M302" s="591" t="s">
        <v>270</v>
      </c>
      <c r="N302" s="592"/>
      <c r="O302" s="179"/>
      <c r="P302" s="180"/>
      <c r="Q302" s="180">
        <v>23000000</v>
      </c>
      <c r="R302" s="181">
        <f t="shared" si="96"/>
        <v>7.7619078634538665</v>
      </c>
      <c r="S302" s="181">
        <v>100</v>
      </c>
      <c r="T302" s="180">
        <f t="shared" si="91"/>
        <v>0</v>
      </c>
      <c r="U302" s="180">
        <f t="shared" ref="U302:U365" si="97">R302*T302/100</f>
        <v>0</v>
      </c>
      <c r="V302" s="182">
        <f t="shared" si="95"/>
        <v>100</v>
      </c>
      <c r="W302" s="180"/>
      <c r="X302" s="180"/>
      <c r="Y302" s="180"/>
      <c r="Z302" s="180"/>
      <c r="AA302" s="180"/>
      <c r="AB302" s="180"/>
      <c r="AC302" s="180"/>
      <c r="AD302" s="180"/>
      <c r="AE302" s="180"/>
      <c r="AF302" s="180"/>
      <c r="AG302" s="180"/>
      <c r="AH302" s="180"/>
      <c r="AI302" s="180">
        <v>0</v>
      </c>
      <c r="AJ302" s="181">
        <f t="shared" si="92"/>
        <v>0</v>
      </c>
      <c r="AK302" s="180">
        <f t="shared" si="87"/>
        <v>23000000</v>
      </c>
      <c r="AL302" s="181">
        <f t="shared" si="93"/>
        <v>100</v>
      </c>
      <c r="AM302" s="243"/>
    </row>
    <row r="303" spans="1:39" ht="28.5" customHeight="1" x14ac:dyDescent="0.25">
      <c r="A303" s="243"/>
      <c r="B303" s="437"/>
      <c r="C303" s="437"/>
      <c r="D303" s="437"/>
      <c r="E303" s="437"/>
      <c r="F303" s="437"/>
      <c r="G303" s="437"/>
      <c r="H303" s="437"/>
      <c r="I303" s="438"/>
      <c r="J303" s="437" t="s">
        <v>315</v>
      </c>
      <c r="K303" s="245"/>
      <c r="L303" s="257"/>
      <c r="M303" s="591" t="s">
        <v>271</v>
      </c>
      <c r="N303" s="592"/>
      <c r="O303" s="179"/>
      <c r="P303" s="180"/>
      <c r="Q303" s="180">
        <v>17000000</v>
      </c>
      <c r="R303" s="181">
        <f t="shared" si="96"/>
        <v>5.7370623338572058</v>
      </c>
      <c r="S303" s="181">
        <v>100</v>
      </c>
      <c r="T303" s="180">
        <f t="shared" si="91"/>
        <v>0</v>
      </c>
      <c r="U303" s="180">
        <f t="shared" si="97"/>
        <v>0</v>
      </c>
      <c r="V303" s="182">
        <f t="shared" si="95"/>
        <v>100</v>
      </c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>
        <v>0</v>
      </c>
      <c r="AJ303" s="181">
        <f t="shared" si="92"/>
        <v>0</v>
      </c>
      <c r="AK303" s="180">
        <f t="shared" si="87"/>
        <v>17000000</v>
      </c>
      <c r="AL303" s="181">
        <f t="shared" si="93"/>
        <v>100</v>
      </c>
      <c r="AM303" s="243"/>
    </row>
    <row r="304" spans="1:39" ht="28.5" customHeight="1" x14ac:dyDescent="0.25">
      <c r="A304" s="243"/>
      <c r="B304" s="437"/>
      <c r="C304" s="437"/>
      <c r="D304" s="437"/>
      <c r="E304" s="437"/>
      <c r="F304" s="437"/>
      <c r="G304" s="437"/>
      <c r="H304" s="437"/>
      <c r="I304" s="438"/>
      <c r="J304" s="437" t="s">
        <v>343</v>
      </c>
      <c r="K304" s="245"/>
      <c r="L304" s="257"/>
      <c r="M304" s="591" t="s">
        <v>319</v>
      </c>
      <c r="N304" s="592"/>
      <c r="O304" s="179"/>
      <c r="P304" s="180"/>
      <c r="Q304" s="180">
        <v>32500000</v>
      </c>
      <c r="R304" s="181">
        <f t="shared" si="96"/>
        <v>10.967913285315246</v>
      </c>
      <c r="S304" s="181">
        <v>100</v>
      </c>
      <c r="T304" s="180">
        <f t="shared" si="91"/>
        <v>0</v>
      </c>
      <c r="U304" s="180">
        <f t="shared" si="97"/>
        <v>0</v>
      </c>
      <c r="V304" s="182">
        <f t="shared" si="95"/>
        <v>100</v>
      </c>
      <c r="W304" s="180"/>
      <c r="X304" s="180"/>
      <c r="Y304" s="180"/>
      <c r="Z304" s="180"/>
      <c r="AA304" s="180"/>
      <c r="AB304" s="180"/>
      <c r="AC304" s="180"/>
      <c r="AD304" s="180"/>
      <c r="AE304" s="180"/>
      <c r="AF304" s="180"/>
      <c r="AG304" s="180"/>
      <c r="AH304" s="180"/>
      <c r="AI304" s="180">
        <v>0</v>
      </c>
      <c r="AJ304" s="181">
        <f t="shared" si="92"/>
        <v>0</v>
      </c>
      <c r="AK304" s="180">
        <f t="shared" si="87"/>
        <v>32500000</v>
      </c>
      <c r="AL304" s="181">
        <f t="shared" si="93"/>
        <v>100</v>
      </c>
      <c r="AM304" s="243"/>
    </row>
    <row r="305" spans="1:39" ht="28.5" customHeight="1" x14ac:dyDescent="0.25">
      <c r="A305" s="243"/>
      <c r="B305" s="437"/>
      <c r="C305" s="437"/>
      <c r="D305" s="437"/>
      <c r="E305" s="437"/>
      <c r="F305" s="437"/>
      <c r="G305" s="437"/>
      <c r="H305" s="437"/>
      <c r="I305" s="438"/>
      <c r="J305" s="437" t="s">
        <v>280</v>
      </c>
      <c r="K305" s="245"/>
      <c r="L305" s="257"/>
      <c r="M305" s="591" t="s">
        <v>281</v>
      </c>
      <c r="N305" s="592"/>
      <c r="O305" s="179"/>
      <c r="P305" s="180"/>
      <c r="Q305" s="180">
        <v>6500000</v>
      </c>
      <c r="R305" s="181">
        <f t="shared" si="96"/>
        <v>2.1935826570630494</v>
      </c>
      <c r="S305" s="181">
        <v>100</v>
      </c>
      <c r="T305" s="180">
        <f t="shared" si="91"/>
        <v>0</v>
      </c>
      <c r="U305" s="180">
        <f t="shared" si="97"/>
        <v>0</v>
      </c>
      <c r="V305" s="182">
        <f t="shared" si="95"/>
        <v>100</v>
      </c>
      <c r="W305" s="180"/>
      <c r="X305" s="180"/>
      <c r="Y305" s="180"/>
      <c r="Z305" s="180"/>
      <c r="AA305" s="180"/>
      <c r="AB305" s="180"/>
      <c r="AC305" s="180"/>
      <c r="AD305" s="180"/>
      <c r="AE305" s="180"/>
      <c r="AF305" s="180"/>
      <c r="AG305" s="180"/>
      <c r="AH305" s="180"/>
      <c r="AI305" s="180">
        <v>0</v>
      </c>
      <c r="AJ305" s="181">
        <f t="shared" si="92"/>
        <v>0</v>
      </c>
      <c r="AK305" s="180">
        <f t="shared" si="87"/>
        <v>6500000</v>
      </c>
      <c r="AL305" s="181">
        <f t="shared" si="93"/>
        <v>100</v>
      </c>
      <c r="AM305" s="243"/>
    </row>
    <row r="306" spans="1:39" ht="28.5" customHeight="1" x14ac:dyDescent="0.25">
      <c r="A306" s="243"/>
      <c r="B306" s="437"/>
      <c r="C306" s="437"/>
      <c r="D306" s="437"/>
      <c r="E306" s="437"/>
      <c r="F306" s="437"/>
      <c r="G306" s="437"/>
      <c r="H306" s="437"/>
      <c r="I306" s="438"/>
      <c r="J306" s="437"/>
      <c r="K306" s="245"/>
      <c r="L306" s="257"/>
      <c r="M306" s="591" t="s">
        <v>285</v>
      </c>
      <c r="N306" s="592"/>
      <c r="O306" s="179"/>
      <c r="P306" s="180"/>
      <c r="Q306" s="180">
        <v>660000</v>
      </c>
      <c r="R306" s="181">
        <f t="shared" si="96"/>
        <v>0.22273300825563269</v>
      </c>
      <c r="S306" s="181"/>
      <c r="T306" s="180">
        <f t="shared" si="91"/>
        <v>0</v>
      </c>
      <c r="U306" s="180">
        <f t="shared" si="97"/>
        <v>0</v>
      </c>
      <c r="V306" s="182">
        <f t="shared" si="95"/>
        <v>0</v>
      </c>
      <c r="W306" s="180"/>
      <c r="X306" s="180"/>
      <c r="Y306" s="180"/>
      <c r="Z306" s="180"/>
      <c r="AA306" s="180"/>
      <c r="AB306" s="180"/>
      <c r="AC306" s="180"/>
      <c r="AD306" s="180"/>
      <c r="AE306" s="180"/>
      <c r="AF306" s="180"/>
      <c r="AG306" s="180"/>
      <c r="AH306" s="180"/>
      <c r="AI306" s="180">
        <v>0</v>
      </c>
      <c r="AJ306" s="181">
        <f t="shared" si="92"/>
        <v>0</v>
      </c>
      <c r="AK306" s="180">
        <f t="shared" si="87"/>
        <v>660000</v>
      </c>
      <c r="AL306" s="181">
        <f t="shared" si="93"/>
        <v>100</v>
      </c>
      <c r="AM306" s="243"/>
    </row>
    <row r="307" spans="1:39" ht="28.5" customHeight="1" x14ac:dyDescent="0.25">
      <c r="A307" s="243"/>
      <c r="B307" s="437"/>
      <c r="C307" s="437"/>
      <c r="D307" s="437"/>
      <c r="E307" s="437"/>
      <c r="F307" s="437"/>
      <c r="G307" s="437"/>
      <c r="H307" s="437"/>
      <c r="I307" s="438"/>
      <c r="J307" s="437" t="s">
        <v>282</v>
      </c>
      <c r="K307" s="245"/>
      <c r="L307" s="257"/>
      <c r="M307" s="591" t="s">
        <v>283</v>
      </c>
      <c r="N307" s="592"/>
      <c r="O307" s="179"/>
      <c r="P307" s="180"/>
      <c r="Q307" s="180">
        <v>53918900</v>
      </c>
      <c r="R307" s="181">
        <f t="shared" si="96"/>
        <v>18.1962406042949</v>
      </c>
      <c r="S307" s="181">
        <v>100</v>
      </c>
      <c r="T307" s="180">
        <f t="shared" si="91"/>
        <v>0</v>
      </c>
      <c r="U307" s="180">
        <f t="shared" si="97"/>
        <v>0</v>
      </c>
      <c r="V307" s="182">
        <f t="shared" si="95"/>
        <v>100</v>
      </c>
      <c r="W307" s="180"/>
      <c r="X307" s="180"/>
      <c r="Y307" s="180"/>
      <c r="Z307" s="180"/>
      <c r="AA307" s="180"/>
      <c r="AB307" s="180"/>
      <c r="AC307" s="180"/>
      <c r="AD307" s="180"/>
      <c r="AE307" s="180"/>
      <c r="AF307" s="180"/>
      <c r="AG307" s="180"/>
      <c r="AH307" s="180"/>
      <c r="AI307" s="180">
        <v>0</v>
      </c>
      <c r="AJ307" s="181">
        <f t="shared" si="92"/>
        <v>0</v>
      </c>
      <c r="AK307" s="180">
        <f t="shared" si="87"/>
        <v>53918900</v>
      </c>
      <c r="AL307" s="181">
        <f t="shared" si="93"/>
        <v>100</v>
      </c>
      <c r="AM307" s="243"/>
    </row>
    <row r="308" spans="1:39" ht="28.5" customHeight="1" x14ac:dyDescent="0.25">
      <c r="A308" s="243"/>
      <c r="B308" s="437"/>
      <c r="C308" s="437"/>
      <c r="D308" s="437"/>
      <c r="E308" s="437"/>
      <c r="F308" s="437"/>
      <c r="G308" s="437"/>
      <c r="H308" s="437"/>
      <c r="I308" s="438"/>
      <c r="J308" s="437" t="s">
        <v>407</v>
      </c>
      <c r="K308" s="245"/>
      <c r="L308" s="257"/>
      <c r="M308" s="591" t="s">
        <v>414</v>
      </c>
      <c r="N308" s="592"/>
      <c r="O308" s="179"/>
      <c r="P308" s="180"/>
      <c r="Q308" s="180">
        <v>800000</v>
      </c>
      <c r="R308" s="181">
        <f t="shared" si="96"/>
        <v>0.26997940394622144</v>
      </c>
      <c r="S308" s="181">
        <v>100</v>
      </c>
      <c r="T308" s="180">
        <f t="shared" si="91"/>
        <v>0</v>
      </c>
      <c r="U308" s="180">
        <f t="shared" si="97"/>
        <v>0</v>
      </c>
      <c r="V308" s="182">
        <f t="shared" si="95"/>
        <v>100</v>
      </c>
      <c r="W308" s="180"/>
      <c r="X308" s="180"/>
      <c r="Y308" s="180"/>
      <c r="Z308" s="180"/>
      <c r="AA308" s="180"/>
      <c r="AB308" s="180"/>
      <c r="AC308" s="180"/>
      <c r="AD308" s="180"/>
      <c r="AE308" s="180"/>
      <c r="AF308" s="180"/>
      <c r="AG308" s="180"/>
      <c r="AH308" s="180"/>
      <c r="AI308" s="180">
        <v>0</v>
      </c>
      <c r="AJ308" s="181">
        <f t="shared" si="92"/>
        <v>0</v>
      </c>
      <c r="AK308" s="180">
        <f t="shared" si="87"/>
        <v>800000</v>
      </c>
      <c r="AL308" s="181">
        <f t="shared" si="93"/>
        <v>100</v>
      </c>
      <c r="AM308" s="243"/>
    </row>
    <row r="309" spans="1:39" s="311" customFormat="1" ht="39.75" customHeight="1" x14ac:dyDescent="0.25">
      <c r="A309" s="227">
        <f>A297+1</f>
        <v>41</v>
      </c>
      <c r="B309" s="615" t="s">
        <v>148</v>
      </c>
      <c r="C309" s="615"/>
      <c r="D309" s="615"/>
      <c r="E309" s="615"/>
      <c r="F309" s="615"/>
      <c r="G309" s="615"/>
      <c r="H309" s="615"/>
      <c r="I309" s="614"/>
      <c r="J309" s="304" t="s">
        <v>485</v>
      </c>
      <c r="K309" s="230"/>
      <c r="L309" s="294"/>
      <c r="M309" s="609" t="s">
        <v>44</v>
      </c>
      <c r="N309" s="609"/>
      <c r="O309" s="310">
        <v>100275000</v>
      </c>
      <c r="P309" s="231">
        <f>O309</f>
        <v>100275000</v>
      </c>
      <c r="Q309" s="231">
        <f>SUM(Q310:Q316)</f>
        <v>331985880</v>
      </c>
      <c r="R309" s="233">
        <f>Q309/Q$248*100</f>
        <v>2.783284720548469</v>
      </c>
      <c r="S309" s="233">
        <v>100</v>
      </c>
      <c r="T309" s="231">
        <f t="shared" si="91"/>
        <v>0</v>
      </c>
      <c r="U309" s="231">
        <f t="shared" si="97"/>
        <v>0</v>
      </c>
      <c r="V309" s="296">
        <f t="shared" si="95"/>
        <v>100</v>
      </c>
      <c r="W309" s="231"/>
      <c r="X309" s="231" t="e">
        <f>#REF!</f>
        <v>#REF!</v>
      </c>
      <c r="Y309" s="231" t="e">
        <f>#REF!</f>
        <v>#REF!</v>
      </c>
      <c r="Z309" s="231" t="e">
        <f>#REF!</f>
        <v>#REF!</v>
      </c>
      <c r="AA309" s="231" t="e">
        <f>#REF!</f>
        <v>#REF!</v>
      </c>
      <c r="AB309" s="231">
        <v>0</v>
      </c>
      <c r="AC309" s="231" t="e">
        <f>#REF!</f>
        <v>#REF!</v>
      </c>
      <c r="AD309" s="231" t="e">
        <f>#REF!</f>
        <v>#REF!</v>
      </c>
      <c r="AE309" s="231" t="e">
        <f>#REF!</f>
        <v>#REF!</v>
      </c>
      <c r="AF309" s="231" t="e">
        <f>[1]April!N60</f>
        <v>#REF!</v>
      </c>
      <c r="AG309" s="231" t="e">
        <f>[2]april!N60</f>
        <v>#REF!</v>
      </c>
      <c r="AH309" s="231">
        <f>'[3]DES SKPD'!$N60</f>
        <v>90196500</v>
      </c>
      <c r="AI309" s="231">
        <f>SUM(AI310:AI316)</f>
        <v>0</v>
      </c>
      <c r="AJ309" s="233">
        <f t="shared" si="92"/>
        <v>0</v>
      </c>
      <c r="AK309" s="231">
        <f t="shared" si="87"/>
        <v>331985880</v>
      </c>
      <c r="AL309" s="233">
        <f t="shared" si="93"/>
        <v>100</v>
      </c>
      <c r="AM309" s="227"/>
    </row>
    <row r="310" spans="1:39" ht="28.5" customHeight="1" x14ac:dyDescent="0.25">
      <c r="A310" s="243"/>
      <c r="B310" s="437"/>
      <c r="C310" s="437"/>
      <c r="D310" s="437"/>
      <c r="E310" s="437"/>
      <c r="F310" s="437"/>
      <c r="G310" s="437"/>
      <c r="H310" s="437"/>
      <c r="I310" s="438"/>
      <c r="J310" s="437" t="s">
        <v>326</v>
      </c>
      <c r="K310" s="245"/>
      <c r="L310" s="257"/>
      <c r="M310" s="591" t="s">
        <v>327</v>
      </c>
      <c r="N310" s="592"/>
      <c r="O310" s="179"/>
      <c r="P310" s="180"/>
      <c r="Q310" s="180">
        <v>280800000</v>
      </c>
      <c r="R310" s="181">
        <f t="shared" ref="R310:R316" si="98">Q310/Q$309*100</f>
        <v>84.581910531857559</v>
      </c>
      <c r="S310" s="181">
        <v>100</v>
      </c>
      <c r="T310" s="180">
        <f t="shared" si="91"/>
        <v>0</v>
      </c>
      <c r="U310" s="180">
        <f t="shared" si="97"/>
        <v>0</v>
      </c>
      <c r="V310" s="182">
        <f t="shared" si="95"/>
        <v>100</v>
      </c>
      <c r="W310" s="180"/>
      <c r="X310" s="180"/>
      <c r="Y310" s="180"/>
      <c r="Z310" s="180"/>
      <c r="AA310" s="180"/>
      <c r="AB310" s="180"/>
      <c r="AC310" s="180"/>
      <c r="AD310" s="180"/>
      <c r="AE310" s="180"/>
      <c r="AF310" s="180"/>
      <c r="AG310" s="180"/>
      <c r="AH310" s="180"/>
      <c r="AI310" s="180">
        <v>0</v>
      </c>
      <c r="AJ310" s="181">
        <f t="shared" si="92"/>
        <v>0</v>
      </c>
      <c r="AK310" s="180">
        <f t="shared" si="87"/>
        <v>280800000</v>
      </c>
      <c r="AL310" s="181">
        <f t="shared" si="93"/>
        <v>100</v>
      </c>
      <c r="AM310" s="243"/>
    </row>
    <row r="311" spans="1:39" ht="28.5" customHeight="1" x14ac:dyDescent="0.25">
      <c r="A311" s="243"/>
      <c r="B311" s="437"/>
      <c r="C311" s="437"/>
      <c r="D311" s="437"/>
      <c r="E311" s="437"/>
      <c r="F311" s="437"/>
      <c r="G311" s="437"/>
      <c r="H311" s="437"/>
      <c r="I311" s="438"/>
      <c r="J311" s="437" t="s">
        <v>323</v>
      </c>
      <c r="K311" s="245"/>
      <c r="L311" s="257"/>
      <c r="M311" s="591" t="s">
        <v>324</v>
      </c>
      <c r="N311" s="592"/>
      <c r="O311" s="179"/>
      <c r="P311" s="180"/>
      <c r="Q311" s="180">
        <v>4000000</v>
      </c>
      <c r="R311" s="181">
        <f t="shared" si="98"/>
        <v>1.2048705203968313</v>
      </c>
      <c r="S311" s="181">
        <v>100</v>
      </c>
      <c r="T311" s="180">
        <f t="shared" si="91"/>
        <v>0</v>
      </c>
      <c r="U311" s="180">
        <f t="shared" si="97"/>
        <v>0</v>
      </c>
      <c r="V311" s="182">
        <f t="shared" si="95"/>
        <v>100</v>
      </c>
      <c r="W311" s="180"/>
      <c r="X311" s="180"/>
      <c r="Y311" s="180"/>
      <c r="Z311" s="180"/>
      <c r="AA311" s="180"/>
      <c r="AB311" s="180"/>
      <c r="AC311" s="180"/>
      <c r="AD311" s="180"/>
      <c r="AE311" s="180"/>
      <c r="AF311" s="180"/>
      <c r="AG311" s="180"/>
      <c r="AH311" s="180"/>
      <c r="AI311" s="180">
        <v>0</v>
      </c>
      <c r="AJ311" s="181">
        <f t="shared" si="92"/>
        <v>0</v>
      </c>
      <c r="AK311" s="180">
        <f t="shared" si="87"/>
        <v>4000000</v>
      </c>
      <c r="AL311" s="181">
        <f t="shared" si="93"/>
        <v>100</v>
      </c>
      <c r="AM311" s="243"/>
    </row>
    <row r="312" spans="1:39" ht="28.5" customHeight="1" x14ac:dyDescent="0.25">
      <c r="A312" s="243"/>
      <c r="B312" s="437"/>
      <c r="C312" s="437"/>
      <c r="D312" s="437"/>
      <c r="E312" s="437"/>
      <c r="F312" s="437"/>
      <c r="G312" s="437"/>
      <c r="H312" s="437"/>
      <c r="I312" s="438"/>
      <c r="J312" s="437" t="s">
        <v>269</v>
      </c>
      <c r="K312" s="245"/>
      <c r="L312" s="257"/>
      <c r="M312" s="591" t="s">
        <v>270</v>
      </c>
      <c r="N312" s="592"/>
      <c r="O312" s="179"/>
      <c r="P312" s="180"/>
      <c r="Q312" s="180">
        <v>27680000</v>
      </c>
      <c r="R312" s="181">
        <f t="shared" si="98"/>
        <v>8.3377040011460739</v>
      </c>
      <c r="S312" s="181">
        <v>100</v>
      </c>
      <c r="T312" s="180">
        <f t="shared" si="91"/>
        <v>0</v>
      </c>
      <c r="U312" s="180">
        <f t="shared" si="97"/>
        <v>0</v>
      </c>
      <c r="V312" s="182">
        <f t="shared" si="95"/>
        <v>100</v>
      </c>
      <c r="W312" s="180"/>
      <c r="X312" s="180"/>
      <c r="Y312" s="180"/>
      <c r="Z312" s="180"/>
      <c r="AA312" s="180"/>
      <c r="AB312" s="180"/>
      <c r="AC312" s="180"/>
      <c r="AD312" s="180"/>
      <c r="AE312" s="180"/>
      <c r="AF312" s="180"/>
      <c r="AG312" s="180"/>
      <c r="AH312" s="180"/>
      <c r="AI312" s="180">
        <v>0</v>
      </c>
      <c r="AJ312" s="181">
        <f t="shared" si="92"/>
        <v>0</v>
      </c>
      <c r="AK312" s="180">
        <f t="shared" si="87"/>
        <v>27680000</v>
      </c>
      <c r="AL312" s="181">
        <f t="shared" si="93"/>
        <v>100</v>
      </c>
      <c r="AM312" s="243"/>
    </row>
    <row r="313" spans="1:39" ht="28.5" customHeight="1" x14ac:dyDescent="0.25">
      <c r="A313" s="243"/>
      <c r="B313" s="437"/>
      <c r="C313" s="437"/>
      <c r="D313" s="437"/>
      <c r="E313" s="437"/>
      <c r="F313" s="437"/>
      <c r="G313" s="437"/>
      <c r="H313" s="437"/>
      <c r="I313" s="438"/>
      <c r="J313" s="437" t="s">
        <v>315</v>
      </c>
      <c r="K313" s="245"/>
      <c r="L313" s="257"/>
      <c r="M313" s="591" t="s">
        <v>271</v>
      </c>
      <c r="N313" s="592"/>
      <c r="O313" s="179"/>
      <c r="P313" s="180"/>
      <c r="Q313" s="180">
        <v>1000000</v>
      </c>
      <c r="R313" s="181">
        <f t="shared" si="98"/>
        <v>0.30121763009920782</v>
      </c>
      <c r="S313" s="181">
        <v>100</v>
      </c>
      <c r="T313" s="180">
        <f t="shared" si="91"/>
        <v>0</v>
      </c>
      <c r="U313" s="180">
        <f t="shared" si="97"/>
        <v>0</v>
      </c>
      <c r="V313" s="182">
        <f t="shared" si="95"/>
        <v>100</v>
      </c>
      <c r="W313" s="180"/>
      <c r="X313" s="180"/>
      <c r="Y313" s="180"/>
      <c r="Z313" s="180"/>
      <c r="AA313" s="180"/>
      <c r="AB313" s="180"/>
      <c r="AC313" s="180"/>
      <c r="AD313" s="180"/>
      <c r="AE313" s="180"/>
      <c r="AF313" s="180"/>
      <c r="AG313" s="180"/>
      <c r="AH313" s="180"/>
      <c r="AI313" s="180">
        <v>0</v>
      </c>
      <c r="AJ313" s="181">
        <f t="shared" si="92"/>
        <v>0</v>
      </c>
      <c r="AK313" s="180">
        <f t="shared" ref="AK313:AK359" si="99">Q313-AI313</f>
        <v>1000000</v>
      </c>
      <c r="AL313" s="181">
        <f t="shared" si="93"/>
        <v>100</v>
      </c>
      <c r="AM313" s="243"/>
    </row>
    <row r="314" spans="1:39" ht="28.5" customHeight="1" x14ac:dyDescent="0.25">
      <c r="A314" s="243"/>
      <c r="B314" s="437"/>
      <c r="C314" s="437"/>
      <c r="D314" s="437"/>
      <c r="E314" s="437"/>
      <c r="F314" s="437"/>
      <c r="G314" s="437"/>
      <c r="H314" s="437"/>
      <c r="I314" s="438"/>
      <c r="J314" s="437" t="s">
        <v>328</v>
      </c>
      <c r="K314" s="245"/>
      <c r="L314" s="257"/>
      <c r="M314" s="591" t="s">
        <v>329</v>
      </c>
      <c r="N314" s="592"/>
      <c r="O314" s="179"/>
      <c r="P314" s="180"/>
      <c r="Q314" s="180">
        <v>5105880</v>
      </c>
      <c r="R314" s="181">
        <f t="shared" si="98"/>
        <v>1.5379810731709433</v>
      </c>
      <c r="S314" s="181">
        <v>100</v>
      </c>
      <c r="T314" s="180">
        <f t="shared" si="91"/>
        <v>0</v>
      </c>
      <c r="U314" s="180">
        <f t="shared" si="97"/>
        <v>0</v>
      </c>
      <c r="V314" s="182">
        <f t="shared" si="95"/>
        <v>100</v>
      </c>
      <c r="W314" s="180"/>
      <c r="X314" s="180"/>
      <c r="Y314" s="180"/>
      <c r="Z314" s="180"/>
      <c r="AA314" s="180"/>
      <c r="AB314" s="180"/>
      <c r="AC314" s="180"/>
      <c r="AD314" s="180"/>
      <c r="AE314" s="180"/>
      <c r="AF314" s="180"/>
      <c r="AG314" s="180"/>
      <c r="AH314" s="180"/>
      <c r="AI314" s="180">
        <v>0</v>
      </c>
      <c r="AJ314" s="181">
        <f t="shared" si="92"/>
        <v>0</v>
      </c>
      <c r="AK314" s="180">
        <f t="shared" si="99"/>
        <v>5105880</v>
      </c>
      <c r="AL314" s="181">
        <f t="shared" si="93"/>
        <v>100</v>
      </c>
      <c r="AM314" s="243"/>
    </row>
    <row r="315" spans="1:39" ht="28.5" customHeight="1" x14ac:dyDescent="0.25">
      <c r="A315" s="243"/>
      <c r="B315" s="437"/>
      <c r="C315" s="437"/>
      <c r="D315" s="437"/>
      <c r="E315" s="437"/>
      <c r="F315" s="437"/>
      <c r="G315" s="437"/>
      <c r="H315" s="437"/>
      <c r="I315" s="438"/>
      <c r="J315" s="437" t="s">
        <v>280</v>
      </c>
      <c r="K315" s="245"/>
      <c r="L315" s="257"/>
      <c r="M315" s="591" t="s">
        <v>281</v>
      </c>
      <c r="N315" s="592"/>
      <c r="O315" s="179"/>
      <c r="P315" s="180"/>
      <c r="Q315" s="180">
        <v>13000000</v>
      </c>
      <c r="R315" s="181">
        <f t="shared" si="98"/>
        <v>3.9158291912897019</v>
      </c>
      <c r="S315" s="181">
        <v>100</v>
      </c>
      <c r="T315" s="180">
        <f t="shared" si="91"/>
        <v>0</v>
      </c>
      <c r="U315" s="180">
        <f t="shared" si="97"/>
        <v>0</v>
      </c>
      <c r="V315" s="182">
        <f t="shared" si="95"/>
        <v>100</v>
      </c>
      <c r="W315" s="180"/>
      <c r="X315" s="180"/>
      <c r="Y315" s="180"/>
      <c r="Z315" s="180"/>
      <c r="AA315" s="180"/>
      <c r="AB315" s="180"/>
      <c r="AC315" s="180"/>
      <c r="AD315" s="180"/>
      <c r="AE315" s="180"/>
      <c r="AF315" s="180"/>
      <c r="AG315" s="180"/>
      <c r="AH315" s="180"/>
      <c r="AI315" s="180">
        <v>0</v>
      </c>
      <c r="AJ315" s="181">
        <f t="shared" si="92"/>
        <v>0</v>
      </c>
      <c r="AK315" s="180">
        <f t="shared" si="99"/>
        <v>13000000</v>
      </c>
      <c r="AL315" s="181">
        <f t="shared" si="93"/>
        <v>100</v>
      </c>
      <c r="AM315" s="243"/>
    </row>
    <row r="316" spans="1:39" ht="28.5" customHeight="1" x14ac:dyDescent="0.25">
      <c r="A316" s="243"/>
      <c r="B316" s="437"/>
      <c r="C316" s="437"/>
      <c r="D316" s="437"/>
      <c r="E316" s="437"/>
      <c r="F316" s="437"/>
      <c r="G316" s="437"/>
      <c r="H316" s="437"/>
      <c r="I316" s="438"/>
      <c r="J316" s="437" t="s">
        <v>407</v>
      </c>
      <c r="K316" s="245"/>
      <c r="L316" s="257"/>
      <c r="M316" s="591" t="s">
        <v>414</v>
      </c>
      <c r="N316" s="592"/>
      <c r="O316" s="179"/>
      <c r="P316" s="180"/>
      <c r="Q316" s="180">
        <v>400000</v>
      </c>
      <c r="R316" s="181">
        <f t="shared" si="98"/>
        <v>0.12048705203968313</v>
      </c>
      <c r="S316" s="181">
        <v>100</v>
      </c>
      <c r="T316" s="180">
        <f t="shared" si="91"/>
        <v>0</v>
      </c>
      <c r="U316" s="180">
        <f t="shared" si="97"/>
        <v>0</v>
      </c>
      <c r="V316" s="182">
        <f t="shared" si="95"/>
        <v>100</v>
      </c>
      <c r="W316" s="180"/>
      <c r="X316" s="180"/>
      <c r="Y316" s="180"/>
      <c r="Z316" s="180"/>
      <c r="AA316" s="180"/>
      <c r="AB316" s="180"/>
      <c r="AC316" s="180"/>
      <c r="AD316" s="180"/>
      <c r="AE316" s="180"/>
      <c r="AF316" s="180"/>
      <c r="AG316" s="180"/>
      <c r="AH316" s="180"/>
      <c r="AI316" s="180">
        <v>0</v>
      </c>
      <c r="AJ316" s="181">
        <f t="shared" si="92"/>
        <v>0</v>
      </c>
      <c r="AK316" s="180">
        <f t="shared" si="99"/>
        <v>400000</v>
      </c>
      <c r="AL316" s="181">
        <f t="shared" si="93"/>
        <v>100</v>
      </c>
      <c r="AM316" s="243"/>
    </row>
    <row r="317" spans="1:39" s="297" customFormat="1" ht="28.5" customHeight="1" x14ac:dyDescent="0.25">
      <c r="A317" s="227">
        <f>A309+1</f>
        <v>42</v>
      </c>
      <c r="B317" s="615" t="s">
        <v>150</v>
      </c>
      <c r="C317" s="615"/>
      <c r="D317" s="615"/>
      <c r="E317" s="615"/>
      <c r="F317" s="615"/>
      <c r="G317" s="615"/>
      <c r="H317" s="615"/>
      <c r="I317" s="614"/>
      <c r="J317" s="304" t="s">
        <v>486</v>
      </c>
      <c r="K317" s="230"/>
      <c r="L317" s="294"/>
      <c r="M317" s="610" t="s">
        <v>45</v>
      </c>
      <c r="N317" s="610"/>
      <c r="O317" s="309">
        <v>803450000</v>
      </c>
      <c r="P317" s="231">
        <f>O317</f>
        <v>803450000</v>
      </c>
      <c r="Q317" s="231">
        <f>SUM(Q318:Q324)</f>
        <v>77953471</v>
      </c>
      <c r="R317" s="233">
        <f>Q317/Q$248*100</f>
        <v>0.65354196614632576</v>
      </c>
      <c r="S317" s="233">
        <v>100</v>
      </c>
      <c r="T317" s="231">
        <f t="shared" si="91"/>
        <v>0</v>
      </c>
      <c r="U317" s="231">
        <f t="shared" si="97"/>
        <v>0</v>
      </c>
      <c r="V317" s="296">
        <f t="shared" si="95"/>
        <v>100</v>
      </c>
      <c r="W317" s="231"/>
      <c r="X317" s="231" t="e">
        <f>#REF!</f>
        <v>#REF!</v>
      </c>
      <c r="Y317" s="231" t="e">
        <f>#REF!</f>
        <v>#REF!</v>
      </c>
      <c r="Z317" s="231" t="e">
        <f>#REF!</f>
        <v>#REF!</v>
      </c>
      <c r="AA317" s="231" t="e">
        <f>#REF!</f>
        <v>#REF!</v>
      </c>
      <c r="AB317" s="231">
        <v>323021990</v>
      </c>
      <c r="AC317" s="231" t="e">
        <f>#REF!</f>
        <v>#REF!</v>
      </c>
      <c r="AD317" s="231" t="e">
        <f>#REF!</f>
        <v>#REF!</v>
      </c>
      <c r="AE317" s="231" t="e">
        <f>#REF!</f>
        <v>#REF!</v>
      </c>
      <c r="AF317" s="231" t="e">
        <f>[1]April!N61</f>
        <v>#REF!</v>
      </c>
      <c r="AG317" s="231" t="e">
        <f>[2]april!N61</f>
        <v>#REF!</v>
      </c>
      <c r="AH317" s="231">
        <f>'[3]DES SKPD'!$N61</f>
        <v>541082490</v>
      </c>
      <c r="AI317" s="231">
        <f>SUM(AI318:AI324)</f>
        <v>0</v>
      </c>
      <c r="AJ317" s="233">
        <f t="shared" si="92"/>
        <v>0</v>
      </c>
      <c r="AK317" s="231">
        <f t="shared" si="99"/>
        <v>77953471</v>
      </c>
      <c r="AL317" s="233">
        <f t="shared" si="93"/>
        <v>100</v>
      </c>
      <c r="AM317" s="227"/>
    </row>
    <row r="318" spans="1:39" ht="28.5" customHeight="1" x14ac:dyDescent="0.25">
      <c r="A318" s="243"/>
      <c r="B318" s="437"/>
      <c r="C318" s="437"/>
      <c r="D318" s="437"/>
      <c r="E318" s="437"/>
      <c r="F318" s="437"/>
      <c r="G318" s="437"/>
      <c r="H318" s="437"/>
      <c r="I318" s="438"/>
      <c r="J318" s="437" t="s">
        <v>326</v>
      </c>
      <c r="K318" s="245"/>
      <c r="L318" s="257"/>
      <c r="M318" s="591" t="s">
        <v>327</v>
      </c>
      <c r="N318" s="592"/>
      <c r="O318" s="179"/>
      <c r="P318" s="180"/>
      <c r="Q318" s="180">
        <v>33500000</v>
      </c>
      <c r="R318" s="181">
        <f t="shared" ref="R318:R324" si="100">Q318/Q$317*100</f>
        <v>42.974353252339462</v>
      </c>
      <c r="S318" s="181">
        <v>100</v>
      </c>
      <c r="T318" s="180">
        <f t="shared" si="91"/>
        <v>0</v>
      </c>
      <c r="U318" s="180">
        <f t="shared" si="97"/>
        <v>0</v>
      </c>
      <c r="V318" s="182">
        <f t="shared" si="95"/>
        <v>100</v>
      </c>
      <c r="W318" s="180"/>
      <c r="X318" s="180"/>
      <c r="Y318" s="180"/>
      <c r="Z318" s="180"/>
      <c r="AA318" s="180"/>
      <c r="AB318" s="180"/>
      <c r="AC318" s="180"/>
      <c r="AD318" s="180"/>
      <c r="AE318" s="180"/>
      <c r="AF318" s="180"/>
      <c r="AG318" s="180"/>
      <c r="AH318" s="180"/>
      <c r="AI318" s="180">
        <v>0</v>
      </c>
      <c r="AJ318" s="181">
        <f t="shared" si="92"/>
        <v>0</v>
      </c>
      <c r="AK318" s="180">
        <f t="shared" si="99"/>
        <v>33500000</v>
      </c>
      <c r="AL318" s="181">
        <f t="shared" si="93"/>
        <v>100</v>
      </c>
      <c r="AM318" s="243"/>
    </row>
    <row r="319" spans="1:39" ht="28.5" customHeight="1" x14ac:dyDescent="0.25">
      <c r="A319" s="243"/>
      <c r="B319" s="437"/>
      <c r="C319" s="437"/>
      <c r="D319" s="437"/>
      <c r="E319" s="437"/>
      <c r="F319" s="437"/>
      <c r="G319" s="437"/>
      <c r="H319" s="437"/>
      <c r="I319" s="438"/>
      <c r="J319" s="437" t="s">
        <v>323</v>
      </c>
      <c r="K319" s="245"/>
      <c r="L319" s="257"/>
      <c r="M319" s="591" t="s">
        <v>324</v>
      </c>
      <c r="N319" s="592"/>
      <c r="O319" s="179"/>
      <c r="P319" s="180"/>
      <c r="Q319" s="180">
        <v>9642000</v>
      </c>
      <c r="R319" s="181">
        <f t="shared" si="100"/>
        <v>12.368916837583795</v>
      </c>
      <c r="S319" s="181">
        <v>100</v>
      </c>
      <c r="T319" s="180">
        <f t="shared" si="91"/>
        <v>0</v>
      </c>
      <c r="U319" s="180">
        <f t="shared" si="97"/>
        <v>0</v>
      </c>
      <c r="V319" s="182">
        <f t="shared" si="95"/>
        <v>100</v>
      </c>
      <c r="W319" s="180"/>
      <c r="X319" s="180"/>
      <c r="Y319" s="180"/>
      <c r="Z319" s="180"/>
      <c r="AA319" s="180"/>
      <c r="AB319" s="180"/>
      <c r="AC319" s="180"/>
      <c r="AD319" s="180"/>
      <c r="AE319" s="180"/>
      <c r="AF319" s="180"/>
      <c r="AG319" s="180"/>
      <c r="AH319" s="180"/>
      <c r="AI319" s="180">
        <v>0</v>
      </c>
      <c r="AJ319" s="181">
        <f t="shared" si="92"/>
        <v>0</v>
      </c>
      <c r="AK319" s="180">
        <f t="shared" si="99"/>
        <v>9642000</v>
      </c>
      <c r="AL319" s="181">
        <f t="shared" si="93"/>
        <v>100</v>
      </c>
      <c r="AM319" s="243"/>
    </row>
    <row r="320" spans="1:39" ht="28.5" customHeight="1" x14ac:dyDescent="0.25">
      <c r="A320" s="243"/>
      <c r="B320" s="437"/>
      <c r="C320" s="437"/>
      <c r="D320" s="437"/>
      <c r="E320" s="437"/>
      <c r="F320" s="437"/>
      <c r="G320" s="437"/>
      <c r="H320" s="437"/>
      <c r="I320" s="438"/>
      <c r="J320" s="437" t="s">
        <v>269</v>
      </c>
      <c r="K320" s="245"/>
      <c r="L320" s="257"/>
      <c r="M320" s="591" t="s">
        <v>270</v>
      </c>
      <c r="N320" s="592"/>
      <c r="O320" s="179"/>
      <c r="P320" s="180"/>
      <c r="Q320" s="180">
        <v>1250000</v>
      </c>
      <c r="R320" s="181">
        <f t="shared" si="100"/>
        <v>1.6035206437440097</v>
      </c>
      <c r="S320" s="181">
        <v>100</v>
      </c>
      <c r="T320" s="180">
        <f t="shared" si="91"/>
        <v>0</v>
      </c>
      <c r="U320" s="180">
        <f t="shared" si="97"/>
        <v>0</v>
      </c>
      <c r="V320" s="182">
        <f t="shared" si="95"/>
        <v>100</v>
      </c>
      <c r="W320" s="180"/>
      <c r="X320" s="180"/>
      <c r="Y320" s="180"/>
      <c r="Z320" s="180"/>
      <c r="AA320" s="180"/>
      <c r="AB320" s="180"/>
      <c r="AC320" s="180"/>
      <c r="AD320" s="180"/>
      <c r="AE320" s="180"/>
      <c r="AF320" s="180"/>
      <c r="AG320" s="180"/>
      <c r="AH320" s="180"/>
      <c r="AI320" s="180">
        <v>0</v>
      </c>
      <c r="AJ320" s="181">
        <f t="shared" si="92"/>
        <v>0</v>
      </c>
      <c r="AK320" s="180">
        <f t="shared" si="99"/>
        <v>1250000</v>
      </c>
      <c r="AL320" s="181">
        <f t="shared" si="93"/>
        <v>100</v>
      </c>
      <c r="AM320" s="243"/>
    </row>
    <row r="321" spans="1:39" ht="28.5" customHeight="1" x14ac:dyDescent="0.25">
      <c r="A321" s="243"/>
      <c r="B321" s="437"/>
      <c r="C321" s="437"/>
      <c r="D321" s="437"/>
      <c r="E321" s="437"/>
      <c r="F321" s="437"/>
      <c r="G321" s="437"/>
      <c r="H321" s="437"/>
      <c r="I321" s="438"/>
      <c r="J321" s="437" t="s">
        <v>315</v>
      </c>
      <c r="K321" s="245"/>
      <c r="L321" s="257"/>
      <c r="M321" s="591" t="s">
        <v>271</v>
      </c>
      <c r="N321" s="592"/>
      <c r="O321" s="179"/>
      <c r="P321" s="180"/>
      <c r="Q321" s="180">
        <v>17421471</v>
      </c>
      <c r="R321" s="181">
        <f t="shared" si="100"/>
        <v>22.348550714310079</v>
      </c>
      <c r="S321" s="181">
        <v>100</v>
      </c>
      <c r="T321" s="180">
        <f t="shared" si="91"/>
        <v>0</v>
      </c>
      <c r="U321" s="180">
        <f t="shared" si="97"/>
        <v>0</v>
      </c>
      <c r="V321" s="182">
        <f t="shared" si="95"/>
        <v>100</v>
      </c>
      <c r="W321" s="180"/>
      <c r="X321" s="180"/>
      <c r="Y321" s="180"/>
      <c r="Z321" s="180"/>
      <c r="AA321" s="180"/>
      <c r="AB321" s="180"/>
      <c r="AC321" s="180"/>
      <c r="AD321" s="180"/>
      <c r="AE321" s="180"/>
      <c r="AF321" s="180"/>
      <c r="AG321" s="180"/>
      <c r="AH321" s="180"/>
      <c r="AI321" s="180">
        <v>0</v>
      </c>
      <c r="AJ321" s="181">
        <f t="shared" si="92"/>
        <v>0</v>
      </c>
      <c r="AK321" s="180">
        <f t="shared" si="99"/>
        <v>17421471</v>
      </c>
      <c r="AL321" s="181">
        <f t="shared" si="93"/>
        <v>100</v>
      </c>
      <c r="AM321" s="243"/>
    </row>
    <row r="322" spans="1:39" ht="28.5" customHeight="1" x14ac:dyDescent="0.25">
      <c r="A322" s="243"/>
      <c r="B322" s="437"/>
      <c r="C322" s="437"/>
      <c r="D322" s="437"/>
      <c r="E322" s="437"/>
      <c r="F322" s="437"/>
      <c r="G322" s="437"/>
      <c r="H322" s="437"/>
      <c r="I322" s="438"/>
      <c r="J322" s="437" t="s">
        <v>318</v>
      </c>
      <c r="K322" s="245"/>
      <c r="L322" s="257"/>
      <c r="M322" s="591" t="s">
        <v>281</v>
      </c>
      <c r="N322" s="592"/>
      <c r="O322" s="179"/>
      <c r="P322" s="180"/>
      <c r="Q322" s="180">
        <v>2250000</v>
      </c>
      <c r="R322" s="181">
        <f t="shared" si="100"/>
        <v>2.8863371587392175</v>
      </c>
      <c r="S322" s="181">
        <v>100</v>
      </c>
      <c r="T322" s="180">
        <f t="shared" si="91"/>
        <v>0</v>
      </c>
      <c r="U322" s="180">
        <f t="shared" si="97"/>
        <v>0</v>
      </c>
      <c r="V322" s="182">
        <f t="shared" si="95"/>
        <v>100</v>
      </c>
      <c r="W322" s="180"/>
      <c r="X322" s="180"/>
      <c r="Y322" s="180"/>
      <c r="Z322" s="180"/>
      <c r="AA322" s="180"/>
      <c r="AB322" s="180"/>
      <c r="AC322" s="180"/>
      <c r="AD322" s="180"/>
      <c r="AE322" s="180"/>
      <c r="AF322" s="180"/>
      <c r="AG322" s="180"/>
      <c r="AH322" s="180"/>
      <c r="AI322" s="180">
        <v>0</v>
      </c>
      <c r="AJ322" s="181">
        <f t="shared" si="92"/>
        <v>0</v>
      </c>
      <c r="AK322" s="180">
        <f t="shared" si="99"/>
        <v>2250000</v>
      </c>
      <c r="AL322" s="181">
        <f t="shared" si="93"/>
        <v>100</v>
      </c>
      <c r="AM322" s="243"/>
    </row>
    <row r="323" spans="1:39" ht="28.5" customHeight="1" x14ac:dyDescent="0.25">
      <c r="A323" s="243"/>
      <c r="B323" s="437"/>
      <c r="C323" s="437"/>
      <c r="D323" s="437"/>
      <c r="E323" s="437"/>
      <c r="F323" s="437"/>
      <c r="G323" s="437"/>
      <c r="H323" s="437"/>
      <c r="I323" s="438"/>
      <c r="J323" s="437" t="s">
        <v>284</v>
      </c>
      <c r="K323" s="245"/>
      <c r="L323" s="257"/>
      <c r="M323" s="591" t="s">
        <v>285</v>
      </c>
      <c r="N323" s="592"/>
      <c r="O323" s="179"/>
      <c r="P323" s="180"/>
      <c r="Q323" s="180">
        <v>2640000</v>
      </c>
      <c r="R323" s="181">
        <f t="shared" si="100"/>
        <v>3.3866355995873487</v>
      </c>
      <c r="S323" s="181">
        <v>100</v>
      </c>
      <c r="T323" s="180">
        <f t="shared" si="91"/>
        <v>0</v>
      </c>
      <c r="U323" s="180">
        <f t="shared" si="97"/>
        <v>0</v>
      </c>
      <c r="V323" s="182">
        <f t="shared" si="95"/>
        <v>100</v>
      </c>
      <c r="W323" s="180"/>
      <c r="X323" s="180"/>
      <c r="Y323" s="180"/>
      <c r="Z323" s="180"/>
      <c r="AA323" s="180"/>
      <c r="AB323" s="180"/>
      <c r="AC323" s="180"/>
      <c r="AD323" s="180"/>
      <c r="AE323" s="180"/>
      <c r="AF323" s="180"/>
      <c r="AG323" s="180"/>
      <c r="AH323" s="180"/>
      <c r="AI323" s="180">
        <v>0</v>
      </c>
      <c r="AJ323" s="181">
        <f t="shared" si="92"/>
        <v>0</v>
      </c>
      <c r="AK323" s="180">
        <f t="shared" si="99"/>
        <v>2640000</v>
      </c>
      <c r="AL323" s="181">
        <f t="shared" si="93"/>
        <v>100</v>
      </c>
      <c r="AM323" s="243"/>
    </row>
    <row r="324" spans="1:39" ht="28.5" customHeight="1" x14ac:dyDescent="0.25">
      <c r="A324" s="243"/>
      <c r="B324" s="437"/>
      <c r="C324" s="437"/>
      <c r="D324" s="437"/>
      <c r="E324" s="437"/>
      <c r="F324" s="437"/>
      <c r="G324" s="437"/>
      <c r="H324" s="437"/>
      <c r="I324" s="438"/>
      <c r="J324" s="437" t="s">
        <v>282</v>
      </c>
      <c r="K324" s="245"/>
      <c r="L324" s="257"/>
      <c r="M324" s="591" t="s">
        <v>283</v>
      </c>
      <c r="N324" s="592"/>
      <c r="O324" s="179"/>
      <c r="P324" s="180"/>
      <c r="Q324" s="180">
        <v>11250000</v>
      </c>
      <c r="R324" s="181">
        <f t="shared" si="100"/>
        <v>14.431685793696088</v>
      </c>
      <c r="S324" s="181">
        <v>100</v>
      </c>
      <c r="T324" s="180">
        <f t="shared" si="91"/>
        <v>0</v>
      </c>
      <c r="U324" s="180">
        <f t="shared" si="97"/>
        <v>0</v>
      </c>
      <c r="V324" s="182">
        <f t="shared" si="95"/>
        <v>100</v>
      </c>
      <c r="W324" s="180"/>
      <c r="X324" s="180"/>
      <c r="Y324" s="180"/>
      <c r="Z324" s="180"/>
      <c r="AA324" s="180"/>
      <c r="AB324" s="180"/>
      <c r="AC324" s="180"/>
      <c r="AD324" s="180"/>
      <c r="AE324" s="180"/>
      <c r="AF324" s="180"/>
      <c r="AG324" s="180"/>
      <c r="AH324" s="180"/>
      <c r="AI324" s="180">
        <v>0</v>
      </c>
      <c r="AJ324" s="181">
        <f t="shared" si="92"/>
        <v>0</v>
      </c>
      <c r="AK324" s="180">
        <f t="shared" si="99"/>
        <v>11250000</v>
      </c>
      <c r="AL324" s="181">
        <f t="shared" si="93"/>
        <v>100</v>
      </c>
      <c r="AM324" s="243"/>
    </row>
    <row r="325" spans="1:39" s="297" customFormat="1" ht="47.25" customHeight="1" x14ac:dyDescent="0.25">
      <c r="A325" s="227">
        <f>A317+1</f>
        <v>43</v>
      </c>
      <c r="B325" s="615" t="s">
        <v>151</v>
      </c>
      <c r="C325" s="615"/>
      <c r="D325" s="615"/>
      <c r="E325" s="615"/>
      <c r="F325" s="615"/>
      <c r="G325" s="615"/>
      <c r="H325" s="615"/>
      <c r="I325" s="614"/>
      <c r="J325" s="304" t="s">
        <v>487</v>
      </c>
      <c r="K325" s="230"/>
      <c r="L325" s="294"/>
      <c r="M325" s="610" t="s">
        <v>46</v>
      </c>
      <c r="N325" s="610"/>
      <c r="O325" s="309">
        <v>66400000</v>
      </c>
      <c r="P325" s="231">
        <f>O325</f>
        <v>66400000</v>
      </c>
      <c r="Q325" s="231">
        <f>SUM(Q326:Q331)</f>
        <v>38384665</v>
      </c>
      <c r="R325" s="233">
        <f>Q325/Q$248*100</f>
        <v>0.32180721540889506</v>
      </c>
      <c r="S325" s="233">
        <v>100</v>
      </c>
      <c r="T325" s="231">
        <f t="shared" si="91"/>
        <v>0</v>
      </c>
      <c r="U325" s="231">
        <f t="shared" si="97"/>
        <v>0</v>
      </c>
      <c r="V325" s="296">
        <f t="shared" si="95"/>
        <v>100</v>
      </c>
      <c r="W325" s="231"/>
      <c r="X325" s="231" t="e">
        <f>#REF!</f>
        <v>#REF!</v>
      </c>
      <c r="Y325" s="231" t="e">
        <f>#REF!</f>
        <v>#REF!</v>
      </c>
      <c r="Z325" s="231" t="e">
        <f>#REF!</f>
        <v>#REF!</v>
      </c>
      <c r="AA325" s="231" t="e">
        <f>#REF!</f>
        <v>#REF!</v>
      </c>
      <c r="AB325" s="231">
        <v>323021990</v>
      </c>
      <c r="AC325" s="231" t="e">
        <f>#REF!</f>
        <v>#REF!</v>
      </c>
      <c r="AD325" s="231" t="e">
        <f>#REF!</f>
        <v>#REF!</v>
      </c>
      <c r="AE325" s="231" t="e">
        <f>#REF!</f>
        <v>#REF!</v>
      </c>
      <c r="AF325" s="231" t="e">
        <f>[1]April!N62</f>
        <v>#REF!</v>
      </c>
      <c r="AG325" s="231" t="e">
        <f>[2]april!N62</f>
        <v>#REF!</v>
      </c>
      <c r="AH325" s="231">
        <f>'[3]DES SKPD'!$N62</f>
        <v>58437000</v>
      </c>
      <c r="AI325" s="231">
        <f>SUM(AI326:AI331)</f>
        <v>0</v>
      </c>
      <c r="AJ325" s="233">
        <f t="shared" si="92"/>
        <v>0</v>
      </c>
      <c r="AK325" s="231">
        <f t="shared" si="99"/>
        <v>38384665</v>
      </c>
      <c r="AL325" s="233">
        <f t="shared" si="93"/>
        <v>100</v>
      </c>
      <c r="AM325" s="227"/>
    </row>
    <row r="326" spans="1:39" ht="28.5" customHeight="1" x14ac:dyDescent="0.25">
      <c r="A326" s="243"/>
      <c r="B326" s="437"/>
      <c r="C326" s="437"/>
      <c r="D326" s="437"/>
      <c r="E326" s="437"/>
      <c r="F326" s="437"/>
      <c r="G326" s="437"/>
      <c r="H326" s="437"/>
      <c r="I326" s="438"/>
      <c r="J326" s="437" t="s">
        <v>326</v>
      </c>
      <c r="K326" s="245"/>
      <c r="L326" s="257"/>
      <c r="M326" s="591" t="s">
        <v>327</v>
      </c>
      <c r="N326" s="592"/>
      <c r="O326" s="179"/>
      <c r="P326" s="180"/>
      <c r="Q326" s="180">
        <v>16750000</v>
      </c>
      <c r="R326" s="181">
        <f t="shared" ref="R326:R331" si="101">Q326/Q$325*100</f>
        <v>43.637218144277142</v>
      </c>
      <c r="S326" s="181">
        <v>100</v>
      </c>
      <c r="T326" s="180">
        <f t="shared" si="91"/>
        <v>0</v>
      </c>
      <c r="U326" s="180">
        <f t="shared" si="97"/>
        <v>0</v>
      </c>
      <c r="V326" s="182">
        <f t="shared" si="95"/>
        <v>100</v>
      </c>
      <c r="W326" s="180"/>
      <c r="X326" s="180"/>
      <c r="Y326" s="180"/>
      <c r="Z326" s="180"/>
      <c r="AA326" s="180"/>
      <c r="AB326" s="180"/>
      <c r="AC326" s="180"/>
      <c r="AD326" s="180"/>
      <c r="AE326" s="180"/>
      <c r="AF326" s="180"/>
      <c r="AG326" s="180"/>
      <c r="AH326" s="180"/>
      <c r="AI326" s="180">
        <v>0</v>
      </c>
      <c r="AJ326" s="181">
        <f t="shared" si="92"/>
        <v>0</v>
      </c>
      <c r="AK326" s="180">
        <f t="shared" si="99"/>
        <v>16750000</v>
      </c>
      <c r="AL326" s="181">
        <f t="shared" si="93"/>
        <v>100</v>
      </c>
      <c r="AM326" s="243"/>
    </row>
    <row r="327" spans="1:39" ht="28.5" customHeight="1" x14ac:dyDescent="0.25">
      <c r="A327" s="243"/>
      <c r="B327" s="437"/>
      <c r="C327" s="437"/>
      <c r="D327" s="437"/>
      <c r="E327" s="437"/>
      <c r="F327" s="437"/>
      <c r="G327" s="437"/>
      <c r="H327" s="437"/>
      <c r="I327" s="438"/>
      <c r="J327" s="437" t="s">
        <v>323</v>
      </c>
      <c r="K327" s="245"/>
      <c r="L327" s="257"/>
      <c r="M327" s="591" t="s">
        <v>324</v>
      </c>
      <c r="N327" s="592"/>
      <c r="O327" s="179"/>
      <c r="P327" s="180"/>
      <c r="Q327" s="180">
        <v>5934000</v>
      </c>
      <c r="R327" s="181">
        <f t="shared" si="101"/>
        <v>15.459298654814363</v>
      </c>
      <c r="S327" s="181">
        <v>100</v>
      </c>
      <c r="T327" s="180">
        <f t="shared" si="91"/>
        <v>0</v>
      </c>
      <c r="U327" s="180">
        <f t="shared" si="97"/>
        <v>0</v>
      </c>
      <c r="V327" s="182">
        <f t="shared" si="95"/>
        <v>100</v>
      </c>
      <c r="W327" s="180"/>
      <c r="X327" s="180"/>
      <c r="Y327" s="180"/>
      <c r="Z327" s="180"/>
      <c r="AA327" s="180"/>
      <c r="AB327" s="180"/>
      <c r="AC327" s="180"/>
      <c r="AD327" s="180"/>
      <c r="AE327" s="180"/>
      <c r="AF327" s="180"/>
      <c r="AG327" s="180"/>
      <c r="AH327" s="180"/>
      <c r="AI327" s="180">
        <v>0</v>
      </c>
      <c r="AJ327" s="181">
        <f t="shared" si="92"/>
        <v>0</v>
      </c>
      <c r="AK327" s="180">
        <f t="shared" si="99"/>
        <v>5934000</v>
      </c>
      <c r="AL327" s="181">
        <f t="shared" si="93"/>
        <v>100</v>
      </c>
      <c r="AM327" s="243"/>
    </row>
    <row r="328" spans="1:39" ht="28.5" customHeight="1" x14ac:dyDescent="0.25">
      <c r="A328" s="243"/>
      <c r="B328" s="437"/>
      <c r="C328" s="437"/>
      <c r="D328" s="437"/>
      <c r="E328" s="437"/>
      <c r="F328" s="437"/>
      <c r="G328" s="437"/>
      <c r="H328" s="437"/>
      <c r="I328" s="438"/>
      <c r="J328" s="437" t="s">
        <v>269</v>
      </c>
      <c r="K328" s="245"/>
      <c r="L328" s="257"/>
      <c r="M328" s="591" t="s">
        <v>270</v>
      </c>
      <c r="N328" s="592"/>
      <c r="O328" s="179"/>
      <c r="P328" s="180"/>
      <c r="Q328" s="180">
        <v>4000000</v>
      </c>
      <c r="R328" s="181">
        <f t="shared" si="101"/>
        <v>10.420828213558723</v>
      </c>
      <c r="S328" s="181">
        <v>100</v>
      </c>
      <c r="T328" s="180">
        <f t="shared" si="91"/>
        <v>0</v>
      </c>
      <c r="U328" s="180">
        <f t="shared" si="97"/>
        <v>0</v>
      </c>
      <c r="V328" s="182">
        <f t="shared" si="95"/>
        <v>100</v>
      </c>
      <c r="W328" s="180"/>
      <c r="X328" s="180"/>
      <c r="Y328" s="180"/>
      <c r="Z328" s="180"/>
      <c r="AA328" s="180"/>
      <c r="AB328" s="180"/>
      <c r="AC328" s="180"/>
      <c r="AD328" s="180"/>
      <c r="AE328" s="180"/>
      <c r="AF328" s="180"/>
      <c r="AG328" s="180"/>
      <c r="AH328" s="180"/>
      <c r="AI328" s="180">
        <v>0</v>
      </c>
      <c r="AJ328" s="181">
        <f t="shared" si="92"/>
        <v>0</v>
      </c>
      <c r="AK328" s="180">
        <f t="shared" si="99"/>
        <v>4000000</v>
      </c>
      <c r="AL328" s="181">
        <f t="shared" si="93"/>
        <v>100</v>
      </c>
      <c r="AM328" s="243"/>
    </row>
    <row r="329" spans="1:39" ht="28.5" customHeight="1" x14ac:dyDescent="0.25">
      <c r="A329" s="243"/>
      <c r="B329" s="437"/>
      <c r="C329" s="437"/>
      <c r="D329" s="437"/>
      <c r="E329" s="437"/>
      <c r="F329" s="437"/>
      <c r="G329" s="437"/>
      <c r="H329" s="437"/>
      <c r="I329" s="438"/>
      <c r="J329" s="437" t="s">
        <v>315</v>
      </c>
      <c r="K329" s="245"/>
      <c r="L329" s="257"/>
      <c r="M329" s="591" t="s">
        <v>271</v>
      </c>
      <c r="N329" s="592"/>
      <c r="O329" s="179"/>
      <c r="P329" s="180"/>
      <c r="Q329" s="180">
        <v>6000000</v>
      </c>
      <c r="R329" s="181">
        <f t="shared" si="101"/>
        <v>15.631242320338082</v>
      </c>
      <c r="S329" s="181">
        <v>100</v>
      </c>
      <c r="T329" s="180">
        <f t="shared" si="91"/>
        <v>0</v>
      </c>
      <c r="U329" s="180">
        <f t="shared" si="97"/>
        <v>0</v>
      </c>
      <c r="V329" s="182">
        <f t="shared" si="95"/>
        <v>100</v>
      </c>
      <c r="W329" s="180"/>
      <c r="X329" s="180"/>
      <c r="Y329" s="180"/>
      <c r="Z329" s="180"/>
      <c r="AA329" s="180"/>
      <c r="AB329" s="180"/>
      <c r="AC329" s="180"/>
      <c r="AD329" s="180"/>
      <c r="AE329" s="180"/>
      <c r="AF329" s="180"/>
      <c r="AG329" s="180"/>
      <c r="AH329" s="180"/>
      <c r="AI329" s="180">
        <v>0</v>
      </c>
      <c r="AJ329" s="181">
        <f t="shared" si="92"/>
        <v>0</v>
      </c>
      <c r="AK329" s="180">
        <f t="shared" si="99"/>
        <v>6000000</v>
      </c>
      <c r="AL329" s="181">
        <f t="shared" si="93"/>
        <v>100</v>
      </c>
      <c r="AM329" s="243"/>
    </row>
    <row r="330" spans="1:39" ht="28.5" customHeight="1" x14ac:dyDescent="0.25">
      <c r="A330" s="243"/>
      <c r="B330" s="437"/>
      <c r="C330" s="437"/>
      <c r="D330" s="437"/>
      <c r="E330" s="437"/>
      <c r="F330" s="437"/>
      <c r="G330" s="437"/>
      <c r="H330" s="437"/>
      <c r="I330" s="438"/>
      <c r="J330" s="437" t="s">
        <v>339</v>
      </c>
      <c r="K330" s="245"/>
      <c r="L330" s="257"/>
      <c r="M330" s="591" t="s">
        <v>340</v>
      </c>
      <c r="N330" s="592"/>
      <c r="O330" s="179"/>
      <c r="P330" s="180"/>
      <c r="Q330" s="180">
        <v>1500000</v>
      </c>
      <c r="R330" s="181">
        <f t="shared" si="101"/>
        <v>3.9078105800845204</v>
      </c>
      <c r="S330" s="181">
        <v>100</v>
      </c>
      <c r="T330" s="180">
        <f t="shared" si="91"/>
        <v>0</v>
      </c>
      <c r="U330" s="180">
        <f t="shared" si="97"/>
        <v>0</v>
      </c>
      <c r="V330" s="182">
        <f t="shared" si="95"/>
        <v>100</v>
      </c>
      <c r="W330" s="180"/>
      <c r="X330" s="180"/>
      <c r="Y330" s="180"/>
      <c r="Z330" s="180"/>
      <c r="AA330" s="180"/>
      <c r="AB330" s="180"/>
      <c r="AC330" s="180"/>
      <c r="AD330" s="180"/>
      <c r="AE330" s="180"/>
      <c r="AF330" s="180"/>
      <c r="AG330" s="180"/>
      <c r="AH330" s="180"/>
      <c r="AI330" s="180">
        <v>0</v>
      </c>
      <c r="AJ330" s="181">
        <f t="shared" si="92"/>
        <v>0</v>
      </c>
      <c r="AK330" s="180">
        <f t="shared" si="99"/>
        <v>1500000</v>
      </c>
      <c r="AL330" s="181">
        <f t="shared" si="93"/>
        <v>100</v>
      </c>
      <c r="AM330" s="243"/>
    </row>
    <row r="331" spans="1:39" ht="28.5" customHeight="1" x14ac:dyDescent="0.25">
      <c r="A331" s="243"/>
      <c r="B331" s="437"/>
      <c r="C331" s="437"/>
      <c r="D331" s="437"/>
      <c r="E331" s="437"/>
      <c r="F331" s="437"/>
      <c r="G331" s="437"/>
      <c r="H331" s="437"/>
      <c r="I331" s="438"/>
      <c r="J331" s="437" t="s">
        <v>282</v>
      </c>
      <c r="K331" s="245"/>
      <c r="L331" s="257"/>
      <c r="M331" s="591" t="s">
        <v>590</v>
      </c>
      <c r="N331" s="592"/>
      <c r="O331" s="179"/>
      <c r="P331" s="180"/>
      <c r="Q331" s="180">
        <v>4200665</v>
      </c>
      <c r="R331" s="181">
        <f t="shared" si="101"/>
        <v>10.943602086927163</v>
      </c>
      <c r="S331" s="181">
        <v>100</v>
      </c>
      <c r="T331" s="180">
        <f t="shared" si="91"/>
        <v>0</v>
      </c>
      <c r="U331" s="180">
        <f t="shared" si="97"/>
        <v>0</v>
      </c>
      <c r="V331" s="182">
        <f t="shared" si="95"/>
        <v>100</v>
      </c>
      <c r="W331" s="180"/>
      <c r="X331" s="180"/>
      <c r="Y331" s="180"/>
      <c r="Z331" s="180"/>
      <c r="AA331" s="180"/>
      <c r="AB331" s="180"/>
      <c r="AC331" s="180"/>
      <c r="AD331" s="180"/>
      <c r="AE331" s="180"/>
      <c r="AF331" s="180"/>
      <c r="AG331" s="180"/>
      <c r="AH331" s="180"/>
      <c r="AI331" s="180">
        <v>0</v>
      </c>
      <c r="AJ331" s="181">
        <f t="shared" si="92"/>
        <v>0</v>
      </c>
      <c r="AK331" s="180">
        <f t="shared" si="99"/>
        <v>4200665</v>
      </c>
      <c r="AL331" s="181">
        <f t="shared" si="93"/>
        <v>100</v>
      </c>
      <c r="AM331" s="243"/>
    </row>
    <row r="332" spans="1:39" s="311" customFormat="1" ht="27.75" customHeight="1" x14ac:dyDescent="0.25">
      <c r="A332" s="227">
        <f>SUM(A325+1)</f>
        <v>44</v>
      </c>
      <c r="B332" s="442"/>
      <c r="C332" s="442"/>
      <c r="D332" s="442"/>
      <c r="E332" s="442"/>
      <c r="F332" s="442"/>
      <c r="G332" s="442"/>
      <c r="H332" s="442"/>
      <c r="I332" s="441"/>
      <c r="J332" s="304" t="s">
        <v>488</v>
      </c>
      <c r="K332" s="230"/>
      <c r="L332" s="294"/>
      <c r="M332" s="609" t="s">
        <v>198</v>
      </c>
      <c r="N332" s="614"/>
      <c r="O332" s="310"/>
      <c r="P332" s="231"/>
      <c r="Q332" s="231">
        <f>SUM(Q333:Q338)</f>
        <v>139532300</v>
      </c>
      <c r="R332" s="233">
        <f>Q332/Q$248*100</f>
        <v>1.1698031211839044</v>
      </c>
      <c r="S332" s="233">
        <v>100</v>
      </c>
      <c r="T332" s="231">
        <f t="shared" si="91"/>
        <v>0</v>
      </c>
      <c r="U332" s="231">
        <f t="shared" si="97"/>
        <v>0</v>
      </c>
      <c r="V332" s="296">
        <f t="shared" si="95"/>
        <v>100</v>
      </c>
      <c r="W332" s="231"/>
      <c r="X332" s="231" t="e">
        <f>#REF!</f>
        <v>#REF!</v>
      </c>
      <c r="Y332" s="231" t="e">
        <f>#REF!</f>
        <v>#REF!</v>
      </c>
      <c r="Z332" s="231" t="e">
        <f>#REF!</f>
        <v>#REF!</v>
      </c>
      <c r="AA332" s="231" t="e">
        <f>#REF!</f>
        <v>#REF!</v>
      </c>
      <c r="AB332" s="231">
        <v>323021990</v>
      </c>
      <c r="AC332" s="231" t="e">
        <f>#REF!</f>
        <v>#REF!</v>
      </c>
      <c r="AD332" s="231" t="e">
        <f>#REF!</f>
        <v>#REF!</v>
      </c>
      <c r="AE332" s="231" t="e">
        <f>#REF!</f>
        <v>#REF!</v>
      </c>
      <c r="AF332" s="231" t="e">
        <f>[1]April!N63</f>
        <v>#REF!</v>
      </c>
      <c r="AG332" s="231" t="e">
        <f>[2]april!N63</f>
        <v>#REF!</v>
      </c>
      <c r="AH332" s="231">
        <f>'[3]DES SKPD'!$N63</f>
        <v>174573000</v>
      </c>
      <c r="AI332" s="231">
        <f>SUM(AI333:AI338)</f>
        <v>0</v>
      </c>
      <c r="AJ332" s="233">
        <f t="shared" si="92"/>
        <v>0</v>
      </c>
      <c r="AK332" s="231">
        <f t="shared" si="99"/>
        <v>139532300</v>
      </c>
      <c r="AL332" s="233">
        <f t="shared" si="93"/>
        <v>100</v>
      </c>
      <c r="AM332" s="227"/>
    </row>
    <row r="333" spans="1:39" ht="27.75" customHeight="1" x14ac:dyDescent="0.25">
      <c r="A333" s="243"/>
      <c r="B333" s="437"/>
      <c r="C333" s="437"/>
      <c r="D333" s="437"/>
      <c r="E333" s="437"/>
      <c r="F333" s="437"/>
      <c r="G333" s="437"/>
      <c r="H333" s="437"/>
      <c r="I333" s="438"/>
      <c r="J333" s="437" t="s">
        <v>257</v>
      </c>
      <c r="K333" s="245"/>
      <c r="L333" s="257"/>
      <c r="M333" s="591" t="s">
        <v>428</v>
      </c>
      <c r="N333" s="592"/>
      <c r="O333" s="179"/>
      <c r="P333" s="180"/>
      <c r="Q333" s="180">
        <v>2000000</v>
      </c>
      <c r="R333" s="181">
        <f t="shared" ref="R333:R338" si="102">Q333/Q$332*100</f>
        <v>1.4333598743803406</v>
      </c>
      <c r="S333" s="181">
        <v>100</v>
      </c>
      <c r="T333" s="180">
        <f t="shared" si="91"/>
        <v>0</v>
      </c>
      <c r="U333" s="180">
        <f t="shared" si="97"/>
        <v>0</v>
      </c>
      <c r="V333" s="182">
        <f t="shared" si="95"/>
        <v>100</v>
      </c>
      <c r="W333" s="180"/>
      <c r="X333" s="180"/>
      <c r="Y333" s="180"/>
      <c r="Z333" s="180"/>
      <c r="AA333" s="180"/>
      <c r="AB333" s="180"/>
      <c r="AC333" s="180"/>
      <c r="AD333" s="180"/>
      <c r="AE333" s="180"/>
      <c r="AF333" s="180"/>
      <c r="AG333" s="180"/>
      <c r="AH333" s="180"/>
      <c r="AI333" s="180">
        <v>0</v>
      </c>
      <c r="AJ333" s="181">
        <f t="shared" si="92"/>
        <v>0</v>
      </c>
      <c r="AK333" s="180">
        <f t="shared" si="99"/>
        <v>2000000</v>
      </c>
      <c r="AL333" s="181">
        <f t="shared" si="93"/>
        <v>100</v>
      </c>
      <c r="AM333" s="243"/>
    </row>
    <row r="334" spans="1:39" ht="27.75" customHeight="1" x14ac:dyDescent="0.25">
      <c r="A334" s="243"/>
      <c r="B334" s="437"/>
      <c r="C334" s="437"/>
      <c r="D334" s="437"/>
      <c r="E334" s="437"/>
      <c r="F334" s="437"/>
      <c r="G334" s="437"/>
      <c r="H334" s="437"/>
      <c r="I334" s="438"/>
      <c r="J334" s="437" t="s">
        <v>259</v>
      </c>
      <c r="K334" s="245"/>
      <c r="L334" s="257"/>
      <c r="M334" s="591" t="s">
        <v>340</v>
      </c>
      <c r="N334" s="592"/>
      <c r="O334" s="179"/>
      <c r="P334" s="180"/>
      <c r="Q334" s="180">
        <v>7500000</v>
      </c>
      <c r="R334" s="181">
        <f t="shared" si="102"/>
        <v>5.3750995289262775</v>
      </c>
      <c r="S334" s="181">
        <v>100</v>
      </c>
      <c r="T334" s="180">
        <f t="shared" si="91"/>
        <v>0</v>
      </c>
      <c r="U334" s="180">
        <f t="shared" si="97"/>
        <v>0</v>
      </c>
      <c r="V334" s="182">
        <f t="shared" si="95"/>
        <v>100</v>
      </c>
      <c r="W334" s="180"/>
      <c r="X334" s="180"/>
      <c r="Y334" s="180"/>
      <c r="Z334" s="180"/>
      <c r="AA334" s="180"/>
      <c r="AB334" s="180"/>
      <c r="AC334" s="180"/>
      <c r="AD334" s="180"/>
      <c r="AE334" s="180"/>
      <c r="AF334" s="180"/>
      <c r="AG334" s="180"/>
      <c r="AH334" s="180"/>
      <c r="AI334" s="180">
        <v>0</v>
      </c>
      <c r="AJ334" s="181">
        <f t="shared" si="92"/>
        <v>0</v>
      </c>
      <c r="AK334" s="180">
        <f t="shared" si="99"/>
        <v>7500000</v>
      </c>
      <c r="AL334" s="181">
        <f t="shared" si="93"/>
        <v>100</v>
      </c>
      <c r="AM334" s="243"/>
    </row>
    <row r="335" spans="1:39" ht="27.75" customHeight="1" x14ac:dyDescent="0.25">
      <c r="A335" s="243"/>
      <c r="B335" s="437"/>
      <c r="C335" s="437"/>
      <c r="D335" s="437"/>
      <c r="E335" s="437"/>
      <c r="F335" s="437"/>
      <c r="G335" s="437"/>
      <c r="H335" s="437"/>
      <c r="I335" s="438"/>
      <c r="J335" s="437" t="s">
        <v>323</v>
      </c>
      <c r="K335" s="245"/>
      <c r="L335" s="257"/>
      <c r="M335" s="591" t="s">
        <v>605</v>
      </c>
      <c r="N335" s="592"/>
      <c r="O335" s="179"/>
      <c r="P335" s="180"/>
      <c r="Q335" s="180">
        <v>24232300</v>
      </c>
      <c r="R335" s="181">
        <f t="shared" si="102"/>
        <v>17.366803241973365</v>
      </c>
      <c r="S335" s="181">
        <v>100</v>
      </c>
      <c r="T335" s="180">
        <f t="shared" si="91"/>
        <v>0</v>
      </c>
      <c r="U335" s="180">
        <f t="shared" si="97"/>
        <v>0</v>
      </c>
      <c r="V335" s="182">
        <f t="shared" si="95"/>
        <v>100</v>
      </c>
      <c r="W335" s="180"/>
      <c r="X335" s="180"/>
      <c r="Y335" s="180"/>
      <c r="Z335" s="180"/>
      <c r="AA335" s="180"/>
      <c r="AB335" s="180"/>
      <c r="AC335" s="180"/>
      <c r="AD335" s="180"/>
      <c r="AE335" s="180"/>
      <c r="AF335" s="180"/>
      <c r="AG335" s="180"/>
      <c r="AH335" s="180"/>
      <c r="AI335" s="180">
        <v>0</v>
      </c>
      <c r="AJ335" s="181">
        <f t="shared" si="92"/>
        <v>0</v>
      </c>
      <c r="AK335" s="180">
        <f t="shared" si="99"/>
        <v>24232300</v>
      </c>
      <c r="AL335" s="181">
        <f t="shared" si="93"/>
        <v>100</v>
      </c>
      <c r="AM335" s="243"/>
    </row>
    <row r="336" spans="1:39" ht="27.75" customHeight="1" x14ac:dyDescent="0.25">
      <c r="A336" s="243"/>
      <c r="B336" s="437"/>
      <c r="C336" s="437"/>
      <c r="D336" s="437"/>
      <c r="E336" s="437"/>
      <c r="F336" s="437"/>
      <c r="G336" s="437"/>
      <c r="H336" s="437"/>
      <c r="I336" s="438"/>
      <c r="J336" s="437" t="s">
        <v>315</v>
      </c>
      <c r="K336" s="245"/>
      <c r="L336" s="257"/>
      <c r="M336" s="591" t="s">
        <v>321</v>
      </c>
      <c r="N336" s="592"/>
      <c r="O336" s="179"/>
      <c r="P336" s="180"/>
      <c r="Q336" s="180">
        <v>3800000</v>
      </c>
      <c r="R336" s="181">
        <f t="shared" si="102"/>
        <v>2.7233837613226468</v>
      </c>
      <c r="S336" s="181">
        <v>100</v>
      </c>
      <c r="T336" s="180">
        <f t="shared" si="91"/>
        <v>0</v>
      </c>
      <c r="U336" s="180">
        <f t="shared" si="97"/>
        <v>0</v>
      </c>
      <c r="V336" s="182">
        <f t="shared" si="95"/>
        <v>100</v>
      </c>
      <c r="W336" s="180"/>
      <c r="X336" s="180"/>
      <c r="Y336" s="180"/>
      <c r="Z336" s="180"/>
      <c r="AA336" s="180"/>
      <c r="AB336" s="180"/>
      <c r="AC336" s="180"/>
      <c r="AD336" s="180"/>
      <c r="AE336" s="180"/>
      <c r="AF336" s="180"/>
      <c r="AG336" s="180"/>
      <c r="AH336" s="180"/>
      <c r="AI336" s="180">
        <v>0</v>
      </c>
      <c r="AJ336" s="181">
        <f t="shared" si="92"/>
        <v>0</v>
      </c>
      <c r="AK336" s="180">
        <f t="shared" si="99"/>
        <v>3800000</v>
      </c>
      <c r="AL336" s="181">
        <f t="shared" si="93"/>
        <v>100</v>
      </c>
      <c r="AM336" s="243"/>
    </row>
    <row r="337" spans="1:39" ht="27.75" customHeight="1" x14ac:dyDescent="0.25">
      <c r="A337" s="243"/>
      <c r="B337" s="437"/>
      <c r="C337" s="437"/>
      <c r="D337" s="437"/>
      <c r="E337" s="437"/>
      <c r="F337" s="437"/>
      <c r="G337" s="437"/>
      <c r="H337" s="437"/>
      <c r="I337" s="438"/>
      <c r="J337" s="437" t="s">
        <v>282</v>
      </c>
      <c r="K337" s="245"/>
      <c r="L337" s="257"/>
      <c r="M337" s="591" t="s">
        <v>606</v>
      </c>
      <c r="N337" s="592"/>
      <c r="O337" s="179"/>
      <c r="P337" s="180"/>
      <c r="Q337" s="180">
        <v>100000000</v>
      </c>
      <c r="R337" s="181">
        <f t="shared" si="102"/>
        <v>71.667993719017034</v>
      </c>
      <c r="S337" s="181">
        <v>100</v>
      </c>
      <c r="T337" s="180">
        <f t="shared" si="91"/>
        <v>0</v>
      </c>
      <c r="U337" s="180">
        <f t="shared" si="97"/>
        <v>0</v>
      </c>
      <c r="V337" s="182">
        <f t="shared" si="95"/>
        <v>100</v>
      </c>
      <c r="W337" s="180"/>
      <c r="X337" s="180"/>
      <c r="Y337" s="180"/>
      <c r="Z337" s="180"/>
      <c r="AA337" s="180"/>
      <c r="AB337" s="180"/>
      <c r="AC337" s="180"/>
      <c r="AD337" s="180"/>
      <c r="AE337" s="180"/>
      <c r="AF337" s="180"/>
      <c r="AG337" s="180"/>
      <c r="AH337" s="180"/>
      <c r="AI337" s="180">
        <v>0</v>
      </c>
      <c r="AJ337" s="181">
        <f t="shared" si="92"/>
        <v>0</v>
      </c>
      <c r="AK337" s="180">
        <f t="shared" si="99"/>
        <v>100000000</v>
      </c>
      <c r="AL337" s="181">
        <f t="shared" si="93"/>
        <v>100</v>
      </c>
      <c r="AM337" s="243"/>
    </row>
    <row r="338" spans="1:39" ht="27.75" customHeight="1" x14ac:dyDescent="0.25">
      <c r="A338" s="243"/>
      <c r="B338" s="437"/>
      <c r="C338" s="437"/>
      <c r="D338" s="437"/>
      <c r="E338" s="437"/>
      <c r="F338" s="437"/>
      <c r="G338" s="437"/>
      <c r="H338" s="437"/>
      <c r="I338" s="438"/>
      <c r="J338" s="437" t="s">
        <v>308</v>
      </c>
      <c r="K338" s="245"/>
      <c r="L338" s="257"/>
      <c r="M338" s="591" t="s">
        <v>607</v>
      </c>
      <c r="N338" s="592"/>
      <c r="O338" s="179"/>
      <c r="P338" s="180"/>
      <c r="Q338" s="180">
        <v>2000000</v>
      </c>
      <c r="R338" s="181">
        <f t="shared" si="102"/>
        <v>1.4333598743803406</v>
      </c>
      <c r="S338" s="181">
        <v>100</v>
      </c>
      <c r="T338" s="180">
        <f t="shared" si="91"/>
        <v>0</v>
      </c>
      <c r="U338" s="180">
        <f t="shared" si="97"/>
        <v>0</v>
      </c>
      <c r="V338" s="182">
        <f t="shared" si="95"/>
        <v>100</v>
      </c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0"/>
      <c r="AG338" s="180"/>
      <c r="AH338" s="180"/>
      <c r="AI338" s="180">
        <v>0</v>
      </c>
      <c r="AJ338" s="181">
        <f t="shared" si="92"/>
        <v>0</v>
      </c>
      <c r="AK338" s="180">
        <f t="shared" si="99"/>
        <v>2000000</v>
      </c>
      <c r="AL338" s="181">
        <f t="shared" si="93"/>
        <v>100</v>
      </c>
      <c r="AM338" s="243"/>
    </row>
    <row r="339" spans="1:39" s="297" customFormat="1" ht="36" customHeight="1" x14ac:dyDescent="0.25">
      <c r="A339" s="227">
        <f>SUM(A332+1)</f>
        <v>45</v>
      </c>
      <c r="B339" s="615" t="s">
        <v>152</v>
      </c>
      <c r="C339" s="615"/>
      <c r="D339" s="615"/>
      <c r="E339" s="615"/>
      <c r="F339" s="615"/>
      <c r="G339" s="615"/>
      <c r="H339" s="615"/>
      <c r="I339" s="614"/>
      <c r="J339" s="304" t="s">
        <v>489</v>
      </c>
      <c r="K339" s="230"/>
      <c r="L339" s="294"/>
      <c r="M339" s="610" t="s">
        <v>47</v>
      </c>
      <c r="N339" s="610"/>
      <c r="O339" s="309">
        <v>136000000</v>
      </c>
      <c r="P339" s="231">
        <f>O339</f>
        <v>136000000</v>
      </c>
      <c r="Q339" s="231">
        <f>SUM(Q340:Q349)</f>
        <v>341340000</v>
      </c>
      <c r="R339" s="233">
        <f>Q339/Q$248*100</f>
        <v>2.8617072705381759</v>
      </c>
      <c r="S339" s="233">
        <v>100</v>
      </c>
      <c r="T339" s="231">
        <f t="shared" si="91"/>
        <v>32.207077986758073</v>
      </c>
      <c r="U339" s="231">
        <f t="shared" si="97"/>
        <v>0.92167229237495618</v>
      </c>
      <c r="V339" s="296">
        <f t="shared" si="95"/>
        <v>67.792922013241935</v>
      </c>
      <c r="W339" s="231"/>
      <c r="X339" s="231" t="e">
        <f>#REF!</f>
        <v>#REF!</v>
      </c>
      <c r="Y339" s="231" t="e">
        <f>#REF!</f>
        <v>#REF!</v>
      </c>
      <c r="Z339" s="231" t="e">
        <f>#REF!</f>
        <v>#REF!</v>
      </c>
      <c r="AA339" s="231" t="e">
        <f>#REF!</f>
        <v>#REF!</v>
      </c>
      <c r="AB339" s="231">
        <v>88014000</v>
      </c>
      <c r="AC339" s="231" t="e">
        <f>#REF!</f>
        <v>#REF!</v>
      </c>
      <c r="AD339" s="231" t="e">
        <f>#REF!</f>
        <v>#REF!</v>
      </c>
      <c r="AE339" s="231" t="e">
        <f>#REF!</f>
        <v>#REF!</v>
      </c>
      <c r="AF339" s="231" t="e">
        <f>[1]April!N63</f>
        <v>#REF!</v>
      </c>
      <c r="AG339" s="231" t="e">
        <f>[2]april!N63</f>
        <v>#REF!</v>
      </c>
      <c r="AH339" s="231">
        <f>'[3]DES SKPD'!$N63</f>
        <v>174573000</v>
      </c>
      <c r="AI339" s="231">
        <f>SUM(AI340:AI349)</f>
        <v>109935640</v>
      </c>
      <c r="AJ339" s="233">
        <f t="shared" si="92"/>
        <v>32.207077986758073</v>
      </c>
      <c r="AK339" s="231">
        <f t="shared" si="99"/>
        <v>231404360</v>
      </c>
      <c r="AL339" s="233">
        <f t="shared" si="93"/>
        <v>67.792922013241935</v>
      </c>
      <c r="AM339" s="227"/>
    </row>
    <row r="340" spans="1:39" ht="29.25" customHeight="1" x14ac:dyDescent="0.25">
      <c r="A340" s="243"/>
      <c r="B340" s="437"/>
      <c r="C340" s="437"/>
      <c r="D340" s="437"/>
      <c r="E340" s="437"/>
      <c r="F340" s="437"/>
      <c r="G340" s="437"/>
      <c r="H340" s="437"/>
      <c r="I340" s="438"/>
      <c r="J340" s="437" t="s">
        <v>259</v>
      </c>
      <c r="K340" s="245"/>
      <c r="L340" s="257"/>
      <c r="M340" s="591" t="s">
        <v>260</v>
      </c>
      <c r="N340" s="592"/>
      <c r="O340" s="179"/>
      <c r="P340" s="180"/>
      <c r="Q340" s="180">
        <v>1600000</v>
      </c>
      <c r="R340" s="181">
        <f t="shared" ref="R340:R349" si="103">Q340/Q$339*100</f>
        <v>0.46874084490537299</v>
      </c>
      <c r="S340" s="181">
        <v>100</v>
      </c>
      <c r="T340" s="180">
        <f t="shared" si="91"/>
        <v>50</v>
      </c>
      <c r="U340" s="180">
        <f t="shared" si="97"/>
        <v>0.23437042245268649</v>
      </c>
      <c r="V340" s="182">
        <f t="shared" si="95"/>
        <v>50</v>
      </c>
      <c r="W340" s="180"/>
      <c r="X340" s="180"/>
      <c r="Y340" s="180"/>
      <c r="Z340" s="180"/>
      <c r="AA340" s="180"/>
      <c r="AB340" s="180"/>
      <c r="AC340" s="180"/>
      <c r="AD340" s="180"/>
      <c r="AE340" s="180"/>
      <c r="AF340" s="180"/>
      <c r="AG340" s="180"/>
      <c r="AH340" s="180"/>
      <c r="AI340" s="180">
        <v>800000</v>
      </c>
      <c r="AJ340" s="181">
        <f t="shared" si="92"/>
        <v>50</v>
      </c>
      <c r="AK340" s="180">
        <f t="shared" si="99"/>
        <v>800000</v>
      </c>
      <c r="AL340" s="181">
        <f t="shared" si="93"/>
        <v>50</v>
      </c>
      <c r="AM340" s="243"/>
    </row>
    <row r="341" spans="1:39" ht="29.25" customHeight="1" x14ac:dyDescent="0.25">
      <c r="A341" s="243"/>
      <c r="B341" s="437"/>
      <c r="C341" s="437"/>
      <c r="D341" s="437"/>
      <c r="E341" s="437"/>
      <c r="F341" s="437"/>
      <c r="G341" s="437"/>
      <c r="H341" s="437"/>
      <c r="I341" s="438"/>
      <c r="J341" s="437" t="s">
        <v>323</v>
      </c>
      <c r="K341" s="245"/>
      <c r="L341" s="257"/>
      <c r="M341" s="591" t="s">
        <v>324</v>
      </c>
      <c r="N341" s="592"/>
      <c r="O341" s="179"/>
      <c r="P341" s="180"/>
      <c r="Q341" s="180">
        <v>52980000</v>
      </c>
      <c r="R341" s="181">
        <f t="shared" si="103"/>
        <v>15.521181226929162</v>
      </c>
      <c r="S341" s="181">
        <v>100</v>
      </c>
      <c r="T341" s="180">
        <f t="shared" si="91"/>
        <v>29.873537183842956</v>
      </c>
      <c r="U341" s="180">
        <f t="shared" si="97"/>
        <v>4.6367258451983355</v>
      </c>
      <c r="V341" s="182">
        <f t="shared" si="95"/>
        <v>70.126462816157044</v>
      </c>
      <c r="W341" s="180"/>
      <c r="X341" s="180"/>
      <c r="Y341" s="180"/>
      <c r="Z341" s="180"/>
      <c r="AA341" s="180"/>
      <c r="AB341" s="180"/>
      <c r="AC341" s="180"/>
      <c r="AD341" s="180"/>
      <c r="AE341" s="180"/>
      <c r="AF341" s="180"/>
      <c r="AG341" s="180"/>
      <c r="AH341" s="180"/>
      <c r="AI341" s="180">
        <f>3803000+7983000+4041000</f>
        <v>15827000</v>
      </c>
      <c r="AJ341" s="181">
        <f t="shared" si="92"/>
        <v>29.873537183842956</v>
      </c>
      <c r="AK341" s="180">
        <f t="shared" si="99"/>
        <v>37153000</v>
      </c>
      <c r="AL341" s="181">
        <f t="shared" si="93"/>
        <v>70.126462816157044</v>
      </c>
      <c r="AM341" s="243"/>
    </row>
    <row r="342" spans="1:39" ht="39.75" customHeight="1" x14ac:dyDescent="0.25">
      <c r="A342" s="243"/>
      <c r="B342" s="437"/>
      <c r="C342" s="437"/>
      <c r="D342" s="437"/>
      <c r="E342" s="437"/>
      <c r="F342" s="437"/>
      <c r="G342" s="437"/>
      <c r="H342" s="437"/>
      <c r="I342" s="438"/>
      <c r="J342" s="437" t="s">
        <v>315</v>
      </c>
      <c r="K342" s="245"/>
      <c r="L342" s="257"/>
      <c r="M342" s="591" t="s">
        <v>271</v>
      </c>
      <c r="N342" s="592"/>
      <c r="O342" s="179"/>
      <c r="P342" s="180"/>
      <c r="Q342" s="180">
        <v>1800000</v>
      </c>
      <c r="R342" s="181">
        <f t="shared" si="103"/>
        <v>0.52733345051854452</v>
      </c>
      <c r="S342" s="181">
        <v>100</v>
      </c>
      <c r="T342" s="180">
        <f t="shared" si="91"/>
        <v>44.444444444444443</v>
      </c>
      <c r="U342" s="180">
        <f t="shared" si="97"/>
        <v>0.23437042245268647</v>
      </c>
      <c r="V342" s="182">
        <f t="shared" si="95"/>
        <v>55.555555555555557</v>
      </c>
      <c r="W342" s="180"/>
      <c r="X342" s="180"/>
      <c r="Y342" s="180"/>
      <c r="Z342" s="180"/>
      <c r="AA342" s="180"/>
      <c r="AB342" s="180"/>
      <c r="AC342" s="180"/>
      <c r="AD342" s="180"/>
      <c r="AE342" s="180"/>
      <c r="AF342" s="180"/>
      <c r="AG342" s="180"/>
      <c r="AH342" s="180"/>
      <c r="AI342" s="180">
        <v>800000</v>
      </c>
      <c r="AJ342" s="181">
        <f t="shared" si="92"/>
        <v>44.444444444444443</v>
      </c>
      <c r="AK342" s="180">
        <f t="shared" si="99"/>
        <v>1000000</v>
      </c>
      <c r="AL342" s="181">
        <f t="shared" si="93"/>
        <v>55.555555555555557</v>
      </c>
      <c r="AM342" s="243"/>
    </row>
    <row r="343" spans="1:39" ht="29.25" customHeight="1" x14ac:dyDescent="0.25">
      <c r="A343" s="243"/>
      <c r="B343" s="437"/>
      <c r="C343" s="437"/>
      <c r="D343" s="437"/>
      <c r="E343" s="437"/>
      <c r="F343" s="437"/>
      <c r="G343" s="437"/>
      <c r="H343" s="437"/>
      <c r="I343" s="438"/>
      <c r="J343" s="437" t="s">
        <v>316</v>
      </c>
      <c r="K343" s="245"/>
      <c r="L343" s="257"/>
      <c r="M343" s="591" t="s">
        <v>317</v>
      </c>
      <c r="N343" s="592"/>
      <c r="O343" s="179"/>
      <c r="P343" s="180"/>
      <c r="Q343" s="180">
        <v>600000</v>
      </c>
      <c r="R343" s="181">
        <f t="shared" si="103"/>
        <v>0.17577781683951485</v>
      </c>
      <c r="S343" s="181">
        <v>100</v>
      </c>
      <c r="T343" s="180">
        <f t="shared" si="91"/>
        <v>50</v>
      </c>
      <c r="U343" s="180">
        <f t="shared" si="97"/>
        <v>8.7888908419757425E-2</v>
      </c>
      <c r="V343" s="182">
        <f t="shared" si="95"/>
        <v>50</v>
      </c>
      <c r="W343" s="180"/>
      <c r="X343" s="180"/>
      <c r="Y343" s="180"/>
      <c r="Z343" s="180"/>
      <c r="AA343" s="180"/>
      <c r="AB343" s="180"/>
      <c r="AC343" s="180"/>
      <c r="AD343" s="180"/>
      <c r="AE343" s="180"/>
      <c r="AF343" s="180"/>
      <c r="AG343" s="180"/>
      <c r="AH343" s="180"/>
      <c r="AI343" s="180">
        <v>300000</v>
      </c>
      <c r="AJ343" s="181">
        <f t="shared" si="92"/>
        <v>50</v>
      </c>
      <c r="AK343" s="180">
        <f t="shared" si="99"/>
        <v>300000</v>
      </c>
      <c r="AL343" s="181">
        <f t="shared" si="93"/>
        <v>50</v>
      </c>
      <c r="AM343" s="243"/>
    </row>
    <row r="344" spans="1:39" ht="29.25" customHeight="1" x14ac:dyDescent="0.25">
      <c r="A344" s="243"/>
      <c r="B344" s="437"/>
      <c r="C344" s="437"/>
      <c r="D344" s="437"/>
      <c r="E344" s="437"/>
      <c r="F344" s="437"/>
      <c r="G344" s="437"/>
      <c r="H344" s="437"/>
      <c r="I344" s="438"/>
      <c r="J344" s="437" t="s">
        <v>318</v>
      </c>
      <c r="K344" s="245"/>
      <c r="L344" s="257"/>
      <c r="M344" s="591" t="s">
        <v>319</v>
      </c>
      <c r="N344" s="592"/>
      <c r="O344" s="179"/>
      <c r="P344" s="180"/>
      <c r="Q344" s="180">
        <v>97400000</v>
      </c>
      <c r="R344" s="181">
        <f t="shared" si="103"/>
        <v>28.534598933614578</v>
      </c>
      <c r="S344" s="181">
        <v>100</v>
      </c>
      <c r="T344" s="180">
        <f t="shared" si="91"/>
        <v>38.809034907597535</v>
      </c>
      <c r="U344" s="180">
        <f t="shared" si="97"/>
        <v>11.074002460889435</v>
      </c>
      <c r="V344" s="182">
        <f t="shared" si="95"/>
        <v>61.190965092402465</v>
      </c>
      <c r="W344" s="180"/>
      <c r="X344" s="180"/>
      <c r="Y344" s="180"/>
      <c r="Z344" s="180"/>
      <c r="AA344" s="180"/>
      <c r="AB344" s="180"/>
      <c r="AC344" s="180"/>
      <c r="AD344" s="180"/>
      <c r="AE344" s="180"/>
      <c r="AF344" s="180"/>
      <c r="AG344" s="180"/>
      <c r="AH344" s="180"/>
      <c r="AI344" s="180">
        <v>37800000</v>
      </c>
      <c r="AJ344" s="181">
        <f t="shared" si="92"/>
        <v>38.809034907597535</v>
      </c>
      <c r="AK344" s="180">
        <f t="shared" si="99"/>
        <v>59600000</v>
      </c>
      <c r="AL344" s="181">
        <f t="shared" si="93"/>
        <v>61.190965092402458</v>
      </c>
      <c r="AM344" s="243"/>
    </row>
    <row r="345" spans="1:39" ht="29.25" customHeight="1" x14ac:dyDescent="0.25">
      <c r="A345" s="243"/>
      <c r="B345" s="437"/>
      <c r="C345" s="437"/>
      <c r="D345" s="437"/>
      <c r="E345" s="437"/>
      <c r="F345" s="437"/>
      <c r="G345" s="437"/>
      <c r="H345" s="437"/>
      <c r="I345" s="438"/>
      <c r="J345" s="437" t="s">
        <v>280</v>
      </c>
      <c r="K345" s="245"/>
      <c r="L345" s="257"/>
      <c r="M345" s="591" t="s">
        <v>281</v>
      </c>
      <c r="N345" s="592"/>
      <c r="O345" s="179"/>
      <c r="P345" s="180"/>
      <c r="Q345" s="180">
        <v>2000000</v>
      </c>
      <c r="R345" s="181">
        <f t="shared" si="103"/>
        <v>0.58592605613171622</v>
      </c>
      <c r="S345" s="181">
        <v>100</v>
      </c>
      <c r="T345" s="180">
        <f t="shared" ref="T345:T413" si="104">AJ345</f>
        <v>0</v>
      </c>
      <c r="U345" s="180">
        <f t="shared" si="97"/>
        <v>0</v>
      </c>
      <c r="V345" s="182">
        <f t="shared" si="95"/>
        <v>100</v>
      </c>
      <c r="W345" s="180"/>
      <c r="X345" s="180"/>
      <c r="Y345" s="180"/>
      <c r="Z345" s="180"/>
      <c r="AA345" s="180"/>
      <c r="AB345" s="180"/>
      <c r="AC345" s="180"/>
      <c r="AD345" s="180"/>
      <c r="AE345" s="180"/>
      <c r="AF345" s="180"/>
      <c r="AG345" s="180"/>
      <c r="AH345" s="180"/>
      <c r="AI345" s="180">
        <v>0</v>
      </c>
      <c r="AJ345" s="181">
        <f t="shared" ref="AJ345:AJ408" si="105">AI345/Q345*100</f>
        <v>0</v>
      </c>
      <c r="AK345" s="180">
        <f t="shared" si="99"/>
        <v>2000000</v>
      </c>
      <c r="AL345" s="181">
        <f t="shared" ref="AL345:AL408" si="106">AK345/Q345*100</f>
        <v>100</v>
      </c>
      <c r="AM345" s="243"/>
    </row>
    <row r="346" spans="1:39" ht="29.25" customHeight="1" x14ac:dyDescent="0.25">
      <c r="A346" s="243"/>
      <c r="B346" s="437"/>
      <c r="C346" s="437"/>
      <c r="D346" s="437"/>
      <c r="E346" s="437"/>
      <c r="F346" s="437"/>
      <c r="G346" s="437"/>
      <c r="H346" s="437"/>
      <c r="I346" s="438"/>
      <c r="J346" s="437" t="s">
        <v>284</v>
      </c>
      <c r="K346" s="245"/>
      <c r="L346" s="257"/>
      <c r="M346" s="591" t="s">
        <v>285</v>
      </c>
      <c r="N346" s="592"/>
      <c r="O346" s="179"/>
      <c r="P346" s="180"/>
      <c r="Q346" s="180">
        <v>2200000</v>
      </c>
      <c r="R346" s="181">
        <f t="shared" si="103"/>
        <v>0.64451866174488781</v>
      </c>
      <c r="S346" s="181">
        <v>100</v>
      </c>
      <c r="T346" s="180">
        <f t="shared" si="104"/>
        <v>20</v>
      </c>
      <c r="U346" s="180">
        <f t="shared" si="97"/>
        <v>0.12890373234897756</v>
      </c>
      <c r="V346" s="182">
        <f t="shared" si="95"/>
        <v>80</v>
      </c>
      <c r="W346" s="180"/>
      <c r="X346" s="180"/>
      <c r="Y346" s="180"/>
      <c r="Z346" s="180"/>
      <c r="AA346" s="180"/>
      <c r="AB346" s="180"/>
      <c r="AC346" s="180"/>
      <c r="AD346" s="180"/>
      <c r="AE346" s="180"/>
      <c r="AF346" s="180"/>
      <c r="AG346" s="180"/>
      <c r="AH346" s="180"/>
      <c r="AI346" s="180">
        <f>220000+220000</f>
        <v>440000</v>
      </c>
      <c r="AJ346" s="181">
        <f t="shared" si="105"/>
        <v>20</v>
      </c>
      <c r="AK346" s="180">
        <f t="shared" si="99"/>
        <v>1760000</v>
      </c>
      <c r="AL346" s="181">
        <f t="shared" si="106"/>
        <v>80</v>
      </c>
      <c r="AM346" s="243"/>
    </row>
    <row r="347" spans="1:39" ht="29.25" customHeight="1" x14ac:dyDescent="0.25">
      <c r="A347" s="243"/>
      <c r="B347" s="437"/>
      <c r="C347" s="437"/>
      <c r="D347" s="437"/>
      <c r="E347" s="437"/>
      <c r="F347" s="437"/>
      <c r="G347" s="437"/>
      <c r="H347" s="437"/>
      <c r="I347" s="438"/>
      <c r="J347" s="437" t="s">
        <v>282</v>
      </c>
      <c r="K347" s="245"/>
      <c r="L347" s="257"/>
      <c r="M347" s="591" t="s">
        <v>283</v>
      </c>
      <c r="N347" s="592"/>
      <c r="O347" s="179"/>
      <c r="P347" s="180"/>
      <c r="Q347" s="180">
        <v>159060000</v>
      </c>
      <c r="R347" s="181">
        <f t="shared" si="103"/>
        <v>46.598699244155391</v>
      </c>
      <c r="S347" s="181">
        <v>100</v>
      </c>
      <c r="T347" s="180">
        <f t="shared" si="104"/>
        <v>26.479718345278513</v>
      </c>
      <c r="U347" s="180">
        <f t="shared" si="97"/>
        <v>12.339204312415776</v>
      </c>
      <c r="V347" s="182">
        <f t="shared" si="95"/>
        <v>73.520281654721487</v>
      </c>
      <c r="W347" s="180"/>
      <c r="X347" s="180"/>
      <c r="Y347" s="180"/>
      <c r="Z347" s="180"/>
      <c r="AA347" s="180"/>
      <c r="AB347" s="180"/>
      <c r="AC347" s="180"/>
      <c r="AD347" s="180"/>
      <c r="AE347" s="180"/>
      <c r="AF347" s="180"/>
      <c r="AG347" s="180"/>
      <c r="AH347" s="180"/>
      <c r="AI347" s="180">
        <f>7205640+22163000+12750000</f>
        <v>42118640</v>
      </c>
      <c r="AJ347" s="181">
        <f t="shared" si="105"/>
        <v>26.479718345278513</v>
      </c>
      <c r="AK347" s="180">
        <f t="shared" si="99"/>
        <v>116941360</v>
      </c>
      <c r="AL347" s="181">
        <f t="shared" si="106"/>
        <v>73.520281654721487</v>
      </c>
      <c r="AM347" s="243"/>
    </row>
    <row r="348" spans="1:39" ht="29.25" customHeight="1" x14ac:dyDescent="0.25">
      <c r="A348" s="243"/>
      <c r="B348" s="437"/>
      <c r="C348" s="437"/>
      <c r="D348" s="437"/>
      <c r="E348" s="437"/>
      <c r="F348" s="437"/>
      <c r="G348" s="437"/>
      <c r="H348" s="437"/>
      <c r="I348" s="438"/>
      <c r="J348" s="437" t="s">
        <v>320</v>
      </c>
      <c r="K348" s="245"/>
      <c r="L348" s="257"/>
      <c r="M348" s="591" t="s">
        <v>321</v>
      </c>
      <c r="N348" s="592"/>
      <c r="O348" s="179"/>
      <c r="P348" s="180"/>
      <c r="Q348" s="180">
        <v>14400000</v>
      </c>
      <c r="R348" s="181">
        <f t="shared" si="103"/>
        <v>4.2186676041483562</v>
      </c>
      <c r="S348" s="181">
        <v>100</v>
      </c>
      <c r="T348" s="180">
        <f t="shared" si="104"/>
        <v>50</v>
      </c>
      <c r="U348" s="180">
        <f t="shared" si="97"/>
        <v>2.1093338020741781</v>
      </c>
      <c r="V348" s="182">
        <f t="shared" si="95"/>
        <v>50</v>
      </c>
      <c r="W348" s="180"/>
      <c r="X348" s="180"/>
      <c r="Y348" s="180"/>
      <c r="Z348" s="180"/>
      <c r="AA348" s="180"/>
      <c r="AB348" s="180"/>
      <c r="AC348" s="180"/>
      <c r="AD348" s="180"/>
      <c r="AE348" s="180"/>
      <c r="AF348" s="180"/>
      <c r="AG348" s="180"/>
      <c r="AH348" s="180"/>
      <c r="AI348" s="180">
        <v>7200000</v>
      </c>
      <c r="AJ348" s="181">
        <f t="shared" si="105"/>
        <v>50</v>
      </c>
      <c r="AK348" s="180">
        <f t="shared" si="99"/>
        <v>7200000</v>
      </c>
      <c r="AL348" s="181">
        <f t="shared" si="106"/>
        <v>50</v>
      </c>
      <c r="AM348" s="243"/>
    </row>
    <row r="349" spans="1:39" ht="29.25" customHeight="1" x14ac:dyDescent="0.25">
      <c r="A349" s="243"/>
      <c r="B349" s="437"/>
      <c r="C349" s="437"/>
      <c r="D349" s="437"/>
      <c r="E349" s="437"/>
      <c r="F349" s="437"/>
      <c r="G349" s="437"/>
      <c r="H349" s="437"/>
      <c r="I349" s="438"/>
      <c r="J349" s="437" t="s">
        <v>407</v>
      </c>
      <c r="K349" s="245"/>
      <c r="L349" s="257"/>
      <c r="M349" s="591" t="s">
        <v>414</v>
      </c>
      <c r="N349" s="592"/>
      <c r="O349" s="179"/>
      <c r="P349" s="180"/>
      <c r="Q349" s="180">
        <v>9300000</v>
      </c>
      <c r="R349" s="181">
        <f t="shared" si="103"/>
        <v>2.7245561610124804</v>
      </c>
      <c r="S349" s="181"/>
      <c r="T349" s="180">
        <f t="shared" si="104"/>
        <v>50</v>
      </c>
      <c r="U349" s="180">
        <f t="shared" si="97"/>
        <v>1.3622780805062402</v>
      </c>
      <c r="V349" s="182"/>
      <c r="W349" s="180"/>
      <c r="X349" s="180"/>
      <c r="Y349" s="180"/>
      <c r="Z349" s="180"/>
      <c r="AA349" s="180"/>
      <c r="AB349" s="180"/>
      <c r="AC349" s="180"/>
      <c r="AD349" s="180"/>
      <c r="AE349" s="180"/>
      <c r="AF349" s="180"/>
      <c r="AG349" s="180"/>
      <c r="AH349" s="180"/>
      <c r="AI349" s="180">
        <v>4650000</v>
      </c>
      <c r="AJ349" s="181">
        <f t="shared" si="105"/>
        <v>50</v>
      </c>
      <c r="AK349" s="180">
        <f t="shared" si="99"/>
        <v>4650000</v>
      </c>
      <c r="AL349" s="181">
        <f t="shared" si="106"/>
        <v>50</v>
      </c>
      <c r="AM349" s="243"/>
    </row>
    <row r="350" spans="1:39" s="297" customFormat="1" ht="45" customHeight="1" x14ac:dyDescent="0.25">
      <c r="A350" s="227">
        <f>A339+1</f>
        <v>46</v>
      </c>
      <c r="B350" s="615" t="s">
        <v>147</v>
      </c>
      <c r="C350" s="615"/>
      <c r="D350" s="615"/>
      <c r="E350" s="615"/>
      <c r="F350" s="615"/>
      <c r="G350" s="615"/>
      <c r="H350" s="615"/>
      <c r="I350" s="614"/>
      <c r="J350" s="304" t="s">
        <v>490</v>
      </c>
      <c r="K350" s="230"/>
      <c r="L350" s="294"/>
      <c r="M350" s="610" t="s">
        <v>48</v>
      </c>
      <c r="N350" s="610"/>
      <c r="O350" s="309">
        <v>606500000</v>
      </c>
      <c r="P350" s="231">
        <f>O350</f>
        <v>606500000</v>
      </c>
      <c r="Q350" s="231">
        <f>SUM(Q351:Q355)</f>
        <v>189188876</v>
      </c>
      <c r="R350" s="233">
        <f>Q350/Q$248*100</f>
        <v>1.5861111558977716</v>
      </c>
      <c r="S350" s="233">
        <v>100</v>
      </c>
      <c r="T350" s="231">
        <f t="shared" si="104"/>
        <v>0</v>
      </c>
      <c r="U350" s="231">
        <f t="shared" si="97"/>
        <v>0</v>
      </c>
      <c r="V350" s="296">
        <f t="shared" si="95"/>
        <v>100</v>
      </c>
      <c r="W350" s="231"/>
      <c r="X350" s="231" t="e">
        <f>#REF!</f>
        <v>#REF!</v>
      </c>
      <c r="Y350" s="231" t="e">
        <f>#REF!</f>
        <v>#REF!</v>
      </c>
      <c r="Z350" s="231" t="e">
        <f>#REF!</f>
        <v>#REF!</v>
      </c>
      <c r="AA350" s="231" t="e">
        <f>#REF!</f>
        <v>#REF!</v>
      </c>
      <c r="AB350" s="231">
        <v>143751020</v>
      </c>
      <c r="AC350" s="231" t="e">
        <f>#REF!</f>
        <v>#REF!</v>
      </c>
      <c r="AD350" s="231" t="e">
        <f>#REF!</f>
        <v>#REF!</v>
      </c>
      <c r="AE350" s="231" t="e">
        <f>#REF!</f>
        <v>#REF!</v>
      </c>
      <c r="AF350" s="231" t="e">
        <f>[1]April!N64</f>
        <v>#REF!</v>
      </c>
      <c r="AG350" s="231" t="e">
        <f>[2]april!N64</f>
        <v>#REF!</v>
      </c>
      <c r="AH350" s="231">
        <f>'[3]DES SKPD'!$N64</f>
        <v>571546340</v>
      </c>
      <c r="AI350" s="231">
        <f>SUM(AI351:AI355)</f>
        <v>0</v>
      </c>
      <c r="AJ350" s="233">
        <f t="shared" si="105"/>
        <v>0</v>
      </c>
      <c r="AK350" s="231">
        <f t="shared" si="99"/>
        <v>189188876</v>
      </c>
      <c r="AL350" s="233">
        <f t="shared" si="106"/>
        <v>100</v>
      </c>
      <c r="AM350" s="227"/>
    </row>
    <row r="351" spans="1:39" ht="28.5" customHeight="1" x14ac:dyDescent="0.25">
      <c r="A351" s="243"/>
      <c r="B351" s="437"/>
      <c r="C351" s="437"/>
      <c r="D351" s="437"/>
      <c r="E351" s="437"/>
      <c r="F351" s="437"/>
      <c r="G351" s="437"/>
      <c r="H351" s="437"/>
      <c r="I351" s="438"/>
      <c r="J351" s="437" t="s">
        <v>257</v>
      </c>
      <c r="K351" s="245"/>
      <c r="L351" s="257"/>
      <c r="M351" s="591" t="s">
        <v>428</v>
      </c>
      <c r="N351" s="592"/>
      <c r="O351" s="179"/>
      <c r="P351" s="180"/>
      <c r="Q351" s="180">
        <v>10000000</v>
      </c>
      <c r="R351" s="181">
        <f>Q351/Q$350*100</f>
        <v>5.2857230358512197</v>
      </c>
      <c r="S351" s="181">
        <v>100</v>
      </c>
      <c r="T351" s="180">
        <f t="shared" si="104"/>
        <v>0</v>
      </c>
      <c r="U351" s="180">
        <f t="shared" si="97"/>
        <v>0</v>
      </c>
      <c r="V351" s="182">
        <f t="shared" si="95"/>
        <v>100</v>
      </c>
      <c r="W351" s="180"/>
      <c r="X351" s="180"/>
      <c r="Y351" s="180"/>
      <c r="Z351" s="180"/>
      <c r="AA351" s="180"/>
      <c r="AB351" s="180"/>
      <c r="AC351" s="180"/>
      <c r="AD351" s="180"/>
      <c r="AE351" s="180"/>
      <c r="AF351" s="180"/>
      <c r="AG351" s="180"/>
      <c r="AH351" s="180"/>
      <c r="AI351" s="180">
        <v>0</v>
      </c>
      <c r="AJ351" s="181">
        <f t="shared" si="105"/>
        <v>0</v>
      </c>
      <c r="AK351" s="180">
        <f t="shared" si="99"/>
        <v>10000000</v>
      </c>
      <c r="AL351" s="181">
        <f t="shared" si="106"/>
        <v>100</v>
      </c>
      <c r="AM351" s="243"/>
    </row>
    <row r="352" spans="1:39" ht="28.5" customHeight="1" x14ac:dyDescent="0.25">
      <c r="A352" s="243"/>
      <c r="B352" s="437"/>
      <c r="C352" s="437"/>
      <c r="D352" s="437"/>
      <c r="E352" s="437"/>
      <c r="F352" s="437"/>
      <c r="G352" s="437"/>
      <c r="H352" s="437"/>
      <c r="I352" s="438"/>
      <c r="J352" s="437" t="s">
        <v>318</v>
      </c>
      <c r="K352" s="245"/>
      <c r="L352" s="257"/>
      <c r="M352" s="611" t="s">
        <v>319</v>
      </c>
      <c r="N352" s="598"/>
      <c r="O352" s="179"/>
      <c r="P352" s="180"/>
      <c r="Q352" s="180">
        <v>100000000</v>
      </c>
      <c r="R352" s="181">
        <f>Q352/Q$350*100</f>
        <v>52.857230358512197</v>
      </c>
      <c r="S352" s="181">
        <v>100</v>
      </c>
      <c r="T352" s="180">
        <f t="shared" si="104"/>
        <v>0</v>
      </c>
      <c r="U352" s="180">
        <f t="shared" si="97"/>
        <v>0</v>
      </c>
      <c r="V352" s="182">
        <f t="shared" si="95"/>
        <v>100</v>
      </c>
      <c r="W352" s="180"/>
      <c r="X352" s="180"/>
      <c r="Y352" s="180"/>
      <c r="Z352" s="180"/>
      <c r="AA352" s="180"/>
      <c r="AB352" s="180"/>
      <c r="AC352" s="180"/>
      <c r="AD352" s="180"/>
      <c r="AE352" s="180"/>
      <c r="AF352" s="180"/>
      <c r="AG352" s="180"/>
      <c r="AH352" s="180"/>
      <c r="AI352" s="180">
        <v>0</v>
      </c>
      <c r="AJ352" s="181">
        <f t="shared" si="105"/>
        <v>0</v>
      </c>
      <c r="AK352" s="180">
        <f t="shared" si="99"/>
        <v>100000000</v>
      </c>
      <c r="AL352" s="181">
        <f t="shared" si="106"/>
        <v>100</v>
      </c>
      <c r="AM352" s="243"/>
    </row>
    <row r="353" spans="1:39" ht="28.5" customHeight="1" x14ac:dyDescent="0.25">
      <c r="A353" s="243"/>
      <c r="B353" s="437"/>
      <c r="C353" s="437"/>
      <c r="D353" s="437"/>
      <c r="E353" s="437"/>
      <c r="F353" s="437"/>
      <c r="G353" s="437"/>
      <c r="H353" s="437"/>
      <c r="I353" s="438"/>
      <c r="J353" s="437" t="s">
        <v>282</v>
      </c>
      <c r="K353" s="245"/>
      <c r="L353" s="257"/>
      <c r="M353" s="591" t="s">
        <v>603</v>
      </c>
      <c r="N353" s="592"/>
      <c r="O353" s="179"/>
      <c r="P353" s="180"/>
      <c r="Q353" s="180">
        <v>12388876</v>
      </c>
      <c r="R353" s="181">
        <f>Q353/Q$350*100</f>
        <v>6.5484167261504318</v>
      </c>
      <c r="S353" s="181">
        <v>100</v>
      </c>
      <c r="T353" s="180">
        <f t="shared" si="104"/>
        <v>0</v>
      </c>
      <c r="U353" s="180">
        <f t="shared" si="97"/>
        <v>0</v>
      </c>
      <c r="V353" s="182">
        <f t="shared" si="95"/>
        <v>100</v>
      </c>
      <c r="W353" s="180"/>
      <c r="X353" s="180"/>
      <c r="Y353" s="180"/>
      <c r="Z353" s="180"/>
      <c r="AA353" s="180"/>
      <c r="AB353" s="180"/>
      <c r="AC353" s="180"/>
      <c r="AD353" s="180"/>
      <c r="AE353" s="180"/>
      <c r="AF353" s="180"/>
      <c r="AG353" s="180"/>
      <c r="AH353" s="180"/>
      <c r="AI353" s="180">
        <v>0</v>
      </c>
      <c r="AJ353" s="181">
        <f t="shared" si="105"/>
        <v>0</v>
      </c>
      <c r="AK353" s="180">
        <f t="shared" si="99"/>
        <v>12388876</v>
      </c>
      <c r="AL353" s="181">
        <f t="shared" si="106"/>
        <v>100</v>
      </c>
      <c r="AM353" s="243"/>
    </row>
    <row r="354" spans="1:39" ht="28.5" customHeight="1" x14ac:dyDescent="0.25">
      <c r="A354" s="243"/>
      <c r="B354" s="437"/>
      <c r="C354" s="437"/>
      <c r="D354" s="437"/>
      <c r="E354" s="437"/>
      <c r="F354" s="437"/>
      <c r="G354" s="437"/>
      <c r="H354" s="437"/>
      <c r="I354" s="438"/>
      <c r="J354" s="437" t="s">
        <v>320</v>
      </c>
      <c r="K354" s="245"/>
      <c r="L354" s="257"/>
      <c r="M354" s="591" t="s">
        <v>321</v>
      </c>
      <c r="N354" s="592"/>
      <c r="O354" s="179"/>
      <c r="P354" s="180"/>
      <c r="Q354" s="180">
        <v>57600000</v>
      </c>
      <c r="R354" s="181">
        <f>Q354/Q$350*100</f>
        <v>30.445764686503026</v>
      </c>
      <c r="S354" s="181">
        <v>100</v>
      </c>
      <c r="T354" s="180">
        <f t="shared" si="104"/>
        <v>0</v>
      </c>
      <c r="U354" s="180">
        <f t="shared" si="97"/>
        <v>0</v>
      </c>
      <c r="V354" s="182">
        <f t="shared" si="95"/>
        <v>100</v>
      </c>
      <c r="W354" s="180"/>
      <c r="X354" s="180"/>
      <c r="Y354" s="180"/>
      <c r="Z354" s="180"/>
      <c r="AA354" s="180"/>
      <c r="AB354" s="180"/>
      <c r="AC354" s="180"/>
      <c r="AD354" s="180"/>
      <c r="AE354" s="180"/>
      <c r="AF354" s="180"/>
      <c r="AG354" s="180"/>
      <c r="AH354" s="180"/>
      <c r="AI354" s="180">
        <v>0</v>
      </c>
      <c r="AJ354" s="181">
        <f t="shared" si="105"/>
        <v>0</v>
      </c>
      <c r="AK354" s="180">
        <f t="shared" si="99"/>
        <v>57600000</v>
      </c>
      <c r="AL354" s="181">
        <f t="shared" si="106"/>
        <v>100</v>
      </c>
      <c r="AM354" s="243"/>
    </row>
    <row r="355" spans="1:39" ht="28.5" customHeight="1" x14ac:dyDescent="0.25">
      <c r="A355" s="243"/>
      <c r="B355" s="437"/>
      <c r="C355" s="437"/>
      <c r="D355" s="437"/>
      <c r="E355" s="437"/>
      <c r="F355" s="437"/>
      <c r="G355" s="437"/>
      <c r="H355" s="437"/>
      <c r="I355" s="438"/>
      <c r="J355" s="437" t="s">
        <v>309</v>
      </c>
      <c r="K355" s="245"/>
      <c r="L355" s="257"/>
      <c r="M355" s="591" t="s">
        <v>607</v>
      </c>
      <c r="N355" s="592"/>
      <c r="O355" s="179"/>
      <c r="P355" s="180"/>
      <c r="Q355" s="180">
        <v>9200000</v>
      </c>
      <c r="R355" s="181">
        <f>Q355/Q$350*100</f>
        <v>4.8628651929831221</v>
      </c>
      <c r="S355" s="181">
        <v>100</v>
      </c>
      <c r="T355" s="180">
        <f t="shared" si="104"/>
        <v>0</v>
      </c>
      <c r="U355" s="180">
        <f t="shared" si="97"/>
        <v>0</v>
      </c>
      <c r="V355" s="182">
        <f t="shared" si="95"/>
        <v>100</v>
      </c>
      <c r="W355" s="180"/>
      <c r="X355" s="180"/>
      <c r="Y355" s="180"/>
      <c r="Z355" s="180"/>
      <c r="AA355" s="180"/>
      <c r="AB355" s="180"/>
      <c r="AC355" s="180"/>
      <c r="AD355" s="180"/>
      <c r="AE355" s="180"/>
      <c r="AF355" s="180"/>
      <c r="AG355" s="180"/>
      <c r="AH355" s="180"/>
      <c r="AI355" s="180">
        <v>0</v>
      </c>
      <c r="AJ355" s="181">
        <f t="shared" si="105"/>
        <v>0</v>
      </c>
      <c r="AK355" s="180">
        <f t="shared" si="99"/>
        <v>9200000</v>
      </c>
      <c r="AL355" s="181">
        <f t="shared" si="106"/>
        <v>100</v>
      </c>
      <c r="AM355" s="243"/>
    </row>
    <row r="356" spans="1:39" ht="28.5" customHeight="1" x14ac:dyDescent="0.25">
      <c r="A356" s="227">
        <v>47</v>
      </c>
      <c r="B356" s="437"/>
      <c r="C356" s="437"/>
      <c r="D356" s="437"/>
      <c r="E356" s="437"/>
      <c r="F356" s="437"/>
      <c r="G356" s="437"/>
      <c r="H356" s="437"/>
      <c r="I356" s="438"/>
      <c r="J356" s="304" t="s">
        <v>492</v>
      </c>
      <c r="K356" s="230"/>
      <c r="L356" s="294"/>
      <c r="M356" s="609" t="s">
        <v>493</v>
      </c>
      <c r="N356" s="609"/>
      <c r="O356" s="309">
        <v>558720000</v>
      </c>
      <c r="P356" s="231">
        <f>O356</f>
        <v>558720000</v>
      </c>
      <c r="Q356" s="231">
        <f>SUM(Q357:Q363)</f>
        <v>541894073</v>
      </c>
      <c r="R356" s="233">
        <f>Q356/Q$248*100</f>
        <v>4.5431013317092779</v>
      </c>
      <c r="S356" s="233">
        <v>100</v>
      </c>
      <c r="T356" s="231">
        <f t="shared" si="104"/>
        <v>51.578346013760509</v>
      </c>
      <c r="U356" s="231">
        <f t="shared" si="97"/>
        <v>2.3432565246247727</v>
      </c>
      <c r="V356" s="296">
        <f t="shared" si="95"/>
        <v>48.421653986239491</v>
      </c>
      <c r="W356" s="231"/>
      <c r="X356" s="231" t="e">
        <f>#REF!</f>
        <v>#REF!</v>
      </c>
      <c r="Y356" s="231" t="e">
        <f>#REF!</f>
        <v>#REF!</v>
      </c>
      <c r="Z356" s="231" t="e">
        <f>#REF!</f>
        <v>#REF!</v>
      </c>
      <c r="AA356" s="231" t="e">
        <f>#REF!</f>
        <v>#REF!</v>
      </c>
      <c r="AB356" s="231">
        <v>192786500</v>
      </c>
      <c r="AC356" s="231" t="e">
        <f>#REF!</f>
        <v>#REF!</v>
      </c>
      <c r="AD356" s="231" t="e">
        <f>#REF!</f>
        <v>#REF!</v>
      </c>
      <c r="AE356" s="231" t="e">
        <f>#REF!</f>
        <v>#REF!</v>
      </c>
      <c r="AF356" s="231" t="e">
        <f>[1]April!N54</f>
        <v>#REF!</v>
      </c>
      <c r="AG356" s="231" t="e">
        <f>[2]april!N54</f>
        <v>#REF!</v>
      </c>
      <c r="AH356" s="231">
        <f>'[3]DES SKPD'!$N54</f>
        <v>508172500</v>
      </c>
      <c r="AI356" s="231">
        <f>SUM(AI357:AI363)</f>
        <v>279500000</v>
      </c>
      <c r="AJ356" s="233">
        <f t="shared" si="105"/>
        <v>51.578346013760509</v>
      </c>
      <c r="AK356" s="231">
        <f t="shared" si="99"/>
        <v>262394073</v>
      </c>
      <c r="AL356" s="233">
        <f t="shared" si="106"/>
        <v>48.421653986239484</v>
      </c>
      <c r="AM356" s="243"/>
    </row>
    <row r="357" spans="1:39" ht="28.5" customHeight="1" x14ac:dyDescent="0.25">
      <c r="A357" s="243"/>
      <c r="B357" s="437"/>
      <c r="C357" s="437"/>
      <c r="D357" s="437"/>
      <c r="E357" s="437"/>
      <c r="F357" s="437"/>
      <c r="G357" s="437"/>
      <c r="H357" s="437"/>
      <c r="I357" s="438"/>
      <c r="J357" s="437" t="s">
        <v>315</v>
      </c>
      <c r="K357" s="245"/>
      <c r="L357" s="257"/>
      <c r="M357" s="591" t="s">
        <v>271</v>
      </c>
      <c r="N357" s="592"/>
      <c r="O357" s="179"/>
      <c r="P357" s="180"/>
      <c r="Q357" s="180">
        <v>20304000</v>
      </c>
      <c r="R357" s="181">
        <f t="shared" ref="R357:R363" si="107">Q357/Q$356*100</f>
        <v>3.74685773689944</v>
      </c>
      <c r="S357" s="181">
        <v>100</v>
      </c>
      <c r="T357" s="180">
        <f t="shared" si="104"/>
        <v>9.8502758077226158</v>
      </c>
      <c r="U357" s="180">
        <f t="shared" si="97"/>
        <v>0.36907582120758858</v>
      </c>
      <c r="V357" s="182">
        <f t="shared" si="95"/>
        <v>90.14972419227739</v>
      </c>
      <c r="W357" s="180"/>
      <c r="X357" s="180"/>
      <c r="Y357" s="180"/>
      <c r="Z357" s="180"/>
      <c r="AA357" s="180"/>
      <c r="AB357" s="180"/>
      <c r="AC357" s="180"/>
      <c r="AD357" s="180"/>
      <c r="AE357" s="180"/>
      <c r="AF357" s="180"/>
      <c r="AG357" s="180"/>
      <c r="AH357" s="180"/>
      <c r="AI357" s="180">
        <v>2000000</v>
      </c>
      <c r="AJ357" s="181">
        <f t="shared" si="105"/>
        <v>9.8502758077226158</v>
      </c>
      <c r="AK357" s="180">
        <f t="shared" si="99"/>
        <v>18304000</v>
      </c>
      <c r="AL357" s="181">
        <f t="shared" si="106"/>
        <v>90.149724192277375</v>
      </c>
      <c r="AM357" s="243"/>
    </row>
    <row r="358" spans="1:39" ht="28.5" customHeight="1" x14ac:dyDescent="0.25">
      <c r="A358" s="243"/>
      <c r="B358" s="437"/>
      <c r="C358" s="437"/>
      <c r="D358" s="437"/>
      <c r="E358" s="437"/>
      <c r="F358" s="437"/>
      <c r="G358" s="437"/>
      <c r="H358" s="437"/>
      <c r="I358" s="438"/>
      <c r="J358" s="437" t="s">
        <v>328</v>
      </c>
      <c r="K358" s="245"/>
      <c r="L358" s="257"/>
      <c r="M358" s="591" t="s">
        <v>319</v>
      </c>
      <c r="N358" s="592"/>
      <c r="O358" s="179"/>
      <c r="P358" s="180"/>
      <c r="Q358" s="180">
        <v>231000000</v>
      </c>
      <c r="R358" s="181">
        <f t="shared" si="107"/>
        <v>42.628257349476492</v>
      </c>
      <c r="S358" s="181">
        <v>100</v>
      </c>
      <c r="T358" s="180">
        <f t="shared" si="104"/>
        <v>86.166666666666671</v>
      </c>
      <c r="U358" s="180">
        <f t="shared" si="97"/>
        <v>36.731348416132249</v>
      </c>
      <c r="V358" s="182">
        <f t="shared" si="95"/>
        <v>13.833333333333329</v>
      </c>
      <c r="W358" s="180"/>
      <c r="X358" s="180"/>
      <c r="Y358" s="180"/>
      <c r="Z358" s="180"/>
      <c r="AA358" s="180"/>
      <c r="AB358" s="180"/>
      <c r="AC358" s="180"/>
      <c r="AD358" s="180"/>
      <c r="AE358" s="180"/>
      <c r="AF358" s="180"/>
      <c r="AG358" s="180"/>
      <c r="AH358" s="180"/>
      <c r="AI358" s="180">
        <f>99330000+99715000</f>
        <v>199045000</v>
      </c>
      <c r="AJ358" s="181">
        <f t="shared" si="105"/>
        <v>86.166666666666671</v>
      </c>
      <c r="AK358" s="180">
        <f t="shared" si="99"/>
        <v>31955000</v>
      </c>
      <c r="AL358" s="181">
        <f t="shared" si="106"/>
        <v>13.833333333333334</v>
      </c>
      <c r="AM358" s="243"/>
    </row>
    <row r="359" spans="1:39" ht="28.5" customHeight="1" x14ac:dyDescent="0.25">
      <c r="A359" s="243"/>
      <c r="B359" s="437"/>
      <c r="C359" s="437"/>
      <c r="D359" s="437"/>
      <c r="E359" s="437"/>
      <c r="F359" s="437"/>
      <c r="G359" s="437"/>
      <c r="H359" s="437"/>
      <c r="I359" s="438"/>
      <c r="J359" s="312" t="s">
        <v>339</v>
      </c>
      <c r="M359" s="619" t="s">
        <v>608</v>
      </c>
      <c r="N359" s="620"/>
      <c r="O359" s="179"/>
      <c r="P359" s="180"/>
      <c r="Q359" s="180">
        <v>25200000</v>
      </c>
      <c r="R359" s="181">
        <f t="shared" si="107"/>
        <v>4.6503553472156174</v>
      </c>
      <c r="S359" s="181">
        <v>100</v>
      </c>
      <c r="T359" s="180">
        <f t="shared" si="104"/>
        <v>3.4722222222222223</v>
      </c>
      <c r="U359" s="180">
        <f t="shared" si="97"/>
        <v>0.16147067177832006</v>
      </c>
      <c r="V359" s="182">
        <f t="shared" si="95"/>
        <v>96.527777777777771</v>
      </c>
      <c r="W359" s="180"/>
      <c r="X359" s="180"/>
      <c r="Y359" s="180"/>
      <c r="Z359" s="180"/>
      <c r="AA359" s="180"/>
      <c r="AB359" s="180"/>
      <c r="AC359" s="180"/>
      <c r="AD359" s="180"/>
      <c r="AE359" s="180"/>
      <c r="AF359" s="180"/>
      <c r="AG359" s="180"/>
      <c r="AH359" s="180"/>
      <c r="AI359" s="180">
        <v>875000</v>
      </c>
      <c r="AJ359" s="181">
        <f t="shared" si="105"/>
        <v>3.4722222222222223</v>
      </c>
      <c r="AK359" s="180">
        <f t="shared" si="99"/>
        <v>24325000</v>
      </c>
      <c r="AL359" s="181">
        <f t="shared" si="106"/>
        <v>96.527777777777786</v>
      </c>
      <c r="AM359" s="243"/>
    </row>
    <row r="360" spans="1:39" ht="28.5" customHeight="1" x14ac:dyDescent="0.25">
      <c r="A360" s="243"/>
      <c r="B360" s="437"/>
      <c r="C360" s="437"/>
      <c r="D360" s="437"/>
      <c r="E360" s="437"/>
      <c r="F360" s="437"/>
      <c r="G360" s="437"/>
      <c r="H360" s="437"/>
      <c r="I360" s="438"/>
      <c r="J360" s="437" t="s">
        <v>284</v>
      </c>
      <c r="K360" s="245"/>
      <c r="L360" s="257"/>
      <c r="M360" s="591" t="s">
        <v>503</v>
      </c>
      <c r="N360" s="592"/>
      <c r="O360" s="179"/>
      <c r="P360" s="180"/>
      <c r="Q360" s="180">
        <v>152190073</v>
      </c>
      <c r="R360" s="181">
        <f t="shared" si="107"/>
        <v>28.084838086058934</v>
      </c>
      <c r="S360" s="181">
        <v>100</v>
      </c>
      <c r="T360" s="180">
        <f t="shared" si="104"/>
        <v>19.764758244120166</v>
      </c>
      <c r="U360" s="180">
        <f t="shared" si="97"/>
        <v>5.5509003509621335</v>
      </c>
      <c r="V360" s="182">
        <f t="shared" si="95"/>
        <v>80.235241755879827</v>
      </c>
      <c r="W360" s="180"/>
      <c r="X360" s="180"/>
      <c r="Y360" s="180"/>
      <c r="Z360" s="180"/>
      <c r="AA360" s="180"/>
      <c r="AB360" s="180"/>
      <c r="AC360" s="180"/>
      <c r="AD360" s="180"/>
      <c r="AE360" s="180"/>
      <c r="AF360" s="180"/>
      <c r="AG360" s="180"/>
      <c r="AH360" s="180"/>
      <c r="AI360" s="180">
        <v>30080000</v>
      </c>
      <c r="AJ360" s="181">
        <f>AI360/Q360*100</f>
        <v>19.764758244120166</v>
      </c>
      <c r="AK360" s="180">
        <f>Q360-AI360</f>
        <v>122110073</v>
      </c>
      <c r="AL360" s="181">
        <f>AK360/Q360*100</f>
        <v>80.235241755879841</v>
      </c>
      <c r="AM360" s="243"/>
    </row>
    <row r="361" spans="1:39" ht="28.5" customHeight="1" x14ac:dyDescent="0.25">
      <c r="A361" s="243"/>
      <c r="B361" s="437"/>
      <c r="C361" s="437"/>
      <c r="D361" s="437"/>
      <c r="E361" s="437"/>
      <c r="F361" s="437"/>
      <c r="G361" s="437"/>
      <c r="H361" s="437"/>
      <c r="I361" s="438"/>
      <c r="J361" s="437" t="s">
        <v>320</v>
      </c>
      <c r="K361" s="245"/>
      <c r="L361" s="257"/>
      <c r="M361" s="591" t="s">
        <v>321</v>
      </c>
      <c r="N361" s="592"/>
      <c r="O361" s="179"/>
      <c r="P361" s="180"/>
      <c r="Q361" s="180">
        <v>9200000</v>
      </c>
      <c r="R361" s="181">
        <f t="shared" si="107"/>
        <v>1.6977487775549078</v>
      </c>
      <c r="S361" s="181">
        <v>100</v>
      </c>
      <c r="T361" s="180">
        <f t="shared" si="104"/>
        <v>65.217391304347828</v>
      </c>
      <c r="U361" s="180">
        <f t="shared" si="97"/>
        <v>1.1072274636227659</v>
      </c>
      <c r="V361" s="182">
        <f t="shared" si="95"/>
        <v>34.782608695652172</v>
      </c>
      <c r="W361" s="180"/>
      <c r="X361" s="180"/>
      <c r="Y361" s="180"/>
      <c r="Z361" s="180"/>
      <c r="AA361" s="180"/>
      <c r="AB361" s="180"/>
      <c r="AC361" s="180"/>
      <c r="AD361" s="180"/>
      <c r="AE361" s="180"/>
      <c r="AF361" s="180"/>
      <c r="AG361" s="180"/>
      <c r="AH361" s="180"/>
      <c r="AI361" s="180">
        <v>6000000</v>
      </c>
      <c r="AJ361" s="181">
        <f t="shared" si="105"/>
        <v>65.217391304347828</v>
      </c>
      <c r="AK361" s="180">
        <f t="shared" ref="AK361:AK424" si="108">Q361-AI361</f>
        <v>3200000</v>
      </c>
      <c r="AL361" s="181">
        <f t="shared" si="106"/>
        <v>34.782608695652172</v>
      </c>
      <c r="AM361" s="243"/>
    </row>
    <row r="362" spans="1:39" ht="28.5" customHeight="1" x14ac:dyDescent="0.25">
      <c r="A362" s="243"/>
      <c r="B362" s="437"/>
      <c r="C362" s="437"/>
      <c r="D362" s="437"/>
      <c r="E362" s="437"/>
      <c r="F362" s="437"/>
      <c r="G362" s="437"/>
      <c r="H362" s="437"/>
      <c r="I362" s="438"/>
      <c r="J362" s="312" t="s">
        <v>407</v>
      </c>
      <c r="M362" s="616" t="s">
        <v>414</v>
      </c>
      <c r="N362" s="617"/>
      <c r="O362" s="179"/>
      <c r="P362" s="180"/>
      <c r="Q362" s="180">
        <v>8000000</v>
      </c>
      <c r="R362" s="181">
        <f t="shared" si="107"/>
        <v>1.4763032848303546</v>
      </c>
      <c r="S362" s="181">
        <v>100</v>
      </c>
      <c r="T362" s="180">
        <f t="shared" si="104"/>
        <v>18.75</v>
      </c>
      <c r="U362" s="180">
        <f t="shared" si="97"/>
        <v>0.27680686590569148</v>
      </c>
      <c r="V362" s="182">
        <f t="shared" si="95"/>
        <v>81.25</v>
      </c>
      <c r="W362" s="180"/>
      <c r="X362" s="180"/>
      <c r="Y362" s="180"/>
      <c r="Z362" s="180"/>
      <c r="AA362" s="180"/>
      <c r="AB362" s="180"/>
      <c r="AC362" s="180"/>
      <c r="AD362" s="180"/>
      <c r="AE362" s="180"/>
      <c r="AF362" s="180"/>
      <c r="AG362" s="180"/>
      <c r="AH362" s="180"/>
      <c r="AI362" s="180">
        <v>1500000</v>
      </c>
      <c r="AJ362" s="181">
        <f t="shared" si="105"/>
        <v>18.75</v>
      </c>
      <c r="AK362" s="180">
        <f t="shared" si="108"/>
        <v>6500000</v>
      </c>
      <c r="AL362" s="181">
        <f t="shared" si="106"/>
        <v>81.25</v>
      </c>
      <c r="AM362" s="243"/>
    </row>
    <row r="363" spans="1:39" ht="28.5" customHeight="1" x14ac:dyDescent="0.25">
      <c r="A363" s="243"/>
      <c r="B363" s="437"/>
      <c r="C363" s="437"/>
      <c r="D363" s="437"/>
      <c r="E363" s="437"/>
      <c r="F363" s="437"/>
      <c r="G363" s="437"/>
      <c r="H363" s="437"/>
      <c r="I363" s="438"/>
      <c r="J363" s="312" t="s">
        <v>551</v>
      </c>
      <c r="M363" s="658" t="s">
        <v>550</v>
      </c>
      <c r="N363" s="659"/>
      <c r="O363" s="179"/>
      <c r="P363" s="180"/>
      <c r="Q363" s="180">
        <v>96000000</v>
      </c>
      <c r="R363" s="181">
        <f t="shared" si="107"/>
        <v>17.715639417964255</v>
      </c>
      <c r="S363" s="181">
        <v>100</v>
      </c>
      <c r="T363" s="180">
        <f t="shared" si="104"/>
        <v>41.666666666666671</v>
      </c>
      <c r="U363" s="180">
        <f t="shared" si="97"/>
        <v>7.3815164241517728</v>
      </c>
      <c r="V363" s="182">
        <f t="shared" si="95"/>
        <v>58.333333333333329</v>
      </c>
      <c r="W363" s="180"/>
      <c r="X363" s="180"/>
      <c r="Y363" s="180"/>
      <c r="Z363" s="180"/>
      <c r="AA363" s="180"/>
      <c r="AB363" s="180"/>
      <c r="AC363" s="180"/>
      <c r="AD363" s="180"/>
      <c r="AE363" s="180"/>
      <c r="AF363" s="180"/>
      <c r="AG363" s="180"/>
      <c r="AH363" s="180"/>
      <c r="AI363" s="180">
        <f>16000000+8000000+8000000+8000000</f>
        <v>40000000</v>
      </c>
      <c r="AJ363" s="181">
        <f t="shared" si="105"/>
        <v>41.666666666666671</v>
      </c>
      <c r="AK363" s="180">
        <f t="shared" si="108"/>
        <v>56000000</v>
      </c>
      <c r="AL363" s="181">
        <f t="shared" si="106"/>
        <v>58.333333333333336</v>
      </c>
      <c r="AM363" s="243"/>
    </row>
    <row r="364" spans="1:39" s="297" customFormat="1" ht="29.25" customHeight="1" x14ac:dyDescent="0.25">
      <c r="A364" s="227">
        <f>SUM(A356+1)</f>
        <v>48</v>
      </c>
      <c r="B364" s="615" t="s">
        <v>150</v>
      </c>
      <c r="C364" s="615"/>
      <c r="D364" s="615"/>
      <c r="E364" s="615"/>
      <c r="F364" s="615"/>
      <c r="G364" s="615"/>
      <c r="H364" s="615"/>
      <c r="I364" s="614"/>
      <c r="J364" s="304" t="s">
        <v>491</v>
      </c>
      <c r="K364" s="230"/>
      <c r="L364" s="294"/>
      <c r="M364" s="609" t="s">
        <v>49</v>
      </c>
      <c r="N364" s="609"/>
      <c r="O364" s="309">
        <v>558720000</v>
      </c>
      <c r="P364" s="231">
        <f>O364</f>
        <v>558720000</v>
      </c>
      <c r="Q364" s="231">
        <f>SUM(Q365:Q376)</f>
        <v>412540000</v>
      </c>
      <c r="R364" s="233">
        <f>Q364/Q$248*100</f>
        <v>3.4586298628576171</v>
      </c>
      <c r="S364" s="233">
        <v>100</v>
      </c>
      <c r="T364" s="231">
        <f t="shared" si="104"/>
        <v>55.770039753720845</v>
      </c>
      <c r="U364" s="231">
        <f t="shared" si="97"/>
        <v>1.9288792494497538</v>
      </c>
      <c r="V364" s="296">
        <f t="shared" si="95"/>
        <v>44.229960246279155</v>
      </c>
      <c r="W364" s="231"/>
      <c r="X364" s="231" t="e">
        <f>#REF!</f>
        <v>#REF!</v>
      </c>
      <c r="Y364" s="231" t="e">
        <f>#REF!</f>
        <v>#REF!</v>
      </c>
      <c r="Z364" s="231" t="e">
        <f>#REF!</f>
        <v>#REF!</v>
      </c>
      <c r="AA364" s="231" t="e">
        <f>#REF!</f>
        <v>#REF!</v>
      </c>
      <c r="AB364" s="231">
        <v>192786500</v>
      </c>
      <c r="AC364" s="231" t="e">
        <f>#REF!</f>
        <v>#REF!</v>
      </c>
      <c r="AD364" s="231" t="e">
        <f>#REF!</f>
        <v>#REF!</v>
      </c>
      <c r="AE364" s="231" t="e">
        <f>#REF!</f>
        <v>#REF!</v>
      </c>
      <c r="AF364" s="231" t="e">
        <f>[1]April!N66</f>
        <v>#REF!</v>
      </c>
      <c r="AG364" s="231" t="e">
        <f>[2]april!N66</f>
        <v>#REF!</v>
      </c>
      <c r="AH364" s="231">
        <f>'[3]DES SKPD'!$N66</f>
        <v>558385000</v>
      </c>
      <c r="AI364" s="231">
        <f>SUM(AI365:AI376)</f>
        <v>230073722</v>
      </c>
      <c r="AJ364" s="233">
        <f t="shared" si="105"/>
        <v>55.770039753720845</v>
      </c>
      <c r="AK364" s="231">
        <f t="shared" si="108"/>
        <v>182466278</v>
      </c>
      <c r="AL364" s="233">
        <f t="shared" si="106"/>
        <v>44.229960246279148</v>
      </c>
      <c r="AM364" s="227"/>
    </row>
    <row r="365" spans="1:39" ht="29.25" customHeight="1" x14ac:dyDescent="0.25">
      <c r="A365" s="243"/>
      <c r="B365" s="437"/>
      <c r="C365" s="437"/>
      <c r="D365" s="437"/>
      <c r="E365" s="437"/>
      <c r="F365" s="437"/>
      <c r="G365" s="437"/>
      <c r="H365" s="437"/>
      <c r="I365" s="438"/>
      <c r="J365" s="437" t="s">
        <v>259</v>
      </c>
      <c r="K365" s="245"/>
      <c r="L365" s="257"/>
      <c r="M365" s="656" t="s">
        <v>260</v>
      </c>
      <c r="N365" s="657"/>
      <c r="O365" s="179"/>
      <c r="P365" s="180"/>
      <c r="Q365" s="180">
        <v>3080000</v>
      </c>
      <c r="R365" s="181">
        <f t="shared" ref="R365:R376" si="109">Q365/Q$364*100</f>
        <v>0.74659426964657971</v>
      </c>
      <c r="S365" s="181">
        <v>100</v>
      </c>
      <c r="T365" s="180">
        <f t="shared" si="104"/>
        <v>75</v>
      </c>
      <c r="U365" s="180">
        <f t="shared" si="97"/>
        <v>0.55994570223493478</v>
      </c>
      <c r="V365" s="182">
        <f t="shared" si="95"/>
        <v>25</v>
      </c>
      <c r="W365" s="180"/>
      <c r="X365" s="180"/>
      <c r="Y365" s="180"/>
      <c r="Z365" s="180"/>
      <c r="AA365" s="180"/>
      <c r="AB365" s="180"/>
      <c r="AC365" s="180"/>
      <c r="AD365" s="180"/>
      <c r="AE365" s="180"/>
      <c r="AF365" s="180"/>
      <c r="AG365" s="180"/>
      <c r="AH365" s="180"/>
      <c r="AI365" s="180">
        <f>1540000+770000</f>
        <v>2310000</v>
      </c>
      <c r="AJ365" s="181">
        <f t="shared" si="105"/>
        <v>75</v>
      </c>
      <c r="AK365" s="180">
        <f t="shared" si="108"/>
        <v>770000</v>
      </c>
      <c r="AL365" s="181">
        <f t="shared" si="106"/>
        <v>25</v>
      </c>
      <c r="AM365" s="243"/>
    </row>
    <row r="366" spans="1:39" ht="29.25" customHeight="1" x14ac:dyDescent="0.25">
      <c r="A366" s="243"/>
      <c r="B366" s="437"/>
      <c r="C366" s="437"/>
      <c r="D366" s="437"/>
      <c r="E366" s="437"/>
      <c r="F366" s="437"/>
      <c r="G366" s="437"/>
      <c r="H366" s="437"/>
      <c r="I366" s="438"/>
      <c r="J366" s="437" t="s">
        <v>347</v>
      </c>
      <c r="K366" s="245"/>
      <c r="L366" s="257"/>
      <c r="M366" s="591" t="s">
        <v>348</v>
      </c>
      <c r="N366" s="592"/>
      <c r="O366" s="179"/>
      <c r="P366" s="180"/>
      <c r="Q366" s="180">
        <v>57400000</v>
      </c>
      <c r="R366" s="181">
        <f t="shared" si="109"/>
        <v>13.913802297958986</v>
      </c>
      <c r="S366" s="181">
        <v>100</v>
      </c>
      <c r="T366" s="180">
        <f t="shared" si="104"/>
        <v>0</v>
      </c>
      <c r="U366" s="180">
        <f t="shared" ref="U366:U429" si="110">R366*T366/100</f>
        <v>0</v>
      </c>
      <c r="V366" s="182">
        <f t="shared" si="95"/>
        <v>100</v>
      </c>
      <c r="W366" s="180"/>
      <c r="X366" s="180"/>
      <c r="Y366" s="180"/>
      <c r="Z366" s="180"/>
      <c r="AA366" s="180"/>
      <c r="AB366" s="180"/>
      <c r="AC366" s="180"/>
      <c r="AD366" s="180"/>
      <c r="AE366" s="180"/>
      <c r="AF366" s="180"/>
      <c r="AG366" s="180"/>
      <c r="AH366" s="180"/>
      <c r="AI366" s="180">
        <v>0</v>
      </c>
      <c r="AJ366" s="181">
        <f t="shared" si="105"/>
        <v>0</v>
      </c>
      <c r="AK366" s="180">
        <f t="shared" si="108"/>
        <v>57400000</v>
      </c>
      <c r="AL366" s="181">
        <f t="shared" si="106"/>
        <v>100</v>
      </c>
      <c r="AM366" s="243"/>
    </row>
    <row r="367" spans="1:39" ht="29.25" customHeight="1" x14ac:dyDescent="0.25">
      <c r="A367" s="243"/>
      <c r="B367" s="437"/>
      <c r="C367" s="437"/>
      <c r="D367" s="437"/>
      <c r="E367" s="437"/>
      <c r="F367" s="437"/>
      <c r="G367" s="437"/>
      <c r="H367" s="437"/>
      <c r="I367" s="438"/>
      <c r="J367" s="437" t="s">
        <v>323</v>
      </c>
      <c r="K367" s="245"/>
      <c r="L367" s="257"/>
      <c r="M367" s="591" t="s">
        <v>324</v>
      </c>
      <c r="N367" s="592"/>
      <c r="O367" s="179"/>
      <c r="P367" s="180"/>
      <c r="Q367" s="180">
        <v>24084000</v>
      </c>
      <c r="R367" s="181">
        <f t="shared" si="109"/>
        <v>5.8379793474572166</v>
      </c>
      <c r="S367" s="181">
        <v>100</v>
      </c>
      <c r="T367" s="180">
        <f t="shared" si="104"/>
        <v>48.57997010463378</v>
      </c>
      <c r="U367" s="180">
        <f t="shared" si="110"/>
        <v>2.8360886217094099</v>
      </c>
      <c r="V367" s="182">
        <f t="shared" si="95"/>
        <v>51.42002989536622</v>
      </c>
      <c r="W367" s="180"/>
      <c r="X367" s="180"/>
      <c r="Y367" s="180"/>
      <c r="Z367" s="180"/>
      <c r="AA367" s="180"/>
      <c r="AB367" s="180"/>
      <c r="AC367" s="180"/>
      <c r="AD367" s="180"/>
      <c r="AE367" s="180"/>
      <c r="AF367" s="180"/>
      <c r="AG367" s="180"/>
      <c r="AH367" s="180"/>
      <c r="AI367" s="180">
        <f>5850000+2925000+2925000</f>
        <v>11700000</v>
      </c>
      <c r="AJ367" s="181">
        <f t="shared" si="105"/>
        <v>48.57997010463378</v>
      </c>
      <c r="AK367" s="180">
        <f t="shared" si="108"/>
        <v>12384000</v>
      </c>
      <c r="AL367" s="181">
        <f t="shared" si="106"/>
        <v>51.420029895366213</v>
      </c>
      <c r="AM367" s="243"/>
    </row>
    <row r="368" spans="1:39" ht="29.25" customHeight="1" x14ac:dyDescent="0.25">
      <c r="A368" s="243"/>
      <c r="B368" s="437"/>
      <c r="C368" s="437"/>
      <c r="D368" s="437"/>
      <c r="E368" s="437"/>
      <c r="F368" s="437"/>
      <c r="G368" s="437"/>
      <c r="H368" s="437"/>
      <c r="I368" s="438"/>
      <c r="J368" s="437" t="s">
        <v>269</v>
      </c>
      <c r="K368" s="245"/>
      <c r="L368" s="257"/>
      <c r="M368" s="591" t="s">
        <v>270</v>
      </c>
      <c r="N368" s="592"/>
      <c r="O368" s="179"/>
      <c r="P368" s="180"/>
      <c r="Q368" s="180">
        <v>1500000</v>
      </c>
      <c r="R368" s="181">
        <f t="shared" si="109"/>
        <v>0.36360110534736023</v>
      </c>
      <c r="S368" s="181">
        <v>100</v>
      </c>
      <c r="T368" s="180">
        <f t="shared" si="104"/>
        <v>0</v>
      </c>
      <c r="U368" s="180">
        <f t="shared" si="110"/>
        <v>0</v>
      </c>
      <c r="V368" s="182">
        <f t="shared" si="95"/>
        <v>100</v>
      </c>
      <c r="W368" s="180"/>
      <c r="X368" s="180"/>
      <c r="Y368" s="180"/>
      <c r="Z368" s="180"/>
      <c r="AA368" s="180"/>
      <c r="AB368" s="180"/>
      <c r="AC368" s="180"/>
      <c r="AD368" s="180"/>
      <c r="AE368" s="180"/>
      <c r="AF368" s="180"/>
      <c r="AG368" s="180"/>
      <c r="AH368" s="180"/>
      <c r="AI368" s="180">
        <v>0</v>
      </c>
      <c r="AJ368" s="181">
        <f t="shared" si="105"/>
        <v>0</v>
      </c>
      <c r="AK368" s="180">
        <f t="shared" si="108"/>
        <v>1500000</v>
      </c>
      <c r="AL368" s="181">
        <f t="shared" si="106"/>
        <v>100</v>
      </c>
      <c r="AM368" s="243"/>
    </row>
    <row r="369" spans="1:39" ht="29.25" customHeight="1" x14ac:dyDescent="0.25">
      <c r="A369" s="243"/>
      <c r="B369" s="437"/>
      <c r="C369" s="437"/>
      <c r="D369" s="437"/>
      <c r="E369" s="437"/>
      <c r="F369" s="437"/>
      <c r="G369" s="437"/>
      <c r="H369" s="437"/>
      <c r="I369" s="438"/>
      <c r="J369" s="437" t="s">
        <v>315</v>
      </c>
      <c r="K369" s="245"/>
      <c r="L369" s="257"/>
      <c r="M369" s="591" t="s">
        <v>271</v>
      </c>
      <c r="N369" s="592"/>
      <c r="O369" s="179"/>
      <c r="P369" s="180"/>
      <c r="Q369" s="180">
        <v>3116000</v>
      </c>
      <c r="R369" s="181">
        <f t="shared" si="109"/>
        <v>0.75532069617491637</v>
      </c>
      <c r="S369" s="181">
        <v>100</v>
      </c>
      <c r="T369" s="180">
        <f t="shared" si="104"/>
        <v>61.232349165596922</v>
      </c>
      <c r="U369" s="180">
        <f t="shared" si="110"/>
        <v>0.46250060600184228</v>
      </c>
      <c r="V369" s="182">
        <f t="shared" si="95"/>
        <v>38.767650834403078</v>
      </c>
      <c r="W369" s="180"/>
      <c r="X369" s="180"/>
      <c r="Y369" s="180"/>
      <c r="Z369" s="180"/>
      <c r="AA369" s="180"/>
      <c r="AB369" s="180"/>
      <c r="AC369" s="180"/>
      <c r="AD369" s="180"/>
      <c r="AE369" s="180"/>
      <c r="AF369" s="180"/>
      <c r="AG369" s="180"/>
      <c r="AH369" s="180"/>
      <c r="AI369" s="180">
        <f>958000+950000</f>
        <v>1908000</v>
      </c>
      <c r="AJ369" s="181">
        <f t="shared" si="105"/>
        <v>61.232349165596922</v>
      </c>
      <c r="AK369" s="180">
        <f t="shared" si="108"/>
        <v>1208000</v>
      </c>
      <c r="AL369" s="181">
        <f t="shared" si="106"/>
        <v>38.767650834403085</v>
      </c>
      <c r="AM369" s="243"/>
    </row>
    <row r="370" spans="1:39" ht="29.25" customHeight="1" x14ac:dyDescent="0.25">
      <c r="A370" s="243"/>
      <c r="B370" s="437"/>
      <c r="C370" s="437"/>
      <c r="D370" s="437"/>
      <c r="E370" s="437"/>
      <c r="F370" s="437"/>
      <c r="G370" s="437"/>
      <c r="H370" s="437"/>
      <c r="I370" s="438"/>
      <c r="J370" s="437" t="s">
        <v>316</v>
      </c>
      <c r="K370" s="245"/>
      <c r="L370" s="257"/>
      <c r="M370" s="591" t="s">
        <v>317</v>
      </c>
      <c r="N370" s="592"/>
      <c r="O370" s="179"/>
      <c r="P370" s="180"/>
      <c r="Q370" s="180">
        <v>2000000</v>
      </c>
      <c r="R370" s="181">
        <f t="shared" si="109"/>
        <v>0.48480147379648031</v>
      </c>
      <c r="S370" s="181">
        <v>100</v>
      </c>
      <c r="T370" s="180">
        <f t="shared" si="104"/>
        <v>75</v>
      </c>
      <c r="U370" s="180">
        <f t="shared" si="110"/>
        <v>0.36360110534736023</v>
      </c>
      <c r="V370" s="182">
        <f t="shared" si="95"/>
        <v>25</v>
      </c>
      <c r="W370" s="180"/>
      <c r="X370" s="180"/>
      <c r="Y370" s="180"/>
      <c r="Z370" s="180"/>
      <c r="AA370" s="180"/>
      <c r="AB370" s="180"/>
      <c r="AC370" s="180"/>
      <c r="AD370" s="180"/>
      <c r="AE370" s="180"/>
      <c r="AF370" s="180"/>
      <c r="AG370" s="180"/>
      <c r="AH370" s="180"/>
      <c r="AI370" s="180">
        <f>1000000+500000</f>
        <v>1500000</v>
      </c>
      <c r="AJ370" s="181">
        <f t="shared" si="105"/>
        <v>75</v>
      </c>
      <c r="AK370" s="180">
        <f t="shared" si="108"/>
        <v>500000</v>
      </c>
      <c r="AL370" s="181">
        <f t="shared" si="106"/>
        <v>25</v>
      </c>
      <c r="AM370" s="243"/>
    </row>
    <row r="371" spans="1:39" ht="29.25" customHeight="1" x14ac:dyDescent="0.25">
      <c r="A371" s="243"/>
      <c r="B371" s="437"/>
      <c r="C371" s="437"/>
      <c r="D371" s="437"/>
      <c r="E371" s="437"/>
      <c r="F371" s="437"/>
      <c r="G371" s="437"/>
      <c r="H371" s="437"/>
      <c r="I371" s="438"/>
      <c r="J371" s="437" t="s">
        <v>318</v>
      </c>
      <c r="K371" s="245"/>
      <c r="L371" s="257"/>
      <c r="M371" s="591" t="s">
        <v>319</v>
      </c>
      <c r="N371" s="592"/>
      <c r="O371" s="179"/>
      <c r="P371" s="180"/>
      <c r="Q371" s="180">
        <v>105200000</v>
      </c>
      <c r="R371" s="181">
        <f t="shared" si="109"/>
        <v>25.500557521694866</v>
      </c>
      <c r="S371" s="181">
        <v>100</v>
      </c>
      <c r="T371" s="180">
        <f t="shared" si="104"/>
        <v>96.863117870722434</v>
      </c>
      <c r="U371" s="180">
        <f t="shared" si="110"/>
        <v>24.700635089930675</v>
      </c>
      <c r="V371" s="182">
        <f t="shared" si="95"/>
        <v>3.1368821292775664</v>
      </c>
      <c r="W371" s="180"/>
      <c r="X371" s="180"/>
      <c r="Y371" s="180"/>
      <c r="Z371" s="180"/>
      <c r="AA371" s="180"/>
      <c r="AB371" s="180"/>
      <c r="AC371" s="180"/>
      <c r="AD371" s="180"/>
      <c r="AE371" s="180"/>
      <c r="AF371" s="180"/>
      <c r="AG371" s="180"/>
      <c r="AH371" s="180"/>
      <c r="AI371" s="180">
        <f>52500000+49400000</f>
        <v>101900000</v>
      </c>
      <c r="AJ371" s="181">
        <f t="shared" si="105"/>
        <v>96.863117870722434</v>
      </c>
      <c r="AK371" s="180">
        <f t="shared" si="108"/>
        <v>3300000</v>
      </c>
      <c r="AL371" s="181">
        <f t="shared" si="106"/>
        <v>3.1368821292775664</v>
      </c>
      <c r="AM371" s="243"/>
    </row>
    <row r="372" spans="1:39" ht="29.25" customHeight="1" x14ac:dyDescent="0.25">
      <c r="A372" s="243"/>
      <c r="B372" s="437"/>
      <c r="C372" s="437"/>
      <c r="D372" s="437"/>
      <c r="E372" s="437"/>
      <c r="F372" s="437"/>
      <c r="G372" s="437"/>
      <c r="H372" s="437"/>
      <c r="I372" s="438"/>
      <c r="J372" s="437" t="s">
        <v>284</v>
      </c>
      <c r="K372" s="245"/>
      <c r="L372" s="257"/>
      <c r="M372" s="591" t="s">
        <v>285</v>
      </c>
      <c r="N372" s="592"/>
      <c r="O372" s="179"/>
      <c r="P372" s="180"/>
      <c r="Q372" s="180">
        <v>14740000</v>
      </c>
      <c r="R372" s="181">
        <f t="shared" si="109"/>
        <v>3.57298686188006</v>
      </c>
      <c r="S372" s="181">
        <v>100</v>
      </c>
      <c r="T372" s="180">
        <f t="shared" si="104"/>
        <v>28.697421981004073</v>
      </c>
      <c r="U372" s="180">
        <f t="shared" si="110"/>
        <v>1.0253551170795558</v>
      </c>
      <c r="V372" s="182">
        <f t="shared" si="95"/>
        <v>71.302578018995931</v>
      </c>
      <c r="W372" s="180"/>
      <c r="X372" s="180"/>
      <c r="Y372" s="180"/>
      <c r="Z372" s="180"/>
      <c r="AA372" s="180"/>
      <c r="AB372" s="180"/>
      <c r="AC372" s="180"/>
      <c r="AD372" s="180"/>
      <c r="AE372" s="180"/>
      <c r="AF372" s="180"/>
      <c r="AG372" s="180"/>
      <c r="AH372" s="180"/>
      <c r="AI372" s="180">
        <f>2400000+660000+1170000</f>
        <v>4230000</v>
      </c>
      <c r="AJ372" s="181">
        <f t="shared" si="105"/>
        <v>28.697421981004073</v>
      </c>
      <c r="AK372" s="180">
        <f t="shared" si="108"/>
        <v>10510000</v>
      </c>
      <c r="AL372" s="181">
        <f t="shared" si="106"/>
        <v>71.302578018995931</v>
      </c>
      <c r="AM372" s="243"/>
    </row>
    <row r="373" spans="1:39" ht="29.25" customHeight="1" x14ac:dyDescent="0.25">
      <c r="A373" s="243"/>
      <c r="B373" s="437"/>
      <c r="C373" s="437"/>
      <c r="D373" s="437"/>
      <c r="E373" s="437"/>
      <c r="F373" s="437"/>
      <c r="G373" s="437"/>
      <c r="H373" s="437"/>
      <c r="I373" s="438"/>
      <c r="J373" s="437" t="s">
        <v>282</v>
      </c>
      <c r="K373" s="245"/>
      <c r="L373" s="257"/>
      <c r="M373" s="591" t="s">
        <v>283</v>
      </c>
      <c r="N373" s="592"/>
      <c r="O373" s="179"/>
      <c r="P373" s="180"/>
      <c r="Q373" s="180">
        <v>88420000</v>
      </c>
      <c r="R373" s="181">
        <f t="shared" si="109"/>
        <v>21.433073156542395</v>
      </c>
      <c r="S373" s="181">
        <v>100</v>
      </c>
      <c r="T373" s="180">
        <f t="shared" si="104"/>
        <v>37.916446505315534</v>
      </c>
      <c r="U373" s="180">
        <f t="shared" si="110"/>
        <v>8.1266597178455413</v>
      </c>
      <c r="V373" s="182">
        <f t="shared" si="95"/>
        <v>62.083553494684466</v>
      </c>
      <c r="W373" s="180"/>
      <c r="X373" s="180"/>
      <c r="Y373" s="180"/>
      <c r="Z373" s="180"/>
      <c r="AA373" s="180"/>
      <c r="AB373" s="180"/>
      <c r="AC373" s="180"/>
      <c r="AD373" s="180"/>
      <c r="AE373" s="180"/>
      <c r="AF373" s="180"/>
      <c r="AG373" s="180"/>
      <c r="AH373" s="180"/>
      <c r="AI373" s="180">
        <f>14996982+18528740</f>
        <v>33525722</v>
      </c>
      <c r="AJ373" s="181">
        <f t="shared" si="105"/>
        <v>37.916446505315534</v>
      </c>
      <c r="AK373" s="180">
        <f t="shared" si="108"/>
        <v>54894278</v>
      </c>
      <c r="AL373" s="181">
        <f t="shared" si="106"/>
        <v>62.083553494684466</v>
      </c>
      <c r="AM373" s="243"/>
    </row>
    <row r="374" spans="1:39" ht="29.25" customHeight="1" x14ac:dyDescent="0.25">
      <c r="A374" s="243"/>
      <c r="B374" s="437"/>
      <c r="C374" s="437"/>
      <c r="D374" s="437"/>
      <c r="E374" s="437"/>
      <c r="F374" s="437"/>
      <c r="G374" s="437"/>
      <c r="H374" s="437"/>
      <c r="I374" s="438"/>
      <c r="J374" s="437" t="s">
        <v>320</v>
      </c>
      <c r="K374" s="245"/>
      <c r="L374" s="257"/>
      <c r="M374" s="591" t="s">
        <v>321</v>
      </c>
      <c r="N374" s="592"/>
      <c r="O374" s="179"/>
      <c r="P374" s="180"/>
      <c r="Q374" s="180">
        <v>65600000</v>
      </c>
      <c r="R374" s="181">
        <f t="shared" si="109"/>
        <v>15.901488340524555</v>
      </c>
      <c r="S374" s="181">
        <v>100</v>
      </c>
      <c r="T374" s="180">
        <f t="shared" si="104"/>
        <v>71.951219512195124</v>
      </c>
      <c r="U374" s="180">
        <f t="shared" si="110"/>
        <v>11.441314781596937</v>
      </c>
      <c r="V374" s="182">
        <f t="shared" si="95"/>
        <v>28.048780487804876</v>
      </c>
      <c r="W374" s="180"/>
      <c r="X374" s="180"/>
      <c r="Y374" s="180"/>
      <c r="Z374" s="180"/>
      <c r="AA374" s="180"/>
      <c r="AB374" s="180"/>
      <c r="AC374" s="180"/>
      <c r="AD374" s="180"/>
      <c r="AE374" s="180"/>
      <c r="AF374" s="180"/>
      <c r="AG374" s="180"/>
      <c r="AH374" s="180"/>
      <c r="AI374" s="180">
        <f>25400000+21800000</f>
        <v>47200000</v>
      </c>
      <c r="AJ374" s="181">
        <f t="shared" si="105"/>
        <v>71.951219512195124</v>
      </c>
      <c r="AK374" s="180">
        <f t="shared" si="108"/>
        <v>18400000</v>
      </c>
      <c r="AL374" s="181">
        <f t="shared" si="106"/>
        <v>28.04878048780488</v>
      </c>
      <c r="AM374" s="243"/>
    </row>
    <row r="375" spans="1:39" ht="29.25" customHeight="1" x14ac:dyDescent="0.25">
      <c r="A375" s="243"/>
      <c r="B375" s="437"/>
      <c r="C375" s="437"/>
      <c r="D375" s="437"/>
      <c r="E375" s="437"/>
      <c r="F375" s="437"/>
      <c r="G375" s="437"/>
      <c r="H375" s="437"/>
      <c r="I375" s="438"/>
      <c r="J375" s="437" t="s">
        <v>320</v>
      </c>
      <c r="K375" s="245"/>
      <c r="L375" s="257"/>
      <c r="M375" s="591" t="s">
        <v>414</v>
      </c>
      <c r="N375" s="592"/>
      <c r="O375" s="179"/>
      <c r="P375" s="180"/>
      <c r="Q375" s="180">
        <v>18600000</v>
      </c>
      <c r="R375" s="181">
        <f t="shared" si="109"/>
        <v>4.5086537063072676</v>
      </c>
      <c r="S375" s="181">
        <v>100</v>
      </c>
      <c r="T375" s="180">
        <f t="shared" si="104"/>
        <v>74.193548387096769</v>
      </c>
      <c r="U375" s="180">
        <f t="shared" si="110"/>
        <v>3.3451301691957145</v>
      </c>
      <c r="V375" s="182">
        <f t="shared" si="95"/>
        <v>25.806451612903231</v>
      </c>
      <c r="W375" s="180"/>
      <c r="X375" s="180"/>
      <c r="Y375" s="180"/>
      <c r="Z375" s="180"/>
      <c r="AA375" s="180"/>
      <c r="AB375" s="180"/>
      <c r="AC375" s="180"/>
      <c r="AD375" s="180"/>
      <c r="AE375" s="180"/>
      <c r="AF375" s="180"/>
      <c r="AG375" s="180"/>
      <c r="AH375" s="180"/>
      <c r="AI375" s="180">
        <f>8900000+4900000</f>
        <v>13800000</v>
      </c>
      <c r="AJ375" s="181">
        <f t="shared" si="105"/>
        <v>74.193548387096769</v>
      </c>
      <c r="AK375" s="180">
        <f t="shared" si="108"/>
        <v>4800000</v>
      </c>
      <c r="AL375" s="181">
        <f t="shared" si="106"/>
        <v>25.806451612903224</v>
      </c>
      <c r="AM375" s="243"/>
    </row>
    <row r="376" spans="1:39" ht="29.25" customHeight="1" x14ac:dyDescent="0.25">
      <c r="A376" s="243"/>
      <c r="B376" s="437"/>
      <c r="C376" s="437"/>
      <c r="D376" s="437"/>
      <c r="E376" s="437"/>
      <c r="F376" s="437"/>
      <c r="G376" s="437"/>
      <c r="H376" s="437"/>
      <c r="I376" s="438"/>
      <c r="J376" s="437" t="s">
        <v>350</v>
      </c>
      <c r="K376" s="245"/>
      <c r="L376" s="257"/>
      <c r="M376" s="591" t="s">
        <v>550</v>
      </c>
      <c r="N376" s="592"/>
      <c r="O376" s="179"/>
      <c r="P376" s="180"/>
      <c r="Q376" s="180">
        <v>28800000</v>
      </c>
      <c r="R376" s="181">
        <f t="shared" si="109"/>
        <v>6.9811412226693168</v>
      </c>
      <c r="S376" s="181">
        <v>100</v>
      </c>
      <c r="T376" s="180">
        <f t="shared" si="104"/>
        <v>41.666666666666671</v>
      </c>
      <c r="U376" s="180">
        <f t="shared" si="110"/>
        <v>2.9088088427788823</v>
      </c>
      <c r="V376" s="182">
        <f t="shared" si="95"/>
        <v>58.333333333333329</v>
      </c>
      <c r="W376" s="180"/>
      <c r="X376" s="180"/>
      <c r="Y376" s="180"/>
      <c r="Z376" s="180"/>
      <c r="AA376" s="180"/>
      <c r="AB376" s="180"/>
      <c r="AC376" s="180"/>
      <c r="AD376" s="180"/>
      <c r="AE376" s="180"/>
      <c r="AF376" s="180"/>
      <c r="AG376" s="180"/>
      <c r="AH376" s="180"/>
      <c r="AI376" s="180">
        <f>4800000+2400000+2400000+2400000</f>
        <v>12000000</v>
      </c>
      <c r="AJ376" s="181">
        <f t="shared" si="105"/>
        <v>41.666666666666671</v>
      </c>
      <c r="AK376" s="180">
        <f t="shared" si="108"/>
        <v>16800000</v>
      </c>
      <c r="AL376" s="181">
        <f t="shared" si="106"/>
        <v>58.333333333333336</v>
      </c>
      <c r="AM376" s="243"/>
    </row>
    <row r="377" spans="1:39" s="297" customFormat="1" ht="24.75" customHeight="1" x14ac:dyDescent="0.25">
      <c r="A377" s="227">
        <f>SUM(A364+1)</f>
        <v>49</v>
      </c>
      <c r="B377" s="615" t="s">
        <v>147</v>
      </c>
      <c r="C377" s="615"/>
      <c r="D377" s="615"/>
      <c r="E377" s="615"/>
      <c r="F377" s="615"/>
      <c r="G377" s="615"/>
      <c r="H377" s="615"/>
      <c r="I377" s="614"/>
      <c r="J377" s="304" t="s">
        <v>495</v>
      </c>
      <c r="K377" s="230"/>
      <c r="L377" s="294"/>
      <c r="M377" s="610" t="s">
        <v>50</v>
      </c>
      <c r="N377" s="610"/>
      <c r="O377" s="309">
        <v>509540000</v>
      </c>
      <c r="P377" s="231">
        <f>O377</f>
        <v>509540000</v>
      </c>
      <c r="Q377" s="231">
        <f>SUM(Q378:Q386)</f>
        <v>351260000</v>
      </c>
      <c r="R377" s="233">
        <f>Q377/Q$248*100</f>
        <v>2.9448740137377385</v>
      </c>
      <c r="S377" s="233">
        <v>100</v>
      </c>
      <c r="T377" s="231">
        <f t="shared" si="104"/>
        <v>0</v>
      </c>
      <c r="U377" s="231">
        <f t="shared" si="110"/>
        <v>0</v>
      </c>
      <c r="V377" s="296">
        <f t="shared" si="95"/>
        <v>100</v>
      </c>
      <c r="W377" s="231"/>
      <c r="X377" s="231" t="e">
        <f>#REF!</f>
        <v>#REF!</v>
      </c>
      <c r="Y377" s="231" t="e">
        <f>#REF!</f>
        <v>#REF!</v>
      </c>
      <c r="Z377" s="231" t="e">
        <f>#REF!</f>
        <v>#REF!</v>
      </c>
      <c r="AA377" s="231" t="e">
        <f>#REF!</f>
        <v>#REF!</v>
      </c>
      <c r="AB377" s="231">
        <v>227840500</v>
      </c>
      <c r="AC377" s="231" t="e">
        <f>#REF!</f>
        <v>#REF!</v>
      </c>
      <c r="AD377" s="231" t="e">
        <f>#REF!</f>
        <v>#REF!</v>
      </c>
      <c r="AE377" s="231" t="e">
        <f>#REF!</f>
        <v>#REF!</v>
      </c>
      <c r="AF377" s="231" t="e">
        <f>[1]April!N68</f>
        <v>#REF!</v>
      </c>
      <c r="AG377" s="231" t="e">
        <f>[2]april!N68</f>
        <v>#REF!</v>
      </c>
      <c r="AH377" s="231">
        <f>'[3]DES SKPD'!$N68</f>
        <v>375022000</v>
      </c>
      <c r="AI377" s="231">
        <f>SUM(AI378:AI386)</f>
        <v>0</v>
      </c>
      <c r="AJ377" s="233">
        <f t="shared" si="105"/>
        <v>0</v>
      </c>
      <c r="AK377" s="231">
        <f t="shared" si="108"/>
        <v>351260000</v>
      </c>
      <c r="AL377" s="233">
        <f t="shared" si="106"/>
        <v>100</v>
      </c>
      <c r="AM377" s="227"/>
    </row>
    <row r="378" spans="1:39" ht="24.75" customHeight="1" x14ac:dyDescent="0.25">
      <c r="A378" s="243"/>
      <c r="B378" s="437"/>
      <c r="C378" s="437"/>
      <c r="D378" s="437"/>
      <c r="E378" s="437"/>
      <c r="F378" s="437"/>
      <c r="G378" s="437"/>
      <c r="H378" s="437"/>
      <c r="I378" s="438"/>
      <c r="J378" s="437" t="s">
        <v>259</v>
      </c>
      <c r="K378" s="245"/>
      <c r="L378" s="257"/>
      <c r="M378" s="591" t="s">
        <v>260</v>
      </c>
      <c r="N378" s="592"/>
      <c r="O378" s="179"/>
      <c r="P378" s="180"/>
      <c r="Q378" s="180">
        <v>4620000</v>
      </c>
      <c r="R378" s="181">
        <f t="shared" ref="R378:R386" si="111">Q378/Q$377*100</f>
        <v>1.3152650458349939</v>
      </c>
      <c r="S378" s="181">
        <v>100</v>
      </c>
      <c r="T378" s="180">
        <f t="shared" si="104"/>
        <v>0</v>
      </c>
      <c r="U378" s="180">
        <f t="shared" si="110"/>
        <v>0</v>
      </c>
      <c r="V378" s="182">
        <f t="shared" si="95"/>
        <v>100</v>
      </c>
      <c r="W378" s="180"/>
      <c r="X378" s="180"/>
      <c r="Y378" s="180"/>
      <c r="Z378" s="180"/>
      <c r="AA378" s="180"/>
      <c r="AB378" s="180"/>
      <c r="AC378" s="180"/>
      <c r="AD378" s="180"/>
      <c r="AE378" s="180"/>
      <c r="AF378" s="180"/>
      <c r="AG378" s="180"/>
      <c r="AH378" s="180"/>
      <c r="AI378" s="180">
        <v>0</v>
      </c>
      <c r="AJ378" s="181">
        <f t="shared" si="105"/>
        <v>0</v>
      </c>
      <c r="AK378" s="180">
        <f t="shared" si="108"/>
        <v>4620000</v>
      </c>
      <c r="AL378" s="181">
        <f t="shared" si="106"/>
        <v>100</v>
      </c>
      <c r="AM378" s="243"/>
    </row>
    <row r="379" spans="1:39" ht="24.75" customHeight="1" x14ac:dyDescent="0.25">
      <c r="A379" s="243"/>
      <c r="B379" s="437"/>
      <c r="C379" s="437"/>
      <c r="D379" s="437"/>
      <c r="E379" s="437"/>
      <c r="F379" s="437"/>
      <c r="G379" s="437"/>
      <c r="H379" s="437"/>
      <c r="I379" s="438"/>
      <c r="J379" s="437" t="s">
        <v>323</v>
      </c>
      <c r="K379" s="245"/>
      <c r="L379" s="257"/>
      <c r="M379" s="591" t="s">
        <v>609</v>
      </c>
      <c r="N379" s="592"/>
      <c r="O379" s="179"/>
      <c r="P379" s="180"/>
      <c r="Q379" s="180">
        <v>18900000</v>
      </c>
      <c r="R379" s="181">
        <f t="shared" si="111"/>
        <v>5.3806297329613395</v>
      </c>
      <c r="S379" s="181">
        <v>100</v>
      </c>
      <c r="T379" s="180">
        <f t="shared" si="104"/>
        <v>0</v>
      </c>
      <c r="U379" s="180">
        <f t="shared" si="110"/>
        <v>0</v>
      </c>
      <c r="V379" s="182">
        <f t="shared" si="95"/>
        <v>100</v>
      </c>
      <c r="W379" s="180"/>
      <c r="X379" s="180"/>
      <c r="Y379" s="180"/>
      <c r="Z379" s="180"/>
      <c r="AA379" s="180"/>
      <c r="AB379" s="180"/>
      <c r="AC379" s="180"/>
      <c r="AD379" s="180"/>
      <c r="AE379" s="180"/>
      <c r="AF379" s="180"/>
      <c r="AG379" s="180"/>
      <c r="AH379" s="180"/>
      <c r="AI379" s="180">
        <v>0</v>
      </c>
      <c r="AJ379" s="181">
        <f t="shared" si="105"/>
        <v>0</v>
      </c>
      <c r="AK379" s="180">
        <f t="shared" si="108"/>
        <v>18900000</v>
      </c>
      <c r="AL379" s="181">
        <f t="shared" si="106"/>
        <v>100</v>
      </c>
      <c r="AM379" s="243"/>
    </row>
    <row r="380" spans="1:39" ht="24.75" customHeight="1" x14ac:dyDescent="0.25">
      <c r="A380" s="243"/>
      <c r="B380" s="437"/>
      <c r="C380" s="437"/>
      <c r="D380" s="437"/>
      <c r="E380" s="437"/>
      <c r="F380" s="437"/>
      <c r="G380" s="437"/>
      <c r="H380" s="437"/>
      <c r="I380" s="438"/>
      <c r="J380" s="437" t="s">
        <v>269</v>
      </c>
      <c r="K380" s="245"/>
      <c r="L380" s="257"/>
      <c r="M380" s="591" t="s">
        <v>352</v>
      </c>
      <c r="N380" s="592"/>
      <c r="O380" s="179"/>
      <c r="P380" s="180"/>
      <c r="Q380" s="180">
        <v>7500000</v>
      </c>
      <c r="R380" s="181">
        <f t="shared" si="111"/>
        <v>2.1351705289529126</v>
      </c>
      <c r="S380" s="181">
        <v>100</v>
      </c>
      <c r="T380" s="180">
        <f t="shared" si="104"/>
        <v>0</v>
      </c>
      <c r="U380" s="180">
        <f t="shared" si="110"/>
        <v>0</v>
      </c>
      <c r="V380" s="182">
        <f t="shared" si="95"/>
        <v>100</v>
      </c>
      <c r="W380" s="180"/>
      <c r="X380" s="180"/>
      <c r="Y380" s="180"/>
      <c r="Z380" s="180"/>
      <c r="AA380" s="180"/>
      <c r="AB380" s="180"/>
      <c r="AC380" s="180"/>
      <c r="AD380" s="180"/>
      <c r="AE380" s="180"/>
      <c r="AF380" s="180"/>
      <c r="AG380" s="180"/>
      <c r="AH380" s="180"/>
      <c r="AI380" s="180">
        <v>0</v>
      </c>
      <c r="AJ380" s="181">
        <f t="shared" si="105"/>
        <v>0</v>
      </c>
      <c r="AK380" s="180">
        <f t="shared" si="108"/>
        <v>7500000</v>
      </c>
      <c r="AL380" s="181">
        <f t="shared" si="106"/>
        <v>100</v>
      </c>
      <c r="AM380" s="243"/>
    </row>
    <row r="381" spans="1:39" ht="24.75" customHeight="1" x14ac:dyDescent="0.25">
      <c r="A381" s="243"/>
      <c r="B381" s="437"/>
      <c r="C381" s="437"/>
      <c r="D381" s="437"/>
      <c r="E381" s="437"/>
      <c r="F381" s="437"/>
      <c r="G381" s="437"/>
      <c r="H381" s="437"/>
      <c r="I381" s="438"/>
      <c r="J381" s="437" t="s">
        <v>315</v>
      </c>
      <c r="K381" s="245"/>
      <c r="L381" s="257"/>
      <c r="M381" s="591" t="s">
        <v>271</v>
      </c>
      <c r="N381" s="592"/>
      <c r="O381" s="179"/>
      <c r="P381" s="180"/>
      <c r="Q381" s="180">
        <v>7560000</v>
      </c>
      <c r="R381" s="181">
        <f t="shared" si="111"/>
        <v>2.1522518931845354</v>
      </c>
      <c r="S381" s="181">
        <v>100</v>
      </c>
      <c r="T381" s="180">
        <f t="shared" si="104"/>
        <v>0</v>
      </c>
      <c r="U381" s="180">
        <f t="shared" si="110"/>
        <v>0</v>
      </c>
      <c r="V381" s="182">
        <f t="shared" si="95"/>
        <v>100</v>
      </c>
      <c r="W381" s="180"/>
      <c r="X381" s="180"/>
      <c r="Y381" s="180"/>
      <c r="Z381" s="180"/>
      <c r="AA381" s="180"/>
      <c r="AB381" s="180"/>
      <c r="AC381" s="180"/>
      <c r="AD381" s="180"/>
      <c r="AE381" s="180"/>
      <c r="AF381" s="180"/>
      <c r="AG381" s="180"/>
      <c r="AH381" s="180"/>
      <c r="AI381" s="180">
        <v>0</v>
      </c>
      <c r="AJ381" s="181">
        <f t="shared" si="105"/>
        <v>0</v>
      </c>
      <c r="AK381" s="180">
        <f t="shared" si="108"/>
        <v>7560000</v>
      </c>
      <c r="AL381" s="181">
        <f t="shared" si="106"/>
        <v>100</v>
      </c>
      <c r="AM381" s="243"/>
    </row>
    <row r="382" spans="1:39" ht="24.75" customHeight="1" x14ac:dyDescent="0.25">
      <c r="A382" s="243"/>
      <c r="B382" s="437"/>
      <c r="C382" s="437"/>
      <c r="D382" s="437"/>
      <c r="E382" s="437"/>
      <c r="F382" s="437"/>
      <c r="G382" s="437"/>
      <c r="H382" s="437"/>
      <c r="I382" s="438"/>
      <c r="J382" s="437" t="s">
        <v>318</v>
      </c>
      <c r="K382" s="245"/>
      <c r="L382" s="257"/>
      <c r="M382" s="591" t="s">
        <v>319</v>
      </c>
      <c r="N382" s="592"/>
      <c r="O382" s="179"/>
      <c r="P382" s="180"/>
      <c r="Q382" s="180">
        <v>182850000</v>
      </c>
      <c r="R382" s="181">
        <f t="shared" si="111"/>
        <v>52.055457495872005</v>
      </c>
      <c r="S382" s="181">
        <v>100</v>
      </c>
      <c r="T382" s="180">
        <f t="shared" si="104"/>
        <v>0</v>
      </c>
      <c r="U382" s="180">
        <f t="shared" si="110"/>
        <v>0</v>
      </c>
      <c r="V382" s="182">
        <f t="shared" si="95"/>
        <v>100</v>
      </c>
      <c r="W382" s="180"/>
      <c r="X382" s="180"/>
      <c r="Y382" s="180"/>
      <c r="Z382" s="180"/>
      <c r="AA382" s="180"/>
      <c r="AB382" s="180"/>
      <c r="AC382" s="180"/>
      <c r="AD382" s="180"/>
      <c r="AE382" s="180"/>
      <c r="AF382" s="180"/>
      <c r="AG382" s="180"/>
      <c r="AH382" s="180"/>
      <c r="AI382" s="180">
        <v>0</v>
      </c>
      <c r="AJ382" s="181">
        <f t="shared" si="105"/>
        <v>0</v>
      </c>
      <c r="AK382" s="180">
        <f t="shared" si="108"/>
        <v>182850000</v>
      </c>
      <c r="AL382" s="181">
        <f t="shared" si="106"/>
        <v>100</v>
      </c>
      <c r="AM382" s="243"/>
    </row>
    <row r="383" spans="1:39" ht="24.75" customHeight="1" x14ac:dyDescent="0.25">
      <c r="A383" s="243"/>
      <c r="B383" s="437"/>
      <c r="C383" s="437"/>
      <c r="D383" s="437"/>
      <c r="E383" s="437"/>
      <c r="F383" s="437"/>
      <c r="G383" s="437"/>
      <c r="H383" s="437"/>
      <c r="I383" s="438"/>
      <c r="J383" s="437" t="s">
        <v>284</v>
      </c>
      <c r="K383" s="245"/>
      <c r="L383" s="257"/>
      <c r="M383" s="591" t="s">
        <v>285</v>
      </c>
      <c r="N383" s="592"/>
      <c r="O383" s="179"/>
      <c r="P383" s="180"/>
      <c r="Q383" s="180">
        <v>1320000</v>
      </c>
      <c r="R383" s="181">
        <f t="shared" si="111"/>
        <v>0.37579001309571258</v>
      </c>
      <c r="S383" s="181">
        <v>100</v>
      </c>
      <c r="T383" s="180">
        <f t="shared" si="104"/>
        <v>0</v>
      </c>
      <c r="U383" s="180">
        <f t="shared" si="110"/>
        <v>0</v>
      </c>
      <c r="V383" s="182">
        <f t="shared" si="95"/>
        <v>100</v>
      </c>
      <c r="W383" s="180"/>
      <c r="X383" s="180"/>
      <c r="Y383" s="180"/>
      <c r="Z383" s="180"/>
      <c r="AA383" s="180"/>
      <c r="AB383" s="180"/>
      <c r="AC383" s="180"/>
      <c r="AD383" s="180"/>
      <c r="AE383" s="180"/>
      <c r="AF383" s="180"/>
      <c r="AG383" s="180"/>
      <c r="AH383" s="180"/>
      <c r="AI383" s="180">
        <v>0</v>
      </c>
      <c r="AJ383" s="181">
        <f t="shared" si="105"/>
        <v>0</v>
      </c>
      <c r="AK383" s="180">
        <f t="shared" si="108"/>
        <v>1320000</v>
      </c>
      <c r="AL383" s="181">
        <f t="shared" si="106"/>
        <v>100</v>
      </c>
      <c r="AM383" s="243"/>
    </row>
    <row r="384" spans="1:39" ht="24.75" customHeight="1" x14ac:dyDescent="0.25">
      <c r="A384" s="243"/>
      <c r="B384" s="437"/>
      <c r="C384" s="437"/>
      <c r="D384" s="437"/>
      <c r="E384" s="437"/>
      <c r="F384" s="437"/>
      <c r="G384" s="437"/>
      <c r="H384" s="437"/>
      <c r="I384" s="438"/>
      <c r="J384" s="437" t="s">
        <v>282</v>
      </c>
      <c r="K384" s="245"/>
      <c r="L384" s="257"/>
      <c r="M384" s="591" t="s">
        <v>283</v>
      </c>
      <c r="N384" s="592"/>
      <c r="O384" s="179"/>
      <c r="P384" s="180"/>
      <c r="Q384" s="180">
        <v>108410000</v>
      </c>
      <c r="R384" s="181">
        <f t="shared" si="111"/>
        <v>30.863178272504697</v>
      </c>
      <c r="S384" s="181">
        <v>100</v>
      </c>
      <c r="T384" s="180">
        <f t="shared" si="104"/>
        <v>0</v>
      </c>
      <c r="U384" s="180">
        <f t="shared" si="110"/>
        <v>0</v>
      </c>
      <c r="V384" s="182">
        <f t="shared" si="95"/>
        <v>100</v>
      </c>
      <c r="W384" s="180"/>
      <c r="X384" s="180"/>
      <c r="Y384" s="180"/>
      <c r="Z384" s="180"/>
      <c r="AA384" s="180"/>
      <c r="AB384" s="180"/>
      <c r="AC384" s="180"/>
      <c r="AD384" s="180"/>
      <c r="AE384" s="180"/>
      <c r="AF384" s="180"/>
      <c r="AG384" s="180"/>
      <c r="AH384" s="180"/>
      <c r="AI384" s="180">
        <v>0</v>
      </c>
      <c r="AJ384" s="181">
        <f t="shared" si="105"/>
        <v>0</v>
      </c>
      <c r="AK384" s="180">
        <f t="shared" si="108"/>
        <v>108410000</v>
      </c>
      <c r="AL384" s="181">
        <f t="shared" si="106"/>
        <v>100</v>
      </c>
      <c r="AM384" s="243"/>
    </row>
    <row r="385" spans="1:39" ht="24.75" customHeight="1" x14ac:dyDescent="0.25">
      <c r="A385" s="243"/>
      <c r="B385" s="437"/>
      <c r="C385" s="437"/>
      <c r="D385" s="437"/>
      <c r="E385" s="437"/>
      <c r="F385" s="437"/>
      <c r="G385" s="437"/>
      <c r="H385" s="437"/>
      <c r="I385" s="438"/>
      <c r="J385" s="437" t="s">
        <v>320</v>
      </c>
      <c r="K385" s="245"/>
      <c r="L385" s="257"/>
      <c r="M385" s="591" t="s">
        <v>321</v>
      </c>
      <c r="N385" s="592"/>
      <c r="O385" s="179"/>
      <c r="P385" s="180"/>
      <c r="Q385" s="180">
        <v>16800000</v>
      </c>
      <c r="R385" s="181">
        <f t="shared" si="111"/>
        <v>4.7827819848545232</v>
      </c>
      <c r="S385" s="181">
        <v>100</v>
      </c>
      <c r="T385" s="180">
        <f t="shared" si="104"/>
        <v>0</v>
      </c>
      <c r="U385" s="180">
        <f t="shared" si="110"/>
        <v>0</v>
      </c>
      <c r="V385" s="182">
        <f t="shared" si="95"/>
        <v>100</v>
      </c>
      <c r="W385" s="180"/>
      <c r="X385" s="180"/>
      <c r="Y385" s="180"/>
      <c r="Z385" s="180"/>
      <c r="AA385" s="180"/>
      <c r="AB385" s="180"/>
      <c r="AC385" s="180"/>
      <c r="AD385" s="180"/>
      <c r="AE385" s="180"/>
      <c r="AF385" s="180"/>
      <c r="AG385" s="180"/>
      <c r="AH385" s="180"/>
      <c r="AI385" s="180">
        <v>0</v>
      </c>
      <c r="AJ385" s="181">
        <f t="shared" si="105"/>
        <v>0</v>
      </c>
      <c r="AK385" s="180">
        <f t="shared" si="108"/>
        <v>16800000</v>
      </c>
      <c r="AL385" s="181">
        <f t="shared" si="106"/>
        <v>100</v>
      </c>
      <c r="AM385" s="243"/>
    </row>
    <row r="386" spans="1:39" ht="24.75" customHeight="1" x14ac:dyDescent="0.25">
      <c r="A386" s="243"/>
      <c r="B386" s="437"/>
      <c r="C386" s="437"/>
      <c r="D386" s="437"/>
      <c r="E386" s="437"/>
      <c r="F386" s="437"/>
      <c r="G386" s="437"/>
      <c r="H386" s="437"/>
      <c r="I386" s="438"/>
      <c r="J386" s="437" t="s">
        <v>407</v>
      </c>
      <c r="K386" s="245"/>
      <c r="L386" s="257"/>
      <c r="M386" s="591" t="s">
        <v>414</v>
      </c>
      <c r="N386" s="592"/>
      <c r="O386" s="179"/>
      <c r="P386" s="180"/>
      <c r="Q386" s="180">
        <v>3300000</v>
      </c>
      <c r="R386" s="181">
        <f t="shared" si="111"/>
        <v>0.93947503273928146</v>
      </c>
      <c r="S386" s="181">
        <v>100</v>
      </c>
      <c r="T386" s="180">
        <f t="shared" si="104"/>
        <v>0</v>
      </c>
      <c r="U386" s="180">
        <f t="shared" si="110"/>
        <v>0</v>
      </c>
      <c r="V386" s="182">
        <f t="shared" si="95"/>
        <v>100</v>
      </c>
      <c r="W386" s="180"/>
      <c r="X386" s="180"/>
      <c r="Y386" s="180"/>
      <c r="Z386" s="180"/>
      <c r="AA386" s="180"/>
      <c r="AB386" s="180"/>
      <c r="AC386" s="180"/>
      <c r="AD386" s="180"/>
      <c r="AE386" s="180"/>
      <c r="AF386" s="180"/>
      <c r="AG386" s="180"/>
      <c r="AH386" s="180"/>
      <c r="AI386" s="180">
        <v>0</v>
      </c>
      <c r="AJ386" s="181">
        <f t="shared" si="105"/>
        <v>0</v>
      </c>
      <c r="AK386" s="180">
        <f t="shared" si="108"/>
        <v>3300000</v>
      </c>
      <c r="AL386" s="181">
        <f t="shared" si="106"/>
        <v>100</v>
      </c>
      <c r="AM386" s="243"/>
    </row>
    <row r="387" spans="1:39" s="297" customFormat="1" ht="30.75" customHeight="1" x14ac:dyDescent="0.25">
      <c r="A387" s="227">
        <f>A377+1</f>
        <v>50</v>
      </c>
      <c r="B387" s="615" t="s">
        <v>148</v>
      </c>
      <c r="C387" s="615"/>
      <c r="D387" s="615"/>
      <c r="E387" s="615"/>
      <c r="F387" s="615"/>
      <c r="G387" s="615"/>
      <c r="H387" s="615"/>
      <c r="I387" s="614"/>
      <c r="J387" s="304" t="s">
        <v>496</v>
      </c>
      <c r="K387" s="230"/>
      <c r="L387" s="294"/>
      <c r="M387" s="610" t="s">
        <v>199</v>
      </c>
      <c r="N387" s="610"/>
      <c r="O387" s="309">
        <v>569155000</v>
      </c>
      <c r="P387" s="231">
        <f>O387</f>
        <v>569155000</v>
      </c>
      <c r="Q387" s="231">
        <f>SUM(Q388:Q399)</f>
        <v>303990300</v>
      </c>
      <c r="R387" s="233">
        <f>Q387/Q$248*100</f>
        <v>2.5485769370219757</v>
      </c>
      <c r="S387" s="233">
        <v>100</v>
      </c>
      <c r="T387" s="231">
        <f t="shared" si="104"/>
        <v>53.117073143452274</v>
      </c>
      <c r="U387" s="231">
        <f t="shared" si="110"/>
        <v>1.3537294757551184</v>
      </c>
      <c r="V387" s="296">
        <f t="shared" si="95"/>
        <v>46.882926856547726</v>
      </c>
      <c r="W387" s="231"/>
      <c r="X387" s="231" t="e">
        <f>#REF!</f>
        <v>#REF!</v>
      </c>
      <c r="Y387" s="231" t="e">
        <f>#REF!</f>
        <v>#REF!</v>
      </c>
      <c r="Z387" s="231" t="e">
        <f>#REF!</f>
        <v>#REF!</v>
      </c>
      <c r="AA387" s="231" t="e">
        <f>#REF!</f>
        <v>#REF!</v>
      </c>
      <c r="AB387" s="231">
        <v>286887000</v>
      </c>
      <c r="AC387" s="231" t="e">
        <f>#REF!</f>
        <v>#REF!</v>
      </c>
      <c r="AD387" s="231" t="e">
        <f>#REF!</f>
        <v>#REF!</v>
      </c>
      <c r="AE387" s="231" t="e">
        <f>#REF!</f>
        <v>#REF!</v>
      </c>
      <c r="AF387" s="231" t="e">
        <f>[1]April!N69</f>
        <v>#REF!</v>
      </c>
      <c r="AG387" s="231" t="e">
        <f>[2]april!N69</f>
        <v>#REF!</v>
      </c>
      <c r="AH387" s="231">
        <f>'[3]DES SKPD'!$N69</f>
        <v>642713500</v>
      </c>
      <c r="AI387" s="231">
        <f>SUM(AI388:AI399)</f>
        <v>161470750</v>
      </c>
      <c r="AJ387" s="233">
        <f t="shared" si="105"/>
        <v>53.117073143452274</v>
      </c>
      <c r="AK387" s="231">
        <f t="shared" si="108"/>
        <v>142519550</v>
      </c>
      <c r="AL387" s="233">
        <f t="shared" si="106"/>
        <v>46.882926856547726</v>
      </c>
      <c r="AM387" s="227"/>
    </row>
    <row r="388" spans="1:39" ht="24.75" customHeight="1" x14ac:dyDescent="0.25">
      <c r="A388" s="243"/>
      <c r="B388" s="437"/>
      <c r="C388" s="437"/>
      <c r="D388" s="437"/>
      <c r="E388" s="437"/>
      <c r="F388" s="437"/>
      <c r="G388" s="437"/>
      <c r="H388" s="437"/>
      <c r="I388" s="438"/>
      <c r="J388" s="437" t="s">
        <v>259</v>
      </c>
      <c r="K388" s="245"/>
      <c r="L388" s="257"/>
      <c r="M388" s="591" t="s">
        <v>260</v>
      </c>
      <c r="N388" s="592"/>
      <c r="O388" s="179"/>
      <c r="P388" s="180"/>
      <c r="Q388" s="180">
        <v>1540000</v>
      </c>
      <c r="R388" s="181">
        <f t="shared" ref="R388:R399" si="112">Q388/Q$387*100</f>
        <v>0.50659511175192107</v>
      </c>
      <c r="S388" s="181">
        <v>100</v>
      </c>
      <c r="T388" s="180">
        <f t="shared" si="104"/>
        <v>50</v>
      </c>
      <c r="U388" s="180">
        <f t="shared" si="110"/>
        <v>0.25329755587596053</v>
      </c>
      <c r="V388" s="182">
        <f t="shared" si="95"/>
        <v>50</v>
      </c>
      <c r="W388" s="180"/>
      <c r="X388" s="180"/>
      <c r="Y388" s="180"/>
      <c r="Z388" s="180"/>
      <c r="AA388" s="180"/>
      <c r="AB388" s="180"/>
      <c r="AC388" s="180"/>
      <c r="AD388" s="180"/>
      <c r="AE388" s="180"/>
      <c r="AF388" s="180"/>
      <c r="AG388" s="180"/>
      <c r="AH388" s="180"/>
      <c r="AI388" s="180">
        <v>770000</v>
      </c>
      <c r="AJ388" s="181">
        <f t="shared" si="105"/>
        <v>50</v>
      </c>
      <c r="AK388" s="180">
        <f t="shared" si="108"/>
        <v>770000</v>
      </c>
      <c r="AL388" s="181">
        <f t="shared" si="106"/>
        <v>50</v>
      </c>
      <c r="AM388" s="243"/>
    </row>
    <row r="389" spans="1:39" ht="24.75" customHeight="1" x14ac:dyDescent="0.25">
      <c r="A389" s="243"/>
      <c r="B389" s="437"/>
      <c r="C389" s="437"/>
      <c r="D389" s="437"/>
      <c r="E389" s="437"/>
      <c r="F389" s="437"/>
      <c r="G389" s="437"/>
      <c r="H389" s="437"/>
      <c r="I389" s="438"/>
      <c r="J389" s="437" t="s">
        <v>326</v>
      </c>
      <c r="K389" s="245"/>
      <c r="L389" s="257"/>
      <c r="M389" s="591" t="s">
        <v>327</v>
      </c>
      <c r="N389" s="592"/>
      <c r="O389" s="179"/>
      <c r="P389" s="180"/>
      <c r="Q389" s="180">
        <v>51150000</v>
      </c>
      <c r="R389" s="181">
        <f t="shared" si="112"/>
        <v>16.826194783188804</v>
      </c>
      <c r="S389" s="181">
        <v>100</v>
      </c>
      <c r="T389" s="180">
        <f t="shared" si="104"/>
        <v>0</v>
      </c>
      <c r="U389" s="180">
        <f t="shared" si="110"/>
        <v>0</v>
      </c>
      <c r="V389" s="182">
        <f t="shared" si="95"/>
        <v>100</v>
      </c>
      <c r="W389" s="180"/>
      <c r="X389" s="180"/>
      <c r="Y389" s="180"/>
      <c r="Z389" s="180"/>
      <c r="AA389" s="180"/>
      <c r="AB389" s="180"/>
      <c r="AC389" s="180"/>
      <c r="AD389" s="180"/>
      <c r="AE389" s="180"/>
      <c r="AF389" s="180"/>
      <c r="AG389" s="180"/>
      <c r="AH389" s="180"/>
      <c r="AI389" s="180">
        <v>0</v>
      </c>
      <c r="AJ389" s="181">
        <f t="shared" si="105"/>
        <v>0</v>
      </c>
      <c r="AK389" s="180">
        <f t="shared" si="108"/>
        <v>51150000</v>
      </c>
      <c r="AL389" s="181">
        <f t="shared" si="106"/>
        <v>100</v>
      </c>
      <c r="AM389" s="243"/>
    </row>
    <row r="390" spans="1:39" ht="24.75" customHeight="1" x14ac:dyDescent="0.25">
      <c r="A390" s="243"/>
      <c r="B390" s="437"/>
      <c r="C390" s="437"/>
      <c r="D390" s="437"/>
      <c r="E390" s="437"/>
      <c r="F390" s="437"/>
      <c r="G390" s="437"/>
      <c r="H390" s="437"/>
      <c r="I390" s="438"/>
      <c r="J390" s="437" t="s">
        <v>323</v>
      </c>
      <c r="K390" s="245"/>
      <c r="L390" s="257"/>
      <c r="M390" s="591" t="s">
        <v>324</v>
      </c>
      <c r="N390" s="592"/>
      <c r="O390" s="179"/>
      <c r="P390" s="180"/>
      <c r="Q390" s="180">
        <v>5000000</v>
      </c>
      <c r="R390" s="181">
        <f t="shared" si="112"/>
        <v>1.6447893238698736</v>
      </c>
      <c r="S390" s="181">
        <v>100</v>
      </c>
      <c r="T390" s="180">
        <f t="shared" si="104"/>
        <v>0</v>
      </c>
      <c r="U390" s="180">
        <f t="shared" si="110"/>
        <v>0</v>
      </c>
      <c r="V390" s="182">
        <f t="shared" si="95"/>
        <v>100</v>
      </c>
      <c r="W390" s="180"/>
      <c r="X390" s="180"/>
      <c r="Y390" s="180"/>
      <c r="Z390" s="180"/>
      <c r="AA390" s="180"/>
      <c r="AB390" s="180"/>
      <c r="AC390" s="180"/>
      <c r="AD390" s="180"/>
      <c r="AE390" s="180"/>
      <c r="AF390" s="180"/>
      <c r="AG390" s="180"/>
      <c r="AH390" s="180"/>
      <c r="AI390" s="180">
        <v>0</v>
      </c>
      <c r="AJ390" s="181">
        <f t="shared" si="105"/>
        <v>0</v>
      </c>
      <c r="AK390" s="180">
        <f t="shared" si="108"/>
        <v>5000000</v>
      </c>
      <c r="AL390" s="181">
        <f t="shared" si="106"/>
        <v>100</v>
      </c>
      <c r="AM390" s="243"/>
    </row>
    <row r="391" spans="1:39" ht="24.75" customHeight="1" x14ac:dyDescent="0.25">
      <c r="A391" s="243"/>
      <c r="B391" s="437"/>
      <c r="C391" s="437"/>
      <c r="D391" s="437"/>
      <c r="E391" s="437"/>
      <c r="F391" s="437"/>
      <c r="G391" s="437"/>
      <c r="H391" s="437"/>
      <c r="I391" s="438"/>
      <c r="J391" s="437" t="s">
        <v>269</v>
      </c>
      <c r="K391" s="245"/>
      <c r="L391" s="257"/>
      <c r="M391" s="591" t="s">
        <v>270</v>
      </c>
      <c r="N391" s="592"/>
      <c r="O391" s="179"/>
      <c r="P391" s="180"/>
      <c r="Q391" s="180">
        <v>22000000</v>
      </c>
      <c r="R391" s="181">
        <f t="shared" si="112"/>
        <v>7.2370730250274438</v>
      </c>
      <c r="S391" s="181">
        <v>100</v>
      </c>
      <c r="T391" s="180">
        <f t="shared" si="104"/>
        <v>100</v>
      </c>
      <c r="U391" s="180">
        <f t="shared" si="110"/>
        <v>7.2370730250274438</v>
      </c>
      <c r="V391" s="182">
        <f t="shared" si="95"/>
        <v>0</v>
      </c>
      <c r="W391" s="180"/>
      <c r="X391" s="180"/>
      <c r="Y391" s="180"/>
      <c r="Z391" s="180"/>
      <c r="AA391" s="180"/>
      <c r="AB391" s="180"/>
      <c r="AC391" s="180"/>
      <c r="AD391" s="180"/>
      <c r="AE391" s="180"/>
      <c r="AF391" s="180"/>
      <c r="AG391" s="180"/>
      <c r="AH391" s="180"/>
      <c r="AI391" s="180">
        <v>22000000</v>
      </c>
      <c r="AJ391" s="181">
        <f t="shared" si="105"/>
        <v>100</v>
      </c>
      <c r="AK391" s="180">
        <f t="shared" si="108"/>
        <v>0</v>
      </c>
      <c r="AL391" s="181">
        <f t="shared" si="106"/>
        <v>0</v>
      </c>
      <c r="AM391" s="243"/>
    </row>
    <row r="392" spans="1:39" ht="24.75" customHeight="1" x14ac:dyDescent="0.25">
      <c r="A392" s="243"/>
      <c r="B392" s="437"/>
      <c r="C392" s="437"/>
      <c r="D392" s="437"/>
      <c r="E392" s="437"/>
      <c r="F392" s="437"/>
      <c r="G392" s="437"/>
      <c r="H392" s="437"/>
      <c r="I392" s="438"/>
      <c r="J392" s="437" t="s">
        <v>315</v>
      </c>
      <c r="K392" s="245"/>
      <c r="L392" s="257"/>
      <c r="M392" s="591" t="s">
        <v>271</v>
      </c>
      <c r="N392" s="592"/>
      <c r="O392" s="179"/>
      <c r="P392" s="180"/>
      <c r="Q392" s="180">
        <v>3400300</v>
      </c>
      <c r="R392" s="181">
        <f t="shared" si="112"/>
        <v>1.1185554275909462</v>
      </c>
      <c r="S392" s="181">
        <v>100</v>
      </c>
      <c r="T392" s="180">
        <f t="shared" si="104"/>
        <v>0</v>
      </c>
      <c r="U392" s="180">
        <f t="shared" si="110"/>
        <v>0</v>
      </c>
      <c r="V392" s="182">
        <f t="shared" si="95"/>
        <v>100</v>
      </c>
      <c r="W392" s="180"/>
      <c r="X392" s="180"/>
      <c r="Y392" s="180"/>
      <c r="Z392" s="180"/>
      <c r="AA392" s="180"/>
      <c r="AB392" s="180"/>
      <c r="AC392" s="180"/>
      <c r="AD392" s="180"/>
      <c r="AE392" s="180"/>
      <c r="AF392" s="180"/>
      <c r="AG392" s="180"/>
      <c r="AH392" s="180"/>
      <c r="AI392" s="180">
        <v>0</v>
      </c>
      <c r="AJ392" s="181">
        <f t="shared" si="105"/>
        <v>0</v>
      </c>
      <c r="AK392" s="180">
        <f t="shared" si="108"/>
        <v>3400300</v>
      </c>
      <c r="AL392" s="181">
        <f t="shared" si="106"/>
        <v>100</v>
      </c>
      <c r="AM392" s="243"/>
    </row>
    <row r="393" spans="1:39" ht="24.75" customHeight="1" x14ac:dyDescent="0.25">
      <c r="A393" s="243"/>
      <c r="B393" s="437"/>
      <c r="C393" s="437"/>
      <c r="D393" s="437"/>
      <c r="E393" s="437"/>
      <c r="F393" s="437"/>
      <c r="G393" s="437"/>
      <c r="H393" s="437"/>
      <c r="I393" s="438"/>
      <c r="J393" s="437" t="s">
        <v>328</v>
      </c>
      <c r="K393" s="245"/>
      <c r="L393" s="257"/>
      <c r="M393" s="591" t="s">
        <v>329</v>
      </c>
      <c r="N393" s="592"/>
      <c r="O393" s="179"/>
      <c r="P393" s="180"/>
      <c r="Q393" s="180">
        <v>15000000</v>
      </c>
      <c r="R393" s="181">
        <f t="shared" si="112"/>
        <v>4.9343679716096203</v>
      </c>
      <c r="S393" s="181">
        <v>100</v>
      </c>
      <c r="T393" s="180">
        <f t="shared" si="104"/>
        <v>0</v>
      </c>
      <c r="U393" s="180">
        <f t="shared" si="110"/>
        <v>0</v>
      </c>
      <c r="V393" s="182">
        <f t="shared" si="95"/>
        <v>100</v>
      </c>
      <c r="W393" s="180"/>
      <c r="X393" s="180"/>
      <c r="Y393" s="180"/>
      <c r="Z393" s="180"/>
      <c r="AA393" s="180"/>
      <c r="AB393" s="180"/>
      <c r="AC393" s="180"/>
      <c r="AD393" s="180"/>
      <c r="AE393" s="180"/>
      <c r="AF393" s="180"/>
      <c r="AG393" s="180"/>
      <c r="AH393" s="180"/>
      <c r="AI393" s="180">
        <v>0</v>
      </c>
      <c r="AJ393" s="181">
        <f t="shared" si="105"/>
        <v>0</v>
      </c>
      <c r="AK393" s="180">
        <f t="shared" si="108"/>
        <v>15000000</v>
      </c>
      <c r="AL393" s="181">
        <f t="shared" si="106"/>
        <v>100</v>
      </c>
      <c r="AM393" s="243"/>
    </row>
    <row r="394" spans="1:39" ht="27.75" customHeight="1" x14ac:dyDescent="0.25">
      <c r="A394" s="243"/>
      <c r="B394" s="437"/>
      <c r="C394" s="437"/>
      <c r="D394" s="437"/>
      <c r="E394" s="437"/>
      <c r="F394" s="437"/>
      <c r="G394" s="437"/>
      <c r="H394" s="437"/>
      <c r="I394" s="438"/>
      <c r="J394" s="437" t="s">
        <v>318</v>
      </c>
      <c r="K394" s="245"/>
      <c r="L394" s="257"/>
      <c r="M394" s="591" t="s">
        <v>319</v>
      </c>
      <c r="N394" s="592"/>
      <c r="O394" s="179"/>
      <c r="P394" s="180"/>
      <c r="Q394" s="180">
        <v>91000000</v>
      </c>
      <c r="R394" s="181">
        <f t="shared" si="112"/>
        <v>29.935165694431699</v>
      </c>
      <c r="S394" s="181">
        <v>100</v>
      </c>
      <c r="T394" s="180">
        <f t="shared" si="104"/>
        <v>50</v>
      </c>
      <c r="U394" s="180">
        <f t="shared" si="110"/>
        <v>14.96758284721585</v>
      </c>
      <c r="V394" s="182">
        <f t="shared" si="95"/>
        <v>50</v>
      </c>
      <c r="W394" s="180"/>
      <c r="X394" s="180"/>
      <c r="Y394" s="180"/>
      <c r="Z394" s="180"/>
      <c r="AA394" s="180"/>
      <c r="AB394" s="180"/>
      <c r="AC394" s="180"/>
      <c r="AD394" s="180"/>
      <c r="AE394" s="180"/>
      <c r="AF394" s="180"/>
      <c r="AG394" s="180"/>
      <c r="AH394" s="180"/>
      <c r="AI394" s="180">
        <v>45500000</v>
      </c>
      <c r="AJ394" s="181">
        <f t="shared" si="105"/>
        <v>50</v>
      </c>
      <c r="AK394" s="180">
        <f t="shared" si="108"/>
        <v>45500000</v>
      </c>
      <c r="AL394" s="181">
        <f t="shared" si="106"/>
        <v>50</v>
      </c>
      <c r="AM394" s="243"/>
    </row>
    <row r="395" spans="1:39" ht="24.75" customHeight="1" x14ac:dyDescent="0.25">
      <c r="A395" s="243"/>
      <c r="B395" s="437"/>
      <c r="C395" s="437"/>
      <c r="D395" s="437"/>
      <c r="E395" s="437"/>
      <c r="F395" s="437"/>
      <c r="G395" s="437"/>
      <c r="H395" s="437"/>
      <c r="I395" s="438"/>
      <c r="J395" s="437" t="s">
        <v>280</v>
      </c>
      <c r="K395" s="245"/>
      <c r="L395" s="257"/>
      <c r="M395" s="591" t="s">
        <v>281</v>
      </c>
      <c r="N395" s="592"/>
      <c r="O395" s="179"/>
      <c r="P395" s="180"/>
      <c r="Q395" s="180">
        <v>23750000</v>
      </c>
      <c r="R395" s="181">
        <f t="shared" si="112"/>
        <v>7.8127492883818999</v>
      </c>
      <c r="S395" s="181">
        <v>100</v>
      </c>
      <c r="T395" s="180">
        <f t="shared" si="104"/>
        <v>94.73684210526315</v>
      </c>
      <c r="U395" s="180">
        <f t="shared" si="110"/>
        <v>7.4015519574144308</v>
      </c>
      <c r="V395" s="182">
        <f t="shared" si="95"/>
        <v>5.2631578947368496</v>
      </c>
      <c r="W395" s="180"/>
      <c r="X395" s="180"/>
      <c r="Y395" s="180"/>
      <c r="Z395" s="180"/>
      <c r="AA395" s="180"/>
      <c r="AB395" s="180"/>
      <c r="AC395" s="180"/>
      <c r="AD395" s="180"/>
      <c r="AE395" s="180"/>
      <c r="AF395" s="180"/>
      <c r="AG395" s="180"/>
      <c r="AH395" s="180"/>
      <c r="AI395" s="180">
        <v>22500000</v>
      </c>
      <c r="AJ395" s="181">
        <f t="shared" si="105"/>
        <v>94.73684210526315</v>
      </c>
      <c r="AK395" s="180">
        <f t="shared" si="108"/>
        <v>1250000</v>
      </c>
      <c r="AL395" s="181">
        <f t="shared" si="106"/>
        <v>5.2631578947368416</v>
      </c>
      <c r="AM395" s="243"/>
    </row>
    <row r="396" spans="1:39" ht="24.75" customHeight="1" x14ac:dyDescent="0.25">
      <c r="A396" s="243"/>
      <c r="B396" s="437"/>
      <c r="C396" s="437"/>
      <c r="D396" s="437"/>
      <c r="E396" s="437"/>
      <c r="F396" s="437"/>
      <c r="G396" s="437"/>
      <c r="H396" s="437"/>
      <c r="I396" s="438"/>
      <c r="J396" s="437" t="s">
        <v>284</v>
      </c>
      <c r="K396" s="245"/>
      <c r="L396" s="257"/>
      <c r="M396" s="591" t="s">
        <v>285</v>
      </c>
      <c r="N396" s="592"/>
      <c r="O396" s="179"/>
      <c r="P396" s="180"/>
      <c r="Q396" s="180">
        <v>6600000</v>
      </c>
      <c r="R396" s="181">
        <f t="shared" si="112"/>
        <v>2.1711219075082329</v>
      </c>
      <c r="S396" s="181">
        <v>100</v>
      </c>
      <c r="T396" s="180">
        <f t="shared" si="104"/>
        <v>43.333333333333336</v>
      </c>
      <c r="U396" s="180">
        <f t="shared" si="110"/>
        <v>0.94081949325356762</v>
      </c>
      <c r="V396" s="182">
        <f t="shared" si="95"/>
        <v>56.666666666666664</v>
      </c>
      <c r="W396" s="180"/>
      <c r="X396" s="180"/>
      <c r="Y396" s="180"/>
      <c r="Z396" s="180"/>
      <c r="AA396" s="180"/>
      <c r="AB396" s="180"/>
      <c r="AC396" s="180"/>
      <c r="AD396" s="180"/>
      <c r="AE396" s="180"/>
      <c r="AF396" s="180"/>
      <c r="AG396" s="180"/>
      <c r="AH396" s="180"/>
      <c r="AI396" s="180">
        <v>2860000</v>
      </c>
      <c r="AJ396" s="181">
        <f t="shared" si="105"/>
        <v>43.333333333333336</v>
      </c>
      <c r="AK396" s="180">
        <f t="shared" si="108"/>
        <v>3740000</v>
      </c>
      <c r="AL396" s="181">
        <f t="shared" si="106"/>
        <v>56.666666666666664</v>
      </c>
      <c r="AM396" s="243"/>
    </row>
    <row r="397" spans="1:39" ht="24.75" customHeight="1" x14ac:dyDescent="0.25">
      <c r="A397" s="243"/>
      <c r="B397" s="437"/>
      <c r="C397" s="437"/>
      <c r="D397" s="437"/>
      <c r="E397" s="437"/>
      <c r="F397" s="437"/>
      <c r="G397" s="437"/>
      <c r="H397" s="437"/>
      <c r="I397" s="438"/>
      <c r="J397" s="437" t="s">
        <v>282</v>
      </c>
      <c r="K397" s="245"/>
      <c r="L397" s="257"/>
      <c r="M397" s="591" t="s">
        <v>283</v>
      </c>
      <c r="N397" s="592"/>
      <c r="O397" s="179"/>
      <c r="P397" s="180"/>
      <c r="Q397" s="180">
        <v>25650000</v>
      </c>
      <c r="R397" s="181">
        <f t="shared" si="112"/>
        <v>8.4377692314524513</v>
      </c>
      <c r="S397" s="181">
        <v>100</v>
      </c>
      <c r="T397" s="180">
        <f t="shared" si="104"/>
        <v>74.622807017543863</v>
      </c>
      <c r="U397" s="180">
        <f t="shared" si="110"/>
        <v>6.2965002501724561</v>
      </c>
      <c r="V397" s="182">
        <f t="shared" si="95"/>
        <v>25.377192982456137</v>
      </c>
      <c r="W397" s="180"/>
      <c r="X397" s="180"/>
      <c r="Y397" s="180"/>
      <c r="Z397" s="180"/>
      <c r="AA397" s="180"/>
      <c r="AB397" s="180"/>
      <c r="AC397" s="180"/>
      <c r="AD397" s="180"/>
      <c r="AE397" s="180"/>
      <c r="AF397" s="180"/>
      <c r="AG397" s="180"/>
      <c r="AH397" s="180"/>
      <c r="AI397" s="180">
        <f>10890750+8250000</f>
        <v>19140750</v>
      </c>
      <c r="AJ397" s="181">
        <f t="shared" si="105"/>
        <v>74.622807017543863</v>
      </c>
      <c r="AK397" s="180">
        <f t="shared" si="108"/>
        <v>6509250</v>
      </c>
      <c r="AL397" s="181">
        <f t="shared" si="106"/>
        <v>25.377192982456144</v>
      </c>
      <c r="AM397" s="243"/>
    </row>
    <row r="398" spans="1:39" ht="24.75" customHeight="1" x14ac:dyDescent="0.25">
      <c r="A398" s="243"/>
      <c r="B398" s="437"/>
      <c r="C398" s="437"/>
      <c r="D398" s="437"/>
      <c r="E398" s="437"/>
      <c r="F398" s="437"/>
      <c r="G398" s="437"/>
      <c r="H398" s="437"/>
      <c r="I398" s="438"/>
      <c r="J398" s="437" t="s">
        <v>320</v>
      </c>
      <c r="K398" s="245"/>
      <c r="L398" s="257"/>
      <c r="M398" s="591" t="s">
        <v>321</v>
      </c>
      <c r="N398" s="592"/>
      <c r="O398" s="179"/>
      <c r="P398" s="180"/>
      <c r="Q398" s="180">
        <v>50400000</v>
      </c>
      <c r="R398" s="181">
        <f t="shared" si="112"/>
        <v>16.579476384608324</v>
      </c>
      <c r="S398" s="181">
        <v>100</v>
      </c>
      <c r="T398" s="180">
        <f t="shared" si="104"/>
        <v>85.714285714285708</v>
      </c>
      <c r="U398" s="180">
        <f t="shared" si="110"/>
        <v>14.210979758235705</v>
      </c>
      <c r="V398" s="182">
        <f t="shared" si="95"/>
        <v>14.285714285714292</v>
      </c>
      <c r="W398" s="180"/>
      <c r="X398" s="180"/>
      <c r="Y398" s="180"/>
      <c r="Z398" s="180"/>
      <c r="AA398" s="180"/>
      <c r="AB398" s="180"/>
      <c r="AC398" s="180"/>
      <c r="AD398" s="180"/>
      <c r="AE398" s="180"/>
      <c r="AF398" s="180"/>
      <c r="AG398" s="180"/>
      <c r="AH398" s="180"/>
      <c r="AI398" s="180">
        <v>43200000</v>
      </c>
      <c r="AJ398" s="181">
        <f t="shared" si="105"/>
        <v>85.714285714285708</v>
      </c>
      <c r="AK398" s="180">
        <f t="shared" si="108"/>
        <v>7200000</v>
      </c>
      <c r="AL398" s="181">
        <f t="shared" si="106"/>
        <v>14.285714285714285</v>
      </c>
      <c r="AM398" s="243"/>
    </row>
    <row r="399" spans="1:39" ht="24.75" customHeight="1" x14ac:dyDescent="0.25">
      <c r="A399" s="243"/>
      <c r="B399" s="437"/>
      <c r="C399" s="437"/>
      <c r="D399" s="437"/>
      <c r="E399" s="437"/>
      <c r="F399" s="437"/>
      <c r="G399" s="437"/>
      <c r="H399" s="437"/>
      <c r="I399" s="438"/>
      <c r="J399" s="437" t="s">
        <v>407</v>
      </c>
      <c r="K399" s="245"/>
      <c r="L399" s="257"/>
      <c r="M399" s="619" t="s">
        <v>414</v>
      </c>
      <c r="N399" s="620"/>
      <c r="O399" s="179"/>
      <c r="P399" s="180"/>
      <c r="Q399" s="180">
        <v>8500000</v>
      </c>
      <c r="R399" s="181">
        <f t="shared" si="112"/>
        <v>2.7961418505787852</v>
      </c>
      <c r="S399" s="181"/>
      <c r="T399" s="180">
        <f t="shared" si="104"/>
        <v>64.705882352941174</v>
      </c>
      <c r="U399" s="180">
        <f t="shared" si="110"/>
        <v>1.8092682562568609</v>
      </c>
      <c r="V399" s="182"/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  <c r="AG399" s="180"/>
      <c r="AH399" s="180"/>
      <c r="AI399" s="180">
        <v>5500000</v>
      </c>
      <c r="AJ399" s="181">
        <f t="shared" si="105"/>
        <v>64.705882352941174</v>
      </c>
      <c r="AK399" s="180">
        <f t="shared" si="108"/>
        <v>3000000</v>
      </c>
      <c r="AL399" s="181">
        <f t="shared" si="106"/>
        <v>35.294117647058826</v>
      </c>
      <c r="AM399" s="243"/>
    </row>
    <row r="400" spans="1:39" s="297" customFormat="1" ht="29.25" customHeight="1" x14ac:dyDescent="0.25">
      <c r="A400" s="227">
        <f>A387+1</f>
        <v>51</v>
      </c>
      <c r="B400" s="615" t="s">
        <v>150</v>
      </c>
      <c r="C400" s="615"/>
      <c r="D400" s="615"/>
      <c r="E400" s="615"/>
      <c r="F400" s="615"/>
      <c r="G400" s="615"/>
      <c r="H400" s="615"/>
      <c r="I400" s="614"/>
      <c r="J400" s="304" t="s">
        <v>497</v>
      </c>
      <c r="K400" s="230"/>
      <c r="L400" s="294"/>
      <c r="M400" s="610" t="s">
        <v>51</v>
      </c>
      <c r="N400" s="610"/>
      <c r="O400" s="309">
        <v>316240000</v>
      </c>
      <c r="P400" s="231">
        <f>O400</f>
        <v>316240000</v>
      </c>
      <c r="Q400" s="231">
        <f>SUM(Q401:Q407)</f>
        <v>266500000</v>
      </c>
      <c r="R400" s="233">
        <f>Q400/Q$248*100</f>
        <v>2.2342678490608305</v>
      </c>
      <c r="S400" s="233">
        <v>100</v>
      </c>
      <c r="T400" s="231">
        <f t="shared" si="104"/>
        <v>0</v>
      </c>
      <c r="U400" s="231">
        <f t="shared" si="110"/>
        <v>0</v>
      </c>
      <c r="V400" s="296">
        <f t="shared" si="95"/>
        <v>100</v>
      </c>
      <c r="W400" s="231"/>
      <c r="X400" s="231" t="e">
        <f>#REF!</f>
        <v>#REF!</v>
      </c>
      <c r="Y400" s="231" t="e">
        <f>#REF!</f>
        <v>#REF!</v>
      </c>
      <c r="Z400" s="231" t="e">
        <f>#REF!</f>
        <v>#REF!</v>
      </c>
      <c r="AA400" s="231" t="e">
        <f>#REF!</f>
        <v>#REF!</v>
      </c>
      <c r="AB400" s="231">
        <v>13182000</v>
      </c>
      <c r="AC400" s="231" t="e">
        <f>#REF!</f>
        <v>#REF!</v>
      </c>
      <c r="AD400" s="231" t="e">
        <f>#REF!</f>
        <v>#REF!</v>
      </c>
      <c r="AE400" s="231" t="e">
        <f>#REF!</f>
        <v>#REF!</v>
      </c>
      <c r="AF400" s="231" t="e">
        <f>[1]April!N70</f>
        <v>#REF!</v>
      </c>
      <c r="AG400" s="231" t="e">
        <f>[2]april!N70</f>
        <v>#REF!</v>
      </c>
      <c r="AH400" s="231">
        <f>'[3]DES SKPD'!$N70</f>
        <v>293250450</v>
      </c>
      <c r="AI400" s="231">
        <f>SUM(AI401:AI407)</f>
        <v>0</v>
      </c>
      <c r="AJ400" s="233">
        <f t="shared" si="105"/>
        <v>0</v>
      </c>
      <c r="AK400" s="231">
        <f t="shared" si="108"/>
        <v>266500000</v>
      </c>
      <c r="AL400" s="233">
        <f t="shared" si="106"/>
        <v>100</v>
      </c>
      <c r="AM400" s="227"/>
    </row>
    <row r="401" spans="1:39" ht="29.25" customHeight="1" x14ac:dyDescent="0.25">
      <c r="A401" s="243"/>
      <c r="B401" s="437"/>
      <c r="C401" s="437"/>
      <c r="D401" s="437"/>
      <c r="E401" s="437"/>
      <c r="F401" s="437"/>
      <c r="G401" s="437"/>
      <c r="H401" s="437"/>
      <c r="I401" s="438"/>
      <c r="J401" s="437" t="s">
        <v>315</v>
      </c>
      <c r="K401" s="245"/>
      <c r="L401" s="257"/>
      <c r="M401" s="591" t="s">
        <v>271</v>
      </c>
      <c r="N401" s="592"/>
      <c r="O401" s="179"/>
      <c r="P401" s="180"/>
      <c r="Q401" s="180">
        <v>8000000</v>
      </c>
      <c r="R401" s="181">
        <f t="shared" ref="R401:R407" si="113">Q401/Q$400*100</f>
        <v>3.0018761726078798</v>
      </c>
      <c r="S401" s="181">
        <v>100</v>
      </c>
      <c r="T401" s="180">
        <f t="shared" si="104"/>
        <v>0</v>
      </c>
      <c r="U401" s="180">
        <f t="shared" si="110"/>
        <v>0</v>
      </c>
      <c r="V401" s="182">
        <f t="shared" si="95"/>
        <v>100</v>
      </c>
      <c r="W401" s="180"/>
      <c r="X401" s="180"/>
      <c r="Y401" s="180"/>
      <c r="Z401" s="180"/>
      <c r="AA401" s="180"/>
      <c r="AB401" s="180"/>
      <c r="AC401" s="180"/>
      <c r="AD401" s="180"/>
      <c r="AE401" s="180"/>
      <c r="AF401" s="180"/>
      <c r="AG401" s="180"/>
      <c r="AH401" s="180"/>
      <c r="AI401" s="180">
        <v>0</v>
      </c>
      <c r="AJ401" s="181">
        <f t="shared" si="105"/>
        <v>0</v>
      </c>
      <c r="AK401" s="180">
        <f t="shared" si="108"/>
        <v>8000000</v>
      </c>
      <c r="AL401" s="181">
        <f t="shared" si="106"/>
        <v>100</v>
      </c>
      <c r="AM401" s="243"/>
    </row>
    <row r="402" spans="1:39" ht="29.25" customHeight="1" x14ac:dyDescent="0.25">
      <c r="A402" s="243"/>
      <c r="B402" s="437"/>
      <c r="C402" s="437"/>
      <c r="D402" s="437"/>
      <c r="E402" s="437"/>
      <c r="F402" s="437"/>
      <c r="G402" s="437"/>
      <c r="H402" s="437"/>
      <c r="I402" s="438"/>
      <c r="J402" s="437" t="s">
        <v>284</v>
      </c>
      <c r="K402" s="245"/>
      <c r="L402" s="257"/>
      <c r="M402" s="591" t="s">
        <v>319</v>
      </c>
      <c r="N402" s="592"/>
      <c r="O402" s="179"/>
      <c r="P402" s="180"/>
      <c r="Q402" s="180">
        <v>27000000</v>
      </c>
      <c r="R402" s="181">
        <f t="shared" si="113"/>
        <v>10.131332082551594</v>
      </c>
      <c r="S402" s="181">
        <v>100</v>
      </c>
      <c r="T402" s="180">
        <f t="shared" si="104"/>
        <v>0</v>
      </c>
      <c r="U402" s="180">
        <f t="shared" si="110"/>
        <v>0</v>
      </c>
      <c r="V402" s="182"/>
      <c r="W402" s="180"/>
      <c r="X402" s="180"/>
      <c r="Y402" s="180"/>
      <c r="Z402" s="180"/>
      <c r="AA402" s="180"/>
      <c r="AB402" s="180"/>
      <c r="AC402" s="180"/>
      <c r="AD402" s="180"/>
      <c r="AE402" s="180"/>
      <c r="AF402" s="180"/>
      <c r="AG402" s="180"/>
      <c r="AH402" s="180"/>
      <c r="AI402" s="180">
        <v>0</v>
      </c>
      <c r="AJ402" s="181">
        <f t="shared" si="105"/>
        <v>0</v>
      </c>
      <c r="AK402" s="180">
        <f t="shared" si="108"/>
        <v>27000000</v>
      </c>
      <c r="AL402" s="181">
        <f t="shared" si="106"/>
        <v>100</v>
      </c>
      <c r="AM402" s="243"/>
    </row>
    <row r="403" spans="1:39" ht="29.25" customHeight="1" x14ac:dyDescent="0.25">
      <c r="A403" s="243"/>
      <c r="B403" s="437"/>
      <c r="C403" s="437"/>
      <c r="D403" s="437"/>
      <c r="E403" s="437"/>
      <c r="F403" s="437"/>
      <c r="G403" s="437"/>
      <c r="H403" s="437"/>
      <c r="I403" s="438"/>
      <c r="J403" s="437" t="s">
        <v>282</v>
      </c>
      <c r="K403" s="245"/>
      <c r="L403" s="257"/>
      <c r="M403" s="591" t="s">
        <v>340</v>
      </c>
      <c r="N403" s="592"/>
      <c r="O403" s="179"/>
      <c r="P403" s="180"/>
      <c r="Q403" s="180">
        <v>5000000</v>
      </c>
      <c r="R403" s="181">
        <f t="shared" si="113"/>
        <v>1.876172607879925</v>
      </c>
      <c r="S403" s="181">
        <v>100</v>
      </c>
      <c r="T403" s="180">
        <f t="shared" si="104"/>
        <v>0</v>
      </c>
      <c r="U403" s="180">
        <f t="shared" si="110"/>
        <v>0</v>
      </c>
      <c r="V403" s="182">
        <f t="shared" si="95"/>
        <v>100</v>
      </c>
      <c r="W403" s="180"/>
      <c r="X403" s="180"/>
      <c r="Y403" s="180"/>
      <c r="Z403" s="180"/>
      <c r="AA403" s="180"/>
      <c r="AB403" s="180"/>
      <c r="AC403" s="180"/>
      <c r="AD403" s="180"/>
      <c r="AE403" s="180"/>
      <c r="AF403" s="180"/>
      <c r="AG403" s="180"/>
      <c r="AH403" s="180"/>
      <c r="AI403" s="180">
        <v>0</v>
      </c>
      <c r="AJ403" s="181">
        <f t="shared" si="105"/>
        <v>0</v>
      </c>
      <c r="AK403" s="180">
        <f t="shared" si="108"/>
        <v>5000000</v>
      </c>
      <c r="AL403" s="181">
        <f t="shared" si="106"/>
        <v>100</v>
      </c>
      <c r="AM403" s="243"/>
    </row>
    <row r="404" spans="1:39" ht="29.25" customHeight="1" x14ac:dyDescent="0.25">
      <c r="A404" s="243"/>
      <c r="B404" s="437"/>
      <c r="C404" s="437"/>
      <c r="D404" s="437"/>
      <c r="E404" s="437"/>
      <c r="F404" s="437"/>
      <c r="G404" s="437"/>
      <c r="H404" s="437"/>
      <c r="I404" s="438"/>
      <c r="J404" s="437" t="s">
        <v>308</v>
      </c>
      <c r="K404" s="245"/>
      <c r="L404" s="257"/>
      <c r="M404" s="591" t="s">
        <v>590</v>
      </c>
      <c r="N404" s="592"/>
      <c r="O404" s="179"/>
      <c r="P404" s="180"/>
      <c r="Q404" s="180">
        <v>15000000</v>
      </c>
      <c r="R404" s="181">
        <f t="shared" si="113"/>
        <v>5.6285178236397746</v>
      </c>
      <c r="S404" s="181">
        <v>100</v>
      </c>
      <c r="T404" s="180">
        <f t="shared" si="104"/>
        <v>0</v>
      </c>
      <c r="U404" s="180">
        <f t="shared" si="110"/>
        <v>0</v>
      </c>
      <c r="V404" s="182">
        <f t="shared" si="95"/>
        <v>100</v>
      </c>
      <c r="W404" s="180"/>
      <c r="X404" s="180"/>
      <c r="Y404" s="180"/>
      <c r="Z404" s="180"/>
      <c r="AA404" s="180"/>
      <c r="AB404" s="180"/>
      <c r="AC404" s="180"/>
      <c r="AD404" s="180"/>
      <c r="AE404" s="180"/>
      <c r="AF404" s="180"/>
      <c r="AG404" s="180"/>
      <c r="AH404" s="180"/>
      <c r="AI404" s="180">
        <v>0</v>
      </c>
      <c r="AJ404" s="181">
        <f t="shared" si="105"/>
        <v>0</v>
      </c>
      <c r="AK404" s="180">
        <f t="shared" si="108"/>
        <v>15000000</v>
      </c>
      <c r="AL404" s="181">
        <f t="shared" si="106"/>
        <v>100</v>
      </c>
      <c r="AM404" s="243"/>
    </row>
    <row r="405" spans="1:39" ht="29.25" customHeight="1" x14ac:dyDescent="0.25">
      <c r="A405" s="243"/>
      <c r="B405" s="437"/>
      <c r="C405" s="437"/>
      <c r="D405" s="437"/>
      <c r="E405" s="437"/>
      <c r="F405" s="437"/>
      <c r="G405" s="437"/>
      <c r="H405" s="437"/>
      <c r="I405" s="438"/>
      <c r="J405" s="437" t="s">
        <v>309</v>
      </c>
      <c r="K405" s="245"/>
      <c r="L405" s="257"/>
      <c r="M405" s="591" t="s">
        <v>321</v>
      </c>
      <c r="N405" s="592"/>
      <c r="O405" s="179"/>
      <c r="P405" s="180"/>
      <c r="Q405" s="180">
        <v>9500000</v>
      </c>
      <c r="R405" s="181">
        <f t="shared" si="113"/>
        <v>3.5647279549718571</v>
      </c>
      <c r="S405" s="181">
        <v>100</v>
      </c>
      <c r="T405" s="180">
        <f t="shared" si="104"/>
        <v>0</v>
      </c>
      <c r="U405" s="180">
        <f t="shared" si="110"/>
        <v>0</v>
      </c>
      <c r="V405" s="182">
        <f t="shared" si="95"/>
        <v>100</v>
      </c>
      <c r="W405" s="180"/>
      <c r="X405" s="180"/>
      <c r="Y405" s="180"/>
      <c r="Z405" s="180"/>
      <c r="AA405" s="180"/>
      <c r="AB405" s="180"/>
      <c r="AC405" s="180"/>
      <c r="AD405" s="180"/>
      <c r="AE405" s="180"/>
      <c r="AF405" s="180"/>
      <c r="AG405" s="180"/>
      <c r="AH405" s="180"/>
      <c r="AI405" s="180">
        <v>0</v>
      </c>
      <c r="AJ405" s="181">
        <f t="shared" si="105"/>
        <v>0</v>
      </c>
      <c r="AK405" s="180">
        <f t="shared" si="108"/>
        <v>9500000</v>
      </c>
      <c r="AL405" s="181">
        <f t="shared" si="106"/>
        <v>100</v>
      </c>
      <c r="AM405" s="243"/>
    </row>
    <row r="406" spans="1:39" ht="29.25" customHeight="1" x14ac:dyDescent="0.25">
      <c r="A406" s="243"/>
      <c r="B406" s="437"/>
      <c r="C406" s="437"/>
      <c r="D406" s="437"/>
      <c r="E406" s="437"/>
      <c r="F406" s="437"/>
      <c r="G406" s="437"/>
      <c r="H406" s="437"/>
      <c r="I406" s="438"/>
      <c r="J406" s="437" t="s">
        <v>309</v>
      </c>
      <c r="K406" s="245"/>
      <c r="L406" s="257"/>
      <c r="M406" s="591" t="s">
        <v>310</v>
      </c>
      <c r="N406" s="592"/>
      <c r="O406" s="179"/>
      <c r="P406" s="180"/>
      <c r="Q406" s="180">
        <v>200000000</v>
      </c>
      <c r="R406" s="181">
        <f t="shared" si="113"/>
        <v>75.046904315196997</v>
      </c>
      <c r="S406" s="181">
        <v>100</v>
      </c>
      <c r="T406" s="180">
        <f t="shared" si="104"/>
        <v>0</v>
      </c>
      <c r="U406" s="180">
        <f t="shared" si="110"/>
        <v>0</v>
      </c>
      <c r="V406" s="182">
        <f t="shared" si="95"/>
        <v>100</v>
      </c>
      <c r="W406" s="180"/>
      <c r="X406" s="180"/>
      <c r="Y406" s="180"/>
      <c r="Z406" s="180"/>
      <c r="AA406" s="180"/>
      <c r="AB406" s="180"/>
      <c r="AC406" s="180"/>
      <c r="AD406" s="180"/>
      <c r="AE406" s="180"/>
      <c r="AF406" s="180"/>
      <c r="AG406" s="180"/>
      <c r="AH406" s="180"/>
      <c r="AI406" s="180">
        <v>0</v>
      </c>
      <c r="AJ406" s="181">
        <f t="shared" si="105"/>
        <v>0</v>
      </c>
      <c r="AK406" s="180">
        <f t="shared" si="108"/>
        <v>200000000</v>
      </c>
      <c r="AL406" s="181">
        <f t="shared" si="106"/>
        <v>100</v>
      </c>
      <c r="AM406" s="243"/>
    </row>
    <row r="407" spans="1:39" ht="29.25" customHeight="1" x14ac:dyDescent="0.25">
      <c r="A407" s="243"/>
      <c r="B407" s="437"/>
      <c r="C407" s="437"/>
      <c r="D407" s="437"/>
      <c r="E407" s="437"/>
      <c r="F407" s="437"/>
      <c r="G407" s="437"/>
      <c r="H407" s="437"/>
      <c r="I407" s="438"/>
      <c r="J407" s="437" t="s">
        <v>407</v>
      </c>
      <c r="K407" s="245"/>
      <c r="L407" s="257"/>
      <c r="M407" s="591" t="s">
        <v>610</v>
      </c>
      <c r="N407" s="592"/>
      <c r="O407" s="179"/>
      <c r="P407" s="180"/>
      <c r="Q407" s="180">
        <v>2000000</v>
      </c>
      <c r="R407" s="181">
        <f t="shared" si="113"/>
        <v>0.75046904315196994</v>
      </c>
      <c r="S407" s="181">
        <v>100</v>
      </c>
      <c r="T407" s="180">
        <f t="shared" si="104"/>
        <v>0</v>
      </c>
      <c r="U407" s="180">
        <f t="shared" si="110"/>
        <v>0</v>
      </c>
      <c r="V407" s="182">
        <f t="shared" si="95"/>
        <v>100</v>
      </c>
      <c r="W407" s="180"/>
      <c r="X407" s="180"/>
      <c r="Y407" s="180"/>
      <c r="Z407" s="180"/>
      <c r="AA407" s="180"/>
      <c r="AB407" s="180"/>
      <c r="AC407" s="180"/>
      <c r="AD407" s="180"/>
      <c r="AE407" s="180"/>
      <c r="AF407" s="180"/>
      <c r="AG407" s="180"/>
      <c r="AH407" s="180"/>
      <c r="AI407" s="180">
        <v>0</v>
      </c>
      <c r="AJ407" s="181">
        <f t="shared" si="105"/>
        <v>0</v>
      </c>
      <c r="AK407" s="180">
        <f t="shared" si="108"/>
        <v>2000000</v>
      </c>
      <c r="AL407" s="181">
        <f t="shared" si="106"/>
        <v>100</v>
      </c>
      <c r="AM407" s="243"/>
    </row>
    <row r="408" spans="1:39" s="297" customFormat="1" ht="36" customHeight="1" x14ac:dyDescent="0.25">
      <c r="A408" s="227">
        <f>A400+1</f>
        <v>52</v>
      </c>
      <c r="B408" s="615" t="s">
        <v>151</v>
      </c>
      <c r="C408" s="615"/>
      <c r="D408" s="615"/>
      <c r="E408" s="615"/>
      <c r="F408" s="615"/>
      <c r="G408" s="615"/>
      <c r="H408" s="615"/>
      <c r="I408" s="614"/>
      <c r="J408" s="304" t="s">
        <v>498</v>
      </c>
      <c r="K408" s="230"/>
      <c r="L408" s="294"/>
      <c r="M408" s="613" t="s">
        <v>52</v>
      </c>
      <c r="N408" s="613"/>
      <c r="O408" s="309">
        <v>252956000</v>
      </c>
      <c r="P408" s="231">
        <f>O408</f>
        <v>252956000</v>
      </c>
      <c r="Q408" s="231">
        <f>SUM(Q409:Q421)</f>
        <v>394282000</v>
      </c>
      <c r="R408" s="233">
        <f>Q408/Q$35*100</f>
        <v>1.2404167461869322</v>
      </c>
      <c r="S408" s="233">
        <v>100</v>
      </c>
      <c r="T408" s="231">
        <f t="shared" si="104"/>
        <v>46.653442713590785</v>
      </c>
      <c r="U408" s="231">
        <f t="shared" si="110"/>
        <v>0.57869711609210728</v>
      </c>
      <c r="V408" s="296">
        <f t="shared" si="95"/>
        <v>53.346557286409215</v>
      </c>
      <c r="W408" s="231"/>
      <c r="X408" s="231" t="e">
        <f>#REF!</f>
        <v>#REF!</v>
      </c>
      <c r="Y408" s="231" t="e">
        <f>#REF!</f>
        <v>#REF!</v>
      </c>
      <c r="Z408" s="231" t="e">
        <f>#REF!</f>
        <v>#REF!</v>
      </c>
      <c r="AA408" s="231" t="e">
        <f>#REF!</f>
        <v>#REF!</v>
      </c>
      <c r="AB408" s="231">
        <v>58582925</v>
      </c>
      <c r="AC408" s="231" t="e">
        <f>#REF!</f>
        <v>#REF!</v>
      </c>
      <c r="AD408" s="231" t="e">
        <f>#REF!</f>
        <v>#REF!</v>
      </c>
      <c r="AE408" s="231" t="e">
        <f>#REF!</f>
        <v>#REF!</v>
      </c>
      <c r="AF408" s="231" t="e">
        <f>[1]April!N71</f>
        <v>#REF!</v>
      </c>
      <c r="AG408" s="231" t="e">
        <f>[2]april!N71</f>
        <v>#REF!</v>
      </c>
      <c r="AH408" s="231">
        <f>'[3]DES SKPD'!$N71</f>
        <v>205056925</v>
      </c>
      <c r="AI408" s="231">
        <f>SUM(AI409:AI421)</f>
        <v>183946127</v>
      </c>
      <c r="AJ408" s="233">
        <f t="shared" si="105"/>
        <v>46.653442713590785</v>
      </c>
      <c r="AK408" s="231">
        <f t="shared" si="108"/>
        <v>210335873</v>
      </c>
      <c r="AL408" s="233">
        <f t="shared" si="106"/>
        <v>53.346557286409222</v>
      </c>
      <c r="AM408" s="227"/>
    </row>
    <row r="409" spans="1:39" ht="29.25" customHeight="1" x14ac:dyDescent="0.25">
      <c r="A409" s="243"/>
      <c r="B409" s="437"/>
      <c r="C409" s="437"/>
      <c r="D409" s="437"/>
      <c r="E409" s="437"/>
      <c r="F409" s="437"/>
      <c r="G409" s="437"/>
      <c r="H409" s="437"/>
      <c r="I409" s="438"/>
      <c r="J409" s="437" t="s">
        <v>415</v>
      </c>
      <c r="K409" s="245"/>
      <c r="L409" s="257"/>
      <c r="M409" s="604" t="s">
        <v>260</v>
      </c>
      <c r="N409" s="592"/>
      <c r="O409" s="179"/>
      <c r="P409" s="180"/>
      <c r="Q409" s="180">
        <v>2400000</v>
      </c>
      <c r="R409" s="181">
        <f>Q409/Q$408*100</f>
        <v>0.60870138631740733</v>
      </c>
      <c r="S409" s="181">
        <v>100</v>
      </c>
      <c r="T409" s="180">
        <f t="shared" si="104"/>
        <v>33.333333333333329</v>
      </c>
      <c r="U409" s="180">
        <f t="shared" si="110"/>
        <v>0.20290046210580243</v>
      </c>
      <c r="V409" s="182">
        <f t="shared" si="95"/>
        <v>66.666666666666671</v>
      </c>
      <c r="W409" s="180"/>
      <c r="X409" s="180"/>
      <c r="Y409" s="180"/>
      <c r="Z409" s="180"/>
      <c r="AA409" s="180"/>
      <c r="AB409" s="180"/>
      <c r="AC409" s="180"/>
      <c r="AD409" s="180"/>
      <c r="AE409" s="180"/>
      <c r="AF409" s="180"/>
      <c r="AG409" s="180"/>
      <c r="AH409" s="180"/>
      <c r="AI409" s="180">
        <v>800000</v>
      </c>
      <c r="AJ409" s="181">
        <f t="shared" ref="AJ409:AJ473" si="114">AI409/Q409*100</f>
        <v>33.333333333333329</v>
      </c>
      <c r="AK409" s="180">
        <f t="shared" si="108"/>
        <v>1600000</v>
      </c>
      <c r="AL409" s="181">
        <f t="shared" ref="AL409:AL473" si="115">AK409/Q409*100</f>
        <v>66.666666666666657</v>
      </c>
      <c r="AM409" s="243"/>
    </row>
    <row r="410" spans="1:39" ht="29.25" customHeight="1" x14ac:dyDescent="0.25">
      <c r="A410" s="243"/>
      <c r="B410" s="437"/>
      <c r="C410" s="437"/>
      <c r="D410" s="437"/>
      <c r="E410" s="437"/>
      <c r="F410" s="437"/>
      <c r="G410" s="437"/>
      <c r="H410" s="437"/>
      <c r="I410" s="438"/>
      <c r="J410" s="437" t="s">
        <v>326</v>
      </c>
      <c r="K410" s="245"/>
      <c r="L410" s="257"/>
      <c r="M410" s="604" t="s">
        <v>327</v>
      </c>
      <c r="N410" s="592"/>
      <c r="O410" s="179"/>
      <c r="P410" s="180"/>
      <c r="Q410" s="180">
        <v>32800000</v>
      </c>
      <c r="R410" s="181">
        <f t="shared" ref="R410:R421" si="116">Q410/Q$408*100</f>
        <v>8.3189189463379005</v>
      </c>
      <c r="S410" s="181">
        <v>100</v>
      </c>
      <c r="T410" s="180">
        <f t="shared" si="104"/>
        <v>0</v>
      </c>
      <c r="U410" s="180">
        <f t="shared" si="110"/>
        <v>0</v>
      </c>
      <c r="V410" s="182">
        <f t="shared" si="95"/>
        <v>100</v>
      </c>
      <c r="W410" s="180"/>
      <c r="X410" s="180"/>
      <c r="Y410" s="180"/>
      <c r="Z410" s="180"/>
      <c r="AA410" s="180"/>
      <c r="AB410" s="180"/>
      <c r="AC410" s="180"/>
      <c r="AD410" s="180"/>
      <c r="AE410" s="180"/>
      <c r="AF410" s="180"/>
      <c r="AG410" s="180"/>
      <c r="AH410" s="180"/>
      <c r="AI410" s="180">
        <v>0</v>
      </c>
      <c r="AJ410" s="181">
        <f t="shared" si="114"/>
        <v>0</v>
      </c>
      <c r="AK410" s="180">
        <f t="shared" si="108"/>
        <v>32800000</v>
      </c>
      <c r="AL410" s="181">
        <f t="shared" si="115"/>
        <v>100</v>
      </c>
      <c r="AM410" s="243"/>
    </row>
    <row r="411" spans="1:39" ht="29.25" customHeight="1" x14ac:dyDescent="0.25">
      <c r="A411" s="243"/>
      <c r="B411" s="437"/>
      <c r="C411" s="437"/>
      <c r="D411" s="437"/>
      <c r="E411" s="437"/>
      <c r="F411" s="437"/>
      <c r="G411" s="437"/>
      <c r="H411" s="437"/>
      <c r="I411" s="438"/>
      <c r="J411" s="437" t="s">
        <v>347</v>
      </c>
      <c r="K411" s="245"/>
      <c r="L411" s="257"/>
      <c r="M411" s="604" t="s">
        <v>348</v>
      </c>
      <c r="N411" s="592"/>
      <c r="O411" s="179"/>
      <c r="P411" s="180"/>
      <c r="Q411" s="180">
        <v>27800000</v>
      </c>
      <c r="R411" s="181">
        <f t="shared" si="116"/>
        <v>7.0507910581766353</v>
      </c>
      <c r="S411" s="181">
        <v>100</v>
      </c>
      <c r="T411" s="180">
        <f t="shared" si="104"/>
        <v>0</v>
      </c>
      <c r="U411" s="180">
        <f t="shared" si="110"/>
        <v>0</v>
      </c>
      <c r="V411" s="182">
        <f t="shared" si="95"/>
        <v>100</v>
      </c>
      <c r="W411" s="180"/>
      <c r="X411" s="180"/>
      <c r="Y411" s="180"/>
      <c r="Z411" s="180"/>
      <c r="AA411" s="180"/>
      <c r="AB411" s="180"/>
      <c r="AC411" s="180"/>
      <c r="AD411" s="180"/>
      <c r="AE411" s="180"/>
      <c r="AF411" s="180"/>
      <c r="AG411" s="180"/>
      <c r="AH411" s="180"/>
      <c r="AI411" s="180">
        <v>0</v>
      </c>
      <c r="AJ411" s="181">
        <f t="shared" si="114"/>
        <v>0</v>
      </c>
      <c r="AK411" s="180">
        <f t="shared" si="108"/>
        <v>27800000</v>
      </c>
      <c r="AL411" s="181">
        <f t="shared" si="115"/>
        <v>100</v>
      </c>
      <c r="AM411" s="243"/>
    </row>
    <row r="412" spans="1:39" ht="29.25" customHeight="1" x14ac:dyDescent="0.25">
      <c r="A412" s="243"/>
      <c r="B412" s="437"/>
      <c r="C412" s="437"/>
      <c r="D412" s="437"/>
      <c r="E412" s="437"/>
      <c r="F412" s="437"/>
      <c r="G412" s="437"/>
      <c r="H412" s="437"/>
      <c r="I412" s="438"/>
      <c r="J412" s="437" t="s">
        <v>323</v>
      </c>
      <c r="K412" s="245"/>
      <c r="L412" s="257"/>
      <c r="M412" s="604" t="s">
        <v>324</v>
      </c>
      <c r="N412" s="592"/>
      <c r="O412" s="179"/>
      <c r="P412" s="180"/>
      <c r="Q412" s="180">
        <v>35352000</v>
      </c>
      <c r="R412" s="181">
        <f t="shared" si="116"/>
        <v>8.9661714204554102</v>
      </c>
      <c r="S412" s="181">
        <v>100</v>
      </c>
      <c r="T412" s="180">
        <f t="shared" si="104"/>
        <v>30.052047974654901</v>
      </c>
      <c r="U412" s="180">
        <f t="shared" si="110"/>
        <v>2.6945181367650566</v>
      </c>
      <c r="V412" s="182">
        <f t="shared" si="95"/>
        <v>69.947952025345103</v>
      </c>
      <c r="W412" s="180"/>
      <c r="X412" s="180"/>
      <c r="Y412" s="180"/>
      <c r="Z412" s="180"/>
      <c r="AA412" s="180"/>
      <c r="AB412" s="180"/>
      <c r="AC412" s="180"/>
      <c r="AD412" s="180"/>
      <c r="AE412" s="180"/>
      <c r="AF412" s="180"/>
      <c r="AG412" s="180"/>
      <c r="AH412" s="180"/>
      <c r="AI412" s="180">
        <f>3492000+1746000+5386000</f>
        <v>10624000</v>
      </c>
      <c r="AJ412" s="181">
        <f t="shared" si="114"/>
        <v>30.052047974654901</v>
      </c>
      <c r="AK412" s="180">
        <f t="shared" si="108"/>
        <v>24728000</v>
      </c>
      <c r="AL412" s="181">
        <f t="shared" si="115"/>
        <v>69.947952025345103</v>
      </c>
      <c r="AM412" s="243"/>
    </row>
    <row r="413" spans="1:39" ht="29.25" customHeight="1" x14ac:dyDescent="0.25">
      <c r="A413" s="243"/>
      <c r="B413" s="437"/>
      <c r="C413" s="437"/>
      <c r="D413" s="437"/>
      <c r="E413" s="437"/>
      <c r="F413" s="437"/>
      <c r="G413" s="437"/>
      <c r="H413" s="437"/>
      <c r="I413" s="438"/>
      <c r="J413" s="437" t="s">
        <v>269</v>
      </c>
      <c r="K413" s="245"/>
      <c r="L413" s="257"/>
      <c r="M413" s="604" t="s">
        <v>270</v>
      </c>
      <c r="N413" s="592"/>
      <c r="O413" s="179"/>
      <c r="P413" s="180"/>
      <c r="Q413" s="180">
        <v>16330000</v>
      </c>
      <c r="R413" s="181">
        <f t="shared" si="116"/>
        <v>4.1417056827346919</v>
      </c>
      <c r="S413" s="181">
        <v>100</v>
      </c>
      <c r="T413" s="180">
        <f t="shared" si="104"/>
        <v>39.191671769748929</v>
      </c>
      <c r="U413" s="180">
        <f t="shared" si="110"/>
        <v>1.6232036968464194</v>
      </c>
      <c r="V413" s="182">
        <f t="shared" si="95"/>
        <v>60.808328230251071</v>
      </c>
      <c r="W413" s="180"/>
      <c r="X413" s="180"/>
      <c r="Y413" s="180"/>
      <c r="Z413" s="180"/>
      <c r="AA413" s="180"/>
      <c r="AB413" s="180"/>
      <c r="AC413" s="180"/>
      <c r="AD413" s="180"/>
      <c r="AE413" s="180"/>
      <c r="AF413" s="180"/>
      <c r="AG413" s="180"/>
      <c r="AH413" s="180"/>
      <c r="AI413" s="180">
        <f>2380000+1190000+2830000</f>
        <v>6400000</v>
      </c>
      <c r="AJ413" s="181">
        <f t="shared" si="114"/>
        <v>39.191671769748929</v>
      </c>
      <c r="AK413" s="180">
        <f t="shared" si="108"/>
        <v>9930000</v>
      </c>
      <c r="AL413" s="181">
        <f t="shared" si="115"/>
        <v>60.808328230251071</v>
      </c>
      <c r="AM413" s="243"/>
    </row>
    <row r="414" spans="1:39" ht="29.25" customHeight="1" x14ac:dyDescent="0.25">
      <c r="A414" s="243"/>
      <c r="B414" s="437"/>
      <c r="C414" s="437"/>
      <c r="D414" s="437"/>
      <c r="E414" s="437"/>
      <c r="F414" s="437"/>
      <c r="G414" s="437"/>
      <c r="H414" s="437"/>
      <c r="I414" s="438"/>
      <c r="J414" s="437" t="s">
        <v>315</v>
      </c>
      <c r="K414" s="245"/>
      <c r="L414" s="257"/>
      <c r="M414" s="604" t="s">
        <v>271</v>
      </c>
      <c r="N414" s="592"/>
      <c r="O414" s="179"/>
      <c r="P414" s="180"/>
      <c r="Q414" s="180">
        <v>21000000</v>
      </c>
      <c r="R414" s="181">
        <f t="shared" si="116"/>
        <v>5.3261371302773144</v>
      </c>
      <c r="S414" s="181">
        <v>100</v>
      </c>
      <c r="T414" s="180">
        <f t="shared" ref="T414:T625" si="117">AJ414</f>
        <v>41.666666666666671</v>
      </c>
      <c r="U414" s="180">
        <f t="shared" si="110"/>
        <v>2.2192238042822146</v>
      </c>
      <c r="V414" s="182">
        <f t="shared" si="95"/>
        <v>58.333333333333329</v>
      </c>
      <c r="W414" s="180"/>
      <c r="X414" s="180"/>
      <c r="Y414" s="180"/>
      <c r="Z414" s="180"/>
      <c r="AA414" s="180"/>
      <c r="AB414" s="180"/>
      <c r="AC414" s="180"/>
      <c r="AD414" s="180"/>
      <c r="AE414" s="180"/>
      <c r="AF414" s="180"/>
      <c r="AG414" s="180"/>
      <c r="AH414" s="180"/>
      <c r="AI414" s="180">
        <f>3500000+1750000+3500000</f>
        <v>8750000</v>
      </c>
      <c r="AJ414" s="181">
        <f t="shared" si="114"/>
        <v>41.666666666666671</v>
      </c>
      <c r="AK414" s="180">
        <f t="shared" si="108"/>
        <v>12250000</v>
      </c>
      <c r="AL414" s="181">
        <f t="shared" si="115"/>
        <v>58.333333333333336</v>
      </c>
      <c r="AM414" s="243"/>
    </row>
    <row r="415" spans="1:39" ht="29.25" customHeight="1" x14ac:dyDescent="0.25">
      <c r="A415" s="243"/>
      <c r="B415" s="437"/>
      <c r="C415" s="437"/>
      <c r="D415" s="437"/>
      <c r="E415" s="437"/>
      <c r="F415" s="437"/>
      <c r="G415" s="437"/>
      <c r="H415" s="437"/>
      <c r="I415" s="438"/>
      <c r="J415" s="437" t="s">
        <v>316</v>
      </c>
      <c r="K415" s="245"/>
      <c r="L415" s="257"/>
      <c r="M415" s="604" t="s">
        <v>317</v>
      </c>
      <c r="N415" s="592"/>
      <c r="O415" s="179"/>
      <c r="P415" s="180"/>
      <c r="Q415" s="180">
        <v>900000</v>
      </c>
      <c r="R415" s="181">
        <f t="shared" si="116"/>
        <v>0.22826301986902778</v>
      </c>
      <c r="S415" s="181">
        <v>100</v>
      </c>
      <c r="T415" s="180">
        <f t="shared" si="117"/>
        <v>33.333333333333329</v>
      </c>
      <c r="U415" s="180">
        <f t="shared" si="110"/>
        <v>7.6087673289675917E-2</v>
      </c>
      <c r="V415" s="182">
        <f t="shared" si="95"/>
        <v>66.666666666666671</v>
      </c>
      <c r="W415" s="180"/>
      <c r="X415" s="180"/>
      <c r="Y415" s="180"/>
      <c r="Z415" s="180"/>
      <c r="AA415" s="180"/>
      <c r="AB415" s="180"/>
      <c r="AC415" s="180"/>
      <c r="AD415" s="180"/>
      <c r="AE415" s="180"/>
      <c r="AF415" s="180"/>
      <c r="AG415" s="180"/>
      <c r="AH415" s="180"/>
      <c r="AI415" s="180">
        <v>300000</v>
      </c>
      <c r="AJ415" s="181">
        <f t="shared" si="114"/>
        <v>33.333333333333329</v>
      </c>
      <c r="AK415" s="180">
        <f t="shared" si="108"/>
        <v>600000</v>
      </c>
      <c r="AL415" s="181">
        <f t="shared" si="115"/>
        <v>66.666666666666657</v>
      </c>
      <c r="AM415" s="243"/>
    </row>
    <row r="416" spans="1:39" ht="29.25" customHeight="1" x14ac:dyDescent="0.25">
      <c r="A416" s="243"/>
      <c r="B416" s="437"/>
      <c r="C416" s="437"/>
      <c r="D416" s="437"/>
      <c r="E416" s="437"/>
      <c r="F416" s="437"/>
      <c r="G416" s="437"/>
      <c r="H416" s="437"/>
      <c r="I416" s="438"/>
      <c r="J416" s="437" t="s">
        <v>318</v>
      </c>
      <c r="K416" s="245"/>
      <c r="L416" s="257"/>
      <c r="M416" s="604" t="s">
        <v>319</v>
      </c>
      <c r="N416" s="592"/>
      <c r="O416" s="179"/>
      <c r="P416" s="180"/>
      <c r="Q416" s="180">
        <v>109500000</v>
      </c>
      <c r="R416" s="181">
        <f t="shared" si="116"/>
        <v>27.772000750731713</v>
      </c>
      <c r="S416" s="181">
        <v>100</v>
      </c>
      <c r="T416" s="180">
        <f t="shared" si="117"/>
        <v>71.232876712328761</v>
      </c>
      <c r="U416" s="180">
        <f t="shared" si="110"/>
        <v>19.782795055315738</v>
      </c>
      <c r="V416" s="182">
        <f t="shared" si="95"/>
        <v>28.767123287671239</v>
      </c>
      <c r="W416" s="180"/>
      <c r="X416" s="180"/>
      <c r="Y416" s="180"/>
      <c r="Z416" s="180"/>
      <c r="AA416" s="180"/>
      <c r="AB416" s="180"/>
      <c r="AC416" s="180"/>
      <c r="AD416" s="180"/>
      <c r="AE416" s="180"/>
      <c r="AF416" s="180"/>
      <c r="AG416" s="180"/>
      <c r="AH416" s="180"/>
      <c r="AI416" s="180">
        <v>78000000</v>
      </c>
      <c r="AJ416" s="181">
        <f t="shared" si="114"/>
        <v>71.232876712328761</v>
      </c>
      <c r="AK416" s="180">
        <f t="shared" si="108"/>
        <v>31500000</v>
      </c>
      <c r="AL416" s="181">
        <f t="shared" si="115"/>
        <v>28.767123287671232</v>
      </c>
      <c r="AM416" s="243"/>
    </row>
    <row r="417" spans="1:39" ht="29.25" customHeight="1" x14ac:dyDescent="0.25">
      <c r="A417" s="243"/>
      <c r="B417" s="437"/>
      <c r="C417" s="437"/>
      <c r="D417" s="437"/>
      <c r="E417" s="437"/>
      <c r="F417" s="437"/>
      <c r="G417" s="437"/>
      <c r="H417" s="437"/>
      <c r="I417" s="438"/>
      <c r="J417" s="437" t="s">
        <v>284</v>
      </c>
      <c r="K417" s="245"/>
      <c r="L417" s="257"/>
      <c r="M417" s="604" t="s">
        <v>285</v>
      </c>
      <c r="N417" s="592"/>
      <c r="O417" s="179"/>
      <c r="P417" s="180"/>
      <c r="Q417" s="180">
        <v>25000000</v>
      </c>
      <c r="R417" s="181">
        <f t="shared" si="116"/>
        <v>6.3406394408063269</v>
      </c>
      <c r="S417" s="181">
        <v>100</v>
      </c>
      <c r="T417" s="180">
        <f t="shared" si="117"/>
        <v>40.96</v>
      </c>
      <c r="U417" s="180">
        <f t="shared" si="110"/>
        <v>2.5971259149542716</v>
      </c>
      <c r="V417" s="182">
        <f t="shared" si="95"/>
        <v>59.04</v>
      </c>
      <c r="W417" s="180"/>
      <c r="X417" s="180"/>
      <c r="Y417" s="180"/>
      <c r="Z417" s="180"/>
      <c r="AA417" s="180"/>
      <c r="AB417" s="180"/>
      <c r="AC417" s="180"/>
      <c r="AD417" s="180"/>
      <c r="AE417" s="180"/>
      <c r="AF417" s="180"/>
      <c r="AG417" s="180"/>
      <c r="AH417" s="180"/>
      <c r="AI417" s="180">
        <f>4180000+1960000+4100000</f>
        <v>10240000</v>
      </c>
      <c r="AJ417" s="181">
        <f t="shared" si="114"/>
        <v>40.96</v>
      </c>
      <c r="AK417" s="180">
        <f t="shared" si="108"/>
        <v>14760000</v>
      </c>
      <c r="AL417" s="181">
        <f t="shared" si="115"/>
        <v>59.040000000000006</v>
      </c>
      <c r="AM417" s="243"/>
    </row>
    <row r="418" spans="1:39" ht="29.25" customHeight="1" x14ac:dyDescent="0.25">
      <c r="A418" s="243"/>
      <c r="B418" s="437"/>
      <c r="C418" s="437"/>
      <c r="D418" s="437"/>
      <c r="E418" s="437"/>
      <c r="F418" s="437"/>
      <c r="G418" s="437"/>
      <c r="H418" s="437"/>
      <c r="I418" s="438"/>
      <c r="J418" s="437" t="s">
        <v>282</v>
      </c>
      <c r="K418" s="245"/>
      <c r="L418" s="257"/>
      <c r="M418" s="604" t="s">
        <v>283</v>
      </c>
      <c r="N418" s="592"/>
      <c r="O418" s="179"/>
      <c r="P418" s="180"/>
      <c r="Q418" s="180">
        <v>74100000</v>
      </c>
      <c r="R418" s="181">
        <f t="shared" si="116"/>
        <v>18.793655302549954</v>
      </c>
      <c r="S418" s="181">
        <v>100</v>
      </c>
      <c r="T418" s="180">
        <f t="shared" si="117"/>
        <v>71.905704453441302</v>
      </c>
      <c r="U418" s="180">
        <f t="shared" si="110"/>
        <v>13.51371023785007</v>
      </c>
      <c r="V418" s="182">
        <f t="shared" si="95"/>
        <v>28.094295546558698</v>
      </c>
      <c r="W418" s="180"/>
      <c r="X418" s="180"/>
      <c r="Y418" s="180"/>
      <c r="Z418" s="180"/>
      <c r="AA418" s="180"/>
      <c r="AB418" s="180"/>
      <c r="AC418" s="180"/>
      <c r="AD418" s="180"/>
      <c r="AE418" s="180"/>
      <c r="AF418" s="180"/>
      <c r="AG418" s="180"/>
      <c r="AH418" s="180"/>
      <c r="AI418" s="180">
        <f>14996000+33792152+4493975</f>
        <v>53282127</v>
      </c>
      <c r="AJ418" s="181">
        <f t="shared" si="114"/>
        <v>71.905704453441302</v>
      </c>
      <c r="AK418" s="180">
        <f t="shared" si="108"/>
        <v>20817873</v>
      </c>
      <c r="AL418" s="181">
        <f t="shared" si="115"/>
        <v>28.094295546558705</v>
      </c>
      <c r="AM418" s="243"/>
    </row>
    <row r="419" spans="1:39" ht="29.25" customHeight="1" x14ac:dyDescent="0.25">
      <c r="A419" s="243"/>
      <c r="B419" s="437"/>
      <c r="C419" s="437"/>
      <c r="D419" s="437"/>
      <c r="E419" s="437"/>
      <c r="F419" s="437"/>
      <c r="G419" s="437"/>
      <c r="H419" s="437"/>
      <c r="I419" s="438"/>
      <c r="J419" s="437" t="s">
        <v>320</v>
      </c>
      <c r="K419" s="245"/>
      <c r="L419" s="257"/>
      <c r="M419" s="604" t="s">
        <v>321</v>
      </c>
      <c r="N419" s="592"/>
      <c r="O419" s="179"/>
      <c r="P419" s="180"/>
      <c r="Q419" s="180">
        <v>26600000</v>
      </c>
      <c r="R419" s="181">
        <f t="shared" si="116"/>
        <v>6.7464403650179321</v>
      </c>
      <c r="S419" s="181">
        <v>100</v>
      </c>
      <c r="T419" s="180">
        <f t="shared" si="117"/>
        <v>26.691729323308273</v>
      </c>
      <c r="U419" s="180">
        <f t="shared" si="110"/>
        <v>1.800741601188997</v>
      </c>
      <c r="V419" s="182">
        <f t="shared" si="95"/>
        <v>73.308270676691734</v>
      </c>
      <c r="W419" s="180"/>
      <c r="X419" s="180"/>
      <c r="Y419" s="180"/>
      <c r="Z419" s="180"/>
      <c r="AA419" s="180"/>
      <c r="AB419" s="180"/>
      <c r="AC419" s="180"/>
      <c r="AD419" s="180"/>
      <c r="AE419" s="180"/>
      <c r="AF419" s="180"/>
      <c r="AG419" s="180"/>
      <c r="AH419" s="180"/>
      <c r="AI419" s="180">
        <v>7100000</v>
      </c>
      <c r="AJ419" s="181">
        <f t="shared" si="114"/>
        <v>26.691729323308273</v>
      </c>
      <c r="AK419" s="180">
        <f t="shared" si="108"/>
        <v>19500000</v>
      </c>
      <c r="AL419" s="181">
        <f t="shared" si="115"/>
        <v>73.308270676691734</v>
      </c>
      <c r="AM419" s="243"/>
    </row>
    <row r="420" spans="1:39" ht="29.25" customHeight="1" x14ac:dyDescent="0.25">
      <c r="A420" s="243"/>
      <c r="B420" s="437"/>
      <c r="C420" s="437"/>
      <c r="D420" s="437"/>
      <c r="E420" s="437"/>
      <c r="F420" s="437"/>
      <c r="G420" s="437"/>
      <c r="H420" s="437"/>
      <c r="I420" s="438"/>
      <c r="J420" s="437" t="s">
        <v>309</v>
      </c>
      <c r="K420" s="245"/>
      <c r="L420" s="257"/>
      <c r="M420" s="604" t="s">
        <v>611</v>
      </c>
      <c r="N420" s="592"/>
      <c r="O420" s="179"/>
      <c r="P420" s="180"/>
      <c r="Q420" s="180">
        <v>12900000</v>
      </c>
      <c r="R420" s="181">
        <f t="shared" si="116"/>
        <v>3.2717699514560645</v>
      </c>
      <c r="S420" s="181">
        <v>100</v>
      </c>
      <c r="T420" s="180">
        <f t="shared" si="117"/>
        <v>34.496124031007753</v>
      </c>
      <c r="U420" s="180">
        <f t="shared" si="110"/>
        <v>1.1286338204635262</v>
      </c>
      <c r="V420" s="182">
        <f t="shared" si="95"/>
        <v>65.503875968992247</v>
      </c>
      <c r="W420" s="180"/>
      <c r="X420" s="180"/>
      <c r="Y420" s="180"/>
      <c r="Z420" s="180"/>
      <c r="AA420" s="180"/>
      <c r="AB420" s="180"/>
      <c r="AC420" s="180"/>
      <c r="AD420" s="180"/>
      <c r="AE420" s="180"/>
      <c r="AF420" s="180"/>
      <c r="AG420" s="180"/>
      <c r="AH420" s="180"/>
      <c r="AI420" s="180">
        <v>4450000</v>
      </c>
      <c r="AJ420" s="181">
        <f t="shared" si="114"/>
        <v>34.496124031007753</v>
      </c>
      <c r="AK420" s="180">
        <f t="shared" si="108"/>
        <v>8450000</v>
      </c>
      <c r="AL420" s="181">
        <f t="shared" si="115"/>
        <v>65.503875968992247</v>
      </c>
      <c r="AM420" s="243"/>
    </row>
    <row r="421" spans="1:39" ht="29.25" customHeight="1" x14ac:dyDescent="0.25">
      <c r="A421" s="243"/>
      <c r="B421" s="437"/>
      <c r="C421" s="437"/>
      <c r="D421" s="437"/>
      <c r="E421" s="437"/>
      <c r="F421" s="437"/>
      <c r="G421" s="437"/>
      <c r="H421" s="437"/>
      <c r="I421" s="438"/>
      <c r="J421" s="437" t="s">
        <v>551</v>
      </c>
      <c r="K421" s="245"/>
      <c r="L421" s="257"/>
      <c r="M421" s="604" t="s">
        <v>550</v>
      </c>
      <c r="N421" s="592"/>
      <c r="O421" s="179"/>
      <c r="P421" s="180"/>
      <c r="Q421" s="180">
        <v>9600000</v>
      </c>
      <c r="R421" s="181">
        <f t="shared" si="116"/>
        <v>2.4348055452696293</v>
      </c>
      <c r="S421" s="181"/>
      <c r="T421" s="180">
        <f t="shared" si="117"/>
        <v>41.666666666666671</v>
      </c>
      <c r="U421" s="180">
        <f t="shared" si="110"/>
        <v>1.0145023105290123</v>
      </c>
      <c r="V421" s="182"/>
      <c r="W421" s="180"/>
      <c r="X421" s="180"/>
      <c r="Y421" s="180"/>
      <c r="Z421" s="180"/>
      <c r="AA421" s="180"/>
      <c r="AB421" s="180"/>
      <c r="AC421" s="180"/>
      <c r="AD421" s="180"/>
      <c r="AE421" s="180"/>
      <c r="AF421" s="180"/>
      <c r="AG421" s="180"/>
      <c r="AH421" s="180"/>
      <c r="AI421" s="180">
        <f>1600000+800000+800000+800000</f>
        <v>4000000</v>
      </c>
      <c r="AJ421" s="181">
        <f t="shared" si="114"/>
        <v>41.666666666666671</v>
      </c>
      <c r="AK421" s="180">
        <f t="shared" si="108"/>
        <v>5600000</v>
      </c>
      <c r="AL421" s="181">
        <f t="shared" si="115"/>
        <v>58.333333333333336</v>
      </c>
      <c r="AM421" s="243"/>
    </row>
    <row r="422" spans="1:39" ht="29.25" customHeight="1" x14ac:dyDescent="0.25">
      <c r="A422" s="227">
        <v>53</v>
      </c>
      <c r="B422" s="437"/>
      <c r="C422" s="437"/>
      <c r="D422" s="437"/>
      <c r="E422" s="437"/>
      <c r="F422" s="437"/>
      <c r="G422" s="437"/>
      <c r="H422" s="437"/>
      <c r="I422" s="438"/>
      <c r="J422" s="304" t="s">
        <v>499</v>
      </c>
      <c r="K422" s="230"/>
      <c r="L422" s="294"/>
      <c r="M422" s="613" t="s">
        <v>500</v>
      </c>
      <c r="N422" s="613"/>
      <c r="O422" s="309">
        <v>252956000</v>
      </c>
      <c r="P422" s="231">
        <f>O422</f>
        <v>252956000</v>
      </c>
      <c r="Q422" s="231">
        <f>SUM(Q423:Q424)</f>
        <v>418500000</v>
      </c>
      <c r="R422" s="233">
        <f>Q422/Q$248*100</f>
        <v>3.5085969787315476</v>
      </c>
      <c r="S422" s="233">
        <v>100</v>
      </c>
      <c r="T422" s="231">
        <f t="shared" si="117"/>
        <v>35.121350059737154</v>
      </c>
      <c r="U422" s="231">
        <f t="shared" si="110"/>
        <v>1.2322666270856684</v>
      </c>
      <c r="V422" s="296">
        <f t="shared" ref="V422:V424" si="118">S422-T422</f>
        <v>64.878649940262846</v>
      </c>
      <c r="W422" s="231"/>
      <c r="X422" s="231" t="e">
        <f>#REF!</f>
        <v>#REF!</v>
      </c>
      <c r="Y422" s="231" t="e">
        <f>#REF!</f>
        <v>#REF!</v>
      </c>
      <c r="Z422" s="231" t="e">
        <f>#REF!</f>
        <v>#REF!</v>
      </c>
      <c r="AA422" s="231" t="e">
        <f>#REF!</f>
        <v>#REF!</v>
      </c>
      <c r="AB422" s="231">
        <v>58582925</v>
      </c>
      <c r="AC422" s="231" t="e">
        <f>#REF!</f>
        <v>#REF!</v>
      </c>
      <c r="AD422" s="231" t="e">
        <f>#REF!</f>
        <v>#REF!</v>
      </c>
      <c r="AE422" s="231" t="e">
        <f>#REF!</f>
        <v>#REF!</v>
      </c>
      <c r="AF422" s="231" t="e">
        <f>[1]April!N86</f>
        <v>#REF!</v>
      </c>
      <c r="AG422" s="231" t="e">
        <f>[2]april!N86</f>
        <v>#REF!</v>
      </c>
      <c r="AH422" s="231">
        <f>'[3]DES SKPD'!$N86</f>
        <v>126710000</v>
      </c>
      <c r="AI422" s="231">
        <f>SUM(AI423:AI424)</f>
        <v>146982850</v>
      </c>
      <c r="AJ422" s="233">
        <f t="shared" si="114"/>
        <v>35.121350059737154</v>
      </c>
      <c r="AK422" s="231">
        <f t="shared" si="108"/>
        <v>271517150</v>
      </c>
      <c r="AL422" s="233">
        <f t="shared" si="115"/>
        <v>64.878649940262846</v>
      </c>
      <c r="AM422" s="243"/>
    </row>
    <row r="423" spans="1:39" ht="29.25" customHeight="1" x14ac:dyDescent="0.25">
      <c r="A423" s="243"/>
      <c r="B423" s="437"/>
      <c r="C423" s="437"/>
      <c r="D423" s="437"/>
      <c r="E423" s="437"/>
      <c r="F423" s="437"/>
      <c r="G423" s="437"/>
      <c r="H423" s="437"/>
      <c r="I423" s="438"/>
      <c r="J423" s="437" t="s">
        <v>537</v>
      </c>
      <c r="K423" s="245"/>
      <c r="L423" s="257"/>
      <c r="M423" s="604" t="s">
        <v>605</v>
      </c>
      <c r="N423" s="592"/>
      <c r="O423" s="179"/>
      <c r="P423" s="180"/>
      <c r="Q423" s="180">
        <v>38500000</v>
      </c>
      <c r="R423" s="181">
        <f t="shared" ref="R423:R424" si="119">Q423/Q$422*100</f>
        <v>9.1995221027479097</v>
      </c>
      <c r="S423" s="181">
        <v>100</v>
      </c>
      <c r="T423" s="180">
        <f t="shared" si="117"/>
        <v>22.493506493506494</v>
      </c>
      <c r="U423" s="180">
        <f t="shared" si="110"/>
        <v>2.0692951015531662</v>
      </c>
      <c r="V423" s="182">
        <f t="shared" si="118"/>
        <v>77.506493506493513</v>
      </c>
      <c r="W423" s="180"/>
      <c r="X423" s="180"/>
      <c r="Y423" s="180"/>
      <c r="Z423" s="180"/>
      <c r="AA423" s="180"/>
      <c r="AB423" s="180"/>
      <c r="AC423" s="180"/>
      <c r="AD423" s="180"/>
      <c r="AE423" s="180"/>
      <c r="AF423" s="180"/>
      <c r="AG423" s="180"/>
      <c r="AH423" s="180"/>
      <c r="AI423" s="180">
        <f>8000000+660000</f>
        <v>8660000</v>
      </c>
      <c r="AJ423" s="181">
        <f t="shared" si="114"/>
        <v>22.493506493506494</v>
      </c>
      <c r="AK423" s="180">
        <f t="shared" si="108"/>
        <v>29840000</v>
      </c>
      <c r="AL423" s="181">
        <f t="shared" si="115"/>
        <v>77.506493506493499</v>
      </c>
      <c r="AM423" s="243"/>
    </row>
    <row r="424" spans="1:39" ht="29.25" customHeight="1" x14ac:dyDescent="0.25">
      <c r="A424" s="243"/>
      <c r="B424" s="437"/>
      <c r="C424" s="437"/>
      <c r="D424" s="437"/>
      <c r="E424" s="437"/>
      <c r="F424" s="437"/>
      <c r="G424" s="437"/>
      <c r="H424" s="437"/>
      <c r="I424" s="438"/>
      <c r="J424" s="437" t="s">
        <v>415</v>
      </c>
      <c r="K424" s="245"/>
      <c r="L424" s="257"/>
      <c r="M424" s="604" t="s">
        <v>303</v>
      </c>
      <c r="N424" s="592"/>
      <c r="O424" s="179"/>
      <c r="P424" s="180"/>
      <c r="Q424" s="180">
        <v>380000000</v>
      </c>
      <c r="R424" s="181">
        <f t="shared" si="119"/>
        <v>90.80047789725208</v>
      </c>
      <c r="S424" s="181">
        <v>100</v>
      </c>
      <c r="T424" s="180">
        <f t="shared" si="117"/>
        <v>36.400749999999995</v>
      </c>
      <c r="U424" s="180">
        <f t="shared" si="110"/>
        <v>33.05205495818398</v>
      </c>
      <c r="V424" s="182">
        <f t="shared" si="118"/>
        <v>63.599250000000005</v>
      </c>
      <c r="W424" s="180"/>
      <c r="X424" s="180"/>
      <c r="Y424" s="180"/>
      <c r="Z424" s="180"/>
      <c r="AA424" s="180"/>
      <c r="AB424" s="180"/>
      <c r="AC424" s="180"/>
      <c r="AD424" s="180"/>
      <c r="AE424" s="180"/>
      <c r="AF424" s="180"/>
      <c r="AG424" s="180"/>
      <c r="AH424" s="180"/>
      <c r="AI424" s="180">
        <v>138322850</v>
      </c>
      <c r="AJ424" s="181">
        <f t="shared" si="114"/>
        <v>36.400749999999995</v>
      </c>
      <c r="AK424" s="180">
        <f t="shared" si="108"/>
        <v>241677150</v>
      </c>
      <c r="AL424" s="181">
        <f t="shared" si="115"/>
        <v>63.599249999999998</v>
      </c>
      <c r="AM424" s="243"/>
    </row>
    <row r="425" spans="1:39" s="297" customFormat="1" ht="29.25" customHeight="1" x14ac:dyDescent="0.25">
      <c r="A425" s="227">
        <f>SUM(A422+1)</f>
        <v>54</v>
      </c>
      <c r="B425" s="615" t="s">
        <v>153</v>
      </c>
      <c r="C425" s="615"/>
      <c r="D425" s="615"/>
      <c r="E425" s="615"/>
      <c r="F425" s="615"/>
      <c r="G425" s="615"/>
      <c r="H425" s="615"/>
      <c r="I425" s="614"/>
      <c r="J425" s="304" t="s">
        <v>504</v>
      </c>
      <c r="K425" s="230"/>
      <c r="L425" s="294"/>
      <c r="M425" s="610" t="s">
        <v>53</v>
      </c>
      <c r="N425" s="610"/>
      <c r="O425" s="309">
        <v>420443450</v>
      </c>
      <c r="P425" s="231">
        <f>O425</f>
        <v>420443450</v>
      </c>
      <c r="Q425" s="231">
        <f>SUM(Q426:Q435)</f>
        <v>179508000</v>
      </c>
      <c r="R425" s="233">
        <f>Q425/Q$248*100</f>
        <v>1.5049491671640207</v>
      </c>
      <c r="S425" s="233">
        <v>100</v>
      </c>
      <c r="T425" s="231">
        <f t="shared" si="117"/>
        <v>0</v>
      </c>
      <c r="U425" s="231">
        <f t="shared" si="110"/>
        <v>0</v>
      </c>
      <c r="V425" s="296">
        <f t="shared" si="95"/>
        <v>100</v>
      </c>
      <c r="W425" s="231"/>
      <c r="X425" s="231" t="e">
        <f>#REF!</f>
        <v>#REF!</v>
      </c>
      <c r="Y425" s="231" t="e">
        <f>#REF!</f>
        <v>#REF!</v>
      </c>
      <c r="Z425" s="231" t="e">
        <f>#REF!</f>
        <v>#REF!</v>
      </c>
      <c r="AA425" s="231" t="e">
        <f>#REF!</f>
        <v>#REF!</v>
      </c>
      <c r="AB425" s="231">
        <v>55843500</v>
      </c>
      <c r="AC425" s="231" t="e">
        <f>#REF!</f>
        <v>#REF!</v>
      </c>
      <c r="AD425" s="231" t="e">
        <f>#REF!</f>
        <v>#REF!</v>
      </c>
      <c r="AE425" s="231" t="e">
        <f>#REF!</f>
        <v>#REF!</v>
      </c>
      <c r="AF425" s="231" t="e">
        <f>[1]April!N73</f>
        <v>#REF!</v>
      </c>
      <c r="AG425" s="231" t="e">
        <f>[2]april!N73</f>
        <v>#REF!</v>
      </c>
      <c r="AH425" s="231">
        <f>'[3]DES SKPD'!$N73</f>
        <v>192051900</v>
      </c>
      <c r="AI425" s="231">
        <f>SUM(AI426:AI435)</f>
        <v>0</v>
      </c>
      <c r="AJ425" s="233">
        <f t="shared" si="114"/>
        <v>0</v>
      </c>
      <c r="AK425" s="231">
        <f t="shared" ref="AK425:AK489" si="120">Q425-AI425</f>
        <v>179508000</v>
      </c>
      <c r="AL425" s="233">
        <f t="shared" si="115"/>
        <v>100</v>
      </c>
      <c r="AM425" s="227"/>
    </row>
    <row r="426" spans="1:39" ht="24.75" customHeight="1" x14ac:dyDescent="0.25">
      <c r="A426" s="243"/>
      <c r="B426" s="437"/>
      <c r="C426" s="437"/>
      <c r="D426" s="437"/>
      <c r="E426" s="437"/>
      <c r="F426" s="437"/>
      <c r="G426" s="437"/>
      <c r="H426" s="437"/>
      <c r="I426" s="438"/>
      <c r="J426" s="437" t="s">
        <v>273</v>
      </c>
      <c r="K426" s="245"/>
      <c r="L426" s="257"/>
      <c r="M426" s="591" t="s">
        <v>322</v>
      </c>
      <c r="N426" s="592"/>
      <c r="O426" s="179"/>
      <c r="P426" s="180"/>
      <c r="Q426" s="180">
        <v>20400000</v>
      </c>
      <c r="R426" s="181">
        <f t="shared" ref="R426:R435" si="121">Q426/Q$425*100</f>
        <v>11.364396015776455</v>
      </c>
      <c r="S426" s="181">
        <v>100</v>
      </c>
      <c r="T426" s="180">
        <f t="shared" si="117"/>
        <v>0</v>
      </c>
      <c r="U426" s="180">
        <f t="shared" si="110"/>
        <v>0</v>
      </c>
      <c r="V426" s="182">
        <f t="shared" si="95"/>
        <v>100</v>
      </c>
      <c r="W426" s="180"/>
      <c r="X426" s="180"/>
      <c r="Y426" s="180"/>
      <c r="Z426" s="180"/>
      <c r="AA426" s="180"/>
      <c r="AB426" s="180"/>
      <c r="AC426" s="180"/>
      <c r="AD426" s="180"/>
      <c r="AE426" s="180"/>
      <c r="AF426" s="180"/>
      <c r="AG426" s="180"/>
      <c r="AH426" s="180"/>
      <c r="AI426" s="180">
        <v>0</v>
      </c>
      <c r="AJ426" s="181">
        <f t="shared" si="114"/>
        <v>0</v>
      </c>
      <c r="AK426" s="180">
        <f t="shared" si="120"/>
        <v>20400000</v>
      </c>
      <c r="AL426" s="181">
        <f t="shared" si="115"/>
        <v>100</v>
      </c>
      <c r="AM426" s="243"/>
    </row>
    <row r="427" spans="1:39" ht="24.75" customHeight="1" x14ac:dyDescent="0.25">
      <c r="A427" s="243"/>
      <c r="B427" s="437"/>
      <c r="C427" s="437"/>
      <c r="D427" s="437"/>
      <c r="E427" s="437"/>
      <c r="F427" s="437"/>
      <c r="G427" s="437"/>
      <c r="H427" s="437"/>
      <c r="I427" s="438"/>
      <c r="J427" s="437" t="s">
        <v>323</v>
      </c>
      <c r="K427" s="245"/>
      <c r="L427" s="257"/>
      <c r="M427" s="591" t="s">
        <v>324</v>
      </c>
      <c r="N427" s="592"/>
      <c r="O427" s="179"/>
      <c r="P427" s="180"/>
      <c r="Q427" s="180">
        <v>8408000</v>
      </c>
      <c r="R427" s="181">
        <f t="shared" si="121"/>
        <v>4.6839138088553156</v>
      </c>
      <c r="S427" s="181">
        <v>100</v>
      </c>
      <c r="T427" s="180">
        <f t="shared" si="117"/>
        <v>0</v>
      </c>
      <c r="U427" s="180">
        <f t="shared" si="110"/>
        <v>0</v>
      </c>
      <c r="V427" s="182">
        <f t="shared" si="95"/>
        <v>100</v>
      </c>
      <c r="W427" s="180"/>
      <c r="X427" s="180"/>
      <c r="Y427" s="180"/>
      <c r="Z427" s="180"/>
      <c r="AA427" s="180"/>
      <c r="AB427" s="180"/>
      <c r="AC427" s="180"/>
      <c r="AD427" s="180"/>
      <c r="AE427" s="180"/>
      <c r="AF427" s="180"/>
      <c r="AG427" s="180"/>
      <c r="AH427" s="180"/>
      <c r="AI427" s="180">
        <v>0</v>
      </c>
      <c r="AJ427" s="181">
        <f t="shared" si="114"/>
        <v>0</v>
      </c>
      <c r="AK427" s="180">
        <f t="shared" si="120"/>
        <v>8408000</v>
      </c>
      <c r="AL427" s="181">
        <f t="shared" si="115"/>
        <v>100</v>
      </c>
      <c r="AM427" s="243"/>
    </row>
    <row r="428" spans="1:39" ht="24.75" customHeight="1" x14ac:dyDescent="0.25">
      <c r="A428" s="243"/>
      <c r="B428" s="437"/>
      <c r="C428" s="437"/>
      <c r="D428" s="437"/>
      <c r="E428" s="437"/>
      <c r="F428" s="437"/>
      <c r="G428" s="437"/>
      <c r="H428" s="437"/>
      <c r="I428" s="438"/>
      <c r="J428" s="437" t="s">
        <v>417</v>
      </c>
      <c r="K428" s="245"/>
      <c r="L428" s="257"/>
      <c r="M428" s="591" t="s">
        <v>408</v>
      </c>
      <c r="N428" s="592"/>
      <c r="O428" s="179"/>
      <c r="P428" s="180"/>
      <c r="Q428" s="180">
        <v>3000000</v>
      </c>
      <c r="R428" s="181">
        <f t="shared" si="121"/>
        <v>1.6712347082024199</v>
      </c>
      <c r="S428" s="181">
        <v>101</v>
      </c>
      <c r="T428" s="180">
        <f t="shared" si="117"/>
        <v>0</v>
      </c>
      <c r="U428" s="180">
        <f t="shared" si="110"/>
        <v>0</v>
      </c>
      <c r="V428" s="182">
        <f t="shared" si="95"/>
        <v>101</v>
      </c>
      <c r="W428" s="180"/>
      <c r="X428" s="180"/>
      <c r="Y428" s="180"/>
      <c r="Z428" s="180"/>
      <c r="AA428" s="180"/>
      <c r="AB428" s="180"/>
      <c r="AC428" s="180"/>
      <c r="AD428" s="180"/>
      <c r="AE428" s="180"/>
      <c r="AF428" s="180"/>
      <c r="AG428" s="180"/>
      <c r="AH428" s="180"/>
      <c r="AI428" s="180">
        <v>0</v>
      </c>
      <c r="AJ428" s="181">
        <f t="shared" si="114"/>
        <v>0</v>
      </c>
      <c r="AK428" s="180">
        <f t="shared" si="120"/>
        <v>3000000</v>
      </c>
      <c r="AL428" s="181">
        <f t="shared" si="115"/>
        <v>100</v>
      </c>
      <c r="AM428" s="243"/>
    </row>
    <row r="429" spans="1:39" ht="24.75" customHeight="1" x14ac:dyDescent="0.25">
      <c r="A429" s="243"/>
      <c r="B429" s="437"/>
      <c r="C429" s="437"/>
      <c r="D429" s="437"/>
      <c r="E429" s="437"/>
      <c r="F429" s="437"/>
      <c r="G429" s="437"/>
      <c r="H429" s="437"/>
      <c r="I429" s="438"/>
      <c r="J429" s="437" t="s">
        <v>315</v>
      </c>
      <c r="K429" s="245"/>
      <c r="L429" s="257"/>
      <c r="M429" s="591" t="s">
        <v>271</v>
      </c>
      <c r="N429" s="592"/>
      <c r="O429" s="179"/>
      <c r="P429" s="180"/>
      <c r="Q429" s="180">
        <v>4000000</v>
      </c>
      <c r="R429" s="181">
        <f t="shared" si="121"/>
        <v>2.2283129442698932</v>
      </c>
      <c r="S429" s="181">
        <v>100</v>
      </c>
      <c r="T429" s="180">
        <f t="shared" si="117"/>
        <v>0</v>
      </c>
      <c r="U429" s="180">
        <f t="shared" si="110"/>
        <v>0</v>
      </c>
      <c r="V429" s="182">
        <f t="shared" si="95"/>
        <v>100</v>
      </c>
      <c r="W429" s="180"/>
      <c r="X429" s="180"/>
      <c r="Y429" s="180"/>
      <c r="Z429" s="180"/>
      <c r="AA429" s="180"/>
      <c r="AB429" s="180"/>
      <c r="AC429" s="180"/>
      <c r="AD429" s="180"/>
      <c r="AE429" s="180"/>
      <c r="AF429" s="180"/>
      <c r="AG429" s="180"/>
      <c r="AH429" s="180"/>
      <c r="AI429" s="180">
        <v>0</v>
      </c>
      <c r="AJ429" s="181">
        <f t="shared" si="114"/>
        <v>0</v>
      </c>
      <c r="AK429" s="180">
        <f t="shared" si="120"/>
        <v>4000000</v>
      </c>
      <c r="AL429" s="181">
        <f t="shared" si="115"/>
        <v>100</v>
      </c>
      <c r="AM429" s="243"/>
    </row>
    <row r="430" spans="1:39" ht="29.25" customHeight="1" x14ac:dyDescent="0.25">
      <c r="A430" s="243"/>
      <c r="B430" s="437"/>
      <c r="C430" s="437"/>
      <c r="D430" s="437"/>
      <c r="E430" s="437"/>
      <c r="F430" s="437"/>
      <c r="G430" s="437"/>
      <c r="H430" s="437"/>
      <c r="I430" s="438"/>
      <c r="J430" s="437" t="s">
        <v>328</v>
      </c>
      <c r="K430" s="245"/>
      <c r="L430" s="257"/>
      <c r="M430" s="591" t="s">
        <v>329</v>
      </c>
      <c r="N430" s="592"/>
      <c r="O430" s="179"/>
      <c r="P430" s="180"/>
      <c r="Q430" s="180">
        <v>26000000</v>
      </c>
      <c r="R430" s="181">
        <f t="shared" si="121"/>
        <v>14.484034137754307</v>
      </c>
      <c r="S430" s="181">
        <v>100</v>
      </c>
      <c r="T430" s="180">
        <f t="shared" si="117"/>
        <v>0</v>
      </c>
      <c r="U430" s="180">
        <f t="shared" ref="U430:U672" si="122">R430*T430/100</f>
        <v>0</v>
      </c>
      <c r="V430" s="182">
        <f t="shared" si="95"/>
        <v>100</v>
      </c>
      <c r="W430" s="180"/>
      <c r="X430" s="180"/>
      <c r="Y430" s="180"/>
      <c r="Z430" s="180"/>
      <c r="AA430" s="180"/>
      <c r="AB430" s="180"/>
      <c r="AC430" s="180"/>
      <c r="AD430" s="180"/>
      <c r="AE430" s="180"/>
      <c r="AF430" s="180"/>
      <c r="AG430" s="180"/>
      <c r="AH430" s="180"/>
      <c r="AI430" s="180">
        <v>0</v>
      </c>
      <c r="AJ430" s="181">
        <f t="shared" si="114"/>
        <v>0</v>
      </c>
      <c r="AK430" s="180">
        <f t="shared" si="120"/>
        <v>26000000</v>
      </c>
      <c r="AL430" s="181">
        <f t="shared" si="115"/>
        <v>100</v>
      </c>
      <c r="AM430" s="243"/>
    </row>
    <row r="431" spans="1:39" ht="24.75" customHeight="1" x14ac:dyDescent="0.25">
      <c r="A431" s="243"/>
      <c r="B431" s="437"/>
      <c r="C431" s="437"/>
      <c r="D431" s="437"/>
      <c r="E431" s="437"/>
      <c r="F431" s="437"/>
      <c r="G431" s="437"/>
      <c r="H431" s="437"/>
      <c r="I431" s="438"/>
      <c r="J431" s="437" t="s">
        <v>280</v>
      </c>
      <c r="K431" s="245"/>
      <c r="L431" s="257"/>
      <c r="M431" s="591" t="s">
        <v>281</v>
      </c>
      <c r="N431" s="592"/>
      <c r="O431" s="179"/>
      <c r="P431" s="180"/>
      <c r="Q431" s="180">
        <v>48500000</v>
      </c>
      <c r="R431" s="181">
        <f t="shared" si="121"/>
        <v>27.018294449272457</v>
      </c>
      <c r="S431" s="181">
        <v>100</v>
      </c>
      <c r="T431" s="180">
        <f t="shared" si="117"/>
        <v>0</v>
      </c>
      <c r="U431" s="180">
        <f t="shared" si="122"/>
        <v>0</v>
      </c>
      <c r="V431" s="182">
        <f t="shared" si="95"/>
        <v>100</v>
      </c>
      <c r="W431" s="180"/>
      <c r="X431" s="180"/>
      <c r="Y431" s="180"/>
      <c r="Z431" s="180"/>
      <c r="AA431" s="180"/>
      <c r="AB431" s="180"/>
      <c r="AC431" s="180"/>
      <c r="AD431" s="180"/>
      <c r="AE431" s="180"/>
      <c r="AF431" s="180"/>
      <c r="AG431" s="180"/>
      <c r="AH431" s="180"/>
      <c r="AI431" s="180">
        <v>0</v>
      </c>
      <c r="AJ431" s="181">
        <f t="shared" si="114"/>
        <v>0</v>
      </c>
      <c r="AK431" s="180">
        <f t="shared" si="120"/>
        <v>48500000</v>
      </c>
      <c r="AL431" s="181">
        <f t="shared" si="115"/>
        <v>100</v>
      </c>
      <c r="AM431" s="243"/>
    </row>
    <row r="432" spans="1:39" ht="24.75" customHeight="1" x14ac:dyDescent="0.25">
      <c r="A432" s="243"/>
      <c r="B432" s="437"/>
      <c r="C432" s="437"/>
      <c r="D432" s="437"/>
      <c r="E432" s="437"/>
      <c r="F432" s="437"/>
      <c r="G432" s="437"/>
      <c r="H432" s="437"/>
      <c r="I432" s="438"/>
      <c r="J432" s="437" t="s">
        <v>284</v>
      </c>
      <c r="K432" s="245"/>
      <c r="L432" s="257"/>
      <c r="M432" s="591" t="s">
        <v>285</v>
      </c>
      <c r="N432" s="592"/>
      <c r="O432" s="179"/>
      <c r="P432" s="180"/>
      <c r="Q432" s="180">
        <v>10000000</v>
      </c>
      <c r="R432" s="181">
        <f t="shared" si="121"/>
        <v>5.5707823606747331</v>
      </c>
      <c r="S432" s="181">
        <v>100</v>
      </c>
      <c r="T432" s="180">
        <f t="shared" si="117"/>
        <v>0</v>
      </c>
      <c r="U432" s="180">
        <f t="shared" si="122"/>
        <v>0</v>
      </c>
      <c r="V432" s="182">
        <f t="shared" si="95"/>
        <v>100</v>
      </c>
      <c r="W432" s="180"/>
      <c r="X432" s="180"/>
      <c r="Y432" s="180"/>
      <c r="Z432" s="180"/>
      <c r="AA432" s="180"/>
      <c r="AB432" s="180"/>
      <c r="AC432" s="180"/>
      <c r="AD432" s="180"/>
      <c r="AE432" s="180"/>
      <c r="AF432" s="180"/>
      <c r="AG432" s="180"/>
      <c r="AH432" s="180"/>
      <c r="AI432" s="180">
        <v>0</v>
      </c>
      <c r="AJ432" s="181">
        <f t="shared" si="114"/>
        <v>0</v>
      </c>
      <c r="AK432" s="180">
        <f t="shared" si="120"/>
        <v>10000000</v>
      </c>
      <c r="AL432" s="181">
        <f t="shared" si="115"/>
        <v>100</v>
      </c>
      <c r="AM432" s="243"/>
    </row>
    <row r="433" spans="1:39" ht="24.75" customHeight="1" x14ac:dyDescent="0.25">
      <c r="A433" s="243"/>
      <c r="B433" s="437"/>
      <c r="C433" s="437"/>
      <c r="D433" s="437"/>
      <c r="E433" s="437"/>
      <c r="F433" s="437"/>
      <c r="G433" s="437"/>
      <c r="H433" s="437"/>
      <c r="I433" s="438"/>
      <c r="J433" s="437" t="s">
        <v>282</v>
      </c>
      <c r="K433" s="245"/>
      <c r="L433" s="257"/>
      <c r="M433" s="591" t="s">
        <v>283</v>
      </c>
      <c r="N433" s="592"/>
      <c r="O433" s="179"/>
      <c r="P433" s="180"/>
      <c r="Q433" s="180">
        <v>10000000</v>
      </c>
      <c r="R433" s="181">
        <f t="shared" si="121"/>
        <v>5.5707823606747331</v>
      </c>
      <c r="S433" s="181">
        <v>100</v>
      </c>
      <c r="T433" s="180">
        <f t="shared" si="117"/>
        <v>0</v>
      </c>
      <c r="U433" s="180">
        <f t="shared" si="122"/>
        <v>0</v>
      </c>
      <c r="V433" s="182">
        <f t="shared" si="95"/>
        <v>100</v>
      </c>
      <c r="W433" s="180"/>
      <c r="X433" s="180"/>
      <c r="Y433" s="180"/>
      <c r="Z433" s="180"/>
      <c r="AA433" s="180"/>
      <c r="AB433" s="180"/>
      <c r="AC433" s="180"/>
      <c r="AD433" s="180"/>
      <c r="AE433" s="180"/>
      <c r="AF433" s="180"/>
      <c r="AG433" s="180"/>
      <c r="AH433" s="180"/>
      <c r="AI433" s="180">
        <v>0</v>
      </c>
      <c r="AJ433" s="181">
        <f t="shared" si="114"/>
        <v>0</v>
      </c>
      <c r="AK433" s="180">
        <f t="shared" si="120"/>
        <v>10000000</v>
      </c>
      <c r="AL433" s="181">
        <f t="shared" si="115"/>
        <v>100</v>
      </c>
      <c r="AM433" s="243"/>
    </row>
    <row r="434" spans="1:39" ht="24.75" customHeight="1" x14ac:dyDescent="0.25">
      <c r="A434" s="243"/>
      <c r="B434" s="437"/>
      <c r="C434" s="437"/>
      <c r="D434" s="437"/>
      <c r="E434" s="437"/>
      <c r="F434" s="437"/>
      <c r="G434" s="437"/>
      <c r="H434" s="437"/>
      <c r="I434" s="438"/>
      <c r="J434" s="437" t="s">
        <v>309</v>
      </c>
      <c r="K434" s="245"/>
      <c r="L434" s="257"/>
      <c r="M434" s="591" t="s">
        <v>321</v>
      </c>
      <c r="N434" s="592"/>
      <c r="O434" s="179"/>
      <c r="P434" s="180"/>
      <c r="Q434" s="180">
        <v>39600000</v>
      </c>
      <c r="R434" s="181">
        <f t="shared" si="121"/>
        <v>22.060298148271944</v>
      </c>
      <c r="S434" s="181">
        <v>100</v>
      </c>
      <c r="T434" s="180">
        <f t="shared" si="117"/>
        <v>0</v>
      </c>
      <c r="U434" s="180">
        <f t="shared" si="122"/>
        <v>0</v>
      </c>
      <c r="V434" s="182">
        <f t="shared" si="95"/>
        <v>100</v>
      </c>
      <c r="W434" s="180"/>
      <c r="X434" s="180"/>
      <c r="Y434" s="180"/>
      <c r="Z434" s="180"/>
      <c r="AA434" s="180"/>
      <c r="AB434" s="180"/>
      <c r="AC434" s="180"/>
      <c r="AD434" s="180"/>
      <c r="AE434" s="180"/>
      <c r="AF434" s="180"/>
      <c r="AG434" s="180"/>
      <c r="AH434" s="180"/>
      <c r="AI434" s="180">
        <v>0</v>
      </c>
      <c r="AJ434" s="181">
        <f t="shared" si="114"/>
        <v>0</v>
      </c>
      <c r="AK434" s="180">
        <f t="shared" si="120"/>
        <v>39600000</v>
      </c>
      <c r="AL434" s="181">
        <f t="shared" si="115"/>
        <v>100</v>
      </c>
      <c r="AM434" s="243"/>
    </row>
    <row r="435" spans="1:39" ht="24.75" customHeight="1" x14ac:dyDescent="0.25">
      <c r="A435" s="243"/>
      <c r="B435" s="437"/>
      <c r="C435" s="437"/>
      <c r="D435" s="437"/>
      <c r="E435" s="437"/>
      <c r="F435" s="437"/>
      <c r="G435" s="437"/>
      <c r="H435" s="437"/>
      <c r="I435" s="438"/>
      <c r="J435" s="437" t="s">
        <v>407</v>
      </c>
      <c r="K435" s="245"/>
      <c r="L435" s="257"/>
      <c r="M435" s="591" t="s">
        <v>414</v>
      </c>
      <c r="N435" s="592"/>
      <c r="O435" s="179"/>
      <c r="P435" s="180"/>
      <c r="Q435" s="180">
        <v>9600000</v>
      </c>
      <c r="R435" s="181">
        <f t="shared" si="121"/>
        <v>5.3479510662477434</v>
      </c>
      <c r="S435" s="181"/>
      <c r="T435" s="180">
        <f t="shared" si="117"/>
        <v>0</v>
      </c>
      <c r="U435" s="180">
        <f t="shared" si="122"/>
        <v>0</v>
      </c>
      <c r="V435" s="182"/>
      <c r="W435" s="180"/>
      <c r="X435" s="180"/>
      <c r="Y435" s="180"/>
      <c r="Z435" s="180"/>
      <c r="AA435" s="180"/>
      <c r="AB435" s="180"/>
      <c r="AC435" s="180"/>
      <c r="AD435" s="180"/>
      <c r="AE435" s="180"/>
      <c r="AF435" s="180"/>
      <c r="AG435" s="180"/>
      <c r="AH435" s="180"/>
      <c r="AI435" s="180">
        <v>0</v>
      </c>
      <c r="AJ435" s="181">
        <f t="shared" si="114"/>
        <v>0</v>
      </c>
      <c r="AK435" s="180">
        <f t="shared" si="120"/>
        <v>9600000</v>
      </c>
      <c r="AL435" s="181">
        <f t="shared" si="115"/>
        <v>100</v>
      </c>
      <c r="AM435" s="243"/>
    </row>
    <row r="436" spans="1:39" s="297" customFormat="1" ht="24.75" customHeight="1" x14ac:dyDescent="0.25">
      <c r="A436" s="227">
        <f>A425+1</f>
        <v>55</v>
      </c>
      <c r="B436" s="615" t="s">
        <v>154</v>
      </c>
      <c r="C436" s="615"/>
      <c r="D436" s="615"/>
      <c r="E436" s="615"/>
      <c r="F436" s="615"/>
      <c r="G436" s="615"/>
      <c r="H436" s="615"/>
      <c r="I436" s="614"/>
      <c r="J436" s="304" t="s">
        <v>505</v>
      </c>
      <c r="K436" s="230"/>
      <c r="L436" s="294"/>
      <c r="M436" s="610" t="s">
        <v>54</v>
      </c>
      <c r="N436" s="610"/>
      <c r="O436" s="309">
        <v>255497500</v>
      </c>
      <c r="P436" s="231">
        <f>O436</f>
        <v>255497500</v>
      </c>
      <c r="Q436" s="231">
        <f>SUM(Q437:Q446)</f>
        <v>106437000</v>
      </c>
      <c r="R436" s="233">
        <f>Q436/Q$35*100</f>
        <v>0.33485230675987876</v>
      </c>
      <c r="S436" s="233">
        <v>100</v>
      </c>
      <c r="T436" s="231">
        <f t="shared" si="117"/>
        <v>14.848689835301634</v>
      </c>
      <c r="U436" s="231">
        <f t="shared" si="122"/>
        <v>4.9721180437127165E-2</v>
      </c>
      <c r="V436" s="296">
        <f t="shared" si="95"/>
        <v>85.151310164698373</v>
      </c>
      <c r="W436" s="231"/>
      <c r="X436" s="231" t="e">
        <f>#REF!</f>
        <v>#REF!</v>
      </c>
      <c r="Y436" s="231" t="e">
        <f>#REF!</f>
        <v>#REF!</v>
      </c>
      <c r="Z436" s="231" t="e">
        <f>#REF!</f>
        <v>#REF!</v>
      </c>
      <c r="AA436" s="231" t="e">
        <f>#REF!</f>
        <v>#REF!</v>
      </c>
      <c r="AB436" s="231">
        <v>62640000</v>
      </c>
      <c r="AC436" s="231" t="e">
        <f>#REF!</f>
        <v>#REF!</v>
      </c>
      <c r="AD436" s="231" t="e">
        <f>#REF!</f>
        <v>#REF!</v>
      </c>
      <c r="AE436" s="231" t="e">
        <f>#REF!</f>
        <v>#REF!</v>
      </c>
      <c r="AF436" s="231" t="e">
        <f>[1]April!N74</f>
        <v>#REF!</v>
      </c>
      <c r="AG436" s="231" t="e">
        <f>[2]april!N74</f>
        <v>#REF!</v>
      </c>
      <c r="AH436" s="231">
        <f>'[3]DES SKPD'!$N74</f>
        <v>327019800</v>
      </c>
      <c r="AI436" s="231">
        <f>SUM(AI437:AI446)</f>
        <v>15804500</v>
      </c>
      <c r="AJ436" s="233">
        <f t="shared" si="114"/>
        <v>14.848689835301634</v>
      </c>
      <c r="AK436" s="231">
        <f t="shared" si="120"/>
        <v>90632500</v>
      </c>
      <c r="AL436" s="233">
        <f t="shared" si="115"/>
        <v>85.151310164698373</v>
      </c>
      <c r="AM436" s="227"/>
    </row>
    <row r="437" spans="1:39" ht="24.75" customHeight="1" x14ac:dyDescent="0.25">
      <c r="A437" s="243"/>
      <c r="B437" s="437"/>
      <c r="C437" s="437"/>
      <c r="D437" s="437"/>
      <c r="E437" s="437"/>
      <c r="F437" s="437"/>
      <c r="G437" s="437"/>
      <c r="H437" s="437"/>
      <c r="I437" s="438"/>
      <c r="J437" s="437" t="s">
        <v>257</v>
      </c>
      <c r="K437" s="245"/>
      <c r="L437" s="257"/>
      <c r="M437" s="591" t="s">
        <v>324</v>
      </c>
      <c r="N437" s="592"/>
      <c r="O437" s="179"/>
      <c r="P437" s="180"/>
      <c r="Q437" s="180">
        <v>27357000</v>
      </c>
      <c r="R437" s="181">
        <f>Q437/Q$436*100</f>
        <v>25.702528256151524</v>
      </c>
      <c r="S437" s="181">
        <v>100</v>
      </c>
      <c r="T437" s="180">
        <f t="shared" si="117"/>
        <v>19.219943707277846</v>
      </c>
      <c r="U437" s="180">
        <f t="shared" si="122"/>
        <v>4.9400114621795055</v>
      </c>
      <c r="V437" s="182">
        <f t="shared" si="95"/>
        <v>80.780056292722151</v>
      </c>
      <c r="W437" s="180"/>
      <c r="X437" s="180"/>
      <c r="Y437" s="180"/>
      <c r="Z437" s="180"/>
      <c r="AA437" s="180"/>
      <c r="AB437" s="180"/>
      <c r="AC437" s="180"/>
      <c r="AD437" s="180"/>
      <c r="AE437" s="180"/>
      <c r="AF437" s="180"/>
      <c r="AG437" s="180"/>
      <c r="AH437" s="180"/>
      <c r="AI437" s="180">
        <v>5258000</v>
      </c>
      <c r="AJ437" s="181">
        <f t="shared" si="114"/>
        <v>19.219943707277846</v>
      </c>
      <c r="AK437" s="180">
        <f t="shared" si="120"/>
        <v>22099000</v>
      </c>
      <c r="AL437" s="181">
        <f t="shared" si="115"/>
        <v>80.780056292722151</v>
      </c>
      <c r="AM437" s="243"/>
    </row>
    <row r="438" spans="1:39" ht="24.75" customHeight="1" x14ac:dyDescent="0.25">
      <c r="A438" s="243"/>
      <c r="B438" s="437"/>
      <c r="C438" s="437"/>
      <c r="D438" s="437"/>
      <c r="E438" s="437"/>
      <c r="F438" s="437"/>
      <c r="G438" s="437"/>
      <c r="H438" s="437"/>
      <c r="I438" s="438"/>
      <c r="J438" s="437" t="s">
        <v>269</v>
      </c>
      <c r="K438" s="245"/>
      <c r="L438" s="257"/>
      <c r="M438" s="591" t="s">
        <v>270</v>
      </c>
      <c r="N438" s="592"/>
      <c r="O438" s="179"/>
      <c r="P438" s="180"/>
      <c r="Q438" s="180">
        <v>4500000</v>
      </c>
      <c r="R438" s="181">
        <f t="shared" ref="R438:R446" si="123">Q438/Q$436*100</f>
        <v>4.2278530961977507</v>
      </c>
      <c r="S438" s="181">
        <v>100</v>
      </c>
      <c r="T438" s="180">
        <f t="shared" si="117"/>
        <v>0</v>
      </c>
      <c r="U438" s="180">
        <f t="shared" si="122"/>
        <v>0</v>
      </c>
      <c r="V438" s="182">
        <f t="shared" si="95"/>
        <v>100</v>
      </c>
      <c r="W438" s="180"/>
      <c r="X438" s="180"/>
      <c r="Y438" s="180"/>
      <c r="Z438" s="180"/>
      <c r="AA438" s="180"/>
      <c r="AB438" s="180"/>
      <c r="AC438" s="180"/>
      <c r="AD438" s="180"/>
      <c r="AE438" s="180"/>
      <c r="AF438" s="180"/>
      <c r="AG438" s="180"/>
      <c r="AH438" s="180"/>
      <c r="AI438" s="180">
        <v>0</v>
      </c>
      <c r="AJ438" s="181">
        <f t="shared" si="114"/>
        <v>0</v>
      </c>
      <c r="AK438" s="180">
        <f t="shared" si="120"/>
        <v>4500000</v>
      </c>
      <c r="AL438" s="181">
        <f t="shared" si="115"/>
        <v>100</v>
      </c>
      <c r="AM438" s="243"/>
    </row>
    <row r="439" spans="1:39" ht="24.75" customHeight="1" x14ac:dyDescent="0.25">
      <c r="A439" s="243"/>
      <c r="B439" s="437"/>
      <c r="C439" s="437"/>
      <c r="D439" s="437"/>
      <c r="E439" s="437"/>
      <c r="F439" s="437"/>
      <c r="G439" s="437"/>
      <c r="H439" s="437"/>
      <c r="I439" s="438"/>
      <c r="J439" s="437" t="s">
        <v>315</v>
      </c>
      <c r="K439" s="245"/>
      <c r="L439" s="257"/>
      <c r="M439" s="591" t="s">
        <v>271</v>
      </c>
      <c r="N439" s="592"/>
      <c r="O439" s="179"/>
      <c r="P439" s="180"/>
      <c r="Q439" s="180">
        <v>1580000</v>
      </c>
      <c r="R439" s="181">
        <f t="shared" si="123"/>
        <v>1.4844461982205437</v>
      </c>
      <c r="S439" s="181">
        <v>100</v>
      </c>
      <c r="T439" s="180">
        <f t="shared" si="117"/>
        <v>0</v>
      </c>
      <c r="U439" s="180">
        <f t="shared" si="122"/>
        <v>0</v>
      </c>
      <c r="V439" s="182">
        <f t="shared" si="95"/>
        <v>100</v>
      </c>
      <c r="W439" s="180"/>
      <c r="X439" s="180"/>
      <c r="Y439" s="180"/>
      <c r="Z439" s="180"/>
      <c r="AA439" s="180"/>
      <c r="AB439" s="180"/>
      <c r="AC439" s="180"/>
      <c r="AD439" s="180"/>
      <c r="AE439" s="180"/>
      <c r="AF439" s="180"/>
      <c r="AG439" s="180"/>
      <c r="AH439" s="180"/>
      <c r="AI439" s="180">
        <v>0</v>
      </c>
      <c r="AJ439" s="181">
        <f t="shared" si="114"/>
        <v>0</v>
      </c>
      <c r="AK439" s="180">
        <f t="shared" si="120"/>
        <v>1580000</v>
      </c>
      <c r="AL439" s="181">
        <f t="shared" si="115"/>
        <v>100</v>
      </c>
      <c r="AM439" s="243"/>
    </row>
    <row r="440" spans="1:39" ht="24.75" customHeight="1" x14ac:dyDescent="0.25">
      <c r="A440" s="243"/>
      <c r="B440" s="437"/>
      <c r="C440" s="437"/>
      <c r="D440" s="437"/>
      <c r="E440" s="437"/>
      <c r="F440" s="437"/>
      <c r="G440" s="437"/>
      <c r="H440" s="437"/>
      <c r="I440" s="438"/>
      <c r="J440" s="437" t="s">
        <v>328</v>
      </c>
      <c r="K440" s="245"/>
      <c r="L440" s="257"/>
      <c r="M440" s="591" t="s">
        <v>612</v>
      </c>
      <c r="N440" s="592"/>
      <c r="O440" s="179"/>
      <c r="P440" s="180"/>
      <c r="Q440" s="180">
        <v>500000</v>
      </c>
      <c r="R440" s="181">
        <f t="shared" si="123"/>
        <v>0.46976145513308343</v>
      </c>
      <c r="S440" s="181">
        <v>100</v>
      </c>
      <c r="T440" s="180">
        <f t="shared" si="117"/>
        <v>0</v>
      </c>
      <c r="U440" s="180">
        <f t="shared" si="122"/>
        <v>0</v>
      </c>
      <c r="V440" s="182">
        <f t="shared" si="95"/>
        <v>100</v>
      </c>
      <c r="W440" s="180"/>
      <c r="X440" s="180"/>
      <c r="Y440" s="180"/>
      <c r="Z440" s="180"/>
      <c r="AA440" s="180"/>
      <c r="AB440" s="180"/>
      <c r="AC440" s="180"/>
      <c r="AD440" s="180"/>
      <c r="AE440" s="180"/>
      <c r="AF440" s="180"/>
      <c r="AG440" s="180"/>
      <c r="AH440" s="180"/>
      <c r="AI440" s="180">
        <v>0</v>
      </c>
      <c r="AJ440" s="181">
        <f t="shared" si="114"/>
        <v>0</v>
      </c>
      <c r="AK440" s="180">
        <f t="shared" si="120"/>
        <v>500000</v>
      </c>
      <c r="AL440" s="181">
        <f t="shared" si="115"/>
        <v>100</v>
      </c>
      <c r="AM440" s="243"/>
    </row>
    <row r="441" spans="1:39" ht="29.25" customHeight="1" x14ac:dyDescent="0.25">
      <c r="A441" s="243"/>
      <c r="B441" s="437"/>
      <c r="C441" s="437"/>
      <c r="D441" s="437"/>
      <c r="E441" s="437"/>
      <c r="F441" s="437"/>
      <c r="G441" s="437"/>
      <c r="H441" s="437"/>
      <c r="I441" s="438"/>
      <c r="J441" s="437" t="s">
        <v>339</v>
      </c>
      <c r="K441" s="245"/>
      <c r="L441" s="257"/>
      <c r="M441" s="591" t="s">
        <v>613</v>
      </c>
      <c r="N441" s="592"/>
      <c r="O441" s="179"/>
      <c r="P441" s="180"/>
      <c r="Q441" s="180">
        <v>9400000</v>
      </c>
      <c r="R441" s="181">
        <f t="shared" si="123"/>
        <v>8.8315153565019671</v>
      </c>
      <c r="S441" s="181">
        <v>100</v>
      </c>
      <c r="T441" s="180">
        <f t="shared" si="117"/>
        <v>0</v>
      </c>
      <c r="U441" s="180">
        <f t="shared" si="122"/>
        <v>0</v>
      </c>
      <c r="V441" s="182">
        <f t="shared" si="95"/>
        <v>100</v>
      </c>
      <c r="W441" s="180"/>
      <c r="X441" s="180"/>
      <c r="Y441" s="180"/>
      <c r="Z441" s="180"/>
      <c r="AA441" s="180"/>
      <c r="AB441" s="180"/>
      <c r="AC441" s="180"/>
      <c r="AD441" s="180"/>
      <c r="AE441" s="180"/>
      <c r="AF441" s="180"/>
      <c r="AG441" s="180"/>
      <c r="AH441" s="180"/>
      <c r="AI441" s="180">
        <v>0</v>
      </c>
      <c r="AJ441" s="181">
        <f t="shared" si="114"/>
        <v>0</v>
      </c>
      <c r="AK441" s="180">
        <f t="shared" si="120"/>
        <v>9400000</v>
      </c>
      <c r="AL441" s="181">
        <f t="shared" si="115"/>
        <v>100</v>
      </c>
      <c r="AM441" s="243"/>
    </row>
    <row r="442" spans="1:39" ht="24.75" customHeight="1" x14ac:dyDescent="0.25">
      <c r="A442" s="243"/>
      <c r="B442" s="437"/>
      <c r="C442" s="437"/>
      <c r="D442" s="437"/>
      <c r="E442" s="437"/>
      <c r="F442" s="437"/>
      <c r="G442" s="437"/>
      <c r="H442" s="437"/>
      <c r="I442" s="438"/>
      <c r="J442" s="437" t="s">
        <v>284</v>
      </c>
      <c r="K442" s="245"/>
      <c r="L442" s="257"/>
      <c r="M442" s="591" t="s">
        <v>319</v>
      </c>
      <c r="N442" s="592"/>
      <c r="O442" s="179"/>
      <c r="P442" s="180"/>
      <c r="Q442" s="180">
        <v>24500000</v>
      </c>
      <c r="R442" s="181">
        <f t="shared" si="123"/>
        <v>23.018311301521088</v>
      </c>
      <c r="S442" s="181">
        <v>100</v>
      </c>
      <c r="T442" s="180">
        <f t="shared" si="117"/>
        <v>0</v>
      </c>
      <c r="U442" s="180">
        <f t="shared" si="122"/>
        <v>0</v>
      </c>
      <c r="V442" s="182">
        <f t="shared" si="95"/>
        <v>100</v>
      </c>
      <c r="W442" s="180"/>
      <c r="X442" s="180"/>
      <c r="Y442" s="180"/>
      <c r="Z442" s="180"/>
      <c r="AA442" s="180"/>
      <c r="AB442" s="180"/>
      <c r="AC442" s="180"/>
      <c r="AD442" s="180"/>
      <c r="AE442" s="180"/>
      <c r="AF442" s="180"/>
      <c r="AG442" s="180"/>
      <c r="AH442" s="180"/>
      <c r="AI442" s="180">
        <v>0</v>
      </c>
      <c r="AJ442" s="181">
        <f t="shared" si="114"/>
        <v>0</v>
      </c>
      <c r="AK442" s="180">
        <f t="shared" si="120"/>
        <v>24500000</v>
      </c>
      <c r="AL442" s="181">
        <f t="shared" si="115"/>
        <v>100</v>
      </c>
      <c r="AM442" s="243"/>
    </row>
    <row r="443" spans="1:39" ht="24.75" customHeight="1" x14ac:dyDescent="0.25">
      <c r="A443" s="243"/>
      <c r="B443" s="437"/>
      <c r="C443" s="437"/>
      <c r="D443" s="437"/>
      <c r="E443" s="437"/>
      <c r="F443" s="437"/>
      <c r="G443" s="437"/>
      <c r="H443" s="437"/>
      <c r="I443" s="438"/>
      <c r="J443" s="437" t="s">
        <v>282</v>
      </c>
      <c r="K443" s="245"/>
      <c r="L443" s="257"/>
      <c r="M443" s="591" t="s">
        <v>585</v>
      </c>
      <c r="N443" s="592"/>
      <c r="O443" s="179"/>
      <c r="P443" s="180"/>
      <c r="Q443" s="180">
        <v>2500000</v>
      </c>
      <c r="R443" s="181">
        <f t="shared" si="123"/>
        <v>2.348807275665417</v>
      </c>
      <c r="S443" s="181">
        <v>100</v>
      </c>
      <c r="T443" s="180">
        <f t="shared" si="117"/>
        <v>0</v>
      </c>
      <c r="U443" s="180">
        <f t="shared" si="122"/>
        <v>0</v>
      </c>
      <c r="V443" s="182">
        <f t="shared" si="95"/>
        <v>100</v>
      </c>
      <c r="W443" s="180"/>
      <c r="X443" s="180"/>
      <c r="Y443" s="180"/>
      <c r="Z443" s="180"/>
      <c r="AA443" s="180"/>
      <c r="AB443" s="180"/>
      <c r="AC443" s="180"/>
      <c r="AD443" s="180"/>
      <c r="AE443" s="180"/>
      <c r="AF443" s="180"/>
      <c r="AG443" s="180"/>
      <c r="AH443" s="180"/>
      <c r="AI443" s="180">
        <v>0</v>
      </c>
      <c r="AJ443" s="181">
        <f t="shared" si="114"/>
        <v>0</v>
      </c>
      <c r="AK443" s="180">
        <f t="shared" si="120"/>
        <v>2500000</v>
      </c>
      <c r="AL443" s="181">
        <f t="shared" si="115"/>
        <v>100</v>
      </c>
      <c r="AM443" s="243"/>
    </row>
    <row r="444" spans="1:39" ht="24.75" customHeight="1" x14ac:dyDescent="0.25">
      <c r="A444" s="243"/>
      <c r="B444" s="437"/>
      <c r="C444" s="437"/>
      <c r="D444" s="437"/>
      <c r="E444" s="437"/>
      <c r="F444" s="437"/>
      <c r="G444" s="437"/>
      <c r="H444" s="437"/>
      <c r="I444" s="438"/>
      <c r="J444" s="437" t="s">
        <v>282</v>
      </c>
      <c r="K444" s="245"/>
      <c r="L444" s="257"/>
      <c r="M444" s="591" t="s">
        <v>503</v>
      </c>
      <c r="N444" s="592"/>
      <c r="O444" s="179"/>
      <c r="P444" s="180"/>
      <c r="Q444" s="180">
        <v>23900000</v>
      </c>
      <c r="R444" s="181">
        <f t="shared" si="123"/>
        <v>22.454597555361389</v>
      </c>
      <c r="S444" s="181">
        <v>100</v>
      </c>
      <c r="T444" s="180">
        <f t="shared" si="117"/>
        <v>44.127615062761507</v>
      </c>
      <c r="U444" s="180">
        <f t="shared" si="122"/>
        <v>9.9086783731221288</v>
      </c>
      <c r="V444" s="182">
        <f t="shared" si="95"/>
        <v>55.872384937238493</v>
      </c>
      <c r="W444" s="180"/>
      <c r="X444" s="180"/>
      <c r="Y444" s="180"/>
      <c r="Z444" s="180"/>
      <c r="AA444" s="180"/>
      <c r="AB444" s="180"/>
      <c r="AC444" s="180"/>
      <c r="AD444" s="180"/>
      <c r="AE444" s="180"/>
      <c r="AF444" s="180"/>
      <c r="AG444" s="180"/>
      <c r="AH444" s="180"/>
      <c r="AI444" s="180">
        <v>10546500</v>
      </c>
      <c r="AJ444" s="181">
        <f t="shared" si="114"/>
        <v>44.127615062761507</v>
      </c>
      <c r="AK444" s="180">
        <f t="shared" si="120"/>
        <v>13353500</v>
      </c>
      <c r="AL444" s="181">
        <f t="shared" si="115"/>
        <v>55.872384937238493</v>
      </c>
      <c r="AM444" s="243"/>
    </row>
    <row r="445" spans="1:39" ht="24.75" customHeight="1" x14ac:dyDescent="0.25">
      <c r="A445" s="243"/>
      <c r="B445" s="437"/>
      <c r="C445" s="437"/>
      <c r="D445" s="437"/>
      <c r="E445" s="437"/>
      <c r="F445" s="437"/>
      <c r="G445" s="437"/>
      <c r="H445" s="437"/>
      <c r="I445" s="438"/>
      <c r="J445" s="437" t="s">
        <v>320</v>
      </c>
      <c r="K445" s="245"/>
      <c r="L445" s="257"/>
      <c r="M445" s="591" t="s">
        <v>321</v>
      </c>
      <c r="N445" s="592"/>
      <c r="O445" s="179"/>
      <c r="P445" s="180"/>
      <c r="Q445" s="180">
        <v>7400000</v>
      </c>
      <c r="R445" s="181">
        <f t="shared" si="123"/>
        <v>6.9524695359696338</v>
      </c>
      <c r="S445" s="181">
        <v>100</v>
      </c>
      <c r="T445" s="180">
        <f t="shared" si="117"/>
        <v>0</v>
      </c>
      <c r="U445" s="180">
        <f t="shared" si="122"/>
        <v>0</v>
      </c>
      <c r="V445" s="182">
        <f t="shared" si="95"/>
        <v>100</v>
      </c>
      <c r="W445" s="180"/>
      <c r="X445" s="180"/>
      <c r="Y445" s="180"/>
      <c r="Z445" s="180"/>
      <c r="AA445" s="180"/>
      <c r="AB445" s="180"/>
      <c r="AC445" s="180"/>
      <c r="AD445" s="180"/>
      <c r="AE445" s="180"/>
      <c r="AF445" s="180"/>
      <c r="AG445" s="180"/>
      <c r="AH445" s="180"/>
      <c r="AI445" s="180">
        <v>0</v>
      </c>
      <c r="AJ445" s="181">
        <f t="shared" si="114"/>
        <v>0</v>
      </c>
      <c r="AK445" s="180">
        <f t="shared" si="120"/>
        <v>7400000</v>
      </c>
      <c r="AL445" s="181">
        <f t="shared" si="115"/>
        <v>100</v>
      </c>
      <c r="AM445" s="243"/>
    </row>
    <row r="446" spans="1:39" ht="24.75" customHeight="1" x14ac:dyDescent="0.25">
      <c r="A446" s="243"/>
      <c r="B446" s="437"/>
      <c r="C446" s="437"/>
      <c r="D446" s="437"/>
      <c r="E446" s="437"/>
      <c r="F446" s="437"/>
      <c r="G446" s="437"/>
      <c r="H446" s="437"/>
      <c r="I446" s="438"/>
      <c r="J446" s="437" t="s">
        <v>407</v>
      </c>
      <c r="K446" s="245"/>
      <c r="L446" s="257"/>
      <c r="M446" s="591" t="s">
        <v>614</v>
      </c>
      <c r="N446" s="592"/>
      <c r="O446" s="179"/>
      <c r="P446" s="180"/>
      <c r="Q446" s="180">
        <v>4800000</v>
      </c>
      <c r="R446" s="181">
        <f t="shared" si="123"/>
        <v>4.5097099692776013</v>
      </c>
      <c r="S446" s="181">
        <v>100</v>
      </c>
      <c r="T446" s="180">
        <f t="shared" si="117"/>
        <v>0</v>
      </c>
      <c r="U446" s="180">
        <f t="shared" si="122"/>
        <v>0</v>
      </c>
      <c r="V446" s="182">
        <f t="shared" si="95"/>
        <v>100</v>
      </c>
      <c r="W446" s="180"/>
      <c r="X446" s="180"/>
      <c r="Y446" s="180"/>
      <c r="Z446" s="180"/>
      <c r="AA446" s="180"/>
      <c r="AB446" s="180"/>
      <c r="AC446" s="180"/>
      <c r="AD446" s="180"/>
      <c r="AE446" s="180"/>
      <c r="AF446" s="180"/>
      <c r="AG446" s="180"/>
      <c r="AH446" s="180"/>
      <c r="AI446" s="180">
        <v>0</v>
      </c>
      <c r="AJ446" s="181">
        <f t="shared" si="114"/>
        <v>0</v>
      </c>
      <c r="AK446" s="180">
        <f t="shared" si="120"/>
        <v>4800000</v>
      </c>
      <c r="AL446" s="181">
        <f t="shared" si="115"/>
        <v>100</v>
      </c>
      <c r="AM446" s="243"/>
    </row>
    <row r="447" spans="1:39" s="297" customFormat="1" ht="28.5" customHeight="1" x14ac:dyDescent="0.25">
      <c r="A447" s="227">
        <f>A436+1</f>
        <v>56</v>
      </c>
      <c r="B447" s="618" t="s">
        <v>155</v>
      </c>
      <c r="C447" s="615"/>
      <c r="D447" s="615"/>
      <c r="E447" s="615"/>
      <c r="F447" s="615"/>
      <c r="G447" s="615"/>
      <c r="H447" s="615"/>
      <c r="I447" s="614"/>
      <c r="J447" s="304" t="s">
        <v>506</v>
      </c>
      <c r="K447" s="230"/>
      <c r="L447" s="294"/>
      <c r="M447" s="610" t="s">
        <v>55</v>
      </c>
      <c r="N447" s="612"/>
      <c r="O447" s="309">
        <v>589234000</v>
      </c>
      <c r="P447" s="231">
        <f>O447</f>
        <v>589234000</v>
      </c>
      <c r="Q447" s="231">
        <f>SUM(Q448:Q456)</f>
        <v>131960000</v>
      </c>
      <c r="R447" s="233">
        <f>Q447/Q$248*100</f>
        <v>1.1063188944167623</v>
      </c>
      <c r="S447" s="233">
        <v>100</v>
      </c>
      <c r="T447" s="231">
        <f t="shared" si="117"/>
        <v>0</v>
      </c>
      <c r="U447" s="231">
        <f t="shared" si="122"/>
        <v>0</v>
      </c>
      <c r="V447" s="296">
        <f t="shared" si="95"/>
        <v>100</v>
      </c>
      <c r="W447" s="231"/>
      <c r="X447" s="231" t="e">
        <f>#REF!</f>
        <v>#REF!</v>
      </c>
      <c r="Y447" s="231" t="e">
        <f>#REF!</f>
        <v>#REF!</v>
      </c>
      <c r="Z447" s="231" t="e">
        <f>#REF!</f>
        <v>#REF!</v>
      </c>
      <c r="AA447" s="231" t="e">
        <f>#REF!</f>
        <v>#REF!</v>
      </c>
      <c r="AB447" s="231">
        <v>371113894</v>
      </c>
      <c r="AC447" s="231" t="e">
        <f>#REF!</f>
        <v>#REF!</v>
      </c>
      <c r="AD447" s="231" t="e">
        <f>#REF!</f>
        <v>#REF!</v>
      </c>
      <c r="AE447" s="231" t="e">
        <f>#REF!</f>
        <v>#REF!</v>
      </c>
      <c r="AF447" s="231" t="e">
        <f>[1]April!N75</f>
        <v>#REF!</v>
      </c>
      <c r="AG447" s="231" t="e">
        <f>[2]april!N75</f>
        <v>#REF!</v>
      </c>
      <c r="AH447" s="231">
        <f>'[3]DES SKPD'!$N75</f>
        <v>574563894</v>
      </c>
      <c r="AI447" s="231">
        <f>SUM(AI448:AI456)</f>
        <v>0</v>
      </c>
      <c r="AJ447" s="233">
        <f t="shared" si="114"/>
        <v>0</v>
      </c>
      <c r="AK447" s="231">
        <f t="shared" si="120"/>
        <v>131960000</v>
      </c>
      <c r="AL447" s="233">
        <f t="shared" si="115"/>
        <v>100</v>
      </c>
      <c r="AM447" s="227"/>
    </row>
    <row r="448" spans="1:39" ht="24.75" customHeight="1" x14ac:dyDescent="0.25">
      <c r="A448" s="243"/>
      <c r="B448" s="437"/>
      <c r="C448" s="437"/>
      <c r="D448" s="437"/>
      <c r="E448" s="437"/>
      <c r="F448" s="437"/>
      <c r="G448" s="437"/>
      <c r="H448" s="437"/>
      <c r="I448" s="438"/>
      <c r="J448" s="437" t="s">
        <v>259</v>
      </c>
      <c r="K448" s="245"/>
      <c r="L448" s="257"/>
      <c r="M448" s="591" t="s">
        <v>260</v>
      </c>
      <c r="N448" s="592"/>
      <c r="O448" s="179"/>
      <c r="P448" s="180"/>
      <c r="Q448" s="180">
        <v>1540000</v>
      </c>
      <c r="R448" s="181">
        <f t="shared" ref="R448:R456" si="124">Q448/Q$447*100</f>
        <v>1.1670203091846014</v>
      </c>
      <c r="S448" s="181">
        <v>100</v>
      </c>
      <c r="T448" s="180">
        <f t="shared" si="117"/>
        <v>0</v>
      </c>
      <c r="U448" s="180">
        <f t="shared" si="122"/>
        <v>0</v>
      </c>
      <c r="V448" s="182">
        <f t="shared" si="95"/>
        <v>100</v>
      </c>
      <c r="W448" s="180"/>
      <c r="X448" s="180"/>
      <c r="Y448" s="180"/>
      <c r="Z448" s="180"/>
      <c r="AA448" s="180"/>
      <c r="AB448" s="180"/>
      <c r="AC448" s="180"/>
      <c r="AD448" s="180"/>
      <c r="AE448" s="180"/>
      <c r="AF448" s="180"/>
      <c r="AG448" s="180"/>
      <c r="AH448" s="180"/>
      <c r="AI448" s="180">
        <v>0</v>
      </c>
      <c r="AJ448" s="181">
        <f t="shared" si="114"/>
        <v>0</v>
      </c>
      <c r="AK448" s="180">
        <f t="shared" si="120"/>
        <v>1540000</v>
      </c>
      <c r="AL448" s="181">
        <f t="shared" si="115"/>
        <v>100</v>
      </c>
      <c r="AM448" s="243"/>
    </row>
    <row r="449" spans="1:39" ht="39" customHeight="1" x14ac:dyDescent="0.25">
      <c r="A449" s="243"/>
      <c r="B449" s="437"/>
      <c r="C449" s="437"/>
      <c r="D449" s="437"/>
      <c r="E449" s="437"/>
      <c r="F449" s="437"/>
      <c r="G449" s="437"/>
      <c r="H449" s="437"/>
      <c r="I449" s="438"/>
      <c r="J449" s="437" t="s">
        <v>345</v>
      </c>
      <c r="K449" s="245"/>
      <c r="L449" s="257"/>
      <c r="M449" s="591" t="s">
        <v>346</v>
      </c>
      <c r="N449" s="592"/>
      <c r="O449" s="179"/>
      <c r="P449" s="180"/>
      <c r="Q449" s="180">
        <v>1400000</v>
      </c>
      <c r="R449" s="181">
        <f t="shared" si="124"/>
        <v>1.0609275538041831</v>
      </c>
      <c r="S449" s="181">
        <v>100</v>
      </c>
      <c r="T449" s="180">
        <f t="shared" si="117"/>
        <v>0</v>
      </c>
      <c r="U449" s="180">
        <f t="shared" si="122"/>
        <v>0</v>
      </c>
      <c r="V449" s="182">
        <f t="shared" si="95"/>
        <v>100</v>
      </c>
      <c r="W449" s="180"/>
      <c r="X449" s="180"/>
      <c r="Y449" s="180"/>
      <c r="Z449" s="180"/>
      <c r="AA449" s="180"/>
      <c r="AB449" s="180"/>
      <c r="AC449" s="180"/>
      <c r="AD449" s="180"/>
      <c r="AE449" s="180"/>
      <c r="AF449" s="180"/>
      <c r="AG449" s="180"/>
      <c r="AH449" s="180"/>
      <c r="AI449" s="180">
        <v>0</v>
      </c>
      <c r="AJ449" s="181">
        <f t="shared" si="114"/>
        <v>0</v>
      </c>
      <c r="AK449" s="180">
        <f t="shared" si="120"/>
        <v>1400000</v>
      </c>
      <c r="AL449" s="181">
        <f t="shared" si="115"/>
        <v>100</v>
      </c>
      <c r="AM449" s="243"/>
    </row>
    <row r="450" spans="1:39" ht="24.75" customHeight="1" x14ac:dyDescent="0.25">
      <c r="A450" s="243"/>
      <c r="B450" s="437"/>
      <c r="C450" s="437"/>
      <c r="D450" s="437"/>
      <c r="E450" s="437"/>
      <c r="F450" s="437"/>
      <c r="G450" s="437"/>
      <c r="H450" s="437"/>
      <c r="I450" s="438"/>
      <c r="J450" s="437" t="s">
        <v>315</v>
      </c>
      <c r="K450" s="245"/>
      <c r="L450" s="257"/>
      <c r="M450" s="591" t="s">
        <v>271</v>
      </c>
      <c r="N450" s="592"/>
      <c r="O450" s="179"/>
      <c r="P450" s="180"/>
      <c r="Q450" s="180">
        <v>3400000</v>
      </c>
      <c r="R450" s="181">
        <f t="shared" si="124"/>
        <v>2.5765383449530157</v>
      </c>
      <c r="S450" s="181">
        <v>100</v>
      </c>
      <c r="T450" s="180">
        <f t="shared" si="117"/>
        <v>0</v>
      </c>
      <c r="U450" s="180">
        <f t="shared" si="122"/>
        <v>0</v>
      </c>
      <c r="V450" s="182">
        <f t="shared" si="95"/>
        <v>100</v>
      </c>
      <c r="W450" s="180"/>
      <c r="X450" s="180"/>
      <c r="Y450" s="180"/>
      <c r="Z450" s="180"/>
      <c r="AA450" s="180"/>
      <c r="AB450" s="180"/>
      <c r="AC450" s="180"/>
      <c r="AD450" s="180"/>
      <c r="AE450" s="180"/>
      <c r="AF450" s="180"/>
      <c r="AG450" s="180"/>
      <c r="AH450" s="180"/>
      <c r="AI450" s="180">
        <v>0</v>
      </c>
      <c r="AJ450" s="181">
        <f t="shared" si="114"/>
        <v>0</v>
      </c>
      <c r="AK450" s="180">
        <f t="shared" si="120"/>
        <v>3400000</v>
      </c>
      <c r="AL450" s="181">
        <f t="shared" si="115"/>
        <v>100</v>
      </c>
      <c r="AM450" s="243"/>
    </row>
    <row r="451" spans="1:39" ht="27.75" customHeight="1" x14ac:dyDescent="0.25">
      <c r="A451" s="243"/>
      <c r="B451" s="437"/>
      <c r="C451" s="437"/>
      <c r="D451" s="437"/>
      <c r="E451" s="437"/>
      <c r="F451" s="437"/>
      <c r="G451" s="437"/>
      <c r="H451" s="437"/>
      <c r="I451" s="438"/>
      <c r="J451" s="437" t="s">
        <v>318</v>
      </c>
      <c r="K451" s="245"/>
      <c r="L451" s="257"/>
      <c r="M451" s="591" t="s">
        <v>319</v>
      </c>
      <c r="N451" s="592"/>
      <c r="O451" s="179"/>
      <c r="P451" s="180"/>
      <c r="Q451" s="180">
        <v>64800000</v>
      </c>
      <c r="R451" s="181">
        <f t="shared" si="124"/>
        <v>49.105789633222194</v>
      </c>
      <c r="S451" s="181">
        <v>100</v>
      </c>
      <c r="T451" s="180">
        <f t="shared" si="117"/>
        <v>0</v>
      </c>
      <c r="U451" s="180">
        <f t="shared" si="122"/>
        <v>0</v>
      </c>
      <c r="V451" s="182">
        <f t="shared" si="95"/>
        <v>100</v>
      </c>
      <c r="W451" s="180"/>
      <c r="X451" s="180"/>
      <c r="Y451" s="180"/>
      <c r="Z451" s="180"/>
      <c r="AA451" s="180"/>
      <c r="AB451" s="180"/>
      <c r="AC451" s="180"/>
      <c r="AD451" s="180"/>
      <c r="AE451" s="180"/>
      <c r="AF451" s="180"/>
      <c r="AG451" s="180"/>
      <c r="AH451" s="180"/>
      <c r="AI451" s="180">
        <v>0</v>
      </c>
      <c r="AJ451" s="181">
        <f t="shared" si="114"/>
        <v>0</v>
      </c>
      <c r="AK451" s="180">
        <f t="shared" si="120"/>
        <v>64800000</v>
      </c>
      <c r="AL451" s="181">
        <f t="shared" si="115"/>
        <v>100</v>
      </c>
      <c r="AM451" s="243"/>
    </row>
    <row r="452" spans="1:39" ht="24.75" customHeight="1" x14ac:dyDescent="0.25">
      <c r="A452" s="243"/>
      <c r="B452" s="437"/>
      <c r="C452" s="437"/>
      <c r="D452" s="437"/>
      <c r="E452" s="437"/>
      <c r="F452" s="437"/>
      <c r="G452" s="437"/>
      <c r="H452" s="437"/>
      <c r="I452" s="438"/>
      <c r="J452" s="437" t="s">
        <v>330</v>
      </c>
      <c r="K452" s="245"/>
      <c r="L452" s="257"/>
      <c r="M452" s="591" t="s">
        <v>331</v>
      </c>
      <c r="N452" s="592"/>
      <c r="O452" s="179"/>
      <c r="P452" s="180"/>
      <c r="Q452" s="180">
        <v>12000000</v>
      </c>
      <c r="R452" s="181">
        <f t="shared" si="124"/>
        <v>9.0936647468929976</v>
      </c>
      <c r="S452" s="181">
        <v>100</v>
      </c>
      <c r="T452" s="180">
        <f t="shared" si="117"/>
        <v>0</v>
      </c>
      <c r="U452" s="180">
        <f t="shared" si="122"/>
        <v>0</v>
      </c>
      <c r="V452" s="182">
        <f t="shared" si="95"/>
        <v>100</v>
      </c>
      <c r="W452" s="180"/>
      <c r="X452" s="180"/>
      <c r="Y452" s="180"/>
      <c r="Z452" s="180"/>
      <c r="AA452" s="180"/>
      <c r="AB452" s="180"/>
      <c r="AC452" s="180"/>
      <c r="AD452" s="180"/>
      <c r="AE452" s="180"/>
      <c r="AF452" s="180"/>
      <c r="AG452" s="180"/>
      <c r="AH452" s="180"/>
      <c r="AI452" s="180">
        <v>0</v>
      </c>
      <c r="AJ452" s="181">
        <f t="shared" si="114"/>
        <v>0</v>
      </c>
      <c r="AK452" s="180">
        <f t="shared" si="120"/>
        <v>12000000</v>
      </c>
      <c r="AL452" s="181">
        <f t="shared" si="115"/>
        <v>100</v>
      </c>
      <c r="AM452" s="243"/>
    </row>
    <row r="453" spans="1:39" ht="24.75" customHeight="1" x14ac:dyDescent="0.25">
      <c r="A453" s="243"/>
      <c r="B453" s="437"/>
      <c r="C453" s="437"/>
      <c r="D453" s="437"/>
      <c r="E453" s="437"/>
      <c r="F453" s="437"/>
      <c r="G453" s="437"/>
      <c r="H453" s="437"/>
      <c r="I453" s="438"/>
      <c r="J453" s="437" t="s">
        <v>284</v>
      </c>
      <c r="K453" s="245"/>
      <c r="L453" s="257"/>
      <c r="M453" s="591" t="s">
        <v>585</v>
      </c>
      <c r="N453" s="592"/>
      <c r="O453" s="179"/>
      <c r="P453" s="180"/>
      <c r="Q453" s="180">
        <v>300000</v>
      </c>
      <c r="R453" s="181">
        <f t="shared" si="124"/>
        <v>0.22734161867232497</v>
      </c>
      <c r="S453" s="181">
        <v>100</v>
      </c>
      <c r="T453" s="180">
        <f t="shared" si="117"/>
        <v>0</v>
      </c>
      <c r="U453" s="180">
        <f t="shared" si="122"/>
        <v>0</v>
      </c>
      <c r="V453" s="182">
        <f t="shared" si="95"/>
        <v>100</v>
      </c>
      <c r="W453" s="180"/>
      <c r="X453" s="180"/>
      <c r="Y453" s="180"/>
      <c r="Z453" s="180"/>
      <c r="AA453" s="180"/>
      <c r="AB453" s="180"/>
      <c r="AC453" s="180"/>
      <c r="AD453" s="180"/>
      <c r="AE453" s="180"/>
      <c r="AF453" s="180"/>
      <c r="AG453" s="180"/>
      <c r="AH453" s="180"/>
      <c r="AI453" s="180">
        <v>0</v>
      </c>
      <c r="AJ453" s="181">
        <f t="shared" si="114"/>
        <v>0</v>
      </c>
      <c r="AK453" s="180">
        <f t="shared" si="120"/>
        <v>300000</v>
      </c>
      <c r="AL453" s="181">
        <f t="shared" si="115"/>
        <v>100</v>
      </c>
      <c r="AM453" s="243"/>
    </row>
    <row r="454" spans="1:39" ht="24.75" customHeight="1" x14ac:dyDescent="0.25">
      <c r="A454" s="243"/>
      <c r="B454" s="437"/>
      <c r="C454" s="437"/>
      <c r="D454" s="437"/>
      <c r="E454" s="437"/>
      <c r="F454" s="437"/>
      <c r="G454" s="437"/>
      <c r="H454" s="437"/>
      <c r="I454" s="438"/>
      <c r="J454" s="437" t="s">
        <v>282</v>
      </c>
      <c r="K454" s="245"/>
      <c r="L454" s="257"/>
      <c r="M454" s="591" t="s">
        <v>503</v>
      </c>
      <c r="N454" s="592"/>
      <c r="O454" s="179"/>
      <c r="P454" s="180"/>
      <c r="Q454" s="180">
        <v>26720000</v>
      </c>
      <c r="R454" s="181">
        <f t="shared" si="124"/>
        <v>20.248560169748409</v>
      </c>
      <c r="S454" s="181">
        <v>100</v>
      </c>
      <c r="T454" s="180">
        <f t="shared" si="117"/>
        <v>0</v>
      </c>
      <c r="U454" s="180">
        <f t="shared" si="122"/>
        <v>0</v>
      </c>
      <c r="V454" s="182">
        <f t="shared" si="95"/>
        <v>100</v>
      </c>
      <c r="W454" s="180"/>
      <c r="X454" s="180"/>
      <c r="Y454" s="180"/>
      <c r="Z454" s="180"/>
      <c r="AA454" s="180"/>
      <c r="AB454" s="180"/>
      <c r="AC454" s="180"/>
      <c r="AD454" s="180"/>
      <c r="AE454" s="180"/>
      <c r="AF454" s="180"/>
      <c r="AG454" s="180"/>
      <c r="AH454" s="180"/>
      <c r="AI454" s="180">
        <v>0</v>
      </c>
      <c r="AJ454" s="181">
        <f t="shared" si="114"/>
        <v>0</v>
      </c>
      <c r="AK454" s="180">
        <f t="shared" si="120"/>
        <v>26720000</v>
      </c>
      <c r="AL454" s="181">
        <f t="shared" si="115"/>
        <v>100</v>
      </c>
      <c r="AM454" s="243"/>
    </row>
    <row r="455" spans="1:39" ht="24.75" customHeight="1" x14ac:dyDescent="0.25">
      <c r="A455" s="243"/>
      <c r="B455" s="437"/>
      <c r="C455" s="437"/>
      <c r="D455" s="437"/>
      <c r="E455" s="437"/>
      <c r="F455" s="437"/>
      <c r="G455" s="437"/>
      <c r="H455" s="437"/>
      <c r="I455" s="438"/>
      <c r="J455" s="437" t="s">
        <v>320</v>
      </c>
      <c r="K455" s="245"/>
      <c r="L455" s="257"/>
      <c r="M455" s="591" t="s">
        <v>321</v>
      </c>
      <c r="N455" s="592"/>
      <c r="O455" s="179"/>
      <c r="P455" s="180"/>
      <c r="Q455" s="180">
        <v>13800000</v>
      </c>
      <c r="R455" s="181">
        <f t="shared" si="124"/>
        <v>10.457714458926947</v>
      </c>
      <c r="S455" s="181">
        <v>100</v>
      </c>
      <c r="T455" s="180">
        <f t="shared" si="117"/>
        <v>0</v>
      </c>
      <c r="U455" s="180">
        <f t="shared" si="122"/>
        <v>0</v>
      </c>
      <c r="V455" s="182">
        <f t="shared" si="95"/>
        <v>100</v>
      </c>
      <c r="W455" s="180"/>
      <c r="X455" s="180"/>
      <c r="Y455" s="180"/>
      <c r="Z455" s="180"/>
      <c r="AA455" s="180"/>
      <c r="AB455" s="180"/>
      <c r="AC455" s="180"/>
      <c r="AD455" s="180"/>
      <c r="AE455" s="180"/>
      <c r="AF455" s="180"/>
      <c r="AG455" s="180"/>
      <c r="AH455" s="180"/>
      <c r="AI455" s="180">
        <v>0</v>
      </c>
      <c r="AJ455" s="181">
        <f t="shared" si="114"/>
        <v>0</v>
      </c>
      <c r="AK455" s="180">
        <f t="shared" si="120"/>
        <v>13800000</v>
      </c>
      <c r="AL455" s="181">
        <f t="shared" si="115"/>
        <v>100</v>
      </c>
      <c r="AM455" s="243"/>
    </row>
    <row r="456" spans="1:39" ht="24.75" customHeight="1" x14ac:dyDescent="0.25">
      <c r="A456" s="243"/>
      <c r="B456" s="437"/>
      <c r="C456" s="437"/>
      <c r="D456" s="437"/>
      <c r="E456" s="437"/>
      <c r="F456" s="437"/>
      <c r="G456" s="437"/>
      <c r="H456" s="437"/>
      <c r="I456" s="438"/>
      <c r="J456" s="437" t="s">
        <v>407</v>
      </c>
      <c r="K456" s="245"/>
      <c r="L456" s="257"/>
      <c r="M456" s="591" t="s">
        <v>414</v>
      </c>
      <c r="N456" s="592"/>
      <c r="O456" s="179"/>
      <c r="P456" s="180"/>
      <c r="Q456" s="180">
        <v>8000000</v>
      </c>
      <c r="R456" s="181">
        <f t="shared" si="124"/>
        <v>6.0624431645953321</v>
      </c>
      <c r="S456" s="181"/>
      <c r="T456" s="180">
        <f t="shared" si="117"/>
        <v>0</v>
      </c>
      <c r="U456" s="180">
        <f t="shared" si="122"/>
        <v>0</v>
      </c>
      <c r="V456" s="182"/>
      <c r="W456" s="180"/>
      <c r="X456" s="180"/>
      <c r="Y456" s="180"/>
      <c r="Z456" s="180"/>
      <c r="AA456" s="180"/>
      <c r="AB456" s="180"/>
      <c r="AC456" s="180"/>
      <c r="AD456" s="180"/>
      <c r="AE456" s="180"/>
      <c r="AF456" s="180"/>
      <c r="AG456" s="180"/>
      <c r="AH456" s="180"/>
      <c r="AI456" s="180">
        <v>0</v>
      </c>
      <c r="AJ456" s="181">
        <f t="shared" si="114"/>
        <v>0</v>
      </c>
      <c r="AK456" s="180">
        <f t="shared" si="120"/>
        <v>8000000</v>
      </c>
      <c r="AL456" s="181">
        <f t="shared" si="115"/>
        <v>100</v>
      </c>
      <c r="AM456" s="243"/>
    </row>
    <row r="457" spans="1:39" s="297" customFormat="1" ht="30" customHeight="1" x14ac:dyDescent="0.25">
      <c r="A457" s="227">
        <f>A447+1</f>
        <v>57</v>
      </c>
      <c r="B457" s="615" t="s">
        <v>156</v>
      </c>
      <c r="C457" s="615"/>
      <c r="D457" s="615"/>
      <c r="E457" s="615"/>
      <c r="F457" s="615"/>
      <c r="G457" s="615"/>
      <c r="H457" s="615"/>
      <c r="I457" s="614"/>
      <c r="J457" s="304" t="s">
        <v>507</v>
      </c>
      <c r="K457" s="230"/>
      <c r="L457" s="294"/>
      <c r="M457" s="610" t="s">
        <v>157</v>
      </c>
      <c r="N457" s="610"/>
      <c r="O457" s="309">
        <v>1493981000</v>
      </c>
      <c r="P457" s="231">
        <f>O457</f>
        <v>1493981000</v>
      </c>
      <c r="Q457" s="231">
        <f>SUM(Q458:Q465)</f>
        <v>759011476</v>
      </c>
      <c r="R457" s="233">
        <f>Q457/Q$248*100</f>
        <v>6.3633581159287287</v>
      </c>
      <c r="S457" s="233">
        <v>100</v>
      </c>
      <c r="T457" s="231">
        <f t="shared" si="117"/>
        <v>45.507217074014306</v>
      </c>
      <c r="U457" s="231">
        <f t="shared" si="122"/>
        <v>2.8957871910125936</v>
      </c>
      <c r="V457" s="296">
        <f t="shared" si="95"/>
        <v>54.492782925985694</v>
      </c>
      <c r="W457" s="231"/>
      <c r="X457" s="231" t="e">
        <f>#REF!</f>
        <v>#REF!</v>
      </c>
      <c r="Y457" s="231" t="e">
        <f>#REF!</f>
        <v>#REF!</v>
      </c>
      <c r="Z457" s="231" t="e">
        <f>#REF!</f>
        <v>#REF!</v>
      </c>
      <c r="AA457" s="231" t="e">
        <f>#REF!</f>
        <v>#REF!</v>
      </c>
      <c r="AB457" s="231">
        <v>366754000</v>
      </c>
      <c r="AC457" s="231" t="e">
        <f>#REF!</f>
        <v>#REF!</v>
      </c>
      <c r="AD457" s="231" t="e">
        <f>#REF!</f>
        <v>#REF!</v>
      </c>
      <c r="AE457" s="231" t="e">
        <f>#REF!</f>
        <v>#REF!</v>
      </c>
      <c r="AF457" s="231" t="e">
        <f>[1]April!N76</f>
        <v>#REF!</v>
      </c>
      <c r="AG457" s="231" t="e">
        <f>[2]april!N76</f>
        <v>#REF!</v>
      </c>
      <c r="AH457" s="231">
        <f>'[3]DES SKPD'!$N76</f>
        <v>1083037500</v>
      </c>
      <c r="AI457" s="231">
        <f>SUM(AI458:AI465)</f>
        <v>345405000</v>
      </c>
      <c r="AJ457" s="233">
        <f t="shared" si="114"/>
        <v>45.507217074014306</v>
      </c>
      <c r="AK457" s="231">
        <f>Q457-AI457</f>
        <v>413606476</v>
      </c>
      <c r="AL457" s="233">
        <f t="shared" si="115"/>
        <v>54.492782925985694</v>
      </c>
      <c r="AM457" s="227"/>
    </row>
    <row r="458" spans="1:39" ht="30" customHeight="1" x14ac:dyDescent="0.25">
      <c r="A458" s="243"/>
      <c r="B458" s="437"/>
      <c r="C458" s="437"/>
      <c r="D458" s="437"/>
      <c r="E458" s="437"/>
      <c r="F458" s="437"/>
      <c r="G458" s="437"/>
      <c r="H458" s="437"/>
      <c r="I458" s="438"/>
      <c r="J458" s="437" t="s">
        <v>259</v>
      </c>
      <c r="K458" s="245"/>
      <c r="L458" s="257"/>
      <c r="M458" s="591" t="s">
        <v>615</v>
      </c>
      <c r="N458" s="592"/>
      <c r="O458" s="179"/>
      <c r="P458" s="180"/>
      <c r="Q458" s="180">
        <v>3850000</v>
      </c>
      <c r="R458" s="181">
        <f t="shared" ref="R458:R465" si="125">Q458/Q$457*100</f>
        <v>0.5072387074158019</v>
      </c>
      <c r="S458" s="181">
        <v>100</v>
      </c>
      <c r="T458" s="180">
        <f t="shared" si="117"/>
        <v>20</v>
      </c>
      <c r="U458" s="180">
        <f t="shared" si="122"/>
        <v>0.10144774148316038</v>
      </c>
      <c r="V458" s="182">
        <f t="shared" si="95"/>
        <v>80</v>
      </c>
      <c r="W458" s="180"/>
      <c r="X458" s="180"/>
      <c r="Y458" s="180"/>
      <c r="Z458" s="180"/>
      <c r="AA458" s="180"/>
      <c r="AB458" s="180"/>
      <c r="AC458" s="180"/>
      <c r="AD458" s="180"/>
      <c r="AE458" s="180"/>
      <c r="AF458" s="180"/>
      <c r="AG458" s="180"/>
      <c r="AH458" s="180"/>
      <c r="AI458" s="180">
        <v>770000</v>
      </c>
      <c r="AJ458" s="181">
        <f t="shared" si="114"/>
        <v>20</v>
      </c>
      <c r="AK458" s="180">
        <f t="shared" si="120"/>
        <v>3080000</v>
      </c>
      <c r="AL458" s="181">
        <f t="shared" si="115"/>
        <v>80</v>
      </c>
      <c r="AM458" s="243"/>
    </row>
    <row r="459" spans="1:39" ht="30" customHeight="1" x14ac:dyDescent="0.25">
      <c r="A459" s="243"/>
      <c r="B459" s="437"/>
      <c r="C459" s="437"/>
      <c r="D459" s="437"/>
      <c r="E459" s="437"/>
      <c r="F459" s="437"/>
      <c r="G459" s="437"/>
      <c r="H459" s="437"/>
      <c r="I459" s="438"/>
      <c r="J459" s="437" t="s">
        <v>269</v>
      </c>
      <c r="K459" s="245"/>
      <c r="L459" s="257"/>
      <c r="M459" s="591" t="s">
        <v>354</v>
      </c>
      <c r="N459" s="592"/>
      <c r="O459" s="179"/>
      <c r="P459" s="180"/>
      <c r="Q459" s="180">
        <v>155506476</v>
      </c>
      <c r="R459" s="181">
        <f t="shared" si="125"/>
        <v>20.488026982084786</v>
      </c>
      <c r="S459" s="181">
        <v>100</v>
      </c>
      <c r="T459" s="180">
        <f t="shared" si="117"/>
        <v>31.252717732475656</v>
      </c>
      <c r="U459" s="180">
        <f t="shared" si="122"/>
        <v>6.4030652416644092</v>
      </c>
      <c r="V459" s="182">
        <f t="shared" si="95"/>
        <v>68.747282267524341</v>
      </c>
      <c r="W459" s="180"/>
      <c r="X459" s="180"/>
      <c r="Y459" s="180"/>
      <c r="Z459" s="180"/>
      <c r="AA459" s="180"/>
      <c r="AB459" s="180"/>
      <c r="AC459" s="180"/>
      <c r="AD459" s="180"/>
      <c r="AE459" s="180"/>
      <c r="AF459" s="180"/>
      <c r="AG459" s="180"/>
      <c r="AH459" s="180"/>
      <c r="AI459" s="180">
        <v>48600000</v>
      </c>
      <c r="AJ459" s="181">
        <f t="shared" si="114"/>
        <v>31.252717732475656</v>
      </c>
      <c r="AK459" s="180">
        <f t="shared" si="120"/>
        <v>106906476</v>
      </c>
      <c r="AL459" s="181">
        <f t="shared" si="115"/>
        <v>68.747282267524341</v>
      </c>
      <c r="AM459" s="243"/>
    </row>
    <row r="460" spans="1:39" ht="30" customHeight="1" x14ac:dyDescent="0.25">
      <c r="A460" s="243"/>
      <c r="B460" s="437"/>
      <c r="C460" s="437"/>
      <c r="D460" s="437"/>
      <c r="E460" s="437"/>
      <c r="F460" s="437"/>
      <c r="G460" s="437"/>
      <c r="H460" s="437"/>
      <c r="I460" s="438"/>
      <c r="J460" s="437" t="s">
        <v>306</v>
      </c>
      <c r="K460" s="245"/>
      <c r="L460" s="257"/>
      <c r="M460" s="591" t="s">
        <v>352</v>
      </c>
      <c r="N460" s="592"/>
      <c r="O460" s="179"/>
      <c r="P460" s="180"/>
      <c r="Q460" s="180">
        <v>47955000</v>
      </c>
      <c r="R460" s="181">
        <f t="shared" si="125"/>
        <v>6.3180862893830607</v>
      </c>
      <c r="S460" s="181">
        <v>100</v>
      </c>
      <c r="T460" s="180">
        <f t="shared" si="117"/>
        <v>100</v>
      </c>
      <c r="U460" s="180">
        <f t="shared" si="122"/>
        <v>6.3180862893830616</v>
      </c>
      <c r="V460" s="182">
        <f t="shared" si="95"/>
        <v>0</v>
      </c>
      <c r="W460" s="180"/>
      <c r="X460" s="180"/>
      <c r="Y460" s="180"/>
      <c r="Z460" s="180"/>
      <c r="AA460" s="180"/>
      <c r="AB460" s="180"/>
      <c r="AC460" s="180"/>
      <c r="AD460" s="180"/>
      <c r="AE460" s="180"/>
      <c r="AF460" s="180"/>
      <c r="AG460" s="180"/>
      <c r="AH460" s="180"/>
      <c r="AI460" s="180">
        <v>47955000</v>
      </c>
      <c r="AJ460" s="181">
        <f t="shared" si="114"/>
        <v>100</v>
      </c>
      <c r="AK460" s="180">
        <f t="shared" si="120"/>
        <v>0</v>
      </c>
      <c r="AL460" s="181">
        <f t="shared" si="115"/>
        <v>0</v>
      </c>
      <c r="AM460" s="243"/>
    </row>
    <row r="461" spans="1:39" ht="30" customHeight="1" x14ac:dyDescent="0.25">
      <c r="A461" s="243"/>
      <c r="B461" s="437"/>
      <c r="C461" s="437"/>
      <c r="D461" s="437"/>
      <c r="E461" s="437"/>
      <c r="F461" s="437"/>
      <c r="G461" s="437"/>
      <c r="H461" s="437"/>
      <c r="I461" s="438"/>
      <c r="J461" s="437" t="s">
        <v>308</v>
      </c>
      <c r="K461" s="245"/>
      <c r="L461" s="257"/>
      <c r="M461" s="591" t="s">
        <v>612</v>
      </c>
      <c r="N461" s="592"/>
      <c r="O461" s="179"/>
      <c r="P461" s="180"/>
      <c r="Q461" s="180">
        <v>5000000</v>
      </c>
      <c r="R461" s="181">
        <f t="shared" si="125"/>
        <v>0.65875156807247004</v>
      </c>
      <c r="S461" s="181">
        <v>100</v>
      </c>
      <c r="T461" s="180">
        <f t="shared" si="117"/>
        <v>100</v>
      </c>
      <c r="U461" s="180">
        <f t="shared" si="122"/>
        <v>0.65875156807247004</v>
      </c>
      <c r="V461" s="182">
        <f t="shared" si="95"/>
        <v>0</v>
      </c>
      <c r="W461" s="180"/>
      <c r="X461" s="180"/>
      <c r="Y461" s="180"/>
      <c r="Z461" s="180"/>
      <c r="AA461" s="180"/>
      <c r="AB461" s="180"/>
      <c r="AC461" s="180"/>
      <c r="AD461" s="180"/>
      <c r="AE461" s="180"/>
      <c r="AF461" s="180"/>
      <c r="AG461" s="180"/>
      <c r="AH461" s="180"/>
      <c r="AI461" s="180">
        <v>5000000</v>
      </c>
      <c r="AJ461" s="181">
        <f t="shared" si="114"/>
        <v>100</v>
      </c>
      <c r="AK461" s="180">
        <f t="shared" si="120"/>
        <v>0</v>
      </c>
      <c r="AL461" s="181">
        <f t="shared" si="115"/>
        <v>0</v>
      </c>
      <c r="AM461" s="243"/>
    </row>
    <row r="462" spans="1:39" ht="30" customHeight="1" x14ac:dyDescent="0.25">
      <c r="A462" s="243"/>
      <c r="B462" s="437"/>
      <c r="C462" s="437"/>
      <c r="D462" s="437"/>
      <c r="E462" s="437"/>
      <c r="F462" s="437"/>
      <c r="G462" s="437"/>
      <c r="H462" s="437"/>
      <c r="I462" s="438"/>
      <c r="J462" s="437" t="s">
        <v>282</v>
      </c>
      <c r="K462" s="245"/>
      <c r="L462" s="257"/>
      <c r="M462" s="591" t="s">
        <v>616</v>
      </c>
      <c r="N462" s="592"/>
      <c r="O462" s="179"/>
      <c r="P462" s="180"/>
      <c r="Q462" s="180">
        <v>63700000</v>
      </c>
      <c r="R462" s="181">
        <f t="shared" si="125"/>
        <v>8.3924949772432687</v>
      </c>
      <c r="S462" s="181">
        <v>100</v>
      </c>
      <c r="T462" s="180">
        <f t="shared" si="117"/>
        <v>43.061224489795919</v>
      </c>
      <c r="U462" s="180">
        <f t="shared" si="122"/>
        <v>3.6139111024455706</v>
      </c>
      <c r="V462" s="182">
        <f t="shared" si="95"/>
        <v>56.938775510204081</v>
      </c>
      <c r="W462" s="180"/>
      <c r="X462" s="180"/>
      <c r="Y462" s="180"/>
      <c r="Z462" s="180"/>
      <c r="AA462" s="180"/>
      <c r="AB462" s="180"/>
      <c r="AC462" s="180"/>
      <c r="AD462" s="180"/>
      <c r="AE462" s="180"/>
      <c r="AF462" s="180"/>
      <c r="AG462" s="180"/>
      <c r="AH462" s="180"/>
      <c r="AI462" s="180">
        <v>27430000</v>
      </c>
      <c r="AJ462" s="181">
        <f t="shared" si="114"/>
        <v>43.061224489795919</v>
      </c>
      <c r="AK462" s="180">
        <f t="shared" si="120"/>
        <v>36270000</v>
      </c>
      <c r="AL462" s="181">
        <f t="shared" si="115"/>
        <v>56.938775510204088</v>
      </c>
      <c r="AM462" s="243"/>
    </row>
    <row r="463" spans="1:39" ht="30" customHeight="1" x14ac:dyDescent="0.25">
      <c r="A463" s="243"/>
      <c r="B463" s="437"/>
      <c r="C463" s="437"/>
      <c r="D463" s="437"/>
      <c r="E463" s="437"/>
      <c r="F463" s="437"/>
      <c r="G463" s="437"/>
      <c r="H463" s="437"/>
      <c r="I463" s="438"/>
      <c r="J463" s="437" t="s">
        <v>308</v>
      </c>
      <c r="K463" s="245"/>
      <c r="L463" s="257"/>
      <c r="M463" s="591" t="s">
        <v>601</v>
      </c>
      <c r="N463" s="592"/>
      <c r="O463" s="179"/>
      <c r="P463" s="180"/>
      <c r="Q463" s="180">
        <v>225000000</v>
      </c>
      <c r="R463" s="181">
        <f t="shared" si="125"/>
        <v>29.643820563261151</v>
      </c>
      <c r="S463" s="181">
        <v>100</v>
      </c>
      <c r="T463" s="180">
        <f t="shared" si="117"/>
        <v>39.177777777777777</v>
      </c>
      <c r="U463" s="180">
        <f t="shared" si="122"/>
        <v>11.613790145117646</v>
      </c>
      <c r="V463" s="182">
        <f t="shared" si="95"/>
        <v>60.822222222222223</v>
      </c>
      <c r="W463" s="180"/>
      <c r="X463" s="180"/>
      <c r="Y463" s="180"/>
      <c r="Z463" s="180"/>
      <c r="AA463" s="180"/>
      <c r="AB463" s="180"/>
      <c r="AC463" s="180"/>
      <c r="AD463" s="180"/>
      <c r="AE463" s="180"/>
      <c r="AF463" s="180"/>
      <c r="AG463" s="180"/>
      <c r="AH463" s="180"/>
      <c r="AI463" s="180">
        <f>49500000+38650000</f>
        <v>88150000</v>
      </c>
      <c r="AJ463" s="181">
        <f t="shared" si="114"/>
        <v>39.177777777777777</v>
      </c>
      <c r="AK463" s="180">
        <f t="shared" si="120"/>
        <v>136850000</v>
      </c>
      <c r="AL463" s="181">
        <f t="shared" si="115"/>
        <v>60.822222222222223</v>
      </c>
      <c r="AM463" s="243"/>
    </row>
    <row r="464" spans="1:39" ht="30" customHeight="1" x14ac:dyDescent="0.25">
      <c r="A464" s="243"/>
      <c r="B464" s="437"/>
      <c r="C464" s="437"/>
      <c r="D464" s="437"/>
      <c r="E464" s="437"/>
      <c r="F464" s="437"/>
      <c r="G464" s="437"/>
      <c r="H464" s="437"/>
      <c r="I464" s="438"/>
      <c r="J464" s="437" t="s">
        <v>309</v>
      </c>
      <c r="K464" s="245"/>
      <c r="L464" s="257"/>
      <c r="M464" s="591" t="s">
        <v>310</v>
      </c>
      <c r="N464" s="592"/>
      <c r="O464" s="179"/>
      <c r="P464" s="180"/>
      <c r="Q464" s="180">
        <v>28500000</v>
      </c>
      <c r="R464" s="181">
        <f t="shared" si="125"/>
        <v>3.7548839380130796</v>
      </c>
      <c r="S464" s="181">
        <v>100</v>
      </c>
      <c r="T464" s="180">
        <f t="shared" si="117"/>
        <v>0</v>
      </c>
      <c r="U464" s="180">
        <f t="shared" si="122"/>
        <v>0</v>
      </c>
      <c r="V464" s="182">
        <f t="shared" si="95"/>
        <v>100</v>
      </c>
      <c r="W464" s="180"/>
      <c r="X464" s="180"/>
      <c r="Y464" s="180"/>
      <c r="Z464" s="180"/>
      <c r="AA464" s="180"/>
      <c r="AB464" s="180"/>
      <c r="AC464" s="180"/>
      <c r="AD464" s="180"/>
      <c r="AE464" s="180"/>
      <c r="AF464" s="180"/>
      <c r="AG464" s="180"/>
      <c r="AH464" s="180"/>
      <c r="AI464" s="180">
        <v>0</v>
      </c>
      <c r="AJ464" s="181">
        <f t="shared" si="114"/>
        <v>0</v>
      </c>
      <c r="AK464" s="180">
        <f t="shared" si="120"/>
        <v>28500000</v>
      </c>
      <c r="AL464" s="181">
        <f t="shared" si="115"/>
        <v>100</v>
      </c>
      <c r="AM464" s="243"/>
    </row>
    <row r="465" spans="1:39" ht="30" customHeight="1" x14ac:dyDescent="0.25">
      <c r="A465" s="243"/>
      <c r="B465" s="437"/>
      <c r="C465" s="437"/>
      <c r="D465" s="437"/>
      <c r="E465" s="437"/>
      <c r="F465" s="437"/>
      <c r="G465" s="437"/>
      <c r="H465" s="437"/>
      <c r="I465" s="438"/>
      <c r="J465" s="437" t="s">
        <v>551</v>
      </c>
      <c r="K465" s="245"/>
      <c r="L465" s="257"/>
      <c r="M465" s="591" t="s">
        <v>550</v>
      </c>
      <c r="N465" s="592"/>
      <c r="O465" s="179"/>
      <c r="P465" s="180"/>
      <c r="Q465" s="180">
        <v>229500000</v>
      </c>
      <c r="R465" s="181">
        <f t="shared" si="125"/>
        <v>30.236696974526378</v>
      </c>
      <c r="S465" s="181">
        <v>100</v>
      </c>
      <c r="T465" s="180">
        <f t="shared" si="117"/>
        <v>55.555555555555557</v>
      </c>
      <c r="U465" s="180">
        <f t="shared" si="122"/>
        <v>16.79816498584799</v>
      </c>
      <c r="V465" s="182">
        <f t="shared" si="95"/>
        <v>44.444444444444443</v>
      </c>
      <c r="W465" s="180"/>
      <c r="X465" s="180"/>
      <c r="Y465" s="180"/>
      <c r="Z465" s="180"/>
      <c r="AA465" s="180"/>
      <c r="AB465" s="180"/>
      <c r="AC465" s="180"/>
      <c r="AD465" s="180"/>
      <c r="AE465" s="180"/>
      <c r="AF465" s="180"/>
      <c r="AG465" s="180"/>
      <c r="AH465" s="180"/>
      <c r="AI465" s="180">
        <f>51000000+25500000+25500000+25500000</f>
        <v>127500000</v>
      </c>
      <c r="AJ465" s="181">
        <f t="shared" si="114"/>
        <v>55.555555555555557</v>
      </c>
      <c r="AK465" s="180">
        <f t="shared" si="120"/>
        <v>102000000</v>
      </c>
      <c r="AL465" s="181">
        <f t="shared" si="115"/>
        <v>44.444444444444443</v>
      </c>
      <c r="AM465" s="243"/>
    </row>
    <row r="466" spans="1:39" s="297" customFormat="1" ht="31.5" customHeight="1" x14ac:dyDescent="0.25">
      <c r="A466" s="227">
        <f>A457+1</f>
        <v>58</v>
      </c>
      <c r="B466" s="615" t="s">
        <v>158</v>
      </c>
      <c r="C466" s="615"/>
      <c r="D466" s="615"/>
      <c r="E466" s="615"/>
      <c r="F466" s="615"/>
      <c r="G466" s="615"/>
      <c r="H466" s="615"/>
      <c r="I466" s="614"/>
      <c r="J466" s="304" t="s">
        <v>508</v>
      </c>
      <c r="K466" s="230"/>
      <c r="L466" s="294"/>
      <c r="M466" s="609" t="s">
        <v>159</v>
      </c>
      <c r="N466" s="609"/>
      <c r="O466" s="309">
        <v>355300000</v>
      </c>
      <c r="P466" s="231">
        <f>O466</f>
        <v>355300000</v>
      </c>
      <c r="Q466" s="231">
        <f>SUM(Q467:Q475)</f>
        <v>83400000</v>
      </c>
      <c r="R466" s="233">
        <f>Q466/Q$35*100</f>
        <v>0.26237757907282139</v>
      </c>
      <c r="S466" s="233">
        <v>100</v>
      </c>
      <c r="T466" s="231">
        <f t="shared" si="117"/>
        <v>3.1175059952038371</v>
      </c>
      <c r="U466" s="231">
        <f t="shared" si="122"/>
        <v>8.1796367576658941E-3</v>
      </c>
      <c r="V466" s="296">
        <f t="shared" si="95"/>
        <v>96.882494004796158</v>
      </c>
      <c r="W466" s="231"/>
      <c r="X466" s="231" t="e">
        <f>#REF!</f>
        <v>#REF!</v>
      </c>
      <c r="Y466" s="231" t="e">
        <f>#REF!</f>
        <v>#REF!</v>
      </c>
      <c r="Z466" s="231" t="e">
        <f>#REF!</f>
        <v>#REF!</v>
      </c>
      <c r="AA466" s="231" t="e">
        <f>#REF!</f>
        <v>#REF!</v>
      </c>
      <c r="AB466" s="231">
        <v>131395500</v>
      </c>
      <c r="AC466" s="231" t="e">
        <f>#REF!</f>
        <v>#REF!</v>
      </c>
      <c r="AD466" s="231" t="e">
        <f>#REF!</f>
        <v>#REF!</v>
      </c>
      <c r="AE466" s="231" t="e">
        <f>#REF!</f>
        <v>#REF!</v>
      </c>
      <c r="AF466" s="231" t="e">
        <f>[1]April!N67</f>
        <v>#REF!</v>
      </c>
      <c r="AG466" s="231" t="e">
        <f>[2]april!N77</f>
        <v>#REF!</v>
      </c>
      <c r="AH466" s="231">
        <f>'[3]DES SKPD'!$N77</f>
        <v>318242454</v>
      </c>
      <c r="AI466" s="231">
        <f>SUM(AI467:AI475)</f>
        <v>2600000</v>
      </c>
      <c r="AJ466" s="233">
        <f t="shared" si="114"/>
        <v>3.1175059952038371</v>
      </c>
      <c r="AK466" s="231">
        <f t="shared" si="120"/>
        <v>80800000</v>
      </c>
      <c r="AL466" s="233">
        <f t="shared" si="115"/>
        <v>96.882494004796158</v>
      </c>
      <c r="AM466" s="227"/>
    </row>
    <row r="467" spans="1:39" ht="24.75" customHeight="1" x14ac:dyDescent="0.25">
      <c r="A467" s="243"/>
      <c r="B467" s="437"/>
      <c r="C467" s="437"/>
      <c r="D467" s="437"/>
      <c r="E467" s="437"/>
      <c r="F467" s="437"/>
      <c r="G467" s="437"/>
      <c r="H467" s="437"/>
      <c r="I467" s="438"/>
      <c r="J467" s="437" t="s">
        <v>257</v>
      </c>
      <c r="K467" s="245"/>
      <c r="L467" s="257"/>
      <c r="M467" s="591" t="s">
        <v>258</v>
      </c>
      <c r="N467" s="592"/>
      <c r="O467" s="179"/>
      <c r="P467" s="180"/>
      <c r="Q467" s="180">
        <v>2600000</v>
      </c>
      <c r="R467" s="181">
        <f>Q467/Q$466*100</f>
        <v>3.1175059952038371</v>
      </c>
      <c r="S467" s="181">
        <v>100</v>
      </c>
      <c r="T467" s="180">
        <f t="shared" si="117"/>
        <v>0</v>
      </c>
      <c r="U467" s="180">
        <f t="shared" si="122"/>
        <v>0</v>
      </c>
      <c r="V467" s="182">
        <f t="shared" si="95"/>
        <v>100</v>
      </c>
      <c r="W467" s="180"/>
      <c r="X467" s="180"/>
      <c r="Y467" s="180"/>
      <c r="Z467" s="180"/>
      <c r="AA467" s="180"/>
      <c r="AB467" s="180"/>
      <c r="AC467" s="180"/>
      <c r="AD467" s="180"/>
      <c r="AE467" s="180"/>
      <c r="AF467" s="180"/>
      <c r="AG467" s="180"/>
      <c r="AH467" s="180"/>
      <c r="AI467" s="180">
        <v>0</v>
      </c>
      <c r="AJ467" s="181">
        <f t="shared" si="114"/>
        <v>0</v>
      </c>
      <c r="AK467" s="180">
        <f t="shared" si="120"/>
        <v>2600000</v>
      </c>
      <c r="AL467" s="181">
        <f t="shared" si="115"/>
        <v>100</v>
      </c>
      <c r="AM467" s="243"/>
    </row>
    <row r="468" spans="1:39" ht="24.75" customHeight="1" x14ac:dyDescent="0.25">
      <c r="A468" s="243"/>
      <c r="B468" s="437"/>
      <c r="C468" s="437"/>
      <c r="D468" s="437"/>
      <c r="E468" s="437"/>
      <c r="F468" s="437"/>
      <c r="G468" s="437"/>
      <c r="H468" s="437"/>
      <c r="I468" s="438"/>
      <c r="J468" s="437" t="s">
        <v>269</v>
      </c>
      <c r="K468" s="245"/>
      <c r="L468" s="257"/>
      <c r="M468" s="591" t="s">
        <v>352</v>
      </c>
      <c r="N468" s="592"/>
      <c r="O468" s="179"/>
      <c r="P468" s="180"/>
      <c r="Q468" s="180">
        <v>3000000</v>
      </c>
      <c r="R468" s="181">
        <f t="shared" ref="R468:R475" si="126">Q468/Q$466*100</f>
        <v>3.5971223021582732</v>
      </c>
      <c r="S468" s="181">
        <v>100</v>
      </c>
      <c r="T468" s="180">
        <f t="shared" si="117"/>
        <v>0</v>
      </c>
      <c r="U468" s="180">
        <f t="shared" si="122"/>
        <v>0</v>
      </c>
      <c r="V468" s="182">
        <f t="shared" si="95"/>
        <v>100</v>
      </c>
      <c r="W468" s="180"/>
      <c r="X468" s="180"/>
      <c r="Y468" s="180"/>
      <c r="Z468" s="180"/>
      <c r="AA468" s="180"/>
      <c r="AB468" s="180"/>
      <c r="AC468" s="180"/>
      <c r="AD468" s="180"/>
      <c r="AE468" s="180"/>
      <c r="AF468" s="180"/>
      <c r="AG468" s="180"/>
      <c r="AH468" s="180"/>
      <c r="AI468" s="180">
        <v>0</v>
      </c>
      <c r="AJ468" s="181">
        <f t="shared" si="114"/>
        <v>0</v>
      </c>
      <c r="AK468" s="180">
        <f t="shared" si="120"/>
        <v>3000000</v>
      </c>
      <c r="AL468" s="181">
        <f t="shared" si="115"/>
        <v>100</v>
      </c>
      <c r="AM468" s="243"/>
    </row>
    <row r="469" spans="1:39" ht="24.75" customHeight="1" x14ac:dyDescent="0.25">
      <c r="A469" s="243"/>
      <c r="B469" s="437"/>
      <c r="C469" s="437"/>
      <c r="D469" s="437"/>
      <c r="E469" s="437"/>
      <c r="F469" s="437"/>
      <c r="G469" s="437"/>
      <c r="H469" s="437"/>
      <c r="I469" s="438"/>
      <c r="J469" s="437" t="s">
        <v>315</v>
      </c>
      <c r="K469" s="245"/>
      <c r="L469" s="257"/>
      <c r="M469" s="591" t="s">
        <v>271</v>
      </c>
      <c r="N469" s="592"/>
      <c r="O469" s="179"/>
      <c r="P469" s="180"/>
      <c r="Q469" s="180">
        <v>1400000</v>
      </c>
      <c r="R469" s="181">
        <f t="shared" si="126"/>
        <v>1.6786570743405276</v>
      </c>
      <c r="S469" s="181">
        <v>100</v>
      </c>
      <c r="T469" s="180">
        <f t="shared" si="117"/>
        <v>21.428571428571427</v>
      </c>
      <c r="U469" s="180">
        <f t="shared" si="122"/>
        <v>0.35971223021582732</v>
      </c>
      <c r="V469" s="182">
        <f t="shared" si="95"/>
        <v>78.571428571428569</v>
      </c>
      <c r="W469" s="180"/>
      <c r="X469" s="180"/>
      <c r="Y469" s="180"/>
      <c r="Z469" s="180"/>
      <c r="AA469" s="180"/>
      <c r="AB469" s="180"/>
      <c r="AC469" s="180"/>
      <c r="AD469" s="180"/>
      <c r="AE469" s="180"/>
      <c r="AF469" s="180"/>
      <c r="AG469" s="180"/>
      <c r="AH469" s="180"/>
      <c r="AI469" s="180">
        <v>300000</v>
      </c>
      <c r="AJ469" s="181">
        <f t="shared" si="114"/>
        <v>21.428571428571427</v>
      </c>
      <c r="AK469" s="180">
        <f t="shared" si="120"/>
        <v>1100000</v>
      </c>
      <c r="AL469" s="181">
        <f t="shared" si="115"/>
        <v>78.571428571428569</v>
      </c>
      <c r="AM469" s="243"/>
    </row>
    <row r="470" spans="1:39" ht="24.75" customHeight="1" x14ac:dyDescent="0.25">
      <c r="A470" s="243"/>
      <c r="B470" s="437"/>
      <c r="C470" s="437"/>
      <c r="D470" s="437"/>
      <c r="E470" s="437"/>
      <c r="F470" s="437"/>
      <c r="G470" s="437"/>
      <c r="H470" s="437"/>
      <c r="I470" s="438"/>
      <c r="J470" s="437"/>
      <c r="K470" s="245"/>
      <c r="L470" s="257"/>
      <c r="M470" s="591" t="s">
        <v>612</v>
      </c>
      <c r="N470" s="592"/>
      <c r="O470" s="179"/>
      <c r="P470" s="180"/>
      <c r="Q470" s="180">
        <v>1200000</v>
      </c>
      <c r="R470" s="181">
        <f t="shared" si="126"/>
        <v>1.4388489208633095</v>
      </c>
      <c r="S470" s="181">
        <v>100</v>
      </c>
      <c r="T470" s="180">
        <f t="shared" si="117"/>
        <v>0</v>
      </c>
      <c r="U470" s="180">
        <f t="shared" si="122"/>
        <v>0</v>
      </c>
      <c r="V470" s="182">
        <f t="shared" si="95"/>
        <v>100</v>
      </c>
      <c r="W470" s="180"/>
      <c r="X470" s="180"/>
      <c r="Y470" s="180"/>
      <c r="Z470" s="180"/>
      <c r="AA470" s="180"/>
      <c r="AB470" s="180"/>
      <c r="AC470" s="180"/>
      <c r="AD470" s="180"/>
      <c r="AE470" s="180"/>
      <c r="AF470" s="180"/>
      <c r="AG470" s="180"/>
      <c r="AH470" s="180"/>
      <c r="AI470" s="180">
        <v>0</v>
      </c>
      <c r="AJ470" s="181">
        <f t="shared" si="114"/>
        <v>0</v>
      </c>
      <c r="AK470" s="180">
        <f t="shared" si="120"/>
        <v>1200000</v>
      </c>
      <c r="AL470" s="181">
        <f t="shared" si="115"/>
        <v>100</v>
      </c>
      <c r="AM470" s="243"/>
    </row>
    <row r="471" spans="1:39" ht="33" customHeight="1" x14ac:dyDescent="0.25">
      <c r="A471" s="243"/>
      <c r="B471" s="437"/>
      <c r="C471" s="437"/>
      <c r="D471" s="437"/>
      <c r="E471" s="437"/>
      <c r="F471" s="437"/>
      <c r="G471" s="437"/>
      <c r="H471" s="437"/>
      <c r="I471" s="438"/>
      <c r="J471" s="437" t="s">
        <v>318</v>
      </c>
      <c r="K471" s="245"/>
      <c r="L471" s="257"/>
      <c r="M471" s="591" t="s">
        <v>319</v>
      </c>
      <c r="N471" s="592"/>
      <c r="O471" s="179"/>
      <c r="P471" s="180"/>
      <c r="Q471" s="180">
        <v>36000000</v>
      </c>
      <c r="R471" s="181">
        <f t="shared" si="126"/>
        <v>43.165467625899282</v>
      </c>
      <c r="S471" s="181">
        <v>100</v>
      </c>
      <c r="T471" s="180">
        <f t="shared" si="117"/>
        <v>0</v>
      </c>
      <c r="U471" s="180">
        <f t="shared" si="122"/>
        <v>0</v>
      </c>
      <c r="V471" s="182">
        <f t="shared" si="95"/>
        <v>100</v>
      </c>
      <c r="W471" s="180"/>
      <c r="X471" s="180"/>
      <c r="Y471" s="180"/>
      <c r="Z471" s="180"/>
      <c r="AA471" s="180"/>
      <c r="AB471" s="180"/>
      <c r="AC471" s="180"/>
      <c r="AD471" s="180"/>
      <c r="AE471" s="180"/>
      <c r="AF471" s="180"/>
      <c r="AG471" s="180"/>
      <c r="AH471" s="180"/>
      <c r="AI471" s="180">
        <v>0</v>
      </c>
      <c r="AJ471" s="181">
        <f t="shared" si="114"/>
        <v>0</v>
      </c>
      <c r="AK471" s="180">
        <f t="shared" si="120"/>
        <v>36000000</v>
      </c>
      <c r="AL471" s="181">
        <f t="shared" si="115"/>
        <v>100</v>
      </c>
      <c r="AM471" s="243"/>
    </row>
    <row r="472" spans="1:39" ht="24.75" customHeight="1" x14ac:dyDescent="0.25">
      <c r="A472" s="243"/>
      <c r="B472" s="437"/>
      <c r="C472" s="437"/>
      <c r="D472" s="437"/>
      <c r="E472" s="437"/>
      <c r="F472" s="437"/>
      <c r="G472" s="437"/>
      <c r="H472" s="437"/>
      <c r="I472" s="438"/>
      <c r="J472" s="437" t="s">
        <v>284</v>
      </c>
      <c r="K472" s="245"/>
      <c r="L472" s="257"/>
      <c r="M472" s="591" t="s">
        <v>285</v>
      </c>
      <c r="N472" s="592"/>
      <c r="O472" s="179"/>
      <c r="P472" s="180"/>
      <c r="Q472" s="180">
        <v>10000000</v>
      </c>
      <c r="R472" s="181">
        <f t="shared" si="126"/>
        <v>11.990407673860911</v>
      </c>
      <c r="S472" s="181">
        <v>100</v>
      </c>
      <c r="T472" s="180">
        <f t="shared" si="117"/>
        <v>11</v>
      </c>
      <c r="U472" s="180">
        <f t="shared" si="122"/>
        <v>1.3189448441247003</v>
      </c>
      <c r="V472" s="182">
        <f t="shared" si="95"/>
        <v>89</v>
      </c>
      <c r="W472" s="180"/>
      <c r="X472" s="180"/>
      <c r="Y472" s="180"/>
      <c r="Z472" s="180"/>
      <c r="AA472" s="180"/>
      <c r="AB472" s="180"/>
      <c r="AC472" s="180"/>
      <c r="AD472" s="180"/>
      <c r="AE472" s="180"/>
      <c r="AF472" s="180"/>
      <c r="AG472" s="180"/>
      <c r="AH472" s="180"/>
      <c r="AI472" s="180">
        <v>1100000</v>
      </c>
      <c r="AJ472" s="181">
        <f t="shared" si="114"/>
        <v>11</v>
      </c>
      <c r="AK472" s="180">
        <f t="shared" si="120"/>
        <v>8900000</v>
      </c>
      <c r="AL472" s="181">
        <f t="shared" si="115"/>
        <v>89</v>
      </c>
      <c r="AM472" s="243"/>
    </row>
    <row r="473" spans="1:39" ht="24.75" customHeight="1" x14ac:dyDescent="0.25">
      <c r="A473" s="243"/>
      <c r="B473" s="437"/>
      <c r="C473" s="437"/>
      <c r="D473" s="437"/>
      <c r="E473" s="437"/>
      <c r="F473" s="437"/>
      <c r="G473" s="437"/>
      <c r="H473" s="437"/>
      <c r="I473" s="438"/>
      <c r="J473" s="437"/>
      <c r="K473" s="245"/>
      <c r="L473" s="257"/>
      <c r="M473" s="591" t="s">
        <v>503</v>
      </c>
      <c r="N473" s="592"/>
      <c r="O473" s="179"/>
      <c r="P473" s="180"/>
      <c r="Q473" s="180">
        <v>12000000</v>
      </c>
      <c r="R473" s="181">
        <f t="shared" si="126"/>
        <v>14.388489208633093</v>
      </c>
      <c r="S473" s="181">
        <v>100</v>
      </c>
      <c r="T473" s="180">
        <f t="shared" si="117"/>
        <v>10</v>
      </c>
      <c r="U473" s="180">
        <f t="shared" si="122"/>
        <v>1.4388489208633093</v>
      </c>
      <c r="V473" s="182">
        <f t="shared" si="95"/>
        <v>90</v>
      </c>
      <c r="W473" s="180"/>
      <c r="X473" s="180"/>
      <c r="Y473" s="180"/>
      <c r="Z473" s="180"/>
      <c r="AA473" s="180"/>
      <c r="AB473" s="180"/>
      <c r="AC473" s="180"/>
      <c r="AD473" s="180"/>
      <c r="AE473" s="180"/>
      <c r="AF473" s="180"/>
      <c r="AG473" s="180"/>
      <c r="AH473" s="180"/>
      <c r="AI473" s="180">
        <v>1200000</v>
      </c>
      <c r="AJ473" s="181">
        <f t="shared" si="114"/>
        <v>10</v>
      </c>
      <c r="AK473" s="180">
        <f t="shared" si="120"/>
        <v>10800000</v>
      </c>
      <c r="AL473" s="181">
        <f t="shared" si="115"/>
        <v>90</v>
      </c>
      <c r="AM473" s="243"/>
    </row>
    <row r="474" spans="1:39" ht="24.75" customHeight="1" x14ac:dyDescent="0.25">
      <c r="A474" s="243"/>
      <c r="B474" s="437"/>
      <c r="C474" s="437"/>
      <c r="D474" s="437"/>
      <c r="E474" s="437"/>
      <c r="F474" s="437"/>
      <c r="G474" s="437"/>
      <c r="H474" s="437"/>
      <c r="I474" s="438"/>
      <c r="J474" s="437" t="s">
        <v>320</v>
      </c>
      <c r="K474" s="245"/>
      <c r="L474" s="257"/>
      <c r="M474" s="611" t="s">
        <v>321</v>
      </c>
      <c r="N474" s="598"/>
      <c r="O474" s="179"/>
      <c r="P474" s="180"/>
      <c r="Q474" s="180">
        <v>11600000</v>
      </c>
      <c r="R474" s="181">
        <f t="shared" si="126"/>
        <v>13.908872901678656</v>
      </c>
      <c r="S474" s="181">
        <v>100</v>
      </c>
      <c r="T474" s="180">
        <f t="shared" si="117"/>
        <v>0</v>
      </c>
      <c r="U474" s="180">
        <f t="shared" si="122"/>
        <v>0</v>
      </c>
      <c r="V474" s="182">
        <f t="shared" si="95"/>
        <v>100</v>
      </c>
      <c r="W474" s="180"/>
      <c r="X474" s="180"/>
      <c r="Y474" s="180"/>
      <c r="Z474" s="180"/>
      <c r="AA474" s="180"/>
      <c r="AB474" s="180"/>
      <c r="AC474" s="180"/>
      <c r="AD474" s="180"/>
      <c r="AE474" s="180"/>
      <c r="AF474" s="180"/>
      <c r="AG474" s="180"/>
      <c r="AH474" s="180"/>
      <c r="AI474" s="180">
        <v>0</v>
      </c>
      <c r="AJ474" s="181">
        <f t="shared" ref="AJ474:AJ537" si="127">AI474/Q474*100</f>
        <v>0</v>
      </c>
      <c r="AK474" s="180">
        <f t="shared" si="120"/>
        <v>11600000</v>
      </c>
      <c r="AL474" s="181">
        <f t="shared" ref="AL474:AL511" si="128">AK474/Q474*100</f>
        <v>100</v>
      </c>
      <c r="AM474" s="243"/>
    </row>
    <row r="475" spans="1:39" ht="24.75" customHeight="1" x14ac:dyDescent="0.25">
      <c r="A475" s="243"/>
      <c r="B475" s="437"/>
      <c r="C475" s="437"/>
      <c r="D475" s="437"/>
      <c r="E475" s="437"/>
      <c r="F475" s="437"/>
      <c r="G475" s="437"/>
      <c r="H475" s="437"/>
      <c r="I475" s="438"/>
      <c r="J475" s="437" t="s">
        <v>407</v>
      </c>
      <c r="K475" s="245"/>
      <c r="L475" s="257"/>
      <c r="M475" s="591" t="s">
        <v>414</v>
      </c>
      <c r="N475" s="592"/>
      <c r="O475" s="179"/>
      <c r="P475" s="180"/>
      <c r="Q475" s="180">
        <v>5600000</v>
      </c>
      <c r="R475" s="181">
        <f t="shared" si="126"/>
        <v>6.7146282973621103</v>
      </c>
      <c r="S475" s="181">
        <v>100</v>
      </c>
      <c r="T475" s="180">
        <f t="shared" si="117"/>
        <v>0</v>
      </c>
      <c r="U475" s="180">
        <f t="shared" si="122"/>
        <v>0</v>
      </c>
      <c r="V475" s="182">
        <f t="shared" si="95"/>
        <v>100</v>
      </c>
      <c r="W475" s="180"/>
      <c r="X475" s="180"/>
      <c r="Y475" s="180"/>
      <c r="Z475" s="180"/>
      <c r="AA475" s="180"/>
      <c r="AB475" s="180"/>
      <c r="AC475" s="180"/>
      <c r="AD475" s="180"/>
      <c r="AE475" s="180"/>
      <c r="AF475" s="180"/>
      <c r="AG475" s="180"/>
      <c r="AH475" s="180"/>
      <c r="AI475" s="180">
        <v>0</v>
      </c>
      <c r="AJ475" s="181">
        <f t="shared" si="127"/>
        <v>0</v>
      </c>
      <c r="AK475" s="180">
        <f t="shared" si="120"/>
        <v>5600000</v>
      </c>
      <c r="AL475" s="181">
        <f t="shared" si="128"/>
        <v>100</v>
      </c>
      <c r="AM475" s="243"/>
    </row>
    <row r="476" spans="1:39" ht="33.75" customHeight="1" x14ac:dyDescent="0.25">
      <c r="A476" s="227">
        <v>59</v>
      </c>
      <c r="B476" s="437"/>
      <c r="C476" s="437"/>
      <c r="D476" s="437"/>
      <c r="E476" s="437"/>
      <c r="F476" s="437"/>
      <c r="G476" s="437"/>
      <c r="H476" s="437"/>
      <c r="I476" s="438"/>
      <c r="J476" s="304" t="s">
        <v>511</v>
      </c>
      <c r="K476" s="230"/>
      <c r="L476" s="294"/>
      <c r="M476" s="609" t="s">
        <v>512</v>
      </c>
      <c r="N476" s="609"/>
      <c r="O476" s="309">
        <v>355300000</v>
      </c>
      <c r="P476" s="231">
        <f>O476</f>
        <v>355300000</v>
      </c>
      <c r="Q476" s="231">
        <f>SUM(Q477:Q482)</f>
        <v>14850000</v>
      </c>
      <c r="R476" s="233">
        <f>Q476/Q$248*100</f>
        <v>0.12449860247111945</v>
      </c>
      <c r="S476" s="233">
        <v>100</v>
      </c>
      <c r="T476" s="231">
        <f t="shared" si="117"/>
        <v>0</v>
      </c>
      <c r="U476" s="231">
        <f t="shared" si="122"/>
        <v>0</v>
      </c>
      <c r="V476" s="296">
        <f t="shared" si="95"/>
        <v>100</v>
      </c>
      <c r="W476" s="231"/>
      <c r="X476" s="231" t="e">
        <f>#REF!</f>
        <v>#REF!</v>
      </c>
      <c r="Y476" s="231" t="e">
        <f>#REF!</f>
        <v>#REF!</v>
      </c>
      <c r="Z476" s="231" t="e">
        <f>#REF!</f>
        <v>#REF!</v>
      </c>
      <c r="AA476" s="231" t="e">
        <f>#REF!</f>
        <v>#REF!</v>
      </c>
      <c r="AB476" s="231">
        <v>131395500</v>
      </c>
      <c r="AC476" s="231" t="e">
        <f>#REF!</f>
        <v>#REF!</v>
      </c>
      <c r="AD476" s="231" t="e">
        <f>#REF!</f>
        <v>#REF!</v>
      </c>
      <c r="AE476" s="231" t="e">
        <f>#REF!</f>
        <v>#REF!</v>
      </c>
      <c r="AF476" s="231" t="e">
        <f>[1]April!N80</f>
        <v>#REF!</v>
      </c>
      <c r="AG476" s="231" t="e">
        <f>[2]april!N90</f>
        <v>#REF!</v>
      </c>
      <c r="AH476" s="231" t="e">
        <f>'[3]DES SKPD'!$N90</f>
        <v>#REF!</v>
      </c>
      <c r="AI476" s="231">
        <f>SUM(AI477:AI482)</f>
        <v>0</v>
      </c>
      <c r="AJ476" s="233">
        <f t="shared" si="127"/>
        <v>0</v>
      </c>
      <c r="AK476" s="231">
        <f t="shared" si="120"/>
        <v>14850000</v>
      </c>
      <c r="AL476" s="233">
        <f t="shared" si="128"/>
        <v>100</v>
      </c>
      <c r="AM476" s="227"/>
    </row>
    <row r="477" spans="1:39" ht="24.75" customHeight="1" x14ac:dyDescent="0.25">
      <c r="A477" s="243"/>
      <c r="B477" s="437"/>
      <c r="C477" s="437"/>
      <c r="D477" s="437"/>
      <c r="E477" s="437"/>
      <c r="F477" s="437"/>
      <c r="G477" s="437"/>
      <c r="H477" s="437"/>
      <c r="I477" s="438"/>
      <c r="J477" s="437" t="s">
        <v>257</v>
      </c>
      <c r="K477" s="245"/>
      <c r="L477" s="257"/>
      <c r="M477" s="591" t="s">
        <v>260</v>
      </c>
      <c r="N477" s="592"/>
      <c r="O477" s="179"/>
      <c r="P477" s="180"/>
      <c r="Q477" s="180">
        <v>650000</v>
      </c>
      <c r="R477" s="181">
        <f t="shared" ref="R477:R482" si="129">Q477/Q$476*100</f>
        <v>4.3771043771043772</v>
      </c>
      <c r="S477" s="181">
        <v>100</v>
      </c>
      <c r="T477" s="180">
        <f t="shared" si="117"/>
        <v>0</v>
      </c>
      <c r="U477" s="180">
        <f t="shared" si="122"/>
        <v>0</v>
      </c>
      <c r="V477" s="182">
        <f t="shared" si="95"/>
        <v>100</v>
      </c>
      <c r="W477" s="180"/>
      <c r="X477" s="180"/>
      <c r="Y477" s="180"/>
      <c r="Z477" s="180"/>
      <c r="AA477" s="180"/>
      <c r="AB477" s="180"/>
      <c r="AC477" s="180"/>
      <c r="AD477" s="180"/>
      <c r="AE477" s="180"/>
      <c r="AF477" s="180"/>
      <c r="AG477" s="180"/>
      <c r="AH477" s="180"/>
      <c r="AI477" s="180">
        <v>0</v>
      </c>
      <c r="AJ477" s="181">
        <f t="shared" si="127"/>
        <v>0</v>
      </c>
      <c r="AK477" s="180">
        <f t="shared" si="120"/>
        <v>650000</v>
      </c>
      <c r="AL477" s="181">
        <f t="shared" si="128"/>
        <v>100</v>
      </c>
      <c r="AM477" s="243"/>
    </row>
    <row r="478" spans="1:39" ht="24.75" customHeight="1" x14ac:dyDescent="0.25">
      <c r="A478" s="243"/>
      <c r="B478" s="437"/>
      <c r="C478" s="437"/>
      <c r="D478" s="437"/>
      <c r="E478" s="437"/>
      <c r="F478" s="437"/>
      <c r="G478" s="437"/>
      <c r="H478" s="437"/>
      <c r="I478" s="438"/>
      <c r="J478" s="437" t="s">
        <v>326</v>
      </c>
      <c r="K478" s="245"/>
      <c r="L478" s="257"/>
      <c r="M478" s="591" t="s">
        <v>351</v>
      </c>
      <c r="N478" s="592"/>
      <c r="O478" s="179"/>
      <c r="P478" s="180"/>
      <c r="Q478" s="180">
        <v>250000</v>
      </c>
      <c r="R478" s="181">
        <f t="shared" si="129"/>
        <v>1.6835016835016834</v>
      </c>
      <c r="S478" s="181">
        <v>100</v>
      </c>
      <c r="T478" s="180">
        <f t="shared" si="117"/>
        <v>0</v>
      </c>
      <c r="U478" s="180">
        <f t="shared" si="122"/>
        <v>0</v>
      </c>
      <c r="V478" s="182">
        <f t="shared" si="95"/>
        <v>100</v>
      </c>
      <c r="W478" s="180"/>
      <c r="X478" s="180"/>
      <c r="Y478" s="180"/>
      <c r="Z478" s="180"/>
      <c r="AA478" s="180"/>
      <c r="AB478" s="180"/>
      <c r="AC478" s="180"/>
      <c r="AD478" s="180"/>
      <c r="AE478" s="180"/>
      <c r="AF478" s="180"/>
      <c r="AG478" s="180"/>
      <c r="AH478" s="180"/>
      <c r="AI478" s="180">
        <v>0</v>
      </c>
      <c r="AJ478" s="181">
        <f t="shared" si="127"/>
        <v>0</v>
      </c>
      <c r="AK478" s="180">
        <f t="shared" si="120"/>
        <v>250000</v>
      </c>
      <c r="AL478" s="181">
        <f t="shared" si="128"/>
        <v>100</v>
      </c>
      <c r="AM478" s="243"/>
    </row>
    <row r="479" spans="1:39" ht="24.75" customHeight="1" x14ac:dyDescent="0.25">
      <c r="A479" s="243"/>
      <c r="B479" s="437"/>
      <c r="C479" s="437"/>
      <c r="D479" s="437"/>
      <c r="E479" s="437"/>
      <c r="F479" s="437"/>
      <c r="G479" s="437"/>
      <c r="H479" s="437"/>
      <c r="I479" s="438"/>
      <c r="J479" s="437" t="s">
        <v>315</v>
      </c>
      <c r="K479" s="245"/>
      <c r="L479" s="257"/>
      <c r="M479" s="591" t="s">
        <v>271</v>
      </c>
      <c r="N479" s="592"/>
      <c r="O479" s="179"/>
      <c r="P479" s="180"/>
      <c r="Q479" s="180">
        <v>250000</v>
      </c>
      <c r="R479" s="181">
        <f t="shared" si="129"/>
        <v>1.6835016835016834</v>
      </c>
      <c r="S479" s="181">
        <v>100</v>
      </c>
      <c r="T479" s="180">
        <f t="shared" si="117"/>
        <v>0</v>
      </c>
      <c r="U479" s="180">
        <f t="shared" si="122"/>
        <v>0</v>
      </c>
      <c r="V479" s="182">
        <f t="shared" si="95"/>
        <v>100</v>
      </c>
      <c r="W479" s="180"/>
      <c r="X479" s="180"/>
      <c r="Y479" s="180"/>
      <c r="Z479" s="180"/>
      <c r="AA479" s="180"/>
      <c r="AB479" s="180"/>
      <c r="AC479" s="180"/>
      <c r="AD479" s="180"/>
      <c r="AE479" s="180"/>
      <c r="AF479" s="180"/>
      <c r="AG479" s="180"/>
      <c r="AH479" s="180"/>
      <c r="AI479" s="180">
        <v>0</v>
      </c>
      <c r="AJ479" s="181">
        <f t="shared" si="127"/>
        <v>0</v>
      </c>
      <c r="AK479" s="180">
        <f t="shared" si="120"/>
        <v>250000</v>
      </c>
      <c r="AL479" s="181">
        <f t="shared" si="128"/>
        <v>100</v>
      </c>
      <c r="AM479" s="243"/>
    </row>
    <row r="480" spans="1:39" ht="29.25" customHeight="1" x14ac:dyDescent="0.25">
      <c r="A480" s="243"/>
      <c r="B480" s="437"/>
      <c r="C480" s="437"/>
      <c r="D480" s="437"/>
      <c r="E480" s="437"/>
      <c r="F480" s="437"/>
      <c r="G480" s="437"/>
      <c r="H480" s="437"/>
      <c r="I480" s="438"/>
      <c r="J480" s="437" t="s">
        <v>318</v>
      </c>
      <c r="K480" s="245"/>
      <c r="L480" s="257"/>
      <c r="M480" s="591" t="s">
        <v>329</v>
      </c>
      <c r="N480" s="592"/>
      <c r="O480" s="179"/>
      <c r="P480" s="180"/>
      <c r="Q480" s="180">
        <v>5000000</v>
      </c>
      <c r="R480" s="181">
        <f t="shared" si="129"/>
        <v>33.670033670033675</v>
      </c>
      <c r="S480" s="181">
        <v>100</v>
      </c>
      <c r="T480" s="180">
        <f t="shared" si="117"/>
        <v>0</v>
      </c>
      <c r="U480" s="180">
        <f t="shared" si="122"/>
        <v>0</v>
      </c>
      <c r="V480" s="182">
        <f t="shared" si="95"/>
        <v>100</v>
      </c>
      <c r="W480" s="180"/>
      <c r="X480" s="180"/>
      <c r="Y480" s="180"/>
      <c r="Z480" s="180"/>
      <c r="AA480" s="180"/>
      <c r="AB480" s="180"/>
      <c r="AC480" s="180"/>
      <c r="AD480" s="180"/>
      <c r="AE480" s="180"/>
      <c r="AF480" s="180"/>
      <c r="AG480" s="180"/>
      <c r="AH480" s="180"/>
      <c r="AI480" s="180">
        <v>0</v>
      </c>
      <c r="AJ480" s="181">
        <f t="shared" si="127"/>
        <v>0</v>
      </c>
      <c r="AK480" s="180">
        <f t="shared" si="120"/>
        <v>5000000</v>
      </c>
      <c r="AL480" s="181">
        <f t="shared" si="128"/>
        <v>100</v>
      </c>
      <c r="AM480" s="243"/>
    </row>
    <row r="481" spans="1:39" ht="29.25" customHeight="1" x14ac:dyDescent="0.25">
      <c r="A481" s="243"/>
      <c r="B481" s="437"/>
      <c r="C481" s="437"/>
      <c r="D481" s="437"/>
      <c r="E481" s="437"/>
      <c r="F481" s="437"/>
      <c r="G481" s="437"/>
      <c r="H481" s="437"/>
      <c r="I481" s="438"/>
      <c r="J481" s="437" t="s">
        <v>284</v>
      </c>
      <c r="K481" s="245"/>
      <c r="L481" s="257"/>
      <c r="M481" s="591" t="s">
        <v>285</v>
      </c>
      <c r="N481" s="592"/>
      <c r="O481" s="179"/>
      <c r="P481" s="180"/>
      <c r="Q481" s="180">
        <v>2200000</v>
      </c>
      <c r="R481" s="181">
        <f t="shared" si="129"/>
        <v>14.814814814814813</v>
      </c>
      <c r="S481" s="181">
        <v>100</v>
      </c>
      <c r="T481" s="180">
        <f t="shared" si="117"/>
        <v>0</v>
      </c>
      <c r="U481" s="180">
        <f t="shared" si="122"/>
        <v>0</v>
      </c>
      <c r="V481" s="182">
        <f t="shared" si="95"/>
        <v>100</v>
      </c>
      <c r="W481" s="180"/>
      <c r="X481" s="180"/>
      <c r="Y481" s="180"/>
      <c r="Z481" s="180"/>
      <c r="AA481" s="180"/>
      <c r="AB481" s="180"/>
      <c r="AC481" s="180"/>
      <c r="AD481" s="180"/>
      <c r="AE481" s="180"/>
      <c r="AF481" s="180"/>
      <c r="AG481" s="180"/>
      <c r="AH481" s="180"/>
      <c r="AI481" s="180">
        <v>0</v>
      </c>
      <c r="AJ481" s="181">
        <f t="shared" si="127"/>
        <v>0</v>
      </c>
      <c r="AK481" s="180">
        <f t="shared" si="120"/>
        <v>2200000</v>
      </c>
      <c r="AL481" s="181">
        <f t="shared" si="128"/>
        <v>100</v>
      </c>
      <c r="AM481" s="243"/>
    </row>
    <row r="482" spans="1:39" ht="24.75" customHeight="1" x14ac:dyDescent="0.25">
      <c r="A482" s="243"/>
      <c r="B482" s="437"/>
      <c r="C482" s="437"/>
      <c r="D482" s="437"/>
      <c r="E482" s="437"/>
      <c r="F482" s="437"/>
      <c r="G482" s="437"/>
      <c r="H482" s="437"/>
      <c r="I482" s="438"/>
      <c r="J482" s="437" t="s">
        <v>282</v>
      </c>
      <c r="K482" s="245"/>
      <c r="L482" s="257"/>
      <c r="M482" s="616" t="s">
        <v>418</v>
      </c>
      <c r="N482" s="617"/>
      <c r="O482" s="179"/>
      <c r="P482" s="180"/>
      <c r="Q482" s="180">
        <v>6500000</v>
      </c>
      <c r="R482" s="181">
        <f t="shared" si="129"/>
        <v>43.771043771043772</v>
      </c>
      <c r="S482" s="181">
        <v>100</v>
      </c>
      <c r="T482" s="180">
        <f t="shared" si="117"/>
        <v>0</v>
      </c>
      <c r="U482" s="180">
        <f t="shared" si="122"/>
        <v>0</v>
      </c>
      <c r="V482" s="182">
        <f t="shared" si="95"/>
        <v>100</v>
      </c>
      <c r="W482" s="180"/>
      <c r="X482" s="180"/>
      <c r="Y482" s="180"/>
      <c r="Z482" s="180"/>
      <c r="AA482" s="180"/>
      <c r="AB482" s="180"/>
      <c r="AC482" s="180"/>
      <c r="AD482" s="180"/>
      <c r="AE482" s="180"/>
      <c r="AF482" s="180"/>
      <c r="AG482" s="180"/>
      <c r="AH482" s="180"/>
      <c r="AI482" s="180">
        <v>0</v>
      </c>
      <c r="AJ482" s="181">
        <f t="shared" si="127"/>
        <v>0</v>
      </c>
      <c r="AK482" s="180">
        <f t="shared" si="120"/>
        <v>6500000</v>
      </c>
      <c r="AL482" s="181">
        <f t="shared" si="128"/>
        <v>100</v>
      </c>
      <c r="AM482" s="243"/>
    </row>
    <row r="483" spans="1:39" ht="30.75" customHeight="1" x14ac:dyDescent="0.25">
      <c r="A483" s="227">
        <v>60</v>
      </c>
      <c r="B483" s="437"/>
      <c r="C483" s="437"/>
      <c r="D483" s="437"/>
      <c r="E483" s="437"/>
      <c r="F483" s="437"/>
      <c r="G483" s="437"/>
      <c r="H483" s="437"/>
      <c r="I483" s="438"/>
      <c r="J483" s="304" t="s">
        <v>513</v>
      </c>
      <c r="M483" s="609" t="s">
        <v>160</v>
      </c>
      <c r="N483" s="609"/>
      <c r="O483" s="309">
        <v>355300000</v>
      </c>
      <c r="P483" s="231">
        <f>O483</f>
        <v>355300000</v>
      </c>
      <c r="Q483" s="231">
        <f>SUM(Q484:Q489)</f>
        <v>241740393</v>
      </c>
      <c r="R483" s="233">
        <f>Q483/Q$248*100</f>
        <v>2.0266896356443893</v>
      </c>
      <c r="S483" s="233">
        <v>100</v>
      </c>
      <c r="T483" s="231">
        <f t="shared" si="117"/>
        <v>14.7592214760733</v>
      </c>
      <c r="U483" s="231">
        <f t="shared" si="122"/>
        <v>0.29912361195737841</v>
      </c>
      <c r="V483" s="296">
        <f t="shared" si="95"/>
        <v>85.240778523926707</v>
      </c>
      <c r="W483" s="231"/>
      <c r="X483" s="231" t="e">
        <f>#REF!</f>
        <v>#REF!</v>
      </c>
      <c r="Y483" s="231" t="e">
        <f>#REF!</f>
        <v>#REF!</v>
      </c>
      <c r="Z483" s="231" t="e">
        <f>#REF!</f>
        <v>#REF!</v>
      </c>
      <c r="AA483" s="231" t="e">
        <f>#REF!</f>
        <v>#REF!</v>
      </c>
      <c r="AB483" s="231">
        <v>131395500</v>
      </c>
      <c r="AC483" s="231" t="e">
        <f>#REF!</f>
        <v>#REF!</v>
      </c>
      <c r="AD483" s="231" t="e">
        <f>#REF!</f>
        <v>#REF!</v>
      </c>
      <c r="AE483" s="231" t="e">
        <f>#REF!</f>
        <v>#REF!</v>
      </c>
      <c r="AF483" s="231" t="e">
        <f>[1]April!N89</f>
        <v>#REF!</v>
      </c>
      <c r="AG483" s="231" t="e">
        <f>[2]april!N99</f>
        <v>#REF!</v>
      </c>
      <c r="AH483" s="231" t="e">
        <f>'[3]DES SKPD'!$N99</f>
        <v>#REF!</v>
      </c>
      <c r="AI483" s="231">
        <f>SUM(AI484:AI489)</f>
        <v>35679000</v>
      </c>
      <c r="AJ483" s="233">
        <f t="shared" si="127"/>
        <v>14.7592214760733</v>
      </c>
      <c r="AK483" s="231">
        <f>Q483-AI483</f>
        <v>206061393</v>
      </c>
      <c r="AL483" s="233">
        <f>AK483/Q483*100</f>
        <v>85.240778523926693</v>
      </c>
      <c r="AM483" s="243"/>
    </row>
    <row r="484" spans="1:39" ht="24.75" customHeight="1" x14ac:dyDescent="0.25">
      <c r="A484" s="243"/>
      <c r="B484" s="437"/>
      <c r="C484" s="437"/>
      <c r="D484" s="437"/>
      <c r="E484" s="437"/>
      <c r="F484" s="437"/>
      <c r="G484" s="437"/>
      <c r="H484" s="437"/>
      <c r="I484" s="438"/>
      <c r="J484" s="437" t="s">
        <v>257</v>
      </c>
      <c r="K484" s="245"/>
      <c r="L484" s="257"/>
      <c r="M484" s="591" t="s">
        <v>324</v>
      </c>
      <c r="N484" s="592"/>
      <c r="O484" s="179"/>
      <c r="P484" s="180"/>
      <c r="Q484" s="180">
        <v>15000000</v>
      </c>
      <c r="R484" s="181">
        <f>Q484/Q483*100</f>
        <v>6.2050035634714966</v>
      </c>
      <c r="S484" s="181">
        <v>100</v>
      </c>
      <c r="T484" s="180">
        <f t="shared" si="117"/>
        <v>33.333333333333329</v>
      </c>
      <c r="U484" s="180">
        <f t="shared" si="122"/>
        <v>2.0683345211571651</v>
      </c>
      <c r="V484" s="182">
        <f t="shared" si="95"/>
        <v>66.666666666666671</v>
      </c>
      <c r="W484" s="180"/>
      <c r="X484" s="180"/>
      <c r="Y484" s="180"/>
      <c r="Z484" s="180"/>
      <c r="AA484" s="180"/>
      <c r="AB484" s="180"/>
      <c r="AC484" s="180"/>
      <c r="AD484" s="180"/>
      <c r="AE484" s="180"/>
      <c r="AF484" s="180"/>
      <c r="AG484" s="180"/>
      <c r="AH484" s="180"/>
      <c r="AI484" s="180">
        <v>5000000</v>
      </c>
      <c r="AJ484" s="181">
        <f t="shared" si="127"/>
        <v>33.333333333333329</v>
      </c>
      <c r="AK484" s="180">
        <f t="shared" si="120"/>
        <v>10000000</v>
      </c>
      <c r="AL484" s="181">
        <f t="shared" si="128"/>
        <v>66.666666666666657</v>
      </c>
      <c r="AM484" s="243"/>
    </row>
    <row r="485" spans="1:39" ht="24.75" customHeight="1" x14ac:dyDescent="0.25">
      <c r="A485" s="243"/>
      <c r="B485" s="437"/>
      <c r="C485" s="437"/>
      <c r="D485" s="437"/>
      <c r="E485" s="437"/>
      <c r="F485" s="437"/>
      <c r="G485" s="437"/>
      <c r="H485" s="437"/>
      <c r="I485" s="438"/>
      <c r="J485" s="437" t="s">
        <v>326</v>
      </c>
      <c r="K485" s="245"/>
      <c r="L485" s="257"/>
      <c r="M485" s="591" t="s">
        <v>428</v>
      </c>
      <c r="N485" s="592"/>
      <c r="O485" s="179"/>
      <c r="P485" s="180"/>
      <c r="Q485" s="180">
        <v>8000000</v>
      </c>
      <c r="R485" s="181">
        <f>Q485/Q483*100</f>
        <v>3.3093352338514648</v>
      </c>
      <c r="S485" s="181">
        <v>100</v>
      </c>
      <c r="T485" s="180">
        <f t="shared" si="117"/>
        <v>14.6875</v>
      </c>
      <c r="U485" s="180">
        <f t="shared" si="122"/>
        <v>0.48605861247193388</v>
      </c>
      <c r="V485" s="182">
        <f t="shared" si="95"/>
        <v>85.3125</v>
      </c>
      <c r="W485" s="180"/>
      <c r="X485" s="180"/>
      <c r="Y485" s="180"/>
      <c r="Z485" s="180"/>
      <c r="AA485" s="180"/>
      <c r="AB485" s="180"/>
      <c r="AC485" s="180"/>
      <c r="AD485" s="180"/>
      <c r="AE485" s="180"/>
      <c r="AF485" s="180"/>
      <c r="AG485" s="180"/>
      <c r="AH485" s="180"/>
      <c r="AI485" s="180">
        <f>975000+200000</f>
        <v>1175000</v>
      </c>
      <c r="AJ485" s="181">
        <f t="shared" si="127"/>
        <v>14.6875</v>
      </c>
      <c r="AK485" s="180">
        <f t="shared" si="120"/>
        <v>6825000</v>
      </c>
      <c r="AL485" s="181">
        <f t="shared" si="128"/>
        <v>85.3125</v>
      </c>
      <c r="AM485" s="243"/>
    </row>
    <row r="486" spans="1:39" ht="24.75" customHeight="1" x14ac:dyDescent="0.25">
      <c r="A486" s="227"/>
      <c r="B486" s="437"/>
      <c r="C486" s="437"/>
      <c r="D486" s="437"/>
      <c r="E486" s="437"/>
      <c r="F486" s="437"/>
      <c r="G486" s="437"/>
      <c r="H486" s="437"/>
      <c r="I486" s="438"/>
      <c r="J486" s="437" t="s">
        <v>315</v>
      </c>
      <c r="K486" s="245"/>
      <c r="L486" s="257"/>
      <c r="M486" s="591" t="s">
        <v>329</v>
      </c>
      <c r="N486" s="592"/>
      <c r="O486" s="179"/>
      <c r="P486" s="180"/>
      <c r="Q486" s="180">
        <v>24000000</v>
      </c>
      <c r="R486" s="181">
        <f>Q486/Q483*100</f>
        <v>9.9280057015543939</v>
      </c>
      <c r="S486" s="181">
        <v>100</v>
      </c>
      <c r="T486" s="180">
        <f t="shared" si="117"/>
        <v>33.333333333333329</v>
      </c>
      <c r="U486" s="180">
        <f t="shared" si="122"/>
        <v>3.3093352338514643</v>
      </c>
      <c r="V486" s="182">
        <f t="shared" si="95"/>
        <v>66.666666666666671</v>
      </c>
      <c r="W486" s="180"/>
      <c r="X486" s="180"/>
      <c r="Y486" s="180"/>
      <c r="Z486" s="180"/>
      <c r="AA486" s="180"/>
      <c r="AB486" s="180"/>
      <c r="AC486" s="180"/>
      <c r="AD486" s="180"/>
      <c r="AE486" s="180"/>
      <c r="AF486" s="180"/>
      <c r="AG486" s="180"/>
      <c r="AH486" s="180"/>
      <c r="AI486" s="180">
        <v>8000000</v>
      </c>
      <c r="AJ486" s="181">
        <f t="shared" si="127"/>
        <v>33.333333333333329</v>
      </c>
      <c r="AK486" s="180">
        <f t="shared" si="120"/>
        <v>16000000</v>
      </c>
      <c r="AL486" s="181">
        <f t="shared" si="128"/>
        <v>66.666666666666657</v>
      </c>
      <c r="AM486" s="243"/>
    </row>
    <row r="487" spans="1:39" ht="24.75" customHeight="1" x14ac:dyDescent="0.25">
      <c r="A487" s="243"/>
      <c r="B487" s="437"/>
      <c r="C487" s="437"/>
      <c r="D487" s="437"/>
      <c r="E487" s="437"/>
      <c r="F487" s="437"/>
      <c r="G487" s="437"/>
      <c r="H487" s="437"/>
      <c r="I487" s="438"/>
      <c r="J487" s="437" t="s">
        <v>280</v>
      </c>
      <c r="K487" s="245"/>
      <c r="L487" s="257"/>
      <c r="M487" s="591" t="s">
        <v>585</v>
      </c>
      <c r="N487" s="592"/>
      <c r="O487" s="179"/>
      <c r="P487" s="180"/>
      <c r="Q487" s="180">
        <v>15000000</v>
      </c>
      <c r="R487" s="181">
        <f>Q487/Q483*100</f>
        <v>6.2050035634714966</v>
      </c>
      <c r="S487" s="181">
        <v>100</v>
      </c>
      <c r="T487" s="180">
        <f t="shared" si="117"/>
        <v>26.400000000000002</v>
      </c>
      <c r="U487" s="180">
        <f t="shared" si="122"/>
        <v>1.6381209407564754</v>
      </c>
      <c r="V487" s="182">
        <f t="shared" si="95"/>
        <v>73.599999999999994</v>
      </c>
      <c r="W487" s="180"/>
      <c r="X487" s="180"/>
      <c r="Y487" s="180"/>
      <c r="Z487" s="180"/>
      <c r="AA487" s="180"/>
      <c r="AB487" s="180"/>
      <c r="AC487" s="180"/>
      <c r="AD487" s="180"/>
      <c r="AE487" s="180"/>
      <c r="AF487" s="180"/>
      <c r="AG487" s="180"/>
      <c r="AH487" s="180"/>
      <c r="AI487" s="180">
        <f>3080000+880000</f>
        <v>3960000</v>
      </c>
      <c r="AJ487" s="181">
        <f t="shared" si="127"/>
        <v>26.400000000000002</v>
      </c>
      <c r="AK487" s="180">
        <f t="shared" si="120"/>
        <v>11040000</v>
      </c>
      <c r="AL487" s="181">
        <f t="shared" si="128"/>
        <v>73.599999999999994</v>
      </c>
      <c r="AM487" s="243"/>
    </row>
    <row r="488" spans="1:39" ht="24.75" customHeight="1" x14ac:dyDescent="0.25">
      <c r="A488" s="243"/>
      <c r="B488" s="437"/>
      <c r="C488" s="437"/>
      <c r="D488" s="437"/>
      <c r="E488" s="437"/>
      <c r="F488" s="437"/>
      <c r="G488" s="437"/>
      <c r="H488" s="437"/>
      <c r="I488" s="438"/>
      <c r="J488" s="437" t="s">
        <v>284</v>
      </c>
      <c r="K488" s="245"/>
      <c r="L488" s="257"/>
      <c r="M488" s="591" t="s">
        <v>503</v>
      </c>
      <c r="N488" s="592"/>
      <c r="O488" s="179"/>
      <c r="P488" s="180"/>
      <c r="Q488" s="180">
        <v>29740393</v>
      </c>
      <c r="R488" s="181">
        <f>Q488/Q483*100</f>
        <v>12.302616302936183</v>
      </c>
      <c r="S488" s="181">
        <v>100</v>
      </c>
      <c r="T488" s="180">
        <f t="shared" si="117"/>
        <v>8.5540228066253192</v>
      </c>
      <c r="U488" s="180">
        <f t="shared" si="122"/>
        <v>1.0523686043647658</v>
      </c>
      <c r="V488" s="182">
        <f t="shared" si="95"/>
        <v>91.445977193374688</v>
      </c>
      <c r="W488" s="180"/>
      <c r="X488" s="180"/>
      <c r="Y488" s="180"/>
      <c r="Z488" s="180"/>
      <c r="AA488" s="180"/>
      <c r="AB488" s="180"/>
      <c r="AC488" s="180"/>
      <c r="AD488" s="180"/>
      <c r="AE488" s="180"/>
      <c r="AF488" s="180"/>
      <c r="AG488" s="180"/>
      <c r="AH488" s="180"/>
      <c r="AI488" s="180">
        <v>2544000</v>
      </c>
      <c r="AJ488" s="181">
        <f t="shared" si="127"/>
        <v>8.5540228066253192</v>
      </c>
      <c r="AK488" s="180">
        <f t="shared" si="120"/>
        <v>27196393</v>
      </c>
      <c r="AL488" s="181">
        <f t="shared" si="128"/>
        <v>91.445977193374688</v>
      </c>
      <c r="AM488" s="243"/>
    </row>
    <row r="489" spans="1:39" ht="24.75" customHeight="1" x14ac:dyDescent="0.25">
      <c r="A489" s="243"/>
      <c r="B489" s="437"/>
      <c r="C489" s="437"/>
      <c r="D489" s="437"/>
      <c r="E489" s="437"/>
      <c r="F489" s="437"/>
      <c r="G489" s="437"/>
      <c r="H489" s="437"/>
      <c r="I489" s="438"/>
      <c r="J489" s="437" t="s">
        <v>282</v>
      </c>
      <c r="K489" s="245"/>
      <c r="L489" s="257"/>
      <c r="M489" s="591" t="s">
        <v>591</v>
      </c>
      <c r="N489" s="592"/>
      <c r="O489" s="179"/>
      <c r="P489" s="180"/>
      <c r="Q489" s="180">
        <v>150000000</v>
      </c>
      <c r="R489" s="181">
        <f>Q489/Q483*100</f>
        <v>62.050035634714959</v>
      </c>
      <c r="S489" s="181">
        <v>100</v>
      </c>
      <c r="T489" s="180">
        <f t="shared" si="117"/>
        <v>10</v>
      </c>
      <c r="U489" s="180">
        <f t="shared" si="122"/>
        <v>6.2050035634714957</v>
      </c>
      <c r="V489" s="182">
        <f t="shared" si="95"/>
        <v>90</v>
      </c>
      <c r="W489" s="180"/>
      <c r="X489" s="180"/>
      <c r="Y489" s="180"/>
      <c r="Z489" s="180"/>
      <c r="AA489" s="180"/>
      <c r="AB489" s="180"/>
      <c r="AC489" s="180"/>
      <c r="AD489" s="180"/>
      <c r="AE489" s="180"/>
      <c r="AF489" s="180"/>
      <c r="AG489" s="180"/>
      <c r="AH489" s="180"/>
      <c r="AI489" s="180">
        <v>15000000</v>
      </c>
      <c r="AJ489" s="181">
        <f t="shared" si="127"/>
        <v>10</v>
      </c>
      <c r="AK489" s="180">
        <f t="shared" si="120"/>
        <v>135000000</v>
      </c>
      <c r="AL489" s="181">
        <f t="shared" si="128"/>
        <v>90</v>
      </c>
      <c r="AM489" s="243"/>
    </row>
    <row r="490" spans="1:39" s="297" customFormat="1" ht="27.75" customHeight="1" x14ac:dyDescent="0.25">
      <c r="A490" s="227">
        <v>61</v>
      </c>
      <c r="B490" s="442"/>
      <c r="C490" s="442"/>
      <c r="D490" s="442"/>
      <c r="E490" s="442"/>
      <c r="F490" s="442"/>
      <c r="G490" s="442"/>
      <c r="H490" s="442"/>
      <c r="I490" s="441"/>
      <c r="J490" s="304" t="s">
        <v>514</v>
      </c>
      <c r="K490" s="230"/>
      <c r="L490" s="294"/>
      <c r="M490" s="610" t="s">
        <v>200</v>
      </c>
      <c r="N490" s="612"/>
      <c r="O490" s="309"/>
      <c r="P490" s="231"/>
      <c r="Q490" s="231">
        <f>SUM(Q491:Q494)</f>
        <v>395380000</v>
      </c>
      <c r="R490" s="233">
        <f>Q490/Q$248*100</f>
        <v>3.3147648111132124</v>
      </c>
      <c r="S490" s="233">
        <v>100</v>
      </c>
      <c r="T490" s="231">
        <f t="shared" si="117"/>
        <v>34.798320602964239</v>
      </c>
      <c r="U490" s="231">
        <f t="shared" si="122"/>
        <v>1.1534824862054176</v>
      </c>
      <c r="V490" s="296">
        <f t="shared" si="95"/>
        <v>65.201679397035761</v>
      </c>
      <c r="W490" s="231"/>
      <c r="X490" s="231"/>
      <c r="Y490" s="231"/>
      <c r="Z490" s="231"/>
      <c r="AA490" s="231"/>
      <c r="AB490" s="231"/>
      <c r="AC490" s="231"/>
      <c r="AD490" s="231"/>
      <c r="AE490" s="231"/>
      <c r="AF490" s="231"/>
      <c r="AG490" s="231"/>
      <c r="AH490" s="231"/>
      <c r="AI490" s="231">
        <f>SUM(AI491:AI494)</f>
        <v>137585600</v>
      </c>
      <c r="AJ490" s="233">
        <f t="shared" si="127"/>
        <v>34.798320602964239</v>
      </c>
      <c r="AK490" s="231">
        <f t="shared" ref="AK490:AK495" si="130">Q490-AI490</f>
        <v>257794400</v>
      </c>
      <c r="AL490" s="233">
        <f t="shared" si="128"/>
        <v>65.201679397035761</v>
      </c>
      <c r="AM490" s="227"/>
    </row>
    <row r="491" spans="1:39" ht="29.25" customHeight="1" x14ac:dyDescent="0.25">
      <c r="A491" s="243"/>
      <c r="B491" s="437"/>
      <c r="C491" s="437"/>
      <c r="D491" s="437"/>
      <c r="E491" s="437"/>
      <c r="F491" s="437"/>
      <c r="G491" s="437"/>
      <c r="H491" s="437"/>
      <c r="I491" s="438"/>
      <c r="J491" s="437" t="s">
        <v>315</v>
      </c>
      <c r="K491" s="245"/>
      <c r="L491" s="257"/>
      <c r="M491" s="591" t="s">
        <v>271</v>
      </c>
      <c r="N491" s="592"/>
      <c r="O491" s="179"/>
      <c r="P491" s="180"/>
      <c r="Q491" s="180">
        <v>20295000</v>
      </c>
      <c r="R491" s="181">
        <f>Q491/Q$490*100</f>
        <v>5.1330365724113509</v>
      </c>
      <c r="S491" s="181">
        <v>100</v>
      </c>
      <c r="T491" s="180">
        <f t="shared" si="117"/>
        <v>99.744271988174432</v>
      </c>
      <c r="U491" s="180">
        <f t="shared" si="122"/>
        <v>5.1199099600384441</v>
      </c>
      <c r="V491" s="182">
        <f t="shared" si="95"/>
        <v>0.25572801182556759</v>
      </c>
      <c r="W491" s="180"/>
      <c r="X491" s="180"/>
      <c r="Y491" s="180"/>
      <c r="Z491" s="180"/>
      <c r="AA491" s="180"/>
      <c r="AB491" s="180"/>
      <c r="AC491" s="180"/>
      <c r="AD491" s="180"/>
      <c r="AE491" s="180"/>
      <c r="AF491" s="180"/>
      <c r="AG491" s="180"/>
      <c r="AH491" s="180"/>
      <c r="AI491" s="180">
        <v>20243100</v>
      </c>
      <c r="AJ491" s="181">
        <f t="shared" si="127"/>
        <v>99.744271988174432</v>
      </c>
      <c r="AK491" s="180">
        <f t="shared" si="130"/>
        <v>51900</v>
      </c>
      <c r="AL491" s="181">
        <f t="shared" si="128"/>
        <v>0.25572801182557281</v>
      </c>
      <c r="AM491" s="243"/>
    </row>
    <row r="492" spans="1:39" ht="24.75" customHeight="1" x14ac:dyDescent="0.25">
      <c r="A492" s="243"/>
      <c r="B492" s="437"/>
      <c r="C492" s="437"/>
      <c r="D492" s="437"/>
      <c r="E492" s="437"/>
      <c r="F492" s="437"/>
      <c r="G492" s="437"/>
      <c r="H492" s="437"/>
      <c r="I492" s="438"/>
      <c r="J492" s="437" t="s">
        <v>284</v>
      </c>
      <c r="K492" s="245"/>
      <c r="L492" s="257"/>
      <c r="M492" s="591" t="s">
        <v>285</v>
      </c>
      <c r="N492" s="592"/>
      <c r="O492" s="179"/>
      <c r="P492" s="180"/>
      <c r="Q492" s="180">
        <v>5000000</v>
      </c>
      <c r="R492" s="181">
        <f>Q492/Q$490*100</f>
        <v>1.2646062016288129</v>
      </c>
      <c r="S492" s="181">
        <v>100</v>
      </c>
      <c r="T492" s="180">
        <f t="shared" si="117"/>
        <v>0</v>
      </c>
      <c r="U492" s="180">
        <f t="shared" si="122"/>
        <v>0</v>
      </c>
      <c r="V492" s="182">
        <f t="shared" si="95"/>
        <v>100</v>
      </c>
      <c r="W492" s="180"/>
      <c r="X492" s="180"/>
      <c r="Y492" s="180"/>
      <c r="Z492" s="180"/>
      <c r="AA492" s="180"/>
      <c r="AB492" s="180"/>
      <c r="AC492" s="180"/>
      <c r="AD492" s="180"/>
      <c r="AE492" s="180"/>
      <c r="AF492" s="180"/>
      <c r="AG492" s="180"/>
      <c r="AH492" s="180"/>
      <c r="AI492" s="180">
        <v>0</v>
      </c>
      <c r="AJ492" s="181">
        <f t="shared" si="127"/>
        <v>0</v>
      </c>
      <c r="AK492" s="180">
        <f t="shared" si="130"/>
        <v>5000000</v>
      </c>
      <c r="AL492" s="181">
        <f t="shared" si="128"/>
        <v>100</v>
      </c>
      <c r="AM492" s="243"/>
    </row>
    <row r="493" spans="1:39" ht="24.75" customHeight="1" x14ac:dyDescent="0.25">
      <c r="A493" s="243"/>
      <c r="B493" s="437"/>
      <c r="C493" s="437"/>
      <c r="D493" s="437"/>
      <c r="E493" s="437"/>
      <c r="F493" s="437"/>
      <c r="G493" s="437"/>
      <c r="H493" s="437"/>
      <c r="I493" s="438"/>
      <c r="J493" s="437" t="s">
        <v>309</v>
      </c>
      <c r="K493" s="245"/>
      <c r="L493" s="257"/>
      <c r="M493" s="591" t="s">
        <v>310</v>
      </c>
      <c r="N493" s="592"/>
      <c r="O493" s="179"/>
      <c r="P493" s="180"/>
      <c r="Q493" s="180">
        <v>219362000</v>
      </c>
      <c r="R493" s="181">
        <f>Q493/Q$490*100</f>
        <v>55.48130912033993</v>
      </c>
      <c r="S493" s="181">
        <v>100</v>
      </c>
      <c r="T493" s="180">
        <f t="shared" si="117"/>
        <v>53.492628623006723</v>
      </c>
      <c r="U493" s="180">
        <f t="shared" si="122"/>
        <v>29.678410642925797</v>
      </c>
      <c r="V493" s="182">
        <f t="shared" si="95"/>
        <v>46.507371376993277</v>
      </c>
      <c r="W493" s="180"/>
      <c r="X493" s="180"/>
      <c r="Y493" s="180"/>
      <c r="Z493" s="180"/>
      <c r="AA493" s="180"/>
      <c r="AB493" s="180"/>
      <c r="AC493" s="180"/>
      <c r="AD493" s="180"/>
      <c r="AE493" s="180"/>
      <c r="AF493" s="180"/>
      <c r="AG493" s="180"/>
      <c r="AH493" s="180"/>
      <c r="AI493" s="180">
        <v>117342500</v>
      </c>
      <c r="AJ493" s="181">
        <f t="shared" si="127"/>
        <v>53.492628623006723</v>
      </c>
      <c r="AK493" s="180">
        <f t="shared" si="130"/>
        <v>102019500</v>
      </c>
      <c r="AL493" s="181">
        <f t="shared" si="128"/>
        <v>46.507371376993277</v>
      </c>
      <c r="AM493" s="243"/>
    </row>
    <row r="494" spans="1:39" ht="24.75" customHeight="1" x14ac:dyDescent="0.25">
      <c r="A494" s="243"/>
      <c r="B494" s="437"/>
      <c r="C494" s="437"/>
      <c r="D494" s="437"/>
      <c r="E494" s="437"/>
      <c r="F494" s="437"/>
      <c r="G494" s="437"/>
      <c r="H494" s="437"/>
      <c r="I494" s="438"/>
      <c r="J494" s="437" t="s">
        <v>342</v>
      </c>
      <c r="K494" s="245"/>
      <c r="L494" s="257"/>
      <c r="M494" s="591" t="s">
        <v>617</v>
      </c>
      <c r="N494" s="592"/>
      <c r="O494" s="179"/>
      <c r="P494" s="180"/>
      <c r="Q494" s="180">
        <v>150723000</v>
      </c>
      <c r="R494" s="181">
        <f>Q494/Q$490*100</f>
        <v>38.121048105619906</v>
      </c>
      <c r="S494" s="181">
        <v>100</v>
      </c>
      <c r="T494" s="180">
        <f t="shared" si="117"/>
        <v>0</v>
      </c>
      <c r="U494" s="180">
        <f t="shared" si="122"/>
        <v>0</v>
      </c>
      <c r="V494" s="182">
        <f t="shared" si="95"/>
        <v>100</v>
      </c>
      <c r="W494" s="180"/>
      <c r="X494" s="180"/>
      <c r="Y494" s="180"/>
      <c r="Z494" s="180"/>
      <c r="AA494" s="180"/>
      <c r="AB494" s="180"/>
      <c r="AC494" s="180"/>
      <c r="AD494" s="180"/>
      <c r="AE494" s="180"/>
      <c r="AF494" s="180"/>
      <c r="AG494" s="180"/>
      <c r="AH494" s="180"/>
      <c r="AI494" s="180">
        <v>0</v>
      </c>
      <c r="AJ494" s="181">
        <f t="shared" si="127"/>
        <v>0</v>
      </c>
      <c r="AK494" s="180">
        <f t="shared" si="130"/>
        <v>150723000</v>
      </c>
      <c r="AL494" s="181">
        <f t="shared" si="128"/>
        <v>100</v>
      </c>
      <c r="AM494" s="243"/>
    </row>
    <row r="495" spans="1:39" s="297" customFormat="1" ht="29.25" customHeight="1" x14ac:dyDescent="0.25">
      <c r="A495" s="227">
        <f>SUM(A490+1)</f>
        <v>62</v>
      </c>
      <c r="B495" s="615" t="s">
        <v>158</v>
      </c>
      <c r="C495" s="615"/>
      <c r="D495" s="615"/>
      <c r="E495" s="615"/>
      <c r="F495" s="615"/>
      <c r="G495" s="615"/>
      <c r="H495" s="615"/>
      <c r="I495" s="614"/>
      <c r="J495" s="304" t="s">
        <v>515</v>
      </c>
      <c r="K495" s="230"/>
      <c r="L495" s="294"/>
      <c r="M495" s="610" t="s">
        <v>161</v>
      </c>
      <c r="N495" s="610"/>
      <c r="O495" s="309">
        <v>355300000</v>
      </c>
      <c r="P495" s="231">
        <v>0</v>
      </c>
      <c r="Q495" s="231">
        <f>SUM(Q496:Q503)</f>
        <v>20233874</v>
      </c>
      <c r="R495" s="233">
        <f>Q495/Q$248*100</f>
        <v>0.16963562529136159</v>
      </c>
      <c r="S495" s="233">
        <v>100</v>
      </c>
      <c r="T495" s="231">
        <f t="shared" si="117"/>
        <v>0</v>
      </c>
      <c r="U495" s="231">
        <f t="shared" si="122"/>
        <v>0</v>
      </c>
      <c r="V495" s="296">
        <f t="shared" si="95"/>
        <v>100</v>
      </c>
      <c r="W495" s="231"/>
      <c r="X495" s="231"/>
      <c r="Y495" s="231"/>
      <c r="Z495" s="231"/>
      <c r="AA495" s="231"/>
      <c r="AB495" s="231"/>
      <c r="AC495" s="231"/>
      <c r="AD495" s="231"/>
      <c r="AE495" s="231"/>
      <c r="AF495" s="231"/>
      <c r="AG495" s="231" t="e">
        <f>[2]april!N82</f>
        <v>#REF!</v>
      </c>
      <c r="AH495" s="231">
        <f>'[3]DES SKPD'!$N82</f>
        <v>34370000</v>
      </c>
      <c r="AI495" s="231">
        <f>SUM(AI496:AI503)</f>
        <v>0</v>
      </c>
      <c r="AJ495" s="233">
        <f t="shared" si="127"/>
        <v>0</v>
      </c>
      <c r="AK495" s="231">
        <f t="shared" si="130"/>
        <v>20233874</v>
      </c>
      <c r="AL495" s="233">
        <f t="shared" si="128"/>
        <v>100</v>
      </c>
      <c r="AM495" s="227"/>
    </row>
    <row r="496" spans="1:39" ht="29.25" customHeight="1" x14ac:dyDescent="0.25">
      <c r="A496" s="243"/>
      <c r="B496" s="437"/>
      <c r="C496" s="437"/>
      <c r="D496" s="437"/>
      <c r="E496" s="437"/>
      <c r="F496" s="437"/>
      <c r="G496" s="437"/>
      <c r="H496" s="437"/>
      <c r="I496" s="438"/>
      <c r="J496" s="437" t="s">
        <v>257</v>
      </c>
      <c r="K496" s="245"/>
      <c r="L496" s="257"/>
      <c r="M496" s="591" t="s">
        <v>260</v>
      </c>
      <c r="N496" s="592"/>
      <c r="O496" s="179"/>
      <c r="P496" s="180"/>
      <c r="Q496" s="180">
        <v>650000</v>
      </c>
      <c r="R496" s="181">
        <f>Q496/Q$495*100</f>
        <v>3.2124347517435363</v>
      </c>
      <c r="S496" s="181">
        <v>100</v>
      </c>
      <c r="T496" s="180">
        <f t="shared" si="117"/>
        <v>0</v>
      </c>
      <c r="U496" s="180">
        <f t="shared" si="122"/>
        <v>0</v>
      </c>
      <c r="V496" s="182">
        <f t="shared" si="95"/>
        <v>100</v>
      </c>
      <c r="W496" s="180"/>
      <c r="X496" s="180"/>
      <c r="Y496" s="180"/>
      <c r="Z496" s="180"/>
      <c r="AA496" s="180"/>
      <c r="AB496" s="180"/>
      <c r="AC496" s="180"/>
      <c r="AD496" s="180"/>
      <c r="AE496" s="180"/>
      <c r="AF496" s="180"/>
      <c r="AG496" s="180"/>
      <c r="AH496" s="180"/>
      <c r="AI496" s="180">
        <v>0</v>
      </c>
      <c r="AJ496" s="181">
        <f t="shared" si="127"/>
        <v>0</v>
      </c>
      <c r="AK496" s="180">
        <f>SUM(Q496-AI496)</f>
        <v>650000</v>
      </c>
      <c r="AL496" s="181">
        <f t="shared" si="128"/>
        <v>100</v>
      </c>
      <c r="AM496" s="243"/>
    </row>
    <row r="497" spans="1:39" ht="42" customHeight="1" x14ac:dyDescent="0.25">
      <c r="A497" s="243"/>
      <c r="B497" s="437"/>
      <c r="C497" s="437"/>
      <c r="D497" s="437"/>
      <c r="E497" s="437"/>
      <c r="F497" s="437"/>
      <c r="G497" s="437"/>
      <c r="H497" s="437"/>
      <c r="I497" s="438"/>
      <c r="J497" s="437" t="s">
        <v>345</v>
      </c>
      <c r="K497" s="245"/>
      <c r="L497" s="257"/>
      <c r="M497" s="591" t="s">
        <v>351</v>
      </c>
      <c r="N497" s="592"/>
      <c r="O497" s="179"/>
      <c r="P497" s="180"/>
      <c r="Q497" s="180">
        <v>250000</v>
      </c>
      <c r="R497" s="181">
        <f t="shared" ref="R497:R503" si="131">Q497/Q$495*100</f>
        <v>1.2355518275936679</v>
      </c>
      <c r="S497" s="181">
        <v>100</v>
      </c>
      <c r="T497" s="180">
        <f t="shared" si="117"/>
        <v>0</v>
      </c>
      <c r="U497" s="180">
        <f t="shared" si="122"/>
        <v>0</v>
      </c>
      <c r="V497" s="182">
        <f t="shared" si="95"/>
        <v>100</v>
      </c>
      <c r="W497" s="180"/>
      <c r="X497" s="180"/>
      <c r="Y497" s="180"/>
      <c r="Z497" s="180"/>
      <c r="AA497" s="180"/>
      <c r="AB497" s="180"/>
      <c r="AC497" s="180"/>
      <c r="AD497" s="180"/>
      <c r="AE497" s="180"/>
      <c r="AF497" s="180"/>
      <c r="AG497" s="180"/>
      <c r="AH497" s="180"/>
      <c r="AI497" s="180">
        <v>0</v>
      </c>
      <c r="AJ497" s="181">
        <f t="shared" si="127"/>
        <v>0</v>
      </c>
      <c r="AK497" s="180">
        <f t="shared" ref="AK497:AK503" si="132">SUM(Q497-AI497)</f>
        <v>250000</v>
      </c>
      <c r="AL497" s="181">
        <f t="shared" si="128"/>
        <v>100</v>
      </c>
      <c r="AM497" s="243"/>
    </row>
    <row r="498" spans="1:39" ht="29.25" customHeight="1" x14ac:dyDescent="0.25">
      <c r="A498" s="243"/>
      <c r="B498" s="437"/>
      <c r="C498" s="437"/>
      <c r="D498" s="437"/>
      <c r="E498" s="437"/>
      <c r="F498" s="437"/>
      <c r="G498" s="437"/>
      <c r="H498" s="437"/>
      <c r="I498" s="438"/>
      <c r="J498" s="437" t="s">
        <v>315</v>
      </c>
      <c r="K498" s="245"/>
      <c r="L498" s="257"/>
      <c r="M498" s="591" t="s">
        <v>271</v>
      </c>
      <c r="N498" s="592"/>
      <c r="O498" s="179"/>
      <c r="P498" s="180"/>
      <c r="Q498" s="180">
        <v>250000</v>
      </c>
      <c r="R498" s="181">
        <f t="shared" si="131"/>
        <v>1.2355518275936679</v>
      </c>
      <c r="S498" s="181">
        <v>100</v>
      </c>
      <c r="T498" s="180">
        <f t="shared" si="117"/>
        <v>0</v>
      </c>
      <c r="U498" s="180">
        <f t="shared" si="122"/>
        <v>0</v>
      </c>
      <c r="V498" s="182">
        <f t="shared" si="95"/>
        <v>100</v>
      </c>
      <c r="W498" s="180"/>
      <c r="X498" s="180"/>
      <c r="Y498" s="180"/>
      <c r="Z498" s="180"/>
      <c r="AA498" s="180"/>
      <c r="AB498" s="180"/>
      <c r="AC498" s="180"/>
      <c r="AD498" s="180"/>
      <c r="AE498" s="180"/>
      <c r="AF498" s="180"/>
      <c r="AG498" s="180"/>
      <c r="AH498" s="180"/>
      <c r="AI498" s="180">
        <v>0</v>
      </c>
      <c r="AJ498" s="181">
        <f t="shared" si="127"/>
        <v>0</v>
      </c>
      <c r="AK498" s="180">
        <f t="shared" si="132"/>
        <v>250000</v>
      </c>
      <c r="AL498" s="181">
        <f t="shared" si="128"/>
        <v>100</v>
      </c>
      <c r="AM498" s="243"/>
    </row>
    <row r="499" spans="1:39" ht="29.25" customHeight="1" x14ac:dyDescent="0.25">
      <c r="A499" s="243"/>
      <c r="B499" s="437"/>
      <c r="C499" s="437"/>
      <c r="D499" s="437"/>
      <c r="E499" s="437"/>
      <c r="F499" s="437"/>
      <c r="G499" s="437"/>
      <c r="H499" s="437"/>
      <c r="I499" s="438"/>
      <c r="J499" s="437" t="s">
        <v>342</v>
      </c>
      <c r="K499" s="245"/>
      <c r="L499" s="257"/>
      <c r="M499" s="591" t="s">
        <v>612</v>
      </c>
      <c r="N499" s="592"/>
      <c r="O499" s="179"/>
      <c r="P499" s="180"/>
      <c r="Q499" s="180">
        <v>250000</v>
      </c>
      <c r="R499" s="181">
        <f t="shared" si="131"/>
        <v>1.2355518275936679</v>
      </c>
      <c r="S499" s="181">
        <v>100</v>
      </c>
      <c r="T499" s="180">
        <f t="shared" si="117"/>
        <v>0</v>
      </c>
      <c r="U499" s="180">
        <f t="shared" si="122"/>
        <v>0</v>
      </c>
      <c r="V499" s="182">
        <f t="shared" si="95"/>
        <v>100</v>
      </c>
      <c r="W499" s="180"/>
      <c r="X499" s="180"/>
      <c r="Y499" s="180"/>
      <c r="Z499" s="180"/>
      <c r="AA499" s="180"/>
      <c r="AB499" s="180"/>
      <c r="AC499" s="180"/>
      <c r="AD499" s="180"/>
      <c r="AE499" s="180"/>
      <c r="AF499" s="180"/>
      <c r="AG499" s="180"/>
      <c r="AH499" s="180"/>
      <c r="AI499" s="180">
        <v>0</v>
      </c>
      <c r="AJ499" s="181">
        <f t="shared" si="127"/>
        <v>0</v>
      </c>
      <c r="AK499" s="180">
        <f t="shared" si="132"/>
        <v>250000</v>
      </c>
      <c r="AL499" s="181">
        <f t="shared" si="128"/>
        <v>100</v>
      </c>
      <c r="AM499" s="243"/>
    </row>
    <row r="500" spans="1:39" ht="29.25" customHeight="1" x14ac:dyDescent="0.25">
      <c r="A500" s="243"/>
      <c r="B500" s="437"/>
      <c r="C500" s="437"/>
      <c r="D500" s="437"/>
      <c r="E500" s="437"/>
      <c r="F500" s="437"/>
      <c r="G500" s="437"/>
      <c r="H500" s="437"/>
      <c r="I500" s="438"/>
      <c r="J500" s="437" t="s">
        <v>318</v>
      </c>
      <c r="K500" s="245"/>
      <c r="L500" s="257"/>
      <c r="M500" s="591" t="s">
        <v>319</v>
      </c>
      <c r="N500" s="592"/>
      <c r="O500" s="179"/>
      <c r="P500" s="180"/>
      <c r="Q500" s="180">
        <v>10500000</v>
      </c>
      <c r="R500" s="181">
        <f t="shared" si="131"/>
        <v>51.893176758934054</v>
      </c>
      <c r="S500" s="181">
        <v>100</v>
      </c>
      <c r="T500" s="180">
        <f t="shared" si="117"/>
        <v>0</v>
      </c>
      <c r="U500" s="180">
        <f t="shared" si="122"/>
        <v>0</v>
      </c>
      <c r="V500" s="182">
        <f t="shared" si="95"/>
        <v>100</v>
      </c>
      <c r="W500" s="180"/>
      <c r="X500" s="180"/>
      <c r="Y500" s="180"/>
      <c r="Z500" s="180"/>
      <c r="AA500" s="180"/>
      <c r="AB500" s="180"/>
      <c r="AC500" s="180"/>
      <c r="AD500" s="180"/>
      <c r="AE500" s="180"/>
      <c r="AF500" s="180"/>
      <c r="AG500" s="180"/>
      <c r="AH500" s="180"/>
      <c r="AI500" s="180">
        <v>0</v>
      </c>
      <c r="AJ500" s="181">
        <f t="shared" si="127"/>
        <v>0</v>
      </c>
      <c r="AK500" s="180">
        <f t="shared" si="132"/>
        <v>10500000</v>
      </c>
      <c r="AL500" s="181">
        <f t="shared" si="128"/>
        <v>100</v>
      </c>
      <c r="AM500" s="243"/>
    </row>
    <row r="501" spans="1:39" ht="29.25" customHeight="1" x14ac:dyDescent="0.25">
      <c r="A501" s="243"/>
      <c r="B501" s="437"/>
      <c r="C501" s="437"/>
      <c r="D501" s="437"/>
      <c r="E501" s="437"/>
      <c r="F501" s="437"/>
      <c r="G501" s="437"/>
      <c r="H501" s="437"/>
      <c r="I501" s="438"/>
      <c r="J501" s="437" t="s">
        <v>284</v>
      </c>
      <c r="K501" s="245"/>
      <c r="L501" s="257"/>
      <c r="M501" s="591" t="s">
        <v>285</v>
      </c>
      <c r="N501" s="592"/>
      <c r="O501" s="179"/>
      <c r="P501" s="180"/>
      <c r="Q501" s="180">
        <v>2890000</v>
      </c>
      <c r="R501" s="181">
        <f t="shared" si="131"/>
        <v>14.2829791269828</v>
      </c>
      <c r="S501" s="181">
        <v>100</v>
      </c>
      <c r="T501" s="180">
        <f t="shared" si="117"/>
        <v>0</v>
      </c>
      <c r="U501" s="180">
        <f t="shared" si="122"/>
        <v>0</v>
      </c>
      <c r="V501" s="182">
        <f t="shared" si="95"/>
        <v>100</v>
      </c>
      <c r="W501" s="180"/>
      <c r="X501" s="180"/>
      <c r="Y501" s="180"/>
      <c r="Z501" s="180"/>
      <c r="AA501" s="180"/>
      <c r="AB501" s="180"/>
      <c r="AC501" s="180"/>
      <c r="AD501" s="180"/>
      <c r="AE501" s="180"/>
      <c r="AF501" s="180"/>
      <c r="AG501" s="180"/>
      <c r="AH501" s="180"/>
      <c r="AI501" s="180">
        <v>0</v>
      </c>
      <c r="AJ501" s="181">
        <f t="shared" si="127"/>
        <v>0</v>
      </c>
      <c r="AK501" s="180">
        <f t="shared" si="132"/>
        <v>2890000</v>
      </c>
      <c r="AL501" s="181">
        <f t="shared" si="128"/>
        <v>100</v>
      </c>
      <c r="AM501" s="243"/>
    </row>
    <row r="502" spans="1:39" ht="29.25" customHeight="1" x14ac:dyDescent="0.25">
      <c r="A502" s="243"/>
      <c r="B502" s="437"/>
      <c r="C502" s="437"/>
      <c r="D502" s="437"/>
      <c r="E502" s="437"/>
      <c r="F502" s="437"/>
      <c r="G502" s="437"/>
      <c r="H502" s="437"/>
      <c r="I502" s="438"/>
      <c r="J502" s="437" t="s">
        <v>282</v>
      </c>
      <c r="K502" s="245"/>
      <c r="L502" s="257"/>
      <c r="M502" s="591" t="s">
        <v>283</v>
      </c>
      <c r="N502" s="592"/>
      <c r="O502" s="179"/>
      <c r="P502" s="180"/>
      <c r="Q502" s="180">
        <v>2943874</v>
      </c>
      <c r="R502" s="181">
        <f t="shared" si="131"/>
        <v>14.549235603621927</v>
      </c>
      <c r="S502" s="181">
        <v>100</v>
      </c>
      <c r="T502" s="180">
        <f t="shared" si="117"/>
        <v>0</v>
      </c>
      <c r="U502" s="180">
        <f t="shared" si="122"/>
        <v>0</v>
      </c>
      <c r="V502" s="182">
        <f t="shared" si="95"/>
        <v>100</v>
      </c>
      <c r="W502" s="180"/>
      <c r="X502" s="180"/>
      <c r="Y502" s="180"/>
      <c r="Z502" s="180"/>
      <c r="AA502" s="180"/>
      <c r="AB502" s="180"/>
      <c r="AC502" s="180"/>
      <c r="AD502" s="180"/>
      <c r="AE502" s="180"/>
      <c r="AF502" s="180"/>
      <c r="AG502" s="180"/>
      <c r="AH502" s="180"/>
      <c r="AI502" s="180">
        <v>0</v>
      </c>
      <c r="AJ502" s="181">
        <f t="shared" si="127"/>
        <v>0</v>
      </c>
      <c r="AK502" s="180">
        <f t="shared" si="132"/>
        <v>2943874</v>
      </c>
      <c r="AL502" s="181">
        <f t="shared" si="128"/>
        <v>100</v>
      </c>
      <c r="AM502" s="243"/>
    </row>
    <row r="503" spans="1:39" ht="29.25" customHeight="1" x14ac:dyDescent="0.25">
      <c r="A503" s="243"/>
      <c r="B503" s="437"/>
      <c r="C503" s="437"/>
      <c r="D503" s="437"/>
      <c r="E503" s="437"/>
      <c r="F503" s="437"/>
      <c r="G503" s="437"/>
      <c r="H503" s="437"/>
      <c r="I503" s="438"/>
      <c r="J503" s="437" t="s">
        <v>320</v>
      </c>
      <c r="K503" s="245"/>
      <c r="L503" s="257"/>
      <c r="M503" s="591" t="s">
        <v>321</v>
      </c>
      <c r="N503" s="592"/>
      <c r="O503" s="179"/>
      <c r="P503" s="180"/>
      <c r="Q503" s="180">
        <v>2500000</v>
      </c>
      <c r="R503" s="181">
        <f t="shared" si="131"/>
        <v>12.35551827593668</v>
      </c>
      <c r="S503" s="181">
        <v>100</v>
      </c>
      <c r="T503" s="180">
        <f t="shared" si="117"/>
        <v>0</v>
      </c>
      <c r="U503" s="180">
        <f t="shared" si="122"/>
        <v>0</v>
      </c>
      <c r="V503" s="182">
        <f t="shared" si="95"/>
        <v>100</v>
      </c>
      <c r="W503" s="180"/>
      <c r="X503" s="180"/>
      <c r="Y503" s="180"/>
      <c r="Z503" s="180"/>
      <c r="AA503" s="180"/>
      <c r="AB503" s="180"/>
      <c r="AC503" s="180"/>
      <c r="AD503" s="180"/>
      <c r="AE503" s="180"/>
      <c r="AF503" s="180"/>
      <c r="AG503" s="180"/>
      <c r="AH503" s="180"/>
      <c r="AI503" s="180">
        <v>0</v>
      </c>
      <c r="AJ503" s="181">
        <f t="shared" si="127"/>
        <v>0</v>
      </c>
      <c r="AK503" s="180">
        <f t="shared" si="132"/>
        <v>2500000</v>
      </c>
      <c r="AL503" s="181">
        <f t="shared" si="128"/>
        <v>100</v>
      </c>
      <c r="AM503" s="243"/>
    </row>
    <row r="504" spans="1:39" s="297" customFormat="1" ht="29.25" customHeight="1" x14ac:dyDescent="0.25">
      <c r="A504" s="227">
        <f>A495+1</f>
        <v>63</v>
      </c>
      <c r="B504" s="615" t="s">
        <v>158</v>
      </c>
      <c r="C504" s="615"/>
      <c r="D504" s="615"/>
      <c r="E504" s="615"/>
      <c r="F504" s="615"/>
      <c r="G504" s="615"/>
      <c r="H504" s="615"/>
      <c r="I504" s="614"/>
      <c r="J504" s="304" t="s">
        <v>516</v>
      </c>
      <c r="K504" s="230"/>
      <c r="L504" s="294"/>
      <c r="M504" s="610" t="s">
        <v>162</v>
      </c>
      <c r="N504" s="610"/>
      <c r="O504" s="309">
        <v>355300000</v>
      </c>
      <c r="P504" s="231">
        <v>0</v>
      </c>
      <c r="Q504" s="231">
        <f>SUM(Q505:Q510)</f>
        <v>381500000</v>
      </c>
      <c r="R504" s="233">
        <f>Q504/Q$248*100</f>
        <v>3.1983984405880177</v>
      </c>
      <c r="S504" s="233">
        <v>100</v>
      </c>
      <c r="T504" s="231">
        <f t="shared" si="117"/>
        <v>45.45530799475754</v>
      </c>
      <c r="U504" s="231">
        <f t="shared" si="122"/>
        <v>1.4538418620688056</v>
      </c>
      <c r="V504" s="296">
        <f t="shared" si="95"/>
        <v>54.54469200524246</v>
      </c>
      <c r="W504" s="231"/>
      <c r="X504" s="231"/>
      <c r="Y504" s="231"/>
      <c r="Z504" s="231"/>
      <c r="AA504" s="231"/>
      <c r="AB504" s="231"/>
      <c r="AC504" s="231"/>
      <c r="AD504" s="231"/>
      <c r="AE504" s="231"/>
      <c r="AF504" s="231"/>
      <c r="AG504" s="231" t="e">
        <f>[2]april!N83</f>
        <v>#REF!</v>
      </c>
      <c r="AH504" s="231">
        <f>'[3]DES SKPD'!$N83</f>
        <v>33663000</v>
      </c>
      <c r="AI504" s="231">
        <f>SUM(AI505:AI510)</f>
        <v>173412000</v>
      </c>
      <c r="AJ504" s="233">
        <f t="shared" si="127"/>
        <v>45.45530799475754</v>
      </c>
      <c r="AK504" s="231">
        <f>Q504-AI504</f>
        <v>208088000</v>
      </c>
      <c r="AL504" s="233">
        <f t="shared" si="128"/>
        <v>54.544692005242467</v>
      </c>
      <c r="AM504" s="227"/>
    </row>
    <row r="505" spans="1:39" ht="29.25" customHeight="1" x14ac:dyDescent="0.25">
      <c r="A505" s="243"/>
      <c r="B505" s="437"/>
      <c r="C505" s="437"/>
      <c r="D505" s="437"/>
      <c r="E505" s="437"/>
      <c r="F505" s="437"/>
      <c r="G505" s="437"/>
      <c r="H505" s="437"/>
      <c r="I505" s="438"/>
      <c r="J505" s="437" t="s">
        <v>332</v>
      </c>
      <c r="K505" s="245"/>
      <c r="L505" s="257"/>
      <c r="M505" s="591" t="s">
        <v>351</v>
      </c>
      <c r="N505" s="592"/>
      <c r="O505" s="179"/>
      <c r="P505" s="180"/>
      <c r="Q505" s="180">
        <v>500000</v>
      </c>
      <c r="R505" s="181">
        <f t="shared" ref="R505:R510" si="133">Q505/Q$504*100</f>
        <v>0.13106159895150721</v>
      </c>
      <c r="S505" s="181">
        <v>100</v>
      </c>
      <c r="T505" s="180">
        <f t="shared" si="117"/>
        <v>0</v>
      </c>
      <c r="U505" s="180">
        <f t="shared" si="122"/>
        <v>0</v>
      </c>
      <c r="V505" s="182">
        <f t="shared" si="95"/>
        <v>100</v>
      </c>
      <c r="W505" s="180"/>
      <c r="X505" s="180"/>
      <c r="Y505" s="180"/>
      <c r="Z505" s="180"/>
      <c r="AA505" s="180"/>
      <c r="AB505" s="180"/>
      <c r="AC505" s="180"/>
      <c r="AD505" s="180"/>
      <c r="AE505" s="180"/>
      <c r="AF505" s="180"/>
      <c r="AG505" s="180"/>
      <c r="AH505" s="180"/>
      <c r="AI505" s="180">
        <v>0</v>
      </c>
      <c r="AJ505" s="181">
        <f t="shared" si="127"/>
        <v>0</v>
      </c>
      <c r="AK505" s="180">
        <f t="shared" ref="AK505:AK510" si="134">SUM(Q505-AI505)</f>
        <v>500000</v>
      </c>
      <c r="AL505" s="181">
        <f t="shared" si="128"/>
        <v>100</v>
      </c>
      <c r="AM505" s="243"/>
    </row>
    <row r="506" spans="1:39" ht="29.25" customHeight="1" x14ac:dyDescent="0.25">
      <c r="A506" s="243"/>
      <c r="B506" s="437"/>
      <c r="C506" s="437"/>
      <c r="D506" s="437"/>
      <c r="E506" s="437"/>
      <c r="F506" s="437"/>
      <c r="G506" s="437"/>
      <c r="H506" s="437"/>
      <c r="I506" s="438"/>
      <c r="J506" s="437" t="s">
        <v>269</v>
      </c>
      <c r="K506" s="245"/>
      <c r="L506" s="257"/>
      <c r="M506" s="591" t="s">
        <v>270</v>
      </c>
      <c r="N506" s="592"/>
      <c r="O506" s="179"/>
      <c r="P506" s="180"/>
      <c r="Q506" s="180">
        <v>30000000</v>
      </c>
      <c r="R506" s="181">
        <f t="shared" si="133"/>
        <v>7.8636959370904327</v>
      </c>
      <c r="S506" s="181">
        <v>100</v>
      </c>
      <c r="T506" s="180">
        <f t="shared" si="117"/>
        <v>66.25</v>
      </c>
      <c r="U506" s="180">
        <f t="shared" si="122"/>
        <v>5.2096985583224118</v>
      </c>
      <c r="V506" s="182">
        <f t="shared" si="95"/>
        <v>33.75</v>
      </c>
      <c r="W506" s="180"/>
      <c r="X506" s="180"/>
      <c r="Y506" s="180"/>
      <c r="Z506" s="180"/>
      <c r="AA506" s="180"/>
      <c r="AB506" s="180"/>
      <c r="AC506" s="180"/>
      <c r="AD506" s="180"/>
      <c r="AE506" s="180"/>
      <c r="AF506" s="180"/>
      <c r="AG506" s="180"/>
      <c r="AH506" s="180"/>
      <c r="AI506" s="180">
        <v>19875000</v>
      </c>
      <c r="AJ506" s="181">
        <f t="shared" si="127"/>
        <v>66.25</v>
      </c>
      <c r="AK506" s="180">
        <f t="shared" si="134"/>
        <v>10125000</v>
      </c>
      <c r="AL506" s="181">
        <f t="shared" si="128"/>
        <v>33.75</v>
      </c>
      <c r="AM506" s="243"/>
    </row>
    <row r="507" spans="1:39" ht="29.25" customHeight="1" x14ac:dyDescent="0.25">
      <c r="A507" s="243"/>
      <c r="B507" s="437"/>
      <c r="C507" s="437"/>
      <c r="D507" s="437"/>
      <c r="E507" s="437"/>
      <c r="F507" s="437"/>
      <c r="G507" s="437"/>
      <c r="H507" s="437"/>
      <c r="I507" s="438"/>
      <c r="J507" s="437" t="s">
        <v>315</v>
      </c>
      <c r="K507" s="245"/>
      <c r="L507" s="257"/>
      <c r="M507" s="591" t="s">
        <v>271</v>
      </c>
      <c r="N507" s="592"/>
      <c r="O507" s="179"/>
      <c r="P507" s="180"/>
      <c r="Q507" s="180">
        <v>2500000</v>
      </c>
      <c r="R507" s="181">
        <f t="shared" si="133"/>
        <v>0.65530799475753598</v>
      </c>
      <c r="S507" s="181">
        <v>100</v>
      </c>
      <c r="T507" s="180">
        <f t="shared" si="117"/>
        <v>60</v>
      </c>
      <c r="U507" s="180">
        <f t="shared" si="122"/>
        <v>0.39318479685452162</v>
      </c>
      <c r="V507" s="182">
        <f t="shared" si="95"/>
        <v>40</v>
      </c>
      <c r="W507" s="180"/>
      <c r="X507" s="180"/>
      <c r="Y507" s="180"/>
      <c r="Z507" s="180"/>
      <c r="AA507" s="180"/>
      <c r="AB507" s="180"/>
      <c r="AC507" s="180"/>
      <c r="AD507" s="180"/>
      <c r="AE507" s="180"/>
      <c r="AF507" s="180"/>
      <c r="AG507" s="180"/>
      <c r="AH507" s="180"/>
      <c r="AI507" s="180">
        <f>500000+500000+500000</f>
        <v>1500000</v>
      </c>
      <c r="AJ507" s="181">
        <f t="shared" si="127"/>
        <v>60</v>
      </c>
      <c r="AK507" s="180">
        <f t="shared" si="134"/>
        <v>1000000</v>
      </c>
      <c r="AL507" s="181">
        <f t="shared" si="128"/>
        <v>40</v>
      </c>
      <c r="AM507" s="243"/>
    </row>
    <row r="508" spans="1:39" ht="29.25" customHeight="1" x14ac:dyDescent="0.25">
      <c r="A508" s="243"/>
      <c r="B508" s="437"/>
      <c r="C508" s="437"/>
      <c r="D508" s="437"/>
      <c r="E508" s="437"/>
      <c r="F508" s="437"/>
      <c r="G508" s="437"/>
      <c r="H508" s="437"/>
      <c r="I508" s="438"/>
      <c r="J508" s="437" t="s">
        <v>284</v>
      </c>
      <c r="K508" s="245"/>
      <c r="L508" s="257"/>
      <c r="M508" s="591" t="s">
        <v>285</v>
      </c>
      <c r="N508" s="592"/>
      <c r="O508" s="179"/>
      <c r="P508" s="180"/>
      <c r="Q508" s="180">
        <v>15400000</v>
      </c>
      <c r="R508" s="181">
        <f t="shared" si="133"/>
        <v>4.0366972477064227</v>
      </c>
      <c r="S508" s="181">
        <v>100</v>
      </c>
      <c r="T508" s="180">
        <f t="shared" si="117"/>
        <v>40.714285714285715</v>
      </c>
      <c r="U508" s="180">
        <f t="shared" si="122"/>
        <v>1.6435124508519008</v>
      </c>
      <c r="V508" s="182">
        <f t="shared" si="95"/>
        <v>59.285714285714285</v>
      </c>
      <c r="W508" s="180"/>
      <c r="X508" s="180"/>
      <c r="Y508" s="180"/>
      <c r="Z508" s="180"/>
      <c r="AA508" s="180"/>
      <c r="AB508" s="180"/>
      <c r="AC508" s="180"/>
      <c r="AD508" s="180"/>
      <c r="AE508" s="180"/>
      <c r="AF508" s="180"/>
      <c r="AG508" s="180"/>
      <c r="AH508" s="180"/>
      <c r="AI508" s="180">
        <f>2310000+2310000+1650000</f>
        <v>6270000</v>
      </c>
      <c r="AJ508" s="181">
        <f t="shared" si="127"/>
        <v>40.714285714285715</v>
      </c>
      <c r="AK508" s="180">
        <f t="shared" si="134"/>
        <v>9130000</v>
      </c>
      <c r="AL508" s="181">
        <f t="shared" si="128"/>
        <v>59.285714285714285</v>
      </c>
      <c r="AM508" s="243"/>
    </row>
    <row r="509" spans="1:39" ht="29.25" customHeight="1" x14ac:dyDescent="0.25">
      <c r="A509" s="243"/>
      <c r="B509" s="437"/>
      <c r="C509" s="437"/>
      <c r="D509" s="437"/>
      <c r="E509" s="437"/>
      <c r="F509" s="437"/>
      <c r="G509" s="437"/>
      <c r="H509" s="437"/>
      <c r="I509" s="438"/>
      <c r="J509" s="437" t="s">
        <v>282</v>
      </c>
      <c r="K509" s="245"/>
      <c r="L509" s="257"/>
      <c r="M509" s="591" t="s">
        <v>283</v>
      </c>
      <c r="N509" s="592"/>
      <c r="O509" s="179"/>
      <c r="P509" s="180"/>
      <c r="Q509" s="180">
        <v>18700000</v>
      </c>
      <c r="R509" s="181">
        <f t="shared" si="133"/>
        <v>4.9017038007863691</v>
      </c>
      <c r="S509" s="181">
        <v>100</v>
      </c>
      <c r="T509" s="180">
        <f t="shared" si="117"/>
        <v>78.967914438502675</v>
      </c>
      <c r="U509" s="180">
        <f t="shared" si="122"/>
        <v>3.8707732634338132</v>
      </c>
      <c r="V509" s="182">
        <f t="shared" si="95"/>
        <v>21.032085561497325</v>
      </c>
      <c r="W509" s="180"/>
      <c r="X509" s="180"/>
      <c r="Y509" s="180"/>
      <c r="Z509" s="180"/>
      <c r="AA509" s="180"/>
      <c r="AB509" s="180"/>
      <c r="AC509" s="180"/>
      <c r="AD509" s="180"/>
      <c r="AE509" s="180"/>
      <c r="AF509" s="180"/>
      <c r="AG509" s="180"/>
      <c r="AH509" s="180"/>
      <c r="AI509" s="180">
        <f>2163000+6226000+6378000</f>
        <v>14767000</v>
      </c>
      <c r="AJ509" s="181">
        <f t="shared" si="127"/>
        <v>78.967914438502675</v>
      </c>
      <c r="AK509" s="180">
        <f t="shared" si="134"/>
        <v>3933000</v>
      </c>
      <c r="AL509" s="181">
        <f t="shared" si="128"/>
        <v>21.032085561497325</v>
      </c>
      <c r="AM509" s="243"/>
    </row>
    <row r="510" spans="1:39" ht="29.25" customHeight="1" x14ac:dyDescent="0.25">
      <c r="A510" s="243"/>
      <c r="B510" s="437"/>
      <c r="C510" s="437"/>
      <c r="D510" s="437"/>
      <c r="E510" s="437"/>
      <c r="F510" s="437"/>
      <c r="G510" s="437"/>
      <c r="H510" s="437"/>
      <c r="I510" s="438"/>
      <c r="J510" s="437" t="s">
        <v>551</v>
      </c>
      <c r="K510" s="245"/>
      <c r="L510" s="257"/>
      <c r="M510" s="591" t="s">
        <v>550</v>
      </c>
      <c r="N510" s="592"/>
      <c r="O510" s="179"/>
      <c r="P510" s="180"/>
      <c r="Q510" s="180">
        <v>314400000</v>
      </c>
      <c r="R510" s="181">
        <f t="shared" si="133"/>
        <v>82.411533420707727</v>
      </c>
      <c r="S510" s="181">
        <v>100</v>
      </c>
      <c r="T510" s="180">
        <f t="shared" si="117"/>
        <v>41.666666666666671</v>
      </c>
      <c r="U510" s="180">
        <f t="shared" si="122"/>
        <v>34.338138925294885</v>
      </c>
      <c r="V510" s="182">
        <f t="shared" si="95"/>
        <v>58.333333333333329</v>
      </c>
      <c r="W510" s="180"/>
      <c r="X510" s="180"/>
      <c r="Y510" s="180"/>
      <c r="Z510" s="180"/>
      <c r="AA510" s="180"/>
      <c r="AB510" s="180"/>
      <c r="AC510" s="180"/>
      <c r="AD510" s="180"/>
      <c r="AE510" s="180"/>
      <c r="AF510" s="180"/>
      <c r="AG510" s="180"/>
      <c r="AH510" s="180"/>
      <c r="AI510" s="180">
        <f>52400000+26200000+26200000+26200000</f>
        <v>131000000</v>
      </c>
      <c r="AJ510" s="181">
        <f t="shared" si="127"/>
        <v>41.666666666666671</v>
      </c>
      <c r="AK510" s="180">
        <f t="shared" si="134"/>
        <v>183400000</v>
      </c>
      <c r="AL510" s="181">
        <f t="shared" si="128"/>
        <v>58.333333333333336</v>
      </c>
      <c r="AM510" s="243"/>
    </row>
    <row r="511" spans="1:39" s="297" customFormat="1" ht="29.25" customHeight="1" x14ac:dyDescent="0.25">
      <c r="A511" s="227">
        <f>SUM(A504+1)</f>
        <v>64</v>
      </c>
      <c r="B511" s="442"/>
      <c r="C511" s="442"/>
      <c r="D511" s="442"/>
      <c r="E511" s="442"/>
      <c r="F511" s="442"/>
      <c r="G511" s="442"/>
      <c r="H511" s="442"/>
      <c r="I511" s="441"/>
      <c r="J511" s="304" t="s">
        <v>517</v>
      </c>
      <c r="K511" s="230"/>
      <c r="L511" s="294"/>
      <c r="M511" s="610" t="s">
        <v>369</v>
      </c>
      <c r="N511" s="612"/>
      <c r="O511" s="309"/>
      <c r="P511" s="231"/>
      <c r="Q511" s="231">
        <f>SUM(Q512:Q522)</f>
        <v>1010210970</v>
      </c>
      <c r="R511" s="233">
        <f>Q511/Q$248*100</f>
        <v>8.4693504354204698</v>
      </c>
      <c r="S511" s="233">
        <v>100</v>
      </c>
      <c r="T511" s="231">
        <f t="shared" si="117"/>
        <v>30.977261116061726</v>
      </c>
      <c r="U511" s="231">
        <f t="shared" si="122"/>
        <v>2.6235727992145099</v>
      </c>
      <c r="V511" s="296">
        <f t="shared" si="95"/>
        <v>69.022738883938274</v>
      </c>
      <c r="W511" s="231"/>
      <c r="X511" s="231"/>
      <c r="Y511" s="231"/>
      <c r="Z511" s="231"/>
      <c r="AA511" s="231"/>
      <c r="AB511" s="231"/>
      <c r="AC511" s="231"/>
      <c r="AD511" s="231"/>
      <c r="AE511" s="231"/>
      <c r="AF511" s="231"/>
      <c r="AG511" s="231" t="e">
        <f>[2]april!N91</f>
        <v>#REF!</v>
      </c>
      <c r="AH511" s="231" t="e">
        <f>'[3]DES SKPD'!$N91</f>
        <v>#REF!</v>
      </c>
      <c r="AI511" s="231">
        <f>SUM(AI512:AI522)</f>
        <v>312935690</v>
      </c>
      <c r="AJ511" s="233">
        <f t="shared" si="127"/>
        <v>30.977261116061726</v>
      </c>
      <c r="AK511" s="231">
        <f>Q511-AI511</f>
        <v>697275280</v>
      </c>
      <c r="AL511" s="233">
        <f t="shared" si="128"/>
        <v>69.022738883938274</v>
      </c>
      <c r="AM511" s="227"/>
    </row>
    <row r="512" spans="1:39" s="297" customFormat="1" ht="29.25" customHeight="1" x14ac:dyDescent="0.25">
      <c r="A512" s="227"/>
      <c r="B512" s="442"/>
      <c r="C512" s="442"/>
      <c r="D512" s="442"/>
      <c r="E512" s="442"/>
      <c r="F512" s="442"/>
      <c r="G512" s="442"/>
      <c r="H512" s="442"/>
      <c r="I512" s="441"/>
      <c r="J512" s="442" t="s">
        <v>421</v>
      </c>
      <c r="K512" s="230"/>
      <c r="L512" s="294"/>
      <c r="M512" s="591" t="s">
        <v>324</v>
      </c>
      <c r="N512" s="592"/>
      <c r="O512" s="309"/>
      <c r="P512" s="231"/>
      <c r="Q512" s="180">
        <v>10814970</v>
      </c>
      <c r="R512" s="181">
        <f>Q512/Q$511*100</f>
        <v>1.0705654879198154</v>
      </c>
      <c r="S512" s="181">
        <v>100</v>
      </c>
      <c r="T512" s="180">
        <f t="shared" si="117"/>
        <v>0</v>
      </c>
      <c r="U512" s="180">
        <f t="shared" si="122"/>
        <v>0</v>
      </c>
      <c r="V512" s="182">
        <f t="shared" si="95"/>
        <v>100</v>
      </c>
      <c r="W512" s="180"/>
      <c r="X512" s="180"/>
      <c r="Y512" s="180"/>
      <c r="Z512" s="180"/>
      <c r="AA512" s="180"/>
      <c r="AB512" s="180"/>
      <c r="AC512" s="180"/>
      <c r="AD512" s="180"/>
      <c r="AE512" s="180"/>
      <c r="AF512" s="180"/>
      <c r="AG512" s="180"/>
      <c r="AH512" s="180"/>
      <c r="AI512" s="180">
        <v>0</v>
      </c>
      <c r="AJ512" s="181">
        <f t="shared" si="127"/>
        <v>0</v>
      </c>
      <c r="AK512" s="180">
        <f>SUM(Q512-AI512)</f>
        <v>10814970</v>
      </c>
      <c r="AL512" s="233"/>
      <c r="AM512" s="227"/>
    </row>
    <row r="513" spans="1:39" ht="29.25" customHeight="1" x14ac:dyDescent="0.25">
      <c r="A513" s="243"/>
      <c r="B513" s="437"/>
      <c r="C513" s="437"/>
      <c r="D513" s="437"/>
      <c r="E513" s="437"/>
      <c r="F513" s="437"/>
      <c r="G513" s="437"/>
      <c r="H513" s="437"/>
      <c r="I513" s="438"/>
      <c r="J513" s="437" t="s">
        <v>315</v>
      </c>
      <c r="K513" s="245"/>
      <c r="L513" s="257"/>
      <c r="M513" s="591" t="s">
        <v>271</v>
      </c>
      <c r="N513" s="592"/>
      <c r="O513" s="179"/>
      <c r="P513" s="180"/>
      <c r="Q513" s="180">
        <v>12500000</v>
      </c>
      <c r="R513" s="181">
        <f>Q513/Q$511*100</f>
        <v>1.2373653000422278</v>
      </c>
      <c r="S513" s="181">
        <v>100</v>
      </c>
      <c r="T513" s="180">
        <f t="shared" si="117"/>
        <v>44</v>
      </c>
      <c r="U513" s="180">
        <f t="shared" si="122"/>
        <v>0.54444073201858023</v>
      </c>
      <c r="V513" s="182">
        <f t="shared" si="95"/>
        <v>56</v>
      </c>
      <c r="W513" s="180"/>
      <c r="X513" s="180"/>
      <c r="Y513" s="180"/>
      <c r="Z513" s="180"/>
      <c r="AA513" s="180"/>
      <c r="AB513" s="180"/>
      <c r="AC513" s="180"/>
      <c r="AD513" s="180"/>
      <c r="AE513" s="180"/>
      <c r="AF513" s="180"/>
      <c r="AG513" s="180"/>
      <c r="AH513" s="180"/>
      <c r="AI513" s="180">
        <f>2500000+3000000</f>
        <v>5500000</v>
      </c>
      <c r="AJ513" s="181">
        <f t="shared" si="127"/>
        <v>44</v>
      </c>
      <c r="AK513" s="180">
        <f t="shared" ref="AK513:AK522" si="135">SUM(Q513-AI513)</f>
        <v>7000000</v>
      </c>
      <c r="AL513" s="181">
        <f t="shared" ref="AL513:AL550" si="136">AK513/Q513*100</f>
        <v>56.000000000000007</v>
      </c>
      <c r="AM513" s="243"/>
    </row>
    <row r="514" spans="1:39" ht="29.25" customHeight="1" x14ac:dyDescent="0.25">
      <c r="A514" s="243"/>
      <c r="B514" s="437"/>
      <c r="C514" s="437"/>
      <c r="D514" s="437"/>
      <c r="E514" s="437"/>
      <c r="F514" s="437"/>
      <c r="G514" s="437"/>
      <c r="H514" s="437"/>
      <c r="I514" s="438"/>
      <c r="J514" s="437" t="s">
        <v>328</v>
      </c>
      <c r="K514" s="245"/>
      <c r="L514" s="257"/>
      <c r="M514" s="591" t="s">
        <v>329</v>
      </c>
      <c r="N514" s="592"/>
      <c r="O514" s="179"/>
      <c r="P514" s="180"/>
      <c r="Q514" s="180">
        <v>5000000</v>
      </c>
      <c r="R514" s="181">
        <f>Q514/Q$511*100</f>
        <v>0.49494612001689114</v>
      </c>
      <c r="S514" s="181">
        <v>100</v>
      </c>
      <c r="T514" s="180">
        <f t="shared" si="117"/>
        <v>90</v>
      </c>
      <c r="U514" s="180">
        <f t="shared" si="122"/>
        <v>0.445451508015202</v>
      </c>
      <c r="V514" s="182">
        <f t="shared" si="95"/>
        <v>10</v>
      </c>
      <c r="W514" s="180"/>
      <c r="X514" s="180"/>
      <c r="Y514" s="180"/>
      <c r="Z514" s="180"/>
      <c r="AA514" s="180"/>
      <c r="AB514" s="180"/>
      <c r="AC514" s="180"/>
      <c r="AD514" s="180"/>
      <c r="AE514" s="180"/>
      <c r="AF514" s="180"/>
      <c r="AG514" s="180"/>
      <c r="AH514" s="180"/>
      <c r="AI514" s="180">
        <v>4500000</v>
      </c>
      <c r="AJ514" s="181">
        <f t="shared" si="127"/>
        <v>90</v>
      </c>
      <c r="AK514" s="180">
        <f t="shared" si="135"/>
        <v>500000</v>
      </c>
      <c r="AL514" s="181">
        <f t="shared" si="136"/>
        <v>10</v>
      </c>
      <c r="AM514" s="243"/>
    </row>
    <row r="515" spans="1:39" ht="29.25" customHeight="1" x14ac:dyDescent="0.25">
      <c r="A515" s="243"/>
      <c r="B515" s="437"/>
      <c r="C515" s="437"/>
      <c r="D515" s="437"/>
      <c r="E515" s="437"/>
      <c r="F515" s="437"/>
      <c r="G515" s="437"/>
      <c r="H515" s="437"/>
      <c r="I515" s="438"/>
      <c r="J515" s="437" t="s">
        <v>370</v>
      </c>
      <c r="K515" s="245"/>
      <c r="L515" s="257"/>
      <c r="M515" s="591" t="s">
        <v>371</v>
      </c>
      <c r="N515" s="592"/>
      <c r="O515" s="179"/>
      <c r="P515" s="180"/>
      <c r="Q515" s="180">
        <v>47450000</v>
      </c>
      <c r="R515" s="181">
        <f t="shared" ref="R515:R522" si="137">Q515/Q$511*100</f>
        <v>4.6970386789602969</v>
      </c>
      <c r="S515" s="181">
        <v>100</v>
      </c>
      <c r="T515" s="180">
        <f t="shared" si="117"/>
        <v>80.08429926238145</v>
      </c>
      <c r="U515" s="180">
        <f t="shared" si="122"/>
        <v>3.7615905121283726</v>
      </c>
      <c r="V515" s="182">
        <f t="shared" si="95"/>
        <v>19.91570073761855</v>
      </c>
      <c r="W515" s="180"/>
      <c r="X515" s="180"/>
      <c r="Y515" s="180"/>
      <c r="Z515" s="180"/>
      <c r="AA515" s="180"/>
      <c r="AB515" s="180"/>
      <c r="AC515" s="180"/>
      <c r="AD515" s="180"/>
      <c r="AE515" s="180"/>
      <c r="AF515" s="180"/>
      <c r="AG515" s="180"/>
      <c r="AH515" s="180"/>
      <c r="AI515" s="180">
        <v>38000000</v>
      </c>
      <c r="AJ515" s="181">
        <f t="shared" si="127"/>
        <v>80.08429926238145</v>
      </c>
      <c r="AK515" s="180">
        <f t="shared" si="135"/>
        <v>9450000</v>
      </c>
      <c r="AL515" s="181">
        <f t="shared" si="136"/>
        <v>19.915700737618547</v>
      </c>
      <c r="AM515" s="243"/>
    </row>
    <row r="516" spans="1:39" ht="29.25" customHeight="1" x14ac:dyDescent="0.25">
      <c r="A516" s="243"/>
      <c r="B516" s="437"/>
      <c r="C516" s="437"/>
      <c r="D516" s="437"/>
      <c r="E516" s="437"/>
      <c r="F516" s="437"/>
      <c r="G516" s="437"/>
      <c r="H516" s="437"/>
      <c r="I516" s="438"/>
      <c r="J516" s="437" t="s">
        <v>280</v>
      </c>
      <c r="K516" s="245"/>
      <c r="L516" s="257"/>
      <c r="M516" s="591" t="s">
        <v>422</v>
      </c>
      <c r="N516" s="592"/>
      <c r="O516" s="179"/>
      <c r="P516" s="180"/>
      <c r="Q516" s="180">
        <v>2000000</v>
      </c>
      <c r="R516" s="181">
        <f t="shared" si="137"/>
        <v>0.19797844800675643</v>
      </c>
      <c r="S516" s="181">
        <v>100</v>
      </c>
      <c r="T516" s="180">
        <f t="shared" si="117"/>
        <v>100</v>
      </c>
      <c r="U516" s="180">
        <f t="shared" si="122"/>
        <v>0.19797844800675646</v>
      </c>
      <c r="V516" s="182">
        <f t="shared" si="95"/>
        <v>0</v>
      </c>
      <c r="W516" s="180"/>
      <c r="X516" s="180"/>
      <c r="Y516" s="180"/>
      <c r="Z516" s="180"/>
      <c r="AA516" s="180"/>
      <c r="AB516" s="180"/>
      <c r="AC516" s="180"/>
      <c r="AD516" s="180"/>
      <c r="AE516" s="180"/>
      <c r="AF516" s="180"/>
      <c r="AG516" s="180"/>
      <c r="AH516" s="180"/>
      <c r="AI516" s="180">
        <f>1000000+1000000</f>
        <v>2000000</v>
      </c>
      <c r="AJ516" s="181">
        <f t="shared" si="127"/>
        <v>100</v>
      </c>
      <c r="AK516" s="180">
        <f t="shared" si="135"/>
        <v>0</v>
      </c>
      <c r="AL516" s="181">
        <f t="shared" si="136"/>
        <v>0</v>
      </c>
      <c r="AM516" s="243"/>
    </row>
    <row r="517" spans="1:39" ht="29.25" customHeight="1" x14ac:dyDescent="0.25">
      <c r="A517" s="243"/>
      <c r="B517" s="437"/>
      <c r="C517" s="437"/>
      <c r="D517" s="437"/>
      <c r="E517" s="437"/>
      <c r="F517" s="437"/>
      <c r="G517" s="437"/>
      <c r="H517" s="437"/>
      <c r="I517" s="438"/>
      <c r="J517" s="437" t="s">
        <v>339</v>
      </c>
      <c r="K517" s="245"/>
      <c r="L517" s="257"/>
      <c r="M517" s="591" t="s">
        <v>340</v>
      </c>
      <c r="N517" s="592"/>
      <c r="O517" s="179"/>
      <c r="P517" s="180"/>
      <c r="Q517" s="180">
        <v>71500000</v>
      </c>
      <c r="R517" s="181">
        <f t="shared" si="137"/>
        <v>7.0777295162415435</v>
      </c>
      <c r="S517" s="181">
        <v>100</v>
      </c>
      <c r="T517" s="180">
        <f t="shared" si="117"/>
        <v>100</v>
      </c>
      <c r="U517" s="180">
        <f t="shared" si="122"/>
        <v>7.0777295162415435</v>
      </c>
      <c r="V517" s="182">
        <f t="shared" si="95"/>
        <v>0</v>
      </c>
      <c r="W517" s="180"/>
      <c r="X517" s="180"/>
      <c r="Y517" s="180"/>
      <c r="Z517" s="180"/>
      <c r="AA517" s="180"/>
      <c r="AB517" s="180"/>
      <c r="AC517" s="180"/>
      <c r="AD517" s="180"/>
      <c r="AE517" s="180"/>
      <c r="AF517" s="180"/>
      <c r="AG517" s="180"/>
      <c r="AH517" s="180"/>
      <c r="AI517" s="180">
        <f>65000000+6500000</f>
        <v>71500000</v>
      </c>
      <c r="AJ517" s="181">
        <f t="shared" si="127"/>
        <v>100</v>
      </c>
      <c r="AK517" s="180">
        <f t="shared" si="135"/>
        <v>0</v>
      </c>
      <c r="AL517" s="181">
        <f t="shared" si="136"/>
        <v>0</v>
      </c>
      <c r="AM517" s="243"/>
    </row>
    <row r="518" spans="1:39" ht="29.25" customHeight="1" x14ac:dyDescent="0.25">
      <c r="A518" s="243"/>
      <c r="B518" s="437"/>
      <c r="C518" s="437"/>
      <c r="D518" s="437"/>
      <c r="E518" s="437"/>
      <c r="F518" s="437"/>
      <c r="G518" s="437"/>
      <c r="H518" s="437"/>
      <c r="I518" s="438"/>
      <c r="J518" s="437" t="s">
        <v>284</v>
      </c>
      <c r="K518" s="245"/>
      <c r="L518" s="257"/>
      <c r="M518" s="591" t="s">
        <v>285</v>
      </c>
      <c r="N518" s="592"/>
      <c r="O518" s="179"/>
      <c r="P518" s="180"/>
      <c r="Q518" s="180">
        <v>8900000</v>
      </c>
      <c r="R518" s="181">
        <f t="shared" si="137"/>
        <v>0.88100409363006615</v>
      </c>
      <c r="S518" s="181">
        <v>100</v>
      </c>
      <c r="T518" s="180">
        <f t="shared" si="117"/>
        <v>95.168539325842687</v>
      </c>
      <c r="U518" s="180">
        <f t="shared" si="122"/>
        <v>0.83843872730861346</v>
      </c>
      <c r="V518" s="182">
        <f t="shared" si="95"/>
        <v>4.831460674157313</v>
      </c>
      <c r="W518" s="180"/>
      <c r="X518" s="180"/>
      <c r="Y518" s="180"/>
      <c r="Z518" s="180"/>
      <c r="AA518" s="180"/>
      <c r="AB518" s="180"/>
      <c r="AC518" s="180"/>
      <c r="AD518" s="180"/>
      <c r="AE518" s="180"/>
      <c r="AF518" s="180"/>
      <c r="AG518" s="180"/>
      <c r="AH518" s="180"/>
      <c r="AI518" s="180">
        <v>8470000</v>
      </c>
      <c r="AJ518" s="181">
        <f t="shared" si="127"/>
        <v>95.168539325842687</v>
      </c>
      <c r="AK518" s="180">
        <f t="shared" si="135"/>
        <v>430000</v>
      </c>
      <c r="AL518" s="181">
        <f t="shared" si="136"/>
        <v>4.8314606741573032</v>
      </c>
      <c r="AM518" s="243"/>
    </row>
    <row r="519" spans="1:39" ht="29.25" customHeight="1" x14ac:dyDescent="0.25">
      <c r="A519" s="243"/>
      <c r="B519" s="437"/>
      <c r="C519" s="437"/>
      <c r="D519" s="437"/>
      <c r="E519" s="437"/>
      <c r="F519" s="437"/>
      <c r="G519" s="437"/>
      <c r="H519" s="437"/>
      <c r="I519" s="438"/>
      <c r="J519" s="437"/>
      <c r="K519" s="245"/>
      <c r="L519" s="257"/>
      <c r="M519" s="591" t="s">
        <v>503</v>
      </c>
      <c r="N519" s="592"/>
      <c r="O519" s="179"/>
      <c r="P519" s="180"/>
      <c r="Q519" s="180">
        <v>48070000</v>
      </c>
      <c r="R519" s="181">
        <f t="shared" si="137"/>
        <v>4.7584119978423915</v>
      </c>
      <c r="S519" s="181">
        <v>100</v>
      </c>
      <c r="T519" s="180">
        <f t="shared" si="117"/>
        <v>92.709985437903057</v>
      </c>
      <c r="U519" s="180">
        <f t="shared" si="122"/>
        <v>4.4115230702751127</v>
      </c>
      <c r="V519" s="182">
        <f t="shared" si="95"/>
        <v>7.2900145620969425</v>
      </c>
      <c r="W519" s="180"/>
      <c r="X519" s="180"/>
      <c r="Y519" s="180"/>
      <c r="Z519" s="180"/>
      <c r="AA519" s="180"/>
      <c r="AB519" s="180"/>
      <c r="AC519" s="180"/>
      <c r="AD519" s="180"/>
      <c r="AE519" s="180"/>
      <c r="AF519" s="180"/>
      <c r="AG519" s="180"/>
      <c r="AH519" s="180"/>
      <c r="AI519" s="180">
        <v>44565690</v>
      </c>
      <c r="AJ519" s="181">
        <f t="shared" si="127"/>
        <v>92.709985437903057</v>
      </c>
      <c r="AK519" s="180">
        <f t="shared" si="135"/>
        <v>3504310</v>
      </c>
      <c r="AL519" s="181">
        <f t="shared" si="136"/>
        <v>7.2900145620969417</v>
      </c>
      <c r="AM519" s="243"/>
    </row>
    <row r="520" spans="1:39" ht="29.25" customHeight="1" x14ac:dyDescent="0.25">
      <c r="A520" s="243"/>
      <c r="B520" s="437"/>
      <c r="C520" s="437"/>
      <c r="D520" s="437"/>
      <c r="E520" s="437"/>
      <c r="F520" s="437"/>
      <c r="G520" s="437"/>
      <c r="H520" s="437"/>
      <c r="I520" s="438"/>
      <c r="J520" s="437" t="s">
        <v>309</v>
      </c>
      <c r="K520" s="245"/>
      <c r="L520" s="257"/>
      <c r="M520" s="591" t="s">
        <v>310</v>
      </c>
      <c r="N520" s="592"/>
      <c r="O520" s="179"/>
      <c r="P520" s="180"/>
      <c r="Q520" s="180">
        <v>485712000</v>
      </c>
      <c r="R520" s="181">
        <f t="shared" si="137"/>
        <v>48.080253969128847</v>
      </c>
      <c r="S520" s="181">
        <v>100</v>
      </c>
      <c r="T520" s="180">
        <f t="shared" si="117"/>
        <v>0</v>
      </c>
      <c r="U520" s="180">
        <f t="shared" si="122"/>
        <v>0</v>
      </c>
      <c r="V520" s="182">
        <f t="shared" si="95"/>
        <v>100</v>
      </c>
      <c r="W520" s="180"/>
      <c r="X520" s="180"/>
      <c r="Y520" s="180"/>
      <c r="Z520" s="180"/>
      <c r="AA520" s="180"/>
      <c r="AB520" s="180"/>
      <c r="AC520" s="180"/>
      <c r="AD520" s="180"/>
      <c r="AE520" s="180"/>
      <c r="AF520" s="180"/>
      <c r="AG520" s="180"/>
      <c r="AH520" s="180"/>
      <c r="AI520" s="180">
        <v>0</v>
      </c>
      <c r="AJ520" s="181">
        <f t="shared" si="127"/>
        <v>0</v>
      </c>
      <c r="AK520" s="180">
        <f t="shared" si="135"/>
        <v>485712000</v>
      </c>
      <c r="AL520" s="181">
        <f t="shared" si="136"/>
        <v>100</v>
      </c>
      <c r="AM520" s="243"/>
    </row>
    <row r="521" spans="1:39" ht="29.25" customHeight="1" x14ac:dyDescent="0.25">
      <c r="A521" s="243"/>
      <c r="B521" s="437"/>
      <c r="C521" s="437"/>
      <c r="D521" s="437"/>
      <c r="E521" s="437"/>
      <c r="F521" s="437"/>
      <c r="G521" s="437"/>
      <c r="H521" s="437"/>
      <c r="I521" s="438"/>
      <c r="J521" s="437" t="s">
        <v>372</v>
      </c>
      <c r="K521" s="245"/>
      <c r="L521" s="257"/>
      <c r="M521" s="591" t="s">
        <v>373</v>
      </c>
      <c r="N521" s="592"/>
      <c r="O521" s="179"/>
      <c r="P521" s="180"/>
      <c r="Q521" s="180">
        <v>143000000</v>
      </c>
      <c r="R521" s="181">
        <f t="shared" si="137"/>
        <v>14.155459032483087</v>
      </c>
      <c r="S521" s="181">
        <v>100</v>
      </c>
      <c r="T521" s="180">
        <f t="shared" si="117"/>
        <v>96.783216783216787</v>
      </c>
      <c r="U521" s="180">
        <f t="shared" si="122"/>
        <v>13.700108602067548</v>
      </c>
      <c r="V521" s="182">
        <f t="shared" si="95"/>
        <v>3.2167832167832131</v>
      </c>
      <c r="W521" s="180"/>
      <c r="X521" s="180"/>
      <c r="Y521" s="180"/>
      <c r="Z521" s="180"/>
      <c r="AA521" s="180"/>
      <c r="AB521" s="180"/>
      <c r="AC521" s="180"/>
      <c r="AD521" s="180"/>
      <c r="AE521" s="180"/>
      <c r="AF521" s="180"/>
      <c r="AG521" s="180"/>
      <c r="AH521" s="180"/>
      <c r="AI521" s="180">
        <f>125400000+13000000</f>
        <v>138400000</v>
      </c>
      <c r="AJ521" s="181">
        <f t="shared" si="127"/>
        <v>96.783216783216787</v>
      </c>
      <c r="AK521" s="180">
        <f t="shared" si="135"/>
        <v>4600000</v>
      </c>
      <c r="AL521" s="181">
        <f t="shared" si="136"/>
        <v>3.2167832167832167</v>
      </c>
      <c r="AM521" s="243"/>
    </row>
    <row r="522" spans="1:39" ht="29.25" customHeight="1" x14ac:dyDescent="0.25">
      <c r="A522" s="243"/>
      <c r="B522" s="437"/>
      <c r="C522" s="437"/>
      <c r="D522" s="437"/>
      <c r="E522" s="437"/>
      <c r="F522" s="437"/>
      <c r="G522" s="437"/>
      <c r="H522" s="437"/>
      <c r="I522" s="438"/>
      <c r="J522" s="437" t="s">
        <v>551</v>
      </c>
      <c r="K522" s="245"/>
      <c r="L522" s="257"/>
      <c r="M522" s="591" t="s">
        <v>550</v>
      </c>
      <c r="N522" s="592"/>
      <c r="O522" s="179"/>
      <c r="P522" s="180"/>
      <c r="Q522" s="180">
        <v>175264000</v>
      </c>
      <c r="R522" s="181">
        <f t="shared" si="137"/>
        <v>17.349247355728082</v>
      </c>
      <c r="S522" s="181">
        <v>100</v>
      </c>
      <c r="T522" s="180">
        <f t="shared" si="117"/>
        <v>0</v>
      </c>
      <c r="U522" s="180">
        <f t="shared" si="122"/>
        <v>0</v>
      </c>
      <c r="V522" s="182">
        <f t="shared" si="95"/>
        <v>100</v>
      </c>
      <c r="W522" s="180"/>
      <c r="X522" s="180"/>
      <c r="Y522" s="180"/>
      <c r="Z522" s="180"/>
      <c r="AA522" s="180"/>
      <c r="AB522" s="180"/>
      <c r="AC522" s="180"/>
      <c r="AD522" s="180"/>
      <c r="AE522" s="180"/>
      <c r="AF522" s="180"/>
      <c r="AG522" s="180"/>
      <c r="AH522" s="180"/>
      <c r="AI522" s="180">
        <v>0</v>
      </c>
      <c r="AJ522" s="181">
        <f t="shared" si="127"/>
        <v>0</v>
      </c>
      <c r="AK522" s="180">
        <f t="shared" si="135"/>
        <v>175264000</v>
      </c>
      <c r="AL522" s="181">
        <f t="shared" si="136"/>
        <v>100</v>
      </c>
      <c r="AM522" s="243"/>
    </row>
    <row r="523" spans="1:39" s="297" customFormat="1" ht="28.5" customHeight="1" x14ac:dyDescent="0.25">
      <c r="A523" s="227">
        <f>A511+1</f>
        <v>65</v>
      </c>
      <c r="B523" s="615" t="s">
        <v>158</v>
      </c>
      <c r="C523" s="615"/>
      <c r="D523" s="615"/>
      <c r="E523" s="615"/>
      <c r="F523" s="615"/>
      <c r="G523" s="615"/>
      <c r="H523" s="615"/>
      <c r="I523" s="614"/>
      <c r="J523" s="304" t="s">
        <v>518</v>
      </c>
      <c r="K523" s="230"/>
      <c r="L523" s="294"/>
      <c r="M523" s="610" t="s">
        <v>163</v>
      </c>
      <c r="N523" s="610"/>
      <c r="O523" s="309">
        <v>355300000</v>
      </c>
      <c r="P523" s="231">
        <v>0</v>
      </c>
      <c r="Q523" s="231">
        <f>SUM(Q524:Q529)</f>
        <v>130200000</v>
      </c>
      <c r="R523" s="233">
        <f>Q523/Q$248*100</f>
        <v>1.0915635044942593</v>
      </c>
      <c r="S523" s="233">
        <v>100</v>
      </c>
      <c r="T523" s="231">
        <f t="shared" si="117"/>
        <v>0</v>
      </c>
      <c r="U523" s="231">
        <f t="shared" si="122"/>
        <v>0</v>
      </c>
      <c r="V523" s="296">
        <f t="shared" si="95"/>
        <v>100</v>
      </c>
      <c r="W523" s="231"/>
      <c r="X523" s="231"/>
      <c r="Y523" s="231"/>
      <c r="Z523" s="231"/>
      <c r="AA523" s="231"/>
      <c r="AB523" s="231"/>
      <c r="AC523" s="231"/>
      <c r="AD523" s="231"/>
      <c r="AE523" s="231"/>
      <c r="AF523" s="231"/>
      <c r="AG523" s="231" t="e">
        <f>[2]april!N84</f>
        <v>#REF!</v>
      </c>
      <c r="AH523" s="231">
        <f>'[3]DES SKPD'!$N84</f>
        <v>52275000</v>
      </c>
      <c r="AI523" s="231">
        <f>SUM(AI525:AI529)</f>
        <v>0</v>
      </c>
      <c r="AJ523" s="233">
        <f t="shared" si="127"/>
        <v>0</v>
      </c>
      <c r="AK523" s="231">
        <f t="shared" ref="AK523:AK530" si="138">Q523-AI523</f>
        <v>130200000</v>
      </c>
      <c r="AL523" s="233">
        <f t="shared" si="136"/>
        <v>100</v>
      </c>
      <c r="AM523" s="227"/>
    </row>
    <row r="524" spans="1:39" s="297" customFormat="1" ht="28.5" customHeight="1" x14ac:dyDescent="0.25">
      <c r="A524" s="227"/>
      <c r="B524" s="442"/>
      <c r="C524" s="442"/>
      <c r="D524" s="442"/>
      <c r="E524" s="442"/>
      <c r="F524" s="442"/>
      <c r="G524" s="442"/>
      <c r="H524" s="442"/>
      <c r="I524" s="441"/>
      <c r="J524" s="437" t="s">
        <v>323</v>
      </c>
      <c r="K524" s="230"/>
      <c r="L524" s="294"/>
      <c r="M524" s="591" t="s">
        <v>324</v>
      </c>
      <c r="N524" s="592"/>
      <c r="O524" s="309"/>
      <c r="P524" s="231"/>
      <c r="Q524" s="180">
        <v>6000000</v>
      </c>
      <c r="R524" s="181">
        <f t="shared" ref="R524:R529" si="139">Q524/Q$523*100</f>
        <v>4.6082949308755765</v>
      </c>
      <c r="S524" s="181">
        <v>100</v>
      </c>
      <c r="T524" s="180">
        <f t="shared" si="117"/>
        <v>0</v>
      </c>
      <c r="U524" s="180">
        <f t="shared" si="122"/>
        <v>0</v>
      </c>
      <c r="V524" s="182">
        <f t="shared" si="95"/>
        <v>100</v>
      </c>
      <c r="W524" s="180"/>
      <c r="X524" s="180"/>
      <c r="Y524" s="180"/>
      <c r="Z524" s="180"/>
      <c r="AA524" s="180"/>
      <c r="AB524" s="180"/>
      <c r="AC524" s="180"/>
      <c r="AD524" s="180"/>
      <c r="AE524" s="180"/>
      <c r="AF524" s="180"/>
      <c r="AG524" s="180"/>
      <c r="AH524" s="180"/>
      <c r="AI524" s="180">
        <v>0</v>
      </c>
      <c r="AJ524" s="181">
        <f t="shared" si="127"/>
        <v>0</v>
      </c>
      <c r="AK524" s="180">
        <f t="shared" si="138"/>
        <v>6000000</v>
      </c>
      <c r="AL524" s="181">
        <f t="shared" si="136"/>
        <v>100</v>
      </c>
      <c r="AM524" s="227"/>
    </row>
    <row r="525" spans="1:39" s="313" customFormat="1" ht="24.75" customHeight="1" x14ac:dyDescent="0.25">
      <c r="A525" s="243"/>
      <c r="B525" s="437"/>
      <c r="C525" s="437"/>
      <c r="D525" s="437"/>
      <c r="E525" s="437"/>
      <c r="F525" s="437"/>
      <c r="G525" s="437"/>
      <c r="H525" s="437"/>
      <c r="I525" s="438"/>
      <c r="J525" s="437" t="s">
        <v>315</v>
      </c>
      <c r="K525" s="245"/>
      <c r="L525" s="257"/>
      <c r="M525" s="591" t="s">
        <v>271</v>
      </c>
      <c r="N525" s="592"/>
      <c r="O525" s="179"/>
      <c r="P525" s="180"/>
      <c r="Q525" s="180">
        <v>4000000</v>
      </c>
      <c r="R525" s="181">
        <f t="shared" si="139"/>
        <v>3.0721966205837172</v>
      </c>
      <c r="S525" s="181">
        <v>100</v>
      </c>
      <c r="T525" s="180">
        <f t="shared" si="117"/>
        <v>0</v>
      </c>
      <c r="U525" s="180">
        <f t="shared" si="122"/>
        <v>0</v>
      </c>
      <c r="V525" s="182">
        <f t="shared" si="95"/>
        <v>100</v>
      </c>
      <c r="W525" s="180"/>
      <c r="X525" s="180"/>
      <c r="Y525" s="180"/>
      <c r="Z525" s="180"/>
      <c r="AA525" s="180"/>
      <c r="AB525" s="180"/>
      <c r="AC525" s="180"/>
      <c r="AD525" s="180"/>
      <c r="AE525" s="180"/>
      <c r="AF525" s="180"/>
      <c r="AG525" s="180"/>
      <c r="AH525" s="180"/>
      <c r="AI525" s="180">
        <v>0</v>
      </c>
      <c r="AJ525" s="181">
        <f t="shared" si="127"/>
        <v>0</v>
      </c>
      <c r="AK525" s="180">
        <f t="shared" si="138"/>
        <v>4000000</v>
      </c>
      <c r="AL525" s="181">
        <f t="shared" si="136"/>
        <v>100</v>
      </c>
      <c r="AM525" s="243"/>
    </row>
    <row r="526" spans="1:39" s="313" customFormat="1" ht="24.75" customHeight="1" x14ac:dyDescent="0.25">
      <c r="A526" s="243"/>
      <c r="B526" s="437"/>
      <c r="C526" s="437"/>
      <c r="D526" s="437"/>
      <c r="E526" s="437"/>
      <c r="F526" s="437"/>
      <c r="G526" s="437"/>
      <c r="H526" s="437"/>
      <c r="I526" s="438"/>
      <c r="J526" s="437" t="s">
        <v>280</v>
      </c>
      <c r="K526" s="245"/>
      <c r="L526" s="257"/>
      <c r="M526" s="591" t="s">
        <v>423</v>
      </c>
      <c r="N526" s="592"/>
      <c r="O526" s="179"/>
      <c r="P526" s="180"/>
      <c r="Q526" s="180">
        <v>1000000</v>
      </c>
      <c r="R526" s="181">
        <f t="shared" si="139"/>
        <v>0.76804915514592931</v>
      </c>
      <c r="S526" s="181">
        <v>100</v>
      </c>
      <c r="T526" s="180">
        <f t="shared" si="117"/>
        <v>0</v>
      </c>
      <c r="U526" s="180">
        <f t="shared" si="122"/>
        <v>0</v>
      </c>
      <c r="V526" s="182">
        <f t="shared" si="95"/>
        <v>100</v>
      </c>
      <c r="W526" s="180"/>
      <c r="X526" s="180"/>
      <c r="Y526" s="180"/>
      <c r="Z526" s="180"/>
      <c r="AA526" s="180"/>
      <c r="AB526" s="180"/>
      <c r="AC526" s="180"/>
      <c r="AD526" s="180"/>
      <c r="AE526" s="180"/>
      <c r="AF526" s="180"/>
      <c r="AG526" s="180"/>
      <c r="AH526" s="180"/>
      <c r="AI526" s="180">
        <v>0</v>
      </c>
      <c r="AJ526" s="181">
        <f t="shared" si="127"/>
        <v>0</v>
      </c>
      <c r="AK526" s="180">
        <f t="shared" si="138"/>
        <v>1000000</v>
      </c>
      <c r="AL526" s="181">
        <f t="shared" si="136"/>
        <v>100</v>
      </c>
      <c r="AM526" s="243"/>
    </row>
    <row r="527" spans="1:39" s="313" customFormat="1" ht="24.75" customHeight="1" x14ac:dyDescent="0.25">
      <c r="A527" s="243"/>
      <c r="B527" s="437"/>
      <c r="C527" s="437"/>
      <c r="D527" s="437"/>
      <c r="E527" s="437"/>
      <c r="F527" s="437"/>
      <c r="G527" s="437"/>
      <c r="H527" s="437"/>
      <c r="I527" s="438"/>
      <c r="J527" s="437" t="s">
        <v>284</v>
      </c>
      <c r="K527" s="245"/>
      <c r="L527" s="257"/>
      <c r="M527" s="591" t="s">
        <v>285</v>
      </c>
      <c r="N527" s="592"/>
      <c r="O527" s="179"/>
      <c r="P527" s="180"/>
      <c r="Q527" s="180">
        <v>5000000</v>
      </c>
      <c r="R527" s="181">
        <f t="shared" si="139"/>
        <v>3.8402457757296471</v>
      </c>
      <c r="S527" s="181">
        <v>100</v>
      </c>
      <c r="T527" s="180">
        <f t="shared" si="117"/>
        <v>0</v>
      </c>
      <c r="U527" s="180">
        <f t="shared" si="122"/>
        <v>0</v>
      </c>
      <c r="V527" s="182">
        <f t="shared" si="95"/>
        <v>100</v>
      </c>
      <c r="W527" s="180"/>
      <c r="X527" s="180"/>
      <c r="Y527" s="180"/>
      <c r="Z527" s="180"/>
      <c r="AA527" s="180"/>
      <c r="AB527" s="180"/>
      <c r="AC527" s="180"/>
      <c r="AD527" s="180"/>
      <c r="AE527" s="180"/>
      <c r="AF527" s="180"/>
      <c r="AG527" s="180"/>
      <c r="AH527" s="180"/>
      <c r="AI527" s="180">
        <v>0</v>
      </c>
      <c r="AJ527" s="181">
        <f t="shared" si="127"/>
        <v>0</v>
      </c>
      <c r="AK527" s="180">
        <f t="shared" si="138"/>
        <v>5000000</v>
      </c>
      <c r="AL527" s="181">
        <f t="shared" si="136"/>
        <v>100</v>
      </c>
      <c r="AM527" s="243"/>
    </row>
    <row r="528" spans="1:39" s="313" customFormat="1" ht="24.75" customHeight="1" x14ac:dyDescent="0.25">
      <c r="A528" s="243"/>
      <c r="B528" s="437"/>
      <c r="C528" s="437"/>
      <c r="D528" s="437"/>
      <c r="E528" s="437"/>
      <c r="F528" s="437"/>
      <c r="G528" s="437"/>
      <c r="H528" s="437"/>
      <c r="I528" s="438"/>
      <c r="J528" s="437"/>
      <c r="K528" s="245"/>
      <c r="L528" s="257"/>
      <c r="M528" s="591" t="s">
        <v>503</v>
      </c>
      <c r="N528" s="592"/>
      <c r="O528" s="179"/>
      <c r="P528" s="180"/>
      <c r="Q528" s="180">
        <v>10000000</v>
      </c>
      <c r="R528" s="181">
        <f t="shared" si="139"/>
        <v>7.6804915514592942</v>
      </c>
      <c r="S528" s="181">
        <v>100</v>
      </c>
      <c r="T528" s="180">
        <f t="shared" si="117"/>
        <v>0</v>
      </c>
      <c r="U528" s="180">
        <f t="shared" si="122"/>
        <v>0</v>
      </c>
      <c r="V528" s="182">
        <f t="shared" si="95"/>
        <v>100</v>
      </c>
      <c r="W528" s="180"/>
      <c r="X528" s="180"/>
      <c r="Y528" s="180"/>
      <c r="Z528" s="180"/>
      <c r="AA528" s="180"/>
      <c r="AB528" s="180"/>
      <c r="AC528" s="180"/>
      <c r="AD528" s="180"/>
      <c r="AE528" s="180"/>
      <c r="AF528" s="180"/>
      <c r="AG528" s="180"/>
      <c r="AH528" s="180"/>
      <c r="AI528" s="180">
        <v>0</v>
      </c>
      <c r="AJ528" s="181">
        <f t="shared" si="127"/>
        <v>0</v>
      </c>
      <c r="AK528" s="180">
        <f t="shared" si="138"/>
        <v>10000000</v>
      </c>
      <c r="AL528" s="181">
        <f t="shared" si="136"/>
        <v>100</v>
      </c>
      <c r="AM528" s="243"/>
    </row>
    <row r="529" spans="1:39" ht="24.75" customHeight="1" x14ac:dyDescent="0.25">
      <c r="A529" s="243"/>
      <c r="B529" s="437"/>
      <c r="C529" s="437"/>
      <c r="D529" s="437"/>
      <c r="E529" s="437"/>
      <c r="F529" s="437"/>
      <c r="G529" s="437"/>
      <c r="H529" s="437"/>
      <c r="I529" s="438"/>
      <c r="J529" s="437" t="s">
        <v>309</v>
      </c>
      <c r="K529" s="245"/>
      <c r="L529" s="257"/>
      <c r="M529" s="591" t="s">
        <v>310</v>
      </c>
      <c r="N529" s="592"/>
      <c r="O529" s="179"/>
      <c r="P529" s="180"/>
      <c r="Q529" s="180">
        <v>104200000</v>
      </c>
      <c r="R529" s="181">
        <f t="shared" si="139"/>
        <v>80.030721966205846</v>
      </c>
      <c r="S529" s="181">
        <v>100</v>
      </c>
      <c r="T529" s="180">
        <f t="shared" si="117"/>
        <v>0</v>
      </c>
      <c r="U529" s="180">
        <f t="shared" si="122"/>
        <v>0</v>
      </c>
      <c r="V529" s="182">
        <f t="shared" si="95"/>
        <v>100</v>
      </c>
      <c r="W529" s="180"/>
      <c r="X529" s="180"/>
      <c r="Y529" s="180"/>
      <c r="Z529" s="180"/>
      <c r="AA529" s="180"/>
      <c r="AB529" s="180"/>
      <c r="AC529" s="180"/>
      <c r="AD529" s="180"/>
      <c r="AE529" s="180"/>
      <c r="AF529" s="180"/>
      <c r="AG529" s="180"/>
      <c r="AH529" s="180"/>
      <c r="AI529" s="180">
        <v>0</v>
      </c>
      <c r="AJ529" s="181">
        <f t="shared" si="127"/>
        <v>0</v>
      </c>
      <c r="AK529" s="180">
        <f t="shared" si="138"/>
        <v>104200000</v>
      </c>
      <c r="AL529" s="181">
        <f t="shared" si="136"/>
        <v>100</v>
      </c>
      <c r="AM529" s="243"/>
    </row>
    <row r="530" spans="1:39" s="297" customFormat="1" ht="29.25" customHeight="1" x14ac:dyDescent="0.25">
      <c r="A530" s="227">
        <f>A523+1</f>
        <v>66</v>
      </c>
      <c r="B530" s="615" t="s">
        <v>158</v>
      </c>
      <c r="C530" s="615"/>
      <c r="D530" s="615"/>
      <c r="E530" s="615"/>
      <c r="F530" s="615"/>
      <c r="G530" s="615"/>
      <c r="H530" s="615"/>
      <c r="I530" s="614"/>
      <c r="J530" s="304" t="s">
        <v>519</v>
      </c>
      <c r="K530" s="230"/>
      <c r="L530" s="294"/>
      <c r="M530" s="610" t="s">
        <v>164</v>
      </c>
      <c r="N530" s="610"/>
      <c r="O530" s="309">
        <v>355300000</v>
      </c>
      <c r="P530" s="231">
        <v>0</v>
      </c>
      <c r="Q530" s="231">
        <f>SUM(Q531:Q541)</f>
        <v>154081000</v>
      </c>
      <c r="R530" s="233">
        <f>Q530/Q$248*100</f>
        <v>1.2917757015052225</v>
      </c>
      <c r="S530" s="233">
        <v>100</v>
      </c>
      <c r="T530" s="231">
        <f t="shared" si="117"/>
        <v>98.755200186914678</v>
      </c>
      <c r="U530" s="231">
        <f t="shared" si="122"/>
        <v>1.2756956799874037</v>
      </c>
      <c r="V530" s="296">
        <f t="shared" si="95"/>
        <v>1.2447998130853222</v>
      </c>
      <c r="W530" s="231"/>
      <c r="X530" s="231"/>
      <c r="Y530" s="231"/>
      <c r="Z530" s="231"/>
      <c r="AA530" s="231"/>
      <c r="AB530" s="231"/>
      <c r="AC530" s="231"/>
      <c r="AD530" s="231"/>
      <c r="AE530" s="231"/>
      <c r="AF530" s="231"/>
      <c r="AG530" s="231" t="e">
        <f>[2]april!N85</f>
        <v>#REF!</v>
      </c>
      <c r="AH530" s="231">
        <f>'[3]DES SKPD'!$N85</f>
        <v>78380000</v>
      </c>
      <c r="AI530" s="231">
        <f>SUM(AI531:AI541)</f>
        <v>152163000</v>
      </c>
      <c r="AJ530" s="233">
        <f t="shared" si="127"/>
        <v>98.755200186914678</v>
      </c>
      <c r="AK530" s="231">
        <f t="shared" si="138"/>
        <v>1918000</v>
      </c>
      <c r="AL530" s="233">
        <f t="shared" si="136"/>
        <v>1.2447998130853253</v>
      </c>
      <c r="AM530" s="227"/>
    </row>
    <row r="531" spans="1:39" ht="29.25" customHeight="1" x14ac:dyDescent="0.25">
      <c r="A531" s="243"/>
      <c r="B531" s="437"/>
      <c r="C531" s="437"/>
      <c r="D531" s="437"/>
      <c r="E531" s="437"/>
      <c r="F531" s="437"/>
      <c r="G531" s="437"/>
      <c r="H531" s="437"/>
      <c r="I531" s="438"/>
      <c r="J531" s="437" t="s">
        <v>259</v>
      </c>
      <c r="K531" s="245"/>
      <c r="L531" s="257"/>
      <c r="M531" s="591" t="s">
        <v>619</v>
      </c>
      <c r="N531" s="592"/>
      <c r="O531" s="179"/>
      <c r="P531" s="180"/>
      <c r="Q531" s="180">
        <v>1300000</v>
      </c>
      <c r="R531" s="181">
        <f>Q531/Q$530*100</f>
        <v>0.84371207351977218</v>
      </c>
      <c r="S531" s="181">
        <v>100</v>
      </c>
      <c r="T531" s="180">
        <f t="shared" si="117"/>
        <v>100</v>
      </c>
      <c r="U531" s="180">
        <f t="shared" si="122"/>
        <v>0.84371207351977218</v>
      </c>
      <c r="V531" s="182">
        <f t="shared" si="95"/>
        <v>0</v>
      </c>
      <c r="W531" s="180"/>
      <c r="X531" s="180"/>
      <c r="Y531" s="180"/>
      <c r="Z531" s="180"/>
      <c r="AA531" s="180"/>
      <c r="AB531" s="180"/>
      <c r="AC531" s="180"/>
      <c r="AD531" s="180"/>
      <c r="AE531" s="180"/>
      <c r="AF531" s="180"/>
      <c r="AG531" s="180"/>
      <c r="AH531" s="180"/>
      <c r="AI531" s="180">
        <v>1300000</v>
      </c>
      <c r="AJ531" s="181">
        <f t="shared" si="127"/>
        <v>100</v>
      </c>
      <c r="AK531" s="180">
        <f>SUM(Q531-AI531)</f>
        <v>0</v>
      </c>
      <c r="AL531" s="181">
        <f t="shared" si="136"/>
        <v>0</v>
      </c>
      <c r="AM531" s="243"/>
    </row>
    <row r="532" spans="1:39" ht="29.25" customHeight="1" x14ac:dyDescent="0.25">
      <c r="A532" s="243"/>
      <c r="B532" s="437"/>
      <c r="C532" s="437"/>
      <c r="D532" s="437"/>
      <c r="E532" s="437"/>
      <c r="F532" s="437"/>
      <c r="G532" s="437"/>
      <c r="H532" s="437"/>
      <c r="I532" s="438"/>
      <c r="J532" s="437" t="s">
        <v>618</v>
      </c>
      <c r="K532" s="245"/>
      <c r="L532" s="257"/>
      <c r="M532" s="591" t="s">
        <v>351</v>
      </c>
      <c r="N532" s="592"/>
      <c r="O532" s="179"/>
      <c r="P532" s="180"/>
      <c r="Q532" s="180">
        <v>986000</v>
      </c>
      <c r="R532" s="181">
        <f t="shared" ref="R532:R541" si="140">Q532/Q$530*100</f>
        <v>0.63992315730038096</v>
      </c>
      <c r="S532" s="181">
        <v>100</v>
      </c>
      <c r="T532" s="180">
        <f t="shared" si="117"/>
        <v>50.709939148073026</v>
      </c>
      <c r="U532" s="180">
        <f t="shared" si="122"/>
        <v>0.32450464366145082</v>
      </c>
      <c r="V532" s="182">
        <f t="shared" si="95"/>
        <v>49.290060851926974</v>
      </c>
      <c r="W532" s="180"/>
      <c r="X532" s="180"/>
      <c r="Y532" s="180"/>
      <c r="Z532" s="180"/>
      <c r="AA532" s="180"/>
      <c r="AB532" s="180"/>
      <c r="AC532" s="180"/>
      <c r="AD532" s="180"/>
      <c r="AE532" s="180"/>
      <c r="AF532" s="180"/>
      <c r="AG532" s="180"/>
      <c r="AH532" s="180"/>
      <c r="AI532" s="180">
        <v>500000</v>
      </c>
      <c r="AJ532" s="181">
        <f t="shared" si="127"/>
        <v>50.709939148073026</v>
      </c>
      <c r="AK532" s="180">
        <f t="shared" ref="AK532:AK541" si="141">SUM(Q532-AI532)</f>
        <v>486000</v>
      </c>
      <c r="AL532" s="181">
        <f t="shared" si="136"/>
        <v>49.290060851926974</v>
      </c>
      <c r="AM532" s="243"/>
    </row>
    <row r="533" spans="1:39" ht="29.25" customHeight="1" x14ac:dyDescent="0.25">
      <c r="A533" s="243"/>
      <c r="B533" s="437"/>
      <c r="C533" s="437"/>
      <c r="D533" s="437"/>
      <c r="E533" s="437"/>
      <c r="F533" s="437"/>
      <c r="G533" s="437"/>
      <c r="H533" s="437"/>
      <c r="I533" s="438"/>
      <c r="J533" s="437" t="s">
        <v>332</v>
      </c>
      <c r="K533" s="245"/>
      <c r="L533" s="257"/>
      <c r="M533" s="591" t="s">
        <v>354</v>
      </c>
      <c r="N533" s="592"/>
      <c r="O533" s="179"/>
      <c r="P533" s="180"/>
      <c r="Q533" s="180">
        <v>75000000</v>
      </c>
      <c r="R533" s="181">
        <f t="shared" si="140"/>
        <v>48.675696549217619</v>
      </c>
      <c r="S533" s="181">
        <v>100</v>
      </c>
      <c r="T533" s="180">
        <f t="shared" si="117"/>
        <v>100</v>
      </c>
      <c r="U533" s="180">
        <f t="shared" si="122"/>
        <v>48.675696549217619</v>
      </c>
      <c r="V533" s="182">
        <f t="shared" si="95"/>
        <v>0</v>
      </c>
      <c r="W533" s="180"/>
      <c r="X533" s="180"/>
      <c r="Y533" s="180"/>
      <c r="Z533" s="180"/>
      <c r="AA533" s="180"/>
      <c r="AB533" s="180"/>
      <c r="AC533" s="180"/>
      <c r="AD533" s="180"/>
      <c r="AE533" s="180"/>
      <c r="AF533" s="180"/>
      <c r="AG533" s="180"/>
      <c r="AH533" s="180"/>
      <c r="AI533" s="180">
        <v>75000000</v>
      </c>
      <c r="AJ533" s="181">
        <f t="shared" si="127"/>
        <v>100</v>
      </c>
      <c r="AK533" s="180">
        <f t="shared" si="141"/>
        <v>0</v>
      </c>
      <c r="AL533" s="181">
        <f t="shared" si="136"/>
        <v>0</v>
      </c>
      <c r="AM533" s="243"/>
    </row>
    <row r="534" spans="1:39" ht="29.25" customHeight="1" x14ac:dyDescent="0.25">
      <c r="A534" s="243"/>
      <c r="B534" s="437"/>
      <c r="C534" s="437"/>
      <c r="D534" s="437"/>
      <c r="E534" s="437"/>
      <c r="F534" s="437"/>
      <c r="G534" s="437"/>
      <c r="H534" s="437"/>
      <c r="I534" s="438"/>
      <c r="J534" s="437" t="s">
        <v>374</v>
      </c>
      <c r="K534" s="245"/>
      <c r="L534" s="257"/>
      <c r="M534" s="591" t="s">
        <v>428</v>
      </c>
      <c r="N534" s="592"/>
      <c r="O534" s="179"/>
      <c r="P534" s="180"/>
      <c r="Q534" s="180">
        <v>500000</v>
      </c>
      <c r="R534" s="181">
        <f t="shared" si="140"/>
        <v>0.32450464366145082</v>
      </c>
      <c r="S534" s="181">
        <v>100</v>
      </c>
      <c r="T534" s="180">
        <f t="shared" si="117"/>
        <v>100</v>
      </c>
      <c r="U534" s="180">
        <f t="shared" si="122"/>
        <v>0.32450464366145082</v>
      </c>
      <c r="V534" s="182">
        <f t="shared" si="95"/>
        <v>0</v>
      </c>
      <c r="W534" s="180"/>
      <c r="X534" s="180"/>
      <c r="Y534" s="180"/>
      <c r="Z534" s="180"/>
      <c r="AA534" s="180"/>
      <c r="AB534" s="180"/>
      <c r="AC534" s="180"/>
      <c r="AD534" s="180"/>
      <c r="AE534" s="180"/>
      <c r="AF534" s="180"/>
      <c r="AG534" s="180"/>
      <c r="AH534" s="180"/>
      <c r="AI534" s="180">
        <v>500000</v>
      </c>
      <c r="AJ534" s="181">
        <f t="shared" si="127"/>
        <v>100</v>
      </c>
      <c r="AK534" s="180">
        <f t="shared" si="141"/>
        <v>0</v>
      </c>
      <c r="AL534" s="181">
        <f t="shared" si="136"/>
        <v>0</v>
      </c>
      <c r="AM534" s="243"/>
    </row>
    <row r="535" spans="1:39" ht="29.25" customHeight="1" x14ac:dyDescent="0.25">
      <c r="A535" s="243"/>
      <c r="B535" s="437"/>
      <c r="C535" s="437"/>
      <c r="D535" s="437"/>
      <c r="E535" s="437"/>
      <c r="F535" s="437"/>
      <c r="G535" s="437"/>
      <c r="H535" s="437"/>
      <c r="I535" s="438"/>
      <c r="J535" s="437" t="s">
        <v>316</v>
      </c>
      <c r="K535" s="245"/>
      <c r="L535" s="257"/>
      <c r="M535" s="591" t="s">
        <v>317</v>
      </c>
      <c r="N535" s="592"/>
      <c r="O535" s="179"/>
      <c r="P535" s="180"/>
      <c r="Q535" s="180">
        <v>17300000</v>
      </c>
      <c r="R535" s="181">
        <f t="shared" si="140"/>
        <v>11.227860670686198</v>
      </c>
      <c r="S535" s="181">
        <v>100</v>
      </c>
      <c r="T535" s="180">
        <f t="shared" si="117"/>
        <v>97.109826589595372</v>
      </c>
      <c r="U535" s="180">
        <f t="shared" si="122"/>
        <v>10.903356027024747</v>
      </c>
      <c r="V535" s="182">
        <f t="shared" si="95"/>
        <v>2.8901734104046284</v>
      </c>
      <c r="W535" s="180"/>
      <c r="X535" s="180"/>
      <c r="Y535" s="180"/>
      <c r="Z535" s="180"/>
      <c r="AA535" s="180"/>
      <c r="AB535" s="180"/>
      <c r="AC535" s="180"/>
      <c r="AD535" s="180"/>
      <c r="AE535" s="180"/>
      <c r="AF535" s="180"/>
      <c r="AG535" s="180"/>
      <c r="AH535" s="180"/>
      <c r="AI535" s="180">
        <v>16800000</v>
      </c>
      <c r="AJ535" s="181">
        <f t="shared" si="127"/>
        <v>97.109826589595372</v>
      </c>
      <c r="AK535" s="180">
        <f t="shared" si="141"/>
        <v>500000</v>
      </c>
      <c r="AL535" s="181">
        <f t="shared" si="136"/>
        <v>2.8901734104046244</v>
      </c>
      <c r="AM535" s="243"/>
    </row>
    <row r="536" spans="1:39" ht="29.25" customHeight="1" x14ac:dyDescent="0.25">
      <c r="A536" s="243"/>
      <c r="B536" s="437"/>
      <c r="C536" s="437"/>
      <c r="D536" s="437"/>
      <c r="E536" s="437"/>
      <c r="F536" s="437"/>
      <c r="G536" s="437"/>
      <c r="H536" s="437"/>
      <c r="I536" s="438"/>
      <c r="J536" s="437" t="s">
        <v>318</v>
      </c>
      <c r="K536" s="245"/>
      <c r="L536" s="257"/>
      <c r="M536" s="591" t="s">
        <v>319</v>
      </c>
      <c r="N536" s="592"/>
      <c r="O536" s="179"/>
      <c r="P536" s="180"/>
      <c r="Q536" s="180">
        <v>26250000</v>
      </c>
      <c r="R536" s="181">
        <f t="shared" si="140"/>
        <v>17.036493792226167</v>
      </c>
      <c r="S536" s="181">
        <v>100</v>
      </c>
      <c r="T536" s="180">
        <f t="shared" si="117"/>
        <v>100</v>
      </c>
      <c r="U536" s="180">
        <f t="shared" si="122"/>
        <v>17.036493792226167</v>
      </c>
      <c r="V536" s="182">
        <f t="shared" si="95"/>
        <v>0</v>
      </c>
      <c r="W536" s="180"/>
      <c r="X536" s="180"/>
      <c r="Y536" s="180"/>
      <c r="Z536" s="180"/>
      <c r="AA536" s="180"/>
      <c r="AB536" s="180"/>
      <c r="AC536" s="180"/>
      <c r="AD536" s="180"/>
      <c r="AE536" s="180"/>
      <c r="AF536" s="180"/>
      <c r="AG536" s="180"/>
      <c r="AH536" s="180"/>
      <c r="AI536" s="180">
        <v>26250000</v>
      </c>
      <c r="AJ536" s="181">
        <f t="shared" si="127"/>
        <v>100</v>
      </c>
      <c r="AK536" s="180">
        <f t="shared" si="141"/>
        <v>0</v>
      </c>
      <c r="AL536" s="181">
        <f t="shared" si="136"/>
        <v>0</v>
      </c>
      <c r="AM536" s="243"/>
    </row>
    <row r="537" spans="1:39" ht="29.25" customHeight="1" x14ac:dyDescent="0.25">
      <c r="A537" s="243"/>
      <c r="B537" s="437"/>
      <c r="C537" s="437"/>
      <c r="D537" s="437"/>
      <c r="E537" s="437"/>
      <c r="F537" s="437"/>
      <c r="G537" s="437"/>
      <c r="H537" s="437"/>
      <c r="I537" s="438"/>
      <c r="J537" s="437" t="s">
        <v>284</v>
      </c>
      <c r="K537" s="245"/>
      <c r="L537" s="257"/>
      <c r="M537" s="591" t="s">
        <v>285</v>
      </c>
      <c r="N537" s="592"/>
      <c r="O537" s="179"/>
      <c r="P537" s="180"/>
      <c r="Q537" s="180">
        <v>3000000</v>
      </c>
      <c r="R537" s="181">
        <f t="shared" si="140"/>
        <v>1.9470278619687049</v>
      </c>
      <c r="S537" s="181">
        <v>100</v>
      </c>
      <c r="T537" s="180">
        <f t="shared" si="117"/>
        <v>99</v>
      </c>
      <c r="U537" s="180">
        <f t="shared" si="122"/>
        <v>1.9275575833490179</v>
      </c>
      <c r="V537" s="182">
        <f t="shared" si="95"/>
        <v>1</v>
      </c>
      <c r="W537" s="180"/>
      <c r="X537" s="180"/>
      <c r="Y537" s="180"/>
      <c r="Z537" s="180"/>
      <c r="AA537" s="180"/>
      <c r="AB537" s="180"/>
      <c r="AC537" s="180"/>
      <c r="AD537" s="180"/>
      <c r="AE537" s="180"/>
      <c r="AF537" s="180"/>
      <c r="AG537" s="180"/>
      <c r="AH537" s="180"/>
      <c r="AI537" s="180">
        <f>440000+2530000</f>
        <v>2970000</v>
      </c>
      <c r="AJ537" s="181">
        <f t="shared" si="127"/>
        <v>99</v>
      </c>
      <c r="AK537" s="180">
        <f t="shared" si="141"/>
        <v>30000</v>
      </c>
      <c r="AL537" s="181">
        <f t="shared" si="136"/>
        <v>1</v>
      </c>
      <c r="AM537" s="243"/>
    </row>
    <row r="538" spans="1:39" ht="29.25" customHeight="1" x14ac:dyDescent="0.25">
      <c r="A538" s="243"/>
      <c r="B538" s="437"/>
      <c r="C538" s="437"/>
      <c r="D538" s="437"/>
      <c r="E538" s="437"/>
      <c r="F538" s="437"/>
      <c r="G538" s="437"/>
      <c r="H538" s="437"/>
      <c r="I538" s="438"/>
      <c r="J538" s="437" t="s">
        <v>282</v>
      </c>
      <c r="K538" s="245"/>
      <c r="L538" s="257"/>
      <c r="M538" s="591" t="s">
        <v>283</v>
      </c>
      <c r="N538" s="592"/>
      <c r="O538" s="179"/>
      <c r="P538" s="180"/>
      <c r="Q538" s="180">
        <v>10245000</v>
      </c>
      <c r="R538" s="181">
        <f t="shared" si="140"/>
        <v>6.6491001486231269</v>
      </c>
      <c r="S538" s="181">
        <v>100</v>
      </c>
      <c r="T538" s="180">
        <f t="shared" si="117"/>
        <v>99.980478282088825</v>
      </c>
      <c r="U538" s="180">
        <f t="shared" si="122"/>
        <v>6.6478021300484809</v>
      </c>
      <c r="V538" s="182">
        <f t="shared" ref="V538:V679" si="142">S538-T538</f>
        <v>1.9521717911175074E-2</v>
      </c>
      <c r="W538" s="180"/>
      <c r="X538" s="180"/>
      <c r="Y538" s="180"/>
      <c r="Z538" s="180"/>
      <c r="AA538" s="180"/>
      <c r="AB538" s="180"/>
      <c r="AC538" s="180"/>
      <c r="AD538" s="180"/>
      <c r="AE538" s="180"/>
      <c r="AF538" s="180"/>
      <c r="AG538" s="180"/>
      <c r="AH538" s="180"/>
      <c r="AI538" s="180">
        <f>2163000+8080000</f>
        <v>10243000</v>
      </c>
      <c r="AJ538" s="181">
        <f t="shared" ref="AJ538:AJ605" si="143">AI538/Q538*100</f>
        <v>99.980478282088825</v>
      </c>
      <c r="AK538" s="180">
        <f t="shared" si="141"/>
        <v>2000</v>
      </c>
      <c r="AL538" s="181">
        <f t="shared" si="136"/>
        <v>1.9521717911176184E-2</v>
      </c>
      <c r="AM538" s="243"/>
    </row>
    <row r="539" spans="1:39" ht="29.25" customHeight="1" x14ac:dyDescent="0.25">
      <c r="A539" s="243"/>
      <c r="B539" s="437"/>
      <c r="C539" s="437"/>
      <c r="D539" s="437"/>
      <c r="E539" s="437"/>
      <c r="F539" s="437"/>
      <c r="G539" s="437"/>
      <c r="H539" s="437"/>
      <c r="I539" s="438"/>
      <c r="J539" s="437" t="s">
        <v>320</v>
      </c>
      <c r="K539" s="245"/>
      <c r="L539" s="257"/>
      <c r="M539" s="591" t="s">
        <v>321</v>
      </c>
      <c r="N539" s="592"/>
      <c r="O539" s="179"/>
      <c r="P539" s="180"/>
      <c r="Q539" s="180">
        <v>5800000</v>
      </c>
      <c r="R539" s="181">
        <f t="shared" si="140"/>
        <v>3.7642538664728291</v>
      </c>
      <c r="S539" s="181">
        <v>100</v>
      </c>
      <c r="T539" s="180">
        <f t="shared" si="117"/>
        <v>100</v>
      </c>
      <c r="U539" s="180">
        <f t="shared" si="122"/>
        <v>3.7642538664728291</v>
      </c>
      <c r="V539" s="182">
        <f t="shared" si="142"/>
        <v>0</v>
      </c>
      <c r="W539" s="180"/>
      <c r="X539" s="180"/>
      <c r="Y539" s="180"/>
      <c r="Z539" s="180"/>
      <c r="AA539" s="180"/>
      <c r="AB539" s="180"/>
      <c r="AC539" s="180"/>
      <c r="AD539" s="180"/>
      <c r="AE539" s="180"/>
      <c r="AF539" s="180"/>
      <c r="AG539" s="180"/>
      <c r="AH539" s="180"/>
      <c r="AI539" s="180">
        <v>5800000</v>
      </c>
      <c r="AJ539" s="181">
        <f t="shared" si="143"/>
        <v>100</v>
      </c>
      <c r="AK539" s="180">
        <f t="shared" si="141"/>
        <v>0</v>
      </c>
      <c r="AL539" s="181">
        <f t="shared" si="136"/>
        <v>0</v>
      </c>
      <c r="AM539" s="243"/>
    </row>
    <row r="540" spans="1:39" ht="29.25" customHeight="1" x14ac:dyDescent="0.25">
      <c r="A540" s="243"/>
      <c r="B540" s="437"/>
      <c r="C540" s="437"/>
      <c r="D540" s="437"/>
      <c r="E540" s="437"/>
      <c r="F540" s="437"/>
      <c r="G540" s="437"/>
      <c r="H540" s="437"/>
      <c r="I540" s="438"/>
      <c r="J540" s="437" t="s">
        <v>309</v>
      </c>
      <c r="K540" s="245"/>
      <c r="L540" s="257"/>
      <c r="M540" s="591" t="s">
        <v>607</v>
      </c>
      <c r="N540" s="592"/>
      <c r="O540" s="179"/>
      <c r="P540" s="180"/>
      <c r="Q540" s="180">
        <v>2450000</v>
      </c>
      <c r="R540" s="181">
        <f t="shared" si="140"/>
        <v>1.5900727539411088</v>
      </c>
      <c r="S540" s="181">
        <v>100</v>
      </c>
      <c r="T540" s="180">
        <f t="shared" si="117"/>
        <v>100</v>
      </c>
      <c r="U540" s="180">
        <f t="shared" si="122"/>
        <v>1.5900727539411088</v>
      </c>
      <c r="V540" s="182">
        <f t="shared" si="142"/>
        <v>0</v>
      </c>
      <c r="W540" s="180"/>
      <c r="X540" s="180"/>
      <c r="Y540" s="180"/>
      <c r="Z540" s="180"/>
      <c r="AA540" s="180"/>
      <c r="AB540" s="180"/>
      <c r="AC540" s="180"/>
      <c r="AD540" s="180"/>
      <c r="AE540" s="180"/>
      <c r="AF540" s="180"/>
      <c r="AG540" s="180"/>
      <c r="AH540" s="180"/>
      <c r="AI540" s="180">
        <v>2450000</v>
      </c>
      <c r="AJ540" s="181">
        <f t="shared" si="143"/>
        <v>100</v>
      </c>
      <c r="AK540" s="180">
        <f t="shared" si="141"/>
        <v>0</v>
      </c>
      <c r="AL540" s="181">
        <f t="shared" si="136"/>
        <v>0</v>
      </c>
      <c r="AM540" s="243"/>
    </row>
    <row r="541" spans="1:39" ht="29.25" customHeight="1" x14ac:dyDescent="0.25">
      <c r="A541" s="243"/>
      <c r="B541" s="437"/>
      <c r="C541" s="437"/>
      <c r="D541" s="437"/>
      <c r="E541" s="437"/>
      <c r="F541" s="437"/>
      <c r="G541" s="437"/>
      <c r="H541" s="437"/>
      <c r="I541" s="438"/>
      <c r="J541" s="437" t="s">
        <v>372</v>
      </c>
      <c r="K541" s="245"/>
      <c r="L541" s="257"/>
      <c r="M541" s="591" t="s">
        <v>373</v>
      </c>
      <c r="N541" s="592"/>
      <c r="O541" s="179"/>
      <c r="P541" s="180"/>
      <c r="Q541" s="180">
        <v>11250000</v>
      </c>
      <c r="R541" s="181">
        <f t="shared" si="140"/>
        <v>7.3013544823826422</v>
      </c>
      <c r="S541" s="181"/>
      <c r="T541" s="180">
        <f t="shared" si="117"/>
        <v>92</v>
      </c>
      <c r="U541" s="180">
        <f t="shared" si="122"/>
        <v>6.7172461237920311</v>
      </c>
      <c r="V541" s="182">
        <f t="shared" si="142"/>
        <v>-92</v>
      </c>
      <c r="W541" s="180"/>
      <c r="X541" s="180"/>
      <c r="Y541" s="180"/>
      <c r="Z541" s="180"/>
      <c r="AA541" s="180"/>
      <c r="AB541" s="180"/>
      <c r="AC541" s="180"/>
      <c r="AD541" s="180"/>
      <c r="AE541" s="180"/>
      <c r="AF541" s="180"/>
      <c r="AG541" s="180"/>
      <c r="AH541" s="180"/>
      <c r="AI541" s="180">
        <v>10350000</v>
      </c>
      <c r="AJ541" s="181">
        <f t="shared" si="143"/>
        <v>92</v>
      </c>
      <c r="AK541" s="180">
        <f t="shared" si="141"/>
        <v>900000</v>
      </c>
      <c r="AL541" s="181">
        <f t="shared" si="136"/>
        <v>8</v>
      </c>
      <c r="AM541" s="243"/>
    </row>
    <row r="542" spans="1:39" s="297" customFormat="1" ht="31.5" customHeight="1" x14ac:dyDescent="0.25">
      <c r="A542" s="227">
        <f>A530+1</f>
        <v>67</v>
      </c>
      <c r="B542" s="615" t="s">
        <v>158</v>
      </c>
      <c r="C542" s="615"/>
      <c r="D542" s="615"/>
      <c r="E542" s="615"/>
      <c r="F542" s="615"/>
      <c r="G542" s="615"/>
      <c r="H542" s="615"/>
      <c r="I542" s="614"/>
      <c r="J542" s="304" t="s">
        <v>520</v>
      </c>
      <c r="K542" s="230"/>
      <c r="L542" s="294"/>
      <c r="M542" s="610" t="s">
        <v>165</v>
      </c>
      <c r="N542" s="610"/>
      <c r="O542" s="309">
        <v>355300000</v>
      </c>
      <c r="P542" s="231">
        <v>0</v>
      </c>
      <c r="Q542" s="231">
        <f>SUM(Q543:Q552)</f>
        <v>237999131</v>
      </c>
      <c r="R542" s="233">
        <f>Q542/Q$248*100</f>
        <v>1.9953238517737966</v>
      </c>
      <c r="S542" s="233">
        <v>100</v>
      </c>
      <c r="T542" s="231">
        <f t="shared" si="117"/>
        <v>85.94989365738482</v>
      </c>
      <c r="U542" s="231">
        <f t="shared" si="122"/>
        <v>1.7149787287200129</v>
      </c>
      <c r="V542" s="296">
        <f t="shared" si="142"/>
        <v>14.05010634261518</v>
      </c>
      <c r="W542" s="231"/>
      <c r="X542" s="231"/>
      <c r="Y542" s="231"/>
      <c r="Z542" s="231"/>
      <c r="AA542" s="231"/>
      <c r="AB542" s="231"/>
      <c r="AC542" s="231"/>
      <c r="AD542" s="231"/>
      <c r="AE542" s="231"/>
      <c r="AF542" s="231"/>
      <c r="AG542" s="231" t="e">
        <f>[2]april!N86</f>
        <v>#REF!</v>
      </c>
      <c r="AH542" s="231">
        <f>'[3]DES SKPD'!$N86</f>
        <v>126710000</v>
      </c>
      <c r="AI542" s="231">
        <f>SUM(AI543:AI552)</f>
        <v>204560000</v>
      </c>
      <c r="AJ542" s="233">
        <f t="shared" si="143"/>
        <v>85.94989365738482</v>
      </c>
      <c r="AK542" s="231">
        <f>Q542-AI542</f>
        <v>33439131</v>
      </c>
      <c r="AL542" s="233">
        <f t="shared" si="136"/>
        <v>14.050106342615177</v>
      </c>
      <c r="AM542" s="227"/>
    </row>
    <row r="543" spans="1:39" ht="42.75" customHeight="1" x14ac:dyDescent="0.25">
      <c r="A543" s="243"/>
      <c r="B543" s="437"/>
      <c r="C543" s="437"/>
      <c r="D543" s="437"/>
      <c r="E543" s="437"/>
      <c r="F543" s="437"/>
      <c r="G543" s="437"/>
      <c r="H543" s="437"/>
      <c r="I543" s="438"/>
      <c r="J543" s="437" t="s">
        <v>251</v>
      </c>
      <c r="K543" s="245"/>
      <c r="L543" s="257"/>
      <c r="M543" s="591" t="s">
        <v>324</v>
      </c>
      <c r="N543" s="592"/>
      <c r="O543" s="179"/>
      <c r="P543" s="180"/>
      <c r="Q543" s="180">
        <v>3199131</v>
      </c>
      <c r="R543" s="181">
        <f>Q543/Q$542*100</f>
        <v>1.3441775970182008</v>
      </c>
      <c r="S543" s="181">
        <v>100</v>
      </c>
      <c r="T543" s="180">
        <f t="shared" si="117"/>
        <v>95.650975217957622</v>
      </c>
      <c r="U543" s="180">
        <f t="shared" si="122"/>
        <v>1.2857189802092177</v>
      </c>
      <c r="V543" s="182">
        <f t="shared" si="142"/>
        <v>4.3490247820423775</v>
      </c>
      <c r="W543" s="180"/>
      <c r="X543" s="180"/>
      <c r="Y543" s="180"/>
      <c r="Z543" s="180"/>
      <c r="AA543" s="180"/>
      <c r="AB543" s="180"/>
      <c r="AC543" s="180"/>
      <c r="AD543" s="180"/>
      <c r="AE543" s="180"/>
      <c r="AF543" s="180"/>
      <c r="AG543" s="180"/>
      <c r="AH543" s="180"/>
      <c r="AI543" s="180">
        <v>3060000</v>
      </c>
      <c r="AJ543" s="181">
        <f t="shared" si="143"/>
        <v>95.650975217957622</v>
      </c>
      <c r="AK543" s="180">
        <f>SUM(Q543-AI543)</f>
        <v>139131</v>
      </c>
      <c r="AL543" s="181">
        <f t="shared" si="136"/>
        <v>4.3490247820423731</v>
      </c>
      <c r="AM543" s="243"/>
    </row>
    <row r="544" spans="1:39" ht="42.75" customHeight="1" x14ac:dyDescent="0.25">
      <c r="A544" s="243"/>
      <c r="B544" s="437"/>
      <c r="C544" s="437"/>
      <c r="D544" s="437"/>
      <c r="E544" s="437"/>
      <c r="F544" s="437"/>
      <c r="G544" s="437"/>
      <c r="H544" s="437"/>
      <c r="I544" s="438"/>
      <c r="J544" s="437"/>
      <c r="K544" s="245"/>
      <c r="L544" s="257"/>
      <c r="M544" s="591" t="s">
        <v>346</v>
      </c>
      <c r="N544" s="592"/>
      <c r="O544" s="179"/>
      <c r="P544" s="180"/>
      <c r="Q544" s="180">
        <v>16500000</v>
      </c>
      <c r="R544" s="181">
        <f>Q544/Q$542*100</f>
        <v>6.9327984226967621</v>
      </c>
      <c r="S544" s="181">
        <v>100</v>
      </c>
      <c r="T544" s="180">
        <f t="shared" si="117"/>
        <v>100</v>
      </c>
      <c r="U544" s="180">
        <f t="shared" si="122"/>
        <v>6.9327984226967621</v>
      </c>
      <c r="V544" s="182">
        <f t="shared" si="142"/>
        <v>0</v>
      </c>
      <c r="W544" s="180"/>
      <c r="X544" s="180"/>
      <c r="Y544" s="180"/>
      <c r="Z544" s="180"/>
      <c r="AA544" s="180"/>
      <c r="AB544" s="180"/>
      <c r="AC544" s="180"/>
      <c r="AD544" s="180"/>
      <c r="AE544" s="180"/>
      <c r="AF544" s="180"/>
      <c r="AG544" s="180"/>
      <c r="AH544" s="180"/>
      <c r="AI544" s="180">
        <v>16500000</v>
      </c>
      <c r="AJ544" s="181">
        <f t="shared" si="143"/>
        <v>100</v>
      </c>
      <c r="AK544" s="180">
        <f>SUM(Q544-AI544)</f>
        <v>0</v>
      </c>
      <c r="AL544" s="181">
        <f t="shared" si="136"/>
        <v>0</v>
      </c>
      <c r="AM544" s="243"/>
    </row>
    <row r="545" spans="1:39" ht="24.75" customHeight="1" x14ac:dyDescent="0.25">
      <c r="A545" s="243"/>
      <c r="B545" s="437"/>
      <c r="C545" s="437"/>
      <c r="D545" s="437"/>
      <c r="E545" s="437"/>
      <c r="F545" s="437"/>
      <c r="G545" s="437"/>
      <c r="H545" s="437"/>
      <c r="I545" s="438"/>
      <c r="J545" s="437" t="s">
        <v>315</v>
      </c>
      <c r="K545" s="245"/>
      <c r="L545" s="257"/>
      <c r="M545" s="591" t="s">
        <v>271</v>
      </c>
      <c r="N545" s="592"/>
      <c r="O545" s="179"/>
      <c r="P545" s="180"/>
      <c r="Q545" s="180">
        <v>4000000</v>
      </c>
      <c r="R545" s="181">
        <f t="shared" ref="R545:R552" si="144">Q545/Q$542*100</f>
        <v>1.6806784055022455</v>
      </c>
      <c r="S545" s="181">
        <v>100</v>
      </c>
      <c r="T545" s="180">
        <f t="shared" si="117"/>
        <v>100</v>
      </c>
      <c r="U545" s="180">
        <f t="shared" si="122"/>
        <v>1.6806784055022457</v>
      </c>
      <c r="V545" s="182">
        <f t="shared" si="142"/>
        <v>0</v>
      </c>
      <c r="W545" s="180"/>
      <c r="X545" s="180"/>
      <c r="Y545" s="180"/>
      <c r="Z545" s="180"/>
      <c r="AA545" s="180"/>
      <c r="AB545" s="180"/>
      <c r="AC545" s="180"/>
      <c r="AD545" s="180"/>
      <c r="AE545" s="180"/>
      <c r="AF545" s="180"/>
      <c r="AG545" s="180"/>
      <c r="AH545" s="180"/>
      <c r="AI545" s="180">
        <v>4000000</v>
      </c>
      <c r="AJ545" s="181">
        <f t="shared" si="143"/>
        <v>100</v>
      </c>
      <c r="AK545" s="180">
        <f t="shared" ref="AK545:AK552" si="145">SUM(Q545-AI545)</f>
        <v>0</v>
      </c>
      <c r="AL545" s="181">
        <f t="shared" si="136"/>
        <v>0</v>
      </c>
      <c r="AM545" s="243"/>
    </row>
    <row r="546" spans="1:39" ht="24.75" customHeight="1" x14ac:dyDescent="0.25">
      <c r="A546" s="243"/>
      <c r="B546" s="437"/>
      <c r="C546" s="437"/>
      <c r="D546" s="437"/>
      <c r="E546" s="437"/>
      <c r="F546" s="437"/>
      <c r="G546" s="437"/>
      <c r="H546" s="437"/>
      <c r="I546" s="438"/>
      <c r="J546" s="437" t="s">
        <v>316</v>
      </c>
      <c r="K546" s="245"/>
      <c r="L546" s="257"/>
      <c r="M546" s="591" t="s">
        <v>317</v>
      </c>
      <c r="N546" s="592"/>
      <c r="O546" s="179"/>
      <c r="P546" s="180"/>
      <c r="Q546" s="180">
        <v>3600000</v>
      </c>
      <c r="R546" s="181">
        <f t="shared" si="144"/>
        <v>1.5126105649520207</v>
      </c>
      <c r="S546" s="181">
        <v>100</v>
      </c>
      <c r="T546" s="180">
        <f t="shared" si="117"/>
        <v>100</v>
      </c>
      <c r="U546" s="180">
        <f t="shared" si="122"/>
        <v>1.5126105649520207</v>
      </c>
      <c r="V546" s="182">
        <f t="shared" si="142"/>
        <v>0</v>
      </c>
      <c r="W546" s="180"/>
      <c r="X546" s="180"/>
      <c r="Y546" s="180"/>
      <c r="Z546" s="180"/>
      <c r="AA546" s="180"/>
      <c r="AB546" s="180"/>
      <c r="AC546" s="180"/>
      <c r="AD546" s="180"/>
      <c r="AE546" s="180"/>
      <c r="AF546" s="180"/>
      <c r="AG546" s="180"/>
      <c r="AH546" s="180"/>
      <c r="AI546" s="180">
        <v>3600000</v>
      </c>
      <c r="AJ546" s="181">
        <f t="shared" si="143"/>
        <v>100</v>
      </c>
      <c r="AK546" s="180">
        <f t="shared" si="145"/>
        <v>0</v>
      </c>
      <c r="AL546" s="181">
        <f t="shared" si="136"/>
        <v>0</v>
      </c>
      <c r="AM546" s="243"/>
    </row>
    <row r="547" spans="1:39" ht="24.75" customHeight="1" x14ac:dyDescent="0.25">
      <c r="A547" s="243"/>
      <c r="B547" s="437"/>
      <c r="C547" s="437"/>
      <c r="D547" s="437"/>
      <c r="E547" s="437"/>
      <c r="F547" s="437"/>
      <c r="G547" s="437"/>
      <c r="H547" s="437"/>
      <c r="I547" s="438"/>
      <c r="J547" s="437" t="s">
        <v>370</v>
      </c>
      <c r="K547" s="245"/>
      <c r="L547" s="257"/>
      <c r="M547" s="591" t="s">
        <v>371</v>
      </c>
      <c r="N547" s="592"/>
      <c r="O547" s="179"/>
      <c r="P547" s="180"/>
      <c r="Q547" s="180">
        <v>27000000</v>
      </c>
      <c r="R547" s="181">
        <f t="shared" si="144"/>
        <v>11.344579237140156</v>
      </c>
      <c r="S547" s="181">
        <v>100</v>
      </c>
      <c r="T547" s="180">
        <f t="shared" si="117"/>
        <v>95.18518518518519</v>
      </c>
      <c r="U547" s="180">
        <f t="shared" si="122"/>
        <v>10.798358755351925</v>
      </c>
      <c r="V547" s="182">
        <f t="shared" si="142"/>
        <v>4.8148148148148096</v>
      </c>
      <c r="W547" s="180"/>
      <c r="X547" s="180"/>
      <c r="Y547" s="180"/>
      <c r="Z547" s="180"/>
      <c r="AA547" s="180"/>
      <c r="AB547" s="180"/>
      <c r="AC547" s="180"/>
      <c r="AD547" s="180"/>
      <c r="AE547" s="180"/>
      <c r="AF547" s="180"/>
      <c r="AG547" s="180"/>
      <c r="AH547" s="180"/>
      <c r="AI547" s="180">
        <v>25700000</v>
      </c>
      <c r="AJ547" s="181">
        <f t="shared" si="143"/>
        <v>95.18518518518519</v>
      </c>
      <c r="AK547" s="180">
        <f t="shared" si="145"/>
        <v>1300000</v>
      </c>
      <c r="AL547" s="181">
        <f t="shared" si="136"/>
        <v>4.8148148148148149</v>
      </c>
      <c r="AM547" s="243"/>
    </row>
    <row r="548" spans="1:39" ht="30" customHeight="1" x14ac:dyDescent="0.25">
      <c r="A548" s="243"/>
      <c r="B548" s="437"/>
      <c r="C548" s="437"/>
      <c r="D548" s="437"/>
      <c r="E548" s="437"/>
      <c r="F548" s="437"/>
      <c r="G548" s="437"/>
      <c r="H548" s="437"/>
      <c r="I548" s="438"/>
      <c r="J548" s="437" t="s">
        <v>339</v>
      </c>
      <c r="K548" s="245"/>
      <c r="L548" s="257"/>
      <c r="M548" s="591" t="s">
        <v>340</v>
      </c>
      <c r="N548" s="592"/>
      <c r="O548" s="179"/>
      <c r="P548" s="180"/>
      <c r="Q548" s="180">
        <v>41000000</v>
      </c>
      <c r="R548" s="181">
        <f t="shared" si="144"/>
        <v>17.226953656398013</v>
      </c>
      <c r="S548" s="181">
        <v>100</v>
      </c>
      <c r="T548" s="180">
        <f t="shared" si="117"/>
        <v>100</v>
      </c>
      <c r="U548" s="180">
        <f t="shared" si="122"/>
        <v>17.226953656398013</v>
      </c>
      <c r="V548" s="182">
        <f t="shared" si="142"/>
        <v>0</v>
      </c>
      <c r="W548" s="180"/>
      <c r="X548" s="180"/>
      <c r="Y548" s="180"/>
      <c r="Z548" s="180"/>
      <c r="AA548" s="180"/>
      <c r="AB548" s="180"/>
      <c r="AC548" s="180"/>
      <c r="AD548" s="180"/>
      <c r="AE548" s="180"/>
      <c r="AF548" s="180"/>
      <c r="AG548" s="180"/>
      <c r="AH548" s="180"/>
      <c r="AI548" s="180">
        <v>41000000</v>
      </c>
      <c r="AJ548" s="181">
        <f t="shared" si="143"/>
        <v>100</v>
      </c>
      <c r="AK548" s="180">
        <f t="shared" si="145"/>
        <v>0</v>
      </c>
      <c r="AL548" s="181">
        <f t="shared" si="136"/>
        <v>0</v>
      </c>
      <c r="AM548" s="243"/>
    </row>
    <row r="549" spans="1:39" ht="24.75" customHeight="1" x14ac:dyDescent="0.25">
      <c r="A549" s="243"/>
      <c r="B549" s="437"/>
      <c r="C549" s="437"/>
      <c r="D549" s="437"/>
      <c r="E549" s="437"/>
      <c r="F549" s="437"/>
      <c r="G549" s="437"/>
      <c r="H549" s="437"/>
      <c r="I549" s="438"/>
      <c r="J549" s="437" t="s">
        <v>284</v>
      </c>
      <c r="K549" s="245"/>
      <c r="L549" s="257"/>
      <c r="M549" s="591" t="s">
        <v>285</v>
      </c>
      <c r="N549" s="592"/>
      <c r="O549" s="179"/>
      <c r="P549" s="180"/>
      <c r="Q549" s="180">
        <v>4400000</v>
      </c>
      <c r="R549" s="181">
        <f t="shared" si="144"/>
        <v>1.8487462460524697</v>
      </c>
      <c r="S549" s="181">
        <v>100</v>
      </c>
      <c r="T549" s="180">
        <f t="shared" si="117"/>
        <v>100</v>
      </c>
      <c r="U549" s="180">
        <f t="shared" si="122"/>
        <v>1.8487462460524697</v>
      </c>
      <c r="V549" s="182">
        <f t="shared" si="142"/>
        <v>0</v>
      </c>
      <c r="W549" s="180"/>
      <c r="X549" s="180"/>
      <c r="Y549" s="180"/>
      <c r="Z549" s="180"/>
      <c r="AA549" s="180"/>
      <c r="AB549" s="180"/>
      <c r="AC549" s="180"/>
      <c r="AD549" s="180"/>
      <c r="AE549" s="180"/>
      <c r="AF549" s="180"/>
      <c r="AG549" s="180"/>
      <c r="AH549" s="180"/>
      <c r="AI549" s="180">
        <v>4400000</v>
      </c>
      <c r="AJ549" s="181">
        <f t="shared" si="143"/>
        <v>100</v>
      </c>
      <c r="AK549" s="180">
        <f t="shared" si="145"/>
        <v>0</v>
      </c>
      <c r="AL549" s="181">
        <f t="shared" si="136"/>
        <v>0</v>
      </c>
      <c r="AM549" s="243"/>
    </row>
    <row r="550" spans="1:39" ht="24.75" customHeight="1" x14ac:dyDescent="0.25">
      <c r="A550" s="243"/>
      <c r="B550" s="437"/>
      <c r="C550" s="437"/>
      <c r="D550" s="437"/>
      <c r="E550" s="437"/>
      <c r="F550" s="437"/>
      <c r="G550" s="437"/>
      <c r="H550" s="437"/>
      <c r="I550" s="438"/>
      <c r="J550" s="437" t="s">
        <v>320</v>
      </c>
      <c r="K550" s="245"/>
      <c r="L550" s="257"/>
      <c r="M550" s="591" t="s">
        <v>321</v>
      </c>
      <c r="N550" s="592"/>
      <c r="O550" s="179"/>
      <c r="P550" s="180"/>
      <c r="Q550" s="180">
        <v>33600000</v>
      </c>
      <c r="R550" s="181">
        <f t="shared" si="144"/>
        <v>14.117698606218859</v>
      </c>
      <c r="S550" s="181">
        <v>100</v>
      </c>
      <c r="T550" s="180">
        <f t="shared" si="117"/>
        <v>64.285714285714292</v>
      </c>
      <c r="U550" s="180">
        <f t="shared" si="122"/>
        <v>9.0756633897121244</v>
      </c>
      <c r="V550" s="182">
        <f t="shared" si="142"/>
        <v>35.714285714285708</v>
      </c>
      <c r="W550" s="180"/>
      <c r="X550" s="180"/>
      <c r="Y550" s="180"/>
      <c r="Z550" s="180"/>
      <c r="AA550" s="180"/>
      <c r="AB550" s="180"/>
      <c r="AC550" s="180"/>
      <c r="AD550" s="180"/>
      <c r="AE550" s="180"/>
      <c r="AF550" s="180"/>
      <c r="AG550" s="180"/>
      <c r="AH550" s="180"/>
      <c r="AI550" s="180">
        <v>21600000</v>
      </c>
      <c r="AJ550" s="181">
        <f t="shared" si="143"/>
        <v>64.285714285714292</v>
      </c>
      <c r="AK550" s="180">
        <f t="shared" si="145"/>
        <v>12000000</v>
      </c>
      <c r="AL550" s="181">
        <f t="shared" si="136"/>
        <v>35.714285714285715</v>
      </c>
      <c r="AM550" s="243"/>
    </row>
    <row r="551" spans="1:39" ht="24.75" customHeight="1" x14ac:dyDescent="0.25">
      <c r="A551" s="243"/>
      <c r="B551" s="437"/>
      <c r="C551" s="437"/>
      <c r="D551" s="437"/>
      <c r="E551" s="437"/>
      <c r="F551" s="437"/>
      <c r="G551" s="437"/>
      <c r="H551" s="437"/>
      <c r="I551" s="438"/>
      <c r="J551" s="437" t="s">
        <v>407</v>
      </c>
      <c r="K551" s="245"/>
      <c r="L551" s="257"/>
      <c r="M551" s="591" t="s">
        <v>414</v>
      </c>
      <c r="N551" s="592"/>
      <c r="O551" s="179"/>
      <c r="P551" s="180"/>
      <c r="Q551" s="180">
        <v>2700000</v>
      </c>
      <c r="R551" s="181">
        <f t="shared" si="144"/>
        <v>1.1344579237140155</v>
      </c>
      <c r="S551" s="181"/>
      <c r="T551" s="180">
        <f t="shared" si="117"/>
        <v>100</v>
      </c>
      <c r="U551" s="180">
        <f t="shared" si="122"/>
        <v>1.1344579237140155</v>
      </c>
      <c r="V551" s="182"/>
      <c r="W551" s="180"/>
      <c r="X551" s="180"/>
      <c r="Y551" s="180"/>
      <c r="Z551" s="180"/>
      <c r="AA551" s="180"/>
      <c r="AB551" s="180"/>
      <c r="AC551" s="180"/>
      <c r="AD551" s="180"/>
      <c r="AE551" s="180"/>
      <c r="AF551" s="180"/>
      <c r="AG551" s="180"/>
      <c r="AH551" s="180"/>
      <c r="AI551" s="180">
        <v>2700000</v>
      </c>
      <c r="AJ551" s="181">
        <f t="shared" si="143"/>
        <v>100</v>
      </c>
      <c r="AK551" s="180">
        <f t="shared" si="145"/>
        <v>0</v>
      </c>
      <c r="AL551" s="181"/>
      <c r="AM551" s="243"/>
    </row>
    <row r="552" spans="1:39" ht="24.75" customHeight="1" x14ac:dyDescent="0.25">
      <c r="A552" s="243"/>
      <c r="B552" s="437"/>
      <c r="C552" s="437"/>
      <c r="D552" s="437"/>
      <c r="E552" s="437"/>
      <c r="F552" s="437"/>
      <c r="G552" s="437"/>
      <c r="H552" s="437"/>
      <c r="I552" s="438"/>
      <c r="J552" s="437" t="s">
        <v>372</v>
      </c>
      <c r="K552" s="245"/>
      <c r="L552" s="257"/>
      <c r="M552" s="591" t="s">
        <v>373</v>
      </c>
      <c r="N552" s="592"/>
      <c r="O552" s="179"/>
      <c r="P552" s="180"/>
      <c r="Q552" s="180">
        <v>102000000</v>
      </c>
      <c r="R552" s="181">
        <f t="shared" si="144"/>
        <v>42.85729934030725</v>
      </c>
      <c r="S552" s="181">
        <v>100</v>
      </c>
      <c r="T552" s="180">
        <f t="shared" si="117"/>
        <v>80.392156862745097</v>
      </c>
      <c r="U552" s="180">
        <f t="shared" si="122"/>
        <v>34.453907312796019</v>
      </c>
      <c r="V552" s="182">
        <f t="shared" si="142"/>
        <v>19.607843137254903</v>
      </c>
      <c r="W552" s="180"/>
      <c r="X552" s="180"/>
      <c r="Y552" s="180"/>
      <c r="Z552" s="180"/>
      <c r="AA552" s="180"/>
      <c r="AB552" s="180"/>
      <c r="AC552" s="180"/>
      <c r="AD552" s="180"/>
      <c r="AE552" s="180"/>
      <c r="AF552" s="180"/>
      <c r="AG552" s="180"/>
      <c r="AH552" s="180"/>
      <c r="AI552" s="180">
        <v>82000000</v>
      </c>
      <c r="AJ552" s="181">
        <f t="shared" si="143"/>
        <v>80.392156862745097</v>
      </c>
      <c r="AK552" s="180">
        <f t="shared" si="145"/>
        <v>20000000</v>
      </c>
      <c r="AL552" s="181">
        <f t="shared" ref="AL552:AL616" si="146">AK552/Q552*100</f>
        <v>19.607843137254903</v>
      </c>
      <c r="AM552" s="243"/>
    </row>
    <row r="553" spans="1:39" s="297" customFormat="1" ht="29.25" customHeight="1" x14ac:dyDescent="0.25">
      <c r="A553" s="227">
        <f>SUM(A542+1)</f>
        <v>68</v>
      </c>
      <c r="B553" s="442"/>
      <c r="C553" s="442"/>
      <c r="D553" s="442"/>
      <c r="E553" s="442"/>
      <c r="F553" s="442"/>
      <c r="G553" s="442"/>
      <c r="H553" s="442"/>
      <c r="I553" s="441"/>
      <c r="J553" s="304" t="s">
        <v>521</v>
      </c>
      <c r="K553" s="230"/>
      <c r="L553" s="294"/>
      <c r="M553" s="609" t="s">
        <v>201</v>
      </c>
      <c r="N553" s="614"/>
      <c r="O553" s="309"/>
      <c r="P553" s="231"/>
      <c r="Q553" s="231">
        <f>SUM(Q554:Q561)</f>
        <v>179012754</v>
      </c>
      <c r="R553" s="233">
        <f>Q553/Q$248*100</f>
        <v>1.5007971513472254</v>
      </c>
      <c r="S553" s="233">
        <v>100</v>
      </c>
      <c r="T553" s="231">
        <f t="shared" si="117"/>
        <v>24.132358748025297</v>
      </c>
      <c r="U553" s="231">
        <f t="shared" si="122"/>
        <v>0.36217775264325658</v>
      </c>
      <c r="V553" s="296">
        <f t="shared" si="142"/>
        <v>75.867641251974703</v>
      </c>
      <c r="W553" s="231"/>
      <c r="X553" s="231"/>
      <c r="Y553" s="231"/>
      <c r="Z553" s="231"/>
      <c r="AA553" s="231"/>
      <c r="AB553" s="231"/>
      <c r="AC553" s="231"/>
      <c r="AD553" s="231"/>
      <c r="AE553" s="231"/>
      <c r="AF553" s="231"/>
      <c r="AG553" s="231"/>
      <c r="AH553" s="231"/>
      <c r="AI553" s="231">
        <f>SUM(AI554:AI561)</f>
        <v>43200000</v>
      </c>
      <c r="AJ553" s="233">
        <f t="shared" si="143"/>
        <v>24.132358748025297</v>
      </c>
      <c r="AK553" s="231">
        <f>Q553-AI553</f>
        <v>135812754</v>
      </c>
      <c r="AL553" s="233">
        <f t="shared" si="146"/>
        <v>75.867641251974703</v>
      </c>
      <c r="AM553" s="227"/>
    </row>
    <row r="554" spans="1:39" ht="27" customHeight="1" x14ac:dyDescent="0.25">
      <c r="A554" s="243"/>
      <c r="B554" s="437"/>
      <c r="C554" s="437"/>
      <c r="D554" s="437"/>
      <c r="E554" s="437"/>
      <c r="F554" s="437"/>
      <c r="G554" s="437"/>
      <c r="H554" s="437"/>
      <c r="I554" s="438"/>
      <c r="J554" s="437" t="s">
        <v>257</v>
      </c>
      <c r="K554" s="245"/>
      <c r="L554" s="257"/>
      <c r="M554" s="591" t="s">
        <v>324</v>
      </c>
      <c r="N554" s="592"/>
      <c r="O554" s="179"/>
      <c r="P554" s="180"/>
      <c r="Q554" s="180">
        <v>3000000</v>
      </c>
      <c r="R554" s="181">
        <f>Q554/Q$553*100</f>
        <v>1.6758582463906455</v>
      </c>
      <c r="S554" s="181">
        <v>100</v>
      </c>
      <c r="T554" s="180">
        <f t="shared" si="117"/>
        <v>33.333333333333329</v>
      </c>
      <c r="U554" s="180">
        <f t="shared" si="122"/>
        <v>0.55861941546354843</v>
      </c>
      <c r="V554" s="182">
        <f t="shared" si="142"/>
        <v>66.666666666666671</v>
      </c>
      <c r="W554" s="180"/>
      <c r="X554" s="180"/>
      <c r="Y554" s="180"/>
      <c r="Z554" s="180"/>
      <c r="AA554" s="180"/>
      <c r="AB554" s="180"/>
      <c r="AC554" s="180"/>
      <c r="AD554" s="180"/>
      <c r="AE554" s="180"/>
      <c r="AF554" s="180"/>
      <c r="AG554" s="180"/>
      <c r="AH554" s="180"/>
      <c r="AI554" s="180">
        <v>1000000</v>
      </c>
      <c r="AJ554" s="181">
        <f t="shared" si="143"/>
        <v>33.333333333333329</v>
      </c>
      <c r="AK554" s="180">
        <f>SUM(Q554-AI554)</f>
        <v>2000000</v>
      </c>
      <c r="AL554" s="181">
        <f t="shared" si="146"/>
        <v>66.666666666666657</v>
      </c>
      <c r="AM554" s="243"/>
    </row>
    <row r="555" spans="1:39" ht="24.75" customHeight="1" x14ac:dyDescent="0.25">
      <c r="A555" s="243"/>
      <c r="B555" s="437"/>
      <c r="C555" s="437"/>
      <c r="D555" s="437"/>
      <c r="E555" s="437"/>
      <c r="F555" s="437"/>
      <c r="G555" s="437"/>
      <c r="H555" s="437"/>
      <c r="I555" s="438"/>
      <c r="J555" s="437" t="s">
        <v>315</v>
      </c>
      <c r="K555" s="245"/>
      <c r="L555" s="257"/>
      <c r="M555" s="591" t="s">
        <v>271</v>
      </c>
      <c r="N555" s="592"/>
      <c r="O555" s="179"/>
      <c r="P555" s="180"/>
      <c r="Q555" s="180">
        <v>8120000</v>
      </c>
      <c r="R555" s="181">
        <f t="shared" ref="R555:R561" si="147">Q555/Q$553*100</f>
        <v>4.5359896535640134</v>
      </c>
      <c r="S555" s="181">
        <v>100</v>
      </c>
      <c r="T555" s="180">
        <f t="shared" si="117"/>
        <v>24.630541871921181</v>
      </c>
      <c r="U555" s="180">
        <f t="shared" si="122"/>
        <v>1.1172388309270969</v>
      </c>
      <c r="V555" s="182">
        <f t="shared" si="142"/>
        <v>75.369458128078819</v>
      </c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>
        <v>2000000</v>
      </c>
      <c r="AJ555" s="181">
        <f t="shared" si="143"/>
        <v>24.630541871921181</v>
      </c>
      <c r="AK555" s="180">
        <f t="shared" ref="AK555:AK561" si="148">SUM(Q555-AI555)</f>
        <v>6120000</v>
      </c>
      <c r="AL555" s="181">
        <f t="shared" si="146"/>
        <v>75.369458128078819</v>
      </c>
      <c r="AM555" s="243"/>
    </row>
    <row r="556" spans="1:39" ht="24.75" customHeight="1" x14ac:dyDescent="0.25">
      <c r="A556" s="243"/>
      <c r="B556" s="437"/>
      <c r="C556" s="437"/>
      <c r="D556" s="437"/>
      <c r="E556" s="437"/>
      <c r="F556" s="437"/>
      <c r="G556" s="437"/>
      <c r="H556" s="437"/>
      <c r="I556" s="438"/>
      <c r="J556" s="437" t="s">
        <v>316</v>
      </c>
      <c r="K556" s="245"/>
      <c r="L556" s="257"/>
      <c r="M556" s="591" t="s">
        <v>317</v>
      </c>
      <c r="N556" s="592"/>
      <c r="O556" s="179"/>
      <c r="P556" s="180"/>
      <c r="Q556" s="180">
        <v>5700000</v>
      </c>
      <c r="R556" s="181">
        <f t="shared" si="147"/>
        <v>3.1841306681422266</v>
      </c>
      <c r="S556" s="181">
        <v>100</v>
      </c>
      <c r="T556" s="180">
        <f t="shared" si="117"/>
        <v>31.578947368421051</v>
      </c>
      <c r="U556" s="180">
        <f t="shared" si="122"/>
        <v>1.0055149478343872</v>
      </c>
      <c r="V556" s="182">
        <f t="shared" si="142"/>
        <v>68.421052631578945</v>
      </c>
      <c r="W556" s="180"/>
      <c r="X556" s="180"/>
      <c r="Y556" s="180"/>
      <c r="Z556" s="180"/>
      <c r="AA556" s="180"/>
      <c r="AB556" s="180"/>
      <c r="AC556" s="180"/>
      <c r="AD556" s="180"/>
      <c r="AE556" s="180"/>
      <c r="AF556" s="180"/>
      <c r="AG556" s="180"/>
      <c r="AH556" s="180"/>
      <c r="AI556" s="180">
        <v>1800000</v>
      </c>
      <c r="AJ556" s="181">
        <f t="shared" si="143"/>
        <v>31.578947368421051</v>
      </c>
      <c r="AK556" s="180">
        <f t="shared" si="148"/>
        <v>3900000</v>
      </c>
      <c r="AL556" s="181">
        <f t="shared" si="146"/>
        <v>68.421052631578945</v>
      </c>
      <c r="AM556" s="243"/>
    </row>
    <row r="557" spans="1:39" ht="24.75" customHeight="1" x14ac:dyDescent="0.25">
      <c r="A557" s="243"/>
      <c r="B557" s="437"/>
      <c r="C557" s="437"/>
      <c r="D557" s="437"/>
      <c r="E557" s="437"/>
      <c r="F557" s="437"/>
      <c r="G557" s="437"/>
      <c r="H557" s="437"/>
      <c r="I557" s="438"/>
      <c r="J557" s="437" t="s">
        <v>339</v>
      </c>
      <c r="K557" s="245"/>
      <c r="L557" s="257"/>
      <c r="M557" s="591" t="s">
        <v>329</v>
      </c>
      <c r="N557" s="592"/>
      <c r="O557" s="179"/>
      <c r="P557" s="180"/>
      <c r="Q557" s="180">
        <v>35000000</v>
      </c>
      <c r="R557" s="181">
        <f t="shared" si="147"/>
        <v>19.551679541224196</v>
      </c>
      <c r="S557" s="181">
        <v>100</v>
      </c>
      <c r="T557" s="180">
        <f t="shared" si="117"/>
        <v>0</v>
      </c>
      <c r="U557" s="180">
        <f t="shared" si="122"/>
        <v>0</v>
      </c>
      <c r="V557" s="182">
        <f t="shared" si="142"/>
        <v>100</v>
      </c>
      <c r="W557" s="180"/>
      <c r="X557" s="180"/>
      <c r="Y557" s="180"/>
      <c r="Z557" s="180"/>
      <c r="AA557" s="180"/>
      <c r="AB557" s="180"/>
      <c r="AC557" s="180"/>
      <c r="AD557" s="180"/>
      <c r="AE557" s="180"/>
      <c r="AF557" s="180"/>
      <c r="AG557" s="180"/>
      <c r="AH557" s="180"/>
      <c r="AI557" s="180">
        <v>0</v>
      </c>
      <c r="AJ557" s="181">
        <f t="shared" si="143"/>
        <v>0</v>
      </c>
      <c r="AK557" s="180">
        <f t="shared" si="148"/>
        <v>35000000</v>
      </c>
      <c r="AL557" s="181">
        <f t="shared" si="146"/>
        <v>100</v>
      </c>
      <c r="AM557" s="243"/>
    </row>
    <row r="558" spans="1:39" ht="24.75" customHeight="1" x14ac:dyDescent="0.25">
      <c r="A558" s="243"/>
      <c r="B558" s="437"/>
      <c r="C558" s="437"/>
      <c r="D558" s="437"/>
      <c r="E558" s="437"/>
      <c r="F558" s="437"/>
      <c r="G558" s="437"/>
      <c r="H558" s="437"/>
      <c r="I558" s="438"/>
      <c r="J558" s="437" t="s">
        <v>284</v>
      </c>
      <c r="K558" s="245"/>
      <c r="L558" s="257"/>
      <c r="M558" s="591" t="s">
        <v>620</v>
      </c>
      <c r="N558" s="592"/>
      <c r="O558" s="179"/>
      <c r="P558" s="180"/>
      <c r="Q558" s="180">
        <v>36000000</v>
      </c>
      <c r="R558" s="181">
        <f t="shared" si="147"/>
        <v>20.110298956687743</v>
      </c>
      <c r="S558" s="181"/>
      <c r="T558" s="180">
        <f t="shared" si="117"/>
        <v>33.333333333333329</v>
      </c>
      <c r="U558" s="180">
        <f t="shared" si="122"/>
        <v>6.7034329855625803</v>
      </c>
      <c r="V558" s="182"/>
      <c r="W558" s="180"/>
      <c r="X558" s="180"/>
      <c r="Y558" s="180"/>
      <c r="Z558" s="180"/>
      <c r="AA558" s="180"/>
      <c r="AB558" s="180"/>
      <c r="AC558" s="180"/>
      <c r="AD558" s="180"/>
      <c r="AE558" s="180"/>
      <c r="AF558" s="180"/>
      <c r="AG558" s="180"/>
      <c r="AH558" s="180"/>
      <c r="AI558" s="180">
        <v>12000000</v>
      </c>
      <c r="AJ558" s="181">
        <f t="shared" si="143"/>
        <v>33.333333333333329</v>
      </c>
      <c r="AK558" s="180">
        <f t="shared" si="148"/>
        <v>24000000</v>
      </c>
      <c r="AL558" s="181">
        <f t="shared" si="146"/>
        <v>66.666666666666657</v>
      </c>
      <c r="AM558" s="243"/>
    </row>
    <row r="559" spans="1:39" ht="24.75" customHeight="1" x14ac:dyDescent="0.25">
      <c r="A559" s="243"/>
      <c r="B559" s="437"/>
      <c r="C559" s="437"/>
      <c r="D559" s="437"/>
      <c r="E559" s="437"/>
      <c r="F559" s="437"/>
      <c r="G559" s="437"/>
      <c r="H559" s="437"/>
      <c r="I559" s="438"/>
      <c r="J559" s="437" t="s">
        <v>320</v>
      </c>
      <c r="K559" s="245"/>
      <c r="L559" s="257"/>
      <c r="M559" s="591" t="s">
        <v>621</v>
      </c>
      <c r="N559" s="592"/>
      <c r="O559" s="179"/>
      <c r="P559" s="180"/>
      <c r="Q559" s="180">
        <v>10592754</v>
      </c>
      <c r="R559" s="181">
        <f t="shared" si="147"/>
        <v>5.9173180476291654</v>
      </c>
      <c r="S559" s="181">
        <v>100</v>
      </c>
      <c r="T559" s="180">
        <f t="shared" si="117"/>
        <v>31.15337144617915</v>
      </c>
      <c r="U559" s="180">
        <f t="shared" si="122"/>
        <v>1.84344407102971</v>
      </c>
      <c r="V559" s="182">
        <f t="shared" si="142"/>
        <v>68.84662855382085</v>
      </c>
      <c r="W559" s="180"/>
      <c r="X559" s="180"/>
      <c r="Y559" s="180"/>
      <c r="Z559" s="180"/>
      <c r="AA559" s="180"/>
      <c r="AB559" s="180"/>
      <c r="AC559" s="180"/>
      <c r="AD559" s="180"/>
      <c r="AE559" s="180"/>
      <c r="AF559" s="180"/>
      <c r="AG559" s="180"/>
      <c r="AH559" s="180"/>
      <c r="AI559" s="180">
        <v>3300000</v>
      </c>
      <c r="AJ559" s="181">
        <f t="shared" si="143"/>
        <v>31.15337144617915</v>
      </c>
      <c r="AK559" s="180">
        <f t="shared" si="148"/>
        <v>7292754</v>
      </c>
      <c r="AL559" s="181">
        <f t="shared" si="146"/>
        <v>68.84662855382085</v>
      </c>
      <c r="AM559" s="243"/>
    </row>
    <row r="560" spans="1:39" ht="24.75" customHeight="1" x14ac:dyDescent="0.25">
      <c r="A560" s="243"/>
      <c r="B560" s="437"/>
      <c r="C560" s="437"/>
      <c r="D560" s="437"/>
      <c r="E560" s="437"/>
      <c r="F560" s="437"/>
      <c r="G560" s="437"/>
      <c r="H560" s="437"/>
      <c r="I560" s="438"/>
      <c r="J560" s="437" t="s">
        <v>407</v>
      </c>
      <c r="K560" s="245"/>
      <c r="L560" s="257"/>
      <c r="M560" s="591" t="s">
        <v>321</v>
      </c>
      <c r="N560" s="592"/>
      <c r="O560" s="179"/>
      <c r="P560" s="180"/>
      <c r="Q560" s="180">
        <v>70400000</v>
      </c>
      <c r="R560" s="181">
        <f t="shared" si="147"/>
        <v>39.326806848633808</v>
      </c>
      <c r="S560" s="181">
        <v>100</v>
      </c>
      <c r="T560" s="180">
        <f t="shared" si="117"/>
        <v>30.681818181818183</v>
      </c>
      <c r="U560" s="180">
        <f t="shared" si="122"/>
        <v>12.066179374012647</v>
      </c>
      <c r="V560" s="182">
        <f t="shared" si="142"/>
        <v>69.318181818181813</v>
      </c>
      <c r="W560" s="180"/>
      <c r="X560" s="180"/>
      <c r="Y560" s="180"/>
      <c r="Z560" s="180"/>
      <c r="AA560" s="180"/>
      <c r="AB560" s="180"/>
      <c r="AC560" s="180"/>
      <c r="AD560" s="180"/>
      <c r="AE560" s="180"/>
      <c r="AF560" s="180"/>
      <c r="AG560" s="180"/>
      <c r="AH560" s="180"/>
      <c r="AI560" s="180">
        <v>21600000</v>
      </c>
      <c r="AJ560" s="181">
        <f t="shared" si="143"/>
        <v>30.681818181818183</v>
      </c>
      <c r="AK560" s="180">
        <f t="shared" si="148"/>
        <v>48800000</v>
      </c>
      <c r="AL560" s="181">
        <f t="shared" si="146"/>
        <v>69.318181818181827</v>
      </c>
      <c r="AM560" s="243"/>
    </row>
    <row r="561" spans="1:39" ht="24.75" customHeight="1" x14ac:dyDescent="0.25">
      <c r="A561" s="243"/>
      <c r="B561" s="437"/>
      <c r="C561" s="437"/>
      <c r="D561" s="437"/>
      <c r="E561" s="437"/>
      <c r="F561" s="437"/>
      <c r="G561" s="437"/>
      <c r="H561" s="437"/>
      <c r="I561" s="438"/>
      <c r="J561" s="437" t="s">
        <v>343</v>
      </c>
      <c r="K561" s="245"/>
      <c r="L561" s="257"/>
      <c r="M561" s="591" t="s">
        <v>414</v>
      </c>
      <c r="N561" s="592"/>
      <c r="O561" s="179"/>
      <c r="P561" s="180"/>
      <c r="Q561" s="180">
        <v>10200000</v>
      </c>
      <c r="R561" s="181">
        <f t="shared" si="147"/>
        <v>5.6979180377281944</v>
      </c>
      <c r="S561" s="181">
        <v>100</v>
      </c>
      <c r="T561" s="180">
        <f t="shared" si="117"/>
        <v>14.705882352941178</v>
      </c>
      <c r="U561" s="180">
        <f t="shared" si="122"/>
        <v>0.83792912319532276</v>
      </c>
      <c r="V561" s="182">
        <f t="shared" si="142"/>
        <v>85.294117647058826</v>
      </c>
      <c r="W561" s="180"/>
      <c r="X561" s="180"/>
      <c r="Y561" s="180"/>
      <c r="Z561" s="180"/>
      <c r="AA561" s="180"/>
      <c r="AB561" s="180"/>
      <c r="AC561" s="180"/>
      <c r="AD561" s="180"/>
      <c r="AE561" s="180"/>
      <c r="AF561" s="180"/>
      <c r="AG561" s="180"/>
      <c r="AH561" s="180"/>
      <c r="AI561" s="180">
        <v>1500000</v>
      </c>
      <c r="AJ561" s="181">
        <f t="shared" si="143"/>
        <v>14.705882352941178</v>
      </c>
      <c r="AK561" s="180">
        <f t="shared" si="148"/>
        <v>8700000</v>
      </c>
      <c r="AL561" s="181">
        <f t="shared" si="146"/>
        <v>85.294117647058826</v>
      </c>
      <c r="AM561" s="243"/>
    </row>
    <row r="562" spans="1:39" s="297" customFormat="1" ht="24.75" customHeight="1" x14ac:dyDescent="0.25">
      <c r="A562" s="227">
        <f>SUM(A553+1)</f>
        <v>69</v>
      </c>
      <c r="B562" s="442"/>
      <c r="C562" s="442"/>
      <c r="D562" s="442"/>
      <c r="E562" s="442"/>
      <c r="F562" s="442"/>
      <c r="G562" s="442"/>
      <c r="H562" s="442"/>
      <c r="I562" s="441"/>
      <c r="J562" s="304" t="s">
        <v>522</v>
      </c>
      <c r="K562" s="230"/>
      <c r="L562" s="294"/>
      <c r="M562" s="610" t="s">
        <v>202</v>
      </c>
      <c r="N562" s="612"/>
      <c r="O562" s="309"/>
      <c r="P562" s="231"/>
      <c r="Q562" s="231">
        <f>SUM(Q563:Q571)</f>
        <v>311010000</v>
      </c>
      <c r="R562" s="233">
        <f>Q562/Q$248*100</f>
        <v>2.6074283067032229</v>
      </c>
      <c r="S562" s="233">
        <v>100</v>
      </c>
      <c r="T562" s="231">
        <f t="shared" si="117"/>
        <v>65.293398926079547</v>
      </c>
      <c r="U562" s="231">
        <f t="shared" si="122"/>
        <v>1.7024785660072561</v>
      </c>
      <c r="V562" s="296">
        <f t="shared" si="142"/>
        <v>34.706601073920453</v>
      </c>
      <c r="W562" s="231"/>
      <c r="X562" s="231"/>
      <c r="Y562" s="231"/>
      <c r="Z562" s="231"/>
      <c r="AA562" s="231"/>
      <c r="AB562" s="231"/>
      <c r="AC562" s="231"/>
      <c r="AD562" s="231"/>
      <c r="AE562" s="231"/>
      <c r="AF562" s="231"/>
      <c r="AG562" s="231"/>
      <c r="AH562" s="231"/>
      <c r="AI562" s="231">
        <f>SUM(AI563:AI571)</f>
        <v>203069000</v>
      </c>
      <c r="AJ562" s="233">
        <f t="shared" si="143"/>
        <v>65.293398926079547</v>
      </c>
      <c r="AK562" s="231">
        <f>Q562-AI562</f>
        <v>107941000</v>
      </c>
      <c r="AL562" s="233">
        <f t="shared" si="146"/>
        <v>34.706601073920453</v>
      </c>
      <c r="AM562" s="227"/>
    </row>
    <row r="563" spans="1:39" ht="24.75" customHeight="1" x14ac:dyDescent="0.25">
      <c r="A563" s="243"/>
      <c r="B563" s="437"/>
      <c r="C563" s="437"/>
      <c r="D563" s="437"/>
      <c r="E563" s="437"/>
      <c r="F563" s="437"/>
      <c r="G563" s="437"/>
      <c r="H563" s="437"/>
      <c r="I563" s="438"/>
      <c r="J563" s="437" t="s">
        <v>259</v>
      </c>
      <c r="K563" s="245"/>
      <c r="L563" s="257"/>
      <c r="M563" s="591" t="s">
        <v>260</v>
      </c>
      <c r="N563" s="592"/>
      <c r="O563" s="179"/>
      <c r="P563" s="180"/>
      <c r="Q563" s="180">
        <v>2220000</v>
      </c>
      <c r="R563" s="181">
        <f t="shared" ref="R563:R570" si="149">Q563/Q$562*100</f>
        <v>0.71380341468120001</v>
      </c>
      <c r="S563" s="181">
        <v>100</v>
      </c>
      <c r="T563" s="180">
        <f t="shared" si="117"/>
        <v>66.666666666666657</v>
      </c>
      <c r="U563" s="180">
        <f t="shared" si="122"/>
        <v>0.47586894312079991</v>
      </c>
      <c r="V563" s="182">
        <f t="shared" si="142"/>
        <v>33.333333333333343</v>
      </c>
      <c r="W563" s="180"/>
      <c r="X563" s="180"/>
      <c r="Y563" s="180"/>
      <c r="Z563" s="180"/>
      <c r="AA563" s="180"/>
      <c r="AB563" s="180"/>
      <c r="AC563" s="180"/>
      <c r="AD563" s="180"/>
      <c r="AE563" s="180"/>
      <c r="AF563" s="180"/>
      <c r="AG563" s="180"/>
      <c r="AH563" s="180"/>
      <c r="AI563" s="180">
        <f>740000+740000</f>
        <v>1480000</v>
      </c>
      <c r="AJ563" s="181">
        <f t="shared" si="143"/>
        <v>66.666666666666657</v>
      </c>
      <c r="AK563" s="180">
        <f t="shared" ref="AK563:AK570" si="150">SUM(Q563-AI563)</f>
        <v>740000</v>
      </c>
      <c r="AL563" s="181">
        <f t="shared" si="146"/>
        <v>33.333333333333329</v>
      </c>
      <c r="AM563" s="243"/>
    </row>
    <row r="564" spans="1:39" ht="24.75" customHeight="1" x14ac:dyDescent="0.25">
      <c r="A564" s="243"/>
      <c r="B564" s="437"/>
      <c r="C564" s="437"/>
      <c r="D564" s="437"/>
      <c r="E564" s="437"/>
      <c r="F564" s="437"/>
      <c r="G564" s="437"/>
      <c r="H564" s="437"/>
      <c r="I564" s="438"/>
      <c r="J564" s="437" t="s">
        <v>347</v>
      </c>
      <c r="K564" s="245"/>
      <c r="L564" s="257"/>
      <c r="M564" s="591" t="s">
        <v>622</v>
      </c>
      <c r="N564" s="592"/>
      <c r="O564" s="179"/>
      <c r="P564" s="180"/>
      <c r="Q564" s="180">
        <v>44250000</v>
      </c>
      <c r="R564" s="181">
        <f t="shared" si="149"/>
        <v>14.227838333172565</v>
      </c>
      <c r="S564" s="181">
        <v>100</v>
      </c>
      <c r="T564" s="180">
        <f t="shared" si="117"/>
        <v>66.666666666666657</v>
      </c>
      <c r="U564" s="180"/>
      <c r="V564" s="182">
        <f t="shared" si="142"/>
        <v>33.333333333333343</v>
      </c>
      <c r="W564" s="180"/>
      <c r="X564" s="180"/>
      <c r="Y564" s="180"/>
      <c r="Z564" s="180"/>
      <c r="AA564" s="180"/>
      <c r="AB564" s="180"/>
      <c r="AC564" s="180"/>
      <c r="AD564" s="180"/>
      <c r="AE564" s="180"/>
      <c r="AF564" s="180"/>
      <c r="AG564" s="180"/>
      <c r="AH564" s="180"/>
      <c r="AI564" s="180">
        <f>14750000+14750000</f>
        <v>29500000</v>
      </c>
      <c r="AJ564" s="181">
        <f t="shared" si="143"/>
        <v>66.666666666666657</v>
      </c>
      <c r="AK564" s="180">
        <f t="shared" si="150"/>
        <v>14750000</v>
      </c>
      <c r="AL564" s="181">
        <f t="shared" si="146"/>
        <v>33.333333333333329</v>
      </c>
      <c r="AM564" s="243"/>
    </row>
    <row r="565" spans="1:39" ht="24.75" customHeight="1" x14ac:dyDescent="0.25">
      <c r="A565" s="243"/>
      <c r="B565" s="437"/>
      <c r="C565" s="437"/>
      <c r="D565" s="437"/>
      <c r="E565" s="437"/>
      <c r="F565" s="437"/>
      <c r="G565" s="437"/>
      <c r="H565" s="437"/>
      <c r="I565" s="438"/>
      <c r="J565" s="437" t="s">
        <v>269</v>
      </c>
      <c r="K565" s="245"/>
      <c r="L565" s="257"/>
      <c r="M565" s="591" t="s">
        <v>270</v>
      </c>
      <c r="N565" s="592"/>
      <c r="O565" s="179"/>
      <c r="P565" s="180"/>
      <c r="Q565" s="180">
        <v>15000000</v>
      </c>
      <c r="R565" s="181">
        <f t="shared" si="149"/>
        <v>4.8229960451432428</v>
      </c>
      <c r="S565" s="181">
        <v>100</v>
      </c>
      <c r="T565" s="180">
        <f t="shared" si="117"/>
        <v>66.666666666666657</v>
      </c>
      <c r="U565" s="180">
        <f t="shared" si="122"/>
        <v>3.2153306967621615</v>
      </c>
      <c r="V565" s="182">
        <f t="shared" si="142"/>
        <v>33.333333333333343</v>
      </c>
      <c r="W565" s="180"/>
      <c r="X565" s="180"/>
      <c r="Y565" s="180"/>
      <c r="Z565" s="180"/>
      <c r="AA565" s="180"/>
      <c r="AB565" s="180"/>
      <c r="AC565" s="180"/>
      <c r="AD565" s="180"/>
      <c r="AE565" s="180"/>
      <c r="AF565" s="180"/>
      <c r="AG565" s="180"/>
      <c r="AH565" s="180"/>
      <c r="AI565" s="180">
        <f>5000000+5000000</f>
        <v>10000000</v>
      </c>
      <c r="AJ565" s="181">
        <f t="shared" si="143"/>
        <v>66.666666666666657</v>
      </c>
      <c r="AK565" s="180">
        <f t="shared" si="150"/>
        <v>5000000</v>
      </c>
      <c r="AL565" s="181">
        <f t="shared" si="146"/>
        <v>33.333333333333329</v>
      </c>
      <c r="AM565" s="243"/>
    </row>
    <row r="566" spans="1:39" ht="24.75" customHeight="1" x14ac:dyDescent="0.25">
      <c r="A566" s="243"/>
      <c r="B566" s="437"/>
      <c r="C566" s="437"/>
      <c r="D566" s="437"/>
      <c r="E566" s="437"/>
      <c r="F566" s="437"/>
      <c r="G566" s="437"/>
      <c r="H566" s="437"/>
      <c r="I566" s="438"/>
      <c r="J566" s="437" t="s">
        <v>315</v>
      </c>
      <c r="K566" s="245"/>
      <c r="L566" s="257"/>
      <c r="M566" s="591" t="s">
        <v>271</v>
      </c>
      <c r="N566" s="592"/>
      <c r="O566" s="179"/>
      <c r="P566" s="180"/>
      <c r="Q566" s="180">
        <v>10710000</v>
      </c>
      <c r="R566" s="181">
        <f t="shared" si="149"/>
        <v>3.443619176232275</v>
      </c>
      <c r="S566" s="181">
        <v>100</v>
      </c>
      <c r="T566" s="180">
        <f t="shared" si="117"/>
        <v>66.666666666666657</v>
      </c>
      <c r="U566" s="180">
        <f t="shared" si="122"/>
        <v>2.295746117488183</v>
      </c>
      <c r="V566" s="182">
        <f t="shared" si="142"/>
        <v>33.333333333333343</v>
      </c>
      <c r="W566" s="180"/>
      <c r="X566" s="180"/>
      <c r="Y566" s="180"/>
      <c r="Z566" s="180"/>
      <c r="AA566" s="180"/>
      <c r="AB566" s="180"/>
      <c r="AC566" s="180"/>
      <c r="AD566" s="180"/>
      <c r="AE566" s="180"/>
      <c r="AF566" s="180"/>
      <c r="AG566" s="180"/>
      <c r="AH566" s="180"/>
      <c r="AI566" s="180">
        <f>3570000+3570000</f>
        <v>7140000</v>
      </c>
      <c r="AJ566" s="181">
        <f t="shared" si="143"/>
        <v>66.666666666666657</v>
      </c>
      <c r="AK566" s="180">
        <f t="shared" si="150"/>
        <v>3570000</v>
      </c>
      <c r="AL566" s="181">
        <f t="shared" si="146"/>
        <v>33.333333333333329</v>
      </c>
      <c r="AM566" s="243"/>
    </row>
    <row r="567" spans="1:39" ht="24.75" customHeight="1" x14ac:dyDescent="0.25">
      <c r="A567" s="243"/>
      <c r="B567" s="437"/>
      <c r="C567" s="437"/>
      <c r="D567" s="437"/>
      <c r="E567" s="437"/>
      <c r="F567" s="437"/>
      <c r="G567" s="437"/>
      <c r="H567" s="437"/>
      <c r="I567" s="438"/>
      <c r="J567" s="437" t="s">
        <v>318</v>
      </c>
      <c r="K567" s="245"/>
      <c r="L567" s="257"/>
      <c r="M567" s="591" t="s">
        <v>319</v>
      </c>
      <c r="N567" s="592"/>
      <c r="O567" s="179"/>
      <c r="P567" s="180"/>
      <c r="Q567" s="180">
        <v>179970000</v>
      </c>
      <c r="R567" s="181">
        <f t="shared" si="149"/>
        <v>57.866306549628632</v>
      </c>
      <c r="S567" s="181">
        <v>100</v>
      </c>
      <c r="T567" s="180">
        <f t="shared" si="117"/>
        <v>66.666666666666657</v>
      </c>
      <c r="U567" s="180">
        <f t="shared" si="122"/>
        <v>38.577537699752412</v>
      </c>
      <c r="V567" s="182">
        <f t="shared" si="142"/>
        <v>33.333333333333343</v>
      </c>
      <c r="W567" s="180"/>
      <c r="X567" s="180"/>
      <c r="Y567" s="180"/>
      <c r="Z567" s="180"/>
      <c r="AA567" s="180"/>
      <c r="AB567" s="180"/>
      <c r="AC567" s="180"/>
      <c r="AD567" s="180"/>
      <c r="AE567" s="180"/>
      <c r="AF567" s="180"/>
      <c r="AG567" s="180"/>
      <c r="AH567" s="180"/>
      <c r="AI567" s="180">
        <f>59990000+59990000</f>
        <v>119980000</v>
      </c>
      <c r="AJ567" s="181">
        <f t="shared" si="143"/>
        <v>66.666666666666657</v>
      </c>
      <c r="AK567" s="180">
        <f t="shared" si="150"/>
        <v>59990000</v>
      </c>
      <c r="AL567" s="181">
        <f t="shared" si="146"/>
        <v>33.333333333333329</v>
      </c>
      <c r="AM567" s="243"/>
    </row>
    <row r="568" spans="1:39" ht="24.75" customHeight="1" x14ac:dyDescent="0.25">
      <c r="A568" s="243"/>
      <c r="B568" s="437"/>
      <c r="C568" s="437"/>
      <c r="D568" s="437"/>
      <c r="E568" s="437"/>
      <c r="F568" s="437"/>
      <c r="G568" s="437"/>
      <c r="H568" s="437"/>
      <c r="I568" s="438"/>
      <c r="J568" s="437" t="s">
        <v>284</v>
      </c>
      <c r="K568" s="245"/>
      <c r="L568" s="257"/>
      <c r="M568" s="591" t="s">
        <v>285</v>
      </c>
      <c r="N568" s="592"/>
      <c r="O568" s="179"/>
      <c r="P568" s="180"/>
      <c r="Q568" s="180">
        <v>1320000</v>
      </c>
      <c r="R568" s="181">
        <f t="shared" si="149"/>
        <v>0.4244236519726054</v>
      </c>
      <c r="S568" s="181">
        <v>100</v>
      </c>
      <c r="T568" s="180">
        <f t="shared" si="117"/>
        <v>63.636363636363633</v>
      </c>
      <c r="U568" s="180">
        <f t="shared" si="122"/>
        <v>0.27008777852802163</v>
      </c>
      <c r="V568" s="182">
        <f t="shared" si="142"/>
        <v>36.363636363636367</v>
      </c>
      <c r="W568" s="180"/>
      <c r="X568" s="180"/>
      <c r="Y568" s="180"/>
      <c r="Z568" s="180"/>
      <c r="AA568" s="180"/>
      <c r="AB568" s="180"/>
      <c r="AC568" s="180"/>
      <c r="AD568" s="180"/>
      <c r="AE568" s="180"/>
      <c r="AF568" s="180"/>
      <c r="AG568" s="180"/>
      <c r="AH568" s="180"/>
      <c r="AI568" s="429">
        <f>440000+400000</f>
        <v>840000</v>
      </c>
      <c r="AJ568" s="181">
        <f t="shared" si="143"/>
        <v>63.636363636363633</v>
      </c>
      <c r="AK568" s="180">
        <f t="shared" si="150"/>
        <v>480000</v>
      </c>
      <c r="AL568" s="181">
        <f t="shared" si="146"/>
        <v>36.363636363636367</v>
      </c>
      <c r="AM568" s="243"/>
    </row>
    <row r="569" spans="1:39" ht="24.75" customHeight="1" x14ac:dyDescent="0.25">
      <c r="A569" s="243"/>
      <c r="B569" s="437"/>
      <c r="C569" s="437"/>
      <c r="D569" s="437"/>
      <c r="E569" s="437"/>
      <c r="F569" s="437"/>
      <c r="G569" s="437"/>
      <c r="H569" s="437"/>
      <c r="I569" s="438"/>
      <c r="J569" s="437" t="s">
        <v>282</v>
      </c>
      <c r="K569" s="245"/>
      <c r="L569" s="257"/>
      <c r="M569" s="591" t="s">
        <v>283</v>
      </c>
      <c r="N569" s="592"/>
      <c r="O569" s="179"/>
      <c r="P569" s="180"/>
      <c r="Q569" s="180">
        <v>39540000</v>
      </c>
      <c r="R569" s="181">
        <f t="shared" si="149"/>
        <v>12.713417574997587</v>
      </c>
      <c r="S569" s="181">
        <v>100</v>
      </c>
      <c r="T569" s="180">
        <f t="shared" si="117"/>
        <v>64.312089023773382</v>
      </c>
      <c r="U569" s="180">
        <f t="shared" si="122"/>
        <v>8.1762644287965003</v>
      </c>
      <c r="V569" s="182">
        <f t="shared" si="142"/>
        <v>35.687910976226618</v>
      </c>
      <c r="W569" s="180"/>
      <c r="X569" s="180"/>
      <c r="Y569" s="180"/>
      <c r="Z569" s="180"/>
      <c r="AA569" s="180"/>
      <c r="AB569" s="180"/>
      <c r="AC569" s="180"/>
      <c r="AD569" s="180"/>
      <c r="AE569" s="180"/>
      <c r="AF569" s="180"/>
      <c r="AG569" s="180"/>
      <c r="AH569" s="180"/>
      <c r="AI569" s="180">
        <f>13390000+12039000</f>
        <v>25429000</v>
      </c>
      <c r="AJ569" s="181">
        <f t="shared" si="143"/>
        <v>64.312089023773382</v>
      </c>
      <c r="AK569" s="180">
        <f t="shared" si="150"/>
        <v>14111000</v>
      </c>
      <c r="AL569" s="181">
        <f t="shared" si="146"/>
        <v>35.687910976226604</v>
      </c>
      <c r="AM569" s="243"/>
    </row>
    <row r="570" spans="1:39" ht="24.75" customHeight="1" x14ac:dyDescent="0.25">
      <c r="A570" s="243"/>
      <c r="B570" s="437"/>
      <c r="C570" s="437"/>
      <c r="D570" s="437"/>
      <c r="E570" s="437"/>
      <c r="F570" s="437"/>
      <c r="G570" s="437"/>
      <c r="H570" s="437"/>
      <c r="I570" s="438"/>
      <c r="J570" s="437" t="s">
        <v>320</v>
      </c>
      <c r="K570" s="245"/>
      <c r="L570" s="257"/>
      <c r="M570" s="591" t="s">
        <v>321</v>
      </c>
      <c r="N570" s="592"/>
      <c r="O570" s="179"/>
      <c r="P570" s="180"/>
      <c r="Q570" s="180">
        <v>16200000</v>
      </c>
      <c r="R570" s="181">
        <f t="shared" si="149"/>
        <v>5.2088357287547025</v>
      </c>
      <c r="S570" s="181">
        <v>100</v>
      </c>
      <c r="T570" s="180">
        <f t="shared" si="117"/>
        <v>46.296296296296298</v>
      </c>
      <c r="U570" s="180">
        <f t="shared" si="122"/>
        <v>2.4114980225716214</v>
      </c>
      <c r="V570" s="182">
        <f t="shared" si="142"/>
        <v>53.703703703703702</v>
      </c>
      <c r="W570" s="180"/>
      <c r="X570" s="180"/>
      <c r="Y570" s="180"/>
      <c r="Z570" s="180"/>
      <c r="AA570" s="180"/>
      <c r="AB570" s="180"/>
      <c r="AC570" s="180"/>
      <c r="AD570" s="180"/>
      <c r="AE570" s="180"/>
      <c r="AF570" s="180"/>
      <c r="AG570" s="180"/>
      <c r="AH570" s="180"/>
      <c r="AI570" s="180">
        <f>4500000+3000000</f>
        <v>7500000</v>
      </c>
      <c r="AJ570" s="181">
        <f t="shared" si="143"/>
        <v>46.296296296296298</v>
      </c>
      <c r="AK570" s="180">
        <f t="shared" si="150"/>
        <v>8700000</v>
      </c>
      <c r="AL570" s="181">
        <f t="shared" si="146"/>
        <v>53.703703703703709</v>
      </c>
      <c r="AM570" s="243"/>
    </row>
    <row r="571" spans="1:39" ht="24.75" customHeight="1" x14ac:dyDescent="0.25">
      <c r="A571" s="243"/>
      <c r="B571" s="437"/>
      <c r="C571" s="437"/>
      <c r="D571" s="437"/>
      <c r="E571" s="437"/>
      <c r="F571" s="437"/>
      <c r="G571" s="437"/>
      <c r="H571" s="437"/>
      <c r="I571" s="438"/>
      <c r="J571" s="437" t="s">
        <v>407</v>
      </c>
      <c r="K571" s="245"/>
      <c r="L571" s="257"/>
      <c r="M571" s="591" t="s">
        <v>414</v>
      </c>
      <c r="N571" s="592"/>
      <c r="O571" s="179"/>
      <c r="P571" s="180"/>
      <c r="Q571" s="180">
        <v>1800000</v>
      </c>
      <c r="R571" s="181">
        <f>Q571/Q$562*100</f>
        <v>0.57875952541718911</v>
      </c>
      <c r="S571" s="181">
        <v>100</v>
      </c>
      <c r="T571" s="180">
        <f t="shared" si="117"/>
        <v>66.666666666666657</v>
      </c>
      <c r="U571" s="180">
        <f t="shared" si="122"/>
        <v>0.38583968361145937</v>
      </c>
      <c r="V571" s="182">
        <f t="shared" si="142"/>
        <v>33.333333333333343</v>
      </c>
      <c r="W571" s="180"/>
      <c r="X571" s="180"/>
      <c r="Y571" s="180"/>
      <c r="Z571" s="180"/>
      <c r="AA571" s="180"/>
      <c r="AB571" s="180"/>
      <c r="AC571" s="180"/>
      <c r="AD571" s="180"/>
      <c r="AE571" s="180"/>
      <c r="AF571" s="180"/>
      <c r="AG571" s="180"/>
      <c r="AH571" s="180"/>
      <c r="AI571" s="180">
        <f>600000+600000</f>
        <v>1200000</v>
      </c>
      <c r="AJ571" s="181">
        <f t="shared" si="143"/>
        <v>66.666666666666657</v>
      </c>
      <c r="AK571" s="180">
        <f t="shared" ref="AK571:AK635" si="151">Q571-AI571</f>
        <v>600000</v>
      </c>
      <c r="AL571" s="181">
        <f t="shared" si="146"/>
        <v>33.333333333333329</v>
      </c>
      <c r="AM571" s="243"/>
    </row>
    <row r="572" spans="1:39" s="311" customFormat="1" ht="24.75" customHeight="1" x14ac:dyDescent="0.25">
      <c r="A572" s="227">
        <f>SUM(A562+1)</f>
        <v>70</v>
      </c>
      <c r="B572" s="442"/>
      <c r="C572" s="442"/>
      <c r="D572" s="442"/>
      <c r="E572" s="442"/>
      <c r="F572" s="442"/>
      <c r="G572" s="442"/>
      <c r="H572" s="442"/>
      <c r="I572" s="441"/>
      <c r="J572" s="304" t="s">
        <v>523</v>
      </c>
      <c r="K572" s="230"/>
      <c r="L572" s="294"/>
      <c r="M572" s="609" t="s">
        <v>203</v>
      </c>
      <c r="N572" s="614"/>
      <c r="O572" s="310"/>
      <c r="P572" s="231"/>
      <c r="Q572" s="231">
        <f>SUM(Q573:Q584)</f>
        <v>363103120</v>
      </c>
      <c r="R572" s="233">
        <f>Q572/Q$248*100</f>
        <v>3.0441637032258035</v>
      </c>
      <c r="S572" s="233">
        <v>100</v>
      </c>
      <c r="T572" s="231">
        <f t="shared" si="117"/>
        <v>0</v>
      </c>
      <c r="U572" s="231">
        <f t="shared" si="122"/>
        <v>0</v>
      </c>
      <c r="V572" s="296">
        <f t="shared" si="142"/>
        <v>100</v>
      </c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>
        <f>SUM(AI573:AI584)</f>
        <v>0</v>
      </c>
      <c r="AJ572" s="233">
        <f t="shared" si="143"/>
        <v>0</v>
      </c>
      <c r="AK572" s="231">
        <f t="shared" si="151"/>
        <v>363103120</v>
      </c>
      <c r="AL572" s="233">
        <f t="shared" si="146"/>
        <v>100</v>
      </c>
      <c r="AM572" s="227"/>
    </row>
    <row r="573" spans="1:39" ht="24.75" customHeight="1" x14ac:dyDescent="0.25">
      <c r="A573" s="243"/>
      <c r="B573" s="437"/>
      <c r="C573" s="437"/>
      <c r="D573" s="437"/>
      <c r="E573" s="437"/>
      <c r="F573" s="437"/>
      <c r="G573" s="437"/>
      <c r="H573" s="437"/>
      <c r="I573" s="438"/>
      <c r="J573" s="437" t="s">
        <v>259</v>
      </c>
      <c r="K573" s="245"/>
      <c r="L573" s="257"/>
      <c r="M573" s="591" t="s">
        <v>260</v>
      </c>
      <c r="N573" s="592"/>
      <c r="O573" s="179"/>
      <c r="P573" s="180"/>
      <c r="Q573" s="180">
        <v>2310000</v>
      </c>
      <c r="R573" s="181">
        <f t="shared" ref="R573:R584" si="152">Q573/Q$572*100</f>
        <v>0.63618291134485438</v>
      </c>
      <c r="S573" s="181">
        <v>100</v>
      </c>
      <c r="T573" s="180">
        <f t="shared" si="117"/>
        <v>0</v>
      </c>
      <c r="U573" s="180">
        <f t="shared" si="122"/>
        <v>0</v>
      </c>
      <c r="V573" s="182">
        <f t="shared" si="142"/>
        <v>100</v>
      </c>
      <c r="W573" s="180"/>
      <c r="X573" s="180"/>
      <c r="Y573" s="180"/>
      <c r="Z573" s="180"/>
      <c r="AA573" s="180"/>
      <c r="AB573" s="180"/>
      <c r="AC573" s="180"/>
      <c r="AD573" s="180"/>
      <c r="AE573" s="180"/>
      <c r="AF573" s="180"/>
      <c r="AG573" s="180"/>
      <c r="AH573" s="180"/>
      <c r="AI573" s="180">
        <v>0</v>
      </c>
      <c r="AJ573" s="181">
        <f t="shared" si="143"/>
        <v>0</v>
      </c>
      <c r="AK573" s="180">
        <f t="shared" si="151"/>
        <v>2310000</v>
      </c>
      <c r="AL573" s="181">
        <f t="shared" si="146"/>
        <v>100</v>
      </c>
      <c r="AM573" s="243"/>
    </row>
    <row r="574" spans="1:39" ht="24.75" customHeight="1" x14ac:dyDescent="0.25">
      <c r="A574" s="243"/>
      <c r="B574" s="437"/>
      <c r="C574" s="437"/>
      <c r="D574" s="437"/>
      <c r="E574" s="437"/>
      <c r="F574" s="437"/>
      <c r="G574" s="437"/>
      <c r="H574" s="437"/>
      <c r="I574" s="438"/>
      <c r="J574" s="437" t="s">
        <v>326</v>
      </c>
      <c r="K574" s="245"/>
      <c r="L574" s="257"/>
      <c r="M574" s="591" t="s">
        <v>327</v>
      </c>
      <c r="N574" s="592"/>
      <c r="O574" s="179"/>
      <c r="P574" s="180"/>
      <c r="Q574" s="180">
        <v>140400000</v>
      </c>
      <c r="R574" s="181">
        <f t="shared" si="152"/>
        <v>38.666701624596342</v>
      </c>
      <c r="S574" s="181">
        <v>100</v>
      </c>
      <c r="T574" s="180">
        <f t="shared" si="117"/>
        <v>0</v>
      </c>
      <c r="U574" s="180">
        <f t="shared" si="122"/>
        <v>0</v>
      </c>
      <c r="V574" s="182">
        <f t="shared" si="142"/>
        <v>100</v>
      </c>
      <c r="W574" s="180"/>
      <c r="X574" s="180"/>
      <c r="Y574" s="180"/>
      <c r="Z574" s="180"/>
      <c r="AA574" s="180"/>
      <c r="AB574" s="180"/>
      <c r="AC574" s="180"/>
      <c r="AD574" s="180"/>
      <c r="AE574" s="180"/>
      <c r="AF574" s="180"/>
      <c r="AG574" s="180"/>
      <c r="AH574" s="180"/>
      <c r="AI574" s="180">
        <v>0</v>
      </c>
      <c r="AJ574" s="181">
        <f t="shared" si="143"/>
        <v>0</v>
      </c>
      <c r="AK574" s="180">
        <f t="shared" si="151"/>
        <v>140400000</v>
      </c>
      <c r="AL574" s="181">
        <f t="shared" si="146"/>
        <v>100</v>
      </c>
      <c r="AM574" s="243"/>
    </row>
    <row r="575" spans="1:39" ht="24.75" customHeight="1" x14ac:dyDescent="0.25">
      <c r="A575" s="243"/>
      <c r="B575" s="437"/>
      <c r="C575" s="437"/>
      <c r="D575" s="437"/>
      <c r="E575" s="437"/>
      <c r="F575" s="437"/>
      <c r="G575" s="437"/>
      <c r="H575" s="437"/>
      <c r="I575" s="438"/>
      <c r="J575" s="437" t="s">
        <v>269</v>
      </c>
      <c r="K575" s="245"/>
      <c r="L575" s="257"/>
      <c r="M575" s="591" t="s">
        <v>270</v>
      </c>
      <c r="N575" s="592"/>
      <c r="O575" s="179"/>
      <c r="P575" s="180"/>
      <c r="Q575" s="180">
        <v>22000000</v>
      </c>
      <c r="R575" s="181">
        <f t="shared" si="152"/>
        <v>6.0588848699509938</v>
      </c>
      <c r="S575" s="181">
        <v>100</v>
      </c>
      <c r="T575" s="180">
        <f t="shared" si="117"/>
        <v>0</v>
      </c>
      <c r="U575" s="180">
        <f t="shared" si="122"/>
        <v>0</v>
      </c>
      <c r="V575" s="182">
        <f t="shared" si="142"/>
        <v>100</v>
      </c>
      <c r="W575" s="180"/>
      <c r="X575" s="180"/>
      <c r="Y575" s="180"/>
      <c r="Z575" s="180"/>
      <c r="AA575" s="180"/>
      <c r="AB575" s="180"/>
      <c r="AC575" s="180"/>
      <c r="AD575" s="180"/>
      <c r="AE575" s="180"/>
      <c r="AF575" s="180"/>
      <c r="AG575" s="180"/>
      <c r="AH575" s="180"/>
      <c r="AI575" s="180">
        <v>0</v>
      </c>
      <c r="AJ575" s="181">
        <f t="shared" si="143"/>
        <v>0</v>
      </c>
      <c r="AK575" s="180">
        <f t="shared" si="151"/>
        <v>22000000</v>
      </c>
      <c r="AL575" s="181">
        <f t="shared" si="146"/>
        <v>100</v>
      </c>
      <c r="AM575" s="243"/>
    </row>
    <row r="576" spans="1:39" ht="24.75" customHeight="1" x14ac:dyDescent="0.25">
      <c r="A576" s="243"/>
      <c r="B576" s="437"/>
      <c r="C576" s="437"/>
      <c r="D576" s="437"/>
      <c r="E576" s="437"/>
      <c r="F576" s="437"/>
      <c r="G576" s="437"/>
      <c r="H576" s="437"/>
      <c r="I576" s="438"/>
      <c r="J576" s="437" t="s">
        <v>315</v>
      </c>
      <c r="K576" s="245"/>
      <c r="L576" s="257"/>
      <c r="M576" s="591" t="s">
        <v>271</v>
      </c>
      <c r="N576" s="592"/>
      <c r="O576" s="179"/>
      <c r="P576" s="180"/>
      <c r="Q576" s="180">
        <v>4500000</v>
      </c>
      <c r="R576" s="181">
        <f t="shared" si="152"/>
        <v>1.2393173597627032</v>
      </c>
      <c r="S576" s="181">
        <v>100</v>
      </c>
      <c r="T576" s="180">
        <f t="shared" si="117"/>
        <v>0</v>
      </c>
      <c r="U576" s="180">
        <f t="shared" si="122"/>
        <v>0</v>
      </c>
      <c r="V576" s="182">
        <f t="shared" si="142"/>
        <v>100</v>
      </c>
      <c r="W576" s="180"/>
      <c r="X576" s="180"/>
      <c r="Y576" s="180"/>
      <c r="Z576" s="180"/>
      <c r="AA576" s="180"/>
      <c r="AB576" s="180"/>
      <c r="AC576" s="180"/>
      <c r="AD576" s="180"/>
      <c r="AE576" s="180"/>
      <c r="AF576" s="180"/>
      <c r="AG576" s="180"/>
      <c r="AH576" s="180"/>
      <c r="AI576" s="180">
        <v>0</v>
      </c>
      <c r="AJ576" s="181">
        <f t="shared" si="143"/>
        <v>0</v>
      </c>
      <c r="AK576" s="180">
        <f t="shared" si="151"/>
        <v>4500000</v>
      </c>
      <c r="AL576" s="181">
        <f t="shared" si="146"/>
        <v>100</v>
      </c>
      <c r="AM576" s="243"/>
    </row>
    <row r="577" spans="1:39" ht="24.75" customHeight="1" x14ac:dyDescent="0.25">
      <c r="A577" s="243"/>
      <c r="B577" s="437"/>
      <c r="C577" s="437"/>
      <c r="D577" s="437"/>
      <c r="E577" s="437"/>
      <c r="F577" s="437"/>
      <c r="G577" s="437"/>
      <c r="H577" s="437"/>
      <c r="I577" s="438"/>
      <c r="J577" s="437" t="s">
        <v>316</v>
      </c>
      <c r="K577" s="245"/>
      <c r="L577" s="257"/>
      <c r="M577" s="591" t="s">
        <v>317</v>
      </c>
      <c r="N577" s="592"/>
      <c r="O577" s="179"/>
      <c r="P577" s="180"/>
      <c r="Q577" s="180">
        <v>600000</v>
      </c>
      <c r="R577" s="181">
        <f t="shared" si="152"/>
        <v>0.16524231463502709</v>
      </c>
      <c r="S577" s="181">
        <v>100</v>
      </c>
      <c r="T577" s="180">
        <f t="shared" si="117"/>
        <v>0</v>
      </c>
      <c r="U577" s="180">
        <f t="shared" si="122"/>
        <v>0</v>
      </c>
      <c r="V577" s="182">
        <f t="shared" si="142"/>
        <v>100</v>
      </c>
      <c r="W577" s="180"/>
      <c r="X577" s="180"/>
      <c r="Y577" s="180"/>
      <c r="Z577" s="180"/>
      <c r="AA577" s="180"/>
      <c r="AB577" s="180"/>
      <c r="AC577" s="180"/>
      <c r="AD577" s="180"/>
      <c r="AE577" s="180"/>
      <c r="AF577" s="180"/>
      <c r="AG577" s="180"/>
      <c r="AH577" s="180"/>
      <c r="AI577" s="180">
        <v>0</v>
      </c>
      <c r="AJ577" s="181">
        <f t="shared" si="143"/>
        <v>0</v>
      </c>
      <c r="AK577" s="180">
        <f t="shared" si="151"/>
        <v>600000</v>
      </c>
      <c r="AL577" s="181">
        <f t="shared" si="146"/>
        <v>100</v>
      </c>
      <c r="AM577" s="243"/>
    </row>
    <row r="578" spans="1:39" ht="24.75" customHeight="1" x14ac:dyDescent="0.25">
      <c r="A578" s="243"/>
      <c r="B578" s="437"/>
      <c r="C578" s="437"/>
      <c r="D578" s="437"/>
      <c r="E578" s="437"/>
      <c r="F578" s="437"/>
      <c r="G578" s="437"/>
      <c r="H578" s="437"/>
      <c r="I578" s="438"/>
      <c r="J578" s="437" t="s">
        <v>328</v>
      </c>
      <c r="K578" s="245"/>
      <c r="L578" s="257"/>
      <c r="M578" s="591" t="s">
        <v>329</v>
      </c>
      <c r="N578" s="592"/>
      <c r="O578" s="179"/>
      <c r="P578" s="180"/>
      <c r="Q578" s="180">
        <v>8250000</v>
      </c>
      <c r="R578" s="181">
        <f t="shared" si="152"/>
        <v>2.2720818262316222</v>
      </c>
      <c r="S578" s="181">
        <v>100</v>
      </c>
      <c r="T578" s="180">
        <f t="shared" si="117"/>
        <v>0</v>
      </c>
      <c r="U578" s="180">
        <f t="shared" si="122"/>
        <v>0</v>
      </c>
      <c r="V578" s="182">
        <f t="shared" si="142"/>
        <v>100</v>
      </c>
      <c r="W578" s="180"/>
      <c r="X578" s="180"/>
      <c r="Y578" s="180"/>
      <c r="Z578" s="180"/>
      <c r="AA578" s="180"/>
      <c r="AB578" s="180"/>
      <c r="AC578" s="180"/>
      <c r="AD578" s="180"/>
      <c r="AE578" s="180"/>
      <c r="AF578" s="180"/>
      <c r="AG578" s="180"/>
      <c r="AH578" s="180"/>
      <c r="AI578" s="180">
        <v>0</v>
      </c>
      <c r="AJ578" s="181">
        <f t="shared" si="143"/>
        <v>0</v>
      </c>
      <c r="AK578" s="180">
        <f t="shared" si="151"/>
        <v>8250000</v>
      </c>
      <c r="AL578" s="181">
        <f t="shared" si="146"/>
        <v>100</v>
      </c>
      <c r="AM578" s="243"/>
    </row>
    <row r="579" spans="1:39" ht="24.75" customHeight="1" x14ac:dyDescent="0.25">
      <c r="A579" s="243"/>
      <c r="B579" s="437"/>
      <c r="C579" s="437"/>
      <c r="D579" s="437"/>
      <c r="E579" s="437"/>
      <c r="F579" s="437"/>
      <c r="G579" s="437"/>
      <c r="H579" s="437"/>
      <c r="I579" s="438"/>
      <c r="J579" s="437" t="s">
        <v>318</v>
      </c>
      <c r="K579" s="245"/>
      <c r="L579" s="257"/>
      <c r="M579" s="591" t="s">
        <v>319</v>
      </c>
      <c r="N579" s="592"/>
      <c r="O579" s="179"/>
      <c r="P579" s="180"/>
      <c r="Q579" s="180">
        <v>100000000</v>
      </c>
      <c r="R579" s="181">
        <f t="shared" si="152"/>
        <v>27.540385772504518</v>
      </c>
      <c r="S579" s="181">
        <v>100</v>
      </c>
      <c r="T579" s="180">
        <f t="shared" si="117"/>
        <v>0</v>
      </c>
      <c r="U579" s="180">
        <f t="shared" si="122"/>
        <v>0</v>
      </c>
      <c r="V579" s="182">
        <v>100</v>
      </c>
      <c r="W579" s="180"/>
      <c r="X579" s="180"/>
      <c r="Y579" s="180"/>
      <c r="Z579" s="180"/>
      <c r="AA579" s="180"/>
      <c r="AB579" s="180"/>
      <c r="AC579" s="180"/>
      <c r="AD579" s="180"/>
      <c r="AE579" s="180"/>
      <c r="AF579" s="180"/>
      <c r="AG579" s="180"/>
      <c r="AH579" s="180"/>
      <c r="AI579" s="180">
        <v>0</v>
      </c>
      <c r="AJ579" s="181">
        <f t="shared" si="143"/>
        <v>0</v>
      </c>
      <c r="AK579" s="180">
        <f t="shared" si="151"/>
        <v>100000000</v>
      </c>
      <c r="AL579" s="181">
        <f t="shared" si="146"/>
        <v>100</v>
      </c>
      <c r="AM579" s="243"/>
    </row>
    <row r="580" spans="1:39" ht="24.75" customHeight="1" x14ac:dyDescent="0.25">
      <c r="A580" s="243"/>
      <c r="B580" s="437"/>
      <c r="C580" s="437"/>
      <c r="D580" s="437"/>
      <c r="E580" s="437"/>
      <c r="F580" s="437"/>
      <c r="G580" s="437"/>
      <c r="H580" s="437"/>
      <c r="I580" s="438"/>
      <c r="J580" s="437" t="s">
        <v>280</v>
      </c>
      <c r="K580" s="245"/>
      <c r="L580" s="257"/>
      <c r="M580" s="591" t="s">
        <v>281</v>
      </c>
      <c r="N580" s="592"/>
      <c r="O580" s="179"/>
      <c r="P580" s="180"/>
      <c r="Q580" s="180">
        <v>9500000</v>
      </c>
      <c r="R580" s="181">
        <f t="shared" si="152"/>
        <v>2.6163366483879291</v>
      </c>
      <c r="S580" s="181">
        <v>100</v>
      </c>
      <c r="T580" s="180">
        <f t="shared" si="117"/>
        <v>0</v>
      </c>
      <c r="U580" s="180">
        <f t="shared" si="122"/>
        <v>0</v>
      </c>
      <c r="V580" s="182">
        <f t="shared" si="142"/>
        <v>100</v>
      </c>
      <c r="W580" s="180"/>
      <c r="X580" s="180"/>
      <c r="Y580" s="180"/>
      <c r="Z580" s="180"/>
      <c r="AA580" s="180"/>
      <c r="AB580" s="180"/>
      <c r="AC580" s="180"/>
      <c r="AD580" s="180"/>
      <c r="AE580" s="180"/>
      <c r="AF580" s="180"/>
      <c r="AG580" s="180"/>
      <c r="AH580" s="180"/>
      <c r="AI580" s="180">
        <v>0</v>
      </c>
      <c r="AJ580" s="181">
        <f t="shared" si="143"/>
        <v>0</v>
      </c>
      <c r="AK580" s="180">
        <f t="shared" si="151"/>
        <v>9500000</v>
      </c>
      <c r="AL580" s="181">
        <f t="shared" si="146"/>
        <v>100</v>
      </c>
      <c r="AM580" s="243"/>
    </row>
    <row r="581" spans="1:39" ht="24.75" customHeight="1" x14ac:dyDescent="0.25">
      <c r="A581" s="243"/>
      <c r="B581" s="437"/>
      <c r="C581" s="437"/>
      <c r="D581" s="437"/>
      <c r="E581" s="437"/>
      <c r="F581" s="437"/>
      <c r="G581" s="437"/>
      <c r="H581" s="437"/>
      <c r="I581" s="438"/>
      <c r="J581" s="437" t="s">
        <v>284</v>
      </c>
      <c r="K581" s="245"/>
      <c r="L581" s="257"/>
      <c r="M581" s="591" t="s">
        <v>285</v>
      </c>
      <c r="N581" s="592"/>
      <c r="O581" s="179"/>
      <c r="P581" s="180"/>
      <c r="Q581" s="180">
        <v>3000000</v>
      </c>
      <c r="R581" s="181">
        <f t="shared" si="152"/>
        <v>0.82621157317513538</v>
      </c>
      <c r="S581" s="181">
        <v>100</v>
      </c>
      <c r="T581" s="180">
        <f t="shared" si="117"/>
        <v>0</v>
      </c>
      <c r="U581" s="180">
        <f t="shared" si="122"/>
        <v>0</v>
      </c>
      <c r="V581" s="182">
        <f t="shared" si="142"/>
        <v>100</v>
      </c>
      <c r="W581" s="180"/>
      <c r="X581" s="180"/>
      <c r="Y581" s="180"/>
      <c r="Z581" s="180"/>
      <c r="AA581" s="180"/>
      <c r="AB581" s="180"/>
      <c r="AC581" s="180"/>
      <c r="AD581" s="180"/>
      <c r="AE581" s="180"/>
      <c r="AF581" s="180"/>
      <c r="AG581" s="180"/>
      <c r="AH581" s="180"/>
      <c r="AI581" s="180">
        <v>0</v>
      </c>
      <c r="AJ581" s="181">
        <f t="shared" si="143"/>
        <v>0</v>
      </c>
      <c r="AK581" s="180">
        <f t="shared" si="151"/>
        <v>3000000</v>
      </c>
      <c r="AL581" s="181">
        <f t="shared" si="146"/>
        <v>100</v>
      </c>
      <c r="AM581" s="243"/>
    </row>
    <row r="582" spans="1:39" ht="24.75" customHeight="1" x14ac:dyDescent="0.25">
      <c r="A582" s="243"/>
      <c r="B582" s="437"/>
      <c r="C582" s="437"/>
      <c r="D582" s="437"/>
      <c r="E582" s="437"/>
      <c r="F582" s="437"/>
      <c r="G582" s="437"/>
      <c r="H582" s="437"/>
      <c r="I582" s="438"/>
      <c r="J582" s="437" t="s">
        <v>282</v>
      </c>
      <c r="K582" s="245"/>
      <c r="L582" s="257"/>
      <c r="M582" s="591" t="s">
        <v>283</v>
      </c>
      <c r="N582" s="592"/>
      <c r="O582" s="179"/>
      <c r="P582" s="180"/>
      <c r="Q582" s="180">
        <v>32443120</v>
      </c>
      <c r="R582" s="181">
        <f t="shared" si="152"/>
        <v>8.934960404636568</v>
      </c>
      <c r="S582" s="181">
        <v>100</v>
      </c>
      <c r="T582" s="180">
        <f t="shared" si="117"/>
        <v>0</v>
      </c>
      <c r="U582" s="180">
        <f t="shared" si="122"/>
        <v>0</v>
      </c>
      <c r="V582" s="182">
        <f t="shared" si="142"/>
        <v>100</v>
      </c>
      <c r="W582" s="180"/>
      <c r="X582" s="180"/>
      <c r="Y582" s="180"/>
      <c r="Z582" s="180"/>
      <c r="AA582" s="180"/>
      <c r="AB582" s="180"/>
      <c r="AC582" s="180"/>
      <c r="AD582" s="180"/>
      <c r="AE582" s="180"/>
      <c r="AF582" s="180"/>
      <c r="AG582" s="180"/>
      <c r="AH582" s="180"/>
      <c r="AI582" s="180">
        <v>0</v>
      </c>
      <c r="AJ582" s="181">
        <f t="shared" si="143"/>
        <v>0</v>
      </c>
      <c r="AK582" s="180">
        <f t="shared" si="151"/>
        <v>32443120</v>
      </c>
      <c r="AL582" s="181">
        <f t="shared" si="146"/>
        <v>100</v>
      </c>
      <c r="AM582" s="243"/>
    </row>
    <row r="583" spans="1:39" ht="24.75" customHeight="1" x14ac:dyDescent="0.25">
      <c r="A583" s="243"/>
      <c r="B583" s="437"/>
      <c r="C583" s="437"/>
      <c r="D583" s="437"/>
      <c r="E583" s="437"/>
      <c r="F583" s="437"/>
      <c r="G583" s="437"/>
      <c r="H583" s="437"/>
      <c r="I583" s="438"/>
      <c r="J583" s="437" t="s">
        <v>320</v>
      </c>
      <c r="K583" s="245"/>
      <c r="L583" s="257"/>
      <c r="M583" s="591" t="s">
        <v>321</v>
      </c>
      <c r="N583" s="592"/>
      <c r="O583" s="179"/>
      <c r="P583" s="180"/>
      <c r="Q583" s="180">
        <v>20000000</v>
      </c>
      <c r="R583" s="181">
        <f t="shared" si="152"/>
        <v>5.5080771545009029</v>
      </c>
      <c r="S583" s="181">
        <v>100</v>
      </c>
      <c r="T583" s="180">
        <f t="shared" si="117"/>
        <v>0</v>
      </c>
      <c r="U583" s="180">
        <f t="shared" si="122"/>
        <v>0</v>
      </c>
      <c r="V583" s="182">
        <f t="shared" si="142"/>
        <v>100</v>
      </c>
      <c r="W583" s="180"/>
      <c r="X583" s="180"/>
      <c r="Y583" s="180"/>
      <c r="Z583" s="180"/>
      <c r="AA583" s="180"/>
      <c r="AB583" s="180"/>
      <c r="AC583" s="180"/>
      <c r="AD583" s="180"/>
      <c r="AE583" s="180"/>
      <c r="AF583" s="180"/>
      <c r="AG583" s="180"/>
      <c r="AH583" s="180"/>
      <c r="AI583" s="180">
        <v>0</v>
      </c>
      <c r="AJ583" s="181">
        <f t="shared" si="143"/>
        <v>0</v>
      </c>
      <c r="AK583" s="180">
        <f t="shared" si="151"/>
        <v>20000000</v>
      </c>
      <c r="AL583" s="181">
        <f t="shared" si="146"/>
        <v>100</v>
      </c>
      <c r="AM583" s="243"/>
    </row>
    <row r="584" spans="1:39" ht="24.75" customHeight="1" x14ac:dyDescent="0.25">
      <c r="A584" s="243"/>
      <c r="B584" s="437"/>
      <c r="C584" s="437"/>
      <c r="D584" s="437"/>
      <c r="E584" s="437"/>
      <c r="F584" s="437"/>
      <c r="G584" s="437"/>
      <c r="H584" s="437"/>
      <c r="I584" s="438"/>
      <c r="J584" s="437" t="s">
        <v>407</v>
      </c>
      <c r="K584" s="245"/>
      <c r="L584" s="257"/>
      <c r="M584" s="591" t="s">
        <v>414</v>
      </c>
      <c r="N584" s="592"/>
      <c r="O584" s="179"/>
      <c r="P584" s="180"/>
      <c r="Q584" s="180">
        <v>20100000</v>
      </c>
      <c r="R584" s="181">
        <f t="shared" si="152"/>
        <v>5.5356175402734076</v>
      </c>
      <c r="S584" s="181">
        <v>100</v>
      </c>
      <c r="T584" s="180">
        <f t="shared" si="117"/>
        <v>0</v>
      </c>
      <c r="U584" s="180">
        <f t="shared" si="122"/>
        <v>0</v>
      </c>
      <c r="V584" s="182">
        <v>100</v>
      </c>
      <c r="W584" s="180"/>
      <c r="X584" s="180"/>
      <c r="Y584" s="180"/>
      <c r="Z584" s="180"/>
      <c r="AA584" s="180"/>
      <c r="AB584" s="180"/>
      <c r="AC584" s="180"/>
      <c r="AD584" s="180"/>
      <c r="AE584" s="180"/>
      <c r="AF584" s="180"/>
      <c r="AG584" s="180"/>
      <c r="AH584" s="180"/>
      <c r="AI584" s="180">
        <v>0</v>
      </c>
      <c r="AJ584" s="181">
        <f t="shared" si="143"/>
        <v>0</v>
      </c>
      <c r="AK584" s="180">
        <f t="shared" si="151"/>
        <v>20100000</v>
      </c>
      <c r="AL584" s="181">
        <f t="shared" si="146"/>
        <v>100</v>
      </c>
      <c r="AM584" s="243"/>
    </row>
    <row r="585" spans="1:39" s="311" customFormat="1" ht="24.75" customHeight="1" x14ac:dyDescent="0.25">
      <c r="A585" s="227">
        <f>SUM(A572+1)</f>
        <v>71</v>
      </c>
      <c r="B585" s="442"/>
      <c r="C585" s="442"/>
      <c r="D585" s="442"/>
      <c r="E585" s="442"/>
      <c r="F585" s="442"/>
      <c r="G585" s="442"/>
      <c r="H585" s="442"/>
      <c r="I585" s="441"/>
      <c r="J585" s="304" t="s">
        <v>524</v>
      </c>
      <c r="K585" s="230"/>
      <c r="L585" s="294"/>
      <c r="M585" s="609" t="s">
        <v>204</v>
      </c>
      <c r="N585" s="614"/>
      <c r="O585" s="310"/>
      <c r="P585" s="231"/>
      <c r="Q585" s="231">
        <f>SUM(Q586:Q593)</f>
        <v>161972105</v>
      </c>
      <c r="R585" s="233">
        <f>Q585/Q$248*100</f>
        <v>1.3579327078656847</v>
      </c>
      <c r="S585" s="233">
        <v>100</v>
      </c>
      <c r="T585" s="231">
        <f t="shared" si="117"/>
        <v>48.941945898647177</v>
      </c>
      <c r="U585" s="231">
        <f t="shared" si="122"/>
        <v>0.664598691223658</v>
      </c>
      <c r="V585" s="296">
        <f t="shared" si="142"/>
        <v>51.058054101352823</v>
      </c>
      <c r="W585" s="231"/>
      <c r="X585" s="231"/>
      <c r="Y585" s="231"/>
      <c r="Z585" s="231"/>
      <c r="AA585" s="231"/>
      <c r="AB585" s="231"/>
      <c r="AC585" s="231"/>
      <c r="AD585" s="231"/>
      <c r="AE585" s="231"/>
      <c r="AF585" s="231"/>
      <c r="AG585" s="231"/>
      <c r="AH585" s="231"/>
      <c r="AI585" s="231">
        <f>SUM(AI586:AI593)</f>
        <v>79272300</v>
      </c>
      <c r="AJ585" s="233">
        <f t="shared" si="143"/>
        <v>48.941945898647177</v>
      </c>
      <c r="AK585" s="231">
        <f t="shared" si="151"/>
        <v>82699805</v>
      </c>
      <c r="AL585" s="233">
        <f t="shared" si="146"/>
        <v>51.058054101352823</v>
      </c>
      <c r="AM585" s="227"/>
    </row>
    <row r="586" spans="1:39" ht="24.75" customHeight="1" x14ac:dyDescent="0.25">
      <c r="A586" s="243"/>
      <c r="B586" s="437"/>
      <c r="C586" s="437"/>
      <c r="D586" s="437"/>
      <c r="E586" s="437"/>
      <c r="F586" s="437"/>
      <c r="G586" s="437"/>
      <c r="H586" s="437"/>
      <c r="I586" s="438"/>
      <c r="J586" s="437" t="s">
        <v>257</v>
      </c>
      <c r="K586" s="245"/>
      <c r="L586" s="257"/>
      <c r="M586" s="591" t="s">
        <v>260</v>
      </c>
      <c r="N586" s="592"/>
      <c r="O586" s="179"/>
      <c r="P586" s="180"/>
      <c r="Q586" s="180">
        <v>1540000</v>
      </c>
      <c r="R586" s="181">
        <f>Q586/Q$585*100</f>
        <v>0.95078100022222956</v>
      </c>
      <c r="S586" s="181">
        <v>100</v>
      </c>
      <c r="T586" s="180">
        <f t="shared" si="117"/>
        <v>0</v>
      </c>
      <c r="U586" s="180">
        <f t="shared" si="122"/>
        <v>0</v>
      </c>
      <c r="V586" s="182">
        <f t="shared" si="142"/>
        <v>100</v>
      </c>
      <c r="W586" s="180"/>
      <c r="X586" s="180"/>
      <c r="Y586" s="180"/>
      <c r="Z586" s="180"/>
      <c r="AA586" s="180"/>
      <c r="AB586" s="180"/>
      <c r="AC586" s="180"/>
      <c r="AD586" s="180"/>
      <c r="AE586" s="180"/>
      <c r="AF586" s="180"/>
      <c r="AG586" s="180"/>
      <c r="AH586" s="180"/>
      <c r="AI586" s="180">
        <v>0</v>
      </c>
      <c r="AJ586" s="181">
        <f t="shared" si="143"/>
        <v>0</v>
      </c>
      <c r="AK586" s="180">
        <f t="shared" si="151"/>
        <v>1540000</v>
      </c>
      <c r="AL586" s="181">
        <f t="shared" si="146"/>
        <v>100</v>
      </c>
      <c r="AM586" s="243"/>
    </row>
    <row r="587" spans="1:39" ht="24.75" customHeight="1" x14ac:dyDescent="0.25">
      <c r="A587" s="243"/>
      <c r="B587" s="437"/>
      <c r="C587" s="437"/>
      <c r="D587" s="437"/>
      <c r="E587" s="437"/>
      <c r="F587" s="437"/>
      <c r="G587" s="437"/>
      <c r="H587" s="437"/>
      <c r="I587" s="438"/>
      <c r="J587" s="437" t="s">
        <v>315</v>
      </c>
      <c r="K587" s="245"/>
      <c r="L587" s="257"/>
      <c r="M587" s="591" t="s">
        <v>271</v>
      </c>
      <c r="N587" s="592"/>
      <c r="O587" s="179"/>
      <c r="P587" s="180"/>
      <c r="Q587" s="180">
        <v>2000000</v>
      </c>
      <c r="R587" s="181">
        <f t="shared" ref="R587:R593" si="153">Q587/Q$585*100</f>
        <v>1.2347805197691293</v>
      </c>
      <c r="S587" s="181">
        <v>100</v>
      </c>
      <c r="T587" s="180">
        <f t="shared" si="117"/>
        <v>0</v>
      </c>
      <c r="U587" s="180">
        <f t="shared" si="122"/>
        <v>0</v>
      </c>
      <c r="V587" s="182">
        <f t="shared" si="142"/>
        <v>100</v>
      </c>
      <c r="W587" s="180"/>
      <c r="X587" s="180"/>
      <c r="Y587" s="180"/>
      <c r="Z587" s="180"/>
      <c r="AA587" s="180"/>
      <c r="AB587" s="180"/>
      <c r="AC587" s="180"/>
      <c r="AD587" s="180"/>
      <c r="AE587" s="180"/>
      <c r="AF587" s="180"/>
      <c r="AG587" s="180"/>
      <c r="AH587" s="180"/>
      <c r="AI587" s="180">
        <v>0</v>
      </c>
      <c r="AJ587" s="181">
        <f t="shared" si="143"/>
        <v>0</v>
      </c>
      <c r="AK587" s="180">
        <f t="shared" si="151"/>
        <v>2000000</v>
      </c>
      <c r="AL587" s="181">
        <f t="shared" si="146"/>
        <v>100</v>
      </c>
      <c r="AM587" s="243"/>
    </row>
    <row r="588" spans="1:39" ht="30" customHeight="1" x14ac:dyDescent="0.25">
      <c r="A588" s="243"/>
      <c r="B588" s="437"/>
      <c r="C588" s="437"/>
      <c r="D588" s="437"/>
      <c r="E588" s="437"/>
      <c r="F588" s="437"/>
      <c r="G588" s="437"/>
      <c r="H588" s="437"/>
      <c r="I588" s="438"/>
      <c r="J588" s="437" t="s">
        <v>318</v>
      </c>
      <c r="K588" s="245"/>
      <c r="L588" s="257"/>
      <c r="M588" s="591" t="s">
        <v>319</v>
      </c>
      <c r="N588" s="592"/>
      <c r="O588" s="179"/>
      <c r="P588" s="180"/>
      <c r="Q588" s="180">
        <v>58500000</v>
      </c>
      <c r="R588" s="181">
        <f t="shared" si="153"/>
        <v>36.117330203247036</v>
      </c>
      <c r="S588" s="181">
        <v>100</v>
      </c>
      <c r="T588" s="180">
        <f t="shared" si="117"/>
        <v>23.931623931623932</v>
      </c>
      <c r="U588" s="180">
        <f t="shared" si="122"/>
        <v>8.6434636383839063</v>
      </c>
      <c r="V588" s="182">
        <f t="shared" si="142"/>
        <v>76.068376068376068</v>
      </c>
      <c r="W588" s="180"/>
      <c r="X588" s="180"/>
      <c r="Y588" s="180"/>
      <c r="Z588" s="180"/>
      <c r="AA588" s="180"/>
      <c r="AB588" s="180"/>
      <c r="AC588" s="180"/>
      <c r="AD588" s="180"/>
      <c r="AE588" s="180"/>
      <c r="AF588" s="180"/>
      <c r="AG588" s="180"/>
      <c r="AH588" s="180"/>
      <c r="AI588" s="180">
        <v>14000000</v>
      </c>
      <c r="AJ588" s="181">
        <f t="shared" si="143"/>
        <v>23.931623931623932</v>
      </c>
      <c r="AK588" s="180">
        <f t="shared" si="151"/>
        <v>44500000</v>
      </c>
      <c r="AL588" s="181">
        <f t="shared" si="146"/>
        <v>76.068376068376068</v>
      </c>
      <c r="AM588" s="243"/>
    </row>
    <row r="589" spans="1:39" ht="24.75" customHeight="1" x14ac:dyDescent="0.25">
      <c r="A589" s="243"/>
      <c r="B589" s="437"/>
      <c r="C589" s="437"/>
      <c r="D589" s="437"/>
      <c r="E589" s="437"/>
      <c r="F589" s="437"/>
      <c r="G589" s="437"/>
      <c r="H589" s="437"/>
      <c r="I589" s="438"/>
      <c r="J589" s="437" t="s">
        <v>280</v>
      </c>
      <c r="K589" s="245"/>
      <c r="L589" s="257"/>
      <c r="M589" s="591" t="s">
        <v>281</v>
      </c>
      <c r="N589" s="592"/>
      <c r="O589" s="179"/>
      <c r="P589" s="180"/>
      <c r="Q589" s="180">
        <v>2925000</v>
      </c>
      <c r="R589" s="181">
        <f t="shared" si="153"/>
        <v>1.8058665101623517</v>
      </c>
      <c r="S589" s="181">
        <v>100</v>
      </c>
      <c r="T589" s="180">
        <f t="shared" si="117"/>
        <v>59.82905982905983</v>
      </c>
      <c r="U589" s="180">
        <f t="shared" si="122"/>
        <v>1.0804329547979881</v>
      </c>
      <c r="V589" s="182">
        <f t="shared" si="142"/>
        <v>40.17094017094017</v>
      </c>
      <c r="W589" s="180"/>
      <c r="X589" s="180"/>
      <c r="Y589" s="180"/>
      <c r="Z589" s="180"/>
      <c r="AA589" s="180"/>
      <c r="AB589" s="180"/>
      <c r="AC589" s="180"/>
      <c r="AD589" s="180"/>
      <c r="AE589" s="180"/>
      <c r="AF589" s="180"/>
      <c r="AG589" s="180"/>
      <c r="AH589" s="180"/>
      <c r="AI589" s="180">
        <v>1750000</v>
      </c>
      <c r="AJ589" s="181">
        <f t="shared" si="143"/>
        <v>59.82905982905983</v>
      </c>
      <c r="AK589" s="180">
        <f t="shared" si="151"/>
        <v>1175000</v>
      </c>
      <c r="AL589" s="181">
        <f t="shared" si="146"/>
        <v>40.17094017094017</v>
      </c>
      <c r="AM589" s="243"/>
    </row>
    <row r="590" spans="1:39" ht="24.75" customHeight="1" x14ac:dyDescent="0.25">
      <c r="A590" s="243"/>
      <c r="B590" s="437"/>
      <c r="C590" s="437"/>
      <c r="D590" s="437"/>
      <c r="E590" s="437"/>
      <c r="F590" s="437"/>
      <c r="G590" s="437"/>
      <c r="H590" s="437"/>
      <c r="I590" s="438"/>
      <c r="J590" s="437" t="s">
        <v>284</v>
      </c>
      <c r="K590" s="245"/>
      <c r="L590" s="257"/>
      <c r="M590" s="591" t="s">
        <v>285</v>
      </c>
      <c r="N590" s="592"/>
      <c r="O590" s="179"/>
      <c r="P590" s="180"/>
      <c r="Q590" s="180">
        <v>2000000</v>
      </c>
      <c r="R590" s="181">
        <f t="shared" si="153"/>
        <v>1.2347805197691293</v>
      </c>
      <c r="S590" s="181">
        <v>100</v>
      </c>
      <c r="T590" s="180">
        <f t="shared" si="117"/>
        <v>0</v>
      </c>
      <c r="U590" s="180">
        <f t="shared" si="122"/>
        <v>0</v>
      </c>
      <c r="V590" s="182">
        <f t="shared" si="142"/>
        <v>100</v>
      </c>
      <c r="W590" s="180"/>
      <c r="X590" s="180"/>
      <c r="Y590" s="180"/>
      <c r="Z590" s="180"/>
      <c r="AA590" s="180"/>
      <c r="AB590" s="180"/>
      <c r="AC590" s="180"/>
      <c r="AD590" s="180"/>
      <c r="AE590" s="180"/>
      <c r="AF590" s="180"/>
      <c r="AG590" s="180"/>
      <c r="AH590" s="180"/>
      <c r="AI590" s="180">
        <v>0</v>
      </c>
      <c r="AJ590" s="181">
        <f t="shared" si="143"/>
        <v>0</v>
      </c>
      <c r="AK590" s="180">
        <f t="shared" si="151"/>
        <v>2000000</v>
      </c>
      <c r="AL590" s="181">
        <f t="shared" si="146"/>
        <v>100</v>
      </c>
      <c r="AM590" s="243"/>
    </row>
    <row r="591" spans="1:39" ht="24.75" customHeight="1" x14ac:dyDescent="0.25">
      <c r="A591" s="243"/>
      <c r="B591" s="437"/>
      <c r="C591" s="437"/>
      <c r="D591" s="437"/>
      <c r="E591" s="437"/>
      <c r="F591" s="437"/>
      <c r="G591" s="437"/>
      <c r="H591" s="437"/>
      <c r="I591" s="438"/>
      <c r="J591" s="437" t="s">
        <v>282</v>
      </c>
      <c r="K591" s="245"/>
      <c r="L591" s="257"/>
      <c r="M591" s="591" t="s">
        <v>283</v>
      </c>
      <c r="N591" s="592"/>
      <c r="O591" s="179"/>
      <c r="P591" s="180"/>
      <c r="Q591" s="180">
        <v>73857105</v>
      </c>
      <c r="R591" s="181">
        <f t="shared" si="153"/>
        <v>45.598657250271586</v>
      </c>
      <c r="S591" s="181">
        <v>100</v>
      </c>
      <c r="T591" s="180">
        <f t="shared" si="117"/>
        <v>75.581489417978133</v>
      </c>
      <c r="U591" s="180">
        <f t="shared" si="122"/>
        <v>34.464144304354136</v>
      </c>
      <c r="V591" s="182">
        <f t="shared" si="142"/>
        <v>24.418510582021867</v>
      </c>
      <c r="W591" s="180"/>
      <c r="X591" s="180"/>
      <c r="Y591" s="180"/>
      <c r="Z591" s="180"/>
      <c r="AA591" s="180"/>
      <c r="AB591" s="180"/>
      <c r="AC591" s="180"/>
      <c r="AD591" s="180"/>
      <c r="AE591" s="180"/>
      <c r="AF591" s="180"/>
      <c r="AG591" s="180"/>
      <c r="AH591" s="180"/>
      <c r="AI591" s="180">
        <f>52196300+3626000</f>
        <v>55822300</v>
      </c>
      <c r="AJ591" s="181">
        <f t="shared" si="143"/>
        <v>75.581489417978133</v>
      </c>
      <c r="AK591" s="180">
        <f t="shared" si="151"/>
        <v>18034805</v>
      </c>
      <c r="AL591" s="181">
        <f t="shared" si="146"/>
        <v>24.418510582021867</v>
      </c>
      <c r="AM591" s="243"/>
    </row>
    <row r="592" spans="1:39" ht="24.75" customHeight="1" x14ac:dyDescent="0.25">
      <c r="A592" s="243"/>
      <c r="B592" s="437"/>
      <c r="C592" s="437"/>
      <c r="D592" s="437"/>
      <c r="E592" s="437"/>
      <c r="F592" s="437"/>
      <c r="G592" s="437"/>
      <c r="H592" s="437"/>
      <c r="I592" s="438"/>
      <c r="J592" s="437" t="s">
        <v>320</v>
      </c>
      <c r="K592" s="245"/>
      <c r="L592" s="257"/>
      <c r="M592" s="591" t="s">
        <v>321</v>
      </c>
      <c r="N592" s="592"/>
      <c r="O592" s="179"/>
      <c r="P592" s="180"/>
      <c r="Q592" s="180">
        <v>15750000</v>
      </c>
      <c r="R592" s="181">
        <f t="shared" si="153"/>
        <v>9.7238965931818946</v>
      </c>
      <c r="S592" s="181">
        <v>100</v>
      </c>
      <c r="T592" s="180">
        <f t="shared" si="117"/>
        <v>47.619047619047613</v>
      </c>
      <c r="U592" s="180">
        <f t="shared" si="122"/>
        <v>4.6304269491342351</v>
      </c>
      <c r="V592" s="182">
        <v>100</v>
      </c>
      <c r="W592" s="180"/>
      <c r="X592" s="180"/>
      <c r="Y592" s="180"/>
      <c r="Z592" s="180"/>
      <c r="AA592" s="180"/>
      <c r="AB592" s="180"/>
      <c r="AC592" s="180"/>
      <c r="AD592" s="180"/>
      <c r="AE592" s="180"/>
      <c r="AF592" s="180"/>
      <c r="AG592" s="180"/>
      <c r="AH592" s="180"/>
      <c r="AI592" s="180">
        <v>7500000</v>
      </c>
      <c r="AJ592" s="181">
        <f t="shared" si="143"/>
        <v>47.619047619047613</v>
      </c>
      <c r="AK592" s="180">
        <f t="shared" si="151"/>
        <v>8250000</v>
      </c>
      <c r="AL592" s="181">
        <f t="shared" si="146"/>
        <v>52.380952380952387</v>
      </c>
      <c r="AM592" s="243"/>
    </row>
    <row r="593" spans="1:39" ht="24.75" customHeight="1" x14ac:dyDescent="0.25">
      <c r="A593" s="243"/>
      <c r="B593" s="437"/>
      <c r="C593" s="437"/>
      <c r="D593" s="437"/>
      <c r="E593" s="437"/>
      <c r="F593" s="437"/>
      <c r="G593" s="437"/>
      <c r="H593" s="437"/>
      <c r="I593" s="438"/>
      <c r="J593" s="437" t="s">
        <v>407</v>
      </c>
      <c r="K593" s="245"/>
      <c r="L593" s="257"/>
      <c r="M593" s="591" t="s">
        <v>414</v>
      </c>
      <c r="N593" s="592"/>
      <c r="O593" s="179"/>
      <c r="P593" s="180"/>
      <c r="Q593" s="180">
        <v>5400000</v>
      </c>
      <c r="R593" s="181">
        <f t="shared" si="153"/>
        <v>3.3339074033766494</v>
      </c>
      <c r="S593" s="181">
        <v>100</v>
      </c>
      <c r="T593" s="180">
        <f t="shared" si="117"/>
        <v>3.7037037037037033</v>
      </c>
      <c r="U593" s="180">
        <f t="shared" si="122"/>
        <v>0.12347805197691292</v>
      </c>
      <c r="V593" s="182">
        <v>100</v>
      </c>
      <c r="W593" s="180"/>
      <c r="X593" s="180"/>
      <c r="Y593" s="180"/>
      <c r="Z593" s="180"/>
      <c r="AA593" s="180"/>
      <c r="AB593" s="180"/>
      <c r="AC593" s="180"/>
      <c r="AD593" s="180"/>
      <c r="AE593" s="180"/>
      <c r="AF593" s="180"/>
      <c r="AG593" s="180"/>
      <c r="AH593" s="180"/>
      <c r="AI593" s="180">
        <v>200000</v>
      </c>
      <c r="AJ593" s="181">
        <f t="shared" si="143"/>
        <v>3.7037037037037033</v>
      </c>
      <c r="AK593" s="180">
        <f t="shared" si="151"/>
        <v>5200000</v>
      </c>
      <c r="AL593" s="181">
        <f t="shared" si="146"/>
        <v>96.296296296296291</v>
      </c>
      <c r="AM593" s="243"/>
    </row>
    <row r="594" spans="1:39" s="297" customFormat="1" ht="24.75" customHeight="1" x14ac:dyDescent="0.25">
      <c r="A594" s="227">
        <f>SUM(A585+1)</f>
        <v>72</v>
      </c>
      <c r="B594" s="442"/>
      <c r="C594" s="442"/>
      <c r="D594" s="442"/>
      <c r="E594" s="442"/>
      <c r="F594" s="442"/>
      <c r="G594" s="442"/>
      <c r="H594" s="442"/>
      <c r="I594" s="441"/>
      <c r="J594" s="304" t="s">
        <v>525</v>
      </c>
      <c r="K594" s="230"/>
      <c r="L594" s="294"/>
      <c r="M594" s="610" t="s">
        <v>205</v>
      </c>
      <c r="N594" s="612"/>
      <c r="O594" s="309"/>
      <c r="P594" s="231"/>
      <c r="Q594" s="231">
        <f>SUM(Q595:Q607)</f>
        <v>420363277</v>
      </c>
      <c r="R594" s="233">
        <f>Q594/Q$248*100</f>
        <v>3.5242182166114522</v>
      </c>
      <c r="S594" s="233">
        <v>100</v>
      </c>
      <c r="T594" s="231">
        <f t="shared" si="117"/>
        <v>34.370747376203369</v>
      </c>
      <c r="U594" s="231">
        <f t="shared" si="122"/>
        <v>1.211300140217662</v>
      </c>
      <c r="V594" s="296">
        <f t="shared" si="142"/>
        <v>65.629252623796631</v>
      </c>
      <c r="W594" s="231"/>
      <c r="X594" s="231"/>
      <c r="Y594" s="231"/>
      <c r="Z594" s="231"/>
      <c r="AA594" s="231"/>
      <c r="AB594" s="231"/>
      <c r="AC594" s="231"/>
      <c r="AD594" s="231"/>
      <c r="AE594" s="231"/>
      <c r="AF594" s="231"/>
      <c r="AG594" s="231"/>
      <c r="AH594" s="231"/>
      <c r="AI594" s="231">
        <f>SUM(AI595:AI607)</f>
        <v>144482000</v>
      </c>
      <c r="AJ594" s="233">
        <f t="shared" si="143"/>
        <v>34.370747376203369</v>
      </c>
      <c r="AK594" s="231">
        <f t="shared" si="151"/>
        <v>275881277</v>
      </c>
      <c r="AL594" s="233">
        <f t="shared" si="146"/>
        <v>65.629252623796631</v>
      </c>
      <c r="AM594" s="227"/>
    </row>
    <row r="595" spans="1:39" ht="24.75" customHeight="1" x14ac:dyDescent="0.25">
      <c r="A595" s="243"/>
      <c r="B595" s="437"/>
      <c r="C595" s="437"/>
      <c r="D595" s="437"/>
      <c r="E595" s="437"/>
      <c r="F595" s="437"/>
      <c r="G595" s="437"/>
      <c r="H595" s="437"/>
      <c r="I595" s="438"/>
      <c r="J595" s="437" t="s">
        <v>259</v>
      </c>
      <c r="K595" s="245"/>
      <c r="L595" s="257"/>
      <c r="M595" s="591" t="s">
        <v>260</v>
      </c>
      <c r="N595" s="592"/>
      <c r="O595" s="179"/>
      <c r="P595" s="180"/>
      <c r="Q595" s="180">
        <v>2400000</v>
      </c>
      <c r="R595" s="181">
        <f t="shared" ref="R595:R607" si="154">Q595/Q$594*100</f>
        <v>0.57093474414036416</v>
      </c>
      <c r="S595" s="181">
        <v>100</v>
      </c>
      <c r="T595" s="180">
        <f t="shared" si="117"/>
        <v>66.666666666666657</v>
      </c>
      <c r="U595" s="180">
        <f t="shared" si="122"/>
        <v>0.38062316276024272</v>
      </c>
      <c r="V595" s="182">
        <f t="shared" si="142"/>
        <v>33.333333333333343</v>
      </c>
      <c r="W595" s="180"/>
      <c r="X595" s="180"/>
      <c r="Y595" s="180"/>
      <c r="Z595" s="180"/>
      <c r="AA595" s="180"/>
      <c r="AB595" s="180"/>
      <c r="AC595" s="180"/>
      <c r="AD595" s="180"/>
      <c r="AE595" s="180"/>
      <c r="AF595" s="180"/>
      <c r="AG595" s="180"/>
      <c r="AH595" s="180"/>
      <c r="AI595" s="180">
        <v>1600000</v>
      </c>
      <c r="AJ595" s="181">
        <f t="shared" si="143"/>
        <v>66.666666666666657</v>
      </c>
      <c r="AK595" s="180">
        <f t="shared" si="151"/>
        <v>800000</v>
      </c>
      <c r="AL595" s="181">
        <f t="shared" si="146"/>
        <v>33.333333333333329</v>
      </c>
      <c r="AM595" s="243"/>
    </row>
    <row r="596" spans="1:39" ht="24.75" customHeight="1" x14ac:dyDescent="0.25">
      <c r="A596" s="243"/>
      <c r="B596" s="437"/>
      <c r="C596" s="437"/>
      <c r="D596" s="437"/>
      <c r="E596" s="437"/>
      <c r="F596" s="437"/>
      <c r="G596" s="437"/>
      <c r="H596" s="437"/>
      <c r="I596" s="438"/>
      <c r="J596" s="437" t="s">
        <v>273</v>
      </c>
      <c r="K596" s="245"/>
      <c r="L596" s="257"/>
      <c r="M596" s="591" t="s">
        <v>322</v>
      </c>
      <c r="N596" s="592"/>
      <c r="O596" s="179"/>
      <c r="P596" s="180"/>
      <c r="Q596" s="180">
        <v>22500000</v>
      </c>
      <c r="R596" s="181">
        <f t="shared" si="154"/>
        <v>5.3525132263159136</v>
      </c>
      <c r="S596" s="181">
        <v>100</v>
      </c>
      <c r="T596" s="180">
        <f t="shared" si="117"/>
        <v>42.666666666666671</v>
      </c>
      <c r="U596" s="180">
        <f t="shared" si="122"/>
        <v>2.2837389765614571</v>
      </c>
      <c r="V596" s="182">
        <f t="shared" si="142"/>
        <v>57.333333333333329</v>
      </c>
      <c r="W596" s="180"/>
      <c r="X596" s="180"/>
      <c r="Y596" s="180"/>
      <c r="Z596" s="180"/>
      <c r="AA596" s="180"/>
      <c r="AB596" s="180"/>
      <c r="AC596" s="180"/>
      <c r="AD596" s="180"/>
      <c r="AE596" s="180"/>
      <c r="AF596" s="180"/>
      <c r="AG596" s="180"/>
      <c r="AH596" s="180"/>
      <c r="AI596" s="180">
        <v>9600000</v>
      </c>
      <c r="AJ596" s="181">
        <f t="shared" si="143"/>
        <v>42.666666666666671</v>
      </c>
      <c r="AK596" s="180">
        <f t="shared" si="151"/>
        <v>12900000</v>
      </c>
      <c r="AL596" s="181">
        <f t="shared" si="146"/>
        <v>57.333333333333336</v>
      </c>
      <c r="AM596" s="243"/>
    </row>
    <row r="597" spans="1:39" ht="24.75" customHeight="1" x14ac:dyDescent="0.25">
      <c r="A597" s="243"/>
      <c r="B597" s="437"/>
      <c r="C597" s="437"/>
      <c r="D597" s="437"/>
      <c r="E597" s="437"/>
      <c r="F597" s="437"/>
      <c r="G597" s="437"/>
      <c r="H597" s="437"/>
      <c r="I597" s="438"/>
      <c r="J597" s="437" t="s">
        <v>326</v>
      </c>
      <c r="K597" s="245"/>
      <c r="L597" s="257"/>
      <c r="M597" s="591" t="s">
        <v>327</v>
      </c>
      <c r="N597" s="592"/>
      <c r="O597" s="179"/>
      <c r="P597" s="180"/>
      <c r="Q597" s="180">
        <v>50250000</v>
      </c>
      <c r="R597" s="181">
        <f t="shared" si="154"/>
        <v>11.953946205438873</v>
      </c>
      <c r="S597" s="181">
        <v>100</v>
      </c>
      <c r="T597" s="180">
        <f t="shared" si="117"/>
        <v>0</v>
      </c>
      <c r="U597" s="180">
        <f t="shared" si="122"/>
        <v>0</v>
      </c>
      <c r="V597" s="182">
        <f t="shared" si="142"/>
        <v>100</v>
      </c>
      <c r="W597" s="180"/>
      <c r="X597" s="180"/>
      <c r="Y597" s="180"/>
      <c r="Z597" s="180"/>
      <c r="AA597" s="180"/>
      <c r="AB597" s="180"/>
      <c r="AC597" s="180"/>
      <c r="AD597" s="180"/>
      <c r="AE597" s="180"/>
      <c r="AF597" s="180"/>
      <c r="AG597" s="180"/>
      <c r="AH597" s="180"/>
      <c r="AI597" s="180">
        <v>0</v>
      </c>
      <c r="AJ597" s="181">
        <f t="shared" si="143"/>
        <v>0</v>
      </c>
      <c r="AK597" s="180">
        <f t="shared" si="151"/>
        <v>50250000</v>
      </c>
      <c r="AL597" s="181">
        <f t="shared" si="146"/>
        <v>100</v>
      </c>
      <c r="AM597" s="243"/>
    </row>
    <row r="598" spans="1:39" ht="24.75" customHeight="1" x14ac:dyDescent="0.25">
      <c r="A598" s="243"/>
      <c r="B598" s="437"/>
      <c r="C598" s="437"/>
      <c r="D598" s="437"/>
      <c r="E598" s="437"/>
      <c r="F598" s="437"/>
      <c r="G598" s="437"/>
      <c r="H598" s="437"/>
      <c r="I598" s="438"/>
      <c r="J598" s="437" t="s">
        <v>323</v>
      </c>
      <c r="K598" s="245"/>
      <c r="L598" s="257"/>
      <c r="M598" s="591" t="s">
        <v>324</v>
      </c>
      <c r="N598" s="592"/>
      <c r="O598" s="179"/>
      <c r="P598" s="180"/>
      <c r="Q598" s="180">
        <v>18165000</v>
      </c>
      <c r="R598" s="181">
        <f t="shared" si="154"/>
        <v>4.3212623447123812</v>
      </c>
      <c r="S598" s="181">
        <v>100</v>
      </c>
      <c r="T598" s="180">
        <f t="shared" si="117"/>
        <v>36.729975227085056</v>
      </c>
      <c r="U598" s="180">
        <f t="shared" si="122"/>
        <v>1.5871985887102125</v>
      </c>
      <c r="V598" s="182">
        <f t="shared" si="142"/>
        <v>63.270024772914944</v>
      </c>
      <c r="W598" s="180"/>
      <c r="X598" s="180"/>
      <c r="Y598" s="180"/>
      <c r="Z598" s="180"/>
      <c r="AA598" s="180"/>
      <c r="AB598" s="180"/>
      <c r="AC598" s="180"/>
      <c r="AD598" s="180"/>
      <c r="AE598" s="180"/>
      <c r="AF598" s="180"/>
      <c r="AG598" s="180"/>
      <c r="AH598" s="180"/>
      <c r="AI598" s="180">
        <v>6672000</v>
      </c>
      <c r="AJ598" s="181">
        <f t="shared" si="143"/>
        <v>36.729975227085056</v>
      </c>
      <c r="AK598" s="180">
        <f t="shared" si="151"/>
        <v>11493000</v>
      </c>
      <c r="AL598" s="181">
        <f t="shared" si="146"/>
        <v>63.270024772914944</v>
      </c>
      <c r="AM598" s="243"/>
    </row>
    <row r="599" spans="1:39" ht="24.75" customHeight="1" x14ac:dyDescent="0.25">
      <c r="A599" s="243"/>
      <c r="B599" s="437"/>
      <c r="C599" s="437"/>
      <c r="D599" s="437"/>
      <c r="E599" s="437"/>
      <c r="F599" s="437"/>
      <c r="G599" s="437"/>
      <c r="H599" s="437"/>
      <c r="I599" s="438"/>
      <c r="J599" s="437" t="s">
        <v>269</v>
      </c>
      <c r="K599" s="245"/>
      <c r="L599" s="257"/>
      <c r="M599" s="591" t="s">
        <v>270</v>
      </c>
      <c r="N599" s="592"/>
      <c r="O599" s="179"/>
      <c r="P599" s="180"/>
      <c r="Q599" s="180">
        <v>7500000</v>
      </c>
      <c r="R599" s="181">
        <f t="shared" si="154"/>
        <v>1.7841710754386377</v>
      </c>
      <c r="S599" s="181">
        <v>100</v>
      </c>
      <c r="T599" s="180">
        <f t="shared" si="117"/>
        <v>0</v>
      </c>
      <c r="U599" s="180">
        <f t="shared" si="122"/>
        <v>0</v>
      </c>
      <c r="V599" s="182">
        <f t="shared" si="142"/>
        <v>100</v>
      </c>
      <c r="W599" s="180"/>
      <c r="X599" s="180"/>
      <c r="Y599" s="180"/>
      <c r="Z599" s="180"/>
      <c r="AA599" s="180"/>
      <c r="AB599" s="180"/>
      <c r="AC599" s="180"/>
      <c r="AD599" s="180"/>
      <c r="AE599" s="180"/>
      <c r="AF599" s="180"/>
      <c r="AG599" s="180"/>
      <c r="AH599" s="180"/>
      <c r="AI599" s="180">
        <v>0</v>
      </c>
      <c r="AJ599" s="181">
        <f t="shared" si="143"/>
        <v>0</v>
      </c>
      <c r="AK599" s="180">
        <f t="shared" si="151"/>
        <v>7500000</v>
      </c>
      <c r="AL599" s="181">
        <f t="shared" si="146"/>
        <v>100</v>
      </c>
      <c r="AM599" s="243"/>
    </row>
    <row r="600" spans="1:39" ht="24.75" customHeight="1" x14ac:dyDescent="0.25">
      <c r="A600" s="243"/>
      <c r="B600" s="437"/>
      <c r="C600" s="437"/>
      <c r="D600" s="437"/>
      <c r="E600" s="437"/>
      <c r="F600" s="437"/>
      <c r="G600" s="437"/>
      <c r="H600" s="437"/>
      <c r="I600" s="438"/>
      <c r="J600" s="437" t="s">
        <v>315</v>
      </c>
      <c r="K600" s="245"/>
      <c r="L600" s="257"/>
      <c r="M600" s="591" t="s">
        <v>271</v>
      </c>
      <c r="N600" s="592"/>
      <c r="O600" s="179"/>
      <c r="P600" s="180"/>
      <c r="Q600" s="180">
        <v>9928277</v>
      </c>
      <c r="R600" s="181">
        <f t="shared" si="154"/>
        <v>2.361832620312359</v>
      </c>
      <c r="S600" s="181">
        <v>100</v>
      </c>
      <c r="T600" s="180">
        <f t="shared" si="117"/>
        <v>20.144482270186458</v>
      </c>
      <c r="U600" s="180">
        <f t="shared" si="122"/>
        <v>0.47577895345030341</v>
      </c>
      <c r="V600" s="182">
        <f t="shared" si="142"/>
        <v>79.855517729813542</v>
      </c>
      <c r="W600" s="180"/>
      <c r="X600" s="180"/>
      <c r="Y600" s="180"/>
      <c r="Z600" s="180"/>
      <c r="AA600" s="180"/>
      <c r="AB600" s="180"/>
      <c r="AC600" s="180"/>
      <c r="AD600" s="180"/>
      <c r="AE600" s="180"/>
      <c r="AF600" s="180"/>
      <c r="AG600" s="180"/>
      <c r="AH600" s="180"/>
      <c r="AI600" s="180">
        <v>2000000</v>
      </c>
      <c r="AJ600" s="181">
        <f t="shared" si="143"/>
        <v>20.144482270186458</v>
      </c>
      <c r="AK600" s="180">
        <f t="shared" si="151"/>
        <v>7928277</v>
      </c>
      <c r="AL600" s="181">
        <f t="shared" si="146"/>
        <v>79.855517729813542</v>
      </c>
      <c r="AM600" s="243"/>
    </row>
    <row r="601" spans="1:39" ht="24.75" customHeight="1" x14ac:dyDescent="0.25">
      <c r="A601" s="243"/>
      <c r="B601" s="437"/>
      <c r="C601" s="437"/>
      <c r="D601" s="437"/>
      <c r="E601" s="437"/>
      <c r="F601" s="437"/>
      <c r="G601" s="437"/>
      <c r="H601" s="437"/>
      <c r="I601" s="438"/>
      <c r="J601" s="437" t="s">
        <v>328</v>
      </c>
      <c r="K601" s="245"/>
      <c r="L601" s="257"/>
      <c r="M601" s="591" t="s">
        <v>329</v>
      </c>
      <c r="N601" s="592"/>
      <c r="O601" s="179"/>
      <c r="P601" s="180"/>
      <c r="Q601" s="180">
        <v>149600000</v>
      </c>
      <c r="R601" s="181">
        <f t="shared" si="154"/>
        <v>35.588265718082695</v>
      </c>
      <c r="S601" s="181">
        <v>100</v>
      </c>
      <c r="T601" s="180">
        <f t="shared" si="117"/>
        <v>28.877005347593581</v>
      </c>
      <c r="U601" s="180">
        <f t="shared" si="122"/>
        <v>10.276825394526554</v>
      </c>
      <c r="V601" s="182">
        <f t="shared" si="142"/>
        <v>71.122994652406419</v>
      </c>
      <c r="W601" s="180"/>
      <c r="X601" s="180"/>
      <c r="Y601" s="180"/>
      <c r="Z601" s="180"/>
      <c r="AA601" s="180"/>
      <c r="AB601" s="180"/>
      <c r="AC601" s="180"/>
      <c r="AD601" s="180"/>
      <c r="AE601" s="180"/>
      <c r="AF601" s="180"/>
      <c r="AG601" s="180"/>
      <c r="AH601" s="180"/>
      <c r="AI601" s="180">
        <v>43200000</v>
      </c>
      <c r="AJ601" s="181">
        <f t="shared" si="143"/>
        <v>28.877005347593581</v>
      </c>
      <c r="AK601" s="180">
        <f t="shared" si="151"/>
        <v>106400000</v>
      </c>
      <c r="AL601" s="181">
        <f t="shared" si="146"/>
        <v>71.122994652406419</v>
      </c>
      <c r="AM601" s="243"/>
    </row>
    <row r="602" spans="1:39" ht="24.75" customHeight="1" x14ac:dyDescent="0.25">
      <c r="A602" s="243"/>
      <c r="B602" s="437"/>
      <c r="C602" s="437"/>
      <c r="D602" s="437"/>
      <c r="E602" s="437"/>
      <c r="F602" s="437"/>
      <c r="G602" s="437"/>
      <c r="H602" s="437"/>
      <c r="I602" s="438"/>
      <c r="J602" s="437" t="s">
        <v>280</v>
      </c>
      <c r="K602" s="245"/>
      <c r="L602" s="257"/>
      <c r="M602" s="591" t="s">
        <v>281</v>
      </c>
      <c r="N602" s="592"/>
      <c r="O602" s="179"/>
      <c r="P602" s="180"/>
      <c r="Q602" s="180">
        <v>22500000</v>
      </c>
      <c r="R602" s="181">
        <f t="shared" si="154"/>
        <v>5.3525132263159136</v>
      </c>
      <c r="S602" s="181">
        <v>100</v>
      </c>
      <c r="T602" s="180">
        <f t="shared" si="117"/>
        <v>49.555555555555557</v>
      </c>
      <c r="U602" s="180">
        <f t="shared" si="122"/>
        <v>2.652467665485442</v>
      </c>
      <c r="V602" s="182">
        <f t="shared" si="142"/>
        <v>50.444444444444443</v>
      </c>
      <c r="W602" s="180"/>
      <c r="X602" s="180"/>
      <c r="Y602" s="180"/>
      <c r="Z602" s="180"/>
      <c r="AA602" s="180"/>
      <c r="AB602" s="180"/>
      <c r="AC602" s="180"/>
      <c r="AD602" s="180"/>
      <c r="AE602" s="180"/>
      <c r="AF602" s="180"/>
      <c r="AG602" s="180"/>
      <c r="AH602" s="180"/>
      <c r="AI602" s="180">
        <v>11150000</v>
      </c>
      <c r="AJ602" s="181">
        <f t="shared" si="143"/>
        <v>49.555555555555557</v>
      </c>
      <c r="AK602" s="180">
        <f t="shared" si="151"/>
        <v>11350000</v>
      </c>
      <c r="AL602" s="181">
        <f t="shared" si="146"/>
        <v>50.44444444444445</v>
      </c>
      <c r="AM602" s="243"/>
    </row>
    <row r="603" spans="1:39" ht="24.75" customHeight="1" x14ac:dyDescent="0.25">
      <c r="A603" s="243"/>
      <c r="B603" s="437"/>
      <c r="C603" s="437"/>
      <c r="D603" s="437"/>
      <c r="E603" s="437"/>
      <c r="F603" s="437"/>
      <c r="G603" s="437"/>
      <c r="H603" s="437"/>
      <c r="I603" s="438"/>
      <c r="J603" s="437" t="s">
        <v>284</v>
      </c>
      <c r="K603" s="245"/>
      <c r="L603" s="257"/>
      <c r="M603" s="591" t="s">
        <v>285</v>
      </c>
      <c r="N603" s="592"/>
      <c r="O603" s="179"/>
      <c r="P603" s="180"/>
      <c r="Q603" s="180">
        <v>22520000</v>
      </c>
      <c r="R603" s="181">
        <f t="shared" si="154"/>
        <v>5.357271015850416</v>
      </c>
      <c r="S603" s="181">
        <v>100</v>
      </c>
      <c r="T603" s="180">
        <f t="shared" si="117"/>
        <v>23.357015985790408</v>
      </c>
      <c r="U603" s="180">
        <f t="shared" si="122"/>
        <v>1.2512986475742978</v>
      </c>
      <c r="V603" s="182">
        <f t="shared" si="142"/>
        <v>76.642984014209588</v>
      </c>
      <c r="W603" s="180"/>
      <c r="X603" s="180"/>
      <c r="Y603" s="180"/>
      <c r="Z603" s="180"/>
      <c r="AA603" s="180"/>
      <c r="AB603" s="180"/>
      <c r="AC603" s="180"/>
      <c r="AD603" s="180"/>
      <c r="AE603" s="180"/>
      <c r="AF603" s="180"/>
      <c r="AG603" s="180"/>
      <c r="AH603" s="180"/>
      <c r="AI603" s="180">
        <v>5260000</v>
      </c>
      <c r="AJ603" s="181">
        <f t="shared" si="143"/>
        <v>23.357015985790408</v>
      </c>
      <c r="AK603" s="180">
        <f t="shared" si="151"/>
        <v>17260000</v>
      </c>
      <c r="AL603" s="181">
        <f t="shared" si="146"/>
        <v>76.642984014209588</v>
      </c>
      <c r="AM603" s="243"/>
    </row>
    <row r="604" spans="1:39" ht="24.75" customHeight="1" x14ac:dyDescent="0.25">
      <c r="A604" s="243"/>
      <c r="B604" s="437"/>
      <c r="C604" s="437"/>
      <c r="D604" s="437"/>
      <c r="E604" s="437"/>
      <c r="F604" s="437"/>
      <c r="G604" s="437"/>
      <c r="H604" s="437"/>
      <c r="I604" s="438"/>
      <c r="J604" s="437" t="s">
        <v>282</v>
      </c>
      <c r="K604" s="245"/>
      <c r="L604" s="257"/>
      <c r="M604" s="591" t="s">
        <v>283</v>
      </c>
      <c r="N604" s="592"/>
      <c r="O604" s="179"/>
      <c r="P604" s="180"/>
      <c r="Q604" s="180">
        <v>19800000</v>
      </c>
      <c r="R604" s="181">
        <f t="shared" si="154"/>
        <v>4.710211639158004</v>
      </c>
      <c r="S604" s="181">
        <v>100</v>
      </c>
      <c r="T604" s="180">
        <f t="shared" si="117"/>
        <v>0</v>
      </c>
      <c r="U604" s="180">
        <f t="shared" si="122"/>
        <v>0</v>
      </c>
      <c r="V604" s="182">
        <f t="shared" si="142"/>
        <v>100</v>
      </c>
      <c r="W604" s="180"/>
      <c r="X604" s="180"/>
      <c r="Y604" s="180"/>
      <c r="Z604" s="180"/>
      <c r="AA604" s="180"/>
      <c r="AB604" s="180"/>
      <c r="AC604" s="180"/>
      <c r="AD604" s="180"/>
      <c r="AE604" s="180"/>
      <c r="AF604" s="180"/>
      <c r="AG604" s="180"/>
      <c r="AH604" s="180"/>
      <c r="AI604" s="180">
        <v>0</v>
      </c>
      <c r="AJ604" s="181">
        <f t="shared" si="143"/>
        <v>0</v>
      </c>
      <c r="AK604" s="180">
        <f t="shared" si="151"/>
        <v>19800000</v>
      </c>
      <c r="AL604" s="181">
        <f t="shared" si="146"/>
        <v>100</v>
      </c>
      <c r="AM604" s="243"/>
    </row>
    <row r="605" spans="1:39" ht="24.75" customHeight="1" x14ac:dyDescent="0.25">
      <c r="A605" s="243"/>
      <c r="B605" s="437"/>
      <c r="C605" s="437"/>
      <c r="D605" s="437"/>
      <c r="E605" s="437"/>
      <c r="F605" s="437"/>
      <c r="G605" s="437"/>
      <c r="H605" s="437"/>
      <c r="I605" s="438"/>
      <c r="J605" s="437" t="s">
        <v>320</v>
      </c>
      <c r="K605" s="245"/>
      <c r="L605" s="257"/>
      <c r="M605" s="591" t="s">
        <v>321</v>
      </c>
      <c r="N605" s="592"/>
      <c r="O605" s="179"/>
      <c r="P605" s="180"/>
      <c r="Q605" s="180">
        <v>10800000</v>
      </c>
      <c r="R605" s="181">
        <f t="shared" si="154"/>
        <v>2.5692063486316385</v>
      </c>
      <c r="S605" s="181">
        <v>100</v>
      </c>
      <c r="T605" s="180">
        <f t="shared" si="117"/>
        <v>100</v>
      </c>
      <c r="U605" s="180">
        <f t="shared" si="122"/>
        <v>2.5692063486316385</v>
      </c>
      <c r="V605" s="182">
        <f t="shared" si="142"/>
        <v>0</v>
      </c>
      <c r="W605" s="180"/>
      <c r="X605" s="180"/>
      <c r="Y605" s="180"/>
      <c r="Z605" s="180"/>
      <c r="AA605" s="180"/>
      <c r="AB605" s="180"/>
      <c r="AC605" s="180"/>
      <c r="AD605" s="180"/>
      <c r="AE605" s="180"/>
      <c r="AF605" s="180"/>
      <c r="AG605" s="180"/>
      <c r="AH605" s="180"/>
      <c r="AI605" s="180">
        <v>10800000</v>
      </c>
      <c r="AJ605" s="181">
        <f t="shared" si="143"/>
        <v>100</v>
      </c>
      <c r="AK605" s="180">
        <f t="shared" si="151"/>
        <v>0</v>
      </c>
      <c r="AL605" s="181">
        <f t="shared" si="146"/>
        <v>0</v>
      </c>
      <c r="AM605" s="243"/>
    </row>
    <row r="606" spans="1:39" ht="24.75" customHeight="1" x14ac:dyDescent="0.25">
      <c r="A606" s="243"/>
      <c r="B606" s="437"/>
      <c r="C606" s="437"/>
      <c r="D606" s="437"/>
      <c r="E606" s="437"/>
      <c r="F606" s="437"/>
      <c r="G606" s="437"/>
      <c r="H606" s="437"/>
      <c r="I606" s="438"/>
      <c r="J606" s="437" t="s">
        <v>309</v>
      </c>
      <c r="K606" s="245"/>
      <c r="L606" s="257"/>
      <c r="M606" s="591" t="s">
        <v>310</v>
      </c>
      <c r="N606" s="592"/>
      <c r="O606" s="179"/>
      <c r="P606" s="180"/>
      <c r="Q606" s="180">
        <v>75000000</v>
      </c>
      <c r="R606" s="181">
        <f t="shared" si="154"/>
        <v>17.841710754386376</v>
      </c>
      <c r="S606" s="181">
        <v>100</v>
      </c>
      <c r="T606" s="180">
        <f t="shared" si="117"/>
        <v>66.666666666666657</v>
      </c>
      <c r="U606" s="180">
        <f t="shared" si="122"/>
        <v>11.894473836257582</v>
      </c>
      <c r="V606" s="182">
        <f t="shared" si="142"/>
        <v>33.333333333333343</v>
      </c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  <c r="AG606" s="180"/>
      <c r="AH606" s="180"/>
      <c r="AI606" s="180">
        <v>50000000</v>
      </c>
      <c r="AJ606" s="181">
        <f t="shared" ref="AJ606:AJ684" si="155">AI606/Q606*100</f>
        <v>66.666666666666657</v>
      </c>
      <c r="AK606" s="180">
        <f t="shared" si="151"/>
        <v>25000000</v>
      </c>
      <c r="AL606" s="181">
        <f t="shared" si="146"/>
        <v>33.333333333333329</v>
      </c>
      <c r="AM606" s="243"/>
    </row>
    <row r="607" spans="1:39" ht="24.75" customHeight="1" x14ac:dyDescent="0.25">
      <c r="A607" s="243"/>
      <c r="B607" s="437"/>
      <c r="C607" s="437"/>
      <c r="D607" s="437"/>
      <c r="E607" s="437"/>
      <c r="F607" s="437"/>
      <c r="G607" s="437"/>
      <c r="H607" s="437"/>
      <c r="I607" s="438"/>
      <c r="J607" s="437" t="s">
        <v>407</v>
      </c>
      <c r="K607" s="245"/>
      <c r="L607" s="257"/>
      <c r="M607" s="591" t="s">
        <v>607</v>
      </c>
      <c r="N607" s="592"/>
      <c r="O607" s="179"/>
      <c r="P607" s="180"/>
      <c r="Q607" s="180">
        <v>9400000</v>
      </c>
      <c r="R607" s="181">
        <f t="shared" si="154"/>
        <v>2.2361610812164261</v>
      </c>
      <c r="S607" s="181">
        <v>100</v>
      </c>
      <c r="T607" s="180">
        <f t="shared" si="117"/>
        <v>44.680851063829785</v>
      </c>
      <c r="U607" s="180">
        <f t="shared" si="122"/>
        <v>0.99913580224563714</v>
      </c>
      <c r="V607" s="182">
        <f t="shared" si="142"/>
        <v>55.319148936170215</v>
      </c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  <c r="AG607" s="180"/>
      <c r="AH607" s="180"/>
      <c r="AI607" s="180">
        <v>4200000</v>
      </c>
      <c r="AJ607" s="181">
        <f t="shared" si="155"/>
        <v>44.680851063829785</v>
      </c>
      <c r="AK607" s="180">
        <f t="shared" si="151"/>
        <v>5200000</v>
      </c>
      <c r="AL607" s="181">
        <f t="shared" si="146"/>
        <v>55.319148936170215</v>
      </c>
      <c r="AM607" s="243"/>
    </row>
    <row r="608" spans="1:39" s="297" customFormat="1" ht="31.5" customHeight="1" x14ac:dyDescent="0.25">
      <c r="A608" s="227">
        <f>SUM(A594+1)</f>
        <v>73</v>
      </c>
      <c r="B608" s="442"/>
      <c r="C608" s="442"/>
      <c r="D608" s="442"/>
      <c r="E608" s="442"/>
      <c r="F608" s="442"/>
      <c r="G608" s="442"/>
      <c r="H608" s="442"/>
      <c r="I608" s="441"/>
      <c r="J608" s="304" t="s">
        <v>526</v>
      </c>
      <c r="K608" s="230"/>
      <c r="L608" s="294"/>
      <c r="M608" s="610" t="s">
        <v>206</v>
      </c>
      <c r="N608" s="612"/>
      <c r="O608" s="309"/>
      <c r="P608" s="231"/>
      <c r="Q608" s="231">
        <f>SUM(Q609:Q617)</f>
        <v>252438140</v>
      </c>
      <c r="R608" s="233">
        <f>Q608/Q$248*100</f>
        <v>2.1163768108019392</v>
      </c>
      <c r="S608" s="233">
        <v>100</v>
      </c>
      <c r="T608" s="231">
        <f t="shared" si="117"/>
        <v>35.119495017670467</v>
      </c>
      <c r="U608" s="231">
        <f t="shared" si="122"/>
        <v>0.74326084862472019</v>
      </c>
      <c r="V608" s="296">
        <f t="shared" si="142"/>
        <v>64.880504982329541</v>
      </c>
      <c r="W608" s="231"/>
      <c r="X608" s="231"/>
      <c r="Y608" s="231"/>
      <c r="Z608" s="231"/>
      <c r="AA608" s="231"/>
      <c r="AB608" s="231"/>
      <c r="AC608" s="231"/>
      <c r="AD608" s="231"/>
      <c r="AE608" s="231"/>
      <c r="AF608" s="231"/>
      <c r="AG608" s="231"/>
      <c r="AH608" s="231"/>
      <c r="AI608" s="231">
        <f>SUM(AI609:AI617)</f>
        <v>88655000</v>
      </c>
      <c r="AJ608" s="233">
        <f t="shared" si="155"/>
        <v>35.119495017670467</v>
      </c>
      <c r="AK608" s="231">
        <f t="shared" si="151"/>
        <v>163783140</v>
      </c>
      <c r="AL608" s="233">
        <f t="shared" si="146"/>
        <v>64.880504982329541</v>
      </c>
      <c r="AM608" s="227"/>
    </row>
    <row r="609" spans="1:39" ht="31.5" customHeight="1" x14ac:dyDescent="0.25">
      <c r="A609" s="243"/>
      <c r="B609" s="437"/>
      <c r="C609" s="437"/>
      <c r="D609" s="437"/>
      <c r="E609" s="437"/>
      <c r="F609" s="437"/>
      <c r="G609" s="437"/>
      <c r="H609" s="437"/>
      <c r="I609" s="438"/>
      <c r="J609" s="437" t="s">
        <v>257</v>
      </c>
      <c r="K609" s="245"/>
      <c r="L609" s="257"/>
      <c r="M609" s="591" t="s">
        <v>260</v>
      </c>
      <c r="N609" s="592"/>
      <c r="O609" s="179"/>
      <c r="P609" s="180"/>
      <c r="Q609" s="180">
        <v>2300000</v>
      </c>
      <c r="R609" s="181">
        <f>Q609/Q$608*100</f>
        <v>0.91111430309223485</v>
      </c>
      <c r="S609" s="181">
        <v>100</v>
      </c>
      <c r="T609" s="180">
        <f t="shared" si="117"/>
        <v>34.782608695652172</v>
      </c>
      <c r="U609" s="180">
        <f t="shared" si="122"/>
        <v>0.31690932281469036</v>
      </c>
      <c r="V609" s="182">
        <f t="shared" si="142"/>
        <v>65.217391304347828</v>
      </c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  <c r="AG609" s="180"/>
      <c r="AH609" s="180"/>
      <c r="AI609" s="180">
        <v>800000</v>
      </c>
      <c r="AJ609" s="181">
        <f t="shared" si="155"/>
        <v>34.782608695652172</v>
      </c>
      <c r="AK609" s="180">
        <f t="shared" si="151"/>
        <v>1500000</v>
      </c>
      <c r="AL609" s="181">
        <f t="shared" si="146"/>
        <v>65.217391304347828</v>
      </c>
      <c r="AM609" s="243"/>
    </row>
    <row r="610" spans="1:39" ht="31.5" customHeight="1" x14ac:dyDescent="0.25">
      <c r="A610" s="243"/>
      <c r="B610" s="437"/>
      <c r="C610" s="437"/>
      <c r="D610" s="437"/>
      <c r="E610" s="437"/>
      <c r="F610" s="437"/>
      <c r="G610" s="437"/>
      <c r="H610" s="437"/>
      <c r="I610" s="438"/>
      <c r="J610" s="437" t="s">
        <v>273</v>
      </c>
      <c r="K610" s="245"/>
      <c r="L610" s="257"/>
      <c r="M610" s="591" t="s">
        <v>322</v>
      </c>
      <c r="N610" s="592"/>
      <c r="O610" s="179"/>
      <c r="P610" s="180"/>
      <c r="Q610" s="180">
        <v>20400000</v>
      </c>
      <c r="R610" s="181">
        <f t="shared" ref="R610:R616" si="156">Q610/Q$608*100</f>
        <v>8.0811877317746035</v>
      </c>
      <c r="S610" s="181">
        <v>100</v>
      </c>
      <c r="T610" s="180">
        <f t="shared" si="117"/>
        <v>21.078431372549019</v>
      </c>
      <c r="U610" s="180">
        <f t="shared" si="122"/>
        <v>1.7033876101289604</v>
      </c>
      <c r="V610" s="182">
        <f t="shared" si="142"/>
        <v>78.921568627450981</v>
      </c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  <c r="AG610" s="180"/>
      <c r="AH610" s="180"/>
      <c r="AI610" s="180">
        <v>4300000</v>
      </c>
      <c r="AJ610" s="181">
        <f t="shared" si="155"/>
        <v>21.078431372549019</v>
      </c>
      <c r="AK610" s="180">
        <f t="shared" si="151"/>
        <v>16100000</v>
      </c>
      <c r="AL610" s="181">
        <f t="shared" si="146"/>
        <v>78.921568627450981</v>
      </c>
      <c r="AM610" s="243"/>
    </row>
    <row r="611" spans="1:39" ht="31.5" customHeight="1" x14ac:dyDescent="0.25">
      <c r="A611" s="243"/>
      <c r="B611" s="437"/>
      <c r="C611" s="437"/>
      <c r="D611" s="437"/>
      <c r="E611" s="437"/>
      <c r="F611" s="437"/>
      <c r="G611" s="437"/>
      <c r="H611" s="437"/>
      <c r="I611" s="438"/>
      <c r="J611" s="437" t="s">
        <v>323</v>
      </c>
      <c r="K611" s="245"/>
      <c r="L611" s="257"/>
      <c r="M611" s="591" t="s">
        <v>324</v>
      </c>
      <c r="N611" s="592"/>
      <c r="O611" s="179"/>
      <c r="P611" s="180"/>
      <c r="Q611" s="180">
        <v>33513000</v>
      </c>
      <c r="R611" s="181">
        <f t="shared" si="156"/>
        <v>13.275727669360899</v>
      </c>
      <c r="S611" s="181">
        <v>100</v>
      </c>
      <c r="T611" s="180">
        <f t="shared" si="117"/>
        <v>35.792080685107273</v>
      </c>
      <c r="U611" s="180">
        <f t="shared" si="122"/>
        <v>4.7516591589527648</v>
      </c>
      <c r="V611" s="182">
        <f t="shared" si="142"/>
        <v>64.207919314892735</v>
      </c>
      <c r="W611" s="180"/>
      <c r="X611" s="180"/>
      <c r="Y611" s="180"/>
      <c r="Z611" s="180"/>
      <c r="AA611" s="180"/>
      <c r="AB611" s="180"/>
      <c r="AC611" s="180"/>
      <c r="AD611" s="180"/>
      <c r="AE611" s="180"/>
      <c r="AF611" s="180"/>
      <c r="AG611" s="180"/>
      <c r="AH611" s="180"/>
      <c r="AI611" s="180">
        <f>4204000+7791000</f>
        <v>11995000</v>
      </c>
      <c r="AJ611" s="181">
        <f t="shared" si="155"/>
        <v>35.792080685107273</v>
      </c>
      <c r="AK611" s="180">
        <f t="shared" si="151"/>
        <v>21518000</v>
      </c>
      <c r="AL611" s="181">
        <f t="shared" si="146"/>
        <v>64.20791931489272</v>
      </c>
      <c r="AM611" s="243"/>
    </row>
    <row r="612" spans="1:39" ht="31.5" customHeight="1" x14ac:dyDescent="0.25">
      <c r="A612" s="243"/>
      <c r="B612" s="437"/>
      <c r="C612" s="437"/>
      <c r="D612" s="437"/>
      <c r="E612" s="437"/>
      <c r="F612" s="437"/>
      <c r="G612" s="437"/>
      <c r="H612" s="437"/>
      <c r="I612" s="438"/>
      <c r="J612" s="437" t="s">
        <v>269</v>
      </c>
      <c r="K612" s="245"/>
      <c r="L612" s="257"/>
      <c r="M612" s="591" t="s">
        <v>270</v>
      </c>
      <c r="N612" s="592"/>
      <c r="O612" s="179"/>
      <c r="P612" s="180"/>
      <c r="Q612" s="180">
        <v>24000000</v>
      </c>
      <c r="R612" s="181">
        <f t="shared" si="156"/>
        <v>9.5072796844407108</v>
      </c>
      <c r="S612" s="181">
        <v>100</v>
      </c>
      <c r="T612" s="180">
        <f t="shared" si="117"/>
        <v>29.166666666666668</v>
      </c>
      <c r="U612" s="180">
        <f t="shared" si="122"/>
        <v>2.7729565746285409</v>
      </c>
      <c r="V612" s="182">
        <f t="shared" si="142"/>
        <v>70.833333333333329</v>
      </c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  <c r="AG612" s="180"/>
      <c r="AH612" s="180"/>
      <c r="AI612" s="180">
        <v>7000000</v>
      </c>
      <c r="AJ612" s="181">
        <f t="shared" si="155"/>
        <v>29.166666666666668</v>
      </c>
      <c r="AK612" s="180">
        <f t="shared" si="151"/>
        <v>17000000</v>
      </c>
      <c r="AL612" s="181">
        <f t="shared" si="146"/>
        <v>70.833333333333343</v>
      </c>
      <c r="AM612" s="243"/>
    </row>
    <row r="613" spans="1:39" ht="31.5" customHeight="1" x14ac:dyDescent="0.25">
      <c r="A613" s="243"/>
      <c r="B613" s="437"/>
      <c r="C613" s="437"/>
      <c r="D613" s="437"/>
      <c r="E613" s="437"/>
      <c r="F613" s="437"/>
      <c r="G613" s="437"/>
      <c r="H613" s="437"/>
      <c r="I613" s="438"/>
      <c r="J613" s="437" t="s">
        <v>315</v>
      </c>
      <c r="K613" s="245"/>
      <c r="L613" s="257"/>
      <c r="M613" s="591" t="s">
        <v>271</v>
      </c>
      <c r="N613" s="592"/>
      <c r="O613" s="179"/>
      <c r="P613" s="180"/>
      <c r="Q613" s="180">
        <v>1965000</v>
      </c>
      <c r="R613" s="181">
        <f t="shared" si="156"/>
        <v>0.77840852416358319</v>
      </c>
      <c r="S613" s="181">
        <v>100</v>
      </c>
      <c r="T613" s="180">
        <f t="shared" si="117"/>
        <v>38.167938931297712</v>
      </c>
      <c r="U613" s="180">
        <f t="shared" si="122"/>
        <v>0.29710249013877221</v>
      </c>
      <c r="V613" s="182">
        <f t="shared" si="142"/>
        <v>61.832061068702288</v>
      </c>
      <c r="W613" s="180"/>
      <c r="X613" s="180"/>
      <c r="Y613" s="180"/>
      <c r="Z613" s="180"/>
      <c r="AA613" s="180"/>
      <c r="AB613" s="180"/>
      <c r="AC613" s="180"/>
      <c r="AD613" s="180"/>
      <c r="AE613" s="180"/>
      <c r="AF613" s="180"/>
      <c r="AG613" s="180"/>
      <c r="AH613" s="180"/>
      <c r="AI613" s="180">
        <v>750000</v>
      </c>
      <c r="AJ613" s="181">
        <f t="shared" si="155"/>
        <v>38.167938931297712</v>
      </c>
      <c r="AK613" s="180">
        <f t="shared" si="151"/>
        <v>1215000</v>
      </c>
      <c r="AL613" s="181">
        <f t="shared" si="146"/>
        <v>61.832061068702295</v>
      </c>
      <c r="AM613" s="243"/>
    </row>
    <row r="614" spans="1:39" ht="31.5" customHeight="1" x14ac:dyDescent="0.25">
      <c r="A614" s="243"/>
      <c r="B614" s="437"/>
      <c r="C614" s="437"/>
      <c r="D614" s="437"/>
      <c r="E614" s="437"/>
      <c r="F614" s="437"/>
      <c r="G614" s="437"/>
      <c r="H614" s="437"/>
      <c r="I614" s="438"/>
      <c r="J614" s="437" t="s">
        <v>328</v>
      </c>
      <c r="K614" s="245"/>
      <c r="L614" s="257"/>
      <c r="M614" s="591" t="s">
        <v>329</v>
      </c>
      <c r="N614" s="592"/>
      <c r="O614" s="179"/>
      <c r="P614" s="180"/>
      <c r="Q614" s="180">
        <v>107000000</v>
      </c>
      <c r="R614" s="181">
        <f t="shared" si="156"/>
        <v>42.386621926464834</v>
      </c>
      <c r="S614" s="181">
        <v>100</v>
      </c>
      <c r="T614" s="180">
        <f t="shared" si="117"/>
        <v>40</v>
      </c>
      <c r="U614" s="180">
        <f t="shared" si="122"/>
        <v>16.954648770585933</v>
      </c>
      <c r="V614" s="182">
        <f t="shared" si="142"/>
        <v>60</v>
      </c>
      <c r="W614" s="180"/>
      <c r="X614" s="180"/>
      <c r="Y614" s="180"/>
      <c r="Z614" s="180"/>
      <c r="AA614" s="180"/>
      <c r="AB614" s="180"/>
      <c r="AC614" s="180"/>
      <c r="AD614" s="180"/>
      <c r="AE614" s="180"/>
      <c r="AF614" s="180"/>
      <c r="AG614" s="180"/>
      <c r="AH614" s="180"/>
      <c r="AI614" s="180">
        <v>42800000</v>
      </c>
      <c r="AJ614" s="181">
        <f t="shared" si="155"/>
        <v>40</v>
      </c>
      <c r="AK614" s="180">
        <f t="shared" si="151"/>
        <v>64200000</v>
      </c>
      <c r="AL614" s="181">
        <f t="shared" si="146"/>
        <v>60</v>
      </c>
      <c r="AM614" s="243"/>
    </row>
    <row r="615" spans="1:39" ht="31.5" customHeight="1" x14ac:dyDescent="0.25">
      <c r="A615" s="243"/>
      <c r="B615" s="437"/>
      <c r="C615" s="437"/>
      <c r="D615" s="437"/>
      <c r="E615" s="437"/>
      <c r="F615" s="437"/>
      <c r="G615" s="437"/>
      <c r="H615" s="437"/>
      <c r="I615" s="438"/>
      <c r="J615" s="437" t="s">
        <v>339</v>
      </c>
      <c r="K615" s="245"/>
      <c r="L615" s="257"/>
      <c r="M615" s="591" t="s">
        <v>340</v>
      </c>
      <c r="N615" s="592"/>
      <c r="O615" s="179"/>
      <c r="P615" s="180"/>
      <c r="Q615" s="180">
        <v>37200000</v>
      </c>
      <c r="R615" s="181">
        <f t="shared" si="156"/>
        <v>14.736283510883103</v>
      </c>
      <c r="S615" s="181">
        <v>100</v>
      </c>
      <c r="T615" s="180">
        <f t="shared" si="117"/>
        <v>36.693548387096776</v>
      </c>
      <c r="U615" s="180">
        <f t="shared" si="122"/>
        <v>5.4072653205256556</v>
      </c>
      <c r="V615" s="182">
        <f t="shared" si="142"/>
        <v>63.306451612903224</v>
      </c>
      <c r="W615" s="180"/>
      <c r="X615" s="180"/>
      <c r="Y615" s="180"/>
      <c r="Z615" s="180"/>
      <c r="AA615" s="180"/>
      <c r="AB615" s="180"/>
      <c r="AC615" s="180"/>
      <c r="AD615" s="180"/>
      <c r="AE615" s="180"/>
      <c r="AF615" s="180"/>
      <c r="AG615" s="180"/>
      <c r="AH615" s="180"/>
      <c r="AI615" s="180">
        <f>4350000+9300000</f>
        <v>13650000</v>
      </c>
      <c r="AJ615" s="181">
        <f t="shared" si="155"/>
        <v>36.693548387096776</v>
      </c>
      <c r="AK615" s="180">
        <f t="shared" si="151"/>
        <v>23550000</v>
      </c>
      <c r="AL615" s="181">
        <f t="shared" si="146"/>
        <v>63.306451612903224</v>
      </c>
      <c r="AM615" s="243"/>
    </row>
    <row r="616" spans="1:39" ht="31.5" customHeight="1" x14ac:dyDescent="0.25">
      <c r="A616" s="243"/>
      <c r="B616" s="437"/>
      <c r="C616" s="437"/>
      <c r="D616" s="437"/>
      <c r="E616" s="437"/>
      <c r="F616" s="437"/>
      <c r="G616" s="437"/>
      <c r="H616" s="437"/>
      <c r="I616" s="438"/>
      <c r="J616" s="437" t="s">
        <v>284</v>
      </c>
      <c r="K616" s="245"/>
      <c r="L616" s="257"/>
      <c r="M616" s="591" t="s">
        <v>285</v>
      </c>
      <c r="N616" s="592"/>
      <c r="O616" s="179"/>
      <c r="P616" s="180"/>
      <c r="Q616" s="180">
        <v>7560000</v>
      </c>
      <c r="R616" s="181">
        <f t="shared" si="156"/>
        <v>2.994793100598824</v>
      </c>
      <c r="S616" s="181">
        <v>100</v>
      </c>
      <c r="T616" s="180">
        <f t="shared" si="117"/>
        <v>25.132275132275133</v>
      </c>
      <c r="U616" s="180">
        <f t="shared" si="122"/>
        <v>0.75265964168488964</v>
      </c>
      <c r="V616" s="182">
        <f t="shared" si="142"/>
        <v>74.86772486772486</v>
      </c>
      <c r="W616" s="180"/>
      <c r="X616" s="180"/>
      <c r="Y616" s="180"/>
      <c r="Z616" s="180"/>
      <c r="AA616" s="180"/>
      <c r="AB616" s="180"/>
      <c r="AC616" s="180"/>
      <c r="AD616" s="180"/>
      <c r="AE616" s="180"/>
      <c r="AF616" s="180"/>
      <c r="AG616" s="180"/>
      <c r="AH616" s="180"/>
      <c r="AI616" s="180">
        <v>1900000</v>
      </c>
      <c r="AJ616" s="181">
        <f t="shared" si="155"/>
        <v>25.132275132275133</v>
      </c>
      <c r="AK616" s="180">
        <f t="shared" si="151"/>
        <v>5660000</v>
      </c>
      <c r="AL616" s="181">
        <f t="shared" si="146"/>
        <v>74.867724867724874</v>
      </c>
      <c r="AM616" s="243"/>
    </row>
    <row r="617" spans="1:39" ht="31.5" customHeight="1" x14ac:dyDescent="0.25">
      <c r="A617" s="243"/>
      <c r="B617" s="437"/>
      <c r="C617" s="437"/>
      <c r="D617" s="437"/>
      <c r="E617" s="437"/>
      <c r="F617" s="437"/>
      <c r="G617" s="437"/>
      <c r="H617" s="437"/>
      <c r="I617" s="438"/>
      <c r="J617" s="437" t="s">
        <v>282</v>
      </c>
      <c r="K617" s="245"/>
      <c r="L617" s="257"/>
      <c r="M617" s="591" t="s">
        <v>283</v>
      </c>
      <c r="N617" s="592"/>
      <c r="O617" s="179"/>
      <c r="P617" s="180"/>
      <c r="Q617" s="180">
        <v>18500140</v>
      </c>
      <c r="R617" s="181">
        <f>Q617/Q$608*100</f>
        <v>7.3285835492212072</v>
      </c>
      <c r="S617" s="181">
        <v>100</v>
      </c>
      <c r="T617" s="180">
        <f t="shared" si="117"/>
        <v>29.51329016969601</v>
      </c>
      <c r="U617" s="180">
        <f t="shared" si="122"/>
        <v>2.1629061282102615</v>
      </c>
      <c r="V617" s="182">
        <f t="shared" si="142"/>
        <v>70.486709830303994</v>
      </c>
      <c r="W617" s="180"/>
      <c r="X617" s="180"/>
      <c r="Y617" s="180"/>
      <c r="Z617" s="180"/>
      <c r="AA617" s="180"/>
      <c r="AB617" s="180"/>
      <c r="AC617" s="180"/>
      <c r="AD617" s="180"/>
      <c r="AE617" s="180"/>
      <c r="AF617" s="180"/>
      <c r="AG617" s="180"/>
      <c r="AH617" s="180"/>
      <c r="AI617" s="180">
        <v>5460000</v>
      </c>
      <c r="AJ617" s="181">
        <f t="shared" si="155"/>
        <v>29.51329016969601</v>
      </c>
      <c r="AK617" s="180">
        <f t="shared" si="151"/>
        <v>13040140</v>
      </c>
      <c r="AL617" s="181">
        <f t="shared" ref="AL617:AL687" si="157">AK617/Q617*100</f>
        <v>70.48670983030398</v>
      </c>
      <c r="AM617" s="243"/>
    </row>
    <row r="618" spans="1:39" s="297" customFormat="1" ht="28.5" customHeight="1" x14ac:dyDescent="0.25">
      <c r="A618" s="227">
        <f>SUM(A608+1)</f>
        <v>74</v>
      </c>
      <c r="B618" s="442"/>
      <c r="C618" s="442"/>
      <c r="D618" s="442"/>
      <c r="E618" s="442"/>
      <c r="F618" s="442"/>
      <c r="G618" s="442"/>
      <c r="H618" s="442"/>
      <c r="I618" s="441"/>
      <c r="J618" s="304" t="s">
        <v>527</v>
      </c>
      <c r="K618" s="230"/>
      <c r="L618" s="294"/>
      <c r="M618" s="609" t="s">
        <v>207</v>
      </c>
      <c r="N618" s="614"/>
      <c r="O618" s="309"/>
      <c r="P618" s="231"/>
      <c r="Q618" s="231">
        <f>SUM(Q619:Q626)</f>
        <v>195716927</v>
      </c>
      <c r="R618" s="233">
        <f>Q618/Q$608*100</f>
        <v>77.530648498677735</v>
      </c>
      <c r="S618" s="233">
        <v>100</v>
      </c>
      <c r="T618" s="231">
        <f t="shared" si="117"/>
        <v>12.585012639198039</v>
      </c>
      <c r="U618" s="231">
        <f t="shared" si="122"/>
        <v>9.7572419128107981</v>
      </c>
      <c r="V618" s="296">
        <f t="shared" si="142"/>
        <v>87.414987360801959</v>
      </c>
      <c r="W618" s="231"/>
      <c r="X618" s="231"/>
      <c r="Y618" s="231"/>
      <c r="Z618" s="231"/>
      <c r="AA618" s="231"/>
      <c r="AB618" s="231"/>
      <c r="AC618" s="231"/>
      <c r="AD618" s="231"/>
      <c r="AE618" s="231"/>
      <c r="AF618" s="231"/>
      <c r="AG618" s="231"/>
      <c r="AH618" s="231"/>
      <c r="AI618" s="231">
        <f>SUM(AI619:AI626)</f>
        <v>24631000</v>
      </c>
      <c r="AJ618" s="233">
        <f t="shared" si="155"/>
        <v>12.585012639198039</v>
      </c>
      <c r="AK618" s="231">
        <f t="shared" si="151"/>
        <v>171085927</v>
      </c>
      <c r="AL618" s="233">
        <f t="shared" si="157"/>
        <v>87.414987360801959</v>
      </c>
      <c r="AM618" s="227"/>
    </row>
    <row r="619" spans="1:39" ht="28.5" customHeight="1" x14ac:dyDescent="0.25">
      <c r="A619" s="243"/>
      <c r="B619" s="437"/>
      <c r="C619" s="437"/>
      <c r="D619" s="437"/>
      <c r="E619" s="437"/>
      <c r="F619" s="437"/>
      <c r="G619" s="437"/>
      <c r="H619" s="437"/>
      <c r="I619" s="438"/>
      <c r="J619" s="437" t="s">
        <v>273</v>
      </c>
      <c r="K619" s="245"/>
      <c r="L619" s="257"/>
      <c r="M619" s="591" t="s">
        <v>322</v>
      </c>
      <c r="N619" s="592"/>
      <c r="O619" s="179"/>
      <c r="P619" s="180"/>
      <c r="Q619" s="180">
        <v>25200000</v>
      </c>
      <c r="R619" s="181">
        <f t="shared" ref="R619:R626" si="158">Q619/Q$618*100</f>
        <v>12.875738642677545</v>
      </c>
      <c r="S619" s="181">
        <v>100</v>
      </c>
      <c r="T619" s="180">
        <f t="shared" si="117"/>
        <v>0</v>
      </c>
      <c r="U619" s="180">
        <f t="shared" si="122"/>
        <v>0</v>
      </c>
      <c r="V619" s="182">
        <f t="shared" si="142"/>
        <v>100</v>
      </c>
      <c r="W619" s="180"/>
      <c r="X619" s="180"/>
      <c r="Y619" s="180"/>
      <c r="Z619" s="180"/>
      <c r="AA619" s="180"/>
      <c r="AB619" s="180"/>
      <c r="AC619" s="180"/>
      <c r="AD619" s="180"/>
      <c r="AE619" s="180"/>
      <c r="AF619" s="180"/>
      <c r="AG619" s="180"/>
      <c r="AH619" s="180"/>
      <c r="AI619" s="180">
        <v>0</v>
      </c>
      <c r="AJ619" s="181">
        <f t="shared" si="155"/>
        <v>0</v>
      </c>
      <c r="AK619" s="180">
        <f t="shared" si="151"/>
        <v>25200000</v>
      </c>
      <c r="AL619" s="181">
        <f t="shared" si="157"/>
        <v>100</v>
      </c>
      <c r="AM619" s="243"/>
    </row>
    <row r="620" spans="1:39" ht="28.5" customHeight="1" x14ac:dyDescent="0.25">
      <c r="A620" s="243"/>
      <c r="B620" s="437"/>
      <c r="C620" s="437"/>
      <c r="D620" s="437"/>
      <c r="E620" s="437"/>
      <c r="F620" s="437"/>
      <c r="G620" s="437"/>
      <c r="H620" s="437"/>
      <c r="I620" s="438"/>
      <c r="J620" s="437" t="s">
        <v>323</v>
      </c>
      <c r="K620" s="245"/>
      <c r="L620" s="257"/>
      <c r="M620" s="591" t="s">
        <v>324</v>
      </c>
      <c r="N620" s="592"/>
      <c r="O620" s="179"/>
      <c r="P620" s="180"/>
      <c r="Q620" s="180">
        <v>33468000</v>
      </c>
      <c r="R620" s="181">
        <f t="shared" si="158"/>
        <v>17.100207178298891</v>
      </c>
      <c r="S620" s="181">
        <v>100</v>
      </c>
      <c r="T620" s="180">
        <f t="shared" si="117"/>
        <v>34.752599498027969</v>
      </c>
      <c r="U620" s="180">
        <f t="shared" si="122"/>
        <v>5.9427665140072428</v>
      </c>
      <c r="V620" s="182">
        <f t="shared" si="142"/>
        <v>65.247400501972038</v>
      </c>
      <c r="W620" s="180"/>
      <c r="X620" s="180"/>
      <c r="Y620" s="180"/>
      <c r="Z620" s="180"/>
      <c r="AA620" s="180"/>
      <c r="AB620" s="180"/>
      <c r="AC620" s="180"/>
      <c r="AD620" s="180"/>
      <c r="AE620" s="180"/>
      <c r="AF620" s="180"/>
      <c r="AG620" s="180"/>
      <c r="AH620" s="180"/>
      <c r="AI620" s="180">
        <f>3744000+7887000</f>
        <v>11631000</v>
      </c>
      <c r="AJ620" s="181">
        <f t="shared" si="155"/>
        <v>34.752599498027969</v>
      </c>
      <c r="AK620" s="180">
        <f t="shared" si="151"/>
        <v>21837000</v>
      </c>
      <c r="AL620" s="181">
        <f t="shared" si="157"/>
        <v>65.247400501972024</v>
      </c>
      <c r="AM620" s="243"/>
    </row>
    <row r="621" spans="1:39" ht="28.5" customHeight="1" x14ac:dyDescent="0.25">
      <c r="A621" s="243"/>
      <c r="B621" s="437"/>
      <c r="C621" s="437"/>
      <c r="D621" s="437"/>
      <c r="E621" s="437"/>
      <c r="F621" s="437"/>
      <c r="G621" s="437"/>
      <c r="H621" s="437"/>
      <c r="I621" s="438"/>
      <c r="J621" s="437" t="s">
        <v>269</v>
      </c>
      <c r="K621" s="245"/>
      <c r="L621" s="257"/>
      <c r="M621" s="591" t="s">
        <v>270</v>
      </c>
      <c r="N621" s="592"/>
      <c r="O621" s="179"/>
      <c r="P621" s="180"/>
      <c r="Q621" s="180">
        <v>5400000</v>
      </c>
      <c r="R621" s="181">
        <f t="shared" si="158"/>
        <v>2.7590868520023308</v>
      </c>
      <c r="S621" s="181">
        <v>100</v>
      </c>
      <c r="T621" s="180">
        <f t="shared" si="117"/>
        <v>0</v>
      </c>
      <c r="U621" s="180">
        <f t="shared" si="122"/>
        <v>0</v>
      </c>
      <c r="V621" s="182">
        <f t="shared" si="142"/>
        <v>100</v>
      </c>
      <c r="W621" s="180"/>
      <c r="X621" s="180"/>
      <c r="Y621" s="180"/>
      <c r="Z621" s="180"/>
      <c r="AA621" s="180"/>
      <c r="AB621" s="180"/>
      <c r="AC621" s="180"/>
      <c r="AD621" s="180"/>
      <c r="AE621" s="180"/>
      <c r="AF621" s="180"/>
      <c r="AG621" s="180"/>
      <c r="AH621" s="180"/>
      <c r="AI621" s="180">
        <v>0</v>
      </c>
      <c r="AJ621" s="181">
        <f t="shared" si="155"/>
        <v>0</v>
      </c>
      <c r="AK621" s="180">
        <f t="shared" si="151"/>
        <v>5400000</v>
      </c>
      <c r="AL621" s="181">
        <f t="shared" si="157"/>
        <v>100</v>
      </c>
      <c r="AM621" s="243"/>
    </row>
    <row r="622" spans="1:39" ht="28.5" customHeight="1" x14ac:dyDescent="0.25">
      <c r="A622" s="243"/>
      <c r="B622" s="437"/>
      <c r="C622" s="437"/>
      <c r="D622" s="437"/>
      <c r="E622" s="437"/>
      <c r="F622" s="437"/>
      <c r="G622" s="437"/>
      <c r="H622" s="437"/>
      <c r="I622" s="438"/>
      <c r="J622" s="437" t="s">
        <v>315</v>
      </c>
      <c r="K622" s="245"/>
      <c r="L622" s="257"/>
      <c r="M622" s="591" t="s">
        <v>271</v>
      </c>
      <c r="N622" s="592"/>
      <c r="O622" s="179"/>
      <c r="P622" s="180"/>
      <c r="Q622" s="180">
        <v>9600000</v>
      </c>
      <c r="R622" s="181">
        <f t="shared" si="158"/>
        <v>4.9050432924485881</v>
      </c>
      <c r="S622" s="181">
        <v>100</v>
      </c>
      <c r="T622" s="180">
        <f t="shared" si="117"/>
        <v>27.083333333333332</v>
      </c>
      <c r="U622" s="180">
        <f t="shared" si="122"/>
        <v>1.3284492250381592</v>
      </c>
      <c r="V622" s="182">
        <f t="shared" si="142"/>
        <v>72.916666666666671</v>
      </c>
      <c r="W622" s="180"/>
      <c r="X622" s="180"/>
      <c r="Y622" s="180"/>
      <c r="Z622" s="180"/>
      <c r="AA622" s="180"/>
      <c r="AB622" s="180"/>
      <c r="AC622" s="180"/>
      <c r="AD622" s="180"/>
      <c r="AE622" s="180"/>
      <c r="AF622" s="180"/>
      <c r="AG622" s="180"/>
      <c r="AH622" s="180"/>
      <c r="AI622" s="180">
        <f>900000+1700000</f>
        <v>2600000</v>
      </c>
      <c r="AJ622" s="181">
        <f t="shared" si="155"/>
        <v>27.083333333333332</v>
      </c>
      <c r="AK622" s="180">
        <f t="shared" si="151"/>
        <v>7000000</v>
      </c>
      <c r="AL622" s="181">
        <f t="shared" si="157"/>
        <v>72.916666666666657</v>
      </c>
      <c r="AM622" s="243"/>
    </row>
    <row r="623" spans="1:39" ht="28.5" customHeight="1" x14ac:dyDescent="0.25">
      <c r="A623" s="243"/>
      <c r="B623" s="437"/>
      <c r="C623" s="437"/>
      <c r="D623" s="437"/>
      <c r="E623" s="437"/>
      <c r="F623" s="437"/>
      <c r="G623" s="437"/>
      <c r="H623" s="437"/>
      <c r="I623" s="438"/>
      <c r="J623" s="437" t="s">
        <v>280</v>
      </c>
      <c r="K623" s="245"/>
      <c r="L623" s="257"/>
      <c r="M623" s="591" t="s">
        <v>281</v>
      </c>
      <c r="N623" s="592"/>
      <c r="O623" s="179"/>
      <c r="P623" s="180"/>
      <c r="Q623" s="180">
        <v>48000000</v>
      </c>
      <c r="R623" s="181">
        <f t="shared" si="158"/>
        <v>24.525216462242941</v>
      </c>
      <c r="S623" s="181">
        <v>100</v>
      </c>
      <c r="T623" s="180">
        <f t="shared" si="117"/>
        <v>21.666666666666668</v>
      </c>
      <c r="U623" s="180">
        <f t="shared" si="122"/>
        <v>5.3137969001526377</v>
      </c>
      <c r="V623" s="182">
        <f t="shared" si="142"/>
        <v>78.333333333333329</v>
      </c>
      <c r="W623" s="180"/>
      <c r="X623" s="180"/>
      <c r="Y623" s="180"/>
      <c r="Z623" s="180"/>
      <c r="AA623" s="180"/>
      <c r="AB623" s="180"/>
      <c r="AC623" s="180"/>
      <c r="AD623" s="180"/>
      <c r="AE623" s="180"/>
      <c r="AF623" s="180"/>
      <c r="AG623" s="180"/>
      <c r="AH623" s="180"/>
      <c r="AI623" s="180">
        <f>2600000+7800000</f>
        <v>10400000</v>
      </c>
      <c r="AJ623" s="181">
        <f t="shared" si="155"/>
        <v>21.666666666666668</v>
      </c>
      <c r="AK623" s="180">
        <f t="shared" si="151"/>
        <v>37600000</v>
      </c>
      <c r="AL623" s="181">
        <f t="shared" si="157"/>
        <v>78.333333333333329</v>
      </c>
      <c r="AM623" s="243"/>
    </row>
    <row r="624" spans="1:39" ht="28.5" customHeight="1" x14ac:dyDescent="0.25">
      <c r="A624" s="243"/>
      <c r="B624" s="437"/>
      <c r="C624" s="437"/>
      <c r="D624" s="437"/>
      <c r="E624" s="437"/>
      <c r="F624" s="437"/>
      <c r="G624" s="437"/>
      <c r="H624" s="437"/>
      <c r="I624" s="438"/>
      <c r="J624" s="437" t="s">
        <v>284</v>
      </c>
      <c r="K624" s="245"/>
      <c r="L624" s="257"/>
      <c r="M624" s="591" t="s">
        <v>285</v>
      </c>
      <c r="N624" s="592"/>
      <c r="O624" s="179"/>
      <c r="P624" s="180"/>
      <c r="Q624" s="180">
        <v>4658927</v>
      </c>
      <c r="R624" s="181">
        <f t="shared" si="158"/>
        <v>2.3804415240997527</v>
      </c>
      <c r="S624" s="181">
        <v>100</v>
      </c>
      <c r="T624" s="180">
        <f t="shared" si="117"/>
        <v>0</v>
      </c>
      <c r="U624" s="180">
        <f t="shared" si="122"/>
        <v>0</v>
      </c>
      <c r="V624" s="182">
        <f t="shared" si="142"/>
        <v>100</v>
      </c>
      <c r="W624" s="180"/>
      <c r="X624" s="180"/>
      <c r="Y624" s="180"/>
      <c r="Z624" s="180"/>
      <c r="AA624" s="180"/>
      <c r="AB624" s="180"/>
      <c r="AC624" s="180"/>
      <c r="AD624" s="180"/>
      <c r="AE624" s="180"/>
      <c r="AF624" s="180"/>
      <c r="AG624" s="180"/>
      <c r="AH624" s="180"/>
      <c r="AI624" s="180">
        <v>0</v>
      </c>
      <c r="AJ624" s="181">
        <f t="shared" si="155"/>
        <v>0</v>
      </c>
      <c r="AK624" s="180">
        <f t="shared" si="151"/>
        <v>4658927</v>
      </c>
      <c r="AL624" s="181">
        <f t="shared" si="157"/>
        <v>100</v>
      </c>
      <c r="AM624" s="243"/>
    </row>
    <row r="625" spans="1:39" ht="28.5" customHeight="1" x14ac:dyDescent="0.25">
      <c r="A625" s="243"/>
      <c r="B625" s="437"/>
      <c r="C625" s="437"/>
      <c r="D625" s="437"/>
      <c r="E625" s="437"/>
      <c r="F625" s="437"/>
      <c r="G625" s="437"/>
      <c r="H625" s="437"/>
      <c r="I625" s="438"/>
      <c r="J625" s="437" t="s">
        <v>282</v>
      </c>
      <c r="K625" s="245"/>
      <c r="L625" s="257"/>
      <c r="M625" s="591" t="s">
        <v>283</v>
      </c>
      <c r="N625" s="592"/>
      <c r="O625" s="179"/>
      <c r="P625" s="180"/>
      <c r="Q625" s="180">
        <v>59790000</v>
      </c>
      <c r="R625" s="181">
        <f t="shared" si="158"/>
        <v>30.549222755781365</v>
      </c>
      <c r="S625" s="181">
        <v>100</v>
      </c>
      <c r="T625" s="180">
        <f t="shared" si="117"/>
        <v>0</v>
      </c>
      <c r="U625" s="180">
        <f t="shared" si="122"/>
        <v>0</v>
      </c>
      <c r="V625" s="182">
        <f t="shared" si="142"/>
        <v>100</v>
      </c>
      <c r="W625" s="180"/>
      <c r="X625" s="180"/>
      <c r="Y625" s="180"/>
      <c r="Z625" s="180"/>
      <c r="AA625" s="180"/>
      <c r="AB625" s="180"/>
      <c r="AC625" s="180"/>
      <c r="AD625" s="180"/>
      <c r="AE625" s="180"/>
      <c r="AF625" s="180"/>
      <c r="AG625" s="180"/>
      <c r="AH625" s="180"/>
      <c r="AI625" s="180">
        <v>0</v>
      </c>
      <c r="AJ625" s="181">
        <f t="shared" si="155"/>
        <v>0</v>
      </c>
      <c r="AK625" s="180">
        <f t="shared" si="151"/>
        <v>59790000</v>
      </c>
      <c r="AL625" s="181">
        <f t="shared" si="157"/>
        <v>100</v>
      </c>
      <c r="AM625" s="243"/>
    </row>
    <row r="626" spans="1:39" ht="28.5" customHeight="1" x14ac:dyDescent="0.25">
      <c r="A626" s="243"/>
      <c r="B626" s="437"/>
      <c r="C626" s="437"/>
      <c r="D626" s="437"/>
      <c r="E626" s="437"/>
      <c r="F626" s="437"/>
      <c r="G626" s="437"/>
      <c r="H626" s="437"/>
      <c r="I626" s="438"/>
      <c r="J626" s="437" t="s">
        <v>551</v>
      </c>
      <c r="K626" s="245"/>
      <c r="L626" s="257"/>
      <c r="M626" s="591" t="s">
        <v>550</v>
      </c>
      <c r="N626" s="592"/>
      <c r="O626" s="179"/>
      <c r="P626" s="180"/>
      <c r="Q626" s="180">
        <v>9600000</v>
      </c>
      <c r="R626" s="181">
        <f t="shared" si="158"/>
        <v>4.9050432924485881</v>
      </c>
      <c r="S626" s="181">
        <v>100</v>
      </c>
      <c r="T626" s="180">
        <f t="shared" ref="T626:T679" si="159">AJ626</f>
        <v>0</v>
      </c>
      <c r="U626" s="180">
        <f t="shared" si="122"/>
        <v>0</v>
      </c>
      <c r="V626" s="182">
        <f t="shared" si="142"/>
        <v>100</v>
      </c>
      <c r="W626" s="180"/>
      <c r="X626" s="180"/>
      <c r="Y626" s="180"/>
      <c r="Z626" s="180"/>
      <c r="AA626" s="180"/>
      <c r="AB626" s="180"/>
      <c r="AC626" s="180"/>
      <c r="AD626" s="180"/>
      <c r="AE626" s="180"/>
      <c r="AF626" s="180"/>
      <c r="AG626" s="180"/>
      <c r="AH626" s="180"/>
      <c r="AI626" s="180">
        <v>0</v>
      </c>
      <c r="AJ626" s="181">
        <f t="shared" si="155"/>
        <v>0</v>
      </c>
      <c r="AK626" s="180">
        <f t="shared" si="151"/>
        <v>9600000</v>
      </c>
      <c r="AL626" s="181">
        <f t="shared" si="157"/>
        <v>100</v>
      </c>
      <c r="AM626" s="243"/>
    </row>
    <row r="627" spans="1:39" s="297" customFormat="1" ht="24.75" customHeight="1" x14ac:dyDescent="0.25">
      <c r="A627" s="227">
        <f>SUM(A618+1)</f>
        <v>75</v>
      </c>
      <c r="B627" s="442"/>
      <c r="C627" s="442"/>
      <c r="D627" s="442"/>
      <c r="E627" s="442"/>
      <c r="F627" s="442"/>
      <c r="G627" s="442"/>
      <c r="H627" s="442"/>
      <c r="I627" s="441"/>
      <c r="J627" s="304" t="s">
        <v>528</v>
      </c>
      <c r="K627" s="230"/>
      <c r="L627" s="294"/>
      <c r="M627" s="613" t="s">
        <v>208</v>
      </c>
      <c r="N627" s="612"/>
      <c r="O627" s="309"/>
      <c r="P627" s="231"/>
      <c r="Q627" s="231">
        <f>SUM(Q628:Q636)</f>
        <v>148625471</v>
      </c>
      <c r="R627" s="233">
        <f>Q627/Q$248*100</f>
        <v>1.2460379414890164</v>
      </c>
      <c r="S627" s="233">
        <v>100</v>
      </c>
      <c r="T627" s="231">
        <f t="shared" si="159"/>
        <v>87.481640344137247</v>
      </c>
      <c r="U627" s="231">
        <f t="shared" si="122"/>
        <v>1.0900544305249127</v>
      </c>
      <c r="V627" s="296">
        <f t="shared" si="142"/>
        <v>12.518359655862753</v>
      </c>
      <c r="W627" s="231"/>
      <c r="X627" s="231"/>
      <c r="Y627" s="231"/>
      <c r="Z627" s="231"/>
      <c r="AA627" s="231"/>
      <c r="AB627" s="231"/>
      <c r="AC627" s="231"/>
      <c r="AD627" s="231"/>
      <c r="AE627" s="231"/>
      <c r="AF627" s="231"/>
      <c r="AG627" s="231"/>
      <c r="AH627" s="231"/>
      <c r="AI627" s="231">
        <f>SUM(AI628:AI636)</f>
        <v>130020000</v>
      </c>
      <c r="AJ627" s="233">
        <f t="shared" si="155"/>
        <v>87.481640344137247</v>
      </c>
      <c r="AK627" s="231">
        <f t="shared" si="151"/>
        <v>18605471</v>
      </c>
      <c r="AL627" s="233">
        <f t="shared" si="157"/>
        <v>12.518359655862756</v>
      </c>
      <c r="AM627" s="227"/>
    </row>
    <row r="628" spans="1:39" ht="24.75" customHeight="1" x14ac:dyDescent="0.25">
      <c r="A628" s="243"/>
      <c r="B628" s="437"/>
      <c r="C628" s="437"/>
      <c r="D628" s="437"/>
      <c r="E628" s="437"/>
      <c r="F628" s="437"/>
      <c r="G628" s="437"/>
      <c r="H628" s="437"/>
      <c r="I628" s="438"/>
      <c r="J628" s="437" t="s">
        <v>257</v>
      </c>
      <c r="K628" s="245"/>
      <c r="L628" s="257"/>
      <c r="M628" s="604" t="s">
        <v>260</v>
      </c>
      <c r="N628" s="592"/>
      <c r="O628" s="179"/>
      <c r="P628" s="180"/>
      <c r="Q628" s="180">
        <v>800000</v>
      </c>
      <c r="R628" s="181">
        <f>Q628/Q$627*100</f>
        <v>0.53826574584917553</v>
      </c>
      <c r="S628" s="181">
        <v>100</v>
      </c>
      <c r="T628" s="180">
        <f t="shared" si="159"/>
        <v>100</v>
      </c>
      <c r="U628" s="180">
        <f t="shared" si="122"/>
        <v>0.53826574584917553</v>
      </c>
      <c r="V628" s="182">
        <f t="shared" si="142"/>
        <v>0</v>
      </c>
      <c r="W628" s="180"/>
      <c r="X628" s="180"/>
      <c r="Y628" s="180"/>
      <c r="Z628" s="180"/>
      <c r="AA628" s="180"/>
      <c r="AB628" s="180"/>
      <c r="AC628" s="180"/>
      <c r="AD628" s="180"/>
      <c r="AE628" s="180"/>
      <c r="AF628" s="180"/>
      <c r="AG628" s="180"/>
      <c r="AH628" s="180"/>
      <c r="AI628" s="180">
        <v>800000</v>
      </c>
      <c r="AJ628" s="181">
        <f t="shared" si="155"/>
        <v>100</v>
      </c>
      <c r="AK628" s="180">
        <f t="shared" si="151"/>
        <v>0</v>
      </c>
      <c r="AL628" s="181">
        <f t="shared" si="157"/>
        <v>0</v>
      </c>
      <c r="AM628" s="243"/>
    </row>
    <row r="629" spans="1:39" ht="24.75" customHeight="1" x14ac:dyDescent="0.25">
      <c r="A629" s="243"/>
      <c r="B629" s="437"/>
      <c r="C629" s="437"/>
      <c r="D629" s="437"/>
      <c r="E629" s="437"/>
      <c r="F629" s="437"/>
      <c r="G629" s="437"/>
      <c r="H629" s="437"/>
      <c r="I629" s="438"/>
      <c r="J629" s="437" t="s">
        <v>315</v>
      </c>
      <c r="K629" s="245"/>
      <c r="L629" s="257"/>
      <c r="M629" s="604" t="s">
        <v>271</v>
      </c>
      <c r="N629" s="592"/>
      <c r="O629" s="179"/>
      <c r="P629" s="180"/>
      <c r="Q629" s="180">
        <v>10500000</v>
      </c>
      <c r="R629" s="181">
        <f>Q629/Q$627*100</f>
        <v>7.0647379142704274</v>
      </c>
      <c r="S629" s="181">
        <v>100</v>
      </c>
      <c r="T629" s="180">
        <f t="shared" si="159"/>
        <v>28.571428571428569</v>
      </c>
      <c r="U629" s="180">
        <f t="shared" si="122"/>
        <v>2.0184965469344074</v>
      </c>
      <c r="V629" s="182">
        <f t="shared" si="142"/>
        <v>71.428571428571431</v>
      </c>
      <c r="W629" s="180"/>
      <c r="X629" s="180"/>
      <c r="Y629" s="180"/>
      <c r="Z629" s="180"/>
      <c r="AA629" s="180"/>
      <c r="AB629" s="180"/>
      <c r="AC629" s="180"/>
      <c r="AD629" s="180"/>
      <c r="AE629" s="180"/>
      <c r="AF629" s="180"/>
      <c r="AG629" s="180"/>
      <c r="AH629" s="180"/>
      <c r="AI629" s="180">
        <v>3000000</v>
      </c>
      <c r="AJ629" s="181">
        <f t="shared" si="155"/>
        <v>28.571428571428569</v>
      </c>
      <c r="AK629" s="180">
        <f t="shared" si="151"/>
        <v>7500000</v>
      </c>
      <c r="AL629" s="181">
        <f t="shared" si="157"/>
        <v>71.428571428571431</v>
      </c>
      <c r="AM629" s="243"/>
    </row>
    <row r="630" spans="1:39" ht="24.75" customHeight="1" x14ac:dyDescent="0.25">
      <c r="A630" s="243"/>
      <c r="B630" s="437"/>
      <c r="C630" s="437"/>
      <c r="D630" s="437"/>
      <c r="E630" s="437"/>
      <c r="F630" s="437"/>
      <c r="G630" s="437"/>
      <c r="H630" s="437"/>
      <c r="I630" s="438"/>
      <c r="J630" s="437" t="s">
        <v>316</v>
      </c>
      <c r="K630" s="245"/>
      <c r="L630" s="257"/>
      <c r="M630" s="604" t="s">
        <v>317</v>
      </c>
      <c r="N630" s="592"/>
      <c r="O630" s="179"/>
      <c r="P630" s="180"/>
      <c r="Q630" s="180">
        <v>500000</v>
      </c>
      <c r="R630" s="181">
        <f t="shared" ref="R630:R636" si="160">Q630/Q$627*100</f>
        <v>0.33641609115573468</v>
      </c>
      <c r="S630" s="181">
        <v>100</v>
      </c>
      <c r="T630" s="180">
        <f t="shared" si="159"/>
        <v>100</v>
      </c>
      <c r="U630" s="180">
        <f t="shared" si="122"/>
        <v>0.33641609115573468</v>
      </c>
      <c r="V630" s="182">
        <f t="shared" si="142"/>
        <v>0</v>
      </c>
      <c r="W630" s="180"/>
      <c r="X630" s="180"/>
      <c r="Y630" s="180"/>
      <c r="Z630" s="180"/>
      <c r="AA630" s="180"/>
      <c r="AB630" s="180"/>
      <c r="AC630" s="180"/>
      <c r="AD630" s="180"/>
      <c r="AE630" s="180"/>
      <c r="AF630" s="180"/>
      <c r="AG630" s="180"/>
      <c r="AH630" s="180"/>
      <c r="AI630" s="180">
        <v>500000</v>
      </c>
      <c r="AJ630" s="181">
        <f t="shared" si="155"/>
        <v>100</v>
      </c>
      <c r="AK630" s="180">
        <f t="shared" si="151"/>
        <v>0</v>
      </c>
      <c r="AL630" s="181">
        <f t="shared" si="157"/>
        <v>0</v>
      </c>
      <c r="AM630" s="243"/>
    </row>
    <row r="631" spans="1:39" ht="24.75" customHeight="1" x14ac:dyDescent="0.25">
      <c r="A631" s="243"/>
      <c r="B631" s="437"/>
      <c r="C631" s="437"/>
      <c r="D631" s="437"/>
      <c r="E631" s="437"/>
      <c r="F631" s="437"/>
      <c r="G631" s="437"/>
      <c r="H631" s="437"/>
      <c r="I631" s="438"/>
      <c r="J631" s="437" t="s">
        <v>328</v>
      </c>
      <c r="K631" s="245"/>
      <c r="L631" s="257"/>
      <c r="M631" s="604" t="s">
        <v>319</v>
      </c>
      <c r="N631" s="592"/>
      <c r="O631" s="179"/>
      <c r="P631" s="180"/>
      <c r="Q631" s="180">
        <v>65000000</v>
      </c>
      <c r="R631" s="181">
        <f t="shared" si="160"/>
        <v>43.734091850245512</v>
      </c>
      <c r="S631" s="181">
        <v>100</v>
      </c>
      <c r="T631" s="180">
        <f t="shared" si="159"/>
        <v>100</v>
      </c>
      <c r="U631" s="180">
        <f t="shared" si="122"/>
        <v>43.734091850245512</v>
      </c>
      <c r="V631" s="182">
        <f t="shared" si="142"/>
        <v>0</v>
      </c>
      <c r="W631" s="180"/>
      <c r="X631" s="180"/>
      <c r="Y631" s="180"/>
      <c r="Z631" s="180"/>
      <c r="AA631" s="180"/>
      <c r="AB631" s="180"/>
      <c r="AC631" s="180"/>
      <c r="AD631" s="180"/>
      <c r="AE631" s="180"/>
      <c r="AF631" s="180"/>
      <c r="AG631" s="180"/>
      <c r="AH631" s="180"/>
      <c r="AI631" s="180">
        <v>65000000</v>
      </c>
      <c r="AJ631" s="181">
        <f t="shared" si="155"/>
        <v>100</v>
      </c>
      <c r="AK631" s="180">
        <f t="shared" si="151"/>
        <v>0</v>
      </c>
      <c r="AL631" s="181">
        <f t="shared" si="157"/>
        <v>0</v>
      </c>
      <c r="AM631" s="243"/>
    </row>
    <row r="632" spans="1:39" ht="24.75" customHeight="1" x14ac:dyDescent="0.25">
      <c r="A632" s="243"/>
      <c r="B632" s="437"/>
      <c r="C632" s="437"/>
      <c r="D632" s="437"/>
      <c r="E632" s="437"/>
      <c r="F632" s="437"/>
      <c r="G632" s="437"/>
      <c r="H632" s="437"/>
      <c r="I632" s="438"/>
      <c r="J632" s="437" t="s">
        <v>284</v>
      </c>
      <c r="K632" s="245"/>
      <c r="L632" s="257"/>
      <c r="M632" s="604" t="s">
        <v>285</v>
      </c>
      <c r="N632" s="592"/>
      <c r="O632" s="179"/>
      <c r="P632" s="180"/>
      <c r="Q632" s="180">
        <v>10000000</v>
      </c>
      <c r="R632" s="181">
        <f t="shared" si="160"/>
        <v>6.728321823114694</v>
      </c>
      <c r="S632" s="181">
        <v>100</v>
      </c>
      <c r="T632" s="180">
        <f t="shared" si="159"/>
        <v>29.7</v>
      </c>
      <c r="U632" s="180">
        <f t="shared" si="122"/>
        <v>1.998311581465064</v>
      </c>
      <c r="V632" s="182">
        <f t="shared" si="142"/>
        <v>70.3</v>
      </c>
      <c r="W632" s="180"/>
      <c r="X632" s="180"/>
      <c r="Y632" s="180"/>
      <c r="Z632" s="180"/>
      <c r="AA632" s="180"/>
      <c r="AB632" s="180"/>
      <c r="AC632" s="180"/>
      <c r="AD632" s="180"/>
      <c r="AE632" s="180"/>
      <c r="AF632" s="180"/>
      <c r="AG632" s="180"/>
      <c r="AH632" s="180"/>
      <c r="AI632" s="180">
        <v>2970000</v>
      </c>
      <c r="AJ632" s="181">
        <f t="shared" si="155"/>
        <v>29.7</v>
      </c>
      <c r="AK632" s="180">
        <f t="shared" si="151"/>
        <v>7030000</v>
      </c>
      <c r="AL632" s="181">
        <f t="shared" si="157"/>
        <v>70.3</v>
      </c>
      <c r="AM632" s="243"/>
    </row>
    <row r="633" spans="1:39" ht="24.75" customHeight="1" x14ac:dyDescent="0.25">
      <c r="A633" s="243"/>
      <c r="B633" s="437"/>
      <c r="C633" s="437"/>
      <c r="D633" s="437"/>
      <c r="E633" s="437"/>
      <c r="F633" s="437"/>
      <c r="G633" s="437"/>
      <c r="H633" s="437"/>
      <c r="I633" s="438"/>
      <c r="J633" s="437" t="s">
        <v>282</v>
      </c>
      <c r="K633" s="245"/>
      <c r="L633" s="257"/>
      <c r="M633" s="604" t="s">
        <v>283</v>
      </c>
      <c r="N633" s="592"/>
      <c r="O633" s="179"/>
      <c r="P633" s="180"/>
      <c r="Q633" s="180">
        <v>34125471</v>
      </c>
      <c r="R633" s="181">
        <f t="shared" si="160"/>
        <v>22.960715125336762</v>
      </c>
      <c r="S633" s="181">
        <v>100</v>
      </c>
      <c r="T633" s="180">
        <f t="shared" si="159"/>
        <v>99.485806364401526</v>
      </c>
      <c r="U633" s="180">
        <f t="shared" si="122"/>
        <v>22.842652589474383</v>
      </c>
      <c r="V633" s="182">
        <f t="shared" si="142"/>
        <v>0.51419363559847397</v>
      </c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  <c r="AG633" s="180"/>
      <c r="AH633" s="180"/>
      <c r="AI633" s="180">
        <v>33950000</v>
      </c>
      <c r="AJ633" s="181">
        <f t="shared" si="155"/>
        <v>99.485806364401526</v>
      </c>
      <c r="AK633" s="180">
        <f t="shared" si="151"/>
        <v>175471</v>
      </c>
      <c r="AL633" s="181">
        <f t="shared" si="157"/>
        <v>0.51419363559846543</v>
      </c>
      <c r="AM633" s="243"/>
    </row>
    <row r="634" spans="1:39" ht="24.75" customHeight="1" x14ac:dyDescent="0.25">
      <c r="A634" s="243"/>
      <c r="B634" s="437"/>
      <c r="C634" s="437"/>
      <c r="D634" s="437"/>
      <c r="E634" s="437"/>
      <c r="F634" s="437"/>
      <c r="G634" s="437"/>
      <c r="H634" s="437"/>
      <c r="I634" s="438"/>
      <c r="J634" s="437" t="s">
        <v>320</v>
      </c>
      <c r="K634" s="245"/>
      <c r="L634" s="257"/>
      <c r="M634" s="604" t="s">
        <v>321</v>
      </c>
      <c r="N634" s="592"/>
      <c r="O634" s="179"/>
      <c r="P634" s="180"/>
      <c r="Q634" s="180">
        <v>9800000</v>
      </c>
      <c r="R634" s="181">
        <f t="shared" si="160"/>
        <v>6.5937553866524006</v>
      </c>
      <c r="S634" s="181">
        <v>100</v>
      </c>
      <c r="T634" s="180">
        <f t="shared" si="159"/>
        <v>84.693877551020407</v>
      </c>
      <c r="U634" s="180">
        <f t="shared" si="122"/>
        <v>5.5845071131851967</v>
      </c>
      <c r="V634" s="182">
        <f t="shared" si="142"/>
        <v>15.306122448979593</v>
      </c>
      <c r="W634" s="180"/>
      <c r="X634" s="180"/>
      <c r="Y634" s="180"/>
      <c r="Z634" s="180"/>
      <c r="AA634" s="180"/>
      <c r="AB634" s="180"/>
      <c r="AC634" s="180"/>
      <c r="AD634" s="180"/>
      <c r="AE634" s="180"/>
      <c r="AF634" s="180"/>
      <c r="AG634" s="180"/>
      <c r="AH634" s="180"/>
      <c r="AI634" s="180">
        <v>8300000</v>
      </c>
      <c r="AJ634" s="181">
        <f t="shared" si="155"/>
        <v>84.693877551020407</v>
      </c>
      <c r="AK634" s="180">
        <f t="shared" si="151"/>
        <v>1500000</v>
      </c>
      <c r="AL634" s="181">
        <f t="shared" si="157"/>
        <v>15.306122448979592</v>
      </c>
      <c r="AM634" s="243"/>
    </row>
    <row r="635" spans="1:39" ht="24.75" customHeight="1" x14ac:dyDescent="0.25">
      <c r="A635" s="243"/>
      <c r="B635" s="437"/>
      <c r="C635" s="437"/>
      <c r="D635" s="437"/>
      <c r="E635" s="437"/>
      <c r="F635" s="437"/>
      <c r="G635" s="437"/>
      <c r="H635" s="437"/>
      <c r="I635" s="438"/>
      <c r="J635" s="437" t="s">
        <v>407</v>
      </c>
      <c r="K635" s="245"/>
      <c r="L635" s="257"/>
      <c r="M635" s="604" t="s">
        <v>623</v>
      </c>
      <c r="N635" s="592"/>
      <c r="O635" s="179"/>
      <c r="P635" s="180"/>
      <c r="Q635" s="180">
        <v>2900000</v>
      </c>
      <c r="R635" s="181">
        <f t="shared" si="160"/>
        <v>1.9512133287032611</v>
      </c>
      <c r="S635" s="181">
        <v>100</v>
      </c>
      <c r="T635" s="180">
        <f t="shared" si="159"/>
        <v>84.482758620689651</v>
      </c>
      <c r="U635" s="180">
        <f t="shared" si="122"/>
        <v>1.6484388466630997</v>
      </c>
      <c r="V635" s="182">
        <f t="shared" si="142"/>
        <v>15.517241379310349</v>
      </c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  <c r="AG635" s="180"/>
      <c r="AH635" s="180"/>
      <c r="AI635" s="180">
        <v>2450000</v>
      </c>
      <c r="AJ635" s="181">
        <f t="shared" si="155"/>
        <v>84.482758620689651</v>
      </c>
      <c r="AK635" s="180">
        <f t="shared" si="151"/>
        <v>450000</v>
      </c>
      <c r="AL635" s="181">
        <f t="shared" si="157"/>
        <v>15.517241379310345</v>
      </c>
      <c r="AM635" s="243"/>
    </row>
    <row r="636" spans="1:39" ht="24.75" customHeight="1" x14ac:dyDescent="0.25">
      <c r="A636" s="243"/>
      <c r="B636" s="437"/>
      <c r="C636" s="437"/>
      <c r="D636" s="437"/>
      <c r="E636" s="437"/>
      <c r="F636" s="437"/>
      <c r="G636" s="437"/>
      <c r="H636" s="437"/>
      <c r="I636" s="438"/>
      <c r="J636" s="437" t="s">
        <v>372</v>
      </c>
      <c r="K636" s="245"/>
      <c r="L636" s="257"/>
      <c r="M636" s="604" t="s">
        <v>373</v>
      </c>
      <c r="N636" s="592"/>
      <c r="O636" s="179"/>
      <c r="P636" s="180"/>
      <c r="Q636" s="180">
        <v>15000000</v>
      </c>
      <c r="R636" s="181">
        <f t="shared" si="160"/>
        <v>10.092482734672039</v>
      </c>
      <c r="S636" s="181">
        <v>100</v>
      </c>
      <c r="T636" s="180">
        <f t="shared" si="159"/>
        <v>87</v>
      </c>
      <c r="U636" s="180">
        <f t="shared" si="122"/>
        <v>8.7804599791646734</v>
      </c>
      <c r="V636" s="182">
        <v>100</v>
      </c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  <c r="AG636" s="180"/>
      <c r="AH636" s="180"/>
      <c r="AI636" s="180">
        <v>13050000</v>
      </c>
      <c r="AJ636" s="181">
        <f t="shared" si="155"/>
        <v>87</v>
      </c>
      <c r="AK636" s="180">
        <f t="shared" ref="AK636:AK687" si="161">Q636-AI636</f>
        <v>1950000</v>
      </c>
      <c r="AL636" s="181">
        <f t="shared" si="157"/>
        <v>13</v>
      </c>
      <c r="AM636" s="243"/>
    </row>
    <row r="637" spans="1:39" s="297" customFormat="1" ht="31.5" customHeight="1" x14ac:dyDescent="0.25">
      <c r="A637" s="227">
        <f>SUM(A627+1)</f>
        <v>76</v>
      </c>
      <c r="B637" s="442"/>
      <c r="C637" s="442"/>
      <c r="D637" s="442"/>
      <c r="E637" s="442"/>
      <c r="F637" s="442"/>
      <c r="G637" s="442"/>
      <c r="H637" s="442"/>
      <c r="I637" s="441"/>
      <c r="J637" s="304" t="s">
        <v>529</v>
      </c>
      <c r="K637" s="230"/>
      <c r="L637" s="294"/>
      <c r="M637" s="610" t="s">
        <v>209</v>
      </c>
      <c r="N637" s="612"/>
      <c r="O637" s="309"/>
      <c r="P637" s="231"/>
      <c r="Q637" s="231">
        <f>SUM(Q638:Q643)</f>
        <v>60110918</v>
      </c>
      <c r="R637" s="233">
        <f>Q637/Q$248*100</f>
        <v>0.50395456459636756</v>
      </c>
      <c r="S637" s="233">
        <v>100</v>
      </c>
      <c r="T637" s="231">
        <f t="shared" si="159"/>
        <v>19.963095556118439</v>
      </c>
      <c r="U637" s="231">
        <f t="shared" si="122"/>
        <v>0.10060493128979348</v>
      </c>
      <c r="V637" s="296">
        <f t="shared" si="142"/>
        <v>80.036904443881554</v>
      </c>
      <c r="W637" s="231"/>
      <c r="X637" s="231"/>
      <c r="Y637" s="231"/>
      <c r="Z637" s="231"/>
      <c r="AA637" s="231"/>
      <c r="AB637" s="231"/>
      <c r="AC637" s="231"/>
      <c r="AD637" s="231"/>
      <c r="AE637" s="231"/>
      <c r="AF637" s="231"/>
      <c r="AG637" s="231"/>
      <c r="AH637" s="231"/>
      <c r="AI637" s="231">
        <f>SUM(AI638:AI643)</f>
        <v>12000000</v>
      </c>
      <c r="AJ637" s="233">
        <f t="shared" si="155"/>
        <v>19.963095556118439</v>
      </c>
      <c r="AK637" s="231">
        <f t="shared" si="161"/>
        <v>48110918</v>
      </c>
      <c r="AL637" s="233">
        <f t="shared" si="157"/>
        <v>80.036904443881568</v>
      </c>
      <c r="AM637" s="227"/>
    </row>
    <row r="638" spans="1:39" ht="24.75" customHeight="1" x14ac:dyDescent="0.25">
      <c r="A638" s="243"/>
      <c r="B638" s="437"/>
      <c r="C638" s="437"/>
      <c r="D638" s="437"/>
      <c r="E638" s="437"/>
      <c r="F638" s="437"/>
      <c r="G638" s="437"/>
      <c r="H638" s="437"/>
      <c r="I638" s="438"/>
      <c r="J638" s="437" t="s">
        <v>347</v>
      </c>
      <c r="K638" s="245"/>
      <c r="L638" s="257"/>
      <c r="M638" s="591" t="s">
        <v>348</v>
      </c>
      <c r="N638" s="592"/>
      <c r="O638" s="179"/>
      <c r="P638" s="180"/>
      <c r="Q638" s="180">
        <v>13900000</v>
      </c>
      <c r="R638" s="181">
        <f t="shared" ref="R638:R643" si="162">Q638/Q$637*100</f>
        <v>23.123919019170529</v>
      </c>
      <c r="S638" s="181">
        <v>100</v>
      </c>
      <c r="T638" s="180">
        <f t="shared" si="159"/>
        <v>0</v>
      </c>
      <c r="U638" s="180">
        <f t="shared" si="122"/>
        <v>0</v>
      </c>
      <c r="V638" s="182">
        <f t="shared" si="142"/>
        <v>100</v>
      </c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  <c r="AG638" s="180"/>
      <c r="AH638" s="180"/>
      <c r="AI638" s="180">
        <v>0</v>
      </c>
      <c r="AJ638" s="181">
        <f t="shared" si="155"/>
        <v>0</v>
      </c>
      <c r="AK638" s="180">
        <f t="shared" si="161"/>
        <v>13900000</v>
      </c>
      <c r="AL638" s="181">
        <f t="shared" si="157"/>
        <v>100</v>
      </c>
      <c r="AM638" s="243"/>
    </row>
    <row r="639" spans="1:39" ht="24.75" customHeight="1" x14ac:dyDescent="0.25">
      <c r="A639" s="243"/>
      <c r="B639" s="437"/>
      <c r="C639" s="437"/>
      <c r="D639" s="437"/>
      <c r="E639" s="437"/>
      <c r="F639" s="437"/>
      <c r="G639" s="437"/>
      <c r="H639" s="437"/>
      <c r="I639" s="438"/>
      <c r="J639" s="437" t="s">
        <v>251</v>
      </c>
      <c r="K639" s="245"/>
      <c r="L639" s="257"/>
      <c r="M639" s="591" t="s">
        <v>324</v>
      </c>
      <c r="N639" s="592"/>
      <c r="O639" s="179"/>
      <c r="P639" s="180"/>
      <c r="Q639" s="180">
        <v>5710918</v>
      </c>
      <c r="R639" s="181">
        <f t="shared" si="162"/>
        <v>9.5006334789297355</v>
      </c>
      <c r="S639" s="181">
        <v>100</v>
      </c>
      <c r="T639" s="180">
        <f t="shared" si="159"/>
        <v>35.020639413838545</v>
      </c>
      <c r="U639" s="180">
        <f t="shared" si="122"/>
        <v>3.3271825926864071</v>
      </c>
      <c r="V639" s="182">
        <f t="shared" si="142"/>
        <v>64.979360586161448</v>
      </c>
      <c r="W639" s="180"/>
      <c r="X639" s="180"/>
      <c r="Y639" s="180"/>
      <c r="Z639" s="180"/>
      <c r="AA639" s="180"/>
      <c r="AB639" s="180"/>
      <c r="AC639" s="180"/>
      <c r="AD639" s="180"/>
      <c r="AE639" s="180"/>
      <c r="AF639" s="180"/>
      <c r="AG639" s="180"/>
      <c r="AH639" s="180"/>
      <c r="AI639" s="180">
        <f>500000+500000+500000+500000</f>
        <v>2000000</v>
      </c>
      <c r="AJ639" s="181">
        <f t="shared" si="155"/>
        <v>35.020639413838545</v>
      </c>
      <c r="AK639" s="180">
        <f t="shared" si="161"/>
        <v>3710918</v>
      </c>
      <c r="AL639" s="181">
        <f t="shared" si="157"/>
        <v>64.979360586161448</v>
      </c>
      <c r="AM639" s="243"/>
    </row>
    <row r="640" spans="1:39" ht="33" customHeight="1" x14ac:dyDescent="0.25">
      <c r="A640" s="243"/>
      <c r="B640" s="437"/>
      <c r="C640" s="437"/>
      <c r="D640" s="437"/>
      <c r="E640" s="437"/>
      <c r="F640" s="437"/>
      <c r="G640" s="437"/>
      <c r="H640" s="437"/>
      <c r="I640" s="438"/>
      <c r="J640" s="437" t="s">
        <v>318</v>
      </c>
      <c r="K640" s="245"/>
      <c r="L640" s="257"/>
      <c r="M640" s="591" t="s">
        <v>352</v>
      </c>
      <c r="N640" s="592"/>
      <c r="O640" s="179"/>
      <c r="P640" s="180"/>
      <c r="Q640" s="180">
        <v>12000000</v>
      </c>
      <c r="R640" s="181">
        <f t="shared" si="162"/>
        <v>19.963095556118439</v>
      </c>
      <c r="S640" s="181">
        <v>100</v>
      </c>
      <c r="T640" s="180">
        <f t="shared" si="159"/>
        <v>33.333333333333329</v>
      </c>
      <c r="U640" s="180">
        <f t="shared" si="122"/>
        <v>6.6543651853728125</v>
      </c>
      <c r="V640" s="182">
        <f t="shared" si="142"/>
        <v>66.666666666666671</v>
      </c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  <c r="AG640" s="180"/>
      <c r="AH640" s="180"/>
      <c r="AI640" s="180">
        <f>1000000+1000000+1000000+1000000</f>
        <v>4000000</v>
      </c>
      <c r="AJ640" s="181">
        <f t="shared" si="155"/>
        <v>33.333333333333329</v>
      </c>
      <c r="AK640" s="180">
        <f t="shared" si="161"/>
        <v>8000000</v>
      </c>
      <c r="AL640" s="181">
        <f t="shared" si="157"/>
        <v>66.666666666666657</v>
      </c>
      <c r="AM640" s="243"/>
    </row>
    <row r="641" spans="1:39" ht="24.75" customHeight="1" x14ac:dyDescent="0.25">
      <c r="A641" s="243"/>
      <c r="B641" s="437"/>
      <c r="C641" s="437"/>
      <c r="D641" s="437"/>
      <c r="E641" s="437"/>
      <c r="F641" s="437"/>
      <c r="G641" s="437"/>
      <c r="H641" s="437"/>
      <c r="I641" s="438"/>
      <c r="J641" s="437" t="s">
        <v>315</v>
      </c>
      <c r="K641" s="245"/>
      <c r="L641" s="257"/>
      <c r="M641" s="591" t="s">
        <v>428</v>
      </c>
      <c r="N641" s="592"/>
      <c r="O641" s="179"/>
      <c r="P641" s="180"/>
      <c r="Q641" s="180">
        <v>6000000</v>
      </c>
      <c r="R641" s="181">
        <f t="shared" si="162"/>
        <v>9.9815477780592197</v>
      </c>
      <c r="S641" s="181">
        <v>100</v>
      </c>
      <c r="T641" s="180">
        <f t="shared" si="159"/>
        <v>33.333333333333329</v>
      </c>
      <c r="U641" s="180">
        <f t="shared" si="122"/>
        <v>3.3271825926864063</v>
      </c>
      <c r="V641" s="182">
        <f t="shared" si="142"/>
        <v>66.666666666666671</v>
      </c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  <c r="AG641" s="180"/>
      <c r="AH641" s="180"/>
      <c r="AI641" s="180">
        <f>500000+500000+500000+500000</f>
        <v>2000000</v>
      </c>
      <c r="AJ641" s="181">
        <f t="shared" si="155"/>
        <v>33.333333333333329</v>
      </c>
      <c r="AK641" s="180">
        <f t="shared" si="161"/>
        <v>4000000</v>
      </c>
      <c r="AL641" s="181">
        <f t="shared" si="157"/>
        <v>66.666666666666657</v>
      </c>
      <c r="AM641" s="243"/>
    </row>
    <row r="642" spans="1:39" ht="24.75" customHeight="1" x14ac:dyDescent="0.25">
      <c r="A642" s="243"/>
      <c r="B642" s="437"/>
      <c r="C642" s="437"/>
      <c r="D642" s="437"/>
      <c r="E642" s="437"/>
      <c r="F642" s="437"/>
      <c r="G642" s="437"/>
      <c r="H642" s="437"/>
      <c r="I642" s="438"/>
      <c r="J642" s="437" t="s">
        <v>318</v>
      </c>
      <c r="K642" s="245"/>
      <c r="L642" s="257"/>
      <c r="M642" s="591" t="s">
        <v>319</v>
      </c>
      <c r="N642" s="592"/>
      <c r="O642" s="179"/>
      <c r="P642" s="180"/>
      <c r="Q642" s="180">
        <v>10500000</v>
      </c>
      <c r="R642" s="181">
        <f t="shared" si="162"/>
        <v>17.467708611603637</v>
      </c>
      <c r="S642" s="181">
        <v>100</v>
      </c>
      <c r="T642" s="180">
        <f t="shared" si="159"/>
        <v>0</v>
      </c>
      <c r="U642" s="180">
        <f t="shared" si="122"/>
        <v>0</v>
      </c>
      <c r="V642" s="182">
        <f t="shared" si="142"/>
        <v>100</v>
      </c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  <c r="AG642" s="180"/>
      <c r="AH642" s="180"/>
      <c r="AI642" s="180">
        <v>0</v>
      </c>
      <c r="AJ642" s="181">
        <f t="shared" si="155"/>
        <v>0</v>
      </c>
      <c r="AK642" s="180">
        <f t="shared" si="161"/>
        <v>10500000</v>
      </c>
      <c r="AL642" s="181">
        <f t="shared" si="157"/>
        <v>100</v>
      </c>
      <c r="AM642" s="243"/>
    </row>
    <row r="643" spans="1:39" ht="24.75" customHeight="1" x14ac:dyDescent="0.25">
      <c r="A643" s="243"/>
      <c r="B643" s="437"/>
      <c r="C643" s="437"/>
      <c r="D643" s="437"/>
      <c r="E643" s="437"/>
      <c r="F643" s="437"/>
      <c r="G643" s="437"/>
      <c r="H643" s="437"/>
      <c r="I643" s="438"/>
      <c r="J643" s="437" t="s">
        <v>624</v>
      </c>
      <c r="K643" s="245"/>
      <c r="L643" s="257"/>
      <c r="M643" s="591" t="s">
        <v>281</v>
      </c>
      <c r="N643" s="592"/>
      <c r="O643" s="179"/>
      <c r="P643" s="180"/>
      <c r="Q643" s="180">
        <v>12000000</v>
      </c>
      <c r="R643" s="181">
        <f t="shared" si="162"/>
        <v>19.963095556118439</v>
      </c>
      <c r="S643" s="181">
        <v>100</v>
      </c>
      <c r="T643" s="180">
        <f t="shared" si="159"/>
        <v>33.333333333333329</v>
      </c>
      <c r="U643" s="180">
        <f t="shared" si="122"/>
        <v>6.6543651853728125</v>
      </c>
      <c r="V643" s="182">
        <f t="shared" si="142"/>
        <v>66.666666666666671</v>
      </c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  <c r="AG643" s="180"/>
      <c r="AH643" s="180"/>
      <c r="AI643" s="180">
        <f>1000000+1000000+1000000+1000000</f>
        <v>4000000</v>
      </c>
      <c r="AJ643" s="181">
        <f t="shared" si="155"/>
        <v>33.333333333333329</v>
      </c>
      <c r="AK643" s="180">
        <f t="shared" si="161"/>
        <v>8000000</v>
      </c>
      <c r="AL643" s="181">
        <f t="shared" si="157"/>
        <v>66.666666666666657</v>
      </c>
      <c r="AM643" s="243"/>
    </row>
    <row r="644" spans="1:39" ht="24.75" customHeight="1" x14ac:dyDescent="0.25">
      <c r="A644" s="227">
        <v>77</v>
      </c>
      <c r="B644" s="437"/>
      <c r="C644" s="437"/>
      <c r="D644" s="437"/>
      <c r="E644" s="437"/>
      <c r="F644" s="437"/>
      <c r="G644" s="437"/>
      <c r="H644" s="437"/>
      <c r="I644" s="438"/>
      <c r="J644" s="304" t="s">
        <v>631</v>
      </c>
      <c r="K644" s="230"/>
      <c r="L644" s="294"/>
      <c r="M644" s="610" t="s">
        <v>632</v>
      </c>
      <c r="N644" s="612"/>
      <c r="O644" s="309"/>
      <c r="P644" s="231"/>
      <c r="Q644" s="231">
        <f>SUM(Q645:Q658)</f>
        <v>334885000</v>
      </c>
      <c r="R644" s="233">
        <f>Q644/Q$248*100</f>
        <v>2.8075902012485408</v>
      </c>
      <c r="S644" s="233">
        <v>100</v>
      </c>
      <c r="T644" s="231">
        <f t="shared" si="159"/>
        <v>0</v>
      </c>
      <c r="U644" s="231">
        <f t="shared" si="122"/>
        <v>0</v>
      </c>
      <c r="V644" s="296">
        <f t="shared" si="142"/>
        <v>100</v>
      </c>
      <c r="W644" s="231"/>
      <c r="X644" s="231"/>
      <c r="Y644" s="231"/>
      <c r="Z644" s="231"/>
      <c r="AA644" s="231"/>
      <c r="AB644" s="231"/>
      <c r="AC644" s="231"/>
      <c r="AD644" s="231"/>
      <c r="AE644" s="231"/>
      <c r="AF644" s="231"/>
      <c r="AG644" s="231"/>
      <c r="AH644" s="231"/>
      <c r="AI644" s="231">
        <f>SUM(AI645:AI650)</f>
        <v>0</v>
      </c>
      <c r="AJ644" s="233">
        <f t="shared" si="155"/>
        <v>0</v>
      </c>
      <c r="AK644" s="231">
        <f t="shared" si="161"/>
        <v>334885000</v>
      </c>
      <c r="AL644" s="233">
        <f t="shared" si="157"/>
        <v>100</v>
      </c>
      <c r="AM644" s="243"/>
    </row>
    <row r="645" spans="1:39" ht="24.75" customHeight="1" x14ac:dyDescent="0.25">
      <c r="A645" s="243"/>
      <c r="B645" s="437"/>
      <c r="C645" s="437"/>
      <c r="D645" s="437"/>
      <c r="E645" s="437"/>
      <c r="F645" s="437"/>
      <c r="G645" s="437"/>
      <c r="H645" s="437"/>
      <c r="I645" s="438"/>
      <c r="J645" s="437" t="s">
        <v>257</v>
      </c>
      <c r="K645" s="245"/>
      <c r="L645" s="257"/>
      <c r="M645" s="591" t="s">
        <v>258</v>
      </c>
      <c r="N645" s="592"/>
      <c r="O645" s="179"/>
      <c r="P645" s="180"/>
      <c r="Q645" s="180">
        <v>560000</v>
      </c>
      <c r="R645" s="181">
        <f t="shared" ref="R645:R658" si="163">Q645/Q$644*100</f>
        <v>0.16722158352867403</v>
      </c>
      <c r="S645" s="181">
        <v>100</v>
      </c>
      <c r="T645" s="180">
        <f t="shared" si="159"/>
        <v>0</v>
      </c>
      <c r="U645" s="180">
        <f t="shared" si="122"/>
        <v>0</v>
      </c>
      <c r="V645" s="182">
        <f t="shared" si="142"/>
        <v>100</v>
      </c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  <c r="AG645" s="180"/>
      <c r="AH645" s="180"/>
      <c r="AI645" s="180">
        <v>0</v>
      </c>
      <c r="AJ645" s="181">
        <f t="shared" si="155"/>
        <v>0</v>
      </c>
      <c r="AK645" s="180">
        <f t="shared" si="161"/>
        <v>560000</v>
      </c>
      <c r="AL645" s="181">
        <f t="shared" si="157"/>
        <v>100</v>
      </c>
      <c r="AM645" s="243"/>
    </row>
    <row r="646" spans="1:39" ht="24.75" customHeight="1" x14ac:dyDescent="0.25">
      <c r="A646" s="243"/>
      <c r="B646" s="437"/>
      <c r="C646" s="437"/>
      <c r="D646" s="437"/>
      <c r="E646" s="437"/>
      <c r="F646" s="437"/>
      <c r="G646" s="437"/>
      <c r="H646" s="437"/>
      <c r="I646" s="438"/>
      <c r="J646" s="437" t="s">
        <v>633</v>
      </c>
      <c r="K646" s="245"/>
      <c r="L646" s="257"/>
      <c r="M646" s="591" t="s">
        <v>260</v>
      </c>
      <c r="N646" s="592"/>
      <c r="O646" s="179"/>
      <c r="P646" s="180"/>
      <c r="Q646" s="180">
        <v>600000</v>
      </c>
      <c r="R646" s="181">
        <f t="shared" si="163"/>
        <v>0.17916598235215075</v>
      </c>
      <c r="S646" s="181">
        <v>100</v>
      </c>
      <c r="T646" s="180">
        <f t="shared" si="159"/>
        <v>0</v>
      </c>
      <c r="U646" s="180">
        <f t="shared" si="122"/>
        <v>0</v>
      </c>
      <c r="V646" s="182">
        <f t="shared" si="142"/>
        <v>100</v>
      </c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  <c r="AG646" s="180"/>
      <c r="AH646" s="180"/>
      <c r="AI646" s="180">
        <v>0</v>
      </c>
      <c r="AJ646" s="181">
        <f t="shared" si="155"/>
        <v>0</v>
      </c>
      <c r="AK646" s="180">
        <f t="shared" si="161"/>
        <v>600000</v>
      </c>
      <c r="AL646" s="181">
        <f t="shared" si="157"/>
        <v>100</v>
      </c>
      <c r="AM646" s="243"/>
    </row>
    <row r="647" spans="1:39" ht="24.75" customHeight="1" x14ac:dyDescent="0.25">
      <c r="A647" s="243"/>
      <c r="B647" s="437"/>
      <c r="C647" s="437"/>
      <c r="D647" s="437"/>
      <c r="E647" s="437"/>
      <c r="F647" s="437"/>
      <c r="G647" s="437"/>
      <c r="H647" s="437"/>
      <c r="I647" s="438"/>
      <c r="J647" s="437" t="s">
        <v>375</v>
      </c>
      <c r="K647" s="245"/>
      <c r="L647" s="257"/>
      <c r="M647" s="591" t="s">
        <v>376</v>
      </c>
      <c r="N647" s="612"/>
      <c r="O647" s="179"/>
      <c r="P647" s="180"/>
      <c r="Q647" s="180">
        <v>60000000</v>
      </c>
      <c r="R647" s="181">
        <f t="shared" si="163"/>
        <v>17.916598235215073</v>
      </c>
      <c r="S647" s="181">
        <v>100</v>
      </c>
      <c r="T647" s="180">
        <f t="shared" si="159"/>
        <v>0</v>
      </c>
      <c r="U647" s="180">
        <f t="shared" si="122"/>
        <v>0</v>
      </c>
      <c r="V647" s="182">
        <f t="shared" si="142"/>
        <v>100</v>
      </c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  <c r="AG647" s="180"/>
      <c r="AH647" s="180"/>
      <c r="AI647" s="180">
        <v>0</v>
      </c>
      <c r="AJ647" s="181">
        <f t="shared" si="155"/>
        <v>0</v>
      </c>
      <c r="AK647" s="180">
        <f t="shared" si="161"/>
        <v>60000000</v>
      </c>
      <c r="AL647" s="181">
        <f t="shared" si="157"/>
        <v>100</v>
      </c>
      <c r="AM647" s="243"/>
    </row>
    <row r="648" spans="1:39" ht="24.75" customHeight="1" x14ac:dyDescent="0.25">
      <c r="A648" s="243"/>
      <c r="B648" s="437"/>
      <c r="C648" s="437"/>
      <c r="D648" s="437"/>
      <c r="E648" s="437"/>
      <c r="F648" s="437"/>
      <c r="G648" s="437"/>
      <c r="H648" s="437"/>
      <c r="I648" s="438"/>
      <c r="J648" s="437" t="s">
        <v>267</v>
      </c>
      <c r="K648" s="245"/>
      <c r="L648" s="257"/>
      <c r="M648" s="591" t="s">
        <v>268</v>
      </c>
      <c r="N648" s="592"/>
      <c r="O648" s="179"/>
      <c r="P648" s="180"/>
      <c r="Q648" s="180">
        <v>12500000</v>
      </c>
      <c r="R648" s="181">
        <f t="shared" si="163"/>
        <v>3.7326246323364738</v>
      </c>
      <c r="S648" s="181">
        <v>100</v>
      </c>
      <c r="T648" s="180">
        <f t="shared" si="159"/>
        <v>0</v>
      </c>
      <c r="U648" s="180">
        <f t="shared" si="122"/>
        <v>0</v>
      </c>
      <c r="V648" s="182">
        <f t="shared" si="142"/>
        <v>100</v>
      </c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  <c r="AG648" s="180"/>
      <c r="AH648" s="180"/>
      <c r="AI648" s="180">
        <v>0</v>
      </c>
      <c r="AJ648" s="181">
        <f t="shared" si="155"/>
        <v>0</v>
      </c>
      <c r="AK648" s="180">
        <f t="shared" si="161"/>
        <v>12500000</v>
      </c>
      <c r="AL648" s="181">
        <f t="shared" si="157"/>
        <v>100</v>
      </c>
      <c r="AM648" s="243"/>
    </row>
    <row r="649" spans="1:39" ht="24.75" customHeight="1" x14ac:dyDescent="0.25">
      <c r="A649" s="243"/>
      <c r="B649" s="437"/>
      <c r="C649" s="437"/>
      <c r="D649" s="437"/>
      <c r="E649" s="437"/>
      <c r="F649" s="437"/>
      <c r="G649" s="437"/>
      <c r="H649" s="437"/>
      <c r="I649" s="438"/>
      <c r="J649" s="437" t="s">
        <v>332</v>
      </c>
      <c r="K649" s="245"/>
      <c r="L649" s="257"/>
      <c r="M649" s="591" t="s">
        <v>351</v>
      </c>
      <c r="N649" s="592"/>
      <c r="O649" s="179"/>
      <c r="P649" s="180"/>
      <c r="Q649" s="180">
        <v>1000000</v>
      </c>
      <c r="R649" s="181">
        <f t="shared" si="163"/>
        <v>0.29860997058691791</v>
      </c>
      <c r="S649" s="181">
        <v>100</v>
      </c>
      <c r="T649" s="180">
        <f t="shared" si="159"/>
        <v>0</v>
      </c>
      <c r="U649" s="180">
        <f t="shared" si="122"/>
        <v>0</v>
      </c>
      <c r="V649" s="182">
        <f t="shared" si="142"/>
        <v>100</v>
      </c>
      <c r="W649" s="180"/>
      <c r="X649" s="180"/>
      <c r="Y649" s="180"/>
      <c r="Z649" s="180"/>
      <c r="AA649" s="180"/>
      <c r="AB649" s="180"/>
      <c r="AC649" s="180"/>
      <c r="AD649" s="180"/>
      <c r="AE649" s="180"/>
      <c r="AF649" s="180"/>
      <c r="AG649" s="180"/>
      <c r="AH649" s="180"/>
      <c r="AI649" s="180">
        <v>0</v>
      </c>
      <c r="AJ649" s="181">
        <f t="shared" si="155"/>
        <v>0</v>
      </c>
      <c r="AK649" s="180">
        <f t="shared" si="161"/>
        <v>1000000</v>
      </c>
      <c r="AL649" s="181">
        <f t="shared" si="157"/>
        <v>100</v>
      </c>
      <c r="AM649" s="243"/>
    </row>
    <row r="650" spans="1:39" ht="24.75" customHeight="1" x14ac:dyDescent="0.25">
      <c r="A650" s="243"/>
      <c r="B650" s="437"/>
      <c r="C650" s="437"/>
      <c r="D650" s="437"/>
      <c r="E650" s="437"/>
      <c r="F650" s="437"/>
      <c r="G650" s="437"/>
      <c r="H650" s="437"/>
      <c r="I650" s="438"/>
      <c r="J650" s="437" t="s">
        <v>315</v>
      </c>
      <c r="K650" s="245"/>
      <c r="L650" s="257"/>
      <c r="M650" s="591" t="s">
        <v>271</v>
      </c>
      <c r="N650" s="592"/>
      <c r="O650" s="179"/>
      <c r="P650" s="180"/>
      <c r="Q650" s="180">
        <v>975000</v>
      </c>
      <c r="R650" s="181">
        <f t="shared" si="163"/>
        <v>0.29114472132224495</v>
      </c>
      <c r="S650" s="181">
        <v>100</v>
      </c>
      <c r="T650" s="180">
        <f t="shared" si="159"/>
        <v>0</v>
      </c>
      <c r="U650" s="180">
        <f t="shared" si="122"/>
        <v>0</v>
      </c>
      <c r="V650" s="182">
        <f t="shared" si="142"/>
        <v>100</v>
      </c>
      <c r="W650" s="180"/>
      <c r="X650" s="180"/>
      <c r="Y650" s="180"/>
      <c r="Z650" s="180"/>
      <c r="AA650" s="180"/>
      <c r="AB650" s="180"/>
      <c r="AC650" s="180"/>
      <c r="AD650" s="180"/>
      <c r="AE650" s="180"/>
      <c r="AF650" s="180"/>
      <c r="AG650" s="180"/>
      <c r="AH650" s="180"/>
      <c r="AI650" s="180">
        <v>0</v>
      </c>
      <c r="AJ650" s="181">
        <f t="shared" si="155"/>
        <v>0</v>
      </c>
      <c r="AK650" s="180">
        <f t="shared" si="161"/>
        <v>975000</v>
      </c>
      <c r="AL650" s="181">
        <f t="shared" si="157"/>
        <v>100</v>
      </c>
      <c r="AM650" s="243"/>
    </row>
    <row r="651" spans="1:39" ht="24.75" customHeight="1" x14ac:dyDescent="0.25">
      <c r="A651" s="243"/>
      <c r="B651" s="437"/>
      <c r="C651" s="437"/>
      <c r="D651" s="437"/>
      <c r="E651" s="437"/>
      <c r="F651" s="437"/>
      <c r="G651" s="437"/>
      <c r="H651" s="437"/>
      <c r="I651" s="438"/>
      <c r="J651" s="437" t="s">
        <v>501</v>
      </c>
      <c r="K651" s="245"/>
      <c r="L651" s="257"/>
      <c r="M651" s="591" t="s">
        <v>317</v>
      </c>
      <c r="N651" s="592"/>
      <c r="O651" s="179"/>
      <c r="P651" s="180"/>
      <c r="Q651" s="180">
        <v>400000</v>
      </c>
      <c r="R651" s="181">
        <f t="shared" si="163"/>
        <v>0.11944398823476715</v>
      </c>
      <c r="S651" s="181">
        <v>100</v>
      </c>
      <c r="T651" s="180">
        <f t="shared" si="159"/>
        <v>0</v>
      </c>
      <c r="U651" s="180">
        <f t="shared" si="122"/>
        <v>0</v>
      </c>
      <c r="V651" s="182">
        <f t="shared" si="142"/>
        <v>100</v>
      </c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>
        <v>0</v>
      </c>
      <c r="AJ651" s="181">
        <f t="shared" si="155"/>
        <v>0</v>
      </c>
      <c r="AK651" s="180">
        <f t="shared" si="161"/>
        <v>400000</v>
      </c>
      <c r="AL651" s="181">
        <f t="shared" si="157"/>
        <v>100</v>
      </c>
      <c r="AM651" s="243"/>
    </row>
    <row r="652" spans="1:39" ht="24.75" customHeight="1" x14ac:dyDescent="0.25">
      <c r="A652" s="243"/>
      <c r="B652" s="437"/>
      <c r="C652" s="437"/>
      <c r="D652" s="437"/>
      <c r="E652" s="437"/>
      <c r="F652" s="437"/>
      <c r="G652" s="437"/>
      <c r="H652" s="437"/>
      <c r="I652" s="438"/>
      <c r="J652" s="437" t="s">
        <v>318</v>
      </c>
      <c r="K652" s="245"/>
      <c r="L652" s="257"/>
      <c r="M652" s="591" t="s">
        <v>319</v>
      </c>
      <c r="N652" s="592"/>
      <c r="O652" s="179"/>
      <c r="P652" s="180"/>
      <c r="Q652" s="180">
        <v>21000000</v>
      </c>
      <c r="R652" s="181">
        <f t="shared" si="163"/>
        <v>6.2708093823252762</v>
      </c>
      <c r="S652" s="181">
        <v>100</v>
      </c>
      <c r="T652" s="180">
        <f t="shared" si="159"/>
        <v>0</v>
      </c>
      <c r="U652" s="180">
        <f t="shared" si="122"/>
        <v>0</v>
      </c>
      <c r="V652" s="182">
        <f t="shared" si="142"/>
        <v>100</v>
      </c>
      <c r="W652" s="180"/>
      <c r="X652" s="180"/>
      <c r="Y652" s="180"/>
      <c r="Z652" s="180"/>
      <c r="AA652" s="180"/>
      <c r="AB652" s="180"/>
      <c r="AC652" s="180"/>
      <c r="AD652" s="180"/>
      <c r="AE652" s="180"/>
      <c r="AF652" s="180"/>
      <c r="AG652" s="180"/>
      <c r="AH652" s="180"/>
      <c r="AI652" s="180">
        <v>0</v>
      </c>
      <c r="AJ652" s="181">
        <f t="shared" si="155"/>
        <v>0</v>
      </c>
      <c r="AK652" s="180">
        <f t="shared" si="161"/>
        <v>21000000</v>
      </c>
      <c r="AL652" s="181">
        <f t="shared" si="157"/>
        <v>100</v>
      </c>
      <c r="AM652" s="243"/>
    </row>
    <row r="653" spans="1:39" ht="24.75" customHeight="1" x14ac:dyDescent="0.25">
      <c r="A653" s="243"/>
      <c r="B653" s="437"/>
      <c r="C653" s="437"/>
      <c r="D653" s="437"/>
      <c r="E653" s="437"/>
      <c r="F653" s="437"/>
      <c r="G653" s="437"/>
      <c r="H653" s="437"/>
      <c r="I653" s="438"/>
      <c r="J653" s="437" t="s">
        <v>280</v>
      </c>
      <c r="K653" s="245"/>
      <c r="L653" s="257"/>
      <c r="M653" s="591" t="s">
        <v>281</v>
      </c>
      <c r="N653" s="612"/>
      <c r="O653" s="179"/>
      <c r="P653" s="180"/>
      <c r="Q653" s="180">
        <v>1250000</v>
      </c>
      <c r="R653" s="181">
        <f t="shared" si="163"/>
        <v>0.37326246323364737</v>
      </c>
      <c r="S653" s="181">
        <v>100</v>
      </c>
      <c r="T653" s="180">
        <f t="shared" si="159"/>
        <v>0</v>
      </c>
      <c r="U653" s="180">
        <f t="shared" si="122"/>
        <v>0</v>
      </c>
      <c r="V653" s="182">
        <f t="shared" si="142"/>
        <v>100</v>
      </c>
      <c r="W653" s="180"/>
      <c r="X653" s="180"/>
      <c r="Y653" s="180"/>
      <c r="Z653" s="180"/>
      <c r="AA653" s="180"/>
      <c r="AB653" s="180"/>
      <c r="AC653" s="180"/>
      <c r="AD653" s="180"/>
      <c r="AE653" s="180"/>
      <c r="AF653" s="180"/>
      <c r="AG653" s="180"/>
      <c r="AH653" s="180"/>
      <c r="AI653" s="180">
        <v>0</v>
      </c>
      <c r="AJ653" s="181">
        <f t="shared" si="155"/>
        <v>0</v>
      </c>
      <c r="AK653" s="180">
        <f t="shared" si="161"/>
        <v>1250000</v>
      </c>
      <c r="AL653" s="181">
        <f t="shared" si="157"/>
        <v>100</v>
      </c>
      <c r="AM653" s="243"/>
    </row>
    <row r="654" spans="1:39" ht="24.75" customHeight="1" x14ac:dyDescent="0.25">
      <c r="A654" s="243"/>
      <c r="B654" s="437"/>
      <c r="C654" s="437"/>
      <c r="D654" s="437"/>
      <c r="E654" s="437"/>
      <c r="F654" s="437"/>
      <c r="G654" s="437"/>
      <c r="H654" s="437"/>
      <c r="I654" s="438"/>
      <c r="J654" s="437" t="s">
        <v>284</v>
      </c>
      <c r="K654" s="245"/>
      <c r="L654" s="257"/>
      <c r="M654" s="591" t="s">
        <v>285</v>
      </c>
      <c r="N654" s="592"/>
      <c r="O654" s="179"/>
      <c r="P654" s="180"/>
      <c r="Q654" s="180">
        <v>2000000</v>
      </c>
      <c r="R654" s="181">
        <f t="shared" si="163"/>
        <v>0.59721994117383581</v>
      </c>
      <c r="S654" s="181">
        <v>100</v>
      </c>
      <c r="T654" s="180">
        <f t="shared" si="159"/>
        <v>0</v>
      </c>
      <c r="U654" s="180">
        <f t="shared" si="122"/>
        <v>0</v>
      </c>
      <c r="V654" s="182">
        <f t="shared" si="142"/>
        <v>100</v>
      </c>
      <c r="W654" s="180"/>
      <c r="X654" s="180"/>
      <c r="Y654" s="180"/>
      <c r="Z654" s="180"/>
      <c r="AA654" s="180"/>
      <c r="AB654" s="180"/>
      <c r="AC654" s="180"/>
      <c r="AD654" s="180"/>
      <c r="AE654" s="180"/>
      <c r="AF654" s="180"/>
      <c r="AG654" s="180"/>
      <c r="AH654" s="180"/>
      <c r="AI654" s="180">
        <v>0</v>
      </c>
      <c r="AJ654" s="181">
        <f t="shared" si="155"/>
        <v>0</v>
      </c>
      <c r="AK654" s="180">
        <f t="shared" si="161"/>
        <v>2000000</v>
      </c>
      <c r="AL654" s="181">
        <f t="shared" si="157"/>
        <v>100</v>
      </c>
      <c r="AM654" s="243"/>
    </row>
    <row r="655" spans="1:39" ht="24.75" customHeight="1" x14ac:dyDescent="0.25">
      <c r="A655" s="243"/>
      <c r="B655" s="437"/>
      <c r="C655" s="437"/>
      <c r="D655" s="437"/>
      <c r="E655" s="437"/>
      <c r="F655" s="437"/>
      <c r="G655" s="437"/>
      <c r="H655" s="437"/>
      <c r="I655" s="438"/>
      <c r="J655" s="437" t="s">
        <v>282</v>
      </c>
      <c r="K655" s="245"/>
      <c r="L655" s="257"/>
      <c r="M655" s="591" t="s">
        <v>283</v>
      </c>
      <c r="N655" s="592"/>
      <c r="O655" s="179"/>
      <c r="P655" s="180"/>
      <c r="Q655" s="180">
        <v>210000000</v>
      </c>
      <c r="R655" s="181">
        <f t="shared" si="163"/>
        <v>62.708093823252753</v>
      </c>
      <c r="S655" s="181">
        <v>100</v>
      </c>
      <c r="T655" s="180">
        <f t="shared" si="159"/>
        <v>0</v>
      </c>
      <c r="U655" s="180">
        <f t="shared" si="122"/>
        <v>0</v>
      </c>
      <c r="V655" s="182">
        <f t="shared" si="142"/>
        <v>100</v>
      </c>
      <c r="W655" s="180"/>
      <c r="X655" s="180"/>
      <c r="Y655" s="180"/>
      <c r="Z655" s="180"/>
      <c r="AA655" s="180"/>
      <c r="AB655" s="180"/>
      <c r="AC655" s="180"/>
      <c r="AD655" s="180"/>
      <c r="AE655" s="180"/>
      <c r="AF655" s="180"/>
      <c r="AG655" s="180"/>
      <c r="AH655" s="180"/>
      <c r="AI655" s="180">
        <v>0</v>
      </c>
      <c r="AJ655" s="181">
        <f t="shared" si="155"/>
        <v>0</v>
      </c>
      <c r="AK655" s="180">
        <f t="shared" si="161"/>
        <v>210000000</v>
      </c>
      <c r="AL655" s="181">
        <f t="shared" si="157"/>
        <v>100</v>
      </c>
      <c r="AM655" s="243"/>
    </row>
    <row r="656" spans="1:39" ht="24.75" customHeight="1" x14ac:dyDescent="0.25">
      <c r="A656" s="243"/>
      <c r="B656" s="437"/>
      <c r="C656" s="437"/>
      <c r="D656" s="437"/>
      <c r="E656" s="437"/>
      <c r="F656" s="437"/>
      <c r="G656" s="437"/>
      <c r="H656" s="437"/>
      <c r="I656" s="438"/>
      <c r="J656" s="437" t="s">
        <v>320</v>
      </c>
      <c r="K656" s="245"/>
      <c r="L656" s="257"/>
      <c r="M656" s="591" t="s">
        <v>321</v>
      </c>
      <c r="N656" s="592"/>
      <c r="O656" s="179"/>
      <c r="P656" s="180"/>
      <c r="Q656" s="180">
        <v>5600000</v>
      </c>
      <c r="R656" s="181">
        <f t="shared" si="163"/>
        <v>1.6722158352867402</v>
      </c>
      <c r="S656" s="181">
        <v>100</v>
      </c>
      <c r="T656" s="180">
        <f t="shared" si="159"/>
        <v>0</v>
      </c>
      <c r="U656" s="180">
        <f t="shared" si="122"/>
        <v>0</v>
      </c>
      <c r="V656" s="182">
        <f t="shared" si="142"/>
        <v>100</v>
      </c>
      <c r="W656" s="180"/>
      <c r="X656" s="180"/>
      <c r="Y656" s="180"/>
      <c r="Z656" s="180"/>
      <c r="AA656" s="180"/>
      <c r="AB656" s="180"/>
      <c r="AC656" s="180"/>
      <c r="AD656" s="180"/>
      <c r="AE656" s="180"/>
      <c r="AF656" s="180"/>
      <c r="AG656" s="180"/>
      <c r="AH656" s="180"/>
      <c r="AI656" s="180">
        <v>0</v>
      </c>
      <c r="AJ656" s="181">
        <f t="shared" si="155"/>
        <v>0</v>
      </c>
      <c r="AK656" s="180">
        <f t="shared" si="161"/>
        <v>5600000</v>
      </c>
      <c r="AL656" s="181">
        <f t="shared" si="157"/>
        <v>100</v>
      </c>
      <c r="AM656" s="243"/>
    </row>
    <row r="657" spans="1:39" ht="24.75" customHeight="1" x14ac:dyDescent="0.25">
      <c r="A657" s="243"/>
      <c r="B657" s="437"/>
      <c r="C657" s="437"/>
      <c r="D657" s="437"/>
      <c r="E657" s="437"/>
      <c r="F657" s="437"/>
      <c r="G657" s="437"/>
      <c r="H657" s="437"/>
      <c r="I657" s="438"/>
      <c r="J657" s="437" t="s">
        <v>407</v>
      </c>
      <c r="K657" s="245"/>
      <c r="L657" s="257"/>
      <c r="M657" s="591" t="s">
        <v>634</v>
      </c>
      <c r="N657" s="592"/>
      <c r="O657" s="179"/>
      <c r="P657" s="180"/>
      <c r="Q657" s="180">
        <v>4000000</v>
      </c>
      <c r="R657" s="181">
        <f t="shared" si="163"/>
        <v>1.1944398823476716</v>
      </c>
      <c r="S657" s="181">
        <v>100</v>
      </c>
      <c r="T657" s="180">
        <f t="shared" si="159"/>
        <v>0</v>
      </c>
      <c r="U657" s="180">
        <f t="shared" si="122"/>
        <v>0</v>
      </c>
      <c r="V657" s="182">
        <f t="shared" si="142"/>
        <v>100</v>
      </c>
      <c r="W657" s="180"/>
      <c r="X657" s="180"/>
      <c r="Y657" s="180"/>
      <c r="Z657" s="180"/>
      <c r="AA657" s="180"/>
      <c r="AB657" s="180"/>
      <c r="AC657" s="180"/>
      <c r="AD657" s="180"/>
      <c r="AE657" s="180"/>
      <c r="AF657" s="180"/>
      <c r="AG657" s="180"/>
      <c r="AH657" s="180"/>
      <c r="AI657" s="180">
        <v>0</v>
      </c>
      <c r="AJ657" s="181">
        <f t="shared" si="155"/>
        <v>0</v>
      </c>
      <c r="AK657" s="180">
        <f t="shared" si="161"/>
        <v>4000000</v>
      </c>
      <c r="AL657" s="181">
        <f t="shared" si="157"/>
        <v>100</v>
      </c>
      <c r="AM657" s="243"/>
    </row>
    <row r="658" spans="1:39" ht="24.75" customHeight="1" x14ac:dyDescent="0.25">
      <c r="A658" s="243"/>
      <c r="B658" s="437"/>
      <c r="C658" s="437"/>
      <c r="D658" s="437"/>
      <c r="E658" s="437"/>
      <c r="F658" s="437"/>
      <c r="G658" s="437"/>
      <c r="H658" s="437"/>
      <c r="I658" s="438"/>
      <c r="J658" s="437" t="s">
        <v>372</v>
      </c>
      <c r="K658" s="245"/>
      <c r="L658" s="257"/>
      <c r="M658" s="591" t="s">
        <v>373</v>
      </c>
      <c r="N658" s="592"/>
      <c r="O658" s="179"/>
      <c r="P658" s="180"/>
      <c r="Q658" s="180">
        <v>15000000</v>
      </c>
      <c r="R658" s="181">
        <f t="shared" si="163"/>
        <v>4.4791495588037682</v>
      </c>
      <c r="S658" s="181">
        <v>100</v>
      </c>
      <c r="T658" s="180">
        <f t="shared" si="159"/>
        <v>0</v>
      </c>
      <c r="U658" s="180">
        <f t="shared" si="122"/>
        <v>0</v>
      </c>
      <c r="V658" s="182">
        <f t="shared" si="142"/>
        <v>100</v>
      </c>
      <c r="W658" s="180"/>
      <c r="X658" s="180"/>
      <c r="Y658" s="180"/>
      <c r="Z658" s="180"/>
      <c r="AA658" s="180"/>
      <c r="AB658" s="180"/>
      <c r="AC658" s="180"/>
      <c r="AD658" s="180"/>
      <c r="AE658" s="180"/>
      <c r="AF658" s="180"/>
      <c r="AG658" s="180"/>
      <c r="AH658" s="180"/>
      <c r="AI658" s="180">
        <v>0</v>
      </c>
      <c r="AJ658" s="181">
        <f t="shared" si="155"/>
        <v>0</v>
      </c>
      <c r="AK658" s="180">
        <f t="shared" si="161"/>
        <v>15000000</v>
      </c>
      <c r="AL658" s="181">
        <f t="shared" si="157"/>
        <v>100</v>
      </c>
      <c r="AM658" s="243"/>
    </row>
    <row r="659" spans="1:39" s="297" customFormat="1" ht="28.5" customHeight="1" x14ac:dyDescent="0.25">
      <c r="A659" s="227">
        <v>78</v>
      </c>
      <c r="B659" s="442"/>
      <c r="C659" s="442"/>
      <c r="D659" s="442"/>
      <c r="E659" s="442"/>
      <c r="F659" s="442"/>
      <c r="G659" s="442"/>
      <c r="H659" s="442"/>
      <c r="I659" s="441"/>
      <c r="J659" s="304" t="s">
        <v>530</v>
      </c>
      <c r="K659" s="230"/>
      <c r="L659" s="294"/>
      <c r="M659" s="610" t="s">
        <v>210</v>
      </c>
      <c r="N659" s="610"/>
      <c r="O659" s="309"/>
      <c r="P659" s="231"/>
      <c r="Q659" s="231">
        <f>SUM(Q660:Q672)</f>
        <v>221952061</v>
      </c>
      <c r="R659" s="233">
        <f>Q659/Q$35*100</f>
        <v>0.69826432176742415</v>
      </c>
      <c r="S659" s="233">
        <v>100</v>
      </c>
      <c r="T659" s="231">
        <f t="shared" si="159"/>
        <v>97.886002509343669</v>
      </c>
      <c r="U659" s="231">
        <f t="shared" si="122"/>
        <v>0.68350303152711234</v>
      </c>
      <c r="V659" s="296">
        <f t="shared" si="142"/>
        <v>2.113997490656331</v>
      </c>
      <c r="W659" s="231"/>
      <c r="X659" s="231"/>
      <c r="Y659" s="231"/>
      <c r="Z659" s="231"/>
      <c r="AA659" s="231"/>
      <c r="AB659" s="231"/>
      <c r="AC659" s="231"/>
      <c r="AD659" s="231"/>
      <c r="AE659" s="231"/>
      <c r="AF659" s="231"/>
      <c r="AG659" s="231"/>
      <c r="AH659" s="231"/>
      <c r="AI659" s="231">
        <f>SUM(AI660:AI672)</f>
        <v>217260000</v>
      </c>
      <c r="AJ659" s="233">
        <f t="shared" si="155"/>
        <v>97.886002509343669</v>
      </c>
      <c r="AK659" s="231">
        <f t="shared" si="161"/>
        <v>4692061</v>
      </c>
      <c r="AL659" s="233">
        <f t="shared" si="157"/>
        <v>2.1139974906563266</v>
      </c>
      <c r="AM659" s="227"/>
    </row>
    <row r="660" spans="1:39" ht="28.5" customHeight="1" x14ac:dyDescent="0.25">
      <c r="A660" s="243"/>
      <c r="B660" s="437"/>
      <c r="C660" s="437"/>
      <c r="D660" s="437"/>
      <c r="E660" s="437"/>
      <c r="F660" s="437"/>
      <c r="G660" s="437"/>
      <c r="H660" s="437"/>
      <c r="I660" s="438"/>
      <c r="J660" s="437" t="s">
        <v>259</v>
      </c>
      <c r="K660" s="245"/>
      <c r="L660" s="257"/>
      <c r="M660" s="591" t="s">
        <v>260</v>
      </c>
      <c r="N660" s="592"/>
      <c r="O660" s="179"/>
      <c r="P660" s="180"/>
      <c r="Q660" s="180">
        <v>650000</v>
      </c>
      <c r="R660" s="181">
        <f t="shared" ref="R660:R672" si="164">Q660/Q$659*100</f>
        <v>0.29285603254659576</v>
      </c>
      <c r="S660" s="181">
        <v>100</v>
      </c>
      <c r="T660" s="180">
        <f t="shared" si="159"/>
        <v>100</v>
      </c>
      <c r="U660" s="180">
        <f t="shared" si="122"/>
        <v>0.29285603254659576</v>
      </c>
      <c r="V660" s="182">
        <f t="shared" si="142"/>
        <v>0</v>
      </c>
      <c r="W660" s="180"/>
      <c r="X660" s="180"/>
      <c r="Y660" s="180"/>
      <c r="Z660" s="180"/>
      <c r="AA660" s="180"/>
      <c r="AB660" s="180"/>
      <c r="AC660" s="180"/>
      <c r="AD660" s="180"/>
      <c r="AE660" s="180"/>
      <c r="AF660" s="180"/>
      <c r="AG660" s="180"/>
      <c r="AH660" s="180"/>
      <c r="AI660" s="180">
        <v>650000</v>
      </c>
      <c r="AJ660" s="181">
        <f t="shared" si="155"/>
        <v>100</v>
      </c>
      <c r="AK660" s="180">
        <f t="shared" si="161"/>
        <v>0</v>
      </c>
      <c r="AL660" s="181">
        <f t="shared" si="157"/>
        <v>0</v>
      </c>
      <c r="AM660" s="243"/>
    </row>
    <row r="661" spans="1:39" ht="28.5" customHeight="1" x14ac:dyDescent="0.25">
      <c r="A661" s="243"/>
      <c r="B661" s="437"/>
      <c r="C661" s="437"/>
      <c r="D661" s="437"/>
      <c r="E661" s="437"/>
      <c r="F661" s="437"/>
      <c r="G661" s="437"/>
      <c r="H661" s="437"/>
      <c r="I661" s="438"/>
      <c r="J661" s="437" t="s">
        <v>375</v>
      </c>
      <c r="K661" s="245"/>
      <c r="L661" s="257"/>
      <c r="M661" s="611" t="s">
        <v>376</v>
      </c>
      <c r="N661" s="598"/>
      <c r="O661" s="179"/>
      <c r="P661" s="180"/>
      <c r="Q661" s="180">
        <v>124500000</v>
      </c>
      <c r="R661" s="181">
        <f t="shared" si="164"/>
        <v>56.093193926232566</v>
      </c>
      <c r="S661" s="181">
        <v>100</v>
      </c>
      <c r="T661" s="180">
        <f t="shared" si="159"/>
        <v>98.353413654618464</v>
      </c>
      <c r="U661" s="180">
        <f t="shared" si="122"/>
        <v>55.16957105435484</v>
      </c>
      <c r="V661" s="182">
        <f t="shared" si="142"/>
        <v>1.6465863453815359</v>
      </c>
      <c r="W661" s="180"/>
      <c r="X661" s="180"/>
      <c r="Y661" s="180"/>
      <c r="Z661" s="180"/>
      <c r="AA661" s="180"/>
      <c r="AB661" s="180"/>
      <c r="AC661" s="180"/>
      <c r="AD661" s="180"/>
      <c r="AE661" s="180"/>
      <c r="AF661" s="180"/>
      <c r="AG661" s="180"/>
      <c r="AH661" s="180"/>
      <c r="AI661" s="180">
        <v>122450000</v>
      </c>
      <c r="AJ661" s="181">
        <f t="shared" si="155"/>
        <v>98.353413654618464</v>
      </c>
      <c r="AK661" s="180">
        <f t="shared" si="161"/>
        <v>2050000</v>
      </c>
      <c r="AL661" s="181">
        <f t="shared" si="157"/>
        <v>1.6465863453815262</v>
      </c>
      <c r="AM661" s="243"/>
    </row>
    <row r="662" spans="1:39" ht="28.5" customHeight="1" x14ac:dyDescent="0.25">
      <c r="A662" s="243"/>
      <c r="B662" s="437"/>
      <c r="C662" s="437"/>
      <c r="D662" s="437"/>
      <c r="E662" s="437"/>
      <c r="F662" s="437"/>
      <c r="G662" s="437"/>
      <c r="H662" s="437"/>
      <c r="I662" s="438"/>
      <c r="J662" s="437" t="s">
        <v>267</v>
      </c>
      <c r="K662" s="245"/>
      <c r="L662" s="257"/>
      <c r="M662" s="591" t="s">
        <v>268</v>
      </c>
      <c r="N662" s="592"/>
      <c r="O662" s="179"/>
      <c r="P662" s="180"/>
      <c r="Q662" s="180">
        <v>12500000</v>
      </c>
      <c r="R662" s="181">
        <f t="shared" si="164"/>
        <v>5.6318467797422258</v>
      </c>
      <c r="S662" s="181">
        <v>100</v>
      </c>
      <c r="T662" s="180">
        <f t="shared" si="159"/>
        <v>100</v>
      </c>
      <c r="U662" s="180">
        <f t="shared" si="122"/>
        <v>5.6318467797422258</v>
      </c>
      <c r="V662" s="182">
        <f t="shared" si="142"/>
        <v>0</v>
      </c>
      <c r="W662" s="180"/>
      <c r="X662" s="180"/>
      <c r="Y662" s="180"/>
      <c r="Z662" s="180"/>
      <c r="AA662" s="180"/>
      <c r="AB662" s="180"/>
      <c r="AC662" s="180"/>
      <c r="AD662" s="180"/>
      <c r="AE662" s="180"/>
      <c r="AF662" s="180"/>
      <c r="AG662" s="180"/>
      <c r="AH662" s="180"/>
      <c r="AI662" s="180">
        <v>12500000</v>
      </c>
      <c r="AJ662" s="181">
        <f t="shared" si="155"/>
        <v>100</v>
      </c>
      <c r="AK662" s="180">
        <f t="shared" si="161"/>
        <v>0</v>
      </c>
      <c r="AL662" s="181">
        <f t="shared" si="157"/>
        <v>0</v>
      </c>
      <c r="AM662" s="243"/>
    </row>
    <row r="663" spans="1:39" ht="28.5" customHeight="1" x14ac:dyDescent="0.25">
      <c r="A663" s="243"/>
      <c r="B663" s="437"/>
      <c r="C663" s="437"/>
      <c r="D663" s="437"/>
      <c r="E663" s="437"/>
      <c r="F663" s="437"/>
      <c r="G663" s="437"/>
      <c r="H663" s="437"/>
      <c r="I663" s="438"/>
      <c r="J663" s="437" t="s">
        <v>332</v>
      </c>
      <c r="K663" s="245"/>
      <c r="L663" s="257"/>
      <c r="M663" s="591" t="s">
        <v>351</v>
      </c>
      <c r="N663" s="592"/>
      <c r="O663" s="179"/>
      <c r="P663" s="180"/>
      <c r="Q663" s="180">
        <v>500000</v>
      </c>
      <c r="R663" s="181">
        <f t="shared" si="164"/>
        <v>0.22527387118968903</v>
      </c>
      <c r="S663" s="181">
        <v>100</v>
      </c>
      <c r="T663" s="180">
        <f t="shared" si="159"/>
        <v>100</v>
      </c>
      <c r="U663" s="180">
        <f t="shared" si="122"/>
        <v>0.22527387118968903</v>
      </c>
      <c r="V663" s="182">
        <f t="shared" si="142"/>
        <v>0</v>
      </c>
      <c r="W663" s="180"/>
      <c r="X663" s="180"/>
      <c r="Y663" s="180"/>
      <c r="Z663" s="180"/>
      <c r="AA663" s="180"/>
      <c r="AB663" s="180"/>
      <c r="AC663" s="180"/>
      <c r="AD663" s="180"/>
      <c r="AE663" s="180"/>
      <c r="AF663" s="180"/>
      <c r="AG663" s="180"/>
      <c r="AH663" s="180"/>
      <c r="AI663" s="180">
        <v>500000</v>
      </c>
      <c r="AJ663" s="181">
        <f t="shared" si="155"/>
        <v>100</v>
      </c>
      <c r="AK663" s="180">
        <f t="shared" si="161"/>
        <v>0</v>
      </c>
      <c r="AL663" s="181">
        <f t="shared" si="157"/>
        <v>0</v>
      </c>
      <c r="AM663" s="243"/>
    </row>
    <row r="664" spans="1:39" ht="28.5" customHeight="1" x14ac:dyDescent="0.25">
      <c r="A664" s="243"/>
      <c r="B664" s="437"/>
      <c r="C664" s="437"/>
      <c r="D664" s="437"/>
      <c r="E664" s="437"/>
      <c r="F664" s="437"/>
      <c r="G664" s="437"/>
      <c r="H664" s="437"/>
      <c r="I664" s="438"/>
      <c r="J664" s="437" t="s">
        <v>315</v>
      </c>
      <c r="K664" s="245"/>
      <c r="L664" s="257"/>
      <c r="M664" s="591" t="s">
        <v>271</v>
      </c>
      <c r="N664" s="592"/>
      <c r="O664" s="179"/>
      <c r="P664" s="180"/>
      <c r="Q664" s="180">
        <v>977061</v>
      </c>
      <c r="R664" s="181">
        <f t="shared" si="164"/>
        <v>0.44021262771693753</v>
      </c>
      <c r="S664" s="181">
        <v>100</v>
      </c>
      <c r="T664" s="180">
        <f t="shared" si="159"/>
        <v>97.230367397736686</v>
      </c>
      <c r="U664" s="180">
        <f t="shared" si="122"/>
        <v>0.42802035526040916</v>
      </c>
      <c r="V664" s="182">
        <f t="shared" si="142"/>
        <v>2.7696326022633144</v>
      </c>
      <c r="W664" s="180"/>
      <c r="X664" s="180"/>
      <c r="Y664" s="180"/>
      <c r="Z664" s="180"/>
      <c r="AA664" s="180"/>
      <c r="AB664" s="180"/>
      <c r="AC664" s="180"/>
      <c r="AD664" s="180"/>
      <c r="AE664" s="180"/>
      <c r="AF664" s="180"/>
      <c r="AG664" s="180"/>
      <c r="AH664" s="180"/>
      <c r="AI664" s="180">
        <v>950000</v>
      </c>
      <c r="AJ664" s="181">
        <f t="shared" si="155"/>
        <v>97.230367397736686</v>
      </c>
      <c r="AK664" s="180">
        <f t="shared" si="161"/>
        <v>27061</v>
      </c>
      <c r="AL664" s="181">
        <f t="shared" si="157"/>
        <v>2.7696326022633184</v>
      </c>
      <c r="AM664" s="243"/>
    </row>
    <row r="665" spans="1:39" ht="28.5" customHeight="1" x14ac:dyDescent="0.25">
      <c r="A665" s="243"/>
      <c r="B665" s="437"/>
      <c r="C665" s="437"/>
      <c r="D665" s="437"/>
      <c r="E665" s="437"/>
      <c r="F665" s="437"/>
      <c r="G665" s="437"/>
      <c r="H665" s="437"/>
      <c r="I665" s="438"/>
      <c r="J665" s="437" t="s">
        <v>316</v>
      </c>
      <c r="K665" s="245"/>
      <c r="L665" s="257"/>
      <c r="M665" s="591" t="s">
        <v>317</v>
      </c>
      <c r="N665" s="592"/>
      <c r="O665" s="179"/>
      <c r="P665" s="180"/>
      <c r="Q665" s="180">
        <v>400000</v>
      </c>
      <c r="R665" s="181">
        <f t="shared" si="164"/>
        <v>0.18021909695175123</v>
      </c>
      <c r="S665" s="181">
        <v>100</v>
      </c>
      <c r="T665" s="180">
        <f t="shared" si="159"/>
        <v>100</v>
      </c>
      <c r="U665" s="180">
        <f t="shared" si="122"/>
        <v>0.18021909695175123</v>
      </c>
      <c r="V665" s="182">
        <f t="shared" si="142"/>
        <v>0</v>
      </c>
      <c r="W665" s="180"/>
      <c r="X665" s="180"/>
      <c r="Y665" s="180"/>
      <c r="Z665" s="180"/>
      <c r="AA665" s="180"/>
      <c r="AB665" s="180"/>
      <c r="AC665" s="180"/>
      <c r="AD665" s="180"/>
      <c r="AE665" s="180"/>
      <c r="AF665" s="180"/>
      <c r="AG665" s="180"/>
      <c r="AH665" s="180"/>
      <c r="AI665" s="180">
        <v>400000</v>
      </c>
      <c r="AJ665" s="181">
        <f t="shared" si="155"/>
        <v>100</v>
      </c>
      <c r="AK665" s="180">
        <f t="shared" si="161"/>
        <v>0</v>
      </c>
      <c r="AL665" s="181">
        <f t="shared" si="157"/>
        <v>0</v>
      </c>
      <c r="AM665" s="243"/>
    </row>
    <row r="666" spans="1:39" ht="28.5" customHeight="1" x14ac:dyDescent="0.25">
      <c r="A666" s="243"/>
      <c r="B666" s="437"/>
      <c r="C666" s="437"/>
      <c r="D666" s="437"/>
      <c r="E666" s="437"/>
      <c r="F666" s="437"/>
      <c r="G666" s="437"/>
      <c r="H666" s="437"/>
      <c r="I666" s="438"/>
      <c r="J666" s="437" t="s">
        <v>318</v>
      </c>
      <c r="K666" s="245"/>
      <c r="L666" s="257"/>
      <c r="M666" s="591" t="s">
        <v>319</v>
      </c>
      <c r="N666" s="592"/>
      <c r="O666" s="179"/>
      <c r="P666" s="180"/>
      <c r="Q666" s="180">
        <v>35000000</v>
      </c>
      <c r="R666" s="181">
        <f t="shared" si="164"/>
        <v>15.769170983278229</v>
      </c>
      <c r="S666" s="181">
        <v>100</v>
      </c>
      <c r="T666" s="180">
        <f t="shared" si="159"/>
        <v>100</v>
      </c>
      <c r="U666" s="180">
        <f t="shared" si="122"/>
        <v>15.769170983278229</v>
      </c>
      <c r="V666" s="182">
        <f t="shared" si="142"/>
        <v>0</v>
      </c>
      <c r="W666" s="180"/>
      <c r="X666" s="180"/>
      <c r="Y666" s="180"/>
      <c r="Z666" s="180"/>
      <c r="AA666" s="180"/>
      <c r="AB666" s="180"/>
      <c r="AC666" s="180"/>
      <c r="AD666" s="180"/>
      <c r="AE666" s="180"/>
      <c r="AF666" s="180"/>
      <c r="AG666" s="180"/>
      <c r="AH666" s="180"/>
      <c r="AI666" s="180">
        <v>35000000</v>
      </c>
      <c r="AJ666" s="181">
        <f t="shared" si="155"/>
        <v>100</v>
      </c>
      <c r="AK666" s="180">
        <f t="shared" si="161"/>
        <v>0</v>
      </c>
      <c r="AL666" s="181">
        <f t="shared" si="157"/>
        <v>0</v>
      </c>
      <c r="AM666" s="243"/>
    </row>
    <row r="667" spans="1:39" ht="28.5" customHeight="1" x14ac:dyDescent="0.25">
      <c r="A667" s="243"/>
      <c r="B667" s="437"/>
      <c r="C667" s="437"/>
      <c r="D667" s="437"/>
      <c r="E667" s="437"/>
      <c r="F667" s="437"/>
      <c r="G667" s="437"/>
      <c r="H667" s="437"/>
      <c r="I667" s="438"/>
      <c r="J667" s="437" t="s">
        <v>280</v>
      </c>
      <c r="K667" s="245"/>
      <c r="L667" s="257"/>
      <c r="M667" s="591" t="s">
        <v>281</v>
      </c>
      <c r="N667" s="592"/>
      <c r="O667" s="179"/>
      <c r="P667" s="180"/>
      <c r="Q667" s="180">
        <v>1250000</v>
      </c>
      <c r="R667" s="181">
        <f t="shared" si="164"/>
        <v>0.56318467797422256</v>
      </c>
      <c r="S667" s="181">
        <v>100</v>
      </c>
      <c r="T667" s="180">
        <f t="shared" si="159"/>
        <v>100</v>
      </c>
      <c r="U667" s="180">
        <f t="shared" si="122"/>
        <v>0.56318467797422256</v>
      </c>
      <c r="V667" s="182">
        <f t="shared" si="142"/>
        <v>0</v>
      </c>
      <c r="W667" s="180"/>
      <c r="X667" s="180"/>
      <c r="Y667" s="180"/>
      <c r="Z667" s="180"/>
      <c r="AA667" s="180"/>
      <c r="AB667" s="180"/>
      <c r="AC667" s="180"/>
      <c r="AD667" s="180"/>
      <c r="AE667" s="180"/>
      <c r="AF667" s="180"/>
      <c r="AG667" s="180"/>
      <c r="AH667" s="180"/>
      <c r="AI667" s="180">
        <v>1250000</v>
      </c>
      <c r="AJ667" s="181">
        <f t="shared" si="155"/>
        <v>100</v>
      </c>
      <c r="AK667" s="180">
        <f t="shared" si="161"/>
        <v>0</v>
      </c>
      <c r="AL667" s="181">
        <f t="shared" si="157"/>
        <v>0</v>
      </c>
      <c r="AM667" s="243"/>
    </row>
    <row r="668" spans="1:39" ht="28.5" customHeight="1" x14ac:dyDescent="0.25">
      <c r="A668" s="243"/>
      <c r="B668" s="437"/>
      <c r="C668" s="437"/>
      <c r="D668" s="437"/>
      <c r="E668" s="437"/>
      <c r="F668" s="437"/>
      <c r="G668" s="437"/>
      <c r="H668" s="437"/>
      <c r="I668" s="438"/>
      <c r="J668" s="437" t="s">
        <v>284</v>
      </c>
      <c r="K668" s="245"/>
      <c r="L668" s="257"/>
      <c r="M668" s="591" t="s">
        <v>285</v>
      </c>
      <c r="N668" s="592"/>
      <c r="O668" s="179"/>
      <c r="P668" s="180"/>
      <c r="Q668" s="180">
        <v>2925000</v>
      </c>
      <c r="R668" s="181">
        <f t="shared" si="164"/>
        <v>1.3178521464596809</v>
      </c>
      <c r="S668" s="181">
        <v>100</v>
      </c>
      <c r="T668" s="180">
        <f t="shared" si="159"/>
        <v>78.974358974358978</v>
      </c>
      <c r="U668" s="180">
        <f t="shared" si="122"/>
        <v>1.0407652848963636</v>
      </c>
      <c r="V668" s="182">
        <f t="shared" si="142"/>
        <v>21.025641025641022</v>
      </c>
      <c r="W668" s="180"/>
      <c r="X668" s="180"/>
      <c r="Y668" s="180"/>
      <c r="Z668" s="180"/>
      <c r="AA668" s="180"/>
      <c r="AB668" s="180"/>
      <c r="AC668" s="180"/>
      <c r="AD668" s="180"/>
      <c r="AE668" s="180"/>
      <c r="AF668" s="180"/>
      <c r="AG668" s="180"/>
      <c r="AH668" s="180"/>
      <c r="AI668" s="180">
        <v>2310000</v>
      </c>
      <c r="AJ668" s="181">
        <f t="shared" si="155"/>
        <v>78.974358974358978</v>
      </c>
      <c r="AK668" s="180">
        <f t="shared" si="161"/>
        <v>615000</v>
      </c>
      <c r="AL668" s="181">
        <f t="shared" si="157"/>
        <v>21.025641025641026</v>
      </c>
      <c r="AM668" s="243"/>
    </row>
    <row r="669" spans="1:39" ht="28.5" customHeight="1" x14ac:dyDescent="0.25">
      <c r="A669" s="243"/>
      <c r="B669" s="437"/>
      <c r="C669" s="437"/>
      <c r="D669" s="437"/>
      <c r="E669" s="437"/>
      <c r="F669" s="437"/>
      <c r="G669" s="437"/>
      <c r="H669" s="437"/>
      <c r="I669" s="438"/>
      <c r="J669" s="437" t="s">
        <v>282</v>
      </c>
      <c r="K669" s="245"/>
      <c r="L669" s="257"/>
      <c r="M669" s="591" t="s">
        <v>283</v>
      </c>
      <c r="N669" s="592"/>
      <c r="O669" s="179"/>
      <c r="P669" s="180"/>
      <c r="Q669" s="180">
        <v>21300000</v>
      </c>
      <c r="R669" s="181">
        <f t="shared" si="164"/>
        <v>9.5966669126807531</v>
      </c>
      <c r="S669" s="181">
        <v>100</v>
      </c>
      <c r="T669" s="180">
        <f t="shared" si="159"/>
        <v>100</v>
      </c>
      <c r="U669" s="180">
        <f t="shared" si="122"/>
        <v>9.5966669126807531</v>
      </c>
      <c r="V669" s="182">
        <f t="shared" si="142"/>
        <v>0</v>
      </c>
      <c r="W669" s="180"/>
      <c r="X669" s="180"/>
      <c r="Y669" s="180"/>
      <c r="Z669" s="180"/>
      <c r="AA669" s="180"/>
      <c r="AB669" s="180"/>
      <c r="AC669" s="180"/>
      <c r="AD669" s="180"/>
      <c r="AE669" s="180"/>
      <c r="AF669" s="180"/>
      <c r="AG669" s="180"/>
      <c r="AH669" s="180"/>
      <c r="AI669" s="180">
        <v>21300000</v>
      </c>
      <c r="AJ669" s="181">
        <f t="shared" si="155"/>
        <v>100</v>
      </c>
      <c r="AK669" s="180">
        <f t="shared" si="161"/>
        <v>0</v>
      </c>
      <c r="AL669" s="181">
        <f t="shared" si="157"/>
        <v>0</v>
      </c>
      <c r="AM669" s="243"/>
    </row>
    <row r="670" spans="1:39" ht="28.5" customHeight="1" x14ac:dyDescent="0.25">
      <c r="A670" s="243"/>
      <c r="B670" s="437"/>
      <c r="C670" s="437"/>
      <c r="D670" s="437"/>
      <c r="E670" s="437"/>
      <c r="F670" s="437"/>
      <c r="G670" s="437"/>
      <c r="H670" s="437"/>
      <c r="I670" s="438"/>
      <c r="J670" s="437" t="s">
        <v>320</v>
      </c>
      <c r="K670" s="245"/>
      <c r="L670" s="257"/>
      <c r="M670" s="591" t="s">
        <v>321</v>
      </c>
      <c r="N670" s="592"/>
      <c r="O670" s="179"/>
      <c r="P670" s="180"/>
      <c r="Q670" s="180">
        <v>4300000</v>
      </c>
      <c r="R670" s="181">
        <f t="shared" si="164"/>
        <v>1.9373552922313255</v>
      </c>
      <c r="S670" s="181">
        <v>100</v>
      </c>
      <c r="T670" s="180">
        <f t="shared" si="159"/>
        <v>100</v>
      </c>
      <c r="U670" s="180">
        <f t="shared" si="122"/>
        <v>1.9373552922313255</v>
      </c>
      <c r="V670" s="182">
        <f t="shared" si="142"/>
        <v>0</v>
      </c>
      <c r="W670" s="180"/>
      <c r="X670" s="180"/>
      <c r="Y670" s="180"/>
      <c r="Z670" s="180"/>
      <c r="AA670" s="180"/>
      <c r="AB670" s="180"/>
      <c r="AC670" s="180"/>
      <c r="AD670" s="180"/>
      <c r="AE670" s="180"/>
      <c r="AF670" s="180"/>
      <c r="AG670" s="180"/>
      <c r="AH670" s="180"/>
      <c r="AI670" s="180">
        <v>4300000</v>
      </c>
      <c r="AJ670" s="181">
        <f t="shared" si="155"/>
        <v>100</v>
      </c>
      <c r="AK670" s="180">
        <f t="shared" si="161"/>
        <v>0</v>
      </c>
      <c r="AL670" s="181">
        <f t="shared" si="157"/>
        <v>0</v>
      </c>
      <c r="AM670" s="243"/>
    </row>
    <row r="671" spans="1:39" ht="28.5" customHeight="1" x14ac:dyDescent="0.25">
      <c r="A671" s="243"/>
      <c r="B671" s="437"/>
      <c r="C671" s="437"/>
      <c r="D671" s="437"/>
      <c r="E671" s="437"/>
      <c r="F671" s="437"/>
      <c r="G671" s="437"/>
      <c r="H671" s="437"/>
      <c r="I671" s="438"/>
      <c r="J671" s="437" t="s">
        <v>407</v>
      </c>
      <c r="K671" s="245"/>
      <c r="L671" s="257"/>
      <c r="M671" s="591" t="s">
        <v>607</v>
      </c>
      <c r="N671" s="592"/>
      <c r="O671" s="179"/>
      <c r="P671" s="180"/>
      <c r="Q671" s="180">
        <v>2650000</v>
      </c>
      <c r="R671" s="181">
        <f t="shared" si="164"/>
        <v>1.1939515173053519</v>
      </c>
      <c r="S671" s="181">
        <v>100</v>
      </c>
      <c r="T671" s="180">
        <f t="shared" si="159"/>
        <v>24.528301886792452</v>
      </c>
      <c r="U671" s="180">
        <f t="shared" si="122"/>
        <v>0.29285603254659576</v>
      </c>
      <c r="V671" s="182">
        <f t="shared" si="142"/>
        <v>75.471698113207552</v>
      </c>
      <c r="W671" s="180"/>
      <c r="X671" s="180"/>
      <c r="Y671" s="180"/>
      <c r="Z671" s="180"/>
      <c r="AA671" s="180"/>
      <c r="AB671" s="180"/>
      <c r="AC671" s="180"/>
      <c r="AD671" s="180"/>
      <c r="AE671" s="180"/>
      <c r="AF671" s="180"/>
      <c r="AG671" s="180"/>
      <c r="AH671" s="180"/>
      <c r="AI671" s="180">
        <v>650000</v>
      </c>
      <c r="AJ671" s="181">
        <f t="shared" si="155"/>
        <v>24.528301886792452</v>
      </c>
      <c r="AK671" s="180">
        <f t="shared" si="161"/>
        <v>2000000</v>
      </c>
      <c r="AL671" s="181">
        <f t="shared" si="157"/>
        <v>75.471698113207552</v>
      </c>
      <c r="AM671" s="243"/>
    </row>
    <row r="672" spans="1:39" ht="28.5" customHeight="1" x14ac:dyDescent="0.25">
      <c r="A672" s="243"/>
      <c r="B672" s="437"/>
      <c r="C672" s="437"/>
      <c r="D672" s="437"/>
      <c r="E672" s="437"/>
      <c r="F672" s="437"/>
      <c r="G672" s="437"/>
      <c r="H672" s="437"/>
      <c r="I672" s="438"/>
      <c r="J672" s="437" t="s">
        <v>372</v>
      </c>
      <c r="K672" s="245"/>
      <c r="L672" s="257"/>
      <c r="M672" s="591" t="s">
        <v>373</v>
      </c>
      <c r="N672" s="592"/>
      <c r="O672" s="179"/>
      <c r="P672" s="180"/>
      <c r="Q672" s="180">
        <v>15000000</v>
      </c>
      <c r="R672" s="181">
        <f t="shared" si="164"/>
        <v>6.7582161356906703</v>
      </c>
      <c r="S672" s="181">
        <v>100</v>
      </c>
      <c r="T672" s="180">
        <f t="shared" si="159"/>
        <v>100</v>
      </c>
      <c r="U672" s="180">
        <f t="shared" si="122"/>
        <v>6.7582161356906703</v>
      </c>
      <c r="V672" s="182">
        <v>100</v>
      </c>
      <c r="W672" s="180"/>
      <c r="X672" s="180"/>
      <c r="Y672" s="180"/>
      <c r="Z672" s="180"/>
      <c r="AA672" s="180"/>
      <c r="AB672" s="180"/>
      <c r="AC672" s="180"/>
      <c r="AD672" s="180"/>
      <c r="AE672" s="180"/>
      <c r="AF672" s="180"/>
      <c r="AG672" s="180"/>
      <c r="AH672" s="180"/>
      <c r="AI672" s="180">
        <v>15000000</v>
      </c>
      <c r="AJ672" s="181">
        <f t="shared" si="155"/>
        <v>100</v>
      </c>
      <c r="AK672" s="180">
        <f t="shared" si="161"/>
        <v>0</v>
      </c>
      <c r="AL672" s="181">
        <f t="shared" si="157"/>
        <v>0</v>
      </c>
      <c r="AM672" s="243"/>
    </row>
    <row r="673" spans="1:83" s="297" customFormat="1" ht="28.5" customHeight="1" x14ac:dyDescent="0.25">
      <c r="A673" s="227">
        <f>SUM(A659+1)</f>
        <v>79</v>
      </c>
      <c r="B673" s="442"/>
      <c r="C673" s="442"/>
      <c r="D673" s="442"/>
      <c r="E673" s="442"/>
      <c r="F673" s="442"/>
      <c r="G673" s="442"/>
      <c r="H673" s="442"/>
      <c r="I673" s="441"/>
      <c r="J673" s="442" t="s">
        <v>377</v>
      </c>
      <c r="K673" s="230"/>
      <c r="L673" s="294"/>
      <c r="M673" s="610" t="s">
        <v>378</v>
      </c>
      <c r="N673" s="610"/>
      <c r="O673" s="309">
        <v>355300000</v>
      </c>
      <c r="P673" s="231">
        <v>0</v>
      </c>
      <c r="Q673" s="231">
        <f>SUM(Q674:Q678)</f>
        <v>88840644</v>
      </c>
      <c r="R673" s="233">
        <f>Q673/Q$35*100</f>
        <v>0.27949392201427309</v>
      </c>
      <c r="S673" s="233">
        <v>100</v>
      </c>
      <c r="T673" s="231">
        <f t="shared" si="159"/>
        <v>24.144354469109881</v>
      </c>
      <c r="U673" s="231">
        <f>R673*T673/100</f>
        <v>6.7482003250743633E-2</v>
      </c>
      <c r="V673" s="296">
        <f t="shared" si="142"/>
        <v>75.855645530890115</v>
      </c>
      <c r="W673" s="231"/>
      <c r="X673" s="231"/>
      <c r="Y673" s="231"/>
      <c r="Z673" s="231"/>
      <c r="AA673" s="231"/>
      <c r="AB673" s="231"/>
      <c r="AC673" s="231"/>
      <c r="AD673" s="231"/>
      <c r="AE673" s="231"/>
      <c r="AF673" s="231"/>
      <c r="AG673" s="231" t="e">
        <f>[2]april!N78</f>
        <v>#REF!</v>
      </c>
      <c r="AH673" s="231">
        <f>'[3]DES SKPD'!$N78</f>
        <v>0</v>
      </c>
      <c r="AI673" s="231">
        <f>SUM(AI674:AI678)</f>
        <v>21450000</v>
      </c>
      <c r="AJ673" s="233">
        <f t="shared" si="155"/>
        <v>24.144354469109881</v>
      </c>
      <c r="AK673" s="231">
        <f t="shared" si="161"/>
        <v>67390644</v>
      </c>
      <c r="AL673" s="233">
        <f t="shared" si="157"/>
        <v>75.855645530890115</v>
      </c>
      <c r="AM673" s="227"/>
    </row>
    <row r="674" spans="1:83" ht="28.5" customHeight="1" x14ac:dyDescent="0.25">
      <c r="A674" s="243"/>
      <c r="B674" s="437"/>
      <c r="C674" s="437"/>
      <c r="D674" s="437"/>
      <c r="E674" s="437"/>
      <c r="F674" s="437"/>
      <c r="G674" s="437"/>
      <c r="H674" s="437"/>
      <c r="I674" s="438"/>
      <c r="J674" s="437" t="s">
        <v>323</v>
      </c>
      <c r="K674" s="245"/>
      <c r="L674" s="257"/>
      <c r="M674" s="591" t="s">
        <v>324</v>
      </c>
      <c r="N674" s="592"/>
      <c r="O674" s="179"/>
      <c r="P674" s="180"/>
      <c r="Q674" s="180">
        <v>25000000</v>
      </c>
      <c r="R674" s="181">
        <f>Q674/Q$673*100</f>
        <v>28.140273274020842</v>
      </c>
      <c r="S674" s="181">
        <v>100</v>
      </c>
      <c r="T674" s="180">
        <f t="shared" si="159"/>
        <v>40</v>
      </c>
      <c r="U674" s="180">
        <f t="shared" ref="U674:U679" si="165">R674*T674/100</f>
        <v>11.256109309608338</v>
      </c>
      <c r="V674" s="182">
        <f t="shared" si="142"/>
        <v>60</v>
      </c>
      <c r="W674" s="180"/>
      <c r="X674" s="180"/>
      <c r="Y674" s="180"/>
      <c r="Z674" s="180"/>
      <c r="AA674" s="180"/>
      <c r="AB674" s="180"/>
      <c r="AC674" s="180"/>
      <c r="AD674" s="180"/>
      <c r="AE674" s="180"/>
      <c r="AF674" s="180"/>
      <c r="AG674" s="180"/>
      <c r="AH674" s="180"/>
      <c r="AI674" s="180">
        <f>5000000+5000000</f>
        <v>10000000</v>
      </c>
      <c r="AJ674" s="181">
        <f t="shared" si="155"/>
        <v>40</v>
      </c>
      <c r="AK674" s="180">
        <f t="shared" si="161"/>
        <v>15000000</v>
      </c>
      <c r="AL674" s="181">
        <f t="shared" si="157"/>
        <v>60</v>
      </c>
      <c r="AM674" s="243"/>
    </row>
    <row r="675" spans="1:83" ht="28.5" customHeight="1" x14ac:dyDescent="0.25">
      <c r="A675" s="243"/>
      <c r="B675" s="437"/>
      <c r="C675" s="437"/>
      <c r="D675" s="437"/>
      <c r="E675" s="437"/>
      <c r="F675" s="437"/>
      <c r="G675" s="437"/>
      <c r="H675" s="437"/>
      <c r="I675" s="438"/>
      <c r="J675" s="437" t="s">
        <v>315</v>
      </c>
      <c r="K675" s="245"/>
      <c r="L675" s="257"/>
      <c r="M675" s="591" t="s">
        <v>271</v>
      </c>
      <c r="N675" s="592"/>
      <c r="O675" s="179"/>
      <c r="P675" s="180"/>
      <c r="Q675" s="180">
        <v>2000000</v>
      </c>
      <c r="R675" s="181">
        <f t="shared" ref="R675:R678" si="166">Q675/Q$673*100</f>
        <v>2.2512218619216671</v>
      </c>
      <c r="S675" s="181">
        <v>100</v>
      </c>
      <c r="T675" s="180">
        <f t="shared" si="159"/>
        <v>37.5</v>
      </c>
      <c r="U675" s="180">
        <f t="shared" si="165"/>
        <v>0.84420819822062509</v>
      </c>
      <c r="V675" s="182">
        <f t="shared" si="142"/>
        <v>62.5</v>
      </c>
      <c r="W675" s="180"/>
      <c r="X675" s="180"/>
      <c r="Y675" s="180"/>
      <c r="Z675" s="180"/>
      <c r="AA675" s="180"/>
      <c r="AB675" s="180"/>
      <c r="AC675" s="180"/>
      <c r="AD675" s="180"/>
      <c r="AE675" s="180"/>
      <c r="AF675" s="180"/>
      <c r="AG675" s="180"/>
      <c r="AH675" s="180"/>
      <c r="AI675" s="180">
        <v>750000</v>
      </c>
      <c r="AJ675" s="181">
        <f t="shared" si="155"/>
        <v>37.5</v>
      </c>
      <c r="AK675" s="180">
        <f t="shared" si="161"/>
        <v>1250000</v>
      </c>
      <c r="AL675" s="181">
        <f t="shared" si="157"/>
        <v>62.5</v>
      </c>
      <c r="AM675" s="243"/>
    </row>
    <row r="676" spans="1:83" ht="28.5" customHeight="1" x14ac:dyDescent="0.25">
      <c r="A676" s="243"/>
      <c r="B676" s="437"/>
      <c r="C676" s="437"/>
      <c r="D676" s="437"/>
      <c r="E676" s="437"/>
      <c r="F676" s="437"/>
      <c r="G676" s="437"/>
      <c r="H676" s="437"/>
      <c r="I676" s="438"/>
      <c r="J676" s="437" t="s">
        <v>280</v>
      </c>
      <c r="K676" s="245"/>
      <c r="L676" s="257"/>
      <c r="M676" s="591" t="s">
        <v>425</v>
      </c>
      <c r="N676" s="592"/>
      <c r="O676" s="179"/>
      <c r="P676" s="180"/>
      <c r="Q676" s="180">
        <v>7500000</v>
      </c>
      <c r="R676" s="181">
        <f t="shared" si="166"/>
        <v>8.4420819822062523</v>
      </c>
      <c r="S676" s="181">
        <v>100</v>
      </c>
      <c r="T676" s="180">
        <f t="shared" si="159"/>
        <v>33.333333333333329</v>
      </c>
      <c r="U676" s="180">
        <f t="shared" si="165"/>
        <v>2.8140273274020835</v>
      </c>
      <c r="V676" s="182">
        <f t="shared" si="142"/>
        <v>66.666666666666671</v>
      </c>
      <c r="W676" s="180"/>
      <c r="X676" s="180"/>
      <c r="Y676" s="180"/>
      <c r="Z676" s="180"/>
      <c r="AA676" s="180"/>
      <c r="AB676" s="180"/>
      <c r="AC676" s="180"/>
      <c r="AD676" s="180"/>
      <c r="AE676" s="180"/>
      <c r="AF676" s="180"/>
      <c r="AG676" s="180"/>
      <c r="AH676" s="180"/>
      <c r="AI676" s="180">
        <f>1250000+1250000</f>
        <v>2500000</v>
      </c>
      <c r="AJ676" s="181">
        <f t="shared" si="155"/>
        <v>33.333333333333329</v>
      </c>
      <c r="AK676" s="180">
        <f t="shared" si="161"/>
        <v>5000000</v>
      </c>
      <c r="AL676" s="181">
        <f t="shared" si="157"/>
        <v>66.666666666666657</v>
      </c>
      <c r="AM676" s="243"/>
    </row>
    <row r="677" spans="1:83" ht="28.5" customHeight="1" x14ac:dyDescent="0.25">
      <c r="A677" s="243"/>
      <c r="B677" s="437"/>
      <c r="C677" s="437"/>
      <c r="D677" s="437"/>
      <c r="E677" s="437"/>
      <c r="F677" s="437"/>
      <c r="G677" s="437"/>
      <c r="H677" s="437"/>
      <c r="I677" s="438"/>
      <c r="J677" s="437" t="s">
        <v>284</v>
      </c>
      <c r="K677" s="245"/>
      <c r="L677" s="257"/>
      <c r="M677" s="591" t="s">
        <v>285</v>
      </c>
      <c r="N677" s="592"/>
      <c r="O677" s="179"/>
      <c r="P677" s="180"/>
      <c r="Q677" s="180">
        <v>24500000</v>
      </c>
      <c r="R677" s="181">
        <f t="shared" si="166"/>
        <v>27.577467808540423</v>
      </c>
      <c r="S677" s="181">
        <v>100</v>
      </c>
      <c r="T677" s="180">
        <f t="shared" si="159"/>
        <v>0</v>
      </c>
      <c r="U677" s="180">
        <f t="shared" si="165"/>
        <v>0</v>
      </c>
      <c r="V677" s="182">
        <f t="shared" si="142"/>
        <v>100</v>
      </c>
      <c r="W677" s="180"/>
      <c r="X677" s="180"/>
      <c r="Y677" s="180"/>
      <c r="Z677" s="180"/>
      <c r="AA677" s="180"/>
      <c r="AB677" s="180"/>
      <c r="AC677" s="180"/>
      <c r="AD677" s="180"/>
      <c r="AE677" s="180"/>
      <c r="AF677" s="180"/>
      <c r="AG677" s="180"/>
      <c r="AH677" s="180"/>
      <c r="AI677" s="180">
        <v>0</v>
      </c>
      <c r="AJ677" s="181">
        <f t="shared" si="155"/>
        <v>0</v>
      </c>
      <c r="AK677" s="180">
        <f t="shared" si="161"/>
        <v>24500000</v>
      </c>
      <c r="AL677" s="181">
        <f t="shared" si="157"/>
        <v>100</v>
      </c>
      <c r="AM677" s="243"/>
    </row>
    <row r="678" spans="1:83" ht="28.5" customHeight="1" x14ac:dyDescent="0.25">
      <c r="A678" s="243"/>
      <c r="B678" s="437"/>
      <c r="C678" s="437"/>
      <c r="D678" s="437"/>
      <c r="E678" s="437"/>
      <c r="F678" s="437"/>
      <c r="G678" s="437"/>
      <c r="H678" s="437"/>
      <c r="I678" s="438"/>
      <c r="J678" s="437" t="s">
        <v>282</v>
      </c>
      <c r="K678" s="245"/>
      <c r="L678" s="257"/>
      <c r="M678" s="591" t="s">
        <v>283</v>
      </c>
      <c r="N678" s="592"/>
      <c r="O678" s="179"/>
      <c r="P678" s="180"/>
      <c r="Q678" s="180">
        <v>29840644</v>
      </c>
      <c r="R678" s="181">
        <f t="shared" si="166"/>
        <v>33.588955073310814</v>
      </c>
      <c r="S678" s="181">
        <v>100</v>
      </c>
      <c r="T678" s="180">
        <f t="shared" si="159"/>
        <v>27.479299709483477</v>
      </c>
      <c r="U678" s="180">
        <f t="shared" si="165"/>
        <v>9.2300096338788347</v>
      </c>
      <c r="V678" s="182">
        <f t="shared" si="142"/>
        <v>72.520700290516515</v>
      </c>
      <c r="W678" s="180"/>
      <c r="X678" s="180"/>
      <c r="Y678" s="180"/>
      <c r="Z678" s="180"/>
      <c r="AA678" s="180"/>
      <c r="AB678" s="180"/>
      <c r="AC678" s="180"/>
      <c r="AD678" s="180"/>
      <c r="AE678" s="180"/>
      <c r="AF678" s="180"/>
      <c r="AG678" s="180"/>
      <c r="AH678" s="180"/>
      <c r="AI678" s="180">
        <f>5700000+2500000</f>
        <v>8200000</v>
      </c>
      <c r="AJ678" s="181">
        <f t="shared" si="155"/>
        <v>27.479299709483477</v>
      </c>
      <c r="AK678" s="180">
        <f t="shared" si="161"/>
        <v>21640644</v>
      </c>
      <c r="AL678" s="181">
        <f t="shared" si="157"/>
        <v>72.520700290516515</v>
      </c>
      <c r="AM678" s="243"/>
    </row>
    <row r="679" spans="1:83" ht="28.5" customHeight="1" x14ac:dyDescent="0.25">
      <c r="A679" s="289" t="s">
        <v>38</v>
      </c>
      <c r="B679" s="607" t="s">
        <v>145</v>
      </c>
      <c r="C679" s="607"/>
      <c r="D679" s="607"/>
      <c r="E679" s="607"/>
      <c r="F679" s="607"/>
      <c r="G679" s="607"/>
      <c r="H679" s="607"/>
      <c r="I679" s="608"/>
      <c r="J679" s="443" t="s">
        <v>531</v>
      </c>
      <c r="K679" s="291"/>
      <c r="L679" s="607" t="s">
        <v>532</v>
      </c>
      <c r="M679" s="607"/>
      <c r="N679" s="608"/>
      <c r="O679" s="263" t="e">
        <f>SUM(O680:O1154)</f>
        <v>#REF!</v>
      </c>
      <c r="P679" s="263" t="e">
        <f>SUM(P680:P1154)</f>
        <v>#REF!</v>
      </c>
      <c r="Q679" s="263">
        <f>SUM(Q680)</f>
        <v>649500000</v>
      </c>
      <c r="R679" s="222">
        <f>Q679/Q$58*100</f>
        <v>3.2186986170973042</v>
      </c>
      <c r="S679" s="222">
        <v>100</v>
      </c>
      <c r="T679" s="263">
        <f t="shared" si="159"/>
        <v>16.055427251732102</v>
      </c>
      <c r="U679" s="308">
        <f t="shared" si="165"/>
        <v>0.5167758149205649</v>
      </c>
      <c r="V679" s="292">
        <f t="shared" si="142"/>
        <v>83.944572748267902</v>
      </c>
      <c r="W679" s="263">
        <f t="shared" ref="W679:AH679" si="167">SUM(W680:W1154)</f>
        <v>0</v>
      </c>
      <c r="X679" s="263">
        <f t="shared" si="167"/>
        <v>0</v>
      </c>
      <c r="Y679" s="263">
        <f t="shared" si="167"/>
        <v>0</v>
      </c>
      <c r="Z679" s="263">
        <f t="shared" si="167"/>
        <v>0</v>
      </c>
      <c r="AA679" s="263">
        <f t="shared" si="167"/>
        <v>0</v>
      </c>
      <c r="AB679" s="263">
        <f t="shared" si="167"/>
        <v>0</v>
      </c>
      <c r="AC679" s="263">
        <f t="shared" si="167"/>
        <v>0</v>
      </c>
      <c r="AD679" s="263">
        <f t="shared" si="167"/>
        <v>0</v>
      </c>
      <c r="AE679" s="263">
        <f t="shared" si="167"/>
        <v>0</v>
      </c>
      <c r="AF679" s="263">
        <f t="shared" si="167"/>
        <v>0</v>
      </c>
      <c r="AG679" s="263" t="e">
        <f t="shared" si="167"/>
        <v>#REF!</v>
      </c>
      <c r="AH679" s="263">
        <f t="shared" si="167"/>
        <v>0</v>
      </c>
      <c r="AI679" s="263">
        <f>SUM(AI680)</f>
        <v>104280000</v>
      </c>
      <c r="AJ679" s="222">
        <f t="shared" si="155"/>
        <v>16.055427251732102</v>
      </c>
      <c r="AK679" s="263">
        <f>SUM(Q679-AI679)</f>
        <v>545220000</v>
      </c>
      <c r="AL679" s="222">
        <f t="shared" si="157"/>
        <v>83.944572748267902</v>
      </c>
      <c r="AM679" s="289"/>
    </row>
    <row r="680" spans="1:83" s="297" customFormat="1" ht="28.5" customHeight="1" x14ac:dyDescent="0.25">
      <c r="A680" s="227">
        <f>SUM(A673+1)</f>
        <v>80</v>
      </c>
      <c r="B680" s="442"/>
      <c r="C680" s="442"/>
      <c r="D680" s="442"/>
      <c r="E680" s="442"/>
      <c r="F680" s="442"/>
      <c r="G680" s="442"/>
      <c r="H680" s="442"/>
      <c r="I680" s="441"/>
      <c r="J680" s="442" t="s">
        <v>381</v>
      </c>
      <c r="K680" s="230"/>
      <c r="L680" s="294"/>
      <c r="M680" s="609" t="s">
        <v>533</v>
      </c>
      <c r="N680" s="609"/>
      <c r="O680" s="309">
        <v>355300000</v>
      </c>
      <c r="P680" s="231">
        <v>0</v>
      </c>
      <c r="Q680" s="231">
        <f>SUM(Q681:Q687)</f>
        <v>649500000</v>
      </c>
      <c r="R680" s="233">
        <f>Q680/Q$35*100</f>
        <v>2.0433361823476917</v>
      </c>
      <c r="S680" s="233">
        <v>100</v>
      </c>
      <c r="T680" s="231">
        <f>AJ680</f>
        <v>16.055427251732102</v>
      </c>
      <c r="U680" s="231">
        <f>R680*T680/100</f>
        <v>0.32806635426515363</v>
      </c>
      <c r="V680" s="296">
        <f>S680-T680</f>
        <v>83.944572748267902</v>
      </c>
      <c r="W680" s="231"/>
      <c r="X680" s="231"/>
      <c r="Y680" s="231"/>
      <c r="Z680" s="231"/>
      <c r="AA680" s="231"/>
      <c r="AB680" s="231"/>
      <c r="AC680" s="231"/>
      <c r="AD680" s="231"/>
      <c r="AE680" s="231"/>
      <c r="AF680" s="231"/>
      <c r="AG680" s="231" t="e">
        <f>[2]april!N87</f>
        <v>#REF!</v>
      </c>
      <c r="AH680" s="231">
        <f>'[3]DES SKPD'!$N87</f>
        <v>0</v>
      </c>
      <c r="AI680" s="231">
        <f>SUM(AI681:AI687)</f>
        <v>104280000</v>
      </c>
      <c r="AJ680" s="181">
        <f t="shared" si="155"/>
        <v>16.055427251732102</v>
      </c>
      <c r="AK680" s="231">
        <f t="shared" si="161"/>
        <v>545220000</v>
      </c>
      <c r="AL680" s="233">
        <f t="shared" si="157"/>
        <v>83.944572748267902</v>
      </c>
      <c r="AM680" s="227"/>
    </row>
    <row r="681" spans="1:83" ht="28.5" customHeight="1" x14ac:dyDescent="0.25">
      <c r="A681" s="243"/>
      <c r="B681" s="437"/>
      <c r="C681" s="437"/>
      <c r="D681" s="437"/>
      <c r="E681" s="437"/>
      <c r="F681" s="437"/>
      <c r="G681" s="437"/>
      <c r="H681" s="437"/>
      <c r="I681" s="438"/>
      <c r="J681" s="437" t="s">
        <v>536</v>
      </c>
      <c r="K681" s="245"/>
      <c r="L681" s="257"/>
      <c r="M681" s="604" t="s">
        <v>271</v>
      </c>
      <c r="N681" s="592"/>
      <c r="O681" s="179"/>
      <c r="P681" s="180"/>
      <c r="Q681" s="180">
        <v>14900000</v>
      </c>
      <c r="R681" s="181">
        <f t="shared" ref="R681:R687" si="168">Q681/Q$680*100</f>
        <v>2.2940723633564279</v>
      </c>
      <c r="S681" s="181">
        <v>100</v>
      </c>
      <c r="T681" s="180">
        <f t="shared" ref="T681:T687" si="169">AJ681</f>
        <v>16.778523489932887</v>
      </c>
      <c r="U681" s="180">
        <f t="shared" ref="U681:U687" si="170">R681*T681/100</f>
        <v>0.38491147036181678</v>
      </c>
      <c r="V681" s="182">
        <f t="shared" ref="V681:V687" si="171">S681-T681</f>
        <v>83.221476510067106</v>
      </c>
      <c r="W681" s="180"/>
      <c r="X681" s="180"/>
      <c r="Y681" s="180"/>
      <c r="Z681" s="180"/>
      <c r="AA681" s="180"/>
      <c r="AB681" s="180"/>
      <c r="AC681" s="180"/>
      <c r="AD681" s="180"/>
      <c r="AE681" s="180"/>
      <c r="AF681" s="180"/>
      <c r="AG681" s="180"/>
      <c r="AH681" s="180"/>
      <c r="AI681" s="180">
        <v>2500000</v>
      </c>
      <c r="AJ681" s="181">
        <f t="shared" si="155"/>
        <v>16.778523489932887</v>
      </c>
      <c r="AK681" s="180">
        <f t="shared" si="161"/>
        <v>12400000</v>
      </c>
      <c r="AL681" s="181">
        <f t="shared" si="157"/>
        <v>83.22147651006712</v>
      </c>
      <c r="AM681" s="243"/>
    </row>
    <row r="682" spans="1:83" ht="28.5" customHeight="1" x14ac:dyDescent="0.25">
      <c r="A682" s="243"/>
      <c r="B682" s="437"/>
      <c r="C682" s="437"/>
      <c r="D682" s="437"/>
      <c r="E682" s="437"/>
      <c r="F682" s="437"/>
      <c r="G682" s="437"/>
      <c r="H682" s="437"/>
      <c r="I682" s="438"/>
      <c r="J682" s="437" t="s">
        <v>502</v>
      </c>
      <c r="K682" s="245"/>
      <c r="L682" s="257"/>
      <c r="M682" s="604" t="s">
        <v>319</v>
      </c>
      <c r="N682" s="592"/>
      <c r="O682" s="179"/>
      <c r="P682" s="180"/>
      <c r="Q682" s="180">
        <v>200200000</v>
      </c>
      <c r="R682" s="181">
        <f>Q682/Q$680*100</f>
        <v>30.82371054657429</v>
      </c>
      <c r="S682" s="181">
        <v>100</v>
      </c>
      <c r="T682" s="180">
        <f t="shared" si="169"/>
        <v>49.615384615384613</v>
      </c>
      <c r="U682" s="180">
        <f t="shared" si="170"/>
        <v>15.293302540415704</v>
      </c>
      <c r="V682" s="182">
        <f t="shared" si="171"/>
        <v>50.384615384615387</v>
      </c>
      <c r="W682" s="180"/>
      <c r="X682" s="180"/>
      <c r="Y682" s="180"/>
      <c r="Z682" s="180"/>
      <c r="AA682" s="180"/>
      <c r="AB682" s="180"/>
      <c r="AC682" s="180"/>
      <c r="AD682" s="180"/>
      <c r="AE682" s="180"/>
      <c r="AF682" s="180"/>
      <c r="AG682" s="180"/>
      <c r="AH682" s="180"/>
      <c r="AI682" s="180">
        <v>99330000</v>
      </c>
      <c r="AJ682" s="181">
        <f t="shared" si="155"/>
        <v>49.615384615384613</v>
      </c>
      <c r="AK682" s="180">
        <f t="shared" si="161"/>
        <v>100870000</v>
      </c>
      <c r="AL682" s="181">
        <f t="shared" si="157"/>
        <v>50.384615384615387</v>
      </c>
      <c r="AM682" s="243"/>
    </row>
    <row r="683" spans="1:83" ht="28.5" customHeight="1" x14ac:dyDescent="0.25">
      <c r="A683" s="243"/>
      <c r="B683" s="437"/>
      <c r="C683" s="437"/>
      <c r="D683" s="437"/>
      <c r="E683" s="437"/>
      <c r="F683" s="437"/>
      <c r="G683" s="437"/>
      <c r="H683" s="437"/>
      <c r="I683" s="438"/>
      <c r="J683" s="437" t="s">
        <v>625</v>
      </c>
      <c r="K683" s="245"/>
      <c r="L683" s="257"/>
      <c r="M683" s="604" t="s">
        <v>281</v>
      </c>
      <c r="N683" s="592"/>
      <c r="O683" s="179"/>
      <c r="P683" s="180"/>
      <c r="Q683" s="180">
        <v>25200000</v>
      </c>
      <c r="R683" s="181">
        <f>Q683/Q$680*100</f>
        <v>3.8799076212471131</v>
      </c>
      <c r="S683" s="181">
        <v>100</v>
      </c>
      <c r="T683" s="180">
        <f t="shared" si="169"/>
        <v>9.7222222222222232</v>
      </c>
      <c r="U683" s="180">
        <f t="shared" si="170"/>
        <v>0.37721324095458042</v>
      </c>
      <c r="V683" s="182">
        <f t="shared" si="171"/>
        <v>90.277777777777771</v>
      </c>
      <c r="W683" s="180"/>
      <c r="X683" s="180"/>
      <c r="Y683" s="180"/>
      <c r="Z683" s="180"/>
      <c r="AA683" s="180"/>
      <c r="AB683" s="180"/>
      <c r="AC683" s="180"/>
      <c r="AD683" s="180"/>
      <c r="AE683" s="180"/>
      <c r="AF683" s="180"/>
      <c r="AG683" s="180"/>
      <c r="AH683" s="180"/>
      <c r="AI683" s="180">
        <v>2450000</v>
      </c>
      <c r="AJ683" s="181">
        <f t="shared" si="155"/>
        <v>9.7222222222222232</v>
      </c>
      <c r="AK683" s="180">
        <f t="shared" si="161"/>
        <v>22750000</v>
      </c>
      <c r="AL683" s="181">
        <f t="shared" si="157"/>
        <v>90.277777777777786</v>
      </c>
      <c r="AM683" s="243"/>
    </row>
    <row r="684" spans="1:83" ht="28.5" customHeight="1" x14ac:dyDescent="0.25">
      <c r="A684" s="243"/>
      <c r="B684" s="437"/>
      <c r="C684" s="437"/>
      <c r="D684" s="437"/>
      <c r="E684" s="437"/>
      <c r="F684" s="437"/>
      <c r="G684" s="437"/>
      <c r="H684" s="437"/>
      <c r="I684" s="438"/>
      <c r="J684" s="437" t="s">
        <v>538</v>
      </c>
      <c r="K684" s="245"/>
      <c r="L684" s="257"/>
      <c r="M684" s="605" t="s">
        <v>626</v>
      </c>
      <c r="N684" s="606"/>
      <c r="O684" s="179"/>
      <c r="P684" s="180"/>
      <c r="Q684" s="180">
        <v>92000000</v>
      </c>
      <c r="R684" s="181">
        <f t="shared" si="168"/>
        <v>14.164742109314856</v>
      </c>
      <c r="S684" s="181">
        <v>100</v>
      </c>
      <c r="T684" s="180">
        <f t="shared" si="169"/>
        <v>0</v>
      </c>
      <c r="U684" s="180">
        <f t="shared" si="170"/>
        <v>0</v>
      </c>
      <c r="V684" s="182">
        <f t="shared" si="171"/>
        <v>100</v>
      </c>
      <c r="W684" s="180"/>
      <c r="X684" s="180"/>
      <c r="Y684" s="180"/>
      <c r="Z684" s="180"/>
      <c r="AA684" s="180"/>
      <c r="AB684" s="180"/>
      <c r="AC684" s="180"/>
      <c r="AD684" s="180"/>
      <c r="AE684" s="180"/>
      <c r="AF684" s="180"/>
      <c r="AG684" s="180"/>
      <c r="AH684" s="180"/>
      <c r="AI684" s="180">
        <v>0</v>
      </c>
      <c r="AJ684" s="181">
        <f t="shared" si="155"/>
        <v>0</v>
      </c>
      <c r="AK684" s="180">
        <f t="shared" si="161"/>
        <v>92000000</v>
      </c>
      <c r="AL684" s="181">
        <f t="shared" si="157"/>
        <v>100</v>
      </c>
      <c r="AM684" s="243"/>
    </row>
    <row r="685" spans="1:83" ht="28.5" customHeight="1" x14ac:dyDescent="0.25">
      <c r="A685" s="243"/>
      <c r="B685" s="437"/>
      <c r="C685" s="437"/>
      <c r="D685" s="437"/>
      <c r="E685" s="437"/>
      <c r="F685" s="437"/>
      <c r="G685" s="437"/>
      <c r="H685" s="437"/>
      <c r="I685" s="438"/>
      <c r="J685" s="437" t="s">
        <v>629</v>
      </c>
      <c r="K685" s="245"/>
      <c r="L685" s="257"/>
      <c r="M685" s="605" t="s">
        <v>321</v>
      </c>
      <c r="N685" s="606"/>
      <c r="O685" s="179"/>
      <c r="P685" s="180"/>
      <c r="Q685" s="180">
        <v>9200000</v>
      </c>
      <c r="R685" s="181">
        <f t="shared" si="168"/>
        <v>1.4164742109314856</v>
      </c>
      <c r="S685" s="181">
        <v>100</v>
      </c>
      <c r="T685" s="180">
        <f t="shared" si="169"/>
        <v>0</v>
      </c>
      <c r="U685" s="180">
        <f t="shared" si="170"/>
        <v>0</v>
      </c>
      <c r="V685" s="182">
        <f t="shared" si="171"/>
        <v>100</v>
      </c>
      <c r="W685" s="180"/>
      <c r="X685" s="180"/>
      <c r="Y685" s="180"/>
      <c r="Z685" s="180"/>
      <c r="AA685" s="180"/>
      <c r="AB685" s="180"/>
      <c r="AC685" s="180"/>
      <c r="AD685" s="180"/>
      <c r="AE685" s="180"/>
      <c r="AF685" s="180"/>
      <c r="AG685" s="180"/>
      <c r="AH685" s="180"/>
      <c r="AI685" s="180">
        <v>0</v>
      </c>
      <c r="AJ685" s="181">
        <f t="shared" ref="AJ685:AJ687" si="172">AI685/Q685*100</f>
        <v>0</v>
      </c>
      <c r="AK685" s="180">
        <f t="shared" si="161"/>
        <v>9200000</v>
      </c>
      <c r="AL685" s="181">
        <f t="shared" si="157"/>
        <v>100</v>
      </c>
      <c r="AM685" s="243"/>
    </row>
    <row r="686" spans="1:83" ht="28.5" customHeight="1" x14ac:dyDescent="0.25">
      <c r="A686" s="243"/>
      <c r="B686" s="437"/>
      <c r="C686" s="437"/>
      <c r="D686" s="437"/>
      <c r="E686" s="437"/>
      <c r="F686" s="437"/>
      <c r="G686" s="437"/>
      <c r="H686" s="437"/>
      <c r="I686" s="438"/>
      <c r="J686" s="437" t="s">
        <v>628</v>
      </c>
      <c r="K686" s="245"/>
      <c r="L686" s="257"/>
      <c r="M686" s="605" t="s">
        <v>310</v>
      </c>
      <c r="N686" s="606"/>
      <c r="O686" s="179"/>
      <c r="P686" s="180"/>
      <c r="Q686" s="180">
        <v>300000000</v>
      </c>
      <c r="R686" s="181">
        <f t="shared" si="168"/>
        <v>46.189376443418013</v>
      </c>
      <c r="S686" s="181">
        <v>100</v>
      </c>
      <c r="T686" s="180">
        <f t="shared" si="169"/>
        <v>0</v>
      </c>
      <c r="U686" s="180">
        <f t="shared" si="170"/>
        <v>0</v>
      </c>
      <c r="V686" s="182">
        <f t="shared" si="171"/>
        <v>100</v>
      </c>
      <c r="W686" s="180"/>
      <c r="X686" s="180"/>
      <c r="Y686" s="180"/>
      <c r="Z686" s="180"/>
      <c r="AA686" s="180"/>
      <c r="AB686" s="180"/>
      <c r="AC686" s="180"/>
      <c r="AD686" s="180"/>
      <c r="AE686" s="180"/>
      <c r="AF686" s="180"/>
      <c r="AG686" s="180"/>
      <c r="AH686" s="180"/>
      <c r="AI686" s="180">
        <v>0</v>
      </c>
      <c r="AJ686" s="181">
        <f t="shared" si="172"/>
        <v>0</v>
      </c>
      <c r="AK686" s="180">
        <f t="shared" si="161"/>
        <v>300000000</v>
      </c>
      <c r="AL686" s="181">
        <f t="shared" si="157"/>
        <v>100</v>
      </c>
      <c r="AM686" s="243"/>
    </row>
    <row r="687" spans="1:83" ht="24.75" customHeight="1" x14ac:dyDescent="0.25">
      <c r="A687" s="243"/>
      <c r="B687" s="597" t="s">
        <v>158</v>
      </c>
      <c r="C687" s="597"/>
      <c r="D687" s="597"/>
      <c r="E687" s="597"/>
      <c r="F687" s="597"/>
      <c r="G687" s="597"/>
      <c r="H687" s="597"/>
      <c r="I687" s="598"/>
      <c r="J687" s="437" t="s">
        <v>627</v>
      </c>
      <c r="K687" s="314"/>
      <c r="L687" s="315"/>
      <c r="M687" s="599" t="s">
        <v>607</v>
      </c>
      <c r="N687" s="600"/>
      <c r="O687" s="316"/>
      <c r="P687" s="316"/>
      <c r="Q687" s="317">
        <v>8000000</v>
      </c>
      <c r="R687" s="181">
        <f t="shared" si="168"/>
        <v>1.2317167051578137</v>
      </c>
      <c r="S687" s="181">
        <v>100</v>
      </c>
      <c r="T687" s="180">
        <f t="shared" si="169"/>
        <v>0</v>
      </c>
      <c r="U687" s="180">
        <f t="shared" si="170"/>
        <v>0</v>
      </c>
      <c r="V687" s="182">
        <f t="shared" si="171"/>
        <v>100</v>
      </c>
      <c r="W687" s="316"/>
      <c r="X687" s="316"/>
      <c r="Y687" s="316"/>
      <c r="Z687" s="316"/>
      <c r="AA687" s="316"/>
      <c r="AB687" s="316"/>
      <c r="AC687" s="316"/>
      <c r="AD687" s="316"/>
      <c r="AE687" s="316"/>
      <c r="AF687" s="316"/>
      <c r="AG687" s="316"/>
      <c r="AH687" s="316"/>
      <c r="AI687" s="180">
        <v>0</v>
      </c>
      <c r="AJ687" s="181">
        <f t="shared" si="172"/>
        <v>0</v>
      </c>
      <c r="AK687" s="180">
        <f t="shared" si="161"/>
        <v>8000000</v>
      </c>
      <c r="AL687" s="181">
        <f t="shared" si="157"/>
        <v>100</v>
      </c>
      <c r="AM687" s="243"/>
      <c r="AQ687" s="318"/>
      <c r="AR687" s="318"/>
      <c r="AS687" s="318"/>
      <c r="AT687" s="318"/>
      <c r="AU687" s="318"/>
      <c r="AV687" s="318"/>
      <c r="AW687" s="318"/>
      <c r="AX687" s="318"/>
      <c r="AY687" s="318"/>
      <c r="AZ687" s="318"/>
      <c r="BA687" s="318"/>
      <c r="BB687" s="318"/>
      <c r="BC687" s="318"/>
      <c r="BD687" s="318"/>
      <c r="BE687" s="318"/>
      <c r="BF687" s="318"/>
      <c r="BG687" s="318"/>
      <c r="BH687" s="318"/>
      <c r="BI687" s="318"/>
      <c r="BJ687" s="318"/>
      <c r="BK687" s="318"/>
      <c r="BL687" s="318"/>
      <c r="BM687" s="318"/>
      <c r="BN687" s="318"/>
      <c r="BO687" s="318"/>
      <c r="BP687" s="318"/>
      <c r="BQ687" s="318"/>
      <c r="BR687" s="318"/>
      <c r="BS687" s="318"/>
      <c r="BT687" s="318"/>
      <c r="BU687" s="318"/>
      <c r="BV687" s="318"/>
      <c r="BW687" s="318"/>
      <c r="BX687" s="318"/>
      <c r="BY687" s="318"/>
      <c r="BZ687" s="318"/>
      <c r="CA687" s="318"/>
      <c r="CB687" s="318"/>
      <c r="CC687" s="318"/>
      <c r="CD687" s="318"/>
      <c r="CE687" s="318"/>
    </row>
    <row r="688" spans="1:83" s="319" customFormat="1" ht="24" customHeight="1" x14ac:dyDescent="0.25">
      <c r="B688" s="601" t="s">
        <v>166</v>
      </c>
      <c r="C688" s="601"/>
      <c r="D688" s="601"/>
      <c r="E688" s="601"/>
      <c r="F688" s="601"/>
      <c r="G688" s="601"/>
      <c r="H688" s="601"/>
      <c r="I688" s="601"/>
      <c r="J688" s="439"/>
      <c r="L688" s="601"/>
      <c r="M688" s="601"/>
      <c r="N688" s="601"/>
      <c r="O688" s="321" t="e">
        <f>SUM(#REF!)</f>
        <v>#REF!</v>
      </c>
      <c r="P688" s="321" t="e">
        <f>SUM(#REF!)</f>
        <v>#REF!</v>
      </c>
      <c r="Q688" s="321"/>
      <c r="R688" s="322"/>
      <c r="S688" s="322"/>
      <c r="T688" s="321"/>
      <c r="U688" s="321"/>
      <c r="V688" s="323"/>
      <c r="W688" s="321"/>
      <c r="X688" s="321"/>
      <c r="Y688" s="321"/>
      <c r="Z688" s="321"/>
      <c r="AA688" s="321"/>
      <c r="AB688" s="321"/>
      <c r="AC688" s="321"/>
      <c r="AD688" s="321"/>
      <c r="AE688" s="321"/>
      <c r="AF688" s="321"/>
      <c r="AG688" s="321"/>
      <c r="AH688" s="321"/>
      <c r="AI688" s="321"/>
      <c r="AJ688" s="322"/>
      <c r="AK688" s="321"/>
      <c r="AL688" s="322"/>
      <c r="AQ688" s="325"/>
      <c r="AR688" s="325"/>
      <c r="AS688" s="325"/>
      <c r="AT688" s="325"/>
      <c r="AU688" s="325"/>
      <c r="AV688" s="325"/>
      <c r="AW688" s="325"/>
      <c r="AX688" s="325"/>
      <c r="AY688" s="325"/>
      <c r="AZ688" s="325"/>
      <c r="BA688" s="325"/>
      <c r="BB688" s="325"/>
      <c r="BC688" s="325"/>
      <c r="BD688" s="325"/>
      <c r="BE688" s="325"/>
      <c r="BF688" s="325"/>
      <c r="BG688" s="325"/>
      <c r="BH688" s="325"/>
      <c r="BI688" s="325"/>
      <c r="BJ688" s="325"/>
      <c r="BK688" s="325"/>
      <c r="BL688" s="325"/>
      <c r="BM688" s="325"/>
      <c r="BN688" s="325"/>
      <c r="BO688" s="325"/>
      <c r="BP688" s="325"/>
      <c r="BQ688" s="325"/>
      <c r="BR688" s="325"/>
      <c r="BS688" s="325"/>
      <c r="BT688" s="325"/>
      <c r="BU688" s="325"/>
      <c r="BV688" s="325"/>
      <c r="BW688" s="325"/>
      <c r="BX688" s="325"/>
      <c r="BY688" s="325"/>
      <c r="BZ688" s="325"/>
      <c r="CA688" s="325"/>
      <c r="CB688" s="325"/>
      <c r="CC688" s="325"/>
      <c r="CD688" s="325"/>
      <c r="CE688" s="325"/>
    </row>
    <row r="689" spans="1:39" s="325" customFormat="1" ht="24" customHeight="1" x14ac:dyDescent="0.25">
      <c r="B689" s="326"/>
      <c r="C689" s="326"/>
      <c r="D689" s="326"/>
      <c r="E689" s="326"/>
      <c r="F689" s="326"/>
      <c r="G689" s="326"/>
      <c r="H689" s="326"/>
      <c r="I689" s="326"/>
      <c r="J689" s="326"/>
      <c r="L689" s="326"/>
      <c r="M689" s="326"/>
      <c r="N689" s="326"/>
      <c r="O689" s="327"/>
      <c r="P689" s="327"/>
      <c r="Q689" s="327"/>
      <c r="R689" s="328"/>
      <c r="S689" s="328"/>
      <c r="T689" s="327"/>
      <c r="U689" s="327"/>
      <c r="V689" s="329"/>
      <c r="W689" s="327"/>
      <c r="X689" s="327"/>
      <c r="Y689" s="327"/>
      <c r="Z689" s="327"/>
      <c r="AA689" s="327"/>
      <c r="AB689" s="327"/>
      <c r="AC689" s="327"/>
      <c r="AD689" s="327"/>
      <c r="AE689" s="327"/>
      <c r="AF689" s="327"/>
      <c r="AG689" s="327"/>
      <c r="AH689" s="327"/>
      <c r="AI689" s="602" t="s">
        <v>542</v>
      </c>
      <c r="AJ689" s="602"/>
      <c r="AK689" s="602"/>
      <c r="AL689" s="602"/>
    </row>
    <row r="690" spans="1:39" s="325" customFormat="1" ht="24" customHeight="1" x14ac:dyDescent="0.25">
      <c r="B690" s="326"/>
      <c r="C690" s="326"/>
      <c r="D690" s="326"/>
      <c r="E690" s="326"/>
      <c r="F690" s="326"/>
      <c r="G690" s="326"/>
      <c r="H690" s="326"/>
      <c r="I690" s="326"/>
      <c r="J690" s="326"/>
      <c r="L690" s="326"/>
      <c r="M690" s="326"/>
      <c r="N690" s="326"/>
      <c r="O690" s="327"/>
      <c r="P690" s="327"/>
      <c r="Q690" s="327"/>
      <c r="R690" s="328"/>
      <c r="S690" s="328"/>
      <c r="T690" s="327"/>
      <c r="U690" s="327"/>
      <c r="V690" s="329"/>
      <c r="W690" s="327"/>
      <c r="X690" s="327"/>
      <c r="Y690" s="327"/>
      <c r="Z690" s="327"/>
      <c r="AA690" s="327"/>
      <c r="AB690" s="327"/>
      <c r="AC690" s="327"/>
      <c r="AD690" s="327"/>
      <c r="AE690" s="327"/>
      <c r="AF690" s="327"/>
      <c r="AG690" s="327"/>
      <c r="AH690" s="327"/>
      <c r="AI690" s="603" t="s">
        <v>543</v>
      </c>
      <c r="AJ690" s="603"/>
      <c r="AK690" s="603"/>
      <c r="AL690" s="603"/>
    </row>
    <row r="691" spans="1:39" s="325" customFormat="1" ht="24" customHeight="1" x14ac:dyDescent="0.25">
      <c r="B691" s="326"/>
      <c r="C691" s="326"/>
      <c r="D691" s="326"/>
      <c r="E691" s="326"/>
      <c r="F691" s="326"/>
      <c r="G691" s="326"/>
      <c r="H691" s="326"/>
      <c r="I691" s="326"/>
      <c r="J691" s="326"/>
      <c r="L691" s="326"/>
      <c r="M691" s="326"/>
      <c r="N691" s="326"/>
      <c r="O691" s="327"/>
      <c r="P691" s="327"/>
      <c r="Q691" s="327"/>
      <c r="R691" s="328"/>
      <c r="S691" s="328"/>
      <c r="T691" s="327"/>
      <c r="U691" s="327"/>
      <c r="V691" s="329"/>
      <c r="W691" s="327"/>
      <c r="X691" s="327"/>
      <c r="Y691" s="327"/>
      <c r="Z691" s="327"/>
      <c r="AA691" s="327"/>
      <c r="AB691" s="327"/>
      <c r="AC691" s="327"/>
      <c r="AD691" s="327"/>
      <c r="AE691" s="327"/>
      <c r="AF691" s="327"/>
      <c r="AG691" s="327"/>
      <c r="AH691" s="327"/>
      <c r="AI691" s="311" t="s">
        <v>648</v>
      </c>
      <c r="AJ691" s="297"/>
      <c r="AK691" s="406"/>
      <c r="AL691" s="328"/>
    </row>
    <row r="692" spans="1:39" ht="13.5" customHeight="1" x14ac:dyDescent="0.25">
      <c r="AI692" s="311"/>
      <c r="AJ692" s="297"/>
      <c r="AK692" s="406"/>
    </row>
    <row r="693" spans="1:39" ht="13.5" customHeight="1" x14ac:dyDescent="0.25">
      <c r="A693" s="204"/>
      <c r="B693" s="204"/>
      <c r="C693" s="204"/>
      <c r="D693" s="204"/>
      <c r="E693" s="204"/>
      <c r="F693" s="204"/>
      <c r="G693" s="204"/>
      <c r="H693" s="204"/>
      <c r="I693" s="204"/>
      <c r="J693" s="204"/>
      <c r="K693" s="204"/>
      <c r="L693" s="204"/>
      <c r="M693" s="204"/>
      <c r="N693" s="332"/>
      <c r="O693" s="204"/>
      <c r="P693" s="204"/>
      <c r="Q693" s="204"/>
      <c r="R693" s="204"/>
      <c r="S693" s="204"/>
      <c r="T693" s="204"/>
      <c r="U693" s="204"/>
      <c r="V693" s="333"/>
      <c r="W693" s="204"/>
      <c r="X693" s="204"/>
      <c r="Y693" s="204"/>
      <c r="Z693" s="204"/>
      <c r="AA693" s="204"/>
      <c r="AB693" s="204"/>
      <c r="AC693" s="204"/>
      <c r="AD693" s="204"/>
      <c r="AE693" s="204"/>
      <c r="AF693" s="204"/>
      <c r="AG693" s="204"/>
      <c r="AH693" s="204"/>
      <c r="AI693" s="311"/>
      <c r="AJ693" s="297"/>
      <c r="AK693" s="406"/>
      <c r="AL693" s="204"/>
      <c r="AM693" s="204"/>
    </row>
    <row r="694" spans="1:39" ht="13.5" customHeight="1" x14ac:dyDescent="0.25">
      <c r="A694" s="204"/>
      <c r="B694" s="204"/>
      <c r="C694" s="204"/>
      <c r="D694" s="204"/>
      <c r="E694" s="204"/>
      <c r="F694" s="204"/>
      <c r="G694" s="204"/>
      <c r="H694" s="204"/>
      <c r="I694" s="204"/>
      <c r="J694" s="204"/>
      <c r="K694" s="204"/>
      <c r="L694" s="204"/>
      <c r="M694" s="204"/>
      <c r="N694" s="204"/>
      <c r="O694" s="204"/>
      <c r="P694" s="204"/>
      <c r="Q694" s="204"/>
      <c r="R694" s="204"/>
      <c r="S694" s="204"/>
      <c r="T694" s="204"/>
      <c r="U694" s="204"/>
      <c r="V694" s="333"/>
      <c r="W694" s="204"/>
      <c r="X694" s="204"/>
      <c r="Y694" s="204"/>
      <c r="Z694" s="204"/>
      <c r="AA694" s="204"/>
      <c r="AB694" s="204"/>
      <c r="AC694" s="204"/>
      <c r="AD694" s="204"/>
      <c r="AE694" s="204"/>
      <c r="AF694" s="204"/>
      <c r="AG694" s="204"/>
      <c r="AH694" s="204"/>
      <c r="AI694" s="311"/>
      <c r="AJ694" s="297"/>
      <c r="AK694" s="406"/>
      <c r="AL694" s="204"/>
      <c r="AM694" s="204"/>
    </row>
    <row r="695" spans="1:39" ht="13.5" customHeight="1" x14ac:dyDescent="0.25">
      <c r="A695" s="204"/>
      <c r="B695" s="204"/>
      <c r="C695" s="204"/>
      <c r="D695" s="204"/>
      <c r="E695" s="204"/>
      <c r="F695" s="204"/>
      <c r="G695" s="204"/>
      <c r="H695" s="204"/>
      <c r="I695" s="204"/>
      <c r="J695" s="204"/>
      <c r="K695" s="204"/>
      <c r="L695" s="204"/>
      <c r="M695" s="204"/>
      <c r="N695" s="204"/>
      <c r="AI695" s="595" t="s">
        <v>216</v>
      </c>
      <c r="AJ695" s="595"/>
      <c r="AK695" s="595"/>
      <c r="AL695" s="595"/>
    </row>
    <row r="696" spans="1:39" ht="13.5" customHeight="1" x14ac:dyDescent="0.25">
      <c r="A696" s="334"/>
      <c r="B696" s="204"/>
      <c r="C696" s="204"/>
      <c r="D696" s="204"/>
      <c r="E696" s="204"/>
      <c r="F696" s="204"/>
      <c r="G696" s="204"/>
      <c r="H696" s="204"/>
      <c r="I696" s="204"/>
      <c r="J696" s="204"/>
      <c r="K696" s="204"/>
      <c r="L696" s="204"/>
      <c r="M696" s="204"/>
      <c r="N696" s="204"/>
      <c r="AI696" s="596" t="s">
        <v>217</v>
      </c>
      <c r="AJ696" s="596"/>
      <c r="AK696" s="596"/>
      <c r="AL696" s="596"/>
    </row>
    <row r="697" spans="1:39" ht="13.5" customHeight="1" x14ac:dyDescent="0.25">
      <c r="A697" s="204"/>
      <c r="B697" s="204"/>
      <c r="C697" s="204"/>
      <c r="D697" s="204"/>
      <c r="E697" s="204"/>
      <c r="F697" s="204"/>
      <c r="G697" s="204"/>
      <c r="H697" s="204"/>
      <c r="I697" s="204"/>
      <c r="J697" s="204"/>
      <c r="K697" s="204"/>
      <c r="L697" s="204"/>
      <c r="M697" s="204"/>
      <c r="N697" s="204"/>
    </row>
    <row r="698" spans="1:39" ht="13.5" customHeight="1" x14ac:dyDescent="0.25">
      <c r="A698" s="204"/>
      <c r="B698" s="204"/>
      <c r="C698" s="204"/>
      <c r="D698" s="204"/>
      <c r="E698" s="204"/>
      <c r="F698" s="204"/>
      <c r="G698" s="204"/>
      <c r="H698" s="204"/>
      <c r="I698" s="204"/>
      <c r="J698" s="204"/>
      <c r="K698" s="204"/>
      <c r="L698" s="204"/>
      <c r="M698" s="204"/>
      <c r="N698" s="204"/>
    </row>
    <row r="699" spans="1:39" ht="13.5" customHeight="1" x14ac:dyDescent="0.25">
      <c r="A699" s="337"/>
      <c r="B699" s="204"/>
      <c r="C699" s="204"/>
      <c r="D699" s="204"/>
      <c r="E699" s="204"/>
      <c r="F699" s="204"/>
      <c r="G699" s="204"/>
      <c r="H699" s="204"/>
      <c r="I699" s="204"/>
      <c r="J699" s="204"/>
      <c r="K699" s="204"/>
      <c r="L699" s="204"/>
      <c r="M699" s="204"/>
      <c r="N699" s="204"/>
    </row>
    <row r="700" spans="1:39" ht="13.5" customHeight="1" x14ac:dyDescent="0.25">
      <c r="A700" s="204"/>
      <c r="B700" s="204"/>
      <c r="C700" s="204"/>
      <c r="D700" s="204"/>
      <c r="E700" s="204"/>
      <c r="F700" s="204"/>
      <c r="G700" s="204"/>
      <c r="H700" s="204"/>
      <c r="I700" s="204"/>
      <c r="J700" s="204"/>
      <c r="K700" s="204"/>
      <c r="L700" s="204"/>
      <c r="M700" s="204"/>
      <c r="N700" s="204"/>
    </row>
    <row r="701" spans="1:39" ht="13.5" customHeight="1" x14ac:dyDescent="0.25">
      <c r="A701" s="204"/>
      <c r="B701" s="204"/>
      <c r="C701" s="204"/>
      <c r="D701" s="204"/>
      <c r="E701" s="204"/>
      <c r="F701" s="204"/>
      <c r="G701" s="204"/>
      <c r="H701" s="204"/>
      <c r="I701" s="204"/>
      <c r="J701" s="204"/>
      <c r="K701" s="204"/>
      <c r="L701" s="204"/>
      <c r="M701" s="204"/>
      <c r="N701" s="204"/>
    </row>
    <row r="702" spans="1:39" ht="13.5" customHeight="1" x14ac:dyDescent="0.25">
      <c r="A702" s="204"/>
      <c r="B702" s="204"/>
      <c r="C702" s="204"/>
      <c r="D702" s="204"/>
      <c r="E702" s="204"/>
      <c r="F702" s="204"/>
      <c r="G702" s="204"/>
      <c r="H702" s="204"/>
      <c r="I702" s="204"/>
      <c r="J702" s="204"/>
      <c r="K702" s="204"/>
      <c r="L702" s="204"/>
      <c r="M702" s="204"/>
      <c r="N702" s="204"/>
    </row>
    <row r="703" spans="1:39" ht="13.5" customHeight="1" x14ac:dyDescent="0.25">
      <c r="A703" s="337"/>
      <c r="B703" s="204"/>
      <c r="C703" s="204"/>
      <c r="D703" s="204"/>
      <c r="E703" s="204"/>
      <c r="F703" s="204"/>
      <c r="G703" s="204"/>
      <c r="H703" s="204"/>
      <c r="I703" s="204"/>
      <c r="J703" s="204"/>
      <c r="K703" s="204"/>
      <c r="L703" s="204"/>
      <c r="M703" s="204"/>
      <c r="N703" s="204"/>
    </row>
    <row r="704" spans="1:39" ht="13.5" customHeight="1" x14ac:dyDescent="0.25">
      <c r="A704" s="204"/>
      <c r="B704" s="204"/>
      <c r="C704" s="204"/>
      <c r="D704" s="204"/>
      <c r="E704" s="204"/>
      <c r="F704" s="204"/>
      <c r="G704" s="204"/>
      <c r="H704" s="204"/>
      <c r="I704" s="204"/>
      <c r="J704" s="204"/>
      <c r="K704" s="204"/>
      <c r="L704" s="204"/>
      <c r="M704" s="204"/>
      <c r="N704" s="204"/>
    </row>
    <row r="705" spans="1:35" ht="13.5" customHeight="1" x14ac:dyDescent="0.25">
      <c r="A705" s="204"/>
      <c r="B705" s="204"/>
      <c r="C705" s="204"/>
      <c r="D705" s="204"/>
      <c r="E705" s="204"/>
      <c r="F705" s="204"/>
      <c r="G705" s="204"/>
      <c r="H705" s="204"/>
      <c r="I705" s="204"/>
      <c r="J705" s="204"/>
      <c r="K705" s="204"/>
      <c r="L705" s="204"/>
      <c r="M705" s="204"/>
      <c r="N705" s="204"/>
    </row>
    <row r="706" spans="1:35" ht="13.5" customHeight="1" x14ac:dyDescent="0.25">
      <c r="A706" s="334"/>
      <c r="B706" s="204"/>
      <c r="C706" s="204"/>
      <c r="D706" s="204"/>
      <c r="E706" s="204"/>
      <c r="F706" s="204"/>
      <c r="G706" s="204"/>
      <c r="H706" s="204"/>
      <c r="I706" s="204"/>
      <c r="J706" s="204"/>
      <c r="K706" s="204"/>
      <c r="L706" s="204"/>
      <c r="M706" s="204"/>
      <c r="N706" s="204"/>
    </row>
    <row r="707" spans="1:35" ht="13.5" customHeight="1" x14ac:dyDescent="0.25">
      <c r="A707" s="333"/>
      <c r="B707" s="338"/>
      <c r="C707" s="338"/>
      <c r="D707" s="338"/>
      <c r="E707" s="338"/>
      <c r="F707" s="338"/>
      <c r="G707" s="338"/>
      <c r="H707" s="338"/>
      <c r="I707" s="338"/>
      <c r="J707" s="338"/>
      <c r="K707" s="333"/>
      <c r="L707" s="204"/>
      <c r="M707" s="204"/>
      <c r="N707" s="204"/>
    </row>
    <row r="708" spans="1:35" ht="13.5" customHeight="1" x14ac:dyDescent="0.25">
      <c r="A708" s="333">
        <v>0</v>
      </c>
      <c r="B708" s="338"/>
      <c r="C708" s="338"/>
      <c r="D708" s="338"/>
      <c r="E708" s="338"/>
      <c r="F708" s="338"/>
      <c r="G708" s="338"/>
      <c r="H708" s="338"/>
      <c r="I708" s="338"/>
      <c r="J708" s="338"/>
      <c r="K708" s="333" t="s">
        <v>190</v>
      </c>
      <c r="L708" s="204"/>
      <c r="M708" s="204"/>
      <c r="N708" s="204"/>
    </row>
    <row r="709" spans="1:35" ht="13.5" customHeight="1" x14ac:dyDescent="0.25">
      <c r="A709" s="333">
        <f>A707-A708</f>
        <v>0</v>
      </c>
      <c r="B709" s="338"/>
      <c r="C709" s="338"/>
      <c r="D709" s="338"/>
      <c r="E709" s="338"/>
      <c r="F709" s="338"/>
      <c r="G709" s="338"/>
      <c r="H709" s="338"/>
      <c r="I709" s="338"/>
      <c r="J709" s="338"/>
      <c r="K709" s="333" t="s">
        <v>191</v>
      </c>
      <c r="L709" s="204"/>
      <c r="M709" s="204"/>
      <c r="N709" s="204"/>
    </row>
    <row r="710" spans="1:35" ht="13.5" customHeight="1" x14ac:dyDescent="0.25">
      <c r="A710" s="204"/>
      <c r="B710" s="204"/>
      <c r="C710" s="204"/>
      <c r="D710" s="204"/>
      <c r="E710" s="204"/>
      <c r="F710" s="204"/>
      <c r="G710" s="204"/>
      <c r="H710" s="204"/>
      <c r="I710" s="204"/>
      <c r="J710" s="204"/>
      <c r="K710" s="204"/>
      <c r="L710" s="204"/>
      <c r="M710" s="204"/>
      <c r="N710" s="204"/>
    </row>
    <row r="711" spans="1:35" ht="13.5" customHeight="1" x14ac:dyDescent="0.25">
      <c r="A711" s="204">
        <v>7</v>
      </c>
      <c r="B711" s="204"/>
      <c r="C711" s="204"/>
      <c r="D711" s="204"/>
      <c r="E711" s="204"/>
      <c r="F711" s="204"/>
      <c r="G711" s="204"/>
      <c r="H711" s="204"/>
      <c r="I711" s="204"/>
      <c r="J711" s="204"/>
      <c r="K711" s="204" t="s">
        <v>168</v>
      </c>
      <c r="L711" s="204"/>
      <c r="M711" s="204"/>
      <c r="N711" s="332" t="s">
        <v>169</v>
      </c>
      <c r="O711" s="204"/>
      <c r="P711" s="204"/>
      <c r="Q711" s="204"/>
      <c r="R711" s="204"/>
      <c r="S711" s="204"/>
      <c r="T711" s="204"/>
      <c r="U711" s="204"/>
    </row>
    <row r="712" spans="1:35" ht="13.5" customHeight="1" x14ac:dyDescent="0.25">
      <c r="A712" s="204" t="e">
        <f>#REF!</f>
        <v>#REF!</v>
      </c>
      <c r="B712" s="204"/>
      <c r="C712" s="204"/>
      <c r="D712" s="204"/>
      <c r="E712" s="204"/>
      <c r="F712" s="204"/>
      <c r="G712" s="204"/>
      <c r="H712" s="204"/>
      <c r="I712" s="204"/>
      <c r="J712" s="204"/>
      <c r="K712" s="204" t="s">
        <v>170</v>
      </c>
      <c r="L712" s="204"/>
      <c r="M712" s="204"/>
      <c r="N712" s="204" t="s">
        <v>171</v>
      </c>
      <c r="O712" s="204"/>
      <c r="P712" s="204"/>
      <c r="Q712" s="204"/>
      <c r="R712" s="204"/>
      <c r="S712" s="204"/>
      <c r="T712" s="204"/>
      <c r="U712" s="204"/>
      <c r="V712" s="205"/>
      <c r="AI712" s="205"/>
    </row>
    <row r="713" spans="1:35" ht="13.5" customHeight="1" x14ac:dyDescent="0.25">
      <c r="A713" s="204"/>
      <c r="B713" s="204"/>
      <c r="C713" s="204"/>
      <c r="D713" s="204"/>
      <c r="E713" s="204"/>
      <c r="F713" s="204"/>
      <c r="G713" s="204"/>
      <c r="H713" s="204"/>
      <c r="I713" s="204"/>
      <c r="J713" s="204"/>
      <c r="K713" s="204"/>
      <c r="L713" s="204"/>
      <c r="M713" s="204"/>
      <c r="N713" s="204" t="s">
        <v>172</v>
      </c>
      <c r="V713" s="205"/>
      <c r="AI713" s="205"/>
    </row>
    <row r="714" spans="1:35" ht="13.5" customHeight="1" x14ac:dyDescent="0.25">
      <c r="A714" s="334">
        <f>COUNTIF(T144:T706,"&gt;=95")</f>
        <v>55</v>
      </c>
      <c r="B714" s="204"/>
      <c r="C714" s="204"/>
      <c r="D714" s="204"/>
      <c r="E714" s="204"/>
      <c r="F714" s="204"/>
      <c r="G714" s="204"/>
      <c r="H714" s="204"/>
      <c r="I714" s="204"/>
      <c r="J714" s="204"/>
      <c r="K714" s="204" t="s">
        <v>173</v>
      </c>
      <c r="L714" s="204"/>
      <c r="M714" s="204"/>
      <c r="N714" s="204" t="s">
        <v>174</v>
      </c>
      <c r="V714" s="205"/>
      <c r="AI714" s="205"/>
    </row>
    <row r="715" spans="1:35" ht="13.5" customHeight="1" x14ac:dyDescent="0.25">
      <c r="A715" s="204" t="e">
        <f>A712-A714</f>
        <v>#REF!</v>
      </c>
      <c r="B715" s="204"/>
      <c r="C715" s="204"/>
      <c r="D715" s="204"/>
      <c r="E715" s="204"/>
      <c r="F715" s="204"/>
      <c r="G715" s="204"/>
      <c r="H715" s="204"/>
      <c r="I715" s="204"/>
      <c r="J715" s="204"/>
      <c r="K715" s="204"/>
      <c r="L715" s="204"/>
      <c r="M715" s="204"/>
      <c r="N715" s="204" t="s">
        <v>175</v>
      </c>
      <c r="V715" s="205"/>
      <c r="AI715" s="205"/>
    </row>
    <row r="716" spans="1:35" ht="13.5" customHeight="1" x14ac:dyDescent="0.25">
      <c r="A716" s="204"/>
      <c r="B716" s="204"/>
      <c r="C716" s="204"/>
      <c r="D716" s="204"/>
      <c r="E716" s="204"/>
      <c r="F716" s="204"/>
      <c r="G716" s="204"/>
      <c r="H716" s="204"/>
      <c r="I716" s="204"/>
      <c r="J716" s="204"/>
      <c r="K716" s="204"/>
      <c r="L716" s="204"/>
      <c r="M716" s="204"/>
      <c r="N716" s="204" t="s">
        <v>176</v>
      </c>
      <c r="V716" s="205"/>
      <c r="AI716" s="205"/>
    </row>
    <row r="717" spans="1:35" ht="13.5" customHeight="1" x14ac:dyDescent="0.25">
      <c r="A717" s="337">
        <v>2</v>
      </c>
      <c r="B717" s="204"/>
      <c r="C717" s="204"/>
      <c r="D717" s="204"/>
      <c r="E717" s="204"/>
      <c r="F717" s="204"/>
      <c r="G717" s="204"/>
      <c r="H717" s="204"/>
      <c r="I717" s="204"/>
      <c r="J717" s="204"/>
      <c r="K717" s="204" t="s">
        <v>177</v>
      </c>
      <c r="L717" s="204"/>
      <c r="M717" s="204"/>
      <c r="N717" s="204" t="s">
        <v>178</v>
      </c>
      <c r="V717" s="205"/>
      <c r="AI717" s="205"/>
    </row>
    <row r="718" spans="1:35" ht="13.5" customHeight="1" x14ac:dyDescent="0.25">
      <c r="A718" s="204">
        <f>A711-A717</f>
        <v>5</v>
      </c>
      <c r="B718" s="204"/>
      <c r="C718" s="204"/>
      <c r="D718" s="204"/>
      <c r="E718" s="204"/>
      <c r="F718" s="204"/>
      <c r="G718" s="204"/>
      <c r="H718" s="204"/>
      <c r="I718" s="204"/>
      <c r="J718" s="204"/>
      <c r="K718" s="204"/>
      <c r="L718" s="204"/>
      <c r="M718" s="204"/>
      <c r="N718" s="204" t="s">
        <v>179</v>
      </c>
      <c r="V718" s="205"/>
      <c r="AI718" s="205"/>
    </row>
    <row r="719" spans="1:35" ht="13.5" customHeight="1" x14ac:dyDescent="0.25">
      <c r="A719" s="204"/>
      <c r="B719" s="204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 t="s">
        <v>180</v>
      </c>
      <c r="V719" s="205"/>
      <c r="AI719" s="205"/>
    </row>
    <row r="720" spans="1:35" ht="13.5" customHeight="1" x14ac:dyDescent="0.25">
      <c r="A720" s="204">
        <v>7</v>
      </c>
      <c r="B720" s="204"/>
      <c r="C720" s="204"/>
      <c r="D720" s="204"/>
      <c r="E720" s="204"/>
      <c r="F720" s="204"/>
      <c r="G720" s="204"/>
      <c r="H720" s="204"/>
      <c r="I720" s="204"/>
      <c r="J720" s="204"/>
      <c r="K720" s="204" t="s">
        <v>181</v>
      </c>
      <c r="L720" s="204"/>
      <c r="M720" s="204"/>
      <c r="N720" s="204" t="s">
        <v>182</v>
      </c>
      <c r="V720" s="205"/>
      <c r="AI720" s="205"/>
    </row>
    <row r="721" spans="1:35" ht="13.5" customHeight="1" x14ac:dyDescent="0.25">
      <c r="A721" s="337">
        <v>3</v>
      </c>
      <c r="B721" s="204"/>
      <c r="C721" s="204"/>
      <c r="D721" s="204"/>
      <c r="E721" s="204"/>
      <c r="F721" s="204"/>
      <c r="G721" s="204"/>
      <c r="H721" s="204"/>
      <c r="I721" s="204"/>
      <c r="J721" s="204"/>
      <c r="K721" s="204" t="s">
        <v>183</v>
      </c>
      <c r="L721" s="204"/>
      <c r="M721" s="204"/>
      <c r="N721" s="204" t="s">
        <v>184</v>
      </c>
      <c r="V721" s="205"/>
      <c r="AI721" s="205"/>
    </row>
    <row r="722" spans="1:35" ht="13.5" customHeight="1" x14ac:dyDescent="0.25">
      <c r="A722" s="204">
        <f>A720-A721</f>
        <v>4</v>
      </c>
      <c r="B722" s="204"/>
      <c r="C722" s="204"/>
      <c r="D722" s="204"/>
      <c r="E722" s="204"/>
      <c r="F722" s="204"/>
      <c r="G722" s="204"/>
      <c r="H722" s="204"/>
      <c r="I722" s="204"/>
      <c r="J722" s="204"/>
      <c r="K722" s="204"/>
      <c r="L722" s="204"/>
      <c r="M722" s="204"/>
      <c r="N722" s="204" t="s">
        <v>185</v>
      </c>
      <c r="V722" s="205"/>
      <c r="AI722" s="205"/>
    </row>
    <row r="723" spans="1:35" ht="13.5" customHeight="1" x14ac:dyDescent="0.25">
      <c r="A723" s="204"/>
      <c r="B723" s="204"/>
      <c r="C723" s="204"/>
      <c r="D723" s="204"/>
      <c r="E723" s="204"/>
      <c r="F723" s="204"/>
      <c r="G723" s="204"/>
      <c r="H723" s="204"/>
      <c r="I723" s="204"/>
      <c r="J723" s="204"/>
      <c r="K723" s="204"/>
      <c r="L723" s="204"/>
      <c r="M723" s="204"/>
      <c r="N723" s="204" t="s">
        <v>186</v>
      </c>
      <c r="V723" s="205"/>
      <c r="AI723" s="205"/>
    </row>
    <row r="724" spans="1:35" ht="13.5" customHeight="1" x14ac:dyDescent="0.25">
      <c r="A724" s="334">
        <f>COUNTIF(T144:T706,"0")</f>
        <v>265</v>
      </c>
      <c r="B724" s="204"/>
      <c r="C724" s="204"/>
      <c r="D724" s="204"/>
      <c r="E724" s="204"/>
      <c r="F724" s="204"/>
      <c r="G724" s="204"/>
      <c r="H724" s="204"/>
      <c r="I724" s="204"/>
      <c r="J724" s="204"/>
      <c r="K724" s="204" t="s">
        <v>187</v>
      </c>
      <c r="L724" s="204"/>
      <c r="M724" s="204"/>
      <c r="N724" s="204" t="s">
        <v>188</v>
      </c>
      <c r="V724" s="205"/>
      <c r="AI724" s="205"/>
    </row>
    <row r="725" spans="1:35" ht="13.5" customHeight="1" x14ac:dyDescent="0.25">
      <c r="A725" s="333" t="e">
        <f>A712-(A714+A724)</f>
        <v>#REF!</v>
      </c>
      <c r="B725" s="338"/>
      <c r="C725" s="338"/>
      <c r="D725" s="338"/>
      <c r="E725" s="338"/>
      <c r="F725" s="338"/>
      <c r="G725" s="338"/>
      <c r="H725" s="338"/>
      <c r="I725" s="338"/>
      <c r="J725" s="338"/>
      <c r="K725" s="333" t="s">
        <v>189</v>
      </c>
      <c r="L725" s="204"/>
      <c r="M725" s="204"/>
      <c r="N725" s="204"/>
      <c r="V725" s="205"/>
      <c r="AI725" s="205"/>
    </row>
  </sheetData>
  <autoFilter ref="A1:A725" xr:uid="{00000000-0009-0000-0000-000007000000}"/>
  <mergeCells count="800">
    <mergeCell ref="B1:AM1"/>
    <mergeCell ref="A2:AM2"/>
    <mergeCell ref="A3:AO3"/>
    <mergeCell ref="A5:A7"/>
    <mergeCell ref="B5:I7"/>
    <mergeCell ref="J5:J7"/>
    <mergeCell ref="K5:N7"/>
    <mergeCell ref="O5:O7"/>
    <mergeCell ref="P5:P7"/>
    <mergeCell ref="Q5:Q7"/>
    <mergeCell ref="AO5:AO7"/>
    <mergeCell ref="AP5:AP7"/>
    <mergeCell ref="T6:U6"/>
    <mergeCell ref="V6:V7"/>
    <mergeCell ref="W6:W7"/>
    <mergeCell ref="X6:X7"/>
    <mergeCell ref="Y6:Y7"/>
    <mergeCell ref="Z6:Z7"/>
    <mergeCell ref="R5:R7"/>
    <mergeCell ref="S5:S7"/>
    <mergeCell ref="T5:AI5"/>
    <mergeCell ref="AJ5:AJ7"/>
    <mergeCell ref="AK5:AK7"/>
    <mergeCell ref="AL5:AL7"/>
    <mergeCell ref="AA6:AA7"/>
    <mergeCell ref="AB6:AB7"/>
    <mergeCell ref="AC6:AC7"/>
    <mergeCell ref="AD6:AD7"/>
    <mergeCell ref="AE6:AE7"/>
    <mergeCell ref="AF6:AF7"/>
    <mergeCell ref="AG6:AG7"/>
    <mergeCell ref="AH6:AH7"/>
    <mergeCell ref="AI6:AI7"/>
    <mergeCell ref="B8:I8"/>
    <mergeCell ref="K8:N8"/>
    <mergeCell ref="AM5:AM7"/>
    <mergeCell ref="AN5:AN7"/>
    <mergeCell ref="B15:I15"/>
    <mergeCell ref="L15:N15"/>
    <mergeCell ref="B16:I16"/>
    <mergeCell ref="L16:N16"/>
    <mergeCell ref="B17:I17"/>
    <mergeCell ref="L17:N17"/>
    <mergeCell ref="B10:I10"/>
    <mergeCell ref="L10:N10"/>
    <mergeCell ref="B12:I12"/>
    <mergeCell ref="L12:N12"/>
    <mergeCell ref="B14:I14"/>
    <mergeCell ref="L14:N14"/>
    <mergeCell ref="B21:I21"/>
    <mergeCell ref="L21:N21"/>
    <mergeCell ref="B22:I22"/>
    <mergeCell ref="L22:N22"/>
    <mergeCell ref="B23:I23"/>
    <mergeCell ref="L23:N23"/>
    <mergeCell ref="B18:I18"/>
    <mergeCell ref="L18:N18"/>
    <mergeCell ref="B19:I19"/>
    <mergeCell ref="L19:N19"/>
    <mergeCell ref="B20:I20"/>
    <mergeCell ref="L20:N20"/>
    <mergeCell ref="B27:I27"/>
    <mergeCell ref="L27:N27"/>
    <mergeCell ref="B28:I28"/>
    <mergeCell ref="L28:N28"/>
    <mergeCell ref="B29:I29"/>
    <mergeCell ref="L29:N29"/>
    <mergeCell ref="B24:I24"/>
    <mergeCell ref="L24:N24"/>
    <mergeCell ref="B25:I25"/>
    <mergeCell ref="L25:N25"/>
    <mergeCell ref="B26:I26"/>
    <mergeCell ref="L26:N26"/>
    <mergeCell ref="L34:N34"/>
    <mergeCell ref="L35:N35"/>
    <mergeCell ref="B37:I37"/>
    <mergeCell ref="L37:N37"/>
    <mergeCell ref="L38:N38"/>
    <mergeCell ref="L39:N39"/>
    <mergeCell ref="L30:N30"/>
    <mergeCell ref="B31:I31"/>
    <mergeCell ref="L31:N31"/>
    <mergeCell ref="L32:N32"/>
    <mergeCell ref="B33:I33"/>
    <mergeCell ref="L33:N33"/>
    <mergeCell ref="L46:N46"/>
    <mergeCell ref="L47:N47"/>
    <mergeCell ref="L48:N48"/>
    <mergeCell ref="L49:N49"/>
    <mergeCell ref="L50:N50"/>
    <mergeCell ref="L51:N51"/>
    <mergeCell ref="L40:N40"/>
    <mergeCell ref="L41:N41"/>
    <mergeCell ref="L42:N42"/>
    <mergeCell ref="L43:N43"/>
    <mergeCell ref="L44:N44"/>
    <mergeCell ref="L45:N45"/>
    <mergeCell ref="B59:I59"/>
    <mergeCell ref="L59:N59"/>
    <mergeCell ref="B60:I60"/>
    <mergeCell ref="M60:N60"/>
    <mergeCell ref="M61:N61"/>
    <mergeCell ref="B62:I62"/>
    <mergeCell ref="M62:N62"/>
    <mergeCell ref="L52:N52"/>
    <mergeCell ref="L53:N53"/>
    <mergeCell ref="L54:N54"/>
    <mergeCell ref="L55:N55"/>
    <mergeCell ref="L56:N56"/>
    <mergeCell ref="B58:I58"/>
    <mergeCell ref="L58:N58"/>
    <mergeCell ref="B68:I68"/>
    <mergeCell ref="M68:N68"/>
    <mergeCell ref="M69:N69"/>
    <mergeCell ref="M70:N70"/>
    <mergeCell ref="M71:N71"/>
    <mergeCell ref="B72:I72"/>
    <mergeCell ref="M72:N72"/>
    <mergeCell ref="M63:N63"/>
    <mergeCell ref="M64:N64"/>
    <mergeCell ref="M65:N65"/>
    <mergeCell ref="B66:I66"/>
    <mergeCell ref="M66:N66"/>
    <mergeCell ref="M67:N67"/>
    <mergeCell ref="M78:N78"/>
    <mergeCell ref="M79:N79"/>
    <mergeCell ref="M80:N80"/>
    <mergeCell ref="B81:I81"/>
    <mergeCell ref="M81:N81"/>
    <mergeCell ref="M82:N82"/>
    <mergeCell ref="M73:N73"/>
    <mergeCell ref="M74:N74"/>
    <mergeCell ref="B75:I75"/>
    <mergeCell ref="M75:N75"/>
    <mergeCell ref="M76:N76"/>
    <mergeCell ref="M77:N77"/>
    <mergeCell ref="M88:N88"/>
    <mergeCell ref="B89:I89"/>
    <mergeCell ref="M89:N89"/>
    <mergeCell ref="M90:N90"/>
    <mergeCell ref="M91:N91"/>
    <mergeCell ref="B92:I92"/>
    <mergeCell ref="M92:N92"/>
    <mergeCell ref="M83:N83"/>
    <mergeCell ref="M84:N84"/>
    <mergeCell ref="M85:N85"/>
    <mergeCell ref="B86:I86"/>
    <mergeCell ref="M86:N86"/>
    <mergeCell ref="M87:N87"/>
    <mergeCell ref="M97:N97"/>
    <mergeCell ref="M98:N98"/>
    <mergeCell ref="M99:N99"/>
    <mergeCell ref="M100:N100"/>
    <mergeCell ref="M101:N101"/>
    <mergeCell ref="M102:N102"/>
    <mergeCell ref="M93:N93"/>
    <mergeCell ref="B94:I94"/>
    <mergeCell ref="M94:N94"/>
    <mergeCell ref="M95:N95"/>
    <mergeCell ref="B96:I96"/>
    <mergeCell ref="M96:N96"/>
    <mergeCell ref="M109:N109"/>
    <mergeCell ref="B110:I110"/>
    <mergeCell ref="M110:N110"/>
    <mergeCell ref="M111:N111"/>
    <mergeCell ref="M112:N112"/>
    <mergeCell ref="M113:N113"/>
    <mergeCell ref="M103:N103"/>
    <mergeCell ref="M104:N104"/>
    <mergeCell ref="M105:N105"/>
    <mergeCell ref="M106:N106"/>
    <mergeCell ref="M107:N107"/>
    <mergeCell ref="M108:N108"/>
    <mergeCell ref="M120:N120"/>
    <mergeCell ref="M121:N121"/>
    <mergeCell ref="M122:N122"/>
    <mergeCell ref="M123:N123"/>
    <mergeCell ref="B124:I124"/>
    <mergeCell ref="L124:N124"/>
    <mergeCell ref="M114:N114"/>
    <mergeCell ref="M115:N115"/>
    <mergeCell ref="M116:N116"/>
    <mergeCell ref="M117:N117"/>
    <mergeCell ref="M118:N118"/>
    <mergeCell ref="M119:N119"/>
    <mergeCell ref="M129:N129"/>
    <mergeCell ref="M130:N130"/>
    <mergeCell ref="M131:N131"/>
    <mergeCell ref="M132:N132"/>
    <mergeCell ref="M133:N133"/>
    <mergeCell ref="M134:N134"/>
    <mergeCell ref="B125:I125"/>
    <mergeCell ref="M125:N125"/>
    <mergeCell ref="M126:N126"/>
    <mergeCell ref="B127:I127"/>
    <mergeCell ref="M127:N127"/>
    <mergeCell ref="M128:N128"/>
    <mergeCell ref="M140:N140"/>
    <mergeCell ref="B141:I141"/>
    <mergeCell ref="M141:N141"/>
    <mergeCell ref="M142:N142"/>
    <mergeCell ref="M143:N143"/>
    <mergeCell ref="B144:I144"/>
    <mergeCell ref="M144:N144"/>
    <mergeCell ref="M135:N135"/>
    <mergeCell ref="M136:N136"/>
    <mergeCell ref="M137:N137"/>
    <mergeCell ref="M138:N138"/>
    <mergeCell ref="B139:I139"/>
    <mergeCell ref="M139:N139"/>
    <mergeCell ref="M150:N150"/>
    <mergeCell ref="M151:N151"/>
    <mergeCell ref="M152:N152"/>
    <mergeCell ref="M153:N153"/>
    <mergeCell ref="M154:N154"/>
    <mergeCell ref="B155:I155"/>
    <mergeCell ref="M155:N155"/>
    <mergeCell ref="M145:N145"/>
    <mergeCell ref="M146:N146"/>
    <mergeCell ref="M147:N147"/>
    <mergeCell ref="B148:I148"/>
    <mergeCell ref="M148:N148"/>
    <mergeCell ref="M149:N149"/>
    <mergeCell ref="M162:N162"/>
    <mergeCell ref="M163:N163"/>
    <mergeCell ref="M164:N164"/>
    <mergeCell ref="B165:I165"/>
    <mergeCell ref="M165:N165"/>
    <mergeCell ref="M166:N166"/>
    <mergeCell ref="M156:N156"/>
    <mergeCell ref="M157:N157"/>
    <mergeCell ref="M158:N158"/>
    <mergeCell ref="M159:N159"/>
    <mergeCell ref="M160:N160"/>
    <mergeCell ref="B161:I161"/>
    <mergeCell ref="L161:N161"/>
    <mergeCell ref="B171:I171"/>
    <mergeCell ref="M171:N171"/>
    <mergeCell ref="M172:N172"/>
    <mergeCell ref="M173:N173"/>
    <mergeCell ref="M174:N174"/>
    <mergeCell ref="M175:N175"/>
    <mergeCell ref="M167:N167"/>
    <mergeCell ref="B168:I168"/>
    <mergeCell ref="L168:N168"/>
    <mergeCell ref="B169:I169"/>
    <mergeCell ref="M169:N169"/>
    <mergeCell ref="M170:N170"/>
    <mergeCell ref="B181:I181"/>
    <mergeCell ref="M181:N181"/>
    <mergeCell ref="M182:N182"/>
    <mergeCell ref="M183:N183"/>
    <mergeCell ref="M184:N184"/>
    <mergeCell ref="M185:N185"/>
    <mergeCell ref="M176:N176"/>
    <mergeCell ref="M177:N177"/>
    <mergeCell ref="M178:N178"/>
    <mergeCell ref="M179:N179"/>
    <mergeCell ref="B180:I180"/>
    <mergeCell ref="L180:N180"/>
    <mergeCell ref="M192:N192"/>
    <mergeCell ref="B193:I193"/>
    <mergeCell ref="M193:N193"/>
    <mergeCell ref="M194:N194"/>
    <mergeCell ref="M195:N195"/>
    <mergeCell ref="M196:N196"/>
    <mergeCell ref="M186:N186"/>
    <mergeCell ref="M187:N187"/>
    <mergeCell ref="M188:N188"/>
    <mergeCell ref="M189:N189"/>
    <mergeCell ref="M190:N190"/>
    <mergeCell ref="M191:N191"/>
    <mergeCell ref="M203:N203"/>
    <mergeCell ref="M204:N204"/>
    <mergeCell ref="M205:N205"/>
    <mergeCell ref="M206:N206"/>
    <mergeCell ref="M207:N207"/>
    <mergeCell ref="M208:N208"/>
    <mergeCell ref="M197:N197"/>
    <mergeCell ref="M198:N198"/>
    <mergeCell ref="M199:N199"/>
    <mergeCell ref="M200:N200"/>
    <mergeCell ref="M201:N201"/>
    <mergeCell ref="M202:N202"/>
    <mergeCell ref="M214:N214"/>
    <mergeCell ref="M215:N215"/>
    <mergeCell ref="B216:I216"/>
    <mergeCell ref="M216:N216"/>
    <mergeCell ref="M217:N217"/>
    <mergeCell ref="M218:N218"/>
    <mergeCell ref="B209:I209"/>
    <mergeCell ref="M209:N209"/>
    <mergeCell ref="M210:N210"/>
    <mergeCell ref="M211:N211"/>
    <mergeCell ref="M212:N212"/>
    <mergeCell ref="M213:N213"/>
    <mergeCell ref="M225:N225"/>
    <mergeCell ref="M226:N226"/>
    <mergeCell ref="M227:N227"/>
    <mergeCell ref="M228:N228"/>
    <mergeCell ref="M229:N229"/>
    <mergeCell ref="B230:I230"/>
    <mergeCell ref="M230:N230"/>
    <mergeCell ref="M219:N219"/>
    <mergeCell ref="M220:N220"/>
    <mergeCell ref="M221:N221"/>
    <mergeCell ref="M222:N222"/>
    <mergeCell ref="M223:N223"/>
    <mergeCell ref="M224:N224"/>
    <mergeCell ref="M237:N237"/>
    <mergeCell ref="M238:N238"/>
    <mergeCell ref="M239:N239"/>
    <mergeCell ref="M240:N240"/>
    <mergeCell ref="B241:I241"/>
    <mergeCell ref="M241:N241"/>
    <mergeCell ref="M231:N231"/>
    <mergeCell ref="M232:N232"/>
    <mergeCell ref="M233:N233"/>
    <mergeCell ref="M234:N234"/>
    <mergeCell ref="M235:N235"/>
    <mergeCell ref="M236:N236"/>
    <mergeCell ref="B248:I248"/>
    <mergeCell ref="L248:N248"/>
    <mergeCell ref="B249:I249"/>
    <mergeCell ref="M249:N249"/>
    <mergeCell ref="M250:N250"/>
    <mergeCell ref="M251:N251"/>
    <mergeCell ref="M242:N242"/>
    <mergeCell ref="M243:N243"/>
    <mergeCell ref="M244:N244"/>
    <mergeCell ref="M245:N245"/>
    <mergeCell ref="M246:N246"/>
    <mergeCell ref="M247:N247"/>
    <mergeCell ref="M258:N258"/>
    <mergeCell ref="M259:N259"/>
    <mergeCell ref="M260:N260"/>
    <mergeCell ref="M261:N261"/>
    <mergeCell ref="M262:N262"/>
    <mergeCell ref="M263:N263"/>
    <mergeCell ref="M252:N252"/>
    <mergeCell ref="M253:N253"/>
    <mergeCell ref="M254:N254"/>
    <mergeCell ref="M255:N255"/>
    <mergeCell ref="M256:N256"/>
    <mergeCell ref="M257:N257"/>
    <mergeCell ref="M270:N270"/>
    <mergeCell ref="M271:N271"/>
    <mergeCell ref="M272:N272"/>
    <mergeCell ref="M273:N273"/>
    <mergeCell ref="M274:N274"/>
    <mergeCell ref="B275:I275"/>
    <mergeCell ref="M275:N275"/>
    <mergeCell ref="M264:N264"/>
    <mergeCell ref="M265:N265"/>
    <mergeCell ref="M266:N266"/>
    <mergeCell ref="M267:N267"/>
    <mergeCell ref="M268:N268"/>
    <mergeCell ref="M269:N269"/>
    <mergeCell ref="M282:N282"/>
    <mergeCell ref="M283:N283"/>
    <mergeCell ref="M284:N284"/>
    <mergeCell ref="M285:N285"/>
    <mergeCell ref="M286:N286"/>
    <mergeCell ref="B287:I287"/>
    <mergeCell ref="M287:N287"/>
    <mergeCell ref="M276:N276"/>
    <mergeCell ref="M277:N277"/>
    <mergeCell ref="M278:N278"/>
    <mergeCell ref="M279:N279"/>
    <mergeCell ref="M280:N280"/>
    <mergeCell ref="M281:N281"/>
    <mergeCell ref="M294:N294"/>
    <mergeCell ref="M295:N295"/>
    <mergeCell ref="M296:N296"/>
    <mergeCell ref="B297:I297"/>
    <mergeCell ref="M297:N297"/>
    <mergeCell ref="M298:N298"/>
    <mergeCell ref="M288:N288"/>
    <mergeCell ref="M289:N289"/>
    <mergeCell ref="M290:N290"/>
    <mergeCell ref="M291:N291"/>
    <mergeCell ref="M292:N292"/>
    <mergeCell ref="M293:N293"/>
    <mergeCell ref="M305:N305"/>
    <mergeCell ref="M306:N306"/>
    <mergeCell ref="M307:N307"/>
    <mergeCell ref="M308:N308"/>
    <mergeCell ref="B309:I309"/>
    <mergeCell ref="M309:N309"/>
    <mergeCell ref="M299:N299"/>
    <mergeCell ref="M300:N300"/>
    <mergeCell ref="M301:N301"/>
    <mergeCell ref="M302:N302"/>
    <mergeCell ref="M303:N303"/>
    <mergeCell ref="M304:N304"/>
    <mergeCell ref="B325:I325"/>
    <mergeCell ref="M325:N325"/>
    <mergeCell ref="M316:N316"/>
    <mergeCell ref="B317:I317"/>
    <mergeCell ref="M317:N317"/>
    <mergeCell ref="M318:N318"/>
    <mergeCell ref="M319:N319"/>
    <mergeCell ref="M320:N320"/>
    <mergeCell ref="M310:N310"/>
    <mergeCell ref="M311:N311"/>
    <mergeCell ref="M312:N312"/>
    <mergeCell ref="M313:N313"/>
    <mergeCell ref="M314:N314"/>
    <mergeCell ref="M315:N315"/>
    <mergeCell ref="M326:N326"/>
    <mergeCell ref="M327:N327"/>
    <mergeCell ref="M328:N328"/>
    <mergeCell ref="M329:N329"/>
    <mergeCell ref="M330:N330"/>
    <mergeCell ref="M331:N331"/>
    <mergeCell ref="M321:N321"/>
    <mergeCell ref="M322:N322"/>
    <mergeCell ref="M323:N323"/>
    <mergeCell ref="M324:N324"/>
    <mergeCell ref="M338:N338"/>
    <mergeCell ref="B339:I339"/>
    <mergeCell ref="M339:N339"/>
    <mergeCell ref="M340:N340"/>
    <mergeCell ref="M341:N341"/>
    <mergeCell ref="M342:N342"/>
    <mergeCell ref="M332:N332"/>
    <mergeCell ref="M333:N333"/>
    <mergeCell ref="M334:N334"/>
    <mergeCell ref="M335:N335"/>
    <mergeCell ref="M336:N336"/>
    <mergeCell ref="M337:N337"/>
    <mergeCell ref="M349:N349"/>
    <mergeCell ref="B350:I350"/>
    <mergeCell ref="M350:N350"/>
    <mergeCell ref="M351:N351"/>
    <mergeCell ref="M352:N352"/>
    <mergeCell ref="M353:N353"/>
    <mergeCell ref="M343:N343"/>
    <mergeCell ref="M344:N344"/>
    <mergeCell ref="M345:N345"/>
    <mergeCell ref="M346:N346"/>
    <mergeCell ref="M347:N347"/>
    <mergeCell ref="M348:N348"/>
    <mergeCell ref="M360:N360"/>
    <mergeCell ref="M361:N361"/>
    <mergeCell ref="M362:N362"/>
    <mergeCell ref="M363:N363"/>
    <mergeCell ref="B364:I364"/>
    <mergeCell ref="M364:N364"/>
    <mergeCell ref="M354:N354"/>
    <mergeCell ref="M355:N355"/>
    <mergeCell ref="M356:N356"/>
    <mergeCell ref="M357:N357"/>
    <mergeCell ref="M358:N358"/>
    <mergeCell ref="M359:N359"/>
    <mergeCell ref="M371:N371"/>
    <mergeCell ref="M372:N372"/>
    <mergeCell ref="M373:N373"/>
    <mergeCell ref="M374:N374"/>
    <mergeCell ref="M375:N375"/>
    <mergeCell ref="M376:N376"/>
    <mergeCell ref="M365:N365"/>
    <mergeCell ref="M366:N366"/>
    <mergeCell ref="M367:N367"/>
    <mergeCell ref="M368:N368"/>
    <mergeCell ref="M369:N369"/>
    <mergeCell ref="M370:N370"/>
    <mergeCell ref="M382:N382"/>
    <mergeCell ref="M383:N383"/>
    <mergeCell ref="M384:N384"/>
    <mergeCell ref="M385:N385"/>
    <mergeCell ref="M386:N386"/>
    <mergeCell ref="B387:I387"/>
    <mergeCell ref="M387:N387"/>
    <mergeCell ref="B377:I377"/>
    <mergeCell ref="M377:N377"/>
    <mergeCell ref="M378:N378"/>
    <mergeCell ref="M379:N379"/>
    <mergeCell ref="M380:N380"/>
    <mergeCell ref="M381:N381"/>
    <mergeCell ref="M394:N394"/>
    <mergeCell ref="M395:N395"/>
    <mergeCell ref="M396:N396"/>
    <mergeCell ref="M397:N397"/>
    <mergeCell ref="M398:N398"/>
    <mergeCell ref="M399:N399"/>
    <mergeCell ref="M388:N388"/>
    <mergeCell ref="M389:N389"/>
    <mergeCell ref="M390:N390"/>
    <mergeCell ref="M391:N391"/>
    <mergeCell ref="M392:N392"/>
    <mergeCell ref="M393:N393"/>
    <mergeCell ref="B408:I408"/>
    <mergeCell ref="M408:N408"/>
    <mergeCell ref="M409:N409"/>
    <mergeCell ref="B400:I400"/>
    <mergeCell ref="M400:N400"/>
    <mergeCell ref="M401:N401"/>
    <mergeCell ref="M402:N402"/>
    <mergeCell ref="M403:N403"/>
    <mergeCell ref="M404:N404"/>
    <mergeCell ref="M410:N410"/>
    <mergeCell ref="M411:N411"/>
    <mergeCell ref="M412:N412"/>
    <mergeCell ref="M413:N413"/>
    <mergeCell ref="M414:N414"/>
    <mergeCell ref="M415:N415"/>
    <mergeCell ref="M405:N405"/>
    <mergeCell ref="M406:N406"/>
    <mergeCell ref="M407:N407"/>
    <mergeCell ref="M422:N422"/>
    <mergeCell ref="M423:N423"/>
    <mergeCell ref="M424:N424"/>
    <mergeCell ref="B425:I425"/>
    <mergeCell ref="M425:N425"/>
    <mergeCell ref="M426:N426"/>
    <mergeCell ref="M416:N416"/>
    <mergeCell ref="M417:N417"/>
    <mergeCell ref="M418:N418"/>
    <mergeCell ref="M419:N419"/>
    <mergeCell ref="M420:N420"/>
    <mergeCell ref="M421:N421"/>
    <mergeCell ref="M433:N433"/>
    <mergeCell ref="M434:N434"/>
    <mergeCell ref="M435:N435"/>
    <mergeCell ref="B436:I436"/>
    <mergeCell ref="M436:N436"/>
    <mergeCell ref="M437:N437"/>
    <mergeCell ref="M427:N427"/>
    <mergeCell ref="M428:N428"/>
    <mergeCell ref="M429:N429"/>
    <mergeCell ref="M430:N430"/>
    <mergeCell ref="M431:N431"/>
    <mergeCell ref="M432:N432"/>
    <mergeCell ref="B447:I447"/>
    <mergeCell ref="M447:N447"/>
    <mergeCell ref="M448:N448"/>
    <mergeCell ref="M438:N438"/>
    <mergeCell ref="M439:N439"/>
    <mergeCell ref="M440:N440"/>
    <mergeCell ref="M441:N441"/>
    <mergeCell ref="M442:N442"/>
    <mergeCell ref="M443:N443"/>
    <mergeCell ref="M449:N449"/>
    <mergeCell ref="M450:N450"/>
    <mergeCell ref="M451:N451"/>
    <mergeCell ref="M452:N452"/>
    <mergeCell ref="M453:N453"/>
    <mergeCell ref="M454:N454"/>
    <mergeCell ref="M444:N444"/>
    <mergeCell ref="M445:N445"/>
    <mergeCell ref="M446:N446"/>
    <mergeCell ref="M460:N460"/>
    <mergeCell ref="M461:N461"/>
    <mergeCell ref="M462:N462"/>
    <mergeCell ref="M463:N463"/>
    <mergeCell ref="M464:N464"/>
    <mergeCell ref="M465:N465"/>
    <mergeCell ref="M455:N455"/>
    <mergeCell ref="M456:N456"/>
    <mergeCell ref="B457:I457"/>
    <mergeCell ref="M457:N457"/>
    <mergeCell ref="M458:N458"/>
    <mergeCell ref="M459:N459"/>
    <mergeCell ref="M471:N471"/>
    <mergeCell ref="M472:N472"/>
    <mergeCell ref="M473:N473"/>
    <mergeCell ref="M474:N474"/>
    <mergeCell ref="M475:N475"/>
    <mergeCell ref="M476:N476"/>
    <mergeCell ref="B466:I466"/>
    <mergeCell ref="M466:N466"/>
    <mergeCell ref="M467:N467"/>
    <mergeCell ref="M468:N468"/>
    <mergeCell ref="M469:N469"/>
    <mergeCell ref="M470:N470"/>
    <mergeCell ref="M483:N483"/>
    <mergeCell ref="M484:N484"/>
    <mergeCell ref="M485:N485"/>
    <mergeCell ref="M486:N486"/>
    <mergeCell ref="M487:N487"/>
    <mergeCell ref="M488:N488"/>
    <mergeCell ref="M477:N477"/>
    <mergeCell ref="M478:N478"/>
    <mergeCell ref="M479:N479"/>
    <mergeCell ref="M480:N480"/>
    <mergeCell ref="M481:N481"/>
    <mergeCell ref="M482:N482"/>
    <mergeCell ref="B504:I504"/>
    <mergeCell ref="M504:N504"/>
    <mergeCell ref="B495:I495"/>
    <mergeCell ref="M495:N495"/>
    <mergeCell ref="M496:N496"/>
    <mergeCell ref="M497:N497"/>
    <mergeCell ref="M498:N498"/>
    <mergeCell ref="M499:N499"/>
    <mergeCell ref="M489:N489"/>
    <mergeCell ref="M490:N490"/>
    <mergeCell ref="M491:N491"/>
    <mergeCell ref="M492:N492"/>
    <mergeCell ref="M493:N493"/>
    <mergeCell ref="M494:N494"/>
    <mergeCell ref="M505:N505"/>
    <mergeCell ref="M506:N506"/>
    <mergeCell ref="M507:N507"/>
    <mergeCell ref="M508:N508"/>
    <mergeCell ref="M509:N509"/>
    <mergeCell ref="M510:N510"/>
    <mergeCell ref="M500:N500"/>
    <mergeCell ref="M501:N501"/>
    <mergeCell ref="M502:N502"/>
    <mergeCell ref="M503:N503"/>
    <mergeCell ref="M517:N517"/>
    <mergeCell ref="M518:N518"/>
    <mergeCell ref="M519:N519"/>
    <mergeCell ref="M520:N520"/>
    <mergeCell ref="M521:N521"/>
    <mergeCell ref="M522:N522"/>
    <mergeCell ref="M511:N511"/>
    <mergeCell ref="M512:N512"/>
    <mergeCell ref="M513:N513"/>
    <mergeCell ref="M514:N514"/>
    <mergeCell ref="M515:N515"/>
    <mergeCell ref="M516:N516"/>
    <mergeCell ref="M528:N528"/>
    <mergeCell ref="M529:N529"/>
    <mergeCell ref="B530:I530"/>
    <mergeCell ref="M530:N530"/>
    <mergeCell ref="M531:N531"/>
    <mergeCell ref="M532:N532"/>
    <mergeCell ref="B523:I523"/>
    <mergeCell ref="M523:N523"/>
    <mergeCell ref="M524:N524"/>
    <mergeCell ref="M525:N525"/>
    <mergeCell ref="M526:N526"/>
    <mergeCell ref="M527:N527"/>
    <mergeCell ref="B542:I542"/>
    <mergeCell ref="M542:N542"/>
    <mergeCell ref="M543:N543"/>
    <mergeCell ref="M533:N533"/>
    <mergeCell ref="M534:N534"/>
    <mergeCell ref="M535:N535"/>
    <mergeCell ref="M536:N536"/>
    <mergeCell ref="M537:N537"/>
    <mergeCell ref="M538:N538"/>
    <mergeCell ref="M544:N544"/>
    <mergeCell ref="M545:N545"/>
    <mergeCell ref="M546:N546"/>
    <mergeCell ref="M547:N547"/>
    <mergeCell ref="M548:N548"/>
    <mergeCell ref="M549:N549"/>
    <mergeCell ref="M539:N539"/>
    <mergeCell ref="M540:N540"/>
    <mergeCell ref="M541:N541"/>
    <mergeCell ref="M556:N556"/>
    <mergeCell ref="M557:N557"/>
    <mergeCell ref="M558:N558"/>
    <mergeCell ref="M559:N559"/>
    <mergeCell ref="M560:N560"/>
    <mergeCell ref="M561:N561"/>
    <mergeCell ref="M550:N550"/>
    <mergeCell ref="M551:N551"/>
    <mergeCell ref="M552:N552"/>
    <mergeCell ref="M553:N553"/>
    <mergeCell ref="M554:N554"/>
    <mergeCell ref="M555:N555"/>
    <mergeCell ref="M568:N568"/>
    <mergeCell ref="M569:N569"/>
    <mergeCell ref="M570:N570"/>
    <mergeCell ref="M571:N571"/>
    <mergeCell ref="M572:N572"/>
    <mergeCell ref="M573:N573"/>
    <mergeCell ref="M562:N562"/>
    <mergeCell ref="M563:N563"/>
    <mergeCell ref="M564:N564"/>
    <mergeCell ref="M565:N565"/>
    <mergeCell ref="M566:N566"/>
    <mergeCell ref="M567:N567"/>
    <mergeCell ref="M580:N580"/>
    <mergeCell ref="M581:N581"/>
    <mergeCell ref="M582:N582"/>
    <mergeCell ref="M583:N583"/>
    <mergeCell ref="M584:N584"/>
    <mergeCell ref="M585:N585"/>
    <mergeCell ref="M574:N574"/>
    <mergeCell ref="M575:N575"/>
    <mergeCell ref="M576:N576"/>
    <mergeCell ref="M577:N577"/>
    <mergeCell ref="M578:N578"/>
    <mergeCell ref="M579:N579"/>
    <mergeCell ref="M592:N592"/>
    <mergeCell ref="M593:N593"/>
    <mergeCell ref="M594:N594"/>
    <mergeCell ref="M595:N595"/>
    <mergeCell ref="M596:N596"/>
    <mergeCell ref="M597:N597"/>
    <mergeCell ref="M586:N586"/>
    <mergeCell ref="M587:N587"/>
    <mergeCell ref="M588:N588"/>
    <mergeCell ref="M589:N589"/>
    <mergeCell ref="M590:N590"/>
    <mergeCell ref="M591:N591"/>
    <mergeCell ref="M604:N604"/>
    <mergeCell ref="M605:N605"/>
    <mergeCell ref="M606:N606"/>
    <mergeCell ref="M607:N607"/>
    <mergeCell ref="M608:N608"/>
    <mergeCell ref="M609:N609"/>
    <mergeCell ref="M598:N598"/>
    <mergeCell ref="M599:N599"/>
    <mergeCell ref="M600:N600"/>
    <mergeCell ref="M601:N601"/>
    <mergeCell ref="M602:N602"/>
    <mergeCell ref="M603:N603"/>
    <mergeCell ref="M616:N616"/>
    <mergeCell ref="M617:N617"/>
    <mergeCell ref="M618:N618"/>
    <mergeCell ref="M619:N619"/>
    <mergeCell ref="M620:N620"/>
    <mergeCell ref="M621:N621"/>
    <mergeCell ref="M610:N610"/>
    <mergeCell ref="M611:N611"/>
    <mergeCell ref="M612:N612"/>
    <mergeCell ref="M613:N613"/>
    <mergeCell ref="M614:N614"/>
    <mergeCell ref="M615:N615"/>
    <mergeCell ref="M628:N628"/>
    <mergeCell ref="M629:N629"/>
    <mergeCell ref="M630:N630"/>
    <mergeCell ref="M631:N631"/>
    <mergeCell ref="M632:N632"/>
    <mergeCell ref="M633:N633"/>
    <mergeCell ref="M622:N622"/>
    <mergeCell ref="M623:N623"/>
    <mergeCell ref="M624:N624"/>
    <mergeCell ref="M625:N625"/>
    <mergeCell ref="M626:N626"/>
    <mergeCell ref="M627:N627"/>
    <mergeCell ref="M640:N640"/>
    <mergeCell ref="M641:N641"/>
    <mergeCell ref="M642:N642"/>
    <mergeCell ref="M643:N643"/>
    <mergeCell ref="M644:N644"/>
    <mergeCell ref="M645:N645"/>
    <mergeCell ref="M634:N634"/>
    <mergeCell ref="M635:N635"/>
    <mergeCell ref="M636:N636"/>
    <mergeCell ref="M637:N637"/>
    <mergeCell ref="M638:N638"/>
    <mergeCell ref="M639:N639"/>
    <mergeCell ref="M652:N652"/>
    <mergeCell ref="M653:N653"/>
    <mergeCell ref="M654:N654"/>
    <mergeCell ref="M655:N655"/>
    <mergeCell ref="M656:N656"/>
    <mergeCell ref="M657:N657"/>
    <mergeCell ref="M646:N646"/>
    <mergeCell ref="M647:N647"/>
    <mergeCell ref="M648:N648"/>
    <mergeCell ref="M649:N649"/>
    <mergeCell ref="M650:N650"/>
    <mergeCell ref="M651:N651"/>
    <mergeCell ref="M664:N664"/>
    <mergeCell ref="M665:N665"/>
    <mergeCell ref="M666:N666"/>
    <mergeCell ref="M667:N667"/>
    <mergeCell ref="M668:N668"/>
    <mergeCell ref="M669:N669"/>
    <mergeCell ref="M658:N658"/>
    <mergeCell ref="M659:N659"/>
    <mergeCell ref="M660:N660"/>
    <mergeCell ref="M661:N661"/>
    <mergeCell ref="M662:N662"/>
    <mergeCell ref="M663:N663"/>
    <mergeCell ref="M676:N676"/>
    <mergeCell ref="M677:N677"/>
    <mergeCell ref="M678:N678"/>
    <mergeCell ref="B679:I679"/>
    <mergeCell ref="L679:N679"/>
    <mergeCell ref="M680:N680"/>
    <mergeCell ref="M670:N670"/>
    <mergeCell ref="M671:N671"/>
    <mergeCell ref="M672:N672"/>
    <mergeCell ref="M673:N673"/>
    <mergeCell ref="M674:N674"/>
    <mergeCell ref="M675:N675"/>
    <mergeCell ref="AI695:AL695"/>
    <mergeCell ref="AI696:AL696"/>
    <mergeCell ref="B687:I687"/>
    <mergeCell ref="M687:N687"/>
    <mergeCell ref="B688:I688"/>
    <mergeCell ref="L688:N688"/>
    <mergeCell ref="AI689:AL689"/>
    <mergeCell ref="AI690:AL690"/>
    <mergeCell ref="M681:N681"/>
    <mergeCell ref="M682:N682"/>
    <mergeCell ref="M683:N683"/>
    <mergeCell ref="M684:N684"/>
    <mergeCell ref="M685:N685"/>
    <mergeCell ref="M686:N686"/>
  </mergeCells>
  <printOptions horizontalCentered="1"/>
  <pageMargins left="0.75" right="0.75" top="0.59055118100000004" bottom="0.393700787" header="0.35433070866141703" footer="0.35433070866141703"/>
  <pageSetup paperSize="258" scale="65" fitToWidth="0" fitToHeight="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outlinePr summaryBelow="0" summaryRight="0"/>
    <pageSetUpPr autoPageBreaks="0"/>
  </sheetPr>
  <dimension ref="A1:CE725"/>
  <sheetViews>
    <sheetView showOutlineSymbols="0" view="pageBreakPreview" zoomScale="80" zoomScaleSheetLayoutView="80" workbookViewId="0">
      <pane ySplit="8" topLeftCell="A22" activePane="bottomLeft" state="frozen"/>
      <selection activeCell="Q553" sqref="Q553"/>
      <selection pane="bottomLeft" activeCell="U30" sqref="U30"/>
    </sheetView>
  </sheetViews>
  <sheetFormatPr defaultRowHeight="13.5" customHeight="1" x14ac:dyDescent="0.25"/>
  <cols>
    <col min="1" max="1" width="5" style="205" customWidth="1"/>
    <col min="2" max="2" width="1.140625" style="205" hidden="1" customWidth="1"/>
    <col min="3" max="3" width="1.7109375" style="205" hidden="1" customWidth="1"/>
    <col min="4" max="5" width="1.140625" style="205" hidden="1" customWidth="1"/>
    <col min="6" max="6" width="1.7109375" style="205" hidden="1" customWidth="1"/>
    <col min="7" max="7" width="2" style="205" hidden="1" customWidth="1"/>
    <col min="8" max="8" width="8.5703125" style="205" hidden="1" customWidth="1"/>
    <col min="9" max="9" width="1.140625" style="205" hidden="1" customWidth="1"/>
    <col min="10" max="10" width="22.5703125" style="205" customWidth="1"/>
    <col min="11" max="11" width="2.28515625" style="205" customWidth="1"/>
    <col min="12" max="12" width="1.7109375" style="205" customWidth="1"/>
    <col min="13" max="13" width="5.85546875" style="205" customWidth="1"/>
    <col min="14" max="14" width="30.7109375" style="205" customWidth="1"/>
    <col min="15" max="16" width="16.42578125" style="205" hidden="1" customWidth="1"/>
    <col min="17" max="17" width="21.85546875" style="205" customWidth="1"/>
    <col min="18" max="18" width="8.28515625" style="205" customWidth="1"/>
    <col min="19" max="19" width="8" style="205" customWidth="1"/>
    <col min="20" max="20" width="11" style="205" bestFit="1" customWidth="1"/>
    <col min="21" max="21" width="11" style="205" customWidth="1"/>
    <col min="22" max="22" width="11" style="331" customWidth="1"/>
    <col min="23" max="31" width="15.85546875" style="205" hidden="1" customWidth="1"/>
    <col min="32" max="32" width="18.28515625" style="205" hidden="1" customWidth="1"/>
    <col min="33" max="34" width="15.85546875" style="205" hidden="1" customWidth="1"/>
    <col min="35" max="35" width="22.42578125" style="335" customWidth="1"/>
    <col min="36" max="36" width="14.7109375" style="205" customWidth="1"/>
    <col min="37" max="37" width="24.28515625" style="407" customWidth="1"/>
    <col min="38" max="38" width="9.5703125" style="205" customWidth="1"/>
    <col min="39" max="39" width="6.85546875" style="205" customWidth="1"/>
    <col min="40" max="42" width="0" style="205" hidden="1" customWidth="1"/>
    <col min="43" max="43" width="9.140625" style="205"/>
    <col min="44" max="44" width="20.140625" style="205" bestFit="1" customWidth="1"/>
    <col min="45" max="45" width="15.85546875" style="205" bestFit="1" customWidth="1"/>
    <col min="46" max="16384" width="9.140625" style="205"/>
  </cols>
  <sheetData>
    <row r="1" spans="1:45" ht="13.5" customHeight="1" x14ac:dyDescent="0.25">
      <c r="A1" s="203"/>
      <c r="B1" s="646" t="s">
        <v>0</v>
      </c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C1" s="646"/>
      <c r="AD1" s="646"/>
      <c r="AE1" s="646"/>
      <c r="AF1" s="646"/>
      <c r="AG1" s="646"/>
      <c r="AH1" s="646"/>
      <c r="AI1" s="646"/>
      <c r="AJ1" s="646"/>
      <c r="AK1" s="646"/>
      <c r="AL1" s="646"/>
      <c r="AM1" s="646"/>
      <c r="AN1" s="204"/>
      <c r="AO1" s="204"/>
      <c r="AP1" s="204"/>
    </row>
    <row r="2" spans="1:45" s="206" customFormat="1" ht="13.5" customHeight="1" x14ac:dyDescent="0.25">
      <c r="A2" s="646" t="s">
        <v>541</v>
      </c>
      <c r="B2" s="646"/>
      <c r="C2" s="646"/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C2" s="646"/>
      <c r="AD2" s="646"/>
      <c r="AE2" s="646"/>
      <c r="AF2" s="646"/>
      <c r="AG2" s="646"/>
      <c r="AH2" s="646"/>
      <c r="AI2" s="646"/>
      <c r="AJ2" s="646"/>
      <c r="AK2" s="646"/>
      <c r="AL2" s="646"/>
      <c r="AM2" s="646"/>
    </row>
    <row r="3" spans="1:45" ht="13.5" customHeight="1" x14ac:dyDescent="0.25">
      <c r="A3" s="646" t="s">
        <v>649</v>
      </c>
      <c r="B3" s="646"/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C3" s="646"/>
      <c r="AD3" s="646"/>
      <c r="AE3" s="646"/>
      <c r="AF3" s="646"/>
      <c r="AG3" s="646"/>
      <c r="AH3" s="646"/>
      <c r="AI3" s="646"/>
      <c r="AJ3" s="646"/>
      <c r="AK3" s="646"/>
      <c r="AL3" s="646"/>
      <c r="AM3" s="646"/>
      <c r="AN3" s="646"/>
      <c r="AO3" s="646"/>
      <c r="AP3" s="204"/>
    </row>
    <row r="4" spans="1:45" ht="13.5" customHeight="1" x14ac:dyDescent="0.25">
      <c r="A4" s="203" t="s">
        <v>426</v>
      </c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3"/>
      <c r="S4" s="203"/>
      <c r="T4" s="204"/>
      <c r="U4" s="204"/>
      <c r="V4" s="208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402"/>
      <c r="AL4" s="204"/>
      <c r="AM4" s="204"/>
      <c r="AN4" s="204"/>
      <c r="AO4" s="204"/>
      <c r="AP4" s="204"/>
    </row>
    <row r="5" spans="1:45" ht="13.5" customHeight="1" x14ac:dyDescent="0.25">
      <c r="A5" s="497" t="s">
        <v>1</v>
      </c>
      <c r="B5" s="497" t="s">
        <v>56</v>
      </c>
      <c r="C5" s="497"/>
      <c r="D5" s="497"/>
      <c r="E5" s="497"/>
      <c r="F5" s="497"/>
      <c r="G5" s="497"/>
      <c r="H5" s="497"/>
      <c r="I5" s="497"/>
      <c r="J5" s="498" t="s">
        <v>192</v>
      </c>
      <c r="K5" s="497" t="s">
        <v>2</v>
      </c>
      <c r="L5" s="497"/>
      <c r="M5" s="497"/>
      <c r="N5" s="497"/>
      <c r="O5" s="497" t="s">
        <v>57</v>
      </c>
      <c r="P5" s="498" t="s">
        <v>58</v>
      </c>
      <c r="Q5" s="497" t="s">
        <v>3</v>
      </c>
      <c r="R5" s="497" t="s">
        <v>4</v>
      </c>
      <c r="S5" s="497" t="s">
        <v>59</v>
      </c>
      <c r="T5" s="505" t="s">
        <v>60</v>
      </c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0"/>
      <c r="AI5" s="506"/>
      <c r="AJ5" s="497" t="s">
        <v>5</v>
      </c>
      <c r="AK5" s="647" t="s">
        <v>61</v>
      </c>
      <c r="AL5" s="497" t="s">
        <v>5</v>
      </c>
      <c r="AM5" s="497" t="s">
        <v>62</v>
      </c>
      <c r="AN5" s="497" t="s">
        <v>63</v>
      </c>
      <c r="AO5" s="497" t="s">
        <v>64</v>
      </c>
      <c r="AP5" s="497" t="s">
        <v>62</v>
      </c>
    </row>
    <row r="6" spans="1:45" ht="13.5" customHeight="1" x14ac:dyDescent="0.25">
      <c r="A6" s="497"/>
      <c r="B6" s="497"/>
      <c r="C6" s="497"/>
      <c r="D6" s="497"/>
      <c r="E6" s="497"/>
      <c r="F6" s="497"/>
      <c r="G6" s="497"/>
      <c r="H6" s="497"/>
      <c r="I6" s="497"/>
      <c r="J6" s="499"/>
      <c r="K6" s="497"/>
      <c r="L6" s="497"/>
      <c r="M6" s="497"/>
      <c r="N6" s="497"/>
      <c r="O6" s="497"/>
      <c r="P6" s="499"/>
      <c r="Q6" s="497"/>
      <c r="R6" s="497"/>
      <c r="S6" s="497"/>
      <c r="T6" s="505" t="s">
        <v>65</v>
      </c>
      <c r="U6" s="506"/>
      <c r="V6" s="507" t="s">
        <v>66</v>
      </c>
      <c r="W6" s="498" t="s">
        <v>67</v>
      </c>
      <c r="X6" s="498" t="s">
        <v>68</v>
      </c>
      <c r="Y6" s="498" t="s">
        <v>69</v>
      </c>
      <c r="Z6" s="498" t="s">
        <v>70</v>
      </c>
      <c r="AA6" s="498" t="s">
        <v>71</v>
      </c>
      <c r="AB6" s="498" t="s">
        <v>72</v>
      </c>
      <c r="AC6" s="498" t="s">
        <v>73</v>
      </c>
      <c r="AD6" s="498" t="s">
        <v>74</v>
      </c>
      <c r="AE6" s="498" t="s">
        <v>75</v>
      </c>
      <c r="AF6" s="498" t="s">
        <v>76</v>
      </c>
      <c r="AG6" s="498" t="s">
        <v>77</v>
      </c>
      <c r="AH6" s="498" t="s">
        <v>78</v>
      </c>
      <c r="AI6" s="498" t="s">
        <v>79</v>
      </c>
      <c r="AJ6" s="497"/>
      <c r="AK6" s="647"/>
      <c r="AL6" s="497"/>
      <c r="AM6" s="497"/>
      <c r="AN6" s="497"/>
      <c r="AO6" s="497"/>
      <c r="AP6" s="497"/>
    </row>
    <row r="7" spans="1:45" ht="34.5" customHeight="1" x14ac:dyDescent="0.25">
      <c r="A7" s="497"/>
      <c r="B7" s="497"/>
      <c r="C7" s="497"/>
      <c r="D7" s="497"/>
      <c r="E7" s="497"/>
      <c r="F7" s="497"/>
      <c r="G7" s="497"/>
      <c r="H7" s="497"/>
      <c r="I7" s="497"/>
      <c r="J7" s="500"/>
      <c r="K7" s="497"/>
      <c r="L7" s="497"/>
      <c r="M7" s="497"/>
      <c r="N7" s="497"/>
      <c r="O7" s="497"/>
      <c r="P7" s="500"/>
      <c r="Q7" s="497"/>
      <c r="R7" s="497"/>
      <c r="S7" s="497"/>
      <c r="T7" s="455" t="s">
        <v>80</v>
      </c>
      <c r="U7" s="455" t="s">
        <v>6</v>
      </c>
      <c r="V7" s="508"/>
      <c r="W7" s="500"/>
      <c r="X7" s="500"/>
      <c r="Y7" s="500"/>
      <c r="Z7" s="500"/>
      <c r="AA7" s="500"/>
      <c r="AB7" s="500"/>
      <c r="AC7" s="500"/>
      <c r="AD7" s="500"/>
      <c r="AE7" s="500"/>
      <c r="AF7" s="500"/>
      <c r="AG7" s="500"/>
      <c r="AH7" s="500"/>
      <c r="AI7" s="500"/>
      <c r="AJ7" s="497"/>
      <c r="AK7" s="647"/>
      <c r="AL7" s="497"/>
      <c r="AM7" s="497"/>
      <c r="AN7" s="497"/>
      <c r="AO7" s="497"/>
      <c r="AP7" s="497"/>
    </row>
    <row r="8" spans="1:45" s="210" customFormat="1" ht="13.5" customHeight="1" x14ac:dyDescent="0.25">
      <c r="A8" s="456">
        <v>1</v>
      </c>
      <c r="B8" s="509">
        <v>2</v>
      </c>
      <c r="C8" s="509"/>
      <c r="D8" s="509"/>
      <c r="E8" s="509"/>
      <c r="F8" s="509"/>
      <c r="G8" s="509"/>
      <c r="H8" s="509"/>
      <c r="I8" s="509"/>
      <c r="J8" s="456"/>
      <c r="K8" s="509">
        <v>2</v>
      </c>
      <c r="L8" s="509"/>
      <c r="M8" s="509"/>
      <c r="N8" s="509"/>
      <c r="O8" s="456">
        <v>3</v>
      </c>
      <c r="P8" s="456">
        <v>3</v>
      </c>
      <c r="Q8" s="456">
        <v>4</v>
      </c>
      <c r="R8" s="456">
        <v>5</v>
      </c>
      <c r="S8" s="456">
        <v>6</v>
      </c>
      <c r="T8" s="456">
        <v>7</v>
      </c>
      <c r="U8" s="456" t="s">
        <v>81</v>
      </c>
      <c r="V8" s="107" t="s">
        <v>82</v>
      </c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56">
        <v>10</v>
      </c>
      <c r="AJ8" s="456" t="s">
        <v>83</v>
      </c>
      <c r="AK8" s="403" t="s">
        <v>84</v>
      </c>
      <c r="AL8" s="456" t="s">
        <v>85</v>
      </c>
      <c r="AM8" s="456">
        <v>14</v>
      </c>
      <c r="AN8" s="456"/>
      <c r="AO8" s="456"/>
      <c r="AP8" s="456">
        <v>12</v>
      </c>
    </row>
    <row r="9" spans="1:45" ht="13.5" customHeight="1" thickBot="1" x14ac:dyDescent="0.3">
      <c r="A9" s="211" t="s">
        <v>544</v>
      </c>
      <c r="B9" s="212"/>
      <c r="C9" s="212"/>
      <c r="D9" s="212"/>
      <c r="E9" s="212"/>
      <c r="F9" s="212"/>
      <c r="G9" s="212"/>
      <c r="H9" s="212"/>
      <c r="I9" s="213"/>
      <c r="J9" s="212"/>
      <c r="K9" s="214"/>
      <c r="L9" s="212"/>
      <c r="M9" s="212"/>
      <c r="N9" s="213"/>
      <c r="O9" s="211"/>
      <c r="P9" s="211"/>
      <c r="Q9" s="211"/>
      <c r="R9" s="211"/>
      <c r="S9" s="211"/>
      <c r="T9" s="211"/>
      <c r="U9" s="211"/>
      <c r="V9" s="215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 t="s">
        <v>215</v>
      </c>
      <c r="AJ9" s="211"/>
      <c r="AK9" s="404"/>
      <c r="AL9" s="211"/>
      <c r="AM9" s="211"/>
      <c r="AN9" s="217"/>
      <c r="AO9" s="217"/>
      <c r="AP9" s="217"/>
    </row>
    <row r="10" spans="1:45" s="226" customFormat="1" ht="29.25" customHeight="1" thickTop="1" thickBot="1" x14ac:dyDescent="0.3">
      <c r="A10" s="218"/>
      <c r="B10" s="643" t="s">
        <v>86</v>
      </c>
      <c r="C10" s="644"/>
      <c r="D10" s="644"/>
      <c r="E10" s="644"/>
      <c r="F10" s="644"/>
      <c r="G10" s="644"/>
      <c r="H10" s="644"/>
      <c r="I10" s="645"/>
      <c r="J10" s="474" t="s">
        <v>193</v>
      </c>
      <c r="K10" s="220"/>
      <c r="L10" s="644" t="s">
        <v>87</v>
      </c>
      <c r="M10" s="644"/>
      <c r="N10" s="645"/>
      <c r="O10" s="221">
        <f>SUM(O14,O24,O26)</f>
        <v>57230250000</v>
      </c>
      <c r="P10" s="221">
        <f>SUM(P14,P24,P26)</f>
        <v>57230250000</v>
      </c>
      <c r="Q10" s="221">
        <f>SUM(Q14,Q24,Q26)</f>
        <v>124313865783</v>
      </c>
      <c r="R10" s="222">
        <f>Q10/Q10*100</f>
        <v>100</v>
      </c>
      <c r="S10" s="221">
        <f>S14</f>
        <v>100</v>
      </c>
      <c r="T10" s="221">
        <f>SUM(AJ10)</f>
        <v>63.674329741441149</v>
      </c>
      <c r="U10" s="221">
        <f>AJ10</f>
        <v>63.674329741441149</v>
      </c>
      <c r="V10" s="223">
        <f>S10-T10</f>
        <v>36.325670258558851</v>
      </c>
      <c r="W10" s="221">
        <f t="shared" ref="W10:AI10" si="0">SUM(W14,W24,W26)</f>
        <v>0</v>
      </c>
      <c r="X10" s="221" t="e">
        <f t="shared" si="0"/>
        <v>#REF!</v>
      </c>
      <c r="Y10" s="221" t="e">
        <f t="shared" si="0"/>
        <v>#REF!</v>
      </c>
      <c r="Z10" s="221" t="e">
        <f t="shared" si="0"/>
        <v>#REF!</v>
      </c>
      <c r="AA10" s="221" t="e">
        <f t="shared" si="0"/>
        <v>#REF!</v>
      </c>
      <c r="AB10" s="221">
        <f t="shared" si="0"/>
        <v>33313624753</v>
      </c>
      <c r="AC10" s="221" t="e">
        <f t="shared" si="0"/>
        <v>#REF!</v>
      </c>
      <c r="AD10" s="221" t="e">
        <f t="shared" si="0"/>
        <v>#REF!</v>
      </c>
      <c r="AE10" s="221" t="e">
        <f t="shared" si="0"/>
        <v>#REF!</v>
      </c>
      <c r="AF10" s="221" t="e">
        <f t="shared" si="0"/>
        <v>#REF!</v>
      </c>
      <c r="AG10" s="221" t="e">
        <f t="shared" si="0"/>
        <v>#REF!</v>
      </c>
      <c r="AH10" s="221">
        <f t="shared" si="0"/>
        <v>78185513265</v>
      </c>
      <c r="AI10" s="221">
        <f t="shared" si="0"/>
        <v>79156020813</v>
      </c>
      <c r="AJ10" s="224">
        <f>AI10/Q10*100</f>
        <v>63.674329741441149</v>
      </c>
      <c r="AK10" s="221">
        <f>SUM(AK14,AK24,AK26)</f>
        <v>45157844970</v>
      </c>
      <c r="AL10" s="224">
        <f>AK10/Q10*100</f>
        <v>36.325670258558851</v>
      </c>
      <c r="AM10" s="224"/>
    </row>
    <row r="11" spans="1:45" s="235" customFormat="1" ht="13.5" customHeight="1" thickTop="1" thickBot="1" x14ac:dyDescent="0.3">
      <c r="A11" s="227"/>
      <c r="B11" s="462"/>
      <c r="C11" s="462"/>
      <c r="D11" s="462"/>
      <c r="E11" s="462"/>
      <c r="F11" s="462"/>
      <c r="G11" s="462"/>
      <c r="H11" s="462"/>
      <c r="I11" s="461"/>
      <c r="J11" s="462"/>
      <c r="K11" s="230"/>
      <c r="L11" s="462"/>
      <c r="M11" s="462"/>
      <c r="N11" s="461"/>
      <c r="O11" s="231"/>
      <c r="P11" s="231"/>
      <c r="Q11" s="231"/>
      <c r="R11" s="231"/>
      <c r="S11" s="231"/>
      <c r="T11" s="231"/>
      <c r="U11" s="231"/>
      <c r="V11" s="232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3"/>
      <c r="AK11" s="231"/>
      <c r="AL11" s="233"/>
      <c r="AM11" s="233"/>
    </row>
    <row r="12" spans="1:45" s="226" customFormat="1" ht="29.25" customHeight="1" thickTop="1" thickBot="1" x14ac:dyDescent="0.3">
      <c r="A12" s="218"/>
      <c r="B12" s="643" t="s">
        <v>86</v>
      </c>
      <c r="C12" s="644"/>
      <c r="D12" s="644"/>
      <c r="E12" s="644"/>
      <c r="F12" s="644"/>
      <c r="G12" s="644"/>
      <c r="H12" s="644"/>
      <c r="I12" s="645"/>
      <c r="J12" s="474" t="s">
        <v>194</v>
      </c>
      <c r="K12" s="220"/>
      <c r="L12" s="644" t="s">
        <v>195</v>
      </c>
      <c r="M12" s="644"/>
      <c r="N12" s="645"/>
      <c r="O12" s="221" t="e">
        <f>SUM(#REF!,O26,O33)</f>
        <v>#REF!</v>
      </c>
      <c r="P12" s="221" t="e">
        <f>SUM(#REF!,P26,P33)</f>
        <v>#REF!</v>
      </c>
      <c r="Q12" s="221">
        <f>SUM(Q14+Q24+Q26)</f>
        <v>124313865783</v>
      </c>
      <c r="R12" s="222">
        <f>Q12/Q12*100</f>
        <v>100</v>
      </c>
      <c r="S12" s="221">
        <v>100</v>
      </c>
      <c r="T12" s="221">
        <f>SUM(AJ12)</f>
        <v>63.674329741441149</v>
      </c>
      <c r="U12" s="221">
        <f>AJ12</f>
        <v>63.674329741441149</v>
      </c>
      <c r="V12" s="223">
        <f>S12-T12</f>
        <v>36.325670258558851</v>
      </c>
      <c r="W12" s="221">
        <f t="shared" ref="W12:AH12" si="1">SUM(W16,W26,W33)</f>
        <v>0</v>
      </c>
      <c r="X12" s="221" t="e">
        <f t="shared" si="1"/>
        <v>#REF!</v>
      </c>
      <c r="Y12" s="221" t="e">
        <f t="shared" si="1"/>
        <v>#REF!</v>
      </c>
      <c r="Z12" s="221" t="e">
        <f t="shared" si="1"/>
        <v>#REF!</v>
      </c>
      <c r="AA12" s="221" t="e">
        <f t="shared" si="1"/>
        <v>#REF!</v>
      </c>
      <c r="AB12" s="221">
        <f t="shared" si="1"/>
        <v>5549197752</v>
      </c>
      <c r="AC12" s="221" t="e">
        <f t="shared" si="1"/>
        <v>#REF!</v>
      </c>
      <c r="AD12" s="221" t="e">
        <f t="shared" si="1"/>
        <v>#REF!</v>
      </c>
      <c r="AE12" s="221" t="e">
        <f t="shared" si="1"/>
        <v>#REF!</v>
      </c>
      <c r="AF12" s="221" t="e">
        <f t="shared" si="1"/>
        <v>#REF!</v>
      </c>
      <c r="AG12" s="221" t="e">
        <f t="shared" si="1"/>
        <v>#REF!</v>
      </c>
      <c r="AH12" s="221">
        <f t="shared" si="1"/>
        <v>11081028822</v>
      </c>
      <c r="AI12" s="221">
        <f>SUM(AI14+AI24+AI26)</f>
        <v>79156020813</v>
      </c>
      <c r="AJ12" s="224">
        <f>AI12/Q12*100</f>
        <v>63.674329741441149</v>
      </c>
      <c r="AK12" s="221">
        <f>SUM(AK14+AK24+AK26)</f>
        <v>45157844970</v>
      </c>
      <c r="AL12" s="224">
        <f>AK12/Q12*100</f>
        <v>36.325670258558851</v>
      </c>
      <c r="AM12" s="224"/>
    </row>
    <row r="13" spans="1:45" s="235" customFormat="1" ht="13.5" customHeight="1" thickTop="1" x14ac:dyDescent="0.25">
      <c r="A13" s="227"/>
      <c r="B13" s="462"/>
      <c r="C13" s="462"/>
      <c r="D13" s="462"/>
      <c r="E13" s="462"/>
      <c r="F13" s="462"/>
      <c r="G13" s="462"/>
      <c r="H13" s="462"/>
      <c r="I13" s="461"/>
      <c r="J13" s="462"/>
      <c r="K13" s="230"/>
      <c r="L13" s="462"/>
      <c r="M13" s="462"/>
      <c r="N13" s="461"/>
      <c r="O13" s="231"/>
      <c r="P13" s="231"/>
      <c r="Q13" s="231"/>
      <c r="R13" s="231"/>
      <c r="S13" s="231"/>
      <c r="T13" s="231"/>
      <c r="U13" s="231"/>
      <c r="V13" s="232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3"/>
      <c r="AK13" s="231"/>
      <c r="AL13" s="233"/>
      <c r="AM13" s="233"/>
    </row>
    <row r="14" spans="1:45" s="226" customFormat="1" ht="28.5" customHeight="1" x14ac:dyDescent="0.25">
      <c r="A14" s="236" t="s">
        <v>7</v>
      </c>
      <c r="B14" s="642" t="s">
        <v>88</v>
      </c>
      <c r="C14" s="626"/>
      <c r="D14" s="626"/>
      <c r="E14" s="626"/>
      <c r="F14" s="626"/>
      <c r="G14" s="626"/>
      <c r="H14" s="626"/>
      <c r="I14" s="627"/>
      <c r="J14" s="464" t="s">
        <v>213</v>
      </c>
      <c r="K14" s="238"/>
      <c r="L14" s="626" t="s">
        <v>89</v>
      </c>
      <c r="M14" s="626"/>
      <c r="N14" s="627"/>
      <c r="O14" s="239">
        <v>53000250000</v>
      </c>
      <c r="P14" s="239">
        <f>O14</f>
        <v>53000250000</v>
      </c>
      <c r="Q14" s="239">
        <f>SUM(Q15:Q23)</f>
        <v>114000000000</v>
      </c>
      <c r="R14" s="240">
        <f>Q14/Q14*100</f>
        <v>100</v>
      </c>
      <c r="S14" s="240">
        <v>100</v>
      </c>
      <c r="T14" s="239">
        <f>AJ14</f>
        <v>57.094994848245619</v>
      </c>
      <c r="U14" s="239">
        <f>SUM(R14*T14)</f>
        <v>5709.4994848245624</v>
      </c>
      <c r="V14" s="241">
        <f>S14-T14</f>
        <v>42.905005151754381</v>
      </c>
      <c r="W14" s="239"/>
      <c r="X14" s="239" t="e">
        <f>#REF!</f>
        <v>#REF!</v>
      </c>
      <c r="Y14" s="239" t="e">
        <f>#REF!</f>
        <v>#REF!</v>
      </c>
      <c r="Z14" s="239" t="e">
        <f>#REF!</f>
        <v>#REF!</v>
      </c>
      <c r="AA14" s="239" t="e">
        <f>#REF!</f>
        <v>#REF!</v>
      </c>
      <c r="AB14" s="239">
        <v>27766121137</v>
      </c>
      <c r="AC14" s="239" t="e">
        <f>#REF!</f>
        <v>#REF!</v>
      </c>
      <c r="AD14" s="239" t="e">
        <f>#REF!</f>
        <v>#REF!</v>
      </c>
      <c r="AE14" s="239" t="e">
        <f>#REF!</f>
        <v>#REF!</v>
      </c>
      <c r="AF14" s="239" t="e">
        <f>[1]April!$N$12</f>
        <v>#REF!</v>
      </c>
      <c r="AG14" s="239" t="e">
        <f>[2]april!$N$12</f>
        <v>#REF!</v>
      </c>
      <c r="AH14" s="239">
        <f>'[3]DES SKPD'!$N$12</f>
        <v>67029484443</v>
      </c>
      <c r="AI14" s="239">
        <f>SUM(AI15:AI23)</f>
        <v>65088294127</v>
      </c>
      <c r="AJ14" s="240">
        <f t="shared" ref="AJ14:AJ27" si="2">AI14/Q14*100</f>
        <v>57.094994848245619</v>
      </c>
      <c r="AK14" s="239">
        <f>Q14-AI14</f>
        <v>48911705873</v>
      </c>
      <c r="AL14" s="240">
        <f t="shared" ref="AL14:AL27" si="3">AK14/Q14*100</f>
        <v>42.905005151754388</v>
      </c>
      <c r="AM14" s="236"/>
    </row>
    <row r="15" spans="1:45" ht="28.5" customHeight="1" x14ac:dyDescent="0.25">
      <c r="A15" s="243">
        <v>1</v>
      </c>
      <c r="B15" s="639" t="s">
        <v>90</v>
      </c>
      <c r="C15" s="597"/>
      <c r="D15" s="597"/>
      <c r="E15" s="597"/>
      <c r="F15" s="597"/>
      <c r="G15" s="597"/>
      <c r="H15" s="597"/>
      <c r="I15" s="598"/>
      <c r="J15" s="457" t="s">
        <v>355</v>
      </c>
      <c r="K15" s="245"/>
      <c r="L15" s="597" t="s">
        <v>389</v>
      </c>
      <c r="M15" s="597"/>
      <c r="N15" s="598"/>
      <c r="O15" s="180"/>
      <c r="P15" s="180"/>
      <c r="Q15" s="180">
        <v>4000000000</v>
      </c>
      <c r="R15" s="181">
        <f>Q15/Q$10*100</f>
        <v>3.2176619838870804</v>
      </c>
      <c r="S15" s="181">
        <v>100</v>
      </c>
      <c r="T15" s="180">
        <f>AJ15</f>
        <v>67.107449299999999</v>
      </c>
      <c r="U15" s="180">
        <f>R15*T15/100</f>
        <v>2.1592908844823966</v>
      </c>
      <c r="V15" s="182">
        <f t="shared" ref="V15:V26" si="4">S15-T15</f>
        <v>32.892550700000001</v>
      </c>
      <c r="W15" s="180"/>
      <c r="X15" s="180"/>
      <c r="Y15" s="180"/>
      <c r="Z15" s="180"/>
      <c r="AA15" s="180"/>
      <c r="AB15" s="180">
        <v>0</v>
      </c>
      <c r="AC15" s="180"/>
      <c r="AD15" s="180"/>
      <c r="AE15" s="180"/>
      <c r="AF15" s="180"/>
      <c r="AG15" s="180"/>
      <c r="AH15" s="180"/>
      <c r="AI15" s="180">
        <f>(431044330+333208441+275726549+410229067+542186223+221479028+470424334)</f>
        <v>2684297972</v>
      </c>
      <c r="AJ15" s="181">
        <f t="shared" si="2"/>
        <v>67.107449299999999</v>
      </c>
      <c r="AK15" s="180">
        <f>SUM(Q15-AI15)</f>
        <v>1315702028</v>
      </c>
      <c r="AL15" s="181">
        <f t="shared" si="3"/>
        <v>32.892550700000001</v>
      </c>
      <c r="AM15" s="243"/>
      <c r="AR15" s="247">
        <v>114000000000</v>
      </c>
      <c r="AS15" s="248">
        <f>Q14-AR15</f>
        <v>0</v>
      </c>
    </row>
    <row r="16" spans="1:45" ht="28.5" customHeight="1" x14ac:dyDescent="0.25">
      <c r="A16" s="243">
        <v>2</v>
      </c>
      <c r="B16" s="639" t="s">
        <v>91</v>
      </c>
      <c r="C16" s="597"/>
      <c r="D16" s="597"/>
      <c r="E16" s="597"/>
      <c r="F16" s="597"/>
      <c r="G16" s="597"/>
      <c r="H16" s="597"/>
      <c r="I16" s="598"/>
      <c r="J16" s="457" t="s">
        <v>356</v>
      </c>
      <c r="K16" s="245"/>
      <c r="L16" s="597" t="s">
        <v>390</v>
      </c>
      <c r="M16" s="597"/>
      <c r="N16" s="598"/>
      <c r="O16" s="180"/>
      <c r="P16" s="180"/>
      <c r="Q16" s="180">
        <v>16748000000</v>
      </c>
      <c r="R16" s="181">
        <f t="shared" ref="R16:R25" si="5">Q16/Q$10*100</f>
        <v>13.472350726535204</v>
      </c>
      <c r="S16" s="181">
        <v>100</v>
      </c>
      <c r="T16" s="180">
        <f>AJ16</f>
        <v>72.511037622402668</v>
      </c>
      <c r="U16" s="180">
        <f>R16*T16/100</f>
        <v>9.7689413039399806</v>
      </c>
      <c r="V16" s="182">
        <f t="shared" si="4"/>
        <v>27.488962377597332</v>
      </c>
      <c r="W16" s="180"/>
      <c r="X16" s="180"/>
      <c r="Y16" s="180"/>
      <c r="Z16" s="180"/>
      <c r="AA16" s="180"/>
      <c r="AB16" s="180">
        <v>0</v>
      </c>
      <c r="AC16" s="180"/>
      <c r="AD16" s="180"/>
      <c r="AE16" s="180"/>
      <c r="AF16" s="180"/>
      <c r="AG16" s="180"/>
      <c r="AH16" s="180"/>
      <c r="AI16" s="180">
        <f>(1914892402+1775904849+1319972393+1696852245+1901936169+1440653757+2093936766)</f>
        <v>12144148581</v>
      </c>
      <c r="AJ16" s="181">
        <f t="shared" si="2"/>
        <v>72.511037622402668</v>
      </c>
      <c r="AK16" s="180">
        <f t="shared" ref="AK16:AK32" si="6">SUM(Q16-AI16)</f>
        <v>4603851419</v>
      </c>
      <c r="AL16" s="249">
        <f t="shared" si="3"/>
        <v>27.488962377597325</v>
      </c>
      <c r="AM16" s="243"/>
    </row>
    <row r="17" spans="1:39" ht="28.5" customHeight="1" x14ac:dyDescent="0.25">
      <c r="A17" s="243">
        <v>3</v>
      </c>
      <c r="B17" s="639" t="s">
        <v>92</v>
      </c>
      <c r="C17" s="597"/>
      <c r="D17" s="597"/>
      <c r="E17" s="597"/>
      <c r="F17" s="597"/>
      <c r="G17" s="597"/>
      <c r="H17" s="597"/>
      <c r="I17" s="598"/>
      <c r="J17" s="457" t="s">
        <v>357</v>
      </c>
      <c r="K17" s="245"/>
      <c r="L17" s="597" t="s">
        <v>391</v>
      </c>
      <c r="M17" s="597"/>
      <c r="N17" s="598"/>
      <c r="O17" s="180"/>
      <c r="P17" s="180"/>
      <c r="Q17" s="180">
        <v>714500000</v>
      </c>
      <c r="R17" s="181">
        <f t="shared" si="5"/>
        <v>0.57475487187182972</v>
      </c>
      <c r="S17" s="181">
        <v>100</v>
      </c>
      <c r="T17" s="180">
        <f>AJ17</f>
        <v>232.84777536738977</v>
      </c>
      <c r="U17" s="180">
        <f>R17*T17/100</f>
        <v>1.3383039329692468</v>
      </c>
      <c r="V17" s="182">
        <f t="shared" si="4"/>
        <v>-132.84777536738977</v>
      </c>
      <c r="W17" s="180"/>
      <c r="X17" s="180"/>
      <c r="Y17" s="180"/>
      <c r="Z17" s="180"/>
      <c r="AA17" s="180"/>
      <c r="AB17" s="180">
        <v>0</v>
      </c>
      <c r="AC17" s="180"/>
      <c r="AD17" s="180"/>
      <c r="AE17" s="180"/>
      <c r="AF17" s="180"/>
      <c r="AG17" s="180"/>
      <c r="AH17" s="180"/>
      <c r="AI17" s="180">
        <f>(78879037+65981530+49950581+654064553+259098029+228995847+326727778)</f>
        <v>1663697355</v>
      </c>
      <c r="AJ17" s="181">
        <f t="shared" si="2"/>
        <v>232.84777536738977</v>
      </c>
      <c r="AK17" s="180">
        <f t="shared" si="6"/>
        <v>-949197355</v>
      </c>
      <c r="AL17" s="181">
        <f t="shared" si="3"/>
        <v>-132.84777536738977</v>
      </c>
      <c r="AM17" s="243"/>
    </row>
    <row r="18" spans="1:39" ht="28.5" customHeight="1" x14ac:dyDescent="0.25">
      <c r="A18" s="243">
        <v>4</v>
      </c>
      <c r="B18" s="639" t="s">
        <v>93</v>
      </c>
      <c r="C18" s="597"/>
      <c r="D18" s="597"/>
      <c r="E18" s="597"/>
      <c r="F18" s="597"/>
      <c r="G18" s="597"/>
      <c r="H18" s="597"/>
      <c r="I18" s="598"/>
      <c r="J18" s="457" t="s">
        <v>358</v>
      </c>
      <c r="K18" s="245"/>
      <c r="L18" s="597" t="s">
        <v>392</v>
      </c>
      <c r="M18" s="597"/>
      <c r="N18" s="598"/>
      <c r="O18" s="180"/>
      <c r="P18" s="180"/>
      <c r="Q18" s="180">
        <v>4296000000</v>
      </c>
      <c r="R18" s="181">
        <f t="shared" si="5"/>
        <v>3.4557689706947241</v>
      </c>
      <c r="S18" s="181">
        <v>100</v>
      </c>
      <c r="T18" s="180">
        <f t="shared" ref="T18:T32" si="7">AJ18</f>
        <v>56.642854073556791</v>
      </c>
      <c r="U18" s="180">
        <f t="shared" ref="U18:U23" si="8">R18*T18/100</f>
        <v>1.9574461751898682</v>
      </c>
      <c r="V18" s="182">
        <f t="shared" si="4"/>
        <v>43.357145926443209</v>
      </c>
      <c r="W18" s="180"/>
      <c r="X18" s="180"/>
      <c r="Y18" s="180"/>
      <c r="Z18" s="180"/>
      <c r="AA18" s="180"/>
      <c r="AB18" s="180">
        <v>0</v>
      </c>
      <c r="AC18" s="180"/>
      <c r="AD18" s="180"/>
      <c r="AE18" s="180"/>
      <c r="AF18" s="180"/>
      <c r="AG18" s="180"/>
      <c r="AH18" s="180"/>
      <c r="AI18" s="180">
        <f>(583660366+480801633+270494857+445824057+209625737+107503985+335466376)</f>
        <v>2433377011</v>
      </c>
      <c r="AJ18" s="181">
        <f t="shared" si="2"/>
        <v>56.642854073556791</v>
      </c>
      <c r="AK18" s="180">
        <f t="shared" si="6"/>
        <v>1862622989</v>
      </c>
      <c r="AL18" s="249">
        <f t="shared" si="3"/>
        <v>43.357145926443202</v>
      </c>
      <c r="AM18" s="243"/>
    </row>
    <row r="19" spans="1:39" ht="28.5" customHeight="1" x14ac:dyDescent="0.25">
      <c r="A19" s="243">
        <v>5</v>
      </c>
      <c r="B19" s="639" t="s">
        <v>94</v>
      </c>
      <c r="C19" s="597"/>
      <c r="D19" s="597"/>
      <c r="E19" s="597"/>
      <c r="F19" s="597"/>
      <c r="G19" s="597"/>
      <c r="H19" s="597"/>
      <c r="I19" s="598"/>
      <c r="J19" s="457" t="s">
        <v>359</v>
      </c>
      <c r="K19" s="245"/>
      <c r="L19" s="597" t="s">
        <v>393</v>
      </c>
      <c r="M19" s="597"/>
      <c r="N19" s="598"/>
      <c r="O19" s="180"/>
      <c r="P19" s="180"/>
      <c r="Q19" s="180">
        <v>29977500000</v>
      </c>
      <c r="R19" s="181">
        <f t="shared" si="5"/>
        <v>24.114365530493735</v>
      </c>
      <c r="S19" s="181">
        <v>100</v>
      </c>
      <c r="T19" s="180">
        <f t="shared" si="7"/>
        <v>59.221050644650155</v>
      </c>
      <c r="U19" s="180">
        <f t="shared" si="8"/>
        <v>14.280780623449754</v>
      </c>
      <c r="V19" s="182">
        <f t="shared" si="4"/>
        <v>40.778949355349845</v>
      </c>
      <c r="W19" s="180"/>
      <c r="X19" s="180"/>
      <c r="Y19" s="180"/>
      <c r="Z19" s="180"/>
      <c r="AA19" s="180"/>
      <c r="AB19" s="180">
        <v>0</v>
      </c>
      <c r="AC19" s="180"/>
      <c r="AD19" s="180"/>
      <c r="AE19" s="180"/>
      <c r="AF19" s="180"/>
      <c r="AG19" s="180"/>
      <c r="AH19" s="180"/>
      <c r="AI19" s="180">
        <f>(2568866323+2496068783+2393680264+2434431784+2585521355+2686176773+2588245175)</f>
        <v>17752990457</v>
      </c>
      <c r="AJ19" s="181">
        <f t="shared" si="2"/>
        <v>59.221050644650155</v>
      </c>
      <c r="AK19" s="180">
        <f t="shared" si="6"/>
        <v>12224509543</v>
      </c>
      <c r="AL19" s="249">
        <f t="shared" si="3"/>
        <v>40.778949355349845</v>
      </c>
      <c r="AM19" s="243"/>
    </row>
    <row r="20" spans="1:39" ht="28.5" customHeight="1" x14ac:dyDescent="0.25">
      <c r="A20" s="243">
        <v>6</v>
      </c>
      <c r="B20" s="639" t="s">
        <v>95</v>
      </c>
      <c r="C20" s="597"/>
      <c r="D20" s="597"/>
      <c r="E20" s="597"/>
      <c r="F20" s="597"/>
      <c r="G20" s="597"/>
      <c r="H20" s="597"/>
      <c r="I20" s="598"/>
      <c r="J20" s="457" t="s">
        <v>360</v>
      </c>
      <c r="K20" s="245"/>
      <c r="L20" s="597" t="s">
        <v>394</v>
      </c>
      <c r="M20" s="597"/>
      <c r="N20" s="598"/>
      <c r="O20" s="180"/>
      <c r="P20" s="180"/>
      <c r="Q20" s="180">
        <v>900000000</v>
      </c>
      <c r="R20" s="181">
        <f t="shared" si="5"/>
        <v>0.72397394637459311</v>
      </c>
      <c r="S20" s="181">
        <v>100</v>
      </c>
      <c r="T20" s="180">
        <f t="shared" si="7"/>
        <v>80.890264222222214</v>
      </c>
      <c r="U20" s="180">
        <f t="shared" si="8"/>
        <v>0.58562443812245779</v>
      </c>
      <c r="V20" s="182">
        <f t="shared" si="4"/>
        <v>19.109735777777786</v>
      </c>
      <c r="W20" s="180"/>
      <c r="X20" s="180"/>
      <c r="Y20" s="180"/>
      <c r="Z20" s="180"/>
      <c r="AA20" s="180"/>
      <c r="AB20" s="180">
        <v>0</v>
      </c>
      <c r="AC20" s="180"/>
      <c r="AD20" s="180"/>
      <c r="AE20" s="180"/>
      <c r="AF20" s="180"/>
      <c r="AG20" s="180"/>
      <c r="AH20" s="180"/>
      <c r="AI20" s="180">
        <f>(106607217+102146277+80605167+99122150+109683367+105953467+123894733)</f>
        <v>728012378</v>
      </c>
      <c r="AJ20" s="181">
        <f t="shared" si="2"/>
        <v>80.890264222222214</v>
      </c>
      <c r="AK20" s="180">
        <f t="shared" si="6"/>
        <v>171987622</v>
      </c>
      <c r="AL20" s="181">
        <f t="shared" si="3"/>
        <v>19.109735777777779</v>
      </c>
      <c r="AM20" s="243"/>
    </row>
    <row r="21" spans="1:39" ht="28.5" customHeight="1" x14ac:dyDescent="0.25">
      <c r="A21" s="243">
        <v>7</v>
      </c>
      <c r="B21" s="639" t="s">
        <v>96</v>
      </c>
      <c r="C21" s="597"/>
      <c r="D21" s="597"/>
      <c r="E21" s="597"/>
      <c r="F21" s="597"/>
      <c r="G21" s="597"/>
      <c r="H21" s="597"/>
      <c r="I21" s="598"/>
      <c r="J21" s="457" t="s">
        <v>361</v>
      </c>
      <c r="K21" s="245"/>
      <c r="L21" s="597" t="s">
        <v>97</v>
      </c>
      <c r="M21" s="597"/>
      <c r="N21" s="598"/>
      <c r="O21" s="180"/>
      <c r="P21" s="180"/>
      <c r="Q21" s="180">
        <v>300000000</v>
      </c>
      <c r="R21" s="181">
        <f t="shared" si="5"/>
        <v>0.24132464879153101</v>
      </c>
      <c r="S21" s="181">
        <v>100</v>
      </c>
      <c r="T21" s="180">
        <f t="shared" si="7"/>
        <v>69.215463</v>
      </c>
      <c r="U21" s="180">
        <f t="shared" si="8"/>
        <v>0.1670339729941821</v>
      </c>
      <c r="V21" s="182">
        <f t="shared" si="4"/>
        <v>30.784537</v>
      </c>
      <c r="W21" s="180"/>
      <c r="X21" s="180"/>
      <c r="Y21" s="180"/>
      <c r="Z21" s="180"/>
      <c r="AA21" s="180"/>
      <c r="AB21" s="180">
        <v>0</v>
      </c>
      <c r="AC21" s="180"/>
      <c r="AD21" s="180"/>
      <c r="AE21" s="180"/>
      <c r="AF21" s="180"/>
      <c r="AG21" s="180"/>
      <c r="AH21" s="180"/>
      <c r="AI21" s="180">
        <f>(28657603+30376120+28120950+28724784+32229464+25532231+34005237)</f>
        <v>207646389</v>
      </c>
      <c r="AJ21" s="181">
        <f t="shared" si="2"/>
        <v>69.215463</v>
      </c>
      <c r="AK21" s="180">
        <f t="shared" si="6"/>
        <v>92353611</v>
      </c>
      <c r="AL21" s="181">
        <f t="shared" si="3"/>
        <v>30.784537</v>
      </c>
      <c r="AM21" s="243"/>
    </row>
    <row r="22" spans="1:39" ht="28.5" customHeight="1" x14ac:dyDescent="0.25">
      <c r="A22" s="243">
        <v>8</v>
      </c>
      <c r="B22" s="639" t="s">
        <v>98</v>
      </c>
      <c r="C22" s="597"/>
      <c r="D22" s="597"/>
      <c r="E22" s="597"/>
      <c r="F22" s="597"/>
      <c r="G22" s="597"/>
      <c r="H22" s="597"/>
      <c r="I22" s="598"/>
      <c r="J22" s="457" t="s">
        <v>362</v>
      </c>
      <c r="K22" s="245"/>
      <c r="L22" s="597" t="s">
        <v>363</v>
      </c>
      <c r="M22" s="597"/>
      <c r="N22" s="598"/>
      <c r="O22" s="180"/>
      <c r="P22" s="180"/>
      <c r="Q22" s="180">
        <v>22900000000</v>
      </c>
      <c r="R22" s="181">
        <f t="shared" si="5"/>
        <v>18.421114857753533</v>
      </c>
      <c r="S22" s="181">
        <v>100</v>
      </c>
      <c r="T22" s="180">
        <f t="shared" si="7"/>
        <v>30.111197572052401</v>
      </c>
      <c r="U22" s="180">
        <f t="shared" si="8"/>
        <v>5.5468182897928662</v>
      </c>
      <c r="V22" s="182">
        <f t="shared" si="4"/>
        <v>69.888802427947596</v>
      </c>
      <c r="W22" s="180"/>
      <c r="X22" s="180"/>
      <c r="Y22" s="180"/>
      <c r="Z22" s="180"/>
      <c r="AA22" s="180"/>
      <c r="AB22" s="180">
        <v>0</v>
      </c>
      <c r="AC22" s="180"/>
      <c r="AD22" s="180"/>
      <c r="AE22" s="180"/>
      <c r="AF22" s="180"/>
      <c r="AG22" s="180"/>
      <c r="AH22" s="180"/>
      <c r="AI22" s="180">
        <f>(420432023+534056614+411915844+1363066652+1634298094+676980229+1854714788)</f>
        <v>6895464244</v>
      </c>
      <c r="AJ22" s="181">
        <f t="shared" si="2"/>
        <v>30.111197572052401</v>
      </c>
      <c r="AK22" s="180">
        <f t="shared" si="6"/>
        <v>16004535756</v>
      </c>
      <c r="AL22" s="249">
        <f t="shared" si="3"/>
        <v>69.888802427947596</v>
      </c>
      <c r="AM22" s="243"/>
    </row>
    <row r="23" spans="1:39" ht="32.25" customHeight="1" x14ac:dyDescent="0.25">
      <c r="A23" s="243">
        <v>9</v>
      </c>
      <c r="B23" s="639" t="s">
        <v>99</v>
      </c>
      <c r="C23" s="597"/>
      <c r="D23" s="597"/>
      <c r="E23" s="597"/>
      <c r="F23" s="597"/>
      <c r="G23" s="597"/>
      <c r="H23" s="597"/>
      <c r="I23" s="598"/>
      <c r="J23" s="457" t="s">
        <v>364</v>
      </c>
      <c r="K23" s="245"/>
      <c r="L23" s="597" t="s">
        <v>100</v>
      </c>
      <c r="M23" s="597"/>
      <c r="N23" s="598"/>
      <c r="O23" s="180"/>
      <c r="P23" s="180"/>
      <c r="Q23" s="180">
        <v>34164000000</v>
      </c>
      <c r="R23" s="181">
        <f>Q23/Q$10*100</f>
        <v>27.482051004379553</v>
      </c>
      <c r="S23" s="181">
        <v>100</v>
      </c>
      <c r="T23" s="180">
        <f t="shared" si="7"/>
        <v>60.23492489169886</v>
      </c>
      <c r="U23" s="180">
        <f t="shared" si="8"/>
        <v>16.553792781186395</v>
      </c>
      <c r="V23" s="182">
        <f>S23-T23</f>
        <v>39.76507510830114</v>
      </c>
      <c r="W23" s="180"/>
      <c r="X23" s="180"/>
      <c r="Y23" s="180"/>
      <c r="Z23" s="180"/>
      <c r="AA23" s="180"/>
      <c r="AB23" s="180">
        <v>0</v>
      </c>
      <c r="AC23" s="180"/>
      <c r="AD23" s="180"/>
      <c r="AE23" s="180"/>
      <c r="AF23" s="180"/>
      <c r="AG23" s="180"/>
      <c r="AH23" s="180"/>
      <c r="AI23" s="180">
        <f>(3105790473+2487428016+3324117884+3597921750+3625913945+2332727287+2104760385)</f>
        <v>20578659740</v>
      </c>
      <c r="AJ23" s="181">
        <f t="shared" si="2"/>
        <v>60.23492489169886</v>
      </c>
      <c r="AK23" s="180">
        <f t="shared" si="6"/>
        <v>13585340260</v>
      </c>
      <c r="AL23" s="181">
        <f t="shared" si="3"/>
        <v>39.765075108301133</v>
      </c>
      <c r="AM23" s="243"/>
    </row>
    <row r="24" spans="1:39" s="226" customFormat="1" ht="27.75" customHeight="1" x14ac:dyDescent="0.25">
      <c r="A24" s="236" t="s">
        <v>8</v>
      </c>
      <c r="B24" s="642" t="s">
        <v>101</v>
      </c>
      <c r="C24" s="626"/>
      <c r="D24" s="626"/>
      <c r="E24" s="626"/>
      <c r="F24" s="626"/>
      <c r="G24" s="626"/>
      <c r="H24" s="626"/>
      <c r="I24" s="627"/>
      <c r="J24" s="464" t="s">
        <v>214</v>
      </c>
      <c r="K24" s="238"/>
      <c r="L24" s="626" t="s">
        <v>102</v>
      </c>
      <c r="M24" s="626"/>
      <c r="N24" s="627"/>
      <c r="O24" s="239">
        <v>80000000</v>
      </c>
      <c r="P24" s="239">
        <f>O24</f>
        <v>80000000</v>
      </c>
      <c r="Q24" s="239">
        <f>SUM(Q25)</f>
        <v>161362180</v>
      </c>
      <c r="R24" s="240">
        <f>Q24/Q24*100</f>
        <v>100</v>
      </c>
      <c r="S24" s="240">
        <v>100</v>
      </c>
      <c r="T24" s="239">
        <f t="shared" si="7"/>
        <v>37.183434185135575</v>
      </c>
      <c r="U24" s="239">
        <f>AJ24</f>
        <v>37.183434185135575</v>
      </c>
      <c r="V24" s="241">
        <f t="shared" si="4"/>
        <v>62.816565814864425</v>
      </c>
      <c r="W24" s="239"/>
      <c r="X24" s="239" t="e">
        <f>#REF!</f>
        <v>#REF!</v>
      </c>
      <c r="Y24" s="239" t="e">
        <f>#REF!</f>
        <v>#REF!</v>
      </c>
      <c r="Z24" s="239" t="e">
        <f>#REF!</f>
        <v>#REF!</v>
      </c>
      <c r="AA24" s="239" t="e">
        <f>#REF!</f>
        <v>#REF!</v>
      </c>
      <c r="AB24" s="239">
        <v>15000000</v>
      </c>
      <c r="AC24" s="239" t="e">
        <f>#REF!</f>
        <v>#REF!</v>
      </c>
      <c r="AD24" s="239" t="e">
        <f>#REF!</f>
        <v>#REF!</v>
      </c>
      <c r="AE24" s="239" t="e">
        <f>#REF!</f>
        <v>#REF!</v>
      </c>
      <c r="AF24" s="239" t="e">
        <f>[1]April!$N$13</f>
        <v>#REF!</v>
      </c>
      <c r="AG24" s="239" t="e">
        <f>[2]april!$N$13</f>
        <v>#REF!</v>
      </c>
      <c r="AH24" s="239">
        <f>'[3]DES SKPD'!$N$13</f>
        <v>75000000</v>
      </c>
      <c r="AI24" s="239">
        <f>SUM(AI25)</f>
        <v>60000000</v>
      </c>
      <c r="AJ24" s="240">
        <f t="shared" si="2"/>
        <v>37.183434185135575</v>
      </c>
      <c r="AK24" s="239">
        <f t="shared" si="6"/>
        <v>101362180</v>
      </c>
      <c r="AL24" s="240">
        <f t="shared" si="3"/>
        <v>62.816565814864425</v>
      </c>
      <c r="AM24" s="236"/>
    </row>
    <row r="25" spans="1:39" ht="21" customHeight="1" x14ac:dyDescent="0.25">
      <c r="A25" s="243">
        <v>10</v>
      </c>
      <c r="B25" s="639" t="s">
        <v>103</v>
      </c>
      <c r="C25" s="597"/>
      <c r="D25" s="597"/>
      <c r="E25" s="597"/>
      <c r="F25" s="597"/>
      <c r="G25" s="597"/>
      <c r="H25" s="597"/>
      <c r="I25" s="598"/>
      <c r="J25" s="457" t="s">
        <v>365</v>
      </c>
      <c r="K25" s="245"/>
      <c r="L25" s="597" t="s">
        <v>540</v>
      </c>
      <c r="M25" s="597"/>
      <c r="N25" s="598"/>
      <c r="O25" s="180"/>
      <c r="P25" s="180"/>
      <c r="Q25" s="180">
        <v>161362180</v>
      </c>
      <c r="R25" s="181">
        <f t="shared" si="5"/>
        <v>0.12980223805578603</v>
      </c>
      <c r="S25" s="181">
        <v>100</v>
      </c>
      <c r="T25" s="180">
        <f t="shared" si="7"/>
        <v>37.183434185135575</v>
      </c>
      <c r="U25" s="180">
        <f>R25*T25/100</f>
        <v>4.8264929758306201E-2</v>
      </c>
      <c r="V25" s="182">
        <f>S25-T25</f>
        <v>62.816565814864425</v>
      </c>
      <c r="W25" s="180"/>
      <c r="X25" s="180"/>
      <c r="Y25" s="180"/>
      <c r="Z25" s="180"/>
      <c r="AA25" s="180"/>
      <c r="AB25" s="180">
        <v>0</v>
      </c>
      <c r="AC25" s="231" t="e">
        <f>#REF!</f>
        <v>#REF!</v>
      </c>
      <c r="AD25" s="180"/>
      <c r="AE25" s="180"/>
      <c r="AF25" s="180"/>
      <c r="AG25" s="180"/>
      <c r="AH25" s="180"/>
      <c r="AI25" s="180">
        <f>38400000+7200000+14400000+0</f>
        <v>60000000</v>
      </c>
      <c r="AJ25" s="181">
        <f t="shared" si="2"/>
        <v>37.183434185135575</v>
      </c>
      <c r="AK25" s="180">
        <f t="shared" si="6"/>
        <v>101362180</v>
      </c>
      <c r="AL25" s="181">
        <f t="shared" si="3"/>
        <v>62.816565814864425</v>
      </c>
      <c r="AM25" s="243"/>
    </row>
    <row r="26" spans="1:39" s="226" customFormat="1" ht="27.75" customHeight="1" x14ac:dyDescent="0.25">
      <c r="A26" s="236" t="s">
        <v>29</v>
      </c>
      <c r="B26" s="642" t="s">
        <v>104</v>
      </c>
      <c r="C26" s="626"/>
      <c r="D26" s="626"/>
      <c r="E26" s="626"/>
      <c r="F26" s="626"/>
      <c r="G26" s="626"/>
      <c r="H26" s="626"/>
      <c r="I26" s="627"/>
      <c r="J26" s="464" t="s">
        <v>366</v>
      </c>
      <c r="K26" s="238"/>
      <c r="L26" s="626" t="s">
        <v>105</v>
      </c>
      <c r="M26" s="626"/>
      <c r="N26" s="627"/>
      <c r="O26" s="239">
        <v>4150000000</v>
      </c>
      <c r="P26" s="239">
        <f>O26</f>
        <v>4150000000</v>
      </c>
      <c r="Q26" s="239">
        <f>SUM(Q27:Q34)</f>
        <v>10152503603</v>
      </c>
      <c r="R26" s="240">
        <f>Q26/Q26*100</f>
        <v>100</v>
      </c>
      <c r="S26" s="240">
        <v>100</v>
      </c>
      <c r="T26" s="239">
        <f t="shared" si="7"/>
        <v>137.97312696211017</v>
      </c>
      <c r="U26" s="239">
        <f>AJ26</f>
        <v>137.97312696211017</v>
      </c>
      <c r="V26" s="241">
        <f t="shared" si="4"/>
        <v>-37.973126962110172</v>
      </c>
      <c r="W26" s="239"/>
      <c r="X26" s="239" t="e">
        <f>#REF!</f>
        <v>#REF!</v>
      </c>
      <c r="Y26" s="239" t="e">
        <f>#REF!</f>
        <v>#REF!</v>
      </c>
      <c r="Z26" s="239" t="e">
        <f>#REF!</f>
        <v>#REF!</v>
      </c>
      <c r="AA26" s="239" t="e">
        <f>#REF!</f>
        <v>#REF!</v>
      </c>
      <c r="AB26" s="239">
        <v>5532503616</v>
      </c>
      <c r="AC26" s="239" t="e">
        <f>#REF!</f>
        <v>#REF!</v>
      </c>
      <c r="AD26" s="239" t="e">
        <f>#REF!</f>
        <v>#REF!</v>
      </c>
      <c r="AE26" s="239" t="e">
        <f>#REF!</f>
        <v>#REF!</v>
      </c>
      <c r="AF26" s="239" t="e">
        <f>[1]April!$N$14</f>
        <v>#REF!</v>
      </c>
      <c r="AG26" s="239" t="e">
        <f>[2]april!$N$14</f>
        <v>#REF!</v>
      </c>
      <c r="AH26" s="239">
        <f>'[3]DES SKPD'!$N$14</f>
        <v>11081028822</v>
      </c>
      <c r="AI26" s="239">
        <f>SUM(AI27:AI34)</f>
        <v>14007726686</v>
      </c>
      <c r="AJ26" s="240">
        <f t="shared" si="2"/>
        <v>137.97312696211017</v>
      </c>
      <c r="AK26" s="405">
        <f>SUM(Q26-AI26)</f>
        <v>-3855223083</v>
      </c>
      <c r="AL26" s="240">
        <f t="shared" si="3"/>
        <v>-37.973126962110179</v>
      </c>
      <c r="AM26" s="236"/>
    </row>
    <row r="27" spans="1:39" ht="24.95" customHeight="1" x14ac:dyDescent="0.25">
      <c r="A27" s="243">
        <v>11</v>
      </c>
      <c r="B27" s="639" t="s">
        <v>106</v>
      </c>
      <c r="C27" s="597"/>
      <c r="D27" s="597"/>
      <c r="E27" s="597"/>
      <c r="F27" s="597"/>
      <c r="G27" s="597"/>
      <c r="H27" s="597"/>
      <c r="I27" s="598"/>
      <c r="J27" s="457" t="s">
        <v>367</v>
      </c>
      <c r="K27" s="245"/>
      <c r="L27" s="597" t="s">
        <v>107</v>
      </c>
      <c r="M27" s="597"/>
      <c r="N27" s="598"/>
      <c r="O27" s="180">
        <v>2869514353</v>
      </c>
      <c r="P27" s="180"/>
      <c r="Q27" s="180">
        <v>9463503603</v>
      </c>
      <c r="R27" s="181">
        <f t="shared" ref="R27" si="9">Q27/Q$10*100</f>
        <v>7.6125889444378787</v>
      </c>
      <c r="S27" s="181">
        <v>100</v>
      </c>
      <c r="T27" s="180">
        <f t="shared" si="7"/>
        <v>20.999183826273647</v>
      </c>
      <c r="U27" s="180">
        <f t="shared" ref="U27:U32" si="10">R27*T27/100</f>
        <v>1.5985815463810948</v>
      </c>
      <c r="V27" s="182">
        <f>S27-T27</f>
        <v>79.000816173726349</v>
      </c>
      <c r="W27" s="180">
        <v>0</v>
      </c>
      <c r="X27" s="180">
        <v>0</v>
      </c>
      <c r="Y27" s="180">
        <f>[4]MARET!$N$14</f>
        <v>1079679809</v>
      </c>
      <c r="Z27" s="180">
        <v>3345735931</v>
      </c>
      <c r="AA27" s="180" t="e">
        <f>[5]maret!$Q$166</f>
        <v>#REF!</v>
      </c>
      <c r="AB27" s="180">
        <f>[6]JUNI!$S$166</f>
        <v>2116323666</v>
      </c>
      <c r="AC27" s="180"/>
      <c r="AD27" s="180"/>
      <c r="AE27" s="180"/>
      <c r="AF27" s="180"/>
      <c r="AG27" s="180"/>
      <c r="AH27" s="180"/>
      <c r="AI27" s="180">
        <f>(290269423+304174322+383891482+487632037+59321897+11859527+450109830)</f>
        <v>1987258518</v>
      </c>
      <c r="AJ27" s="181">
        <f t="shared" si="2"/>
        <v>20.999183826273647</v>
      </c>
      <c r="AK27" s="180">
        <f t="shared" si="6"/>
        <v>7476245085</v>
      </c>
      <c r="AL27" s="181">
        <f t="shared" si="3"/>
        <v>79.000816173726349</v>
      </c>
      <c r="AM27" s="243"/>
    </row>
    <row r="28" spans="1:39" ht="24.95" customHeight="1" x14ac:dyDescent="0.25">
      <c r="A28" s="243">
        <v>12</v>
      </c>
      <c r="B28" s="639" t="s">
        <v>108</v>
      </c>
      <c r="C28" s="597"/>
      <c r="D28" s="597"/>
      <c r="E28" s="597"/>
      <c r="F28" s="597"/>
      <c r="G28" s="597"/>
      <c r="H28" s="597"/>
      <c r="I28" s="598"/>
      <c r="J28" s="457"/>
      <c r="K28" s="245"/>
      <c r="L28" s="597" t="s">
        <v>110</v>
      </c>
      <c r="M28" s="597"/>
      <c r="N28" s="598"/>
      <c r="O28" s="180"/>
      <c r="P28" s="180"/>
      <c r="Q28" s="180">
        <v>0</v>
      </c>
      <c r="R28" s="181">
        <f>AI28/Q$10*100</f>
        <v>8.988213430273678</v>
      </c>
      <c r="S28" s="181">
        <v>0</v>
      </c>
      <c r="T28" s="180">
        <f>AJ28</f>
        <v>0</v>
      </c>
      <c r="U28" s="180">
        <f>R28*T28/100</f>
        <v>0</v>
      </c>
      <c r="V28" s="182">
        <f>T28-S28</f>
        <v>0</v>
      </c>
      <c r="W28" s="180">
        <v>0</v>
      </c>
      <c r="X28" s="180">
        <v>0</v>
      </c>
      <c r="Y28" s="180" t="e">
        <f>'[7]LRA RINCIAN nBJEK'!$N$334</f>
        <v>#REF!</v>
      </c>
      <c r="Z28" s="180" t="e">
        <f>'[8]DPKD versi ekbang'!$P$334</f>
        <v>#REF!</v>
      </c>
      <c r="AA28" s="180" t="e">
        <f>[5]maret!$Q$224</f>
        <v>#REF!</v>
      </c>
      <c r="AB28" s="180">
        <f>[6]JUNI!$S$224</f>
        <v>1216233073</v>
      </c>
      <c r="AC28" s="180"/>
      <c r="AD28" s="180"/>
      <c r="AE28" s="180"/>
      <c r="AF28" s="180"/>
      <c r="AG28" s="180"/>
      <c r="AH28" s="180"/>
      <c r="AI28" s="180">
        <f xml:space="preserve"> (9193697642 + 221523585+363364923+332978349+913574366+25336545+123120170)</f>
        <v>11173595580</v>
      </c>
      <c r="AJ28" s="181">
        <v>0</v>
      </c>
      <c r="AK28" s="180">
        <f>SUM(Q28-AI28)</f>
        <v>-11173595580</v>
      </c>
      <c r="AL28" s="181">
        <v>0</v>
      </c>
      <c r="AM28" s="243"/>
    </row>
    <row r="29" spans="1:39" ht="24.95" customHeight="1" x14ac:dyDescent="0.25">
      <c r="A29" s="243">
        <v>13</v>
      </c>
      <c r="B29" s="639" t="s">
        <v>108</v>
      </c>
      <c r="C29" s="597"/>
      <c r="D29" s="597"/>
      <c r="E29" s="597"/>
      <c r="F29" s="597"/>
      <c r="G29" s="597"/>
      <c r="H29" s="597"/>
      <c r="I29" s="598"/>
      <c r="J29" s="457" t="s">
        <v>382</v>
      </c>
      <c r="K29" s="245"/>
      <c r="L29" s="597" t="s">
        <v>368</v>
      </c>
      <c r="M29" s="597"/>
      <c r="N29" s="598"/>
      <c r="O29" s="180"/>
      <c r="P29" s="180"/>
      <c r="Q29" s="180">
        <v>689000000</v>
      </c>
      <c r="R29" s="181">
        <f>AI29/Q$10*100</f>
        <v>0.47995352991556001</v>
      </c>
      <c r="S29" s="181">
        <v>0</v>
      </c>
      <c r="T29" s="180">
        <f t="shared" si="7"/>
        <v>86.596340638606677</v>
      </c>
      <c r="U29" s="180">
        <f t="shared" si="10"/>
        <v>0.41562219367269537</v>
      </c>
      <c r="V29" s="182">
        <f t="shared" ref="V29:V32" si="11">T29-S29</f>
        <v>86.596340638606677</v>
      </c>
      <c r="W29" s="180">
        <v>0</v>
      </c>
      <c r="X29" s="180">
        <v>0</v>
      </c>
      <c r="Y29" s="180" t="e">
        <f>'[7]LRA RINCIAN nBJEK'!$N$334</f>
        <v>#REF!</v>
      </c>
      <c r="Z29" s="180" t="e">
        <f>'[8]DPKD versi ekbang'!$P$334</f>
        <v>#REF!</v>
      </c>
      <c r="AA29" s="180" t="e">
        <f>[5]maret!$Q$265</f>
        <v>#REF!</v>
      </c>
      <c r="AB29" s="180">
        <f>[6]JUNI!$S$265</f>
        <v>727292590</v>
      </c>
      <c r="AC29" s="180"/>
      <c r="AD29" s="180"/>
      <c r="AE29" s="180"/>
      <c r="AF29" s="180"/>
      <c r="AG29" s="180"/>
      <c r="AH29" s="180"/>
      <c r="AI29" s="180">
        <f>(79828289+0+177590471+76813683+0+262416344)</f>
        <v>596648787</v>
      </c>
      <c r="AJ29" s="181">
        <f>AI29/Q29*100</f>
        <v>86.596340638606677</v>
      </c>
      <c r="AK29" s="180">
        <f t="shared" si="6"/>
        <v>92351213</v>
      </c>
      <c r="AL29" s="181">
        <f>AK29/Q29*100</f>
        <v>13.403659361393325</v>
      </c>
      <c r="AM29" s="243"/>
    </row>
    <row r="30" spans="1:39" ht="24.95" customHeight="1" x14ac:dyDescent="0.25">
      <c r="A30" s="243">
        <v>14</v>
      </c>
      <c r="B30" s="473"/>
      <c r="C30" s="457"/>
      <c r="D30" s="457"/>
      <c r="E30" s="457"/>
      <c r="F30" s="457"/>
      <c r="G30" s="457"/>
      <c r="H30" s="457"/>
      <c r="I30" s="458"/>
      <c r="J30" s="457"/>
      <c r="K30" s="245"/>
      <c r="L30" s="597" t="s">
        <v>637</v>
      </c>
      <c r="M30" s="597"/>
      <c r="N30" s="598"/>
      <c r="O30" s="180"/>
      <c r="P30" s="180"/>
      <c r="Q30" s="180">
        <v>0</v>
      </c>
      <c r="R30" s="181">
        <f>AI30/Q$10*100</f>
        <v>4.205082005192428E-5</v>
      </c>
      <c r="S30" s="181">
        <v>0</v>
      </c>
      <c r="T30" s="180">
        <f t="shared" si="7"/>
        <v>0</v>
      </c>
      <c r="U30" s="180">
        <f t="shared" si="10"/>
        <v>0</v>
      </c>
      <c r="V30" s="182">
        <f t="shared" si="11"/>
        <v>0</v>
      </c>
      <c r="W30" s="180">
        <v>0</v>
      </c>
      <c r="X30" s="180">
        <v>0</v>
      </c>
      <c r="Y30" s="180" t="e">
        <f>'[7]LRA RINCIAN nBJEK'!$N$334</f>
        <v>#REF!</v>
      </c>
      <c r="Z30" s="180" t="e">
        <f>'[8]DPKD versi ekbang'!$P$334</f>
        <v>#REF!</v>
      </c>
      <c r="AA30" s="180" t="e">
        <f>[5]maret!$Q$265</f>
        <v>#REF!</v>
      </c>
      <c r="AB30" s="180">
        <f>[6]JUNI!$S$265</f>
        <v>727292590</v>
      </c>
      <c r="AC30" s="180"/>
      <c r="AD30" s="180"/>
      <c r="AE30" s="180"/>
      <c r="AF30" s="180"/>
      <c r="AG30" s="180"/>
      <c r="AH30" s="180"/>
      <c r="AI30" s="180">
        <f>(52275+0+0)</f>
        <v>52275</v>
      </c>
      <c r="AJ30" s="181">
        <v>0</v>
      </c>
      <c r="AK30" s="180">
        <f t="shared" ref="AK30" si="12">SUM(Q30-AI30)</f>
        <v>-52275</v>
      </c>
      <c r="AL30" s="181">
        <v>0</v>
      </c>
      <c r="AM30" s="243"/>
    </row>
    <row r="31" spans="1:39" ht="24.95" customHeight="1" thickBot="1" x14ac:dyDescent="0.3">
      <c r="A31" s="243">
        <v>15</v>
      </c>
      <c r="B31" s="636" t="s">
        <v>108</v>
      </c>
      <c r="C31" s="637"/>
      <c r="D31" s="637"/>
      <c r="E31" s="637"/>
      <c r="F31" s="637"/>
      <c r="G31" s="637"/>
      <c r="H31" s="637"/>
      <c r="I31" s="638"/>
      <c r="J31" s="457"/>
      <c r="K31" s="245"/>
      <c r="L31" s="660" t="s">
        <v>385</v>
      </c>
      <c r="M31" s="660"/>
      <c r="N31" s="661"/>
      <c r="O31" s="180"/>
      <c r="P31" s="180"/>
      <c r="Q31" s="180"/>
      <c r="R31" s="181">
        <f>Q31/Q$10*100</f>
        <v>0</v>
      </c>
      <c r="S31" s="181">
        <v>0</v>
      </c>
      <c r="T31" s="180">
        <f t="shared" si="7"/>
        <v>0</v>
      </c>
      <c r="U31" s="180">
        <f t="shared" si="10"/>
        <v>0</v>
      </c>
      <c r="V31" s="182">
        <f t="shared" si="11"/>
        <v>0</v>
      </c>
      <c r="W31" s="180">
        <v>0</v>
      </c>
      <c r="X31" s="180">
        <v>0</v>
      </c>
      <c r="Y31" s="180" t="e">
        <f>'[7]LRA RINCIAN nBJEK'!$N$334</f>
        <v>#REF!</v>
      </c>
      <c r="Z31" s="180" t="e">
        <f>'[8]DPKD versi ekbang'!$P$334</f>
        <v>#REF!</v>
      </c>
      <c r="AA31" s="180" t="e">
        <f>[5]maret!$Q$269</f>
        <v>#REF!</v>
      </c>
      <c r="AB31" s="180">
        <f>[6]JUNI!$S$269</f>
        <v>319903749</v>
      </c>
      <c r="AC31" s="180"/>
      <c r="AD31" s="180"/>
      <c r="AE31" s="180"/>
      <c r="AF31" s="180"/>
      <c r="AG31" s="180"/>
      <c r="AH31" s="180"/>
      <c r="AI31" s="180">
        <f>(0+20+20+0+160216000+3+0)</f>
        <v>160216043</v>
      </c>
      <c r="AJ31" s="181">
        <v>0</v>
      </c>
      <c r="AK31" s="180">
        <f t="shared" si="6"/>
        <v>-160216043</v>
      </c>
      <c r="AL31" s="181">
        <v>0</v>
      </c>
      <c r="AM31" s="243"/>
    </row>
    <row r="32" spans="1:39" ht="24.95" customHeight="1" thickTop="1" thickBot="1" x14ac:dyDescent="0.3">
      <c r="A32" s="243">
        <v>16</v>
      </c>
      <c r="B32" s="471"/>
      <c r="C32" s="471"/>
      <c r="D32" s="471"/>
      <c r="E32" s="471"/>
      <c r="F32" s="471"/>
      <c r="G32" s="471"/>
      <c r="H32" s="471"/>
      <c r="I32" s="472"/>
      <c r="J32" s="457"/>
      <c r="K32" s="245"/>
      <c r="L32" s="597" t="s">
        <v>384</v>
      </c>
      <c r="M32" s="597"/>
      <c r="N32" s="598"/>
      <c r="O32" s="180">
        <v>599994905</v>
      </c>
      <c r="P32" s="180"/>
      <c r="Q32" s="180"/>
      <c r="R32" s="181">
        <f>Q32/Q$10*100</f>
        <v>0</v>
      </c>
      <c r="S32" s="181">
        <v>0</v>
      </c>
      <c r="T32" s="180">
        <f t="shared" si="7"/>
        <v>0</v>
      </c>
      <c r="U32" s="180">
        <f t="shared" si="10"/>
        <v>0</v>
      </c>
      <c r="V32" s="182">
        <f t="shared" si="11"/>
        <v>0</v>
      </c>
      <c r="W32" s="180">
        <v>0</v>
      </c>
      <c r="X32" s="180">
        <v>0</v>
      </c>
      <c r="Y32" s="180" t="e">
        <f>'[7]LRA RINCIAN nBJEK'!$N$334</f>
        <v>#REF!</v>
      </c>
      <c r="Z32" s="180" t="e">
        <f>'[8]DPKD versi ekbang'!$P$334</f>
        <v>#REF!</v>
      </c>
      <c r="AA32" s="180" t="e">
        <f>[5]maret!$Q$269</f>
        <v>#REF!</v>
      </c>
      <c r="AB32" s="180">
        <f>[6]JUNI!$S$269</f>
        <v>319903749</v>
      </c>
      <c r="AC32" s="180"/>
      <c r="AD32" s="180"/>
      <c r="AE32" s="180"/>
      <c r="AF32" s="180"/>
      <c r="AG32" s="180"/>
      <c r="AH32" s="180"/>
      <c r="AI32" s="180">
        <f>(750000+0+750000+500000+0+0+0)</f>
        <v>2000000</v>
      </c>
      <c r="AJ32" s="181">
        <v>0</v>
      </c>
      <c r="AK32" s="180">
        <f t="shared" si="6"/>
        <v>-2000000</v>
      </c>
      <c r="AL32" s="181">
        <v>0</v>
      </c>
      <c r="AM32" s="243"/>
    </row>
    <row r="33" spans="1:39" ht="24.95" customHeight="1" thickTop="1" x14ac:dyDescent="0.25">
      <c r="A33" s="243">
        <v>17</v>
      </c>
      <c r="B33" s="639" t="s">
        <v>108</v>
      </c>
      <c r="C33" s="597"/>
      <c r="D33" s="597"/>
      <c r="E33" s="597"/>
      <c r="F33" s="597"/>
      <c r="G33" s="597"/>
      <c r="H33" s="597"/>
      <c r="I33" s="598"/>
      <c r="J33" s="457"/>
      <c r="K33" s="245"/>
      <c r="L33" s="597" t="s">
        <v>109</v>
      </c>
      <c r="M33" s="597"/>
      <c r="N33" s="598"/>
      <c r="O33" s="180"/>
      <c r="P33" s="180"/>
      <c r="Q33" s="180"/>
      <c r="R33" s="181">
        <f>AI33/Q$10*100</f>
        <v>7.0521081818041731E-2</v>
      </c>
      <c r="S33" s="181">
        <v>0</v>
      </c>
      <c r="T33" s="180">
        <f>AJ33</f>
        <v>0</v>
      </c>
      <c r="U33" s="180">
        <f>R33*T33/100</f>
        <v>0</v>
      </c>
      <c r="V33" s="182">
        <f>T33-S33</f>
        <v>0</v>
      </c>
      <c r="W33" s="180">
        <v>0</v>
      </c>
      <c r="X33" s="180">
        <v>0</v>
      </c>
      <c r="Y33" s="180" t="e">
        <f>'[7]LRA RINCIAN nBJEK'!$N$334</f>
        <v>#REF!</v>
      </c>
      <c r="Z33" s="180" t="e">
        <f>'[8]DPKD versi ekbang'!$P$334</f>
        <v>#REF!</v>
      </c>
      <c r="AA33" s="180" t="e">
        <f>[5]maret!$Q$198</f>
        <v>#REF!</v>
      </c>
      <c r="AB33" s="180">
        <f>[6]JUNI!$S$198</f>
        <v>16694136</v>
      </c>
      <c r="AC33" s="180"/>
      <c r="AD33" s="180"/>
      <c r="AE33" s="180"/>
      <c r="AF33" s="180"/>
      <c r="AG33" s="180"/>
      <c r="AH33" s="180"/>
      <c r="AI33" s="180">
        <f>(20455657+28153435+16921231+8293419+4039427+861896+8942418)</f>
        <v>87667483</v>
      </c>
      <c r="AJ33" s="181">
        <v>0</v>
      </c>
      <c r="AK33" s="180">
        <f>SUM(Q33-AI33)</f>
        <v>-87667483</v>
      </c>
      <c r="AL33" s="181">
        <v>0</v>
      </c>
      <c r="AM33" s="243"/>
    </row>
    <row r="34" spans="1:39" ht="24.95" customHeight="1" thickBot="1" x14ac:dyDescent="0.3">
      <c r="A34" s="243">
        <v>18</v>
      </c>
      <c r="B34" s="457"/>
      <c r="C34" s="457"/>
      <c r="D34" s="457"/>
      <c r="E34" s="457"/>
      <c r="F34" s="457"/>
      <c r="G34" s="457"/>
      <c r="H34" s="457"/>
      <c r="I34" s="458"/>
      <c r="J34" s="457"/>
      <c r="K34" s="245"/>
      <c r="L34" s="637" t="s">
        <v>638</v>
      </c>
      <c r="M34" s="637"/>
      <c r="N34" s="638"/>
      <c r="O34" s="180"/>
      <c r="P34" s="180"/>
      <c r="Q34" s="180"/>
      <c r="R34" s="181">
        <f>AI34/Q$10*100</f>
        <v>2.316716628398698E-4</v>
      </c>
      <c r="S34" s="181">
        <v>1</v>
      </c>
      <c r="T34" s="180">
        <f>AJ34</f>
        <v>1</v>
      </c>
      <c r="U34" s="180">
        <f>R34*T34/100</f>
        <v>2.3167166283986979E-6</v>
      </c>
      <c r="V34" s="182">
        <f>T34-S34</f>
        <v>0</v>
      </c>
      <c r="W34" s="180">
        <v>0</v>
      </c>
      <c r="X34" s="180">
        <v>0</v>
      </c>
      <c r="Y34" s="180" t="e">
        <f>'[7]LRA RINCIAN nBJEK'!$N$334</f>
        <v>#REF!</v>
      </c>
      <c r="Z34" s="180" t="e">
        <f>'[8]DPKD versi ekbang'!$P$334</f>
        <v>#REF!</v>
      </c>
      <c r="AA34" s="180" t="e">
        <f>[5]maret!$Q$198</f>
        <v>#REF!</v>
      </c>
      <c r="AB34" s="180">
        <f>[6]JUNI!$S$198</f>
        <v>16694136</v>
      </c>
      <c r="AC34" s="180"/>
      <c r="AD34" s="180"/>
      <c r="AE34" s="180"/>
      <c r="AF34" s="180"/>
      <c r="AG34" s="180"/>
      <c r="AH34" s="180"/>
      <c r="AI34" s="180">
        <f>(288000+0+0)</f>
        <v>288000</v>
      </c>
      <c r="AJ34" s="181">
        <v>1</v>
      </c>
      <c r="AK34" s="180">
        <f>SUM(Q34-AI34)</f>
        <v>-288000</v>
      </c>
      <c r="AL34" s="181">
        <v>1</v>
      </c>
      <c r="AM34" s="243"/>
    </row>
    <row r="35" spans="1:39" s="256" customFormat="1" ht="27.75" customHeight="1" thickTop="1" thickBot="1" x14ac:dyDescent="0.3">
      <c r="A35" s="218"/>
      <c r="B35" s="254"/>
      <c r="C35" s="254"/>
      <c r="D35" s="254"/>
      <c r="E35" s="254"/>
      <c r="F35" s="254"/>
      <c r="G35" s="254"/>
      <c r="H35" s="254"/>
      <c r="I35" s="255"/>
      <c r="J35" s="254" t="s">
        <v>211</v>
      </c>
      <c r="K35" s="220"/>
      <c r="L35" s="640" t="s">
        <v>9</v>
      </c>
      <c r="M35" s="640"/>
      <c r="N35" s="641"/>
      <c r="O35" s="221" t="e">
        <f>SUM(O37:O58)</f>
        <v>#REF!</v>
      </c>
      <c r="P35" s="221" t="e">
        <f>SUM(P37:P58)</f>
        <v>#REF!</v>
      </c>
      <c r="Q35" s="221">
        <f>SUM(Q37+Q58)</f>
        <v>31786252581</v>
      </c>
      <c r="R35" s="222">
        <f>Q35/Q35*100</f>
        <v>100</v>
      </c>
      <c r="S35" s="221">
        <f>S37</f>
        <v>100</v>
      </c>
      <c r="T35" s="221">
        <f>AJ35</f>
        <v>54.984811202460257</v>
      </c>
      <c r="U35" s="221">
        <f>SUM(R35*T35/100)</f>
        <v>54.984811202460257</v>
      </c>
      <c r="V35" s="223">
        <f>S35-T35</f>
        <v>45.015188797539743</v>
      </c>
      <c r="W35" s="221">
        <f t="shared" ref="W35:AH35" si="13">SUM(W37:W58)</f>
        <v>0</v>
      </c>
      <c r="X35" s="221" t="e">
        <f t="shared" si="13"/>
        <v>#REF!</v>
      </c>
      <c r="Y35" s="221" t="e">
        <f t="shared" si="13"/>
        <v>#REF!</v>
      </c>
      <c r="Z35" s="221" t="e">
        <f t="shared" si="13"/>
        <v>#REF!</v>
      </c>
      <c r="AA35" s="221" t="e">
        <f t="shared" si="13"/>
        <v>#REF!</v>
      </c>
      <c r="AB35" s="221">
        <f t="shared" si="13"/>
        <v>13148060099</v>
      </c>
      <c r="AC35" s="221" t="e">
        <f t="shared" si="13"/>
        <v>#REF!</v>
      </c>
      <c r="AD35" s="221" t="e">
        <f t="shared" si="13"/>
        <v>#REF!</v>
      </c>
      <c r="AE35" s="221" t="e">
        <f t="shared" si="13"/>
        <v>#REF!</v>
      </c>
      <c r="AF35" s="221" t="e">
        <f t="shared" si="13"/>
        <v>#REF!</v>
      </c>
      <c r="AG35" s="221" t="e">
        <f t="shared" si="13"/>
        <v>#REF!</v>
      </c>
      <c r="AH35" s="221" t="e">
        <f t="shared" si="13"/>
        <v>#REF!</v>
      </c>
      <c r="AI35" s="221">
        <f>SUM(AI38+AI58)</f>
        <v>17477610970</v>
      </c>
      <c r="AJ35" s="224">
        <f>AI35/Q35*100</f>
        <v>54.984811202460257</v>
      </c>
      <c r="AK35" s="221">
        <f>SUM(AK38+AK58)</f>
        <v>14308641611</v>
      </c>
      <c r="AL35" s="224">
        <f>AK35/Q35*100</f>
        <v>45.015188797539743</v>
      </c>
      <c r="AM35" s="218"/>
    </row>
    <row r="36" spans="1:39" ht="13.5" customHeight="1" thickTop="1" x14ac:dyDescent="0.25">
      <c r="A36" s="243"/>
      <c r="B36" s="257"/>
      <c r="C36" s="257"/>
      <c r="D36" s="257"/>
      <c r="E36" s="257"/>
      <c r="F36" s="257"/>
      <c r="G36" s="257"/>
      <c r="H36" s="257"/>
      <c r="I36" s="258"/>
      <c r="J36" s="257"/>
      <c r="K36" s="245"/>
      <c r="L36" s="257"/>
      <c r="M36" s="257"/>
      <c r="N36" s="258"/>
      <c r="O36" s="243"/>
      <c r="P36" s="243"/>
      <c r="Q36" s="243"/>
      <c r="R36" s="243"/>
      <c r="S36" s="243"/>
      <c r="T36" s="243"/>
      <c r="U36" s="243"/>
      <c r="V36" s="182"/>
      <c r="W36" s="243"/>
      <c r="X36" s="243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73"/>
      <c r="AL36" s="243"/>
      <c r="AM36" s="243"/>
    </row>
    <row r="37" spans="1:39" s="226" customFormat="1" ht="28.5" customHeight="1" x14ac:dyDescent="0.25">
      <c r="A37" s="260"/>
      <c r="B37" s="633" t="s">
        <v>111</v>
      </c>
      <c r="C37" s="633"/>
      <c r="D37" s="633"/>
      <c r="E37" s="633"/>
      <c r="F37" s="633"/>
      <c r="G37" s="633"/>
      <c r="H37" s="633"/>
      <c r="I37" s="633"/>
      <c r="J37" s="470" t="s">
        <v>212</v>
      </c>
      <c r="K37" s="262"/>
      <c r="L37" s="634" t="s">
        <v>10</v>
      </c>
      <c r="M37" s="633"/>
      <c r="N37" s="633"/>
      <c r="O37" s="263">
        <v>6663803304</v>
      </c>
      <c r="P37" s="263">
        <f>O37</f>
        <v>6663803304</v>
      </c>
      <c r="Q37" s="263">
        <f>SUM(Q38)</f>
        <v>11607289675</v>
      </c>
      <c r="R37" s="222">
        <f>Q37/Q35*100</f>
        <v>36.516697416348386</v>
      </c>
      <c r="S37" s="260">
        <v>100</v>
      </c>
      <c r="T37" s="263">
        <f>AJ37</f>
        <v>76.152523392589487</v>
      </c>
      <c r="U37" s="263">
        <f>R37*T37/100</f>
        <v>27.808386542185826</v>
      </c>
      <c r="V37" s="264">
        <f>S37-T37</f>
        <v>23.847476607410513</v>
      </c>
      <c r="W37" s="263"/>
      <c r="X37" s="263" t="e">
        <f>#REF!</f>
        <v>#REF!</v>
      </c>
      <c r="Y37" s="263" t="e">
        <f>#REF!</f>
        <v>#REF!</v>
      </c>
      <c r="Z37" s="263" t="e">
        <f>#REF!</f>
        <v>#REF!</v>
      </c>
      <c r="AA37" s="263" t="e">
        <f>#REF!</f>
        <v>#REF!</v>
      </c>
      <c r="AB37" s="263">
        <v>2898050817</v>
      </c>
      <c r="AC37" s="263" t="e">
        <f>#REF!</f>
        <v>#REF!</v>
      </c>
      <c r="AD37" s="263" t="e">
        <f>#REF!</f>
        <v>#REF!</v>
      </c>
      <c r="AE37" s="263" t="e">
        <f>#REF!</f>
        <v>#REF!</v>
      </c>
      <c r="AF37" s="263" t="e">
        <f>[1]April!$N$17</f>
        <v>#REF!</v>
      </c>
      <c r="AG37" s="263" t="e">
        <f>[2]april!$N$17</f>
        <v>#REF!</v>
      </c>
      <c r="AH37" s="263">
        <f>'[3]DES SKPD'!$N$17</f>
        <v>8257610364</v>
      </c>
      <c r="AI37" s="263">
        <f>SUM(AI38)</f>
        <v>8839243985</v>
      </c>
      <c r="AJ37" s="260">
        <f>AI37/Q37*100</f>
        <v>76.152523392589487</v>
      </c>
      <c r="AK37" s="263">
        <f>SUM(AK38)</f>
        <v>2768045690</v>
      </c>
      <c r="AL37" s="260">
        <f>AK37/Q37*100</f>
        <v>23.847476607410506</v>
      </c>
      <c r="AM37" s="222"/>
    </row>
    <row r="38" spans="1:39" s="226" customFormat="1" ht="28.5" customHeight="1" x14ac:dyDescent="0.25">
      <c r="A38" s="260"/>
      <c r="B38" s="266"/>
      <c r="C38" s="266"/>
      <c r="D38" s="266"/>
      <c r="E38" s="266"/>
      <c r="F38" s="266"/>
      <c r="G38" s="266"/>
      <c r="H38" s="266"/>
      <c r="I38" s="267"/>
      <c r="J38" s="268" t="s">
        <v>219</v>
      </c>
      <c r="K38" s="262"/>
      <c r="L38" s="635" t="s">
        <v>218</v>
      </c>
      <c r="M38" s="635"/>
      <c r="N38" s="634"/>
      <c r="O38" s="263"/>
      <c r="P38" s="263"/>
      <c r="Q38" s="263">
        <f>SUM(Q39+Q51+Q55)</f>
        <v>11607289675</v>
      </c>
      <c r="R38" s="222">
        <f>Q38/Q35*100</f>
        <v>36.516697416348386</v>
      </c>
      <c r="S38" s="260">
        <v>100</v>
      </c>
      <c r="T38" s="263">
        <f t="shared" ref="T38:T56" si="14">AJ38</f>
        <v>76.152523392589487</v>
      </c>
      <c r="U38" s="263">
        <f>R38*T38/100</f>
        <v>27.808386542185826</v>
      </c>
      <c r="V38" s="264">
        <f t="shared" ref="V38:V56" si="15">S38-T38</f>
        <v>23.847476607410513</v>
      </c>
      <c r="W38" s="263"/>
      <c r="X38" s="263"/>
      <c r="Y38" s="263"/>
      <c r="Z38" s="263"/>
      <c r="AA38" s="263"/>
      <c r="AB38" s="263"/>
      <c r="AC38" s="263"/>
      <c r="AD38" s="263"/>
      <c r="AE38" s="263"/>
      <c r="AF38" s="263"/>
      <c r="AG38" s="263"/>
      <c r="AH38" s="263"/>
      <c r="AI38" s="263">
        <f>SUM(AI39+AI51+AI55)</f>
        <v>8839243985</v>
      </c>
      <c r="AJ38" s="260">
        <f t="shared" ref="AJ38:AJ56" si="16">AI38/Q38*100</f>
        <v>76.152523392589487</v>
      </c>
      <c r="AK38" s="263">
        <f>SUM(AK39+AK51+AK55)</f>
        <v>2768045690</v>
      </c>
      <c r="AL38" s="260">
        <f t="shared" ref="AL38:AL56" si="17">AK38/Q38*100</f>
        <v>23.847476607410506</v>
      </c>
      <c r="AM38" s="222"/>
    </row>
    <row r="39" spans="1:39" s="226" customFormat="1" ht="28.5" customHeight="1" x14ac:dyDescent="0.25">
      <c r="A39" s="269" t="s">
        <v>7</v>
      </c>
      <c r="B39" s="266"/>
      <c r="C39" s="266"/>
      <c r="D39" s="266"/>
      <c r="E39" s="266"/>
      <c r="F39" s="266"/>
      <c r="G39" s="266"/>
      <c r="H39" s="266"/>
      <c r="I39" s="267"/>
      <c r="J39" s="268" t="s">
        <v>220</v>
      </c>
      <c r="K39" s="262"/>
      <c r="L39" s="635" t="s">
        <v>221</v>
      </c>
      <c r="M39" s="635"/>
      <c r="N39" s="634"/>
      <c r="O39" s="263"/>
      <c r="P39" s="263"/>
      <c r="Q39" s="263">
        <f>SUM(Q40:Q50)</f>
        <v>4242771195</v>
      </c>
      <c r="R39" s="222">
        <f>Q39/Q38*100</f>
        <v>36.552643328426285</v>
      </c>
      <c r="S39" s="260">
        <v>100</v>
      </c>
      <c r="T39" s="263">
        <f t="shared" si="14"/>
        <v>62.187404310403785</v>
      </c>
      <c r="U39" s="263">
        <f>R39*T39/100</f>
        <v>22.731140092788291</v>
      </c>
      <c r="V39" s="264">
        <f t="shared" si="15"/>
        <v>37.812595689596215</v>
      </c>
      <c r="W39" s="263"/>
      <c r="X39" s="263"/>
      <c r="Y39" s="263"/>
      <c r="Z39" s="263"/>
      <c r="AA39" s="263"/>
      <c r="AB39" s="263"/>
      <c r="AC39" s="263"/>
      <c r="AD39" s="263"/>
      <c r="AE39" s="263"/>
      <c r="AF39" s="263"/>
      <c r="AG39" s="263"/>
      <c r="AH39" s="263"/>
      <c r="AI39" s="263">
        <f>SUM(AI40:AI50)</f>
        <v>2638469277</v>
      </c>
      <c r="AJ39" s="260">
        <f t="shared" si="16"/>
        <v>62.187404310403785</v>
      </c>
      <c r="AK39" s="263">
        <f t="shared" ref="AK39:AK56" si="18">Q39-AI39</f>
        <v>1604301918</v>
      </c>
      <c r="AL39" s="260">
        <f t="shared" si="17"/>
        <v>37.812595689596215</v>
      </c>
      <c r="AM39" s="222"/>
    </row>
    <row r="40" spans="1:39" s="235" customFormat="1" ht="28.5" customHeight="1" x14ac:dyDescent="0.25">
      <c r="A40" s="259">
        <v>1</v>
      </c>
      <c r="B40" s="465"/>
      <c r="C40" s="465"/>
      <c r="D40" s="465"/>
      <c r="E40" s="465"/>
      <c r="F40" s="465"/>
      <c r="G40" s="465"/>
      <c r="H40" s="465"/>
      <c r="I40" s="466"/>
      <c r="J40" s="465" t="s">
        <v>222</v>
      </c>
      <c r="K40" s="272"/>
      <c r="L40" s="628" t="s">
        <v>223</v>
      </c>
      <c r="M40" s="628"/>
      <c r="N40" s="629"/>
      <c r="O40" s="180"/>
      <c r="P40" s="180"/>
      <c r="Q40" s="180">
        <v>2590996506</v>
      </c>
      <c r="R40" s="181">
        <f>Q40/Q$35*100</f>
        <v>8.1513116382544233</v>
      </c>
      <c r="S40" s="273">
        <v>100</v>
      </c>
      <c r="T40" s="180">
        <f t="shared" si="14"/>
        <v>60.04597830978318</v>
      </c>
      <c r="U40" s="180">
        <f t="shared" ref="U40:U48" si="19">SUM(R40*T40)</f>
        <v>489.45348182690833</v>
      </c>
      <c r="V40" s="274">
        <f t="shared" si="15"/>
        <v>39.95402169021682</v>
      </c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>
        <f>889090600+227149400+218059800+221489400</f>
        <v>1555789200</v>
      </c>
      <c r="AJ40" s="181">
        <f t="shared" si="16"/>
        <v>60.04597830978318</v>
      </c>
      <c r="AK40" s="180">
        <f t="shared" si="18"/>
        <v>1035207306</v>
      </c>
      <c r="AL40" s="181">
        <f t="shared" si="17"/>
        <v>39.95402169021682</v>
      </c>
      <c r="AM40" s="181"/>
    </row>
    <row r="41" spans="1:39" s="235" customFormat="1" ht="28.5" customHeight="1" x14ac:dyDescent="0.25">
      <c r="A41" s="259">
        <v>2</v>
      </c>
      <c r="B41" s="465"/>
      <c r="C41" s="465"/>
      <c r="D41" s="465"/>
      <c r="E41" s="465"/>
      <c r="F41" s="465"/>
      <c r="G41" s="465"/>
      <c r="H41" s="465"/>
      <c r="I41" s="466"/>
      <c r="J41" s="465" t="s">
        <v>224</v>
      </c>
      <c r="K41" s="272"/>
      <c r="L41" s="628" t="s">
        <v>225</v>
      </c>
      <c r="M41" s="628"/>
      <c r="N41" s="629"/>
      <c r="O41" s="180"/>
      <c r="P41" s="180"/>
      <c r="Q41" s="180">
        <v>327556228</v>
      </c>
      <c r="R41" s="181">
        <f t="shared" ref="R41:R56" si="20">Q41/Q$35*100</f>
        <v>1.0304965241350732</v>
      </c>
      <c r="S41" s="273">
        <v>100</v>
      </c>
      <c r="T41" s="180">
        <f>AJ41</f>
        <v>51.339531239198422</v>
      </c>
      <c r="U41" s="180">
        <f t="shared" si="19"/>
        <v>52.905208492717982</v>
      </c>
      <c r="V41" s="275">
        <f t="shared" si="15"/>
        <v>48.660468760801578</v>
      </c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>
        <f>94829412+24966432+23966134+24403854</f>
        <v>168165832</v>
      </c>
      <c r="AJ41" s="181">
        <f t="shared" si="16"/>
        <v>51.339531239198422</v>
      </c>
      <c r="AK41" s="180">
        <f t="shared" si="18"/>
        <v>159390396</v>
      </c>
      <c r="AL41" s="181">
        <f t="shared" si="17"/>
        <v>48.660468760801578</v>
      </c>
      <c r="AM41" s="181"/>
    </row>
    <row r="42" spans="1:39" s="235" customFormat="1" ht="28.5" customHeight="1" x14ac:dyDescent="0.25">
      <c r="A42" s="259">
        <v>3</v>
      </c>
      <c r="B42" s="465"/>
      <c r="C42" s="465"/>
      <c r="D42" s="465"/>
      <c r="E42" s="465"/>
      <c r="F42" s="465"/>
      <c r="G42" s="465"/>
      <c r="H42" s="465"/>
      <c r="I42" s="466"/>
      <c r="J42" s="465" t="s">
        <v>226</v>
      </c>
      <c r="K42" s="272"/>
      <c r="L42" s="628" t="s">
        <v>227</v>
      </c>
      <c r="M42" s="628"/>
      <c r="N42" s="629"/>
      <c r="O42" s="180"/>
      <c r="P42" s="180"/>
      <c r="Q42" s="180">
        <v>316058750</v>
      </c>
      <c r="R42" s="181">
        <f t="shared" si="20"/>
        <v>0.99432529580074436</v>
      </c>
      <c r="S42" s="273">
        <v>100</v>
      </c>
      <c r="T42" s="180">
        <f t="shared" si="14"/>
        <v>48.780487804878049</v>
      </c>
      <c r="U42" s="180">
        <f t="shared" si="19"/>
        <v>48.503672965889969</v>
      </c>
      <c r="V42" s="275">
        <f t="shared" si="15"/>
        <v>51.219512195121951</v>
      </c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>
        <f>88100000+22025000+22025000+22025000</f>
        <v>154175000</v>
      </c>
      <c r="AJ42" s="181">
        <f>AI42/Q42*100</f>
        <v>48.780487804878049</v>
      </c>
      <c r="AK42" s="180">
        <f t="shared" si="18"/>
        <v>161883750</v>
      </c>
      <c r="AL42" s="181">
        <f t="shared" si="17"/>
        <v>51.219512195121951</v>
      </c>
      <c r="AM42" s="181"/>
    </row>
    <row r="43" spans="1:39" s="235" customFormat="1" ht="28.5" customHeight="1" x14ac:dyDescent="0.25">
      <c r="A43" s="259">
        <v>4</v>
      </c>
      <c r="B43" s="465"/>
      <c r="C43" s="465"/>
      <c r="D43" s="465"/>
      <c r="E43" s="465"/>
      <c r="F43" s="465"/>
      <c r="G43" s="465"/>
      <c r="H43" s="465"/>
      <c r="I43" s="466"/>
      <c r="J43" s="465" t="s">
        <v>228</v>
      </c>
      <c r="K43" s="272"/>
      <c r="L43" s="628" t="s">
        <v>229</v>
      </c>
      <c r="M43" s="628"/>
      <c r="N43" s="629"/>
      <c r="O43" s="180"/>
      <c r="P43" s="180"/>
      <c r="Q43" s="180">
        <v>100378250</v>
      </c>
      <c r="R43" s="181">
        <f t="shared" si="20"/>
        <v>0.31579139360391406</v>
      </c>
      <c r="S43" s="273">
        <v>100</v>
      </c>
      <c r="T43" s="180">
        <f t="shared" si="14"/>
        <v>46.50409824837552</v>
      </c>
      <c r="U43" s="180">
        <f t="shared" si="19"/>
        <v>14.685593994147844</v>
      </c>
      <c r="V43" s="275">
        <f t="shared" si="15"/>
        <v>53.49590175162448</v>
      </c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>
        <f>27295000+6455000+6460000+6470000</f>
        <v>46680000</v>
      </c>
      <c r="AJ43" s="181">
        <f t="shared" si="16"/>
        <v>46.50409824837552</v>
      </c>
      <c r="AK43" s="180">
        <f t="shared" si="18"/>
        <v>53698250</v>
      </c>
      <c r="AL43" s="181">
        <f t="shared" si="17"/>
        <v>53.495901751624473</v>
      </c>
      <c r="AM43" s="181"/>
    </row>
    <row r="44" spans="1:39" s="235" customFormat="1" ht="28.5" customHeight="1" x14ac:dyDescent="0.25">
      <c r="A44" s="259">
        <v>5</v>
      </c>
      <c r="B44" s="465"/>
      <c r="C44" s="465"/>
      <c r="D44" s="465"/>
      <c r="E44" s="465"/>
      <c r="F44" s="465"/>
      <c r="G44" s="465"/>
      <c r="H44" s="465"/>
      <c r="I44" s="466"/>
      <c r="J44" s="465" t="s">
        <v>230</v>
      </c>
      <c r="K44" s="272"/>
      <c r="L44" s="628" t="s">
        <v>231</v>
      </c>
      <c r="M44" s="628"/>
      <c r="N44" s="629"/>
      <c r="O44" s="180"/>
      <c r="P44" s="180"/>
      <c r="Q44" s="180">
        <v>220316124</v>
      </c>
      <c r="R44" s="273">
        <f t="shared" si="20"/>
        <v>0.69311764083726035</v>
      </c>
      <c r="S44" s="273">
        <v>100</v>
      </c>
      <c r="T44" s="180">
        <f t="shared" si="14"/>
        <v>49.010584445467096</v>
      </c>
      <c r="U44" s="180">
        <f t="shared" si="19"/>
        <v>33.97010066689748</v>
      </c>
      <c r="V44" s="275">
        <f t="shared" si="15"/>
        <v>50.989415554532904</v>
      </c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>
        <f>61919100+15353040+15353040+15353040</f>
        <v>107978220</v>
      </c>
      <c r="AJ44" s="273">
        <f t="shared" si="16"/>
        <v>49.010584445467096</v>
      </c>
      <c r="AK44" s="180">
        <f t="shared" si="18"/>
        <v>112337904</v>
      </c>
      <c r="AL44" s="273">
        <f t="shared" si="17"/>
        <v>50.989415554532904</v>
      </c>
      <c r="AM44" s="181"/>
    </row>
    <row r="45" spans="1:39" s="235" customFormat="1" ht="28.5" customHeight="1" x14ac:dyDescent="0.25">
      <c r="A45" s="259">
        <v>6</v>
      </c>
      <c r="B45" s="465"/>
      <c r="C45" s="465"/>
      <c r="D45" s="465"/>
      <c r="E45" s="465"/>
      <c r="F45" s="465"/>
      <c r="G45" s="465"/>
      <c r="H45" s="465"/>
      <c r="I45" s="466"/>
      <c r="J45" s="465" t="s">
        <v>232</v>
      </c>
      <c r="K45" s="272"/>
      <c r="L45" s="628" t="s">
        <v>234</v>
      </c>
      <c r="M45" s="628"/>
      <c r="N45" s="629"/>
      <c r="O45" s="180"/>
      <c r="P45" s="180"/>
      <c r="Q45" s="180">
        <v>868720</v>
      </c>
      <c r="R45" s="273">
        <f t="shared" si="20"/>
        <v>2.7330054015844291E-3</v>
      </c>
      <c r="S45" s="273">
        <v>100</v>
      </c>
      <c r="T45" s="180">
        <f t="shared" si="14"/>
        <v>73.631089418915181</v>
      </c>
      <c r="U45" s="180">
        <f t="shared" si="19"/>
        <v>0.20123416510644129</v>
      </c>
      <c r="V45" s="275">
        <f t="shared" si="15"/>
        <v>26.368910581084819</v>
      </c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>
        <f>363234+92138+92138+92138</f>
        <v>639648</v>
      </c>
      <c r="AJ45" s="273">
        <f t="shared" si="16"/>
        <v>73.631089418915181</v>
      </c>
      <c r="AK45" s="180">
        <f t="shared" si="18"/>
        <v>229072</v>
      </c>
      <c r="AL45" s="273">
        <f t="shared" si="17"/>
        <v>26.368910581084815</v>
      </c>
      <c r="AM45" s="181"/>
    </row>
    <row r="46" spans="1:39" s="235" customFormat="1" ht="28.5" customHeight="1" x14ac:dyDescent="0.25">
      <c r="A46" s="259">
        <v>7</v>
      </c>
      <c r="B46" s="465"/>
      <c r="C46" s="465"/>
      <c r="D46" s="465"/>
      <c r="E46" s="465"/>
      <c r="F46" s="465"/>
      <c r="G46" s="465"/>
      <c r="H46" s="465"/>
      <c r="I46" s="466"/>
      <c r="J46" s="465" t="s">
        <v>233</v>
      </c>
      <c r="K46" s="272"/>
      <c r="L46" s="628" t="s">
        <v>235</v>
      </c>
      <c r="M46" s="628"/>
      <c r="N46" s="629"/>
      <c r="O46" s="180"/>
      <c r="P46" s="180"/>
      <c r="Q46" s="180">
        <v>45647</v>
      </c>
      <c r="R46" s="273">
        <f t="shared" si="20"/>
        <v>1.4360610733737503E-4</v>
      </c>
      <c r="S46" s="273">
        <v>100</v>
      </c>
      <c r="T46" s="180">
        <f t="shared" si="14"/>
        <v>58.623786886323302</v>
      </c>
      <c r="U46" s="180">
        <f t="shared" si="19"/>
        <v>8.4187338321207433E-3</v>
      </c>
      <c r="V46" s="275">
        <f t="shared" si="15"/>
        <v>41.376213113676698</v>
      </c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>
        <f>14589+5519+3319+3333</f>
        <v>26760</v>
      </c>
      <c r="AJ46" s="273">
        <f t="shared" si="16"/>
        <v>58.623786886323302</v>
      </c>
      <c r="AK46" s="180">
        <f t="shared" si="18"/>
        <v>18887</v>
      </c>
      <c r="AL46" s="273">
        <f t="shared" si="17"/>
        <v>41.376213113676691</v>
      </c>
      <c r="AM46" s="181"/>
    </row>
    <row r="47" spans="1:39" s="235" customFormat="1" ht="28.5" customHeight="1" x14ac:dyDescent="0.25">
      <c r="A47" s="259">
        <v>8</v>
      </c>
      <c r="B47" s="465"/>
      <c r="C47" s="465"/>
      <c r="D47" s="465"/>
      <c r="E47" s="465"/>
      <c r="F47" s="465"/>
      <c r="G47" s="465"/>
      <c r="H47" s="465"/>
      <c r="I47" s="466"/>
      <c r="J47" s="465" t="s">
        <v>236</v>
      </c>
      <c r="K47" s="272"/>
      <c r="L47" s="628" t="s">
        <v>237</v>
      </c>
      <c r="M47" s="628"/>
      <c r="N47" s="629"/>
      <c r="O47" s="180"/>
      <c r="P47" s="180"/>
      <c r="Q47" s="180">
        <v>104506702</v>
      </c>
      <c r="R47" s="273">
        <f t="shared" si="20"/>
        <v>0.32877956196216762</v>
      </c>
      <c r="S47" s="273">
        <v>100</v>
      </c>
      <c r="T47" s="180">
        <f t="shared" si="14"/>
        <v>49.488384008137579</v>
      </c>
      <c r="U47" s="180">
        <f t="shared" si="19"/>
        <v>16.270769216411015</v>
      </c>
      <c r="V47" s="275">
        <f t="shared" si="15"/>
        <v>50.511615991862421</v>
      </c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>
        <f>29517615+7563482+7260779+7376802</f>
        <v>51718678</v>
      </c>
      <c r="AJ47" s="273">
        <f t="shared" si="16"/>
        <v>49.488384008137579</v>
      </c>
      <c r="AK47" s="180">
        <f t="shared" si="18"/>
        <v>52788024</v>
      </c>
      <c r="AL47" s="273">
        <f t="shared" si="17"/>
        <v>50.511615991862413</v>
      </c>
      <c r="AM47" s="181"/>
    </row>
    <row r="48" spans="1:39" s="235" customFormat="1" ht="28.5" customHeight="1" x14ac:dyDescent="0.25">
      <c r="A48" s="259">
        <v>9</v>
      </c>
      <c r="B48" s="465"/>
      <c r="C48" s="465"/>
      <c r="D48" s="465"/>
      <c r="E48" s="465"/>
      <c r="F48" s="465"/>
      <c r="G48" s="465"/>
      <c r="H48" s="465"/>
      <c r="I48" s="466"/>
      <c r="J48" s="465" t="s">
        <v>238</v>
      </c>
      <c r="K48" s="272"/>
      <c r="L48" s="628" t="s">
        <v>239</v>
      </c>
      <c r="M48" s="628"/>
      <c r="N48" s="629"/>
      <c r="O48" s="180"/>
      <c r="P48" s="180"/>
      <c r="Q48" s="180">
        <v>17042404</v>
      </c>
      <c r="R48" s="273">
        <f t="shared" si="20"/>
        <v>5.3615643922073949E-2</v>
      </c>
      <c r="S48" s="273">
        <v>100</v>
      </c>
      <c r="T48" s="180">
        <f t="shared" si="14"/>
        <v>76.474381196455624</v>
      </c>
      <c r="U48" s="180">
        <f t="shared" si="19"/>
        <v>4.1002231913901124</v>
      </c>
      <c r="V48" s="275">
        <f t="shared" si="15"/>
        <v>23.525618803544376</v>
      </c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>
        <f>6663947+2151304+2093371+2124451</f>
        <v>13033073</v>
      </c>
      <c r="AJ48" s="273">
        <f t="shared" si="16"/>
        <v>76.474381196455624</v>
      </c>
      <c r="AK48" s="180">
        <f t="shared" si="18"/>
        <v>4009331</v>
      </c>
      <c r="AL48" s="273">
        <f t="shared" si="17"/>
        <v>23.525618803544383</v>
      </c>
      <c r="AM48" s="181"/>
    </row>
    <row r="49" spans="1:39" s="235" customFormat="1" ht="28.5" customHeight="1" x14ac:dyDescent="0.25">
      <c r="A49" s="259">
        <v>10</v>
      </c>
      <c r="B49" s="465"/>
      <c r="C49" s="465"/>
      <c r="D49" s="465"/>
      <c r="E49" s="465"/>
      <c r="F49" s="465"/>
      <c r="G49" s="465"/>
      <c r="H49" s="465"/>
      <c r="I49" s="466"/>
      <c r="J49" s="465" t="s">
        <v>641</v>
      </c>
      <c r="K49" s="272"/>
      <c r="L49" s="628" t="s">
        <v>643</v>
      </c>
      <c r="M49" s="628"/>
      <c r="N49" s="629"/>
      <c r="O49" s="180"/>
      <c r="P49" s="180"/>
      <c r="Q49" s="180">
        <v>269688283</v>
      </c>
      <c r="R49" s="273">
        <f t="shared" si="20"/>
        <v>0.84844315105330848</v>
      </c>
      <c r="S49" s="273">
        <v>100</v>
      </c>
      <c r="T49" s="180">
        <f t="shared" si="14"/>
        <v>100</v>
      </c>
      <c r="U49" s="180">
        <f t="shared" ref="U49:U50" si="21">SUM(R49*T49)</f>
        <v>84.84431510533085</v>
      </c>
      <c r="V49" s="275">
        <f t="shared" si="15"/>
        <v>0</v>
      </c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>
        <v>269688283</v>
      </c>
      <c r="AJ49" s="273">
        <f t="shared" si="16"/>
        <v>100</v>
      </c>
      <c r="AK49" s="180">
        <f t="shared" si="18"/>
        <v>0</v>
      </c>
      <c r="AL49" s="273">
        <f t="shared" si="17"/>
        <v>0</v>
      </c>
      <c r="AM49" s="181"/>
    </row>
    <row r="50" spans="1:39" s="235" customFormat="1" ht="28.5" customHeight="1" x14ac:dyDescent="0.25">
      <c r="A50" s="259">
        <v>11</v>
      </c>
      <c r="B50" s="465"/>
      <c r="C50" s="465"/>
      <c r="D50" s="465"/>
      <c r="E50" s="465"/>
      <c r="F50" s="465"/>
      <c r="G50" s="465"/>
      <c r="H50" s="465"/>
      <c r="I50" s="466"/>
      <c r="J50" s="465" t="s">
        <v>642</v>
      </c>
      <c r="K50" s="272"/>
      <c r="L50" s="654" t="s">
        <v>644</v>
      </c>
      <c r="M50" s="654"/>
      <c r="N50" s="655"/>
      <c r="O50" s="180"/>
      <c r="P50" s="180"/>
      <c r="Q50" s="180">
        <v>295313581</v>
      </c>
      <c r="R50" s="273">
        <f t="shared" si="20"/>
        <v>0.929060700840594</v>
      </c>
      <c r="S50" s="273">
        <v>100</v>
      </c>
      <c r="T50" s="180">
        <f t="shared" si="14"/>
        <v>91.622803828991522</v>
      </c>
      <c r="U50" s="180">
        <f t="shared" si="21"/>
        <v>85.123146338343119</v>
      </c>
      <c r="V50" s="276">
        <f t="shared" si="15"/>
        <v>8.3771961710084781</v>
      </c>
      <c r="W50" s="180"/>
      <c r="X50" s="180"/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>
        <v>270574583</v>
      </c>
      <c r="AJ50" s="273">
        <f t="shared" si="16"/>
        <v>91.622803828991522</v>
      </c>
      <c r="AK50" s="180">
        <f t="shared" si="18"/>
        <v>24738998</v>
      </c>
      <c r="AL50" s="273">
        <f t="shared" si="17"/>
        <v>8.377196171008471</v>
      </c>
      <c r="AM50" s="181"/>
    </row>
    <row r="51" spans="1:39" s="235" customFormat="1" ht="28.5" customHeight="1" x14ac:dyDescent="0.25">
      <c r="A51" s="277" t="s">
        <v>8</v>
      </c>
      <c r="B51" s="468"/>
      <c r="C51" s="468"/>
      <c r="D51" s="468"/>
      <c r="E51" s="468"/>
      <c r="F51" s="468"/>
      <c r="G51" s="468"/>
      <c r="H51" s="468"/>
      <c r="I51" s="468"/>
      <c r="J51" s="468" t="s">
        <v>240</v>
      </c>
      <c r="K51" s="279"/>
      <c r="L51" s="630" t="s">
        <v>241</v>
      </c>
      <c r="M51" s="631"/>
      <c r="N51" s="631"/>
      <c r="O51" s="280"/>
      <c r="P51" s="280"/>
      <c r="Q51" s="280">
        <f>SUM(Q52:Q54)</f>
        <v>2764518480</v>
      </c>
      <c r="R51" s="222">
        <f>Q51/Q38*100</f>
        <v>23.817088721015313</v>
      </c>
      <c r="S51" s="281">
        <v>100</v>
      </c>
      <c r="T51" s="280">
        <f t="shared" si="14"/>
        <v>74.820046057351732</v>
      </c>
      <c r="U51" s="280">
        <f t="shared" ref="U51:U56" si="22">R51*T51/100</f>
        <v>17.81995675058398</v>
      </c>
      <c r="V51" s="282">
        <f t="shared" si="15"/>
        <v>25.179953942648268</v>
      </c>
      <c r="W51" s="280"/>
      <c r="X51" s="280"/>
      <c r="Y51" s="280"/>
      <c r="Z51" s="280"/>
      <c r="AA51" s="280"/>
      <c r="AB51" s="280"/>
      <c r="AC51" s="280"/>
      <c r="AD51" s="280"/>
      <c r="AE51" s="280"/>
      <c r="AF51" s="280"/>
      <c r="AG51" s="280"/>
      <c r="AH51" s="280"/>
      <c r="AI51" s="280">
        <f>SUM(AI52:AI54)</f>
        <v>2068414000</v>
      </c>
      <c r="AJ51" s="281">
        <f t="shared" si="16"/>
        <v>74.820046057351732</v>
      </c>
      <c r="AK51" s="280">
        <f t="shared" si="18"/>
        <v>696104480</v>
      </c>
      <c r="AL51" s="281">
        <f t="shared" si="17"/>
        <v>25.179953942648268</v>
      </c>
      <c r="AM51" s="284"/>
    </row>
    <row r="52" spans="1:39" s="235" customFormat="1" ht="28.5" customHeight="1" x14ac:dyDescent="0.25">
      <c r="A52" s="259">
        <v>1</v>
      </c>
      <c r="B52" s="465"/>
      <c r="C52" s="465"/>
      <c r="D52" s="465"/>
      <c r="E52" s="465"/>
      <c r="F52" s="465"/>
      <c r="G52" s="465"/>
      <c r="H52" s="465"/>
      <c r="I52" s="466"/>
      <c r="J52" s="465" t="s">
        <v>242</v>
      </c>
      <c r="K52" s="272"/>
      <c r="L52" s="628" t="s">
        <v>243</v>
      </c>
      <c r="M52" s="628"/>
      <c r="N52" s="629"/>
      <c r="O52" s="180"/>
      <c r="P52" s="180"/>
      <c r="Q52" s="180">
        <v>2501913480</v>
      </c>
      <c r="R52" s="273">
        <f t="shared" si="20"/>
        <v>7.87105517904146</v>
      </c>
      <c r="S52" s="273">
        <v>100</v>
      </c>
      <c r="T52" s="180">
        <f t="shared" si="14"/>
        <v>75.811174733348494</v>
      </c>
      <c r="U52" s="285">
        <f t="shared" si="22"/>
        <v>5.9671393951413974</v>
      </c>
      <c r="V52" s="275">
        <f t="shared" si="15"/>
        <v>24.188825266651506</v>
      </c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>
        <f>698105000+237825000+479200000+481600000</f>
        <v>1896730000</v>
      </c>
      <c r="AJ52" s="273">
        <f t="shared" si="16"/>
        <v>75.811174733348494</v>
      </c>
      <c r="AK52" s="180">
        <f t="shared" si="18"/>
        <v>605183480</v>
      </c>
      <c r="AL52" s="273">
        <f t="shared" si="17"/>
        <v>24.188825266651506</v>
      </c>
      <c r="AM52" s="181"/>
    </row>
    <row r="53" spans="1:39" s="235" customFormat="1" ht="28.5" customHeight="1" x14ac:dyDescent="0.25">
      <c r="A53" s="259">
        <v>2</v>
      </c>
      <c r="B53" s="465"/>
      <c r="C53" s="465"/>
      <c r="D53" s="465"/>
      <c r="E53" s="465"/>
      <c r="F53" s="465"/>
      <c r="G53" s="465"/>
      <c r="H53" s="465"/>
      <c r="I53" s="466"/>
      <c r="J53" s="465" t="s">
        <v>244</v>
      </c>
      <c r="K53" s="272"/>
      <c r="L53" s="628" t="s">
        <v>245</v>
      </c>
      <c r="M53" s="628"/>
      <c r="N53" s="629"/>
      <c r="O53" s="180"/>
      <c r="P53" s="180"/>
      <c r="Q53" s="180">
        <v>218325000</v>
      </c>
      <c r="R53" s="273">
        <f t="shared" si="20"/>
        <v>0.68685353658361781</v>
      </c>
      <c r="S53" s="273">
        <v>100</v>
      </c>
      <c r="T53" s="180">
        <f t="shared" si="14"/>
        <v>68.49604946753692</v>
      </c>
      <c r="U53" s="180">
        <f t="shared" si="22"/>
        <v>0.47046753818784171</v>
      </c>
      <c r="V53" s="275">
        <f t="shared" si="15"/>
        <v>31.50395053246308</v>
      </c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>
        <f>55640000+18704000+37600000+37600000</f>
        <v>149544000</v>
      </c>
      <c r="AJ53" s="273">
        <f t="shared" si="16"/>
        <v>68.49604946753692</v>
      </c>
      <c r="AK53" s="180">
        <f t="shared" si="18"/>
        <v>68781000</v>
      </c>
      <c r="AL53" s="273">
        <f t="shared" si="17"/>
        <v>31.503950532463072</v>
      </c>
      <c r="AM53" s="181"/>
    </row>
    <row r="54" spans="1:39" s="235" customFormat="1" ht="28.5" customHeight="1" x14ac:dyDescent="0.25">
      <c r="A54" s="259">
        <v>3</v>
      </c>
      <c r="B54" s="465"/>
      <c r="C54" s="465"/>
      <c r="D54" s="465"/>
      <c r="E54" s="465"/>
      <c r="F54" s="465"/>
      <c r="G54" s="465"/>
      <c r="H54" s="465"/>
      <c r="I54" s="466"/>
      <c r="J54" s="465" t="s">
        <v>645</v>
      </c>
      <c r="K54" s="272"/>
      <c r="L54" s="654" t="s">
        <v>646</v>
      </c>
      <c r="M54" s="654"/>
      <c r="N54" s="655"/>
      <c r="O54" s="180"/>
      <c r="P54" s="180"/>
      <c r="Q54" s="180">
        <v>44280000</v>
      </c>
      <c r="R54" s="273">
        <f t="shared" si="20"/>
        <v>0.1393055060113253</v>
      </c>
      <c r="S54" s="273">
        <v>100</v>
      </c>
      <c r="T54" s="180">
        <f t="shared" si="14"/>
        <v>50</v>
      </c>
      <c r="U54" s="286">
        <f t="shared" si="22"/>
        <v>6.9652753005662649E-2</v>
      </c>
      <c r="V54" s="276">
        <f t="shared" si="15"/>
        <v>50</v>
      </c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>
        <v>22140000</v>
      </c>
      <c r="AJ54" s="273">
        <f t="shared" si="16"/>
        <v>50</v>
      </c>
      <c r="AK54" s="180">
        <f t="shared" si="18"/>
        <v>22140000</v>
      </c>
      <c r="AL54" s="273">
        <f t="shared" si="17"/>
        <v>50</v>
      </c>
      <c r="AM54" s="181"/>
    </row>
    <row r="55" spans="1:39" s="235" customFormat="1" ht="28.5" customHeight="1" x14ac:dyDescent="0.25">
      <c r="A55" s="277" t="s">
        <v>29</v>
      </c>
      <c r="B55" s="469"/>
      <c r="C55" s="469"/>
      <c r="D55" s="469"/>
      <c r="E55" s="469"/>
      <c r="F55" s="469"/>
      <c r="G55" s="469"/>
      <c r="H55" s="469"/>
      <c r="I55" s="467"/>
      <c r="J55" s="469" t="s">
        <v>246</v>
      </c>
      <c r="K55" s="279"/>
      <c r="L55" s="632" t="s">
        <v>247</v>
      </c>
      <c r="M55" s="632"/>
      <c r="N55" s="630"/>
      <c r="O55" s="280"/>
      <c r="P55" s="280"/>
      <c r="Q55" s="280">
        <f>SUM(Q56)</f>
        <v>4600000000</v>
      </c>
      <c r="R55" s="222">
        <f>Q55/Q38*100</f>
        <v>39.630267950558405</v>
      </c>
      <c r="S55" s="281">
        <v>100</v>
      </c>
      <c r="T55" s="280">
        <f t="shared" si="14"/>
        <v>89.833928434782607</v>
      </c>
      <c r="U55" s="280">
        <f t="shared" si="22"/>
        <v>35.601426549217223</v>
      </c>
      <c r="V55" s="282">
        <f t="shared" si="15"/>
        <v>10.166071565217393</v>
      </c>
      <c r="W55" s="280"/>
      <c r="X55" s="280"/>
      <c r="Y55" s="280"/>
      <c r="Z55" s="280"/>
      <c r="AA55" s="280"/>
      <c r="AB55" s="280"/>
      <c r="AC55" s="280"/>
      <c r="AD55" s="280"/>
      <c r="AE55" s="280"/>
      <c r="AF55" s="280"/>
      <c r="AG55" s="280"/>
      <c r="AH55" s="280"/>
      <c r="AI55" s="263">
        <f>SUM(AI56)</f>
        <v>4132360708</v>
      </c>
      <c r="AJ55" s="281">
        <f t="shared" si="16"/>
        <v>89.833928434782607</v>
      </c>
      <c r="AK55" s="280">
        <f t="shared" si="18"/>
        <v>467639292</v>
      </c>
      <c r="AL55" s="281">
        <f t="shared" si="17"/>
        <v>10.166071565217392</v>
      </c>
      <c r="AM55" s="284"/>
    </row>
    <row r="56" spans="1:39" s="235" customFormat="1" ht="28.5" customHeight="1" x14ac:dyDescent="0.25">
      <c r="A56" s="259">
        <v>1</v>
      </c>
      <c r="B56" s="465"/>
      <c r="C56" s="465"/>
      <c r="D56" s="465"/>
      <c r="E56" s="465"/>
      <c r="F56" s="465"/>
      <c r="G56" s="465"/>
      <c r="H56" s="465"/>
      <c r="I56" s="466"/>
      <c r="J56" s="465" t="s">
        <v>248</v>
      </c>
      <c r="K56" s="272"/>
      <c r="L56" s="628" t="s">
        <v>427</v>
      </c>
      <c r="M56" s="628"/>
      <c r="N56" s="629"/>
      <c r="O56" s="180"/>
      <c r="P56" s="180"/>
      <c r="Q56" s="180">
        <v>4600000000</v>
      </c>
      <c r="R56" s="273">
        <f t="shared" si="20"/>
        <v>14.471665032793505</v>
      </c>
      <c r="S56" s="273">
        <v>100</v>
      </c>
      <c r="T56" s="180">
        <f t="shared" si="14"/>
        <v>89.833928434782607</v>
      </c>
      <c r="U56" s="285">
        <f t="shared" si="22"/>
        <v>13.000465208881176</v>
      </c>
      <c r="V56" s="274">
        <f t="shared" si="15"/>
        <v>10.166071565217393</v>
      </c>
      <c r="W56" s="180"/>
      <c r="X56" s="180"/>
      <c r="Y56" s="180"/>
      <c r="Z56" s="180"/>
      <c r="AA56" s="180"/>
      <c r="AB56" s="180"/>
      <c r="AC56" s="180"/>
      <c r="AD56" s="180"/>
      <c r="AE56" s="180"/>
      <c r="AF56" s="180"/>
      <c r="AG56" s="180"/>
      <c r="AH56" s="180"/>
      <c r="AI56" s="180">
        <f>2764898780+1367461928</f>
        <v>4132360708</v>
      </c>
      <c r="AJ56" s="273">
        <f t="shared" si="16"/>
        <v>89.833928434782607</v>
      </c>
      <c r="AK56" s="180">
        <f t="shared" si="18"/>
        <v>467639292</v>
      </c>
      <c r="AL56" s="273">
        <f t="shared" si="17"/>
        <v>10.166071565217392</v>
      </c>
      <c r="AM56" s="181"/>
    </row>
    <row r="57" spans="1:39" ht="13.5" customHeight="1" x14ac:dyDescent="0.25">
      <c r="A57" s="243"/>
      <c r="B57" s="257"/>
      <c r="C57" s="257"/>
      <c r="D57" s="257"/>
      <c r="E57" s="257"/>
      <c r="F57" s="257"/>
      <c r="G57" s="257"/>
      <c r="H57" s="257"/>
      <c r="I57" s="258"/>
      <c r="J57" s="257"/>
      <c r="K57" s="245"/>
      <c r="L57" s="257"/>
      <c r="M57" s="257"/>
      <c r="N57" s="258"/>
      <c r="O57" s="243"/>
      <c r="P57" s="243"/>
      <c r="Q57" s="243"/>
      <c r="R57" s="243"/>
      <c r="S57" s="243"/>
      <c r="T57" s="243"/>
      <c r="U57" s="243"/>
      <c r="V57" s="182"/>
      <c r="W57" s="243"/>
      <c r="X57" s="243"/>
      <c r="Y57" s="243"/>
      <c r="Z57" s="243"/>
      <c r="AA57" s="243"/>
      <c r="AB57" s="243"/>
      <c r="AC57" s="243"/>
      <c r="AD57" s="243"/>
      <c r="AE57" s="243"/>
      <c r="AF57" s="243"/>
      <c r="AG57" s="243"/>
      <c r="AH57" s="243"/>
      <c r="AI57" s="243"/>
      <c r="AJ57" s="243"/>
      <c r="AK57" s="273"/>
      <c r="AL57" s="243"/>
      <c r="AM57" s="243"/>
    </row>
    <row r="58" spans="1:39" s="226" customFormat="1" ht="24.75" customHeight="1" x14ac:dyDescent="0.25">
      <c r="A58" s="289"/>
      <c r="B58" s="607" t="s">
        <v>112</v>
      </c>
      <c r="C58" s="607"/>
      <c r="D58" s="607"/>
      <c r="E58" s="607"/>
      <c r="F58" s="607"/>
      <c r="G58" s="607"/>
      <c r="H58" s="607"/>
      <c r="I58" s="608"/>
      <c r="J58" s="460" t="s">
        <v>441</v>
      </c>
      <c r="K58" s="291"/>
      <c r="L58" s="607" t="s">
        <v>11</v>
      </c>
      <c r="M58" s="607"/>
      <c r="N58" s="608"/>
      <c r="O58" s="263" t="e">
        <f>SUM(O59,O124,O161,O168,O180,O248,O688)</f>
        <v>#REF!</v>
      </c>
      <c r="P58" s="263" t="e">
        <f>SUM(P59,P124,P161,P168,P180,P248,P688)</f>
        <v>#REF!</v>
      </c>
      <c r="Q58" s="263">
        <f>SUM(Q59,Q124,Q161,Q168,Q180,Q248+Q679)</f>
        <v>20178962906</v>
      </c>
      <c r="R58" s="222">
        <f>Q58/Q35*100</f>
        <v>63.483302583651614</v>
      </c>
      <c r="S58" s="222">
        <f>S59</f>
        <v>100</v>
      </c>
      <c r="T58" s="263">
        <f t="shared" ref="T58:T143" si="23">AJ58</f>
        <v>42.808775779212489</v>
      </c>
      <c r="U58" s="263">
        <f t="shared" ref="U58:U94" si="24">R58*T58/100</f>
        <v>27.176424660274428</v>
      </c>
      <c r="V58" s="292">
        <f t="shared" ref="V58:V131" si="25">S58-T58</f>
        <v>57.191224220787511</v>
      </c>
      <c r="W58" s="263">
        <f>SUM(W59:W92)</f>
        <v>0</v>
      </c>
      <c r="X58" s="263" t="e">
        <f t="shared" ref="X58:AH58" si="26">SUM(X59,X124,X161,X168,X180,X248,X688)</f>
        <v>#REF!</v>
      </c>
      <c r="Y58" s="263" t="e">
        <f t="shared" si="26"/>
        <v>#REF!</v>
      </c>
      <c r="Z58" s="263" t="e">
        <f t="shared" si="26"/>
        <v>#REF!</v>
      </c>
      <c r="AA58" s="263" t="e">
        <f t="shared" si="26"/>
        <v>#REF!</v>
      </c>
      <c r="AB58" s="263">
        <f t="shared" si="26"/>
        <v>10250009282</v>
      </c>
      <c r="AC58" s="263" t="e">
        <f t="shared" si="26"/>
        <v>#REF!</v>
      </c>
      <c r="AD58" s="263" t="e">
        <f t="shared" si="26"/>
        <v>#REF!</v>
      </c>
      <c r="AE58" s="263" t="e">
        <f t="shared" si="26"/>
        <v>#REF!</v>
      </c>
      <c r="AF58" s="263" t="e">
        <f t="shared" si="26"/>
        <v>#REF!</v>
      </c>
      <c r="AG58" s="263" t="e">
        <f t="shared" si="26"/>
        <v>#REF!</v>
      </c>
      <c r="AH58" s="263" t="e">
        <f t="shared" si="26"/>
        <v>#REF!</v>
      </c>
      <c r="AI58" s="263">
        <f>SUM(AI59,AI124,AI161,AI168,AI180,AI248,AI679)</f>
        <v>8638366985</v>
      </c>
      <c r="AJ58" s="222">
        <f t="shared" ref="AJ58:AJ143" si="27">AI58/Q58*100</f>
        <v>42.808775779212489</v>
      </c>
      <c r="AK58" s="263">
        <f>SUM(Q58-AI58)</f>
        <v>11540595921</v>
      </c>
      <c r="AL58" s="222">
        <f t="shared" ref="AL58:AL143" si="28">AK58/Q58*100</f>
        <v>57.191224220787518</v>
      </c>
      <c r="AM58" s="240"/>
    </row>
    <row r="59" spans="1:39" s="226" customFormat="1" ht="28.5" customHeight="1" x14ac:dyDescent="0.25">
      <c r="A59" s="236" t="s">
        <v>7</v>
      </c>
      <c r="B59" s="626" t="s">
        <v>113</v>
      </c>
      <c r="C59" s="626"/>
      <c r="D59" s="626"/>
      <c r="E59" s="626"/>
      <c r="F59" s="626"/>
      <c r="G59" s="626"/>
      <c r="H59" s="626"/>
      <c r="I59" s="627"/>
      <c r="J59" s="464" t="s">
        <v>439</v>
      </c>
      <c r="K59" s="238"/>
      <c r="L59" s="626" t="s">
        <v>12</v>
      </c>
      <c r="M59" s="626"/>
      <c r="N59" s="627"/>
      <c r="O59" s="239">
        <f>SUM(O60:O94)</f>
        <v>1502806500</v>
      </c>
      <c r="P59" s="239">
        <f>SUM(P60:P94)</f>
        <v>1794406500</v>
      </c>
      <c r="Q59" s="239">
        <f>SUM(Q60+Q62+Q66+Q68+Q72+Q75+Q81+Q83+Q86+Q89+Q92+Q94+Q96+Q110)</f>
        <v>2525913744</v>
      </c>
      <c r="R59" s="240">
        <f>Q59/Q$58*100</f>
        <v>12.517559776320052</v>
      </c>
      <c r="S59" s="240">
        <f>S60</f>
        <v>100</v>
      </c>
      <c r="T59" s="293">
        <f t="shared" si="23"/>
        <v>48.873225102495823</v>
      </c>
      <c r="U59" s="293">
        <f t="shared" si="24"/>
        <v>6.1177351668203723</v>
      </c>
      <c r="V59" s="241">
        <f t="shared" si="25"/>
        <v>51.126774897504177</v>
      </c>
      <c r="W59" s="239">
        <f t="shared" ref="W59:AH59" si="29">SUM(W60:W94)</f>
        <v>0</v>
      </c>
      <c r="X59" s="239" t="e">
        <f t="shared" si="29"/>
        <v>#REF!</v>
      </c>
      <c r="Y59" s="239" t="e">
        <f t="shared" si="29"/>
        <v>#REF!</v>
      </c>
      <c r="Z59" s="239" t="e">
        <f t="shared" si="29"/>
        <v>#REF!</v>
      </c>
      <c r="AA59" s="239" t="e">
        <f t="shared" si="29"/>
        <v>#REF!</v>
      </c>
      <c r="AB59" s="239">
        <f t="shared" si="29"/>
        <v>1228213226</v>
      </c>
      <c r="AC59" s="239" t="e">
        <f t="shared" si="29"/>
        <v>#REF!</v>
      </c>
      <c r="AD59" s="239" t="e">
        <f t="shared" si="29"/>
        <v>#REF!</v>
      </c>
      <c r="AE59" s="239" t="e">
        <f t="shared" si="29"/>
        <v>#REF!</v>
      </c>
      <c r="AF59" s="239" t="e">
        <f t="shared" si="29"/>
        <v>#REF!</v>
      </c>
      <c r="AG59" s="239" t="e">
        <f t="shared" si="29"/>
        <v>#REF!</v>
      </c>
      <c r="AH59" s="239">
        <f t="shared" si="29"/>
        <v>3676337600</v>
      </c>
      <c r="AI59" s="239">
        <f>SUM(AI60+AI62+AI66+AI68+AI72+AI75+AI81+AI83+AI86+AI89+AI92+AI94+AI96+AI110)</f>
        <v>1234495510</v>
      </c>
      <c r="AJ59" s="240">
        <f t="shared" si="27"/>
        <v>48.873225102495823</v>
      </c>
      <c r="AK59" s="239">
        <f>SUM(Q59-AI59)</f>
        <v>1291418234</v>
      </c>
      <c r="AL59" s="240">
        <f t="shared" si="28"/>
        <v>51.126774897504177</v>
      </c>
      <c r="AM59" s="236"/>
    </row>
    <row r="60" spans="1:39" s="297" customFormat="1" ht="24.75" customHeight="1" x14ac:dyDescent="0.25">
      <c r="A60" s="227">
        <v>1</v>
      </c>
      <c r="B60" s="615" t="s">
        <v>114</v>
      </c>
      <c r="C60" s="615"/>
      <c r="D60" s="615"/>
      <c r="E60" s="615"/>
      <c r="F60" s="615"/>
      <c r="G60" s="615"/>
      <c r="H60" s="615"/>
      <c r="I60" s="614"/>
      <c r="J60" s="462" t="s">
        <v>442</v>
      </c>
      <c r="K60" s="230"/>
      <c r="L60" s="294"/>
      <c r="M60" s="615" t="s">
        <v>13</v>
      </c>
      <c r="N60" s="614"/>
      <c r="O60" s="295">
        <v>26300000</v>
      </c>
      <c r="P60" s="231">
        <v>28400000</v>
      </c>
      <c r="Q60" s="231">
        <f>SUM(Q61)</f>
        <v>27000000</v>
      </c>
      <c r="R60" s="233">
        <f>Q60/Q$59*100</f>
        <v>1.0689201111532491</v>
      </c>
      <c r="S60" s="233">
        <v>100</v>
      </c>
      <c r="T60" s="231">
        <f t="shared" si="23"/>
        <v>29.07037037037037</v>
      </c>
      <c r="U60" s="231">
        <f t="shared" si="24"/>
        <v>0.31073903527562413</v>
      </c>
      <c r="V60" s="296">
        <f t="shared" si="25"/>
        <v>70.92962962962963</v>
      </c>
      <c r="W60" s="231"/>
      <c r="X60" s="231" t="e">
        <f>#REF!</f>
        <v>#REF!</v>
      </c>
      <c r="Y60" s="231" t="e">
        <f>#REF!</f>
        <v>#REF!</v>
      </c>
      <c r="Z60" s="231" t="e">
        <f>#REF!</f>
        <v>#REF!</v>
      </c>
      <c r="AA60" s="231" t="e">
        <f>#REF!</f>
        <v>#REF!</v>
      </c>
      <c r="AB60" s="231">
        <v>5828000</v>
      </c>
      <c r="AC60" s="231" t="e">
        <f>#REF!</f>
        <v>#REF!</v>
      </c>
      <c r="AD60" s="231" t="e">
        <f>#REF!</f>
        <v>#REF!</v>
      </c>
      <c r="AE60" s="231" t="e">
        <f>#REF!</f>
        <v>#REF!</v>
      </c>
      <c r="AF60" s="231" t="e">
        <f>[1]April!N21</f>
        <v>#REF!</v>
      </c>
      <c r="AG60" s="231" t="e">
        <f>[2]april!N21</f>
        <v>#REF!</v>
      </c>
      <c r="AH60" s="231">
        <f>'[3]DES SKPD'!$N21</f>
        <v>14378000</v>
      </c>
      <c r="AI60" s="231">
        <f>SUM(AI61)</f>
        <v>7849000</v>
      </c>
      <c r="AJ60" s="233">
        <f>AI60/Q60*100</f>
        <v>29.07037037037037</v>
      </c>
      <c r="AK60" s="231">
        <f>Q60-AI60</f>
        <v>19151000</v>
      </c>
      <c r="AL60" s="233">
        <f>AK60/Q60*100</f>
        <v>70.92962962962963</v>
      </c>
      <c r="AM60" s="227"/>
    </row>
    <row r="61" spans="1:39" ht="29.25" customHeight="1" x14ac:dyDescent="0.25">
      <c r="A61" s="243"/>
      <c r="B61" s="457"/>
      <c r="C61" s="457"/>
      <c r="D61" s="457"/>
      <c r="E61" s="457"/>
      <c r="F61" s="457"/>
      <c r="G61" s="457"/>
      <c r="H61" s="457"/>
      <c r="I61" s="458"/>
      <c r="J61" s="457" t="s">
        <v>249</v>
      </c>
      <c r="K61" s="245"/>
      <c r="L61" s="257"/>
      <c r="M61" s="597" t="s">
        <v>250</v>
      </c>
      <c r="N61" s="598"/>
      <c r="O61" s="299"/>
      <c r="P61" s="180"/>
      <c r="Q61" s="180">
        <v>27000000</v>
      </c>
      <c r="R61" s="181">
        <f>Q61/Q$60*100</f>
        <v>100</v>
      </c>
      <c r="S61" s="181">
        <v>100</v>
      </c>
      <c r="T61" s="180">
        <f t="shared" si="23"/>
        <v>29.07037037037037</v>
      </c>
      <c r="U61" s="180">
        <f t="shared" si="24"/>
        <v>29.07037037037037</v>
      </c>
      <c r="V61" s="182">
        <f t="shared" si="25"/>
        <v>70.92962962962963</v>
      </c>
      <c r="W61" s="180"/>
      <c r="X61" s="180" t="e">
        <f>#REF!</f>
        <v>#REF!</v>
      </c>
      <c r="Y61" s="180" t="e">
        <f>#REF!</f>
        <v>#REF!</v>
      </c>
      <c r="Z61" s="180" t="e">
        <f>#REF!</f>
        <v>#REF!</v>
      </c>
      <c r="AA61" s="180" t="e">
        <f>#REF!</f>
        <v>#REF!</v>
      </c>
      <c r="AB61" s="180">
        <v>5828001</v>
      </c>
      <c r="AC61" s="180" t="e">
        <f>#REF!</f>
        <v>#REF!</v>
      </c>
      <c r="AD61" s="180" t="e">
        <f>#REF!</f>
        <v>#REF!</v>
      </c>
      <c r="AE61" s="180" t="e">
        <f>#REF!</f>
        <v>#REF!</v>
      </c>
      <c r="AF61" s="180" t="e">
        <f>[1]April!N22</f>
        <v>#REF!</v>
      </c>
      <c r="AG61" s="180" t="e">
        <f>[2]april!N22</f>
        <v>#REF!</v>
      </c>
      <c r="AH61" s="180">
        <f>'[3]DES SKPD'!$N22</f>
        <v>238296148</v>
      </c>
      <c r="AI61" s="180">
        <v>7849000</v>
      </c>
      <c r="AJ61" s="181">
        <f>AI61/Q61*100</f>
        <v>29.07037037037037</v>
      </c>
      <c r="AK61" s="180">
        <f>Q61-AI61</f>
        <v>19151000</v>
      </c>
      <c r="AL61" s="181">
        <f>AK61/Q61*100</f>
        <v>70.92962962962963</v>
      </c>
      <c r="AM61" s="243"/>
    </row>
    <row r="62" spans="1:39" s="297" customFormat="1" ht="29.25" customHeight="1" x14ac:dyDescent="0.25">
      <c r="A62" s="227">
        <f>A60+1</f>
        <v>2</v>
      </c>
      <c r="B62" s="615" t="s">
        <v>115</v>
      </c>
      <c r="C62" s="615"/>
      <c r="D62" s="615"/>
      <c r="E62" s="615"/>
      <c r="F62" s="615"/>
      <c r="G62" s="615"/>
      <c r="H62" s="615"/>
      <c r="I62" s="614"/>
      <c r="J62" s="462" t="s">
        <v>443</v>
      </c>
      <c r="K62" s="230"/>
      <c r="L62" s="294"/>
      <c r="M62" s="615" t="s">
        <v>14</v>
      </c>
      <c r="N62" s="614"/>
      <c r="O62" s="295">
        <v>31000000</v>
      </c>
      <c r="P62" s="231">
        <f>[9]Sheet1!$U$35</f>
        <v>320500000</v>
      </c>
      <c r="Q62" s="231">
        <f>SUM(Q63:Q65)</f>
        <v>380000000</v>
      </c>
      <c r="R62" s="233">
        <f>Q62/Q$59*100</f>
        <v>15.044060823638322</v>
      </c>
      <c r="S62" s="233">
        <v>100</v>
      </c>
      <c r="T62" s="231">
        <f t="shared" si="23"/>
        <v>53.311971052631577</v>
      </c>
      <c r="U62" s="231">
        <f t="shared" si="24"/>
        <v>8.0202853514383499</v>
      </c>
      <c r="V62" s="296">
        <f t="shared" si="25"/>
        <v>46.688028947368423</v>
      </c>
      <c r="W62" s="231"/>
      <c r="X62" s="231" t="e">
        <f>#REF!</f>
        <v>#REF!</v>
      </c>
      <c r="Y62" s="231" t="e">
        <f>#REF!</f>
        <v>#REF!</v>
      </c>
      <c r="Z62" s="231" t="e">
        <f>#REF!</f>
        <v>#REF!</v>
      </c>
      <c r="AA62" s="231" t="e">
        <f>#REF!</f>
        <v>#REF!</v>
      </c>
      <c r="AB62" s="231">
        <v>61516789</v>
      </c>
      <c r="AC62" s="231" t="e">
        <f>#REF!</f>
        <v>#REF!</v>
      </c>
      <c r="AD62" s="231" t="e">
        <f>#REF!</f>
        <v>#REF!</v>
      </c>
      <c r="AE62" s="231" t="e">
        <f>#REF!</f>
        <v>#REF!</v>
      </c>
      <c r="AF62" s="231" t="e">
        <f>[1]April!N22</f>
        <v>#REF!</v>
      </c>
      <c r="AG62" s="231" t="e">
        <f>[2]april!N22</f>
        <v>#REF!</v>
      </c>
      <c r="AH62" s="231">
        <f>'[3]DES SKPD'!$N22</f>
        <v>238296148</v>
      </c>
      <c r="AI62" s="231">
        <f>SUM(AI63:AI65)</f>
        <v>202585490</v>
      </c>
      <c r="AJ62" s="233">
        <f t="shared" si="27"/>
        <v>53.311971052631577</v>
      </c>
      <c r="AK62" s="231">
        <f t="shared" ref="AK62:AK123" si="30">Q62-AI62</f>
        <v>177414510</v>
      </c>
      <c r="AL62" s="233">
        <f t="shared" si="28"/>
        <v>46.688028947368423</v>
      </c>
      <c r="AM62" s="227"/>
    </row>
    <row r="63" spans="1:39" ht="23.25" customHeight="1" x14ac:dyDescent="0.25">
      <c r="A63" s="243"/>
      <c r="B63" s="457"/>
      <c r="C63" s="457"/>
      <c r="D63" s="457"/>
      <c r="E63" s="457"/>
      <c r="F63" s="457"/>
      <c r="G63" s="457"/>
      <c r="H63" s="457"/>
      <c r="I63" s="458"/>
      <c r="J63" s="457" t="s">
        <v>251</v>
      </c>
      <c r="K63" s="245"/>
      <c r="L63" s="257"/>
      <c r="M63" s="597" t="s">
        <v>252</v>
      </c>
      <c r="N63" s="598"/>
      <c r="O63" s="299"/>
      <c r="P63" s="180"/>
      <c r="Q63" s="180">
        <v>2808000</v>
      </c>
      <c r="R63" s="181">
        <f>Q63/Q$62*100</f>
        <v>0.73894736842105269</v>
      </c>
      <c r="S63" s="181">
        <v>101</v>
      </c>
      <c r="T63" s="180">
        <f t="shared" si="23"/>
        <v>13.910434472934474</v>
      </c>
      <c r="U63" s="180">
        <f t="shared" si="24"/>
        <v>0.10279078947368422</v>
      </c>
      <c r="V63" s="182">
        <f t="shared" si="25"/>
        <v>87.089565527065531</v>
      </c>
      <c r="W63" s="180"/>
      <c r="X63" s="180" t="e">
        <f>#REF!</f>
        <v>#REF!</v>
      </c>
      <c r="Y63" s="180" t="e">
        <f>#REF!</f>
        <v>#REF!</v>
      </c>
      <c r="Z63" s="180" t="e">
        <f>#REF!</f>
        <v>#REF!</v>
      </c>
      <c r="AA63" s="180" t="e">
        <f>#REF!</f>
        <v>#REF!</v>
      </c>
      <c r="AB63" s="180">
        <v>61516790</v>
      </c>
      <c r="AC63" s="180" t="e">
        <f>#REF!</f>
        <v>#REF!</v>
      </c>
      <c r="AD63" s="180" t="e">
        <f>#REF!</f>
        <v>#REF!</v>
      </c>
      <c r="AE63" s="180" t="e">
        <f>#REF!</f>
        <v>#REF!</v>
      </c>
      <c r="AF63" s="180" t="e">
        <f>[1]April!N23</f>
        <v>#REF!</v>
      </c>
      <c r="AG63" s="180" t="e">
        <f>[2]april!N23</f>
        <v>#REF!</v>
      </c>
      <c r="AH63" s="180">
        <f>'[3]DES SKPD'!$N23</f>
        <v>24482700</v>
      </c>
      <c r="AI63" s="180">
        <f>292951+97654</f>
        <v>390605</v>
      </c>
      <c r="AJ63" s="181">
        <f t="shared" si="27"/>
        <v>13.910434472934474</v>
      </c>
      <c r="AK63" s="180">
        <f t="shared" si="30"/>
        <v>2417395</v>
      </c>
      <c r="AL63" s="181">
        <f t="shared" si="28"/>
        <v>86.089565527065531</v>
      </c>
      <c r="AM63" s="243"/>
    </row>
    <row r="64" spans="1:39" ht="23.25" customHeight="1" x14ac:dyDescent="0.25">
      <c r="A64" s="243"/>
      <c r="B64" s="457"/>
      <c r="C64" s="457"/>
      <c r="D64" s="457"/>
      <c r="E64" s="457"/>
      <c r="F64" s="457"/>
      <c r="G64" s="457"/>
      <c r="H64" s="457"/>
      <c r="I64" s="458"/>
      <c r="J64" s="457" t="s">
        <v>409</v>
      </c>
      <c r="K64" s="245"/>
      <c r="L64" s="257"/>
      <c r="M64" s="597" t="s">
        <v>410</v>
      </c>
      <c r="N64" s="598"/>
      <c r="O64" s="299"/>
      <c r="P64" s="180"/>
      <c r="Q64" s="180">
        <v>24000000</v>
      </c>
      <c r="R64" s="181">
        <f>Q64/Q$62*100</f>
        <v>6.3157894736842106</v>
      </c>
      <c r="S64" s="181">
        <v>102</v>
      </c>
      <c r="T64" s="180">
        <f t="shared" si="23"/>
        <v>1.897</v>
      </c>
      <c r="U64" s="180">
        <f t="shared" si="24"/>
        <v>0.11981052631578948</v>
      </c>
      <c r="V64" s="182">
        <f t="shared" si="25"/>
        <v>100.10299999999999</v>
      </c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>
        <v>455280</v>
      </c>
      <c r="AJ64" s="181">
        <f>AI64/Q64*100</f>
        <v>1.897</v>
      </c>
      <c r="AK64" s="180">
        <f>Q64-AI64</f>
        <v>23544720</v>
      </c>
      <c r="AL64" s="181">
        <f>AK64/Q64*100</f>
        <v>98.102999999999994</v>
      </c>
      <c r="AM64" s="243"/>
    </row>
    <row r="65" spans="1:39" ht="48.75" customHeight="1" x14ac:dyDescent="0.25">
      <c r="A65" s="243"/>
      <c r="B65" s="457"/>
      <c r="C65" s="457"/>
      <c r="D65" s="457"/>
      <c r="E65" s="457"/>
      <c r="F65" s="457"/>
      <c r="G65" s="457"/>
      <c r="H65" s="457"/>
      <c r="I65" s="458"/>
      <c r="J65" s="457" t="s">
        <v>253</v>
      </c>
      <c r="K65" s="245"/>
      <c r="L65" s="257"/>
      <c r="M65" s="597" t="s">
        <v>254</v>
      </c>
      <c r="N65" s="598"/>
      <c r="O65" s="299"/>
      <c r="P65" s="180"/>
      <c r="Q65" s="180">
        <v>353192000</v>
      </c>
      <c r="R65" s="181">
        <f>Q65/Q$62*100</f>
        <v>92.945263157894743</v>
      </c>
      <c r="S65" s="181">
        <v>102</v>
      </c>
      <c r="T65" s="180">
        <f t="shared" si="23"/>
        <v>57.118962207524518</v>
      </c>
      <c r="U65" s="180">
        <f t="shared" si="24"/>
        <v>53.089369736842109</v>
      </c>
      <c r="V65" s="182">
        <f t="shared" si="25"/>
        <v>44.881037792475482</v>
      </c>
      <c r="W65" s="180"/>
      <c r="X65" s="180" t="e">
        <f>#REF!</f>
        <v>#REF!</v>
      </c>
      <c r="Y65" s="180" t="e">
        <f>#REF!</f>
        <v>#REF!</v>
      </c>
      <c r="Z65" s="180" t="e">
        <f>#REF!</f>
        <v>#REF!</v>
      </c>
      <c r="AA65" s="180" t="e">
        <f>#REF!</f>
        <v>#REF!</v>
      </c>
      <c r="AB65" s="180">
        <v>61516791</v>
      </c>
      <c r="AC65" s="180" t="e">
        <f>#REF!</f>
        <v>#REF!</v>
      </c>
      <c r="AD65" s="180" t="e">
        <f>#REF!</f>
        <v>#REF!</v>
      </c>
      <c r="AE65" s="180" t="e">
        <f>#REF!</f>
        <v>#REF!</v>
      </c>
      <c r="AF65" s="180" t="e">
        <f>[1]April!N24</f>
        <v>#REF!</v>
      </c>
      <c r="AG65" s="180" t="e">
        <f>[2]april!N24</f>
        <v>#REF!</v>
      </c>
      <c r="AH65" s="180">
        <f>'[3]DES SKPD'!$N24</f>
        <v>201339002</v>
      </c>
      <c r="AI65" s="429">
        <f>134368000+33599500+172605+33599500</f>
        <v>201739605</v>
      </c>
      <c r="AJ65" s="181">
        <f t="shared" si="27"/>
        <v>57.118962207524518</v>
      </c>
      <c r="AK65" s="180">
        <f t="shared" si="30"/>
        <v>151452395</v>
      </c>
      <c r="AL65" s="181">
        <f t="shared" si="28"/>
        <v>42.881037792475482</v>
      </c>
      <c r="AM65" s="243"/>
    </row>
    <row r="66" spans="1:39" s="297" customFormat="1" ht="45.75" customHeight="1" x14ac:dyDescent="0.25">
      <c r="A66" s="227">
        <f>A62+1</f>
        <v>3</v>
      </c>
      <c r="B66" s="615" t="s">
        <v>116</v>
      </c>
      <c r="C66" s="615"/>
      <c r="D66" s="615"/>
      <c r="E66" s="615"/>
      <c r="F66" s="615"/>
      <c r="G66" s="615"/>
      <c r="H66" s="615"/>
      <c r="I66" s="614"/>
      <c r="J66" s="462" t="s">
        <v>444</v>
      </c>
      <c r="K66" s="230"/>
      <c r="L66" s="294"/>
      <c r="M66" s="615" t="s">
        <v>117</v>
      </c>
      <c r="N66" s="614"/>
      <c r="O66" s="295">
        <v>32800000</v>
      </c>
      <c r="P66" s="231">
        <f>O66</f>
        <v>32800000</v>
      </c>
      <c r="Q66" s="231">
        <f>SUM(Q67)</f>
        <v>66540000</v>
      </c>
      <c r="R66" s="233">
        <f>Q66/Q$59*100</f>
        <v>2.6342942294865632</v>
      </c>
      <c r="S66" s="233">
        <v>100</v>
      </c>
      <c r="T66" s="231">
        <f t="shared" si="23"/>
        <v>43.05425308085362</v>
      </c>
      <c r="U66" s="231">
        <f t="shared" si="24"/>
        <v>1.1341757044574678</v>
      </c>
      <c r="V66" s="296">
        <f t="shared" si="25"/>
        <v>56.94574691914638</v>
      </c>
      <c r="W66" s="231"/>
      <c r="X66" s="231" t="e">
        <f>#REF!</f>
        <v>#REF!</v>
      </c>
      <c r="Y66" s="231" t="e">
        <f>#REF!</f>
        <v>#REF!</v>
      </c>
      <c r="Z66" s="231" t="e">
        <f>#REF!</f>
        <v>#REF!</v>
      </c>
      <c r="AA66" s="231" t="e">
        <f>#REF!</f>
        <v>#REF!</v>
      </c>
      <c r="AB66" s="231">
        <v>9127800</v>
      </c>
      <c r="AC66" s="231" t="e">
        <f>#REF!</f>
        <v>#REF!</v>
      </c>
      <c r="AD66" s="231" t="e">
        <f>#REF!</f>
        <v>#REF!</v>
      </c>
      <c r="AE66" s="231" t="e">
        <f>#REF!</f>
        <v>#REF!</v>
      </c>
      <c r="AF66" s="231" t="e">
        <f>[1]April!N23</f>
        <v>#REF!</v>
      </c>
      <c r="AG66" s="231" t="e">
        <f>[2]april!N23</f>
        <v>#REF!</v>
      </c>
      <c r="AH66" s="231">
        <f>'[3]DES SKPD'!$N23</f>
        <v>24482700</v>
      </c>
      <c r="AI66" s="231">
        <f>SUM(AI67)</f>
        <v>28648300</v>
      </c>
      <c r="AJ66" s="233">
        <f t="shared" si="27"/>
        <v>43.05425308085362</v>
      </c>
      <c r="AK66" s="231">
        <f t="shared" si="30"/>
        <v>37891700</v>
      </c>
      <c r="AL66" s="233">
        <f t="shared" si="28"/>
        <v>56.94574691914638</v>
      </c>
      <c r="AM66" s="227"/>
    </row>
    <row r="67" spans="1:39" s="297" customFormat="1" ht="28.5" customHeight="1" x14ac:dyDescent="0.25">
      <c r="A67" s="227"/>
      <c r="B67" s="462"/>
      <c r="C67" s="462"/>
      <c r="D67" s="462"/>
      <c r="E67" s="462"/>
      <c r="F67" s="462"/>
      <c r="G67" s="462"/>
      <c r="H67" s="462"/>
      <c r="I67" s="461"/>
      <c r="J67" s="457" t="s">
        <v>255</v>
      </c>
      <c r="K67" s="245"/>
      <c r="L67" s="257"/>
      <c r="M67" s="597" t="s">
        <v>256</v>
      </c>
      <c r="N67" s="598"/>
      <c r="O67" s="299"/>
      <c r="P67" s="180"/>
      <c r="Q67" s="180">
        <v>66540000</v>
      </c>
      <c r="R67" s="181">
        <f>Q67/Q$66*100</f>
        <v>100</v>
      </c>
      <c r="S67" s="181">
        <v>100</v>
      </c>
      <c r="T67" s="180">
        <f t="shared" si="23"/>
        <v>43.05425308085362</v>
      </c>
      <c r="U67" s="180">
        <f t="shared" si="24"/>
        <v>43.05425308085362</v>
      </c>
      <c r="V67" s="182">
        <f t="shared" si="25"/>
        <v>56.94574691914638</v>
      </c>
      <c r="W67" s="180"/>
      <c r="X67" s="180" t="e">
        <f>#REF!</f>
        <v>#REF!</v>
      </c>
      <c r="Y67" s="180" t="e">
        <f>#REF!</f>
        <v>#REF!</v>
      </c>
      <c r="Z67" s="180" t="e">
        <f>#REF!</f>
        <v>#REF!</v>
      </c>
      <c r="AA67" s="180" t="e">
        <f>#REF!</f>
        <v>#REF!</v>
      </c>
      <c r="AB67" s="180">
        <v>9127801</v>
      </c>
      <c r="AC67" s="180" t="e">
        <f>#REF!</f>
        <v>#REF!</v>
      </c>
      <c r="AD67" s="180" t="e">
        <f>#REF!</f>
        <v>#REF!</v>
      </c>
      <c r="AE67" s="180" t="e">
        <f>#REF!</f>
        <v>#REF!</v>
      </c>
      <c r="AF67" s="180" t="e">
        <f>[1]April!N24</f>
        <v>#REF!</v>
      </c>
      <c r="AG67" s="180" t="e">
        <f>[2]april!N24</f>
        <v>#REF!</v>
      </c>
      <c r="AH67" s="180">
        <f>'[3]DES SKPD'!$N24</f>
        <v>201339002</v>
      </c>
      <c r="AI67" s="180">
        <f>19325100+9323200</f>
        <v>28648300</v>
      </c>
      <c r="AJ67" s="181">
        <f t="shared" si="27"/>
        <v>43.05425308085362</v>
      </c>
      <c r="AK67" s="180">
        <f t="shared" si="30"/>
        <v>37891700</v>
      </c>
      <c r="AL67" s="181">
        <f t="shared" si="28"/>
        <v>56.94574691914638</v>
      </c>
      <c r="AM67" s="227"/>
    </row>
    <row r="68" spans="1:39" s="297" customFormat="1" ht="24.75" customHeight="1" x14ac:dyDescent="0.25">
      <c r="A68" s="227">
        <f>A66+1</f>
        <v>4</v>
      </c>
      <c r="B68" s="615" t="s">
        <v>118</v>
      </c>
      <c r="C68" s="615"/>
      <c r="D68" s="615"/>
      <c r="E68" s="615"/>
      <c r="F68" s="615"/>
      <c r="G68" s="615"/>
      <c r="H68" s="615"/>
      <c r="I68" s="614"/>
      <c r="J68" s="462" t="s">
        <v>445</v>
      </c>
      <c r="K68" s="230"/>
      <c r="L68" s="294"/>
      <c r="M68" s="615" t="s">
        <v>15</v>
      </c>
      <c r="N68" s="614"/>
      <c r="O68" s="295">
        <v>218550000</v>
      </c>
      <c r="P68" s="231">
        <f>O68</f>
        <v>218550000</v>
      </c>
      <c r="Q68" s="231">
        <f>SUM(Q69:Q71)</f>
        <v>336900000</v>
      </c>
      <c r="R68" s="233">
        <f>Q68/Q$59*100</f>
        <v>13.337747609167765</v>
      </c>
      <c r="S68" s="233">
        <v>100</v>
      </c>
      <c r="T68" s="231">
        <f t="shared" si="23"/>
        <v>35.246957554170379</v>
      </c>
      <c r="U68" s="231">
        <f t="shared" si="24"/>
        <v>4.7011502384857371</v>
      </c>
      <c r="V68" s="296">
        <f t="shared" si="25"/>
        <v>64.753042445829621</v>
      </c>
      <c r="W68" s="231"/>
      <c r="X68" s="231" t="e">
        <f>#REF!</f>
        <v>#REF!</v>
      </c>
      <c r="Y68" s="231" t="e">
        <f>#REF!</f>
        <v>#REF!</v>
      </c>
      <c r="Z68" s="231" t="e">
        <f>#REF!</f>
        <v>#REF!</v>
      </c>
      <c r="AA68" s="231" t="e">
        <f>#REF!</f>
        <v>#REF!</v>
      </c>
      <c r="AB68" s="231">
        <v>103406334</v>
      </c>
      <c r="AC68" s="231" t="e">
        <f>#REF!</f>
        <v>#REF!</v>
      </c>
      <c r="AD68" s="231" t="e">
        <f>#REF!</f>
        <v>#REF!</v>
      </c>
      <c r="AE68" s="231" t="e">
        <f>#REF!</f>
        <v>#REF!</v>
      </c>
      <c r="AF68" s="231" t="e">
        <f>[1]April!N24</f>
        <v>#REF!</v>
      </c>
      <c r="AG68" s="231" t="e">
        <f>[2]april!N24</f>
        <v>#REF!</v>
      </c>
      <c r="AH68" s="231">
        <f>'[3]DES SKPD'!$N24</f>
        <v>201339002</v>
      </c>
      <c r="AI68" s="231">
        <f>SUM(AI69:AI71)</f>
        <v>118747000</v>
      </c>
      <c r="AJ68" s="233">
        <f t="shared" si="27"/>
        <v>35.246957554170379</v>
      </c>
      <c r="AK68" s="231">
        <f t="shared" si="30"/>
        <v>218153000</v>
      </c>
      <c r="AL68" s="233">
        <f t="shared" si="28"/>
        <v>64.753042445829621</v>
      </c>
      <c r="AM68" s="227"/>
    </row>
    <row r="69" spans="1:39" ht="24.75" customHeight="1" x14ac:dyDescent="0.25">
      <c r="A69" s="243"/>
      <c r="B69" s="457"/>
      <c r="C69" s="457"/>
      <c r="D69" s="457"/>
      <c r="E69" s="457"/>
      <c r="F69" s="457"/>
      <c r="G69" s="457"/>
      <c r="H69" s="457"/>
      <c r="I69" s="458"/>
      <c r="J69" s="457" t="s">
        <v>259</v>
      </c>
      <c r="K69" s="245"/>
      <c r="L69" s="257"/>
      <c r="M69" s="597" t="s">
        <v>260</v>
      </c>
      <c r="N69" s="598"/>
      <c r="O69" s="299"/>
      <c r="P69" s="180"/>
      <c r="Q69" s="180">
        <v>1500000</v>
      </c>
      <c r="R69" s="181">
        <f>Q69/Q$68*100</f>
        <v>0.44523597506678536</v>
      </c>
      <c r="S69" s="181">
        <v>100</v>
      </c>
      <c r="T69" s="180">
        <f t="shared" si="23"/>
        <v>0</v>
      </c>
      <c r="U69" s="180">
        <f t="shared" si="24"/>
        <v>0</v>
      </c>
      <c r="V69" s="182">
        <f t="shared" si="25"/>
        <v>100</v>
      </c>
      <c r="W69" s="180"/>
      <c r="X69" s="180" t="e">
        <f>#REF!</f>
        <v>#REF!</v>
      </c>
      <c r="Y69" s="180" t="e">
        <f>#REF!</f>
        <v>#REF!</v>
      </c>
      <c r="Z69" s="180" t="e">
        <f>#REF!</f>
        <v>#REF!</v>
      </c>
      <c r="AA69" s="180" t="e">
        <f>#REF!</f>
        <v>#REF!</v>
      </c>
      <c r="AB69" s="180">
        <v>103406335</v>
      </c>
      <c r="AC69" s="180" t="e">
        <f>#REF!</f>
        <v>#REF!</v>
      </c>
      <c r="AD69" s="180" t="e">
        <f>#REF!</f>
        <v>#REF!</v>
      </c>
      <c r="AE69" s="180" t="e">
        <f>#REF!</f>
        <v>#REF!</v>
      </c>
      <c r="AF69" s="180" t="e">
        <f>[1]April!N26</f>
        <v>#REF!</v>
      </c>
      <c r="AG69" s="180" t="e">
        <f>[2]april!N26</f>
        <v>#REF!</v>
      </c>
      <c r="AH69" s="180">
        <f>'[3]DES SKPD'!$N26</f>
        <v>449102800</v>
      </c>
      <c r="AI69" s="180">
        <v>0</v>
      </c>
      <c r="AJ69" s="181">
        <f t="shared" si="27"/>
        <v>0</v>
      </c>
      <c r="AK69" s="180">
        <f t="shared" si="30"/>
        <v>1500000</v>
      </c>
      <c r="AL69" s="181">
        <f t="shared" si="28"/>
        <v>100</v>
      </c>
      <c r="AM69" s="243"/>
    </row>
    <row r="70" spans="1:39" ht="26.25" customHeight="1" x14ac:dyDescent="0.25">
      <c r="A70" s="243"/>
      <c r="B70" s="457"/>
      <c r="C70" s="457"/>
      <c r="D70" s="457"/>
      <c r="E70" s="457"/>
      <c r="F70" s="457"/>
      <c r="G70" s="457"/>
      <c r="H70" s="457"/>
      <c r="I70" s="458"/>
      <c r="J70" s="457" t="s">
        <v>261</v>
      </c>
      <c r="K70" s="245"/>
      <c r="L70" s="257"/>
      <c r="M70" s="597" t="s">
        <v>262</v>
      </c>
      <c r="N70" s="598"/>
      <c r="O70" s="299"/>
      <c r="P70" s="180"/>
      <c r="Q70" s="180">
        <v>120000000</v>
      </c>
      <c r="R70" s="181">
        <f>Q70/Q$68*100</f>
        <v>35.618878005342829</v>
      </c>
      <c r="S70" s="181">
        <v>100</v>
      </c>
      <c r="T70" s="180">
        <f t="shared" si="23"/>
        <v>45.622500000000002</v>
      </c>
      <c r="U70" s="180">
        <f t="shared" si="24"/>
        <v>16.250222617987532</v>
      </c>
      <c r="V70" s="182">
        <f t="shared" si="25"/>
        <v>54.377499999999998</v>
      </c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G70" s="180"/>
      <c r="AH70" s="180"/>
      <c r="AI70" s="180">
        <f>27423000+27324000</f>
        <v>54747000</v>
      </c>
      <c r="AJ70" s="181">
        <f t="shared" si="27"/>
        <v>45.622500000000002</v>
      </c>
      <c r="AK70" s="180">
        <f t="shared" si="30"/>
        <v>65253000</v>
      </c>
      <c r="AL70" s="181">
        <f t="shared" si="28"/>
        <v>54.377499999999998</v>
      </c>
      <c r="AM70" s="243"/>
    </row>
    <row r="71" spans="1:39" ht="24.75" customHeight="1" x14ac:dyDescent="0.25">
      <c r="A71" s="243"/>
      <c r="B71" s="457"/>
      <c r="C71" s="457"/>
      <c r="D71" s="457"/>
      <c r="E71" s="457"/>
      <c r="F71" s="457"/>
      <c r="G71" s="457"/>
      <c r="H71" s="457"/>
      <c r="I71" s="458"/>
      <c r="J71" s="457" t="s">
        <v>263</v>
      </c>
      <c r="K71" s="245"/>
      <c r="L71" s="257"/>
      <c r="M71" s="597" t="s">
        <v>264</v>
      </c>
      <c r="N71" s="598"/>
      <c r="O71" s="299"/>
      <c r="P71" s="180"/>
      <c r="Q71" s="180">
        <v>215400000</v>
      </c>
      <c r="R71" s="181">
        <f>Q71/Q$68*100</f>
        <v>63.935886019590384</v>
      </c>
      <c r="S71" s="181">
        <v>100</v>
      </c>
      <c r="T71" s="180">
        <f t="shared" si="23"/>
        <v>29.71216341689879</v>
      </c>
      <c r="U71" s="180">
        <f t="shared" si="24"/>
        <v>18.996734936182843</v>
      </c>
      <c r="V71" s="182">
        <f t="shared" si="25"/>
        <v>70.28783658310121</v>
      </c>
      <c r="W71" s="180"/>
      <c r="X71" s="180" t="e">
        <f>#REF!</f>
        <v>#REF!</v>
      </c>
      <c r="Y71" s="180" t="e">
        <f>#REF!</f>
        <v>#REF!</v>
      </c>
      <c r="Z71" s="180" t="e">
        <f>#REF!</f>
        <v>#REF!</v>
      </c>
      <c r="AA71" s="180" t="e">
        <f>#REF!</f>
        <v>#REF!</v>
      </c>
      <c r="AB71" s="180">
        <v>103406335</v>
      </c>
      <c r="AC71" s="180" t="e">
        <f>#REF!</f>
        <v>#REF!</v>
      </c>
      <c r="AD71" s="180" t="e">
        <f>#REF!</f>
        <v>#REF!</v>
      </c>
      <c r="AE71" s="180" t="e">
        <f>#REF!</f>
        <v>#REF!</v>
      </c>
      <c r="AF71" s="180" t="e">
        <f>[1]April!N26</f>
        <v>#REF!</v>
      </c>
      <c r="AG71" s="180" t="e">
        <f>[2]april!N26</f>
        <v>#REF!</v>
      </c>
      <c r="AH71" s="180">
        <f>'[3]DES SKPD'!$N26</f>
        <v>449102800</v>
      </c>
      <c r="AI71" s="180">
        <f>38400000+25600000</f>
        <v>64000000</v>
      </c>
      <c r="AJ71" s="181">
        <f t="shared" si="27"/>
        <v>29.71216341689879</v>
      </c>
      <c r="AK71" s="180">
        <f t="shared" si="30"/>
        <v>151400000</v>
      </c>
      <c r="AL71" s="181">
        <f t="shared" si="28"/>
        <v>70.28783658310121</v>
      </c>
      <c r="AM71" s="243"/>
    </row>
    <row r="72" spans="1:39" s="297" customFormat="1" ht="24.75" customHeight="1" x14ac:dyDescent="0.25">
      <c r="A72" s="227">
        <f>A68+1</f>
        <v>5</v>
      </c>
      <c r="B72" s="615" t="s">
        <v>119</v>
      </c>
      <c r="C72" s="615"/>
      <c r="D72" s="615"/>
      <c r="E72" s="615"/>
      <c r="F72" s="615"/>
      <c r="G72" s="615"/>
      <c r="H72" s="615"/>
      <c r="I72" s="614"/>
      <c r="J72" s="462" t="s">
        <v>446</v>
      </c>
      <c r="K72" s="230"/>
      <c r="L72" s="294"/>
      <c r="M72" s="615" t="s">
        <v>16</v>
      </c>
      <c r="N72" s="614"/>
      <c r="O72" s="295">
        <v>201527500</v>
      </c>
      <c r="P72" s="231">
        <f>O72</f>
        <v>201527500</v>
      </c>
      <c r="Q72" s="231">
        <f>SUM(Q73:Q74)</f>
        <v>411693900</v>
      </c>
      <c r="R72" s="233">
        <f>Q72/Q$59*100</f>
        <v>16.298810716633877</v>
      </c>
      <c r="S72" s="233">
        <v>100</v>
      </c>
      <c r="T72" s="231">
        <f t="shared" si="23"/>
        <v>49.611786815398531</v>
      </c>
      <c r="U72" s="231">
        <f t="shared" si="24"/>
        <v>8.0861312261817275</v>
      </c>
      <c r="V72" s="296">
        <f t="shared" si="25"/>
        <v>50.388213184601469</v>
      </c>
      <c r="W72" s="231"/>
      <c r="X72" s="231" t="e">
        <f>#REF!</f>
        <v>#REF!</v>
      </c>
      <c r="Y72" s="231" t="e">
        <f>#REF!</f>
        <v>#REF!</v>
      </c>
      <c r="Z72" s="231" t="e">
        <f>#REF!</f>
        <v>#REF!</v>
      </c>
      <c r="AA72" s="231" t="e">
        <f>#REF!</f>
        <v>#REF!</v>
      </c>
      <c r="AB72" s="231">
        <v>99905000</v>
      </c>
      <c r="AC72" s="231" t="e">
        <f>#REF!</f>
        <v>#REF!</v>
      </c>
      <c r="AD72" s="231" t="e">
        <f>#REF!</f>
        <v>#REF!</v>
      </c>
      <c r="AE72" s="231" t="e">
        <f>#REF!</f>
        <v>#REF!</v>
      </c>
      <c r="AF72" s="231" t="e">
        <f>[1]April!N25</f>
        <v>#REF!</v>
      </c>
      <c r="AG72" s="231" t="e">
        <f>[2]april!N25</f>
        <v>#REF!</v>
      </c>
      <c r="AH72" s="231">
        <f>'[3]DES SKPD'!$N25</f>
        <v>229473500</v>
      </c>
      <c r="AI72" s="231">
        <f>SUM(AI73:AI74)</f>
        <v>204248700</v>
      </c>
      <c r="AJ72" s="233">
        <f>AI72/Q72*100</f>
        <v>49.611786815398531</v>
      </c>
      <c r="AK72" s="231">
        <f>Q72-AI72</f>
        <v>207445200</v>
      </c>
      <c r="AL72" s="233">
        <f>AK72/Q72*100</f>
        <v>50.388213184601469</v>
      </c>
      <c r="AM72" s="227"/>
    </row>
    <row r="73" spans="1:39" ht="29.25" customHeight="1" x14ac:dyDescent="0.25">
      <c r="A73" s="243"/>
      <c r="B73" s="457"/>
      <c r="C73" s="457"/>
      <c r="D73" s="457"/>
      <c r="E73" s="457"/>
      <c r="F73" s="457"/>
      <c r="G73" s="457"/>
      <c r="H73" s="457"/>
      <c r="I73" s="458"/>
      <c r="J73" s="457" t="s">
        <v>259</v>
      </c>
      <c r="K73" s="245"/>
      <c r="L73" s="257"/>
      <c r="M73" s="597" t="s">
        <v>260</v>
      </c>
      <c r="N73" s="598"/>
      <c r="O73" s="299"/>
      <c r="P73" s="180"/>
      <c r="Q73" s="180">
        <v>2400000</v>
      </c>
      <c r="R73" s="181">
        <f>Q73/Q$72*100</f>
        <v>0.58295738654374041</v>
      </c>
      <c r="S73" s="181">
        <v>100</v>
      </c>
      <c r="T73" s="180">
        <f t="shared" si="23"/>
        <v>0</v>
      </c>
      <c r="U73" s="180">
        <f t="shared" si="24"/>
        <v>0</v>
      </c>
      <c r="V73" s="182">
        <f t="shared" si="25"/>
        <v>100</v>
      </c>
      <c r="W73" s="180"/>
      <c r="X73" s="180"/>
      <c r="Y73" s="180"/>
      <c r="Z73" s="180"/>
      <c r="AA73" s="180"/>
      <c r="AB73" s="180"/>
      <c r="AC73" s="180"/>
      <c r="AD73" s="180"/>
      <c r="AE73" s="180"/>
      <c r="AF73" s="180"/>
      <c r="AG73" s="180"/>
      <c r="AH73" s="180"/>
      <c r="AI73" s="180">
        <v>0</v>
      </c>
      <c r="AJ73" s="181">
        <f t="shared" si="27"/>
        <v>0</v>
      </c>
      <c r="AK73" s="180">
        <f t="shared" si="30"/>
        <v>2400000</v>
      </c>
      <c r="AL73" s="181">
        <f t="shared" si="28"/>
        <v>100</v>
      </c>
      <c r="AM73" s="243"/>
    </row>
    <row r="74" spans="1:39" ht="24.75" customHeight="1" x14ac:dyDescent="0.25">
      <c r="A74" s="243"/>
      <c r="B74" s="457"/>
      <c r="C74" s="457"/>
      <c r="D74" s="457"/>
      <c r="E74" s="457"/>
      <c r="F74" s="457"/>
      <c r="G74" s="457"/>
      <c r="H74" s="457"/>
      <c r="I74" s="458"/>
      <c r="J74" s="457" t="s">
        <v>265</v>
      </c>
      <c r="K74" s="245"/>
      <c r="L74" s="257"/>
      <c r="M74" s="597" t="s">
        <v>266</v>
      </c>
      <c r="N74" s="598"/>
      <c r="O74" s="299"/>
      <c r="P74" s="180"/>
      <c r="Q74" s="180">
        <v>409293900</v>
      </c>
      <c r="R74" s="181">
        <f>Q74/Q$72*100</f>
        <v>99.41704261345626</v>
      </c>
      <c r="S74" s="181">
        <v>100</v>
      </c>
      <c r="T74" s="180">
        <f t="shared" si="23"/>
        <v>49.902698281112912</v>
      </c>
      <c r="U74" s="180">
        <f t="shared" si="24"/>
        <v>49.611786815398524</v>
      </c>
      <c r="V74" s="182">
        <f t="shared" si="25"/>
        <v>50.097301718887088</v>
      </c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>
        <f>101874100+102374600</f>
        <v>204248700</v>
      </c>
      <c r="AJ74" s="181">
        <f t="shared" si="27"/>
        <v>49.902698281112912</v>
      </c>
      <c r="AK74" s="180">
        <f t="shared" si="30"/>
        <v>205045200</v>
      </c>
      <c r="AL74" s="181">
        <f t="shared" si="28"/>
        <v>50.097301718887088</v>
      </c>
      <c r="AM74" s="243"/>
    </row>
    <row r="75" spans="1:39" s="297" customFormat="1" ht="27.75" customHeight="1" x14ac:dyDescent="0.25">
      <c r="A75" s="227">
        <f>A72+1</f>
        <v>6</v>
      </c>
      <c r="B75" s="615" t="s">
        <v>120</v>
      </c>
      <c r="C75" s="615"/>
      <c r="D75" s="615"/>
      <c r="E75" s="615"/>
      <c r="F75" s="615"/>
      <c r="G75" s="615"/>
      <c r="H75" s="615"/>
      <c r="I75" s="614"/>
      <c r="J75" s="462" t="s">
        <v>447</v>
      </c>
      <c r="K75" s="230"/>
      <c r="L75" s="294"/>
      <c r="M75" s="615" t="s">
        <v>17</v>
      </c>
      <c r="N75" s="614"/>
      <c r="O75" s="295">
        <v>261210000</v>
      </c>
      <c r="P75" s="231">
        <f>O75</f>
        <v>261210000</v>
      </c>
      <c r="Q75" s="231">
        <f>SUM(Q76:Q80)</f>
        <v>422840000</v>
      </c>
      <c r="R75" s="233">
        <f>Q75/Q$59*100</f>
        <v>16.740080733334811</v>
      </c>
      <c r="S75" s="233">
        <v>100</v>
      </c>
      <c r="T75" s="231">
        <f t="shared" si="23"/>
        <v>61.377353135937938</v>
      </c>
      <c r="U75" s="231">
        <f t="shared" si="24"/>
        <v>10.274618466940018</v>
      </c>
      <c r="V75" s="296">
        <f t="shared" si="25"/>
        <v>38.622646864062062</v>
      </c>
      <c r="W75" s="231"/>
      <c r="X75" s="231" t="e">
        <f>#REF!</f>
        <v>#REF!</v>
      </c>
      <c r="Y75" s="231" t="e">
        <f>#REF!</f>
        <v>#REF!</v>
      </c>
      <c r="Z75" s="231" t="e">
        <f>#REF!</f>
        <v>#REF!</v>
      </c>
      <c r="AA75" s="231" t="e">
        <f>#REF!</f>
        <v>#REF!</v>
      </c>
      <c r="AB75" s="231">
        <v>171140000</v>
      </c>
      <c r="AC75" s="231" t="e">
        <f>#REF!</f>
        <v>#REF!</v>
      </c>
      <c r="AD75" s="231" t="e">
        <f>#REF!</f>
        <v>#REF!</v>
      </c>
      <c r="AE75" s="231" t="e">
        <f>#REF!</f>
        <v>#REF!</v>
      </c>
      <c r="AF75" s="231" t="e">
        <f>[1]April!N26</f>
        <v>#REF!</v>
      </c>
      <c r="AG75" s="231" t="e">
        <f>[2]april!N26</f>
        <v>#REF!</v>
      </c>
      <c r="AH75" s="231">
        <f>'[3]DES SKPD'!$N26</f>
        <v>449102800</v>
      </c>
      <c r="AI75" s="231">
        <f>SUM(AI76:AI80)</f>
        <v>259528000</v>
      </c>
      <c r="AJ75" s="233">
        <f t="shared" si="27"/>
        <v>61.377353135937938</v>
      </c>
      <c r="AK75" s="231">
        <f t="shared" si="30"/>
        <v>163312000</v>
      </c>
      <c r="AL75" s="233">
        <f t="shared" si="28"/>
        <v>38.622646864062055</v>
      </c>
      <c r="AM75" s="227"/>
    </row>
    <row r="76" spans="1:39" s="297" customFormat="1" ht="27.75" customHeight="1" x14ac:dyDescent="0.25">
      <c r="A76" s="227"/>
      <c r="B76" s="462"/>
      <c r="C76" s="462"/>
      <c r="D76" s="462"/>
      <c r="E76" s="462"/>
      <c r="F76" s="462"/>
      <c r="G76" s="462"/>
      <c r="H76" s="462"/>
      <c r="I76" s="461"/>
      <c r="J76" s="457" t="s">
        <v>259</v>
      </c>
      <c r="K76" s="245"/>
      <c r="L76" s="257"/>
      <c r="M76" s="597" t="s">
        <v>260</v>
      </c>
      <c r="N76" s="598"/>
      <c r="O76" s="299"/>
      <c r="P76" s="180"/>
      <c r="Q76" s="180">
        <v>2400000</v>
      </c>
      <c r="R76" s="181">
        <f>Q76/Q$75*100</f>
        <v>0.56759057799640522</v>
      </c>
      <c r="S76" s="181">
        <v>100</v>
      </c>
      <c r="T76" s="180">
        <f t="shared" si="23"/>
        <v>0</v>
      </c>
      <c r="U76" s="180">
        <f t="shared" si="24"/>
        <v>0</v>
      </c>
      <c r="V76" s="182">
        <f t="shared" si="25"/>
        <v>100</v>
      </c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>
        <v>0</v>
      </c>
      <c r="AJ76" s="181">
        <f t="shared" si="27"/>
        <v>0</v>
      </c>
      <c r="AK76" s="180">
        <f t="shared" si="30"/>
        <v>2400000</v>
      </c>
      <c r="AL76" s="181">
        <f t="shared" si="28"/>
        <v>100</v>
      </c>
      <c r="AM76" s="227"/>
    </row>
    <row r="77" spans="1:39" s="297" customFormat="1" ht="27.75" customHeight="1" x14ac:dyDescent="0.25">
      <c r="A77" s="227"/>
      <c r="B77" s="462"/>
      <c r="C77" s="462"/>
      <c r="D77" s="462"/>
      <c r="E77" s="462"/>
      <c r="F77" s="462"/>
      <c r="G77" s="462"/>
      <c r="H77" s="462"/>
      <c r="I77" s="461"/>
      <c r="J77" s="457" t="s">
        <v>267</v>
      </c>
      <c r="K77" s="245"/>
      <c r="L77" s="257"/>
      <c r="M77" s="597" t="s">
        <v>268</v>
      </c>
      <c r="N77" s="598"/>
      <c r="O77" s="299"/>
      <c r="P77" s="180"/>
      <c r="Q77" s="180">
        <v>8000000</v>
      </c>
      <c r="R77" s="181">
        <f>Q77/Q$75*100</f>
        <v>1.8919685933213508</v>
      </c>
      <c r="S77" s="181">
        <v>100</v>
      </c>
      <c r="T77" s="180">
        <f t="shared" si="23"/>
        <v>0</v>
      </c>
      <c r="U77" s="180">
        <f t="shared" si="24"/>
        <v>0</v>
      </c>
      <c r="V77" s="182">
        <f t="shared" si="25"/>
        <v>100</v>
      </c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>
        <v>0</v>
      </c>
      <c r="AJ77" s="181">
        <f t="shared" si="27"/>
        <v>0</v>
      </c>
      <c r="AK77" s="180">
        <f t="shared" si="30"/>
        <v>8000000</v>
      </c>
      <c r="AL77" s="181">
        <f t="shared" si="28"/>
        <v>100</v>
      </c>
      <c r="AM77" s="227"/>
    </row>
    <row r="78" spans="1:39" s="297" customFormat="1" ht="27.75" customHeight="1" x14ac:dyDescent="0.25">
      <c r="A78" s="227"/>
      <c r="B78" s="462"/>
      <c r="C78" s="462"/>
      <c r="D78" s="462"/>
      <c r="E78" s="462"/>
      <c r="F78" s="462"/>
      <c r="G78" s="462"/>
      <c r="H78" s="462"/>
      <c r="I78" s="461"/>
      <c r="J78" s="457" t="s">
        <v>269</v>
      </c>
      <c r="K78" s="245"/>
      <c r="L78" s="257"/>
      <c r="M78" s="597" t="s">
        <v>270</v>
      </c>
      <c r="N78" s="598"/>
      <c r="O78" s="299"/>
      <c r="P78" s="180"/>
      <c r="Q78" s="180">
        <v>383113000</v>
      </c>
      <c r="R78" s="181">
        <f>Q78/Q$75*100</f>
        <v>90.604720461640326</v>
      </c>
      <c r="S78" s="181">
        <v>100</v>
      </c>
      <c r="T78" s="180">
        <f t="shared" si="23"/>
        <v>65.653736626008524</v>
      </c>
      <c r="U78" s="180">
        <f t="shared" si="24"/>
        <v>59.485384542616593</v>
      </c>
      <c r="V78" s="182">
        <f t="shared" si="25"/>
        <v>34.346263373991476</v>
      </c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>
        <f>125938000+117590000+8000000</f>
        <v>251528000</v>
      </c>
      <c r="AJ78" s="181">
        <f t="shared" si="27"/>
        <v>65.653736626008524</v>
      </c>
      <c r="AK78" s="180">
        <f t="shared" si="30"/>
        <v>131585000</v>
      </c>
      <c r="AL78" s="181">
        <f t="shared" si="28"/>
        <v>34.346263373991484</v>
      </c>
      <c r="AM78" s="227"/>
    </row>
    <row r="79" spans="1:39" s="297" customFormat="1" ht="27.75" customHeight="1" x14ac:dyDescent="0.25">
      <c r="A79" s="227"/>
      <c r="B79" s="462"/>
      <c r="C79" s="462"/>
      <c r="D79" s="462"/>
      <c r="E79" s="462"/>
      <c r="F79" s="462"/>
      <c r="G79" s="462"/>
      <c r="H79" s="462"/>
      <c r="I79" s="461"/>
      <c r="J79" s="457" t="s">
        <v>315</v>
      </c>
      <c r="K79" s="245"/>
      <c r="L79" s="257"/>
      <c r="M79" s="597" t="s">
        <v>271</v>
      </c>
      <c r="N79" s="598"/>
      <c r="O79" s="299"/>
      <c r="P79" s="180"/>
      <c r="Q79" s="180">
        <v>19327000</v>
      </c>
      <c r="R79" s="181">
        <f>Q79/Q$75*100</f>
        <v>4.5707596253902185</v>
      </c>
      <c r="S79" s="181">
        <v>100</v>
      </c>
      <c r="T79" s="180">
        <f t="shared" si="23"/>
        <v>41.392870078129043</v>
      </c>
      <c r="U79" s="180">
        <f t="shared" si="24"/>
        <v>1.8919685933213508</v>
      </c>
      <c r="V79" s="182">
        <f t="shared" si="25"/>
        <v>58.607129921870957</v>
      </c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>
        <v>8000000</v>
      </c>
      <c r="AJ79" s="181">
        <f t="shared" si="27"/>
        <v>41.392870078129043</v>
      </c>
      <c r="AK79" s="180">
        <f t="shared" si="30"/>
        <v>11327000</v>
      </c>
      <c r="AL79" s="181">
        <f t="shared" si="28"/>
        <v>58.607129921870957</v>
      </c>
      <c r="AM79" s="227"/>
    </row>
    <row r="80" spans="1:39" s="297" customFormat="1" ht="27.75" customHeight="1" x14ac:dyDescent="0.25">
      <c r="A80" s="227"/>
      <c r="B80" s="462"/>
      <c r="C80" s="462"/>
      <c r="D80" s="462"/>
      <c r="E80" s="462"/>
      <c r="F80" s="462"/>
      <c r="G80" s="462"/>
      <c r="H80" s="462"/>
      <c r="I80" s="461"/>
      <c r="J80" s="457" t="s">
        <v>316</v>
      </c>
      <c r="K80" s="245"/>
      <c r="L80" s="257"/>
      <c r="M80" s="597" t="s">
        <v>317</v>
      </c>
      <c r="N80" s="598"/>
      <c r="O80" s="299"/>
      <c r="P80" s="180"/>
      <c r="Q80" s="180">
        <v>10000000</v>
      </c>
      <c r="R80" s="181">
        <f>Q80/Q$75*100</f>
        <v>2.3649607416516885</v>
      </c>
      <c r="S80" s="181">
        <v>100</v>
      </c>
      <c r="T80" s="180">
        <f t="shared" si="23"/>
        <v>0</v>
      </c>
      <c r="U80" s="180">
        <f t="shared" si="24"/>
        <v>0</v>
      </c>
      <c r="V80" s="182">
        <f t="shared" si="25"/>
        <v>100</v>
      </c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>
        <v>0</v>
      </c>
      <c r="AJ80" s="181">
        <f t="shared" si="27"/>
        <v>0</v>
      </c>
      <c r="AK80" s="180">
        <f t="shared" si="30"/>
        <v>10000000</v>
      </c>
      <c r="AL80" s="181">
        <f t="shared" si="28"/>
        <v>100</v>
      </c>
      <c r="AM80" s="227"/>
    </row>
    <row r="81" spans="1:39" s="297" customFormat="1" ht="28.5" customHeight="1" x14ac:dyDescent="0.25">
      <c r="A81" s="227">
        <f>A75+1</f>
        <v>7</v>
      </c>
      <c r="B81" s="615" t="s">
        <v>121</v>
      </c>
      <c r="C81" s="615"/>
      <c r="D81" s="615"/>
      <c r="E81" s="615"/>
      <c r="F81" s="615"/>
      <c r="G81" s="615"/>
      <c r="H81" s="615"/>
      <c r="I81" s="614"/>
      <c r="J81" s="462" t="s">
        <v>448</v>
      </c>
      <c r="K81" s="230"/>
      <c r="L81" s="294"/>
      <c r="M81" s="615" t="s">
        <v>18</v>
      </c>
      <c r="N81" s="614"/>
      <c r="O81" s="295">
        <v>20900000</v>
      </c>
      <c r="P81" s="231">
        <f>O81</f>
        <v>20900000</v>
      </c>
      <c r="Q81" s="231">
        <f>SUM(Q82:Q82)</f>
        <v>21100000</v>
      </c>
      <c r="R81" s="233">
        <f>Q81/Q$59*100</f>
        <v>0.83534127204939101</v>
      </c>
      <c r="S81" s="233">
        <v>100</v>
      </c>
      <c r="T81" s="231">
        <f t="shared" si="23"/>
        <v>47.324644549763036</v>
      </c>
      <c r="U81" s="231">
        <f t="shared" si="24"/>
        <v>0.39532228777484335</v>
      </c>
      <c r="V81" s="296">
        <f t="shared" si="25"/>
        <v>52.675355450236964</v>
      </c>
      <c r="W81" s="231"/>
      <c r="X81" s="231" t="e">
        <f>#REF!</f>
        <v>#REF!</v>
      </c>
      <c r="Y81" s="231" t="e">
        <f>#REF!</f>
        <v>#REF!</v>
      </c>
      <c r="Z81" s="231" t="e">
        <f>#REF!</f>
        <v>#REF!</v>
      </c>
      <c r="AA81" s="231" t="e">
        <f>#REF!</f>
        <v>#REF!</v>
      </c>
      <c r="AB81" s="231">
        <v>12597300</v>
      </c>
      <c r="AC81" s="231" t="e">
        <f>#REF!</f>
        <v>#REF!</v>
      </c>
      <c r="AD81" s="231" t="e">
        <f>#REF!</f>
        <v>#REF!</v>
      </c>
      <c r="AE81" s="231" t="e">
        <f>#REF!</f>
        <v>#REF!</v>
      </c>
      <c r="AF81" s="231" t="e">
        <f>[1]April!N27</f>
        <v>#REF!</v>
      </c>
      <c r="AG81" s="231">
        <v>27808300</v>
      </c>
      <c r="AH81" s="231">
        <f>'[3]DES SKPD'!$N27</f>
        <v>35785800</v>
      </c>
      <c r="AI81" s="231">
        <f>SUM(AI82:AI82)</f>
        <v>9985500</v>
      </c>
      <c r="AJ81" s="233">
        <f t="shared" si="27"/>
        <v>47.324644549763036</v>
      </c>
      <c r="AK81" s="231">
        <f t="shared" si="30"/>
        <v>11114500</v>
      </c>
      <c r="AL81" s="233">
        <f t="shared" si="28"/>
        <v>52.675355450236971</v>
      </c>
      <c r="AM81" s="227"/>
    </row>
    <row r="82" spans="1:39" ht="36" customHeight="1" x14ac:dyDescent="0.25">
      <c r="A82" s="243"/>
      <c r="B82" s="457"/>
      <c r="C82" s="457"/>
      <c r="D82" s="457"/>
      <c r="E82" s="457"/>
      <c r="F82" s="457"/>
      <c r="G82" s="457"/>
      <c r="H82" s="457"/>
      <c r="I82" s="458"/>
      <c r="J82" s="457" t="s">
        <v>272</v>
      </c>
      <c r="K82" s="245"/>
      <c r="L82" s="257"/>
      <c r="M82" s="597" t="s">
        <v>429</v>
      </c>
      <c r="N82" s="598"/>
      <c r="O82" s="299"/>
      <c r="P82" s="180"/>
      <c r="Q82" s="180">
        <v>21100000</v>
      </c>
      <c r="R82" s="181">
        <f>Q82/Q$81*100</f>
        <v>100</v>
      </c>
      <c r="S82" s="181">
        <v>100</v>
      </c>
      <c r="T82" s="180">
        <f t="shared" si="23"/>
        <v>47.324644549763036</v>
      </c>
      <c r="U82" s="180">
        <f t="shared" si="24"/>
        <v>47.324644549763036</v>
      </c>
      <c r="V82" s="182">
        <f t="shared" si="25"/>
        <v>52.675355450236964</v>
      </c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231"/>
      <c r="AH82" s="180"/>
      <c r="AI82" s="180">
        <v>9985500</v>
      </c>
      <c r="AJ82" s="181">
        <f t="shared" si="27"/>
        <v>47.324644549763036</v>
      </c>
      <c r="AK82" s="180">
        <f t="shared" si="30"/>
        <v>11114500</v>
      </c>
      <c r="AL82" s="181">
        <f t="shared" si="28"/>
        <v>52.675355450236971</v>
      </c>
      <c r="AM82" s="243"/>
    </row>
    <row r="83" spans="1:39" s="297" customFormat="1" ht="29.25" customHeight="1" x14ac:dyDescent="0.25">
      <c r="A83" s="227">
        <f>A81+1</f>
        <v>8</v>
      </c>
      <c r="B83" s="462"/>
      <c r="C83" s="462"/>
      <c r="D83" s="462"/>
      <c r="E83" s="462"/>
      <c r="F83" s="462"/>
      <c r="G83" s="462"/>
      <c r="H83" s="462"/>
      <c r="I83" s="461"/>
      <c r="J83" s="462" t="s">
        <v>449</v>
      </c>
      <c r="K83" s="230"/>
      <c r="L83" s="294"/>
      <c r="M83" s="615" t="s">
        <v>196</v>
      </c>
      <c r="N83" s="614"/>
      <c r="O83" s="300"/>
      <c r="P83" s="231"/>
      <c r="Q83" s="231">
        <f>SUM(Q84:Q85)</f>
        <v>36200000</v>
      </c>
      <c r="R83" s="233">
        <f>Q83/Q$59*100</f>
        <v>1.4331447416202823</v>
      </c>
      <c r="S83" s="233">
        <v>100</v>
      </c>
      <c r="T83" s="231">
        <f t="shared" si="23"/>
        <v>52.872928176795575</v>
      </c>
      <c r="U83" s="231">
        <f t="shared" si="24"/>
        <v>0.75774558990641439</v>
      </c>
      <c r="V83" s="296">
        <f t="shared" si="25"/>
        <v>47.127071823204425</v>
      </c>
      <c r="W83" s="231"/>
      <c r="X83" s="231" t="e">
        <f>#REF!</f>
        <v>#REF!</v>
      </c>
      <c r="Y83" s="231" t="e">
        <f>#REF!</f>
        <v>#REF!</v>
      </c>
      <c r="Z83" s="231" t="e">
        <f>#REF!</f>
        <v>#REF!</v>
      </c>
      <c r="AA83" s="231" t="e">
        <f>#REF!</f>
        <v>#REF!</v>
      </c>
      <c r="AB83" s="231">
        <v>12597300</v>
      </c>
      <c r="AC83" s="231" t="e">
        <f>#REF!</f>
        <v>#REF!</v>
      </c>
      <c r="AD83" s="231" t="e">
        <f>#REF!</f>
        <v>#REF!</v>
      </c>
      <c r="AE83" s="231" t="e">
        <f>#REF!</f>
        <v>#REF!</v>
      </c>
      <c r="AF83" s="231" t="e">
        <f>[1]April!N28</f>
        <v>#REF!</v>
      </c>
      <c r="AG83" s="231">
        <v>27808300</v>
      </c>
      <c r="AH83" s="231">
        <f>'[3]DES SKPD'!$N28</f>
        <v>46904000</v>
      </c>
      <c r="AI83" s="231">
        <f>SUM(AI84:AI85)</f>
        <v>19140000</v>
      </c>
      <c r="AJ83" s="233">
        <f t="shared" si="27"/>
        <v>52.872928176795575</v>
      </c>
      <c r="AK83" s="231">
        <f t="shared" si="30"/>
        <v>17060000</v>
      </c>
      <c r="AL83" s="233">
        <f t="shared" si="28"/>
        <v>47.127071823204417</v>
      </c>
      <c r="AM83" s="227"/>
    </row>
    <row r="84" spans="1:39" s="297" customFormat="1" ht="24.75" customHeight="1" x14ac:dyDescent="0.25">
      <c r="A84" s="227"/>
      <c r="B84" s="462"/>
      <c r="C84" s="462"/>
      <c r="D84" s="462"/>
      <c r="E84" s="462"/>
      <c r="F84" s="462"/>
      <c r="G84" s="462"/>
      <c r="H84" s="462"/>
      <c r="I84" s="461"/>
      <c r="J84" s="457" t="s">
        <v>411</v>
      </c>
      <c r="K84" s="230"/>
      <c r="L84" s="294"/>
      <c r="M84" s="597" t="s">
        <v>412</v>
      </c>
      <c r="N84" s="598"/>
      <c r="O84" s="300"/>
      <c r="P84" s="231"/>
      <c r="Q84" s="180">
        <v>17000000</v>
      </c>
      <c r="R84" s="181">
        <f>Q84/Q$83*100</f>
        <v>46.961325966850829</v>
      </c>
      <c r="S84" s="181">
        <v>100</v>
      </c>
      <c r="T84" s="180">
        <f t="shared" si="23"/>
        <v>0</v>
      </c>
      <c r="U84" s="180">
        <f t="shared" si="24"/>
        <v>0</v>
      </c>
      <c r="V84" s="182">
        <f t="shared" si="25"/>
        <v>100</v>
      </c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231"/>
      <c r="AH84" s="180"/>
      <c r="AI84" s="180">
        <v>0</v>
      </c>
      <c r="AJ84" s="181">
        <f t="shared" si="27"/>
        <v>0</v>
      </c>
      <c r="AK84" s="180">
        <f t="shared" si="30"/>
        <v>17000000</v>
      </c>
      <c r="AL84" s="181">
        <f t="shared" si="28"/>
        <v>100</v>
      </c>
      <c r="AM84" s="227"/>
    </row>
    <row r="85" spans="1:39" ht="24.75" customHeight="1" x14ac:dyDescent="0.25">
      <c r="A85" s="243"/>
      <c r="B85" s="457"/>
      <c r="C85" s="457"/>
      <c r="D85" s="457"/>
      <c r="E85" s="457"/>
      <c r="F85" s="457"/>
      <c r="G85" s="457"/>
      <c r="H85" s="457"/>
      <c r="I85" s="458"/>
      <c r="J85" s="457" t="s">
        <v>546</v>
      </c>
      <c r="K85" s="245"/>
      <c r="L85" s="257"/>
      <c r="M85" s="597" t="s">
        <v>431</v>
      </c>
      <c r="N85" s="598"/>
      <c r="O85" s="301"/>
      <c r="P85" s="180"/>
      <c r="Q85" s="180">
        <v>19200000</v>
      </c>
      <c r="R85" s="181">
        <f>Q85/Q$83*100</f>
        <v>53.038674033149171</v>
      </c>
      <c r="S85" s="181">
        <v>100</v>
      </c>
      <c r="T85" s="180">
        <f t="shared" si="23"/>
        <v>99.6875</v>
      </c>
      <c r="U85" s="180">
        <f t="shared" si="24"/>
        <v>52.872928176795575</v>
      </c>
      <c r="V85" s="182">
        <f t="shared" si="25"/>
        <v>0.3125</v>
      </c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231"/>
      <c r="AH85" s="180"/>
      <c r="AI85" s="180">
        <v>19140000</v>
      </c>
      <c r="AJ85" s="181">
        <f t="shared" si="27"/>
        <v>99.6875</v>
      </c>
      <c r="AK85" s="180">
        <f t="shared" si="30"/>
        <v>60000</v>
      </c>
      <c r="AL85" s="181">
        <f t="shared" si="28"/>
        <v>0.3125</v>
      </c>
      <c r="AM85" s="243"/>
    </row>
    <row r="86" spans="1:39" s="297" customFormat="1" ht="31.5" customHeight="1" x14ac:dyDescent="0.25">
      <c r="A86" s="227">
        <f>A83+1</f>
        <v>9</v>
      </c>
      <c r="B86" s="615" t="s">
        <v>121</v>
      </c>
      <c r="C86" s="615"/>
      <c r="D86" s="615"/>
      <c r="E86" s="615"/>
      <c r="F86" s="615"/>
      <c r="G86" s="615"/>
      <c r="H86" s="615"/>
      <c r="I86" s="614"/>
      <c r="J86" s="462" t="s">
        <v>450</v>
      </c>
      <c r="K86" s="230"/>
      <c r="L86" s="294"/>
      <c r="M86" s="615" t="s">
        <v>19</v>
      </c>
      <c r="N86" s="614"/>
      <c r="O86" s="295">
        <v>50800000</v>
      </c>
      <c r="P86" s="231">
        <f>O86</f>
        <v>50800000</v>
      </c>
      <c r="Q86" s="302">
        <f>SUM(Q87:Q88)</f>
        <v>42270000</v>
      </c>
      <c r="R86" s="233">
        <f>Q86/Q$59*100</f>
        <v>1.6734538184610313</v>
      </c>
      <c r="S86" s="233">
        <v>100</v>
      </c>
      <c r="T86" s="231">
        <f t="shared" si="23"/>
        <v>22.214336408800566</v>
      </c>
      <c r="U86" s="231">
        <f t="shared" si="24"/>
        <v>0.37174666087885222</v>
      </c>
      <c r="V86" s="296">
        <f t="shared" si="25"/>
        <v>77.785663591199437</v>
      </c>
      <c r="W86" s="231"/>
      <c r="X86" s="231" t="e">
        <f>#REF!</f>
        <v>#REF!</v>
      </c>
      <c r="Y86" s="231" t="e">
        <f>#REF!</f>
        <v>#REF!</v>
      </c>
      <c r="Z86" s="231" t="e">
        <f>#REF!</f>
        <v>#REF!</v>
      </c>
      <c r="AA86" s="231" t="e">
        <f>#REF!</f>
        <v>#REF!</v>
      </c>
      <c r="AB86" s="231">
        <v>23113500</v>
      </c>
      <c r="AC86" s="231" t="e">
        <f>#REF!</f>
        <v>#REF!</v>
      </c>
      <c r="AD86" s="231" t="e">
        <f>#REF!</f>
        <v>#REF!</v>
      </c>
      <c r="AE86" s="231" t="e">
        <f>#REF!</f>
        <v>#REF!</v>
      </c>
      <c r="AF86" s="231" t="e">
        <f>[1]April!N28</f>
        <v>#REF!</v>
      </c>
      <c r="AG86" s="231" t="e">
        <f>[2]april!N28</f>
        <v>#REF!</v>
      </c>
      <c r="AH86" s="231">
        <f>'[3]DES SKPD'!$N28</f>
        <v>46904000</v>
      </c>
      <c r="AI86" s="231">
        <f>SUM(AI87:AI88)</f>
        <v>9390000</v>
      </c>
      <c r="AJ86" s="233">
        <f t="shared" si="27"/>
        <v>22.214336408800566</v>
      </c>
      <c r="AK86" s="231">
        <f t="shared" si="30"/>
        <v>32880000</v>
      </c>
      <c r="AL86" s="233">
        <f t="shared" si="28"/>
        <v>77.785663591199423</v>
      </c>
      <c r="AM86" s="227"/>
    </row>
    <row r="87" spans="1:39" ht="24.75" customHeight="1" x14ac:dyDescent="0.25">
      <c r="A87" s="243"/>
      <c r="B87" s="457"/>
      <c r="C87" s="457"/>
      <c r="D87" s="457"/>
      <c r="E87" s="457"/>
      <c r="F87" s="457"/>
      <c r="G87" s="457"/>
      <c r="H87" s="457"/>
      <c r="I87" s="458"/>
      <c r="J87" s="457" t="s">
        <v>276</v>
      </c>
      <c r="K87" s="245"/>
      <c r="L87" s="257"/>
      <c r="M87" s="597" t="s">
        <v>277</v>
      </c>
      <c r="N87" s="598"/>
      <c r="O87" s="299"/>
      <c r="P87" s="180"/>
      <c r="Q87" s="180">
        <v>37600000</v>
      </c>
      <c r="R87" s="181">
        <f>Q87/Q$86*100</f>
        <v>88.951975396262128</v>
      </c>
      <c r="S87" s="181">
        <v>100</v>
      </c>
      <c r="T87" s="180">
        <f t="shared" si="23"/>
        <v>24.973404255319149</v>
      </c>
      <c r="U87" s="180">
        <f t="shared" si="24"/>
        <v>22.21433640880057</v>
      </c>
      <c r="V87" s="182">
        <f t="shared" si="25"/>
        <v>75.026595744680847</v>
      </c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>
        <f>3130000+6260000</f>
        <v>9390000</v>
      </c>
      <c r="AJ87" s="181">
        <f t="shared" si="27"/>
        <v>24.973404255319149</v>
      </c>
      <c r="AK87" s="180">
        <f t="shared" si="30"/>
        <v>28210000</v>
      </c>
      <c r="AL87" s="181">
        <f t="shared" si="28"/>
        <v>75.026595744680847</v>
      </c>
      <c r="AM87" s="243"/>
    </row>
    <row r="88" spans="1:39" ht="39.75" customHeight="1" x14ac:dyDescent="0.25">
      <c r="A88" s="243"/>
      <c r="B88" s="457"/>
      <c r="C88" s="457"/>
      <c r="D88" s="457"/>
      <c r="E88" s="457"/>
      <c r="F88" s="457"/>
      <c r="G88" s="457"/>
      <c r="H88" s="457"/>
      <c r="I88" s="458"/>
      <c r="J88" s="457" t="s">
        <v>432</v>
      </c>
      <c r="K88" s="245"/>
      <c r="L88" s="257"/>
      <c r="M88" s="597" t="s">
        <v>433</v>
      </c>
      <c r="N88" s="598"/>
      <c r="O88" s="299"/>
      <c r="P88" s="180"/>
      <c r="Q88" s="180">
        <v>4670000</v>
      </c>
      <c r="R88" s="181">
        <f>Q88/Q$86*100</f>
        <v>11.048024603737876</v>
      </c>
      <c r="S88" s="181">
        <v>100</v>
      </c>
      <c r="T88" s="180">
        <f t="shared" si="23"/>
        <v>0</v>
      </c>
      <c r="U88" s="180">
        <f t="shared" si="24"/>
        <v>0</v>
      </c>
      <c r="V88" s="182">
        <f t="shared" si="25"/>
        <v>100</v>
      </c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>
        <v>0</v>
      </c>
      <c r="AJ88" s="181">
        <f t="shared" si="27"/>
        <v>0</v>
      </c>
      <c r="AK88" s="180">
        <f t="shared" si="30"/>
        <v>4670000</v>
      </c>
      <c r="AL88" s="181">
        <f t="shared" si="28"/>
        <v>100</v>
      </c>
      <c r="AM88" s="243"/>
    </row>
    <row r="89" spans="1:39" s="297" customFormat="1" ht="30.75" customHeight="1" x14ac:dyDescent="0.25">
      <c r="A89" s="227">
        <f>A86+1</f>
        <v>10</v>
      </c>
      <c r="B89" s="615" t="s">
        <v>122</v>
      </c>
      <c r="C89" s="615"/>
      <c r="D89" s="615"/>
      <c r="E89" s="615"/>
      <c r="F89" s="615"/>
      <c r="G89" s="615"/>
      <c r="H89" s="615"/>
      <c r="I89" s="614"/>
      <c r="J89" s="462" t="s">
        <v>451</v>
      </c>
      <c r="K89" s="230"/>
      <c r="L89" s="294"/>
      <c r="M89" s="615" t="s">
        <v>20</v>
      </c>
      <c r="N89" s="614"/>
      <c r="O89" s="295">
        <v>124190000</v>
      </c>
      <c r="P89" s="231">
        <f>O89</f>
        <v>124190000</v>
      </c>
      <c r="Q89" s="231">
        <f>SUM(Q90:Q91)</f>
        <v>118340000</v>
      </c>
      <c r="R89" s="233">
        <f>Q89/Q$59*100</f>
        <v>4.6850372575509454</v>
      </c>
      <c r="S89" s="233">
        <v>100</v>
      </c>
      <c r="T89" s="231">
        <f>AJ89</f>
        <v>32.533378401216837</v>
      </c>
      <c r="U89" s="231">
        <f t="shared" si="24"/>
        <v>1.5242008992370411</v>
      </c>
      <c r="V89" s="296">
        <f t="shared" si="25"/>
        <v>67.466621598783163</v>
      </c>
      <c r="W89" s="231"/>
      <c r="X89" s="231" t="e">
        <f>#REF!</f>
        <v>#REF!</v>
      </c>
      <c r="Y89" s="231" t="e">
        <f>#REF!</f>
        <v>#REF!</v>
      </c>
      <c r="Z89" s="231" t="e">
        <f>#REF!</f>
        <v>#REF!</v>
      </c>
      <c r="AA89" s="231" t="e">
        <f>#REF!</f>
        <v>#REF!</v>
      </c>
      <c r="AB89" s="231">
        <v>53635000</v>
      </c>
      <c r="AC89" s="231" t="e">
        <f>#REF!</f>
        <v>#REF!</v>
      </c>
      <c r="AD89" s="231" t="e">
        <f>#REF!</f>
        <v>#REF!</v>
      </c>
      <c r="AE89" s="231" t="e">
        <f>#REF!</f>
        <v>#REF!</v>
      </c>
      <c r="AF89" s="231" t="e">
        <f>[1]April!N29</f>
        <v>#REF!</v>
      </c>
      <c r="AG89" s="231" t="e">
        <f>[2]april!N29</f>
        <v>#REF!</v>
      </c>
      <c r="AH89" s="231">
        <f>'[3]DES SKPD'!$N29</f>
        <v>138020848</v>
      </c>
      <c r="AI89" s="231">
        <f>SUM(AI90:AI91)</f>
        <v>38500000</v>
      </c>
      <c r="AJ89" s="233">
        <f t="shared" si="27"/>
        <v>32.533378401216837</v>
      </c>
      <c r="AK89" s="231">
        <f t="shared" si="30"/>
        <v>79840000</v>
      </c>
      <c r="AL89" s="233">
        <f t="shared" si="28"/>
        <v>67.466621598783178</v>
      </c>
      <c r="AM89" s="227"/>
    </row>
    <row r="90" spans="1:39" ht="32.25" customHeight="1" x14ac:dyDescent="0.25">
      <c r="A90" s="243"/>
      <c r="B90" s="457"/>
      <c r="C90" s="457"/>
      <c r="D90" s="457"/>
      <c r="E90" s="457"/>
      <c r="F90" s="457"/>
      <c r="G90" s="457"/>
      <c r="H90" s="457"/>
      <c r="I90" s="458"/>
      <c r="J90" s="457" t="s">
        <v>278</v>
      </c>
      <c r="K90" s="245"/>
      <c r="L90" s="257"/>
      <c r="M90" s="597" t="s">
        <v>279</v>
      </c>
      <c r="N90" s="598"/>
      <c r="O90" s="299"/>
      <c r="P90" s="180"/>
      <c r="Q90" s="180">
        <v>54000000</v>
      </c>
      <c r="R90" s="181">
        <f>Q90/Q$89*100</f>
        <v>45.631232043265172</v>
      </c>
      <c r="S90" s="181">
        <v>100</v>
      </c>
      <c r="T90" s="180">
        <f>AJ90</f>
        <v>35.185185185185183</v>
      </c>
      <c r="U90" s="180">
        <f t="shared" si="24"/>
        <v>16.05543349670441</v>
      </c>
      <c r="V90" s="182">
        <f t="shared" si="25"/>
        <v>64.81481481481481</v>
      </c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>
        <f>9500000+9500000</f>
        <v>19000000</v>
      </c>
      <c r="AJ90" s="181">
        <f t="shared" si="27"/>
        <v>35.185185185185183</v>
      </c>
      <c r="AK90" s="180">
        <f t="shared" si="30"/>
        <v>35000000</v>
      </c>
      <c r="AL90" s="181">
        <f t="shared" si="28"/>
        <v>64.81481481481481</v>
      </c>
      <c r="AM90" s="243"/>
    </row>
    <row r="91" spans="1:39" ht="24.75" customHeight="1" x14ac:dyDescent="0.25">
      <c r="A91" s="243"/>
      <c r="B91" s="457"/>
      <c r="C91" s="457"/>
      <c r="D91" s="457"/>
      <c r="E91" s="457"/>
      <c r="F91" s="457"/>
      <c r="G91" s="457"/>
      <c r="H91" s="457"/>
      <c r="I91" s="458"/>
      <c r="J91" s="457" t="s">
        <v>280</v>
      </c>
      <c r="K91" s="245"/>
      <c r="L91" s="257"/>
      <c r="M91" s="597" t="s">
        <v>281</v>
      </c>
      <c r="N91" s="598"/>
      <c r="O91" s="299"/>
      <c r="P91" s="180"/>
      <c r="Q91" s="180">
        <v>64340000</v>
      </c>
      <c r="R91" s="181">
        <f>Q91/Q$89*100</f>
        <v>54.368767956734828</v>
      </c>
      <c r="S91" s="181">
        <v>100</v>
      </c>
      <c r="T91" s="180">
        <f>AJ91</f>
        <v>30.307740130556422</v>
      </c>
      <c r="U91" s="180">
        <f t="shared" si="24"/>
        <v>16.477944904512423</v>
      </c>
      <c r="V91" s="182">
        <f t="shared" si="25"/>
        <v>69.692259869443575</v>
      </c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>
        <f>14000000+5500000</f>
        <v>19500000</v>
      </c>
      <c r="AJ91" s="181">
        <f t="shared" si="27"/>
        <v>30.307740130556422</v>
      </c>
      <c r="AK91" s="180">
        <f t="shared" si="30"/>
        <v>44840000</v>
      </c>
      <c r="AL91" s="181">
        <f t="shared" si="28"/>
        <v>69.692259869443589</v>
      </c>
      <c r="AM91" s="243"/>
    </row>
    <row r="92" spans="1:39" s="297" customFormat="1" ht="31.5" customHeight="1" x14ac:dyDescent="0.25">
      <c r="A92" s="227">
        <f>A89+1</f>
        <v>11</v>
      </c>
      <c r="B92" s="615" t="s">
        <v>123</v>
      </c>
      <c r="C92" s="615"/>
      <c r="D92" s="615"/>
      <c r="E92" s="615"/>
      <c r="F92" s="615"/>
      <c r="G92" s="615"/>
      <c r="H92" s="615"/>
      <c r="I92" s="614"/>
      <c r="J92" s="462" t="s">
        <v>452</v>
      </c>
      <c r="K92" s="230"/>
      <c r="L92" s="294"/>
      <c r="M92" s="615" t="s">
        <v>21</v>
      </c>
      <c r="N92" s="614"/>
      <c r="O92" s="295">
        <v>517929000</v>
      </c>
      <c r="P92" s="231">
        <f>O92</f>
        <v>517929000</v>
      </c>
      <c r="Q92" s="231">
        <f>SUM(Q93:Q93)</f>
        <v>483349844</v>
      </c>
      <c r="R92" s="233">
        <f>Q92/Q$59*100</f>
        <v>19.135643295347617</v>
      </c>
      <c r="S92" s="233">
        <v>100</v>
      </c>
      <c r="T92" s="231">
        <f t="shared" si="23"/>
        <v>59.330425686451647</v>
      </c>
      <c r="U92" s="231">
        <f>R92*T92/100</f>
        <v>11.353258624970685</v>
      </c>
      <c r="V92" s="296">
        <f t="shared" si="25"/>
        <v>40.669574313548353</v>
      </c>
      <c r="W92" s="231"/>
      <c r="X92" s="231" t="e">
        <f>#REF!</f>
        <v>#REF!</v>
      </c>
      <c r="Y92" s="231" t="e">
        <f>#REF!</f>
        <v>#REF!</v>
      </c>
      <c r="Z92" s="231" t="e">
        <f>#REF!</f>
        <v>#REF!</v>
      </c>
      <c r="AA92" s="231" t="e">
        <f>#REF!</f>
        <v>#REF!</v>
      </c>
      <c r="AB92" s="231">
        <v>317394150</v>
      </c>
      <c r="AC92" s="231" t="e">
        <f>#REF!</f>
        <v>#REF!</v>
      </c>
      <c r="AD92" s="231" t="e">
        <f>#REF!</f>
        <v>#REF!</v>
      </c>
      <c r="AE92" s="231" t="e">
        <f>#REF!</f>
        <v>#REF!</v>
      </c>
      <c r="AF92" s="231" t="e">
        <f>[1]April!N30</f>
        <v>#REF!</v>
      </c>
      <c r="AG92" s="231" t="e">
        <f>[2]april!N30</f>
        <v>#REF!</v>
      </c>
      <c r="AH92" s="231">
        <f>'[3]DES SKPD'!$N30</f>
        <v>660543350</v>
      </c>
      <c r="AI92" s="231">
        <f>SUM(AI93:AI93)</f>
        <v>286773520</v>
      </c>
      <c r="AJ92" s="233">
        <f t="shared" si="27"/>
        <v>59.330425686451647</v>
      </c>
      <c r="AK92" s="231">
        <f t="shared" si="30"/>
        <v>196576324</v>
      </c>
      <c r="AL92" s="233">
        <f t="shared" si="28"/>
        <v>40.669574313548345</v>
      </c>
      <c r="AM92" s="227"/>
    </row>
    <row r="93" spans="1:39" ht="26.25" customHeight="1" x14ac:dyDescent="0.25">
      <c r="A93" s="243"/>
      <c r="B93" s="457"/>
      <c r="C93" s="457"/>
      <c r="D93" s="457"/>
      <c r="E93" s="457"/>
      <c r="F93" s="457"/>
      <c r="G93" s="457"/>
      <c r="H93" s="457"/>
      <c r="I93" s="458"/>
      <c r="J93" s="457" t="s">
        <v>282</v>
      </c>
      <c r="K93" s="245"/>
      <c r="L93" s="257"/>
      <c r="M93" s="597" t="s">
        <v>283</v>
      </c>
      <c r="N93" s="598"/>
      <c r="O93" s="299"/>
      <c r="P93" s="180"/>
      <c r="Q93" s="180">
        <v>483349844</v>
      </c>
      <c r="R93" s="181">
        <f>Q93/Q$92*100</f>
        <v>100</v>
      </c>
      <c r="S93" s="181">
        <v>100</v>
      </c>
      <c r="T93" s="180">
        <f t="shared" si="23"/>
        <v>59.330425686451647</v>
      </c>
      <c r="U93" s="180">
        <f>R93*T93/100</f>
        <v>59.330425686451647</v>
      </c>
      <c r="V93" s="182">
        <f t="shared" si="25"/>
        <v>40.669574313548353</v>
      </c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>
        <f>50584820+136332200+99856500</f>
        <v>286773520</v>
      </c>
      <c r="AJ93" s="181">
        <f t="shared" si="27"/>
        <v>59.330425686451647</v>
      </c>
      <c r="AK93" s="180">
        <f t="shared" si="30"/>
        <v>196576324</v>
      </c>
      <c r="AL93" s="181">
        <f t="shared" si="28"/>
        <v>40.669574313548345</v>
      </c>
      <c r="AM93" s="243"/>
    </row>
    <row r="94" spans="1:39" s="297" customFormat="1" ht="30.75" customHeight="1" x14ac:dyDescent="0.25">
      <c r="A94" s="227">
        <f>A92+1</f>
        <v>12</v>
      </c>
      <c r="B94" s="615" t="s">
        <v>124</v>
      </c>
      <c r="C94" s="615"/>
      <c r="D94" s="615"/>
      <c r="E94" s="615"/>
      <c r="F94" s="615"/>
      <c r="G94" s="615"/>
      <c r="H94" s="615"/>
      <c r="I94" s="614"/>
      <c r="J94" s="462" t="s">
        <v>453</v>
      </c>
      <c r="K94" s="230"/>
      <c r="L94" s="294"/>
      <c r="M94" s="615" t="s">
        <v>22</v>
      </c>
      <c r="N94" s="614"/>
      <c r="O94" s="295">
        <v>17600000</v>
      </c>
      <c r="P94" s="231">
        <f>O94</f>
        <v>17600000</v>
      </c>
      <c r="Q94" s="231">
        <f>SUM(Q95:Q95)</f>
        <v>31400000</v>
      </c>
      <c r="R94" s="233">
        <f>Q94/Q$59*100</f>
        <v>1.2431144996374826</v>
      </c>
      <c r="S94" s="233">
        <v>100</v>
      </c>
      <c r="T94" s="231">
        <f t="shared" si="23"/>
        <v>0</v>
      </c>
      <c r="U94" s="231">
        <f t="shared" si="24"/>
        <v>0</v>
      </c>
      <c r="V94" s="296">
        <f t="shared" si="25"/>
        <v>100</v>
      </c>
      <c r="W94" s="231"/>
      <c r="X94" s="231" t="e">
        <f>#REF!</f>
        <v>#REF!</v>
      </c>
      <c r="Y94" s="231" t="e">
        <f>#REF!</f>
        <v>#REF!</v>
      </c>
      <c r="Z94" s="231" t="e">
        <f>#REF!</f>
        <v>#REF!</v>
      </c>
      <c r="AA94" s="231" t="e">
        <f>#REF!</f>
        <v>#REF!</v>
      </c>
      <c r="AB94" s="231">
        <v>13150000</v>
      </c>
      <c r="AC94" s="231" t="e">
        <f>#REF!</f>
        <v>#REF!</v>
      </c>
      <c r="AD94" s="231" t="e">
        <f>#REF!</f>
        <v>#REF!</v>
      </c>
      <c r="AE94" s="231" t="e">
        <f>#REF!</f>
        <v>#REF!</v>
      </c>
      <c r="AF94" s="231" t="e">
        <f>[1]April!N31</f>
        <v>#REF!</v>
      </c>
      <c r="AG94" s="231" t="e">
        <f>[2]april!N31</f>
        <v>#REF!</v>
      </c>
      <c r="AH94" s="231">
        <f>'[3]DES SKPD'!$N31</f>
        <v>27445000</v>
      </c>
      <c r="AI94" s="231">
        <f>SUM(AI95:AI95)</f>
        <v>0</v>
      </c>
      <c r="AJ94" s="233">
        <f t="shared" si="27"/>
        <v>0</v>
      </c>
      <c r="AK94" s="231">
        <f t="shared" si="30"/>
        <v>31400000</v>
      </c>
      <c r="AL94" s="233">
        <f t="shared" si="28"/>
        <v>100</v>
      </c>
      <c r="AM94" s="227"/>
    </row>
    <row r="95" spans="1:39" ht="26.25" customHeight="1" x14ac:dyDescent="0.25">
      <c r="A95" s="243"/>
      <c r="B95" s="457"/>
      <c r="C95" s="457"/>
      <c r="D95" s="457"/>
      <c r="E95" s="457"/>
      <c r="F95" s="457"/>
      <c r="G95" s="457"/>
      <c r="H95" s="457"/>
      <c r="I95" s="458"/>
      <c r="J95" s="457" t="s">
        <v>284</v>
      </c>
      <c r="K95" s="245"/>
      <c r="L95" s="257"/>
      <c r="M95" s="597" t="s">
        <v>285</v>
      </c>
      <c r="N95" s="598"/>
      <c r="O95" s="299"/>
      <c r="P95" s="180"/>
      <c r="Q95" s="180">
        <v>31400000</v>
      </c>
      <c r="R95" s="181">
        <f>Q95/Q$94*100</f>
        <v>100</v>
      </c>
      <c r="S95" s="181">
        <v>100</v>
      </c>
      <c r="T95" s="180">
        <f t="shared" si="23"/>
        <v>0</v>
      </c>
      <c r="U95" s="180">
        <f>R95*T95/100</f>
        <v>0</v>
      </c>
      <c r="V95" s="182">
        <f t="shared" si="25"/>
        <v>100</v>
      </c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>
        <v>0</v>
      </c>
      <c r="AJ95" s="181">
        <f t="shared" si="27"/>
        <v>0</v>
      </c>
      <c r="AK95" s="180">
        <f t="shared" si="30"/>
        <v>31400000</v>
      </c>
      <c r="AL95" s="181">
        <f t="shared" si="28"/>
        <v>100</v>
      </c>
      <c r="AM95" s="243"/>
    </row>
    <row r="96" spans="1:39" ht="26.25" customHeight="1" x14ac:dyDescent="0.25">
      <c r="A96" s="227">
        <f>A94+1</f>
        <v>13</v>
      </c>
      <c r="B96" s="615" t="s">
        <v>124</v>
      </c>
      <c r="C96" s="615"/>
      <c r="D96" s="615"/>
      <c r="E96" s="615"/>
      <c r="F96" s="615"/>
      <c r="G96" s="615"/>
      <c r="H96" s="615"/>
      <c r="I96" s="614"/>
      <c r="J96" s="462" t="s">
        <v>547</v>
      </c>
      <c r="K96" s="230"/>
      <c r="L96" s="294"/>
      <c r="M96" s="615" t="s">
        <v>548</v>
      </c>
      <c r="N96" s="614"/>
      <c r="O96" s="295">
        <v>17600000</v>
      </c>
      <c r="P96" s="231">
        <f>O96</f>
        <v>17600000</v>
      </c>
      <c r="Q96" s="231">
        <f>SUM(Q97:Q109)</f>
        <v>71640000</v>
      </c>
      <c r="R96" s="233">
        <f>Q96/Q$59*100</f>
        <v>2.8362013615932877</v>
      </c>
      <c r="S96" s="233">
        <v>100</v>
      </c>
      <c r="T96" s="231">
        <f t="shared" si="23"/>
        <v>24.441652707984364</v>
      </c>
      <c r="U96" s="231">
        <f t="shared" ref="U96" si="31">R96*T96/100</f>
        <v>0.69321448689975529</v>
      </c>
      <c r="V96" s="296">
        <f t="shared" si="25"/>
        <v>75.55834729201564</v>
      </c>
      <c r="W96" s="231"/>
      <c r="X96" s="231" t="e">
        <f>#REF!</f>
        <v>#REF!</v>
      </c>
      <c r="Y96" s="231" t="e">
        <f>#REF!</f>
        <v>#REF!</v>
      </c>
      <c r="Z96" s="231" t="e">
        <f>#REF!</f>
        <v>#REF!</v>
      </c>
      <c r="AA96" s="231" t="e">
        <f>#REF!</f>
        <v>#REF!</v>
      </c>
      <c r="AB96" s="231">
        <v>13150000</v>
      </c>
      <c r="AC96" s="231" t="e">
        <f>#REF!</f>
        <v>#REF!</v>
      </c>
      <c r="AD96" s="231" t="e">
        <f>#REF!</f>
        <v>#REF!</v>
      </c>
      <c r="AE96" s="231" t="e">
        <f>#REF!</f>
        <v>#REF!</v>
      </c>
      <c r="AF96" s="231" t="e">
        <f>[1]April!N33</f>
        <v>#REF!</v>
      </c>
      <c r="AG96" s="231" t="e">
        <f>[2]april!N33</f>
        <v>#REF!</v>
      </c>
      <c r="AH96" s="231" t="e">
        <f>'[3]DES SKPD'!$N33</f>
        <v>#REF!</v>
      </c>
      <c r="AI96" s="231">
        <f>SUM(AI97:AI109)</f>
        <v>17510000</v>
      </c>
      <c r="AJ96" s="233">
        <f t="shared" si="27"/>
        <v>24.441652707984364</v>
      </c>
      <c r="AK96" s="231">
        <f t="shared" si="30"/>
        <v>54130000</v>
      </c>
      <c r="AL96" s="233">
        <f t="shared" si="28"/>
        <v>75.55834729201564</v>
      </c>
      <c r="AM96" s="227"/>
    </row>
    <row r="97" spans="1:39" ht="26.25" customHeight="1" x14ac:dyDescent="0.25">
      <c r="A97" s="243"/>
      <c r="B97" s="457"/>
      <c r="C97" s="457"/>
      <c r="D97" s="457"/>
      <c r="E97" s="457"/>
      <c r="F97" s="457"/>
      <c r="G97" s="457"/>
      <c r="H97" s="457"/>
      <c r="I97" s="458"/>
      <c r="J97" s="457" t="s">
        <v>265</v>
      </c>
      <c r="K97" s="245"/>
      <c r="L97" s="257"/>
      <c r="M97" s="597" t="s">
        <v>266</v>
      </c>
      <c r="N97" s="598"/>
      <c r="O97" s="299"/>
      <c r="P97" s="180"/>
      <c r="Q97" s="180">
        <v>12590000</v>
      </c>
      <c r="R97" s="181">
        <f>Q97/Q$94*100</f>
        <v>40.095541401273884</v>
      </c>
      <c r="S97" s="181">
        <v>100</v>
      </c>
      <c r="T97" s="180">
        <f t="shared" si="23"/>
        <v>52.343129467831616</v>
      </c>
      <c r="U97" s="180">
        <f>R97*T97/100</f>
        <v>20.987261146496817</v>
      </c>
      <c r="V97" s="182">
        <f t="shared" si="25"/>
        <v>47.656870532168384</v>
      </c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>
        <f>3000000+3590000</f>
        <v>6590000</v>
      </c>
      <c r="AJ97" s="181">
        <f t="shared" si="27"/>
        <v>52.343129467831616</v>
      </c>
      <c r="AK97" s="180">
        <f t="shared" si="30"/>
        <v>6000000</v>
      </c>
      <c r="AL97" s="181">
        <f t="shared" si="28"/>
        <v>47.656870532168391</v>
      </c>
      <c r="AM97" s="243"/>
    </row>
    <row r="98" spans="1:39" ht="26.25" customHeight="1" x14ac:dyDescent="0.25">
      <c r="A98" s="243"/>
      <c r="B98" s="457"/>
      <c r="C98" s="457"/>
      <c r="D98" s="457"/>
      <c r="E98" s="457"/>
      <c r="F98" s="457"/>
      <c r="G98" s="457"/>
      <c r="H98" s="457"/>
      <c r="I98" s="458"/>
      <c r="J98" s="457" t="s">
        <v>272</v>
      </c>
      <c r="K98" s="245"/>
      <c r="L98" s="257"/>
      <c r="M98" s="597" t="s">
        <v>429</v>
      </c>
      <c r="N98" s="598"/>
      <c r="O98" s="299"/>
      <c r="P98" s="180"/>
      <c r="Q98" s="180">
        <v>3000000</v>
      </c>
      <c r="R98" s="181">
        <f t="shared" ref="R98:R109" si="32">Q98/Q$94*100</f>
        <v>9.5541401273885356</v>
      </c>
      <c r="S98" s="181">
        <v>100</v>
      </c>
      <c r="T98" s="180">
        <f t="shared" si="23"/>
        <v>25</v>
      </c>
      <c r="U98" s="180">
        <f t="shared" ref="U98:U110" si="33">R98*T98/100</f>
        <v>2.3885350318471339</v>
      </c>
      <c r="V98" s="182">
        <f t="shared" si="25"/>
        <v>75</v>
      </c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>
        <v>750000</v>
      </c>
      <c r="AJ98" s="181">
        <f t="shared" si="27"/>
        <v>25</v>
      </c>
      <c r="AK98" s="180">
        <f t="shared" si="30"/>
        <v>2250000</v>
      </c>
      <c r="AL98" s="181">
        <f t="shared" si="28"/>
        <v>75</v>
      </c>
      <c r="AM98" s="243"/>
    </row>
    <row r="99" spans="1:39" ht="26.25" customHeight="1" x14ac:dyDescent="0.25">
      <c r="A99" s="243"/>
      <c r="B99" s="457"/>
      <c r="C99" s="457"/>
      <c r="D99" s="457"/>
      <c r="E99" s="457"/>
      <c r="F99" s="457"/>
      <c r="G99" s="457"/>
      <c r="H99" s="457"/>
      <c r="I99" s="458"/>
      <c r="J99" s="457" t="s">
        <v>249</v>
      </c>
      <c r="K99" s="245"/>
      <c r="L99" s="257"/>
      <c r="M99" s="597" t="s">
        <v>250</v>
      </c>
      <c r="N99" s="598"/>
      <c r="O99" s="299"/>
      <c r="P99" s="180"/>
      <c r="Q99" s="180">
        <v>390000</v>
      </c>
      <c r="R99" s="181">
        <f t="shared" si="32"/>
        <v>1.2420382165605097</v>
      </c>
      <c r="S99" s="181">
        <v>100</v>
      </c>
      <c r="T99" s="180">
        <f t="shared" si="23"/>
        <v>100</v>
      </c>
      <c r="U99" s="180">
        <f t="shared" si="33"/>
        <v>1.2420382165605097</v>
      </c>
      <c r="V99" s="182">
        <f t="shared" si="25"/>
        <v>0</v>
      </c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>
        <v>390000</v>
      </c>
      <c r="AJ99" s="181">
        <f t="shared" si="27"/>
        <v>100</v>
      </c>
      <c r="AK99" s="180">
        <f t="shared" si="30"/>
        <v>0</v>
      </c>
      <c r="AL99" s="181">
        <f t="shared" si="28"/>
        <v>0</v>
      </c>
      <c r="AM99" s="243"/>
    </row>
    <row r="100" spans="1:39" ht="26.25" customHeight="1" x14ac:dyDescent="0.25">
      <c r="A100" s="243"/>
      <c r="B100" s="457"/>
      <c r="C100" s="457"/>
      <c r="D100" s="457"/>
      <c r="E100" s="457"/>
      <c r="F100" s="457"/>
      <c r="G100" s="457"/>
      <c r="H100" s="457"/>
      <c r="I100" s="458"/>
      <c r="J100" s="457" t="s">
        <v>261</v>
      </c>
      <c r="K100" s="245"/>
      <c r="L100" s="257"/>
      <c r="M100" s="597" t="s">
        <v>262</v>
      </c>
      <c r="N100" s="598"/>
      <c r="O100" s="299"/>
      <c r="P100" s="180"/>
      <c r="Q100" s="180">
        <v>3700000</v>
      </c>
      <c r="R100" s="181">
        <f t="shared" si="32"/>
        <v>11.783439490445859</v>
      </c>
      <c r="S100" s="181">
        <v>100</v>
      </c>
      <c r="T100" s="180">
        <f t="shared" si="23"/>
        <v>54.054054054054056</v>
      </c>
      <c r="U100" s="180">
        <f t="shared" si="33"/>
        <v>6.369426751592357</v>
      </c>
      <c r="V100" s="182">
        <f t="shared" si="25"/>
        <v>45.945945945945944</v>
      </c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>
        <f>1000000+1000000</f>
        <v>2000000</v>
      </c>
      <c r="AJ100" s="181">
        <f t="shared" si="27"/>
        <v>54.054054054054056</v>
      </c>
      <c r="AK100" s="180">
        <f t="shared" si="30"/>
        <v>1700000</v>
      </c>
      <c r="AL100" s="181">
        <f t="shared" si="28"/>
        <v>45.945945945945951</v>
      </c>
      <c r="AM100" s="243"/>
    </row>
    <row r="101" spans="1:39" ht="26.25" customHeight="1" x14ac:dyDescent="0.25">
      <c r="A101" s="243"/>
      <c r="B101" s="457"/>
      <c r="C101" s="457"/>
      <c r="D101" s="457"/>
      <c r="E101" s="457"/>
      <c r="F101" s="457"/>
      <c r="G101" s="457"/>
      <c r="H101" s="457"/>
      <c r="I101" s="458"/>
      <c r="J101" s="457" t="s">
        <v>315</v>
      </c>
      <c r="K101" s="245"/>
      <c r="L101" s="257"/>
      <c r="M101" s="597" t="s">
        <v>271</v>
      </c>
      <c r="N101" s="598"/>
      <c r="O101" s="299"/>
      <c r="P101" s="180"/>
      <c r="Q101" s="180">
        <v>2000000</v>
      </c>
      <c r="R101" s="181">
        <f t="shared" si="32"/>
        <v>6.369426751592357</v>
      </c>
      <c r="S101" s="181">
        <v>100</v>
      </c>
      <c r="T101" s="180">
        <f t="shared" si="23"/>
        <v>40</v>
      </c>
      <c r="U101" s="180">
        <f t="shared" si="33"/>
        <v>2.547770700636943</v>
      </c>
      <c r="V101" s="182">
        <f t="shared" si="25"/>
        <v>60</v>
      </c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>
        <f>400000+400000</f>
        <v>800000</v>
      </c>
      <c r="AJ101" s="181">
        <f t="shared" si="27"/>
        <v>40</v>
      </c>
      <c r="AK101" s="180">
        <f t="shared" si="30"/>
        <v>1200000</v>
      </c>
      <c r="AL101" s="181">
        <f t="shared" si="28"/>
        <v>60</v>
      </c>
      <c r="AM101" s="243"/>
    </row>
    <row r="102" spans="1:39" ht="26.25" customHeight="1" x14ac:dyDescent="0.25">
      <c r="A102" s="243"/>
      <c r="B102" s="457"/>
      <c r="C102" s="457"/>
      <c r="D102" s="457"/>
      <c r="E102" s="457"/>
      <c r="F102" s="457"/>
      <c r="G102" s="457"/>
      <c r="H102" s="457"/>
      <c r="I102" s="458"/>
      <c r="J102" s="457" t="s">
        <v>278</v>
      </c>
      <c r="K102" s="245"/>
      <c r="L102" s="257"/>
      <c r="M102" s="597" t="s">
        <v>279</v>
      </c>
      <c r="N102" s="598"/>
      <c r="O102" s="299"/>
      <c r="P102" s="180"/>
      <c r="Q102" s="180">
        <v>2160000</v>
      </c>
      <c r="R102" s="181">
        <f t="shared" si="32"/>
        <v>6.8789808917197455</v>
      </c>
      <c r="S102" s="181">
        <v>100</v>
      </c>
      <c r="T102" s="180">
        <f t="shared" si="23"/>
        <v>50</v>
      </c>
      <c r="U102" s="180">
        <f t="shared" si="33"/>
        <v>3.4394904458598727</v>
      </c>
      <c r="V102" s="182">
        <f t="shared" si="25"/>
        <v>50</v>
      </c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>
        <f>540000+540000</f>
        <v>1080000</v>
      </c>
      <c r="AJ102" s="181">
        <f t="shared" si="27"/>
        <v>50</v>
      </c>
      <c r="AK102" s="180">
        <f t="shared" si="30"/>
        <v>1080000</v>
      </c>
      <c r="AL102" s="181">
        <f t="shared" si="28"/>
        <v>50</v>
      </c>
      <c r="AM102" s="243"/>
    </row>
    <row r="103" spans="1:39" ht="26.25" customHeight="1" x14ac:dyDescent="0.25">
      <c r="A103" s="243"/>
      <c r="B103" s="457"/>
      <c r="C103" s="457"/>
      <c r="D103" s="457"/>
      <c r="E103" s="457"/>
      <c r="F103" s="457"/>
      <c r="G103" s="457"/>
      <c r="H103" s="457"/>
      <c r="I103" s="458"/>
      <c r="J103" s="457" t="s">
        <v>284</v>
      </c>
      <c r="K103" s="245"/>
      <c r="L103" s="257"/>
      <c r="M103" s="597" t="s">
        <v>285</v>
      </c>
      <c r="N103" s="598"/>
      <c r="O103" s="299"/>
      <c r="P103" s="180"/>
      <c r="Q103" s="180">
        <v>15000000</v>
      </c>
      <c r="R103" s="181">
        <f t="shared" si="32"/>
        <v>47.770700636942678</v>
      </c>
      <c r="S103" s="181">
        <v>100</v>
      </c>
      <c r="T103" s="180">
        <f t="shared" si="23"/>
        <v>0</v>
      </c>
      <c r="U103" s="180">
        <f t="shared" si="33"/>
        <v>0</v>
      </c>
      <c r="V103" s="182">
        <f t="shared" si="25"/>
        <v>100</v>
      </c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>
        <v>0</v>
      </c>
      <c r="AJ103" s="181">
        <f t="shared" si="27"/>
        <v>0</v>
      </c>
      <c r="AK103" s="180">
        <f t="shared" si="30"/>
        <v>15000000</v>
      </c>
      <c r="AL103" s="181">
        <f t="shared" si="28"/>
        <v>100</v>
      </c>
      <c r="AM103" s="243"/>
    </row>
    <row r="104" spans="1:39" ht="26.25" customHeight="1" x14ac:dyDescent="0.25">
      <c r="A104" s="243"/>
      <c r="B104" s="457"/>
      <c r="C104" s="457"/>
      <c r="D104" s="457"/>
      <c r="E104" s="457"/>
      <c r="F104" s="457"/>
      <c r="G104" s="457"/>
      <c r="H104" s="457"/>
      <c r="I104" s="458"/>
      <c r="J104" s="457" t="s">
        <v>282</v>
      </c>
      <c r="K104" s="245"/>
      <c r="L104" s="257"/>
      <c r="M104" s="597" t="s">
        <v>503</v>
      </c>
      <c r="N104" s="598"/>
      <c r="O104" s="299"/>
      <c r="P104" s="180"/>
      <c r="Q104" s="180">
        <v>10000000</v>
      </c>
      <c r="R104" s="181">
        <f t="shared" si="32"/>
        <v>31.847133757961782</v>
      </c>
      <c r="S104" s="181">
        <v>100</v>
      </c>
      <c r="T104" s="180">
        <f t="shared" si="23"/>
        <v>0</v>
      </c>
      <c r="U104" s="180">
        <f t="shared" si="33"/>
        <v>0</v>
      </c>
      <c r="V104" s="182">
        <f t="shared" si="25"/>
        <v>100</v>
      </c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>
        <v>0</v>
      </c>
      <c r="AJ104" s="181">
        <f t="shared" si="27"/>
        <v>0</v>
      </c>
      <c r="AK104" s="180">
        <f t="shared" si="30"/>
        <v>10000000</v>
      </c>
      <c r="AL104" s="181">
        <f t="shared" si="28"/>
        <v>100</v>
      </c>
      <c r="AM104" s="243"/>
    </row>
    <row r="105" spans="1:39" ht="26.25" customHeight="1" x14ac:dyDescent="0.25">
      <c r="A105" s="243"/>
      <c r="B105" s="457"/>
      <c r="C105" s="457"/>
      <c r="D105" s="457"/>
      <c r="E105" s="457"/>
      <c r="F105" s="457"/>
      <c r="G105" s="457"/>
      <c r="H105" s="457"/>
      <c r="I105" s="458"/>
      <c r="J105" s="457" t="s">
        <v>304</v>
      </c>
      <c r="K105" s="245"/>
      <c r="L105" s="257"/>
      <c r="M105" s="597" t="s">
        <v>549</v>
      </c>
      <c r="N105" s="598"/>
      <c r="O105" s="299"/>
      <c r="P105" s="180"/>
      <c r="Q105" s="180">
        <v>6000000</v>
      </c>
      <c r="R105" s="181">
        <f t="shared" si="32"/>
        <v>19.108280254777071</v>
      </c>
      <c r="S105" s="181">
        <v>100</v>
      </c>
      <c r="T105" s="180">
        <f t="shared" si="23"/>
        <v>8.3333333333333321</v>
      </c>
      <c r="U105" s="180">
        <f t="shared" si="33"/>
        <v>1.592356687898089</v>
      </c>
      <c r="V105" s="182">
        <f t="shared" si="25"/>
        <v>91.666666666666671</v>
      </c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>
        <v>500000</v>
      </c>
      <c r="AJ105" s="181">
        <f t="shared" si="27"/>
        <v>8.3333333333333321</v>
      </c>
      <c r="AK105" s="180">
        <f t="shared" si="30"/>
        <v>5500000</v>
      </c>
      <c r="AL105" s="181">
        <f t="shared" si="28"/>
        <v>91.666666666666657</v>
      </c>
      <c r="AM105" s="243"/>
    </row>
    <row r="106" spans="1:39" ht="26.25" customHeight="1" x14ac:dyDescent="0.25">
      <c r="A106" s="243"/>
      <c r="B106" s="457"/>
      <c r="C106" s="457"/>
      <c r="D106" s="457"/>
      <c r="E106" s="457"/>
      <c r="F106" s="457"/>
      <c r="G106" s="457"/>
      <c r="H106" s="457"/>
      <c r="I106" s="458"/>
      <c r="J106" s="457" t="s">
        <v>551</v>
      </c>
      <c r="K106" s="245"/>
      <c r="L106" s="257"/>
      <c r="M106" s="597" t="s">
        <v>550</v>
      </c>
      <c r="N106" s="598"/>
      <c r="O106" s="299"/>
      <c r="P106" s="180"/>
      <c r="Q106" s="180">
        <v>10800000</v>
      </c>
      <c r="R106" s="181">
        <f t="shared" si="32"/>
        <v>34.394904458598724</v>
      </c>
      <c r="S106" s="181">
        <v>100</v>
      </c>
      <c r="T106" s="180">
        <f t="shared" si="23"/>
        <v>50</v>
      </c>
      <c r="U106" s="180">
        <f t="shared" si="33"/>
        <v>17.197452229299362</v>
      </c>
      <c r="V106" s="182">
        <f t="shared" si="25"/>
        <v>50</v>
      </c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>
        <f>1800000+900000+900000+900000+900000</f>
        <v>5400000</v>
      </c>
      <c r="AJ106" s="181">
        <f t="shared" si="27"/>
        <v>50</v>
      </c>
      <c r="AK106" s="180">
        <f t="shared" si="30"/>
        <v>5400000</v>
      </c>
      <c r="AL106" s="181">
        <f t="shared" si="28"/>
        <v>50</v>
      </c>
      <c r="AM106" s="243"/>
    </row>
    <row r="107" spans="1:39" ht="26.25" customHeight="1" x14ac:dyDescent="0.25">
      <c r="A107" s="243"/>
      <c r="B107" s="457"/>
      <c r="C107" s="457"/>
      <c r="D107" s="457"/>
      <c r="E107" s="457"/>
      <c r="F107" s="457"/>
      <c r="G107" s="457"/>
      <c r="H107" s="457"/>
      <c r="I107" s="458"/>
      <c r="J107" s="457" t="s">
        <v>553</v>
      </c>
      <c r="K107" s="245"/>
      <c r="L107" s="257"/>
      <c r="M107" s="597" t="s">
        <v>552</v>
      </c>
      <c r="N107" s="598"/>
      <c r="O107" s="299"/>
      <c r="P107" s="180"/>
      <c r="Q107" s="180">
        <v>1500000</v>
      </c>
      <c r="R107" s="181">
        <f t="shared" si="32"/>
        <v>4.7770700636942678</v>
      </c>
      <c r="S107" s="181">
        <v>100</v>
      </c>
      <c r="T107" s="180">
        <f t="shared" si="23"/>
        <v>0</v>
      </c>
      <c r="U107" s="180">
        <f t="shared" si="33"/>
        <v>0</v>
      </c>
      <c r="V107" s="182">
        <f t="shared" si="25"/>
        <v>100</v>
      </c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>
        <v>0</v>
      </c>
      <c r="AJ107" s="181">
        <f t="shared" si="27"/>
        <v>0</v>
      </c>
      <c r="AK107" s="180">
        <f t="shared" si="30"/>
        <v>1500000</v>
      </c>
      <c r="AL107" s="181">
        <f t="shared" si="28"/>
        <v>100</v>
      </c>
      <c r="AM107" s="243"/>
    </row>
    <row r="108" spans="1:39" ht="26.25" customHeight="1" x14ac:dyDescent="0.25">
      <c r="A108" s="243"/>
      <c r="B108" s="457"/>
      <c r="C108" s="457"/>
      <c r="D108" s="457"/>
      <c r="E108" s="457"/>
      <c r="F108" s="457"/>
      <c r="G108" s="457"/>
      <c r="H108" s="457"/>
      <c r="I108" s="458"/>
      <c r="J108" s="457" t="s">
        <v>554</v>
      </c>
      <c r="K108" s="245"/>
      <c r="L108" s="257"/>
      <c r="M108" s="597" t="s">
        <v>431</v>
      </c>
      <c r="N108" s="598"/>
      <c r="O108" s="299"/>
      <c r="P108" s="180"/>
      <c r="Q108" s="180">
        <v>2000000</v>
      </c>
      <c r="R108" s="181">
        <f t="shared" si="32"/>
        <v>6.369426751592357</v>
      </c>
      <c r="S108" s="181">
        <v>100</v>
      </c>
      <c r="T108" s="180">
        <f t="shared" si="23"/>
        <v>0</v>
      </c>
      <c r="U108" s="180">
        <f t="shared" si="33"/>
        <v>0</v>
      </c>
      <c r="V108" s="182">
        <f t="shared" si="25"/>
        <v>100</v>
      </c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>
        <v>0</v>
      </c>
      <c r="AJ108" s="181">
        <f t="shared" si="27"/>
        <v>0</v>
      </c>
      <c r="AK108" s="180">
        <f t="shared" si="30"/>
        <v>2000000</v>
      </c>
      <c r="AL108" s="181">
        <f t="shared" si="28"/>
        <v>100</v>
      </c>
      <c r="AM108" s="243"/>
    </row>
    <row r="109" spans="1:39" ht="26.25" customHeight="1" x14ac:dyDescent="0.25">
      <c r="A109" s="243"/>
      <c r="B109" s="457"/>
      <c r="C109" s="457"/>
      <c r="D109" s="457"/>
      <c r="E109" s="457"/>
      <c r="F109" s="457"/>
      <c r="G109" s="457"/>
      <c r="H109" s="457"/>
      <c r="I109" s="458"/>
      <c r="J109" s="457" t="s">
        <v>274</v>
      </c>
      <c r="K109" s="245"/>
      <c r="L109" s="257"/>
      <c r="M109" s="597" t="s">
        <v>555</v>
      </c>
      <c r="N109" s="598"/>
      <c r="O109" s="299"/>
      <c r="P109" s="180"/>
      <c r="Q109" s="180">
        <v>2500000</v>
      </c>
      <c r="R109" s="181">
        <f t="shared" si="32"/>
        <v>7.9617834394904454</v>
      </c>
      <c r="S109" s="181">
        <v>100</v>
      </c>
      <c r="T109" s="180">
        <f t="shared" si="23"/>
        <v>0</v>
      </c>
      <c r="U109" s="180">
        <f t="shared" si="33"/>
        <v>0</v>
      </c>
      <c r="V109" s="182">
        <f t="shared" si="25"/>
        <v>100</v>
      </c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>
        <v>0</v>
      </c>
      <c r="AJ109" s="181">
        <f t="shared" si="27"/>
        <v>0</v>
      </c>
      <c r="AK109" s="180">
        <f t="shared" si="30"/>
        <v>2500000</v>
      </c>
      <c r="AL109" s="181">
        <f t="shared" si="28"/>
        <v>100</v>
      </c>
      <c r="AM109" s="243"/>
    </row>
    <row r="110" spans="1:39" ht="26.25" customHeight="1" x14ac:dyDescent="0.25">
      <c r="A110" s="227">
        <f>A96+1</f>
        <v>14</v>
      </c>
      <c r="B110" s="615" t="s">
        <v>124</v>
      </c>
      <c r="C110" s="615"/>
      <c r="D110" s="615"/>
      <c r="E110" s="615"/>
      <c r="F110" s="615"/>
      <c r="G110" s="615"/>
      <c r="H110" s="615"/>
      <c r="I110" s="614"/>
      <c r="J110" s="462" t="s">
        <v>547</v>
      </c>
      <c r="K110" s="230"/>
      <c r="L110" s="294"/>
      <c r="M110" s="615" t="s">
        <v>556</v>
      </c>
      <c r="N110" s="614"/>
      <c r="O110" s="295">
        <v>17600000</v>
      </c>
      <c r="P110" s="231">
        <f>O110</f>
        <v>17600000</v>
      </c>
      <c r="Q110" s="231">
        <f>SUM(Q111:Q123)</f>
        <v>76640000</v>
      </c>
      <c r="R110" s="233">
        <f>Q110/Q$59*100</f>
        <v>3.0341495303253714</v>
      </c>
      <c r="S110" s="233">
        <v>100</v>
      </c>
      <c r="T110" s="231">
        <f t="shared" si="23"/>
        <v>41.218684759916492</v>
      </c>
      <c r="U110" s="231">
        <f t="shared" si="33"/>
        <v>1.2506365300493016</v>
      </c>
      <c r="V110" s="296">
        <f t="shared" si="25"/>
        <v>58.781315240083508</v>
      </c>
      <c r="W110" s="231"/>
      <c r="X110" s="231" t="e">
        <f>#REF!</f>
        <v>#REF!</v>
      </c>
      <c r="Y110" s="231" t="e">
        <f>#REF!</f>
        <v>#REF!</v>
      </c>
      <c r="Z110" s="231" t="e">
        <f>#REF!</f>
        <v>#REF!</v>
      </c>
      <c r="AA110" s="231" t="e">
        <f>#REF!</f>
        <v>#REF!</v>
      </c>
      <c r="AB110" s="231">
        <v>13150000</v>
      </c>
      <c r="AC110" s="231" t="e">
        <f>#REF!</f>
        <v>#REF!</v>
      </c>
      <c r="AD110" s="231" t="e">
        <f>#REF!</f>
        <v>#REF!</v>
      </c>
      <c r="AE110" s="231" t="e">
        <f>#REF!</f>
        <v>#REF!</v>
      </c>
      <c r="AF110" s="231" t="e">
        <f>[1]April!N47</f>
        <v>#REF!</v>
      </c>
      <c r="AG110" s="231" t="e">
        <f>[2]april!N47</f>
        <v>#REF!</v>
      </c>
      <c r="AH110" s="231" t="e">
        <f>'[3]DES SKPD'!$N47</f>
        <v>#REF!</v>
      </c>
      <c r="AI110" s="231">
        <f>SUM(AI111:AI123)</f>
        <v>31590000</v>
      </c>
      <c r="AJ110" s="233">
        <f t="shared" si="27"/>
        <v>41.218684759916492</v>
      </c>
      <c r="AK110" s="231">
        <f t="shared" si="30"/>
        <v>45050000</v>
      </c>
      <c r="AL110" s="233">
        <f t="shared" si="28"/>
        <v>58.781315240083508</v>
      </c>
      <c r="AM110" s="243"/>
    </row>
    <row r="111" spans="1:39" ht="26.25" customHeight="1" x14ac:dyDescent="0.25">
      <c r="A111" s="243"/>
      <c r="B111" s="457"/>
      <c r="C111" s="457"/>
      <c r="D111" s="457"/>
      <c r="E111" s="457"/>
      <c r="F111" s="457"/>
      <c r="G111" s="457"/>
      <c r="H111" s="457"/>
      <c r="I111" s="458"/>
      <c r="J111" s="457" t="s">
        <v>265</v>
      </c>
      <c r="K111" s="245"/>
      <c r="L111" s="257"/>
      <c r="M111" s="597" t="s">
        <v>266</v>
      </c>
      <c r="N111" s="598"/>
      <c r="O111" s="299"/>
      <c r="P111" s="180"/>
      <c r="Q111" s="180">
        <v>6530000</v>
      </c>
      <c r="R111" s="181">
        <f t="shared" ref="R111:R123" si="34">Q111/Q$94*100</f>
        <v>20.796178343949045</v>
      </c>
      <c r="S111" s="181">
        <v>100</v>
      </c>
      <c r="T111" s="180">
        <f t="shared" si="23"/>
        <v>49.770290964777949</v>
      </c>
      <c r="U111" s="180">
        <f>R111*T111/100</f>
        <v>10.35031847133758</v>
      </c>
      <c r="V111" s="182">
        <f t="shared" si="25"/>
        <v>50.229709035222051</v>
      </c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>
        <f>1600000+1650000</f>
        <v>3250000</v>
      </c>
      <c r="AJ111" s="181">
        <f t="shared" si="27"/>
        <v>49.770290964777949</v>
      </c>
      <c r="AK111" s="180">
        <f t="shared" si="30"/>
        <v>3280000</v>
      </c>
      <c r="AL111" s="181">
        <f t="shared" si="28"/>
        <v>50.229709035222051</v>
      </c>
      <c r="AM111" s="243"/>
    </row>
    <row r="112" spans="1:39" ht="26.25" customHeight="1" x14ac:dyDescent="0.25">
      <c r="A112" s="243"/>
      <c r="B112" s="457"/>
      <c r="C112" s="457"/>
      <c r="D112" s="457"/>
      <c r="E112" s="457"/>
      <c r="F112" s="457"/>
      <c r="G112" s="457"/>
      <c r="H112" s="457"/>
      <c r="I112" s="458"/>
      <c r="J112" s="457" t="s">
        <v>272</v>
      </c>
      <c r="K112" s="245"/>
      <c r="L112" s="257"/>
      <c r="M112" s="597" t="s">
        <v>429</v>
      </c>
      <c r="N112" s="598"/>
      <c r="O112" s="299"/>
      <c r="P112" s="180"/>
      <c r="Q112" s="180">
        <v>2000000</v>
      </c>
      <c r="R112" s="181">
        <f t="shared" si="34"/>
        <v>6.369426751592357</v>
      </c>
      <c r="S112" s="181">
        <v>100</v>
      </c>
      <c r="T112" s="180">
        <f t="shared" si="23"/>
        <v>50</v>
      </c>
      <c r="U112" s="180">
        <f t="shared" ref="U112:U123" si="35">R112*T112/100</f>
        <v>3.1847133757961785</v>
      </c>
      <c r="V112" s="182">
        <f t="shared" si="25"/>
        <v>50</v>
      </c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>
        <f>500000+500000</f>
        <v>1000000</v>
      </c>
      <c r="AJ112" s="181">
        <f t="shared" si="27"/>
        <v>50</v>
      </c>
      <c r="AK112" s="180">
        <f t="shared" si="30"/>
        <v>1000000</v>
      </c>
      <c r="AL112" s="181">
        <f t="shared" si="28"/>
        <v>50</v>
      </c>
      <c r="AM112" s="243"/>
    </row>
    <row r="113" spans="1:39" ht="26.25" customHeight="1" x14ac:dyDescent="0.25">
      <c r="A113" s="243"/>
      <c r="B113" s="457"/>
      <c r="C113" s="457"/>
      <c r="D113" s="457"/>
      <c r="E113" s="457"/>
      <c r="F113" s="457"/>
      <c r="G113" s="457"/>
      <c r="H113" s="457"/>
      <c r="I113" s="458"/>
      <c r="J113" s="457" t="s">
        <v>249</v>
      </c>
      <c r="K113" s="245"/>
      <c r="L113" s="257"/>
      <c r="M113" s="597" t="s">
        <v>250</v>
      </c>
      <c r="N113" s="598"/>
      <c r="O113" s="299"/>
      <c r="P113" s="180"/>
      <c r="Q113" s="180">
        <v>240000</v>
      </c>
      <c r="R113" s="181">
        <f t="shared" si="34"/>
        <v>0.76433121019108285</v>
      </c>
      <c r="S113" s="181">
        <v>100</v>
      </c>
      <c r="T113" s="180">
        <f t="shared" si="23"/>
        <v>50</v>
      </c>
      <c r="U113" s="180">
        <f t="shared" si="35"/>
        <v>0.38216560509554143</v>
      </c>
      <c r="V113" s="182">
        <f t="shared" si="25"/>
        <v>50</v>
      </c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>
        <f>60000+60000</f>
        <v>120000</v>
      </c>
      <c r="AJ113" s="181">
        <f t="shared" si="27"/>
        <v>50</v>
      </c>
      <c r="AK113" s="180">
        <f t="shared" si="30"/>
        <v>120000</v>
      </c>
      <c r="AL113" s="181">
        <f t="shared" si="28"/>
        <v>50</v>
      </c>
      <c r="AM113" s="243"/>
    </row>
    <row r="114" spans="1:39" ht="26.25" customHeight="1" x14ac:dyDescent="0.25">
      <c r="A114" s="243"/>
      <c r="B114" s="457"/>
      <c r="C114" s="457"/>
      <c r="D114" s="457"/>
      <c r="E114" s="457"/>
      <c r="F114" s="457"/>
      <c r="G114" s="457"/>
      <c r="H114" s="457"/>
      <c r="I114" s="458"/>
      <c r="J114" s="457" t="s">
        <v>261</v>
      </c>
      <c r="K114" s="245"/>
      <c r="L114" s="257"/>
      <c r="M114" s="597" t="s">
        <v>262</v>
      </c>
      <c r="N114" s="598"/>
      <c r="O114" s="299"/>
      <c r="P114" s="180"/>
      <c r="Q114" s="180">
        <v>3300000</v>
      </c>
      <c r="R114" s="181">
        <f t="shared" si="34"/>
        <v>10.509554140127388</v>
      </c>
      <c r="S114" s="181">
        <v>100</v>
      </c>
      <c r="T114" s="180">
        <f t="shared" si="23"/>
        <v>48.484848484848484</v>
      </c>
      <c r="U114" s="180">
        <f t="shared" si="35"/>
        <v>5.0955414012738851</v>
      </c>
      <c r="V114" s="182">
        <f t="shared" si="25"/>
        <v>51.515151515151516</v>
      </c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>
        <f>800000+800000</f>
        <v>1600000</v>
      </c>
      <c r="AJ114" s="181">
        <f t="shared" si="27"/>
        <v>48.484848484848484</v>
      </c>
      <c r="AK114" s="180">
        <f t="shared" si="30"/>
        <v>1700000</v>
      </c>
      <c r="AL114" s="181">
        <f t="shared" si="28"/>
        <v>51.515151515151516</v>
      </c>
      <c r="AM114" s="243"/>
    </row>
    <row r="115" spans="1:39" ht="26.25" customHeight="1" x14ac:dyDescent="0.25">
      <c r="A115" s="243"/>
      <c r="B115" s="457"/>
      <c r="C115" s="457"/>
      <c r="D115" s="457"/>
      <c r="E115" s="457"/>
      <c r="F115" s="457"/>
      <c r="G115" s="457"/>
      <c r="H115" s="457"/>
      <c r="I115" s="458"/>
      <c r="J115" s="457" t="s">
        <v>409</v>
      </c>
      <c r="K115" s="245"/>
      <c r="L115" s="257"/>
      <c r="M115" s="597" t="s">
        <v>410</v>
      </c>
      <c r="N115" s="598"/>
      <c r="O115" s="299"/>
      <c r="P115" s="180"/>
      <c r="Q115" s="180">
        <v>12000000</v>
      </c>
      <c r="R115" s="181">
        <f t="shared" si="34"/>
        <v>38.216560509554142</v>
      </c>
      <c r="S115" s="181">
        <v>101</v>
      </c>
      <c r="T115" s="180">
        <f t="shared" si="23"/>
        <v>24.75</v>
      </c>
      <c r="U115" s="180">
        <f t="shared" si="35"/>
        <v>9.4585987261146496</v>
      </c>
      <c r="V115" s="182">
        <f t="shared" si="25"/>
        <v>76.25</v>
      </c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>
        <f>982500+1987500</f>
        <v>2970000</v>
      </c>
      <c r="AJ115" s="181">
        <f t="shared" si="27"/>
        <v>24.75</v>
      </c>
      <c r="AK115" s="180">
        <f t="shared" si="30"/>
        <v>9030000</v>
      </c>
      <c r="AL115" s="181">
        <f t="shared" si="28"/>
        <v>75.25</v>
      </c>
      <c r="AM115" s="243"/>
    </row>
    <row r="116" spans="1:39" ht="26.25" customHeight="1" x14ac:dyDescent="0.25">
      <c r="A116" s="243"/>
      <c r="B116" s="457"/>
      <c r="C116" s="457"/>
      <c r="D116" s="457"/>
      <c r="E116" s="457"/>
      <c r="F116" s="457"/>
      <c r="G116" s="457"/>
      <c r="H116" s="457"/>
      <c r="I116" s="458"/>
      <c r="J116" s="457" t="s">
        <v>315</v>
      </c>
      <c r="K116" s="245"/>
      <c r="L116" s="257"/>
      <c r="M116" s="597" t="s">
        <v>271</v>
      </c>
      <c r="N116" s="598"/>
      <c r="O116" s="299"/>
      <c r="P116" s="180"/>
      <c r="Q116" s="180">
        <v>2000000</v>
      </c>
      <c r="R116" s="181">
        <f t="shared" si="34"/>
        <v>6.369426751592357</v>
      </c>
      <c r="S116" s="181">
        <v>100</v>
      </c>
      <c r="T116" s="180">
        <f t="shared" si="23"/>
        <v>50</v>
      </c>
      <c r="U116" s="180">
        <f t="shared" si="35"/>
        <v>3.1847133757961785</v>
      </c>
      <c r="V116" s="182">
        <f t="shared" si="25"/>
        <v>50</v>
      </c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>
        <f>500000+500000</f>
        <v>1000000</v>
      </c>
      <c r="AJ116" s="181">
        <f t="shared" si="27"/>
        <v>50</v>
      </c>
      <c r="AK116" s="180">
        <f t="shared" si="30"/>
        <v>1000000</v>
      </c>
      <c r="AL116" s="181">
        <f t="shared" si="28"/>
        <v>50</v>
      </c>
      <c r="AM116" s="243"/>
    </row>
    <row r="117" spans="1:39" ht="26.25" customHeight="1" x14ac:dyDescent="0.25">
      <c r="A117" s="243"/>
      <c r="B117" s="457"/>
      <c r="C117" s="457"/>
      <c r="D117" s="457"/>
      <c r="E117" s="457"/>
      <c r="F117" s="457"/>
      <c r="G117" s="457"/>
      <c r="H117" s="457"/>
      <c r="I117" s="458"/>
      <c r="J117" s="457" t="s">
        <v>278</v>
      </c>
      <c r="K117" s="245"/>
      <c r="L117" s="257"/>
      <c r="M117" s="597" t="s">
        <v>279</v>
      </c>
      <c r="N117" s="598"/>
      <c r="O117" s="299"/>
      <c r="P117" s="180"/>
      <c r="Q117" s="180">
        <v>2160000</v>
      </c>
      <c r="R117" s="181">
        <f t="shared" si="34"/>
        <v>6.8789808917197455</v>
      </c>
      <c r="S117" s="181">
        <v>100</v>
      </c>
      <c r="T117" s="180">
        <f t="shared" si="23"/>
        <v>46.296296296296298</v>
      </c>
      <c r="U117" s="180">
        <f t="shared" si="35"/>
        <v>3.1847133757961785</v>
      </c>
      <c r="V117" s="182">
        <f t="shared" si="25"/>
        <v>53.703703703703702</v>
      </c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>
        <f>500000+500000</f>
        <v>1000000</v>
      </c>
      <c r="AJ117" s="181">
        <f t="shared" si="27"/>
        <v>46.296296296296298</v>
      </c>
      <c r="AK117" s="180">
        <f t="shared" si="30"/>
        <v>1160000</v>
      </c>
      <c r="AL117" s="181">
        <f t="shared" si="28"/>
        <v>53.703703703703709</v>
      </c>
      <c r="AM117" s="243"/>
    </row>
    <row r="118" spans="1:39" ht="26.25" customHeight="1" x14ac:dyDescent="0.25">
      <c r="A118" s="243"/>
      <c r="B118" s="457"/>
      <c r="C118" s="457"/>
      <c r="D118" s="457"/>
      <c r="E118" s="457"/>
      <c r="F118" s="457"/>
      <c r="G118" s="457"/>
      <c r="H118" s="457"/>
      <c r="I118" s="458"/>
      <c r="J118" s="457" t="s">
        <v>284</v>
      </c>
      <c r="K118" s="245"/>
      <c r="L118" s="257"/>
      <c r="M118" s="597" t="s">
        <v>285</v>
      </c>
      <c r="N118" s="598"/>
      <c r="O118" s="299"/>
      <c r="P118" s="180"/>
      <c r="Q118" s="180">
        <v>18900000</v>
      </c>
      <c r="R118" s="181">
        <f t="shared" si="34"/>
        <v>60.191082802547768</v>
      </c>
      <c r="S118" s="181">
        <v>100</v>
      </c>
      <c r="T118" s="180">
        <f t="shared" si="23"/>
        <v>50</v>
      </c>
      <c r="U118" s="180">
        <f t="shared" si="35"/>
        <v>30.095541401273884</v>
      </c>
      <c r="V118" s="182">
        <f t="shared" si="25"/>
        <v>50</v>
      </c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>
        <f>4650000+4800000</f>
        <v>9450000</v>
      </c>
      <c r="AJ118" s="181">
        <f t="shared" si="27"/>
        <v>50</v>
      </c>
      <c r="AK118" s="180">
        <f t="shared" si="30"/>
        <v>9450000</v>
      </c>
      <c r="AL118" s="181">
        <f t="shared" si="28"/>
        <v>50</v>
      </c>
      <c r="AM118" s="243"/>
    </row>
    <row r="119" spans="1:39" ht="26.25" customHeight="1" x14ac:dyDescent="0.25">
      <c r="A119" s="243"/>
      <c r="B119" s="457"/>
      <c r="C119" s="457"/>
      <c r="D119" s="457"/>
      <c r="E119" s="457"/>
      <c r="F119" s="457"/>
      <c r="G119" s="457"/>
      <c r="H119" s="457"/>
      <c r="I119" s="458"/>
      <c r="J119" s="457" t="s">
        <v>282</v>
      </c>
      <c r="K119" s="245"/>
      <c r="L119" s="257"/>
      <c r="M119" s="597" t="s">
        <v>503</v>
      </c>
      <c r="N119" s="598"/>
      <c r="O119" s="299"/>
      <c r="P119" s="180"/>
      <c r="Q119" s="180">
        <v>4110000</v>
      </c>
      <c r="R119" s="181">
        <f t="shared" si="34"/>
        <v>13.089171974522293</v>
      </c>
      <c r="S119" s="181">
        <v>100</v>
      </c>
      <c r="T119" s="180">
        <f t="shared" si="23"/>
        <v>0</v>
      </c>
      <c r="U119" s="180">
        <f t="shared" si="35"/>
        <v>0</v>
      </c>
      <c r="V119" s="182">
        <f t="shared" si="25"/>
        <v>100</v>
      </c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>
        <v>0</v>
      </c>
      <c r="AJ119" s="181">
        <f t="shared" si="27"/>
        <v>0</v>
      </c>
      <c r="AK119" s="180">
        <f t="shared" si="30"/>
        <v>4110000</v>
      </c>
      <c r="AL119" s="181">
        <f t="shared" si="28"/>
        <v>100</v>
      </c>
      <c r="AM119" s="243"/>
    </row>
    <row r="120" spans="1:39" ht="26.25" customHeight="1" x14ac:dyDescent="0.25">
      <c r="A120" s="243"/>
      <c r="B120" s="457"/>
      <c r="C120" s="457"/>
      <c r="D120" s="457"/>
      <c r="E120" s="457"/>
      <c r="F120" s="457"/>
      <c r="G120" s="457"/>
      <c r="H120" s="457"/>
      <c r="I120" s="458"/>
      <c r="J120" s="457" t="s">
        <v>304</v>
      </c>
      <c r="K120" s="245"/>
      <c r="L120" s="257"/>
      <c r="M120" s="597" t="s">
        <v>549</v>
      </c>
      <c r="N120" s="598"/>
      <c r="O120" s="299"/>
      <c r="P120" s="180"/>
      <c r="Q120" s="180">
        <v>2000000</v>
      </c>
      <c r="R120" s="181">
        <f t="shared" si="34"/>
        <v>6.369426751592357</v>
      </c>
      <c r="S120" s="181">
        <v>100</v>
      </c>
      <c r="T120" s="180">
        <f t="shared" si="23"/>
        <v>50</v>
      </c>
      <c r="U120" s="180">
        <f t="shared" si="35"/>
        <v>3.1847133757961785</v>
      </c>
      <c r="V120" s="182">
        <f t="shared" si="25"/>
        <v>50</v>
      </c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>
        <f>500000+500000</f>
        <v>1000000</v>
      </c>
      <c r="AJ120" s="181">
        <f t="shared" si="27"/>
        <v>50</v>
      </c>
      <c r="AK120" s="180">
        <f t="shared" si="30"/>
        <v>1000000</v>
      </c>
      <c r="AL120" s="181">
        <f t="shared" si="28"/>
        <v>50</v>
      </c>
      <c r="AM120" s="243"/>
    </row>
    <row r="121" spans="1:39" ht="26.25" customHeight="1" x14ac:dyDescent="0.25">
      <c r="A121" s="243"/>
      <c r="B121" s="457"/>
      <c r="C121" s="457"/>
      <c r="D121" s="457"/>
      <c r="E121" s="457"/>
      <c r="F121" s="457"/>
      <c r="G121" s="457"/>
      <c r="H121" s="457"/>
      <c r="I121" s="458"/>
      <c r="J121" s="457" t="s">
        <v>551</v>
      </c>
      <c r="K121" s="245"/>
      <c r="L121" s="257"/>
      <c r="M121" s="597" t="s">
        <v>550</v>
      </c>
      <c r="N121" s="598"/>
      <c r="O121" s="299"/>
      <c r="P121" s="180"/>
      <c r="Q121" s="180">
        <v>20400000</v>
      </c>
      <c r="R121" s="181">
        <f t="shared" si="34"/>
        <v>64.968152866242036</v>
      </c>
      <c r="S121" s="181">
        <v>100</v>
      </c>
      <c r="T121" s="180">
        <f t="shared" si="23"/>
        <v>50</v>
      </c>
      <c r="U121" s="180">
        <f t="shared" si="35"/>
        <v>32.484076433121018</v>
      </c>
      <c r="V121" s="182">
        <f t="shared" si="25"/>
        <v>50</v>
      </c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>
        <f>3400000+1700000+1700000+1700000+1700000</f>
        <v>10200000</v>
      </c>
      <c r="AJ121" s="181">
        <f t="shared" si="27"/>
        <v>50</v>
      </c>
      <c r="AK121" s="180">
        <f t="shared" si="30"/>
        <v>10200000</v>
      </c>
      <c r="AL121" s="181">
        <f t="shared" si="28"/>
        <v>50</v>
      </c>
      <c r="AM121" s="243"/>
    </row>
    <row r="122" spans="1:39" ht="26.25" customHeight="1" x14ac:dyDescent="0.25">
      <c r="A122" s="243"/>
      <c r="B122" s="457"/>
      <c r="C122" s="457"/>
      <c r="D122" s="457"/>
      <c r="E122" s="457"/>
      <c r="F122" s="457"/>
      <c r="G122" s="457"/>
      <c r="H122" s="457"/>
      <c r="I122" s="458"/>
      <c r="J122" s="457" t="s">
        <v>554</v>
      </c>
      <c r="K122" s="245"/>
      <c r="L122" s="257"/>
      <c r="M122" s="597" t="s">
        <v>431</v>
      </c>
      <c r="N122" s="598"/>
      <c r="O122" s="299"/>
      <c r="P122" s="180"/>
      <c r="Q122" s="180">
        <v>2000000</v>
      </c>
      <c r="R122" s="181">
        <f t="shared" si="34"/>
        <v>6.369426751592357</v>
      </c>
      <c r="S122" s="181">
        <v>100</v>
      </c>
      <c r="T122" s="180">
        <f t="shared" si="23"/>
        <v>0</v>
      </c>
      <c r="U122" s="180">
        <f t="shared" si="35"/>
        <v>0</v>
      </c>
      <c r="V122" s="182">
        <f t="shared" si="25"/>
        <v>100</v>
      </c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>
        <v>0</v>
      </c>
      <c r="AJ122" s="181">
        <f t="shared" si="27"/>
        <v>0</v>
      </c>
      <c r="AK122" s="180">
        <f t="shared" si="30"/>
        <v>2000000</v>
      </c>
      <c r="AL122" s="181">
        <f t="shared" si="28"/>
        <v>100</v>
      </c>
      <c r="AM122" s="243"/>
    </row>
    <row r="123" spans="1:39" ht="26.25" customHeight="1" x14ac:dyDescent="0.25">
      <c r="A123" s="243"/>
      <c r="B123" s="457"/>
      <c r="C123" s="457"/>
      <c r="D123" s="457"/>
      <c r="E123" s="457"/>
      <c r="F123" s="457"/>
      <c r="G123" s="457"/>
      <c r="H123" s="457"/>
      <c r="I123" s="458"/>
      <c r="J123" s="457" t="s">
        <v>274</v>
      </c>
      <c r="K123" s="245"/>
      <c r="L123" s="257"/>
      <c r="M123" s="597" t="s">
        <v>555</v>
      </c>
      <c r="N123" s="598"/>
      <c r="O123" s="299"/>
      <c r="P123" s="180"/>
      <c r="Q123" s="180">
        <v>1000000</v>
      </c>
      <c r="R123" s="181">
        <f t="shared" si="34"/>
        <v>3.1847133757961785</v>
      </c>
      <c r="S123" s="181">
        <v>100</v>
      </c>
      <c r="T123" s="180">
        <f t="shared" si="23"/>
        <v>0</v>
      </c>
      <c r="U123" s="180">
        <f t="shared" si="35"/>
        <v>0</v>
      </c>
      <c r="V123" s="182">
        <f t="shared" si="25"/>
        <v>100</v>
      </c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>
        <v>0</v>
      </c>
      <c r="AJ123" s="181">
        <f t="shared" si="27"/>
        <v>0</v>
      </c>
      <c r="AK123" s="180">
        <f t="shared" si="30"/>
        <v>1000000</v>
      </c>
      <c r="AL123" s="181">
        <f t="shared" si="28"/>
        <v>100</v>
      </c>
      <c r="AM123" s="243"/>
    </row>
    <row r="124" spans="1:39" s="226" customFormat="1" ht="27" customHeight="1" x14ac:dyDescent="0.25">
      <c r="A124" s="289" t="s">
        <v>8</v>
      </c>
      <c r="B124" s="625" t="s">
        <v>125</v>
      </c>
      <c r="C124" s="625"/>
      <c r="D124" s="625"/>
      <c r="E124" s="625"/>
      <c r="F124" s="625"/>
      <c r="G124" s="625"/>
      <c r="H124" s="625"/>
      <c r="I124" s="625"/>
      <c r="J124" s="463" t="s">
        <v>440</v>
      </c>
      <c r="K124" s="291"/>
      <c r="L124" s="608" t="s">
        <v>23</v>
      </c>
      <c r="M124" s="625"/>
      <c r="N124" s="625"/>
      <c r="O124" s="263">
        <f>SUM(O127:O158)</f>
        <v>2275595000</v>
      </c>
      <c r="P124" s="263">
        <f>SUM(P127:P158)</f>
        <v>1979635000</v>
      </c>
      <c r="Q124" s="263">
        <f>SUM(Q125+Q127+Q139+Q141+Q144+Q148+Q155+Q157+Q159)</f>
        <v>3511736000</v>
      </c>
      <c r="R124" s="222">
        <f>Q124/Q$58*100</f>
        <v>17.402955822649453</v>
      </c>
      <c r="S124" s="222">
        <v>100</v>
      </c>
      <c r="T124" s="263">
        <f t="shared" si="23"/>
        <v>64.310248634863214</v>
      </c>
      <c r="U124" s="263">
        <f>SUM(R124*T124/100)</f>
        <v>11.191884159361269</v>
      </c>
      <c r="V124" s="292">
        <f>SUM(S124-T124)</f>
        <v>35.689751365136786</v>
      </c>
      <c r="W124" s="263">
        <f t="shared" ref="W124:AH124" si="36">SUM(W127:W158)</f>
        <v>0</v>
      </c>
      <c r="X124" s="263" t="e">
        <f t="shared" si="36"/>
        <v>#REF!</v>
      </c>
      <c r="Y124" s="263" t="e">
        <f t="shared" si="36"/>
        <v>#REF!</v>
      </c>
      <c r="Z124" s="263" t="e">
        <f t="shared" si="36"/>
        <v>#REF!</v>
      </c>
      <c r="AA124" s="263" t="e">
        <f t="shared" si="36"/>
        <v>#REF!</v>
      </c>
      <c r="AB124" s="263">
        <f t="shared" si="36"/>
        <v>3331855358</v>
      </c>
      <c r="AC124" s="263" t="e">
        <f t="shared" si="36"/>
        <v>#REF!</v>
      </c>
      <c r="AD124" s="263" t="e">
        <f t="shared" si="36"/>
        <v>#REF!</v>
      </c>
      <c r="AE124" s="263" t="e">
        <f t="shared" si="36"/>
        <v>#REF!</v>
      </c>
      <c r="AF124" s="263" t="e">
        <f t="shared" si="36"/>
        <v>#REF!</v>
      </c>
      <c r="AG124" s="263" t="e">
        <f t="shared" si="36"/>
        <v>#REF!</v>
      </c>
      <c r="AH124" s="263" t="e">
        <f t="shared" si="36"/>
        <v>#REF!</v>
      </c>
      <c r="AI124" s="263">
        <f>SUM(AI125+AI127+AI139+AI141+AI144+AI148+AI155+AI157+AI159)</f>
        <v>2258406153</v>
      </c>
      <c r="AJ124" s="222">
        <f t="shared" si="27"/>
        <v>64.310248634863214</v>
      </c>
      <c r="AK124" s="263">
        <f>SUM(Q124-AI124)</f>
        <v>1253329847</v>
      </c>
      <c r="AL124" s="222">
        <f t="shared" si="28"/>
        <v>35.689751365136786</v>
      </c>
      <c r="AM124" s="236"/>
    </row>
    <row r="125" spans="1:39" s="235" customFormat="1" ht="27" customHeight="1" x14ac:dyDescent="0.25">
      <c r="A125" s="227">
        <f>A110+1</f>
        <v>15</v>
      </c>
      <c r="B125" s="615" t="s">
        <v>126</v>
      </c>
      <c r="C125" s="615"/>
      <c r="D125" s="615"/>
      <c r="E125" s="615"/>
      <c r="F125" s="615"/>
      <c r="G125" s="615"/>
      <c r="H125" s="615"/>
      <c r="I125" s="614"/>
      <c r="J125" s="304" t="s">
        <v>557</v>
      </c>
      <c r="K125" s="230"/>
      <c r="L125" s="294"/>
      <c r="M125" s="615" t="s">
        <v>558</v>
      </c>
      <c r="N125" s="614"/>
      <c r="O125" s="295">
        <v>833155000</v>
      </c>
      <c r="P125" s="231">
        <f>O125</f>
        <v>833155000</v>
      </c>
      <c r="Q125" s="231">
        <f>SUM(Q126)</f>
        <v>318296000</v>
      </c>
      <c r="R125" s="233">
        <f>Q125/Q$59*100</f>
        <v>12.60122206294943</v>
      </c>
      <c r="S125" s="233">
        <v>100</v>
      </c>
      <c r="T125" s="231">
        <f t="shared" si="23"/>
        <v>35.419860758539222</v>
      </c>
      <c r="U125" s="231">
        <f t="shared" ref="U125:U140" si="37">R125*T125/100</f>
        <v>4.4633353085710121</v>
      </c>
      <c r="V125" s="296">
        <f t="shared" ref="V125:V126" si="38">S125-T125</f>
        <v>64.580139241460785</v>
      </c>
      <c r="W125" s="231"/>
      <c r="X125" s="231" t="e">
        <f>#REF!</f>
        <v>#REF!</v>
      </c>
      <c r="Y125" s="231" t="e">
        <f>#REF!</f>
        <v>#REF!</v>
      </c>
      <c r="Z125" s="231" t="e">
        <f>#REF!</f>
        <v>#REF!</v>
      </c>
      <c r="AA125" s="231" t="e">
        <f>#REF!</f>
        <v>#REF!</v>
      </c>
      <c r="AB125" s="231">
        <v>139212000</v>
      </c>
      <c r="AC125" s="231" t="e">
        <f>#REF!</f>
        <v>#REF!</v>
      </c>
      <c r="AD125" s="231" t="e">
        <f>#REF!</f>
        <v>#REF!</v>
      </c>
      <c r="AE125" s="231" t="e">
        <f>#REF!</f>
        <v>#REF!</v>
      </c>
      <c r="AF125" s="231" t="e">
        <f>[1]April!N30</f>
        <v>#REF!</v>
      </c>
      <c r="AG125" s="231" t="e">
        <f>[2]april!N30</f>
        <v>#REF!</v>
      </c>
      <c r="AH125" s="231">
        <f>'[3]DES SKPD'!$N30</f>
        <v>660543350</v>
      </c>
      <c r="AI125" s="231">
        <f>SUM(AI126)</f>
        <v>112740000</v>
      </c>
      <c r="AJ125" s="233">
        <f t="shared" si="27"/>
        <v>35.419860758539222</v>
      </c>
      <c r="AK125" s="231">
        <f t="shared" ref="AK125:AK160" si="39">Q125-AI125</f>
        <v>205556000</v>
      </c>
      <c r="AL125" s="233">
        <f t="shared" si="28"/>
        <v>64.58013924146077</v>
      </c>
      <c r="AM125" s="227"/>
    </row>
    <row r="126" spans="1:39" s="235" customFormat="1" ht="27" customHeight="1" x14ac:dyDescent="0.25">
      <c r="A126" s="243"/>
      <c r="B126" s="457"/>
      <c r="C126" s="457"/>
      <c r="D126" s="457"/>
      <c r="E126" s="457"/>
      <c r="F126" s="457"/>
      <c r="G126" s="457"/>
      <c r="H126" s="457"/>
      <c r="I126" s="458"/>
      <c r="J126" s="457" t="s">
        <v>434</v>
      </c>
      <c r="K126" s="245"/>
      <c r="L126" s="257"/>
      <c r="M126" s="597" t="s">
        <v>559</v>
      </c>
      <c r="N126" s="598"/>
      <c r="O126" s="299"/>
      <c r="P126" s="180"/>
      <c r="Q126" s="180">
        <v>318296000</v>
      </c>
      <c r="R126" s="181">
        <f t="shared" ref="R126" si="40">Q126/Q$94*100</f>
        <v>1013.6815286624204</v>
      </c>
      <c r="S126" s="181">
        <v>100</v>
      </c>
      <c r="T126" s="180">
        <f t="shared" si="23"/>
        <v>35.419860758539222</v>
      </c>
      <c r="U126" s="180">
        <f t="shared" si="37"/>
        <v>359.04458598726114</v>
      </c>
      <c r="V126" s="182">
        <f t="shared" si="38"/>
        <v>64.580139241460785</v>
      </c>
      <c r="W126" s="180"/>
      <c r="X126" s="180" t="e">
        <f>#REF!</f>
        <v>#REF!</v>
      </c>
      <c r="Y126" s="180" t="e">
        <f>#REF!</f>
        <v>#REF!</v>
      </c>
      <c r="Z126" s="180" t="e">
        <f>#REF!</f>
        <v>#REF!</v>
      </c>
      <c r="AA126" s="180" t="e">
        <f>#REF!</f>
        <v>#REF!</v>
      </c>
      <c r="AB126" s="180">
        <v>139212001</v>
      </c>
      <c r="AC126" s="180" t="e">
        <f>#REF!</f>
        <v>#REF!</v>
      </c>
      <c r="AD126" s="180" t="e">
        <f>#REF!</f>
        <v>#REF!</v>
      </c>
      <c r="AE126" s="180" t="e">
        <f>#REF!</f>
        <v>#REF!</v>
      </c>
      <c r="AF126" s="180" t="e">
        <f>[1]April!N32</f>
        <v>#REF!</v>
      </c>
      <c r="AG126" s="180" t="e">
        <f>[2]april!N32</f>
        <v>#REF!</v>
      </c>
      <c r="AH126" s="180" t="e">
        <f>'[3]DES SKPD'!$N32</f>
        <v>#REF!</v>
      </c>
      <c r="AI126" s="180">
        <f>61250000+51490000</f>
        <v>112740000</v>
      </c>
      <c r="AJ126" s="181">
        <f t="shared" si="27"/>
        <v>35.419860758539222</v>
      </c>
      <c r="AK126" s="180">
        <f t="shared" si="39"/>
        <v>205556000</v>
      </c>
      <c r="AL126" s="181">
        <f t="shared" si="28"/>
        <v>64.58013924146077</v>
      </c>
      <c r="AM126" s="227"/>
    </row>
    <row r="127" spans="1:39" s="297" customFormat="1" ht="33" customHeight="1" x14ac:dyDescent="0.25">
      <c r="A127" s="227">
        <f>A125+1</f>
        <v>16</v>
      </c>
      <c r="B127" s="615" t="s">
        <v>126</v>
      </c>
      <c r="C127" s="615"/>
      <c r="D127" s="615"/>
      <c r="E127" s="615"/>
      <c r="F127" s="615"/>
      <c r="G127" s="615"/>
      <c r="H127" s="615"/>
      <c r="I127" s="614"/>
      <c r="J127" s="304" t="s">
        <v>455</v>
      </c>
      <c r="K127" s="230"/>
      <c r="L127" s="294"/>
      <c r="M127" s="615" t="s">
        <v>24</v>
      </c>
      <c r="N127" s="614"/>
      <c r="O127" s="295">
        <v>833155000</v>
      </c>
      <c r="P127" s="231">
        <f>O127</f>
        <v>833155000</v>
      </c>
      <c r="Q127" s="231">
        <f>SUM(Q128:Q138)</f>
        <v>1068800000</v>
      </c>
      <c r="R127" s="233">
        <f>Q127/Q$59*100</f>
        <v>42.313400548170108</v>
      </c>
      <c r="S127" s="233">
        <v>100</v>
      </c>
      <c r="T127" s="231">
        <f t="shared" si="23"/>
        <v>86.810366766467055</v>
      </c>
      <c r="U127" s="231">
        <f t="shared" si="37"/>
        <v>36.732418207230751</v>
      </c>
      <c r="V127" s="296">
        <f t="shared" si="25"/>
        <v>13.189633233532945</v>
      </c>
      <c r="W127" s="231"/>
      <c r="X127" s="231" t="e">
        <f>#REF!</f>
        <v>#REF!</v>
      </c>
      <c r="Y127" s="231" t="e">
        <f>#REF!</f>
        <v>#REF!</v>
      </c>
      <c r="Z127" s="231" t="e">
        <f>#REF!</f>
        <v>#REF!</v>
      </c>
      <c r="AA127" s="231" t="e">
        <f>#REF!</f>
        <v>#REF!</v>
      </c>
      <c r="AB127" s="231">
        <v>139212000</v>
      </c>
      <c r="AC127" s="231" t="e">
        <f>#REF!</f>
        <v>#REF!</v>
      </c>
      <c r="AD127" s="231" t="e">
        <f>#REF!</f>
        <v>#REF!</v>
      </c>
      <c r="AE127" s="231" t="e">
        <f>#REF!</f>
        <v>#REF!</v>
      </c>
      <c r="AF127" s="231" t="e">
        <f>[1]April!N35</f>
        <v>#REF!</v>
      </c>
      <c r="AG127" s="231" t="e">
        <f>[2]april!N35</f>
        <v>#REF!</v>
      </c>
      <c r="AH127" s="231">
        <f>'[3]DES SKPD'!$N35</f>
        <v>979532000</v>
      </c>
      <c r="AI127" s="231">
        <f>SUM(AI128:AI138)</f>
        <v>927829200</v>
      </c>
      <c r="AJ127" s="233">
        <f t="shared" si="27"/>
        <v>86.810366766467055</v>
      </c>
      <c r="AK127" s="231">
        <f t="shared" si="39"/>
        <v>140970800</v>
      </c>
      <c r="AL127" s="233">
        <f t="shared" si="28"/>
        <v>13.189633233532936</v>
      </c>
      <c r="AM127" s="227"/>
    </row>
    <row r="128" spans="1:39" ht="24.75" customHeight="1" x14ac:dyDescent="0.25">
      <c r="A128" s="243"/>
      <c r="B128" s="457"/>
      <c r="C128" s="457"/>
      <c r="D128" s="457"/>
      <c r="E128" s="457"/>
      <c r="F128" s="457"/>
      <c r="G128" s="457"/>
      <c r="H128" s="457"/>
      <c r="I128" s="458"/>
      <c r="J128" s="457" t="s">
        <v>561</v>
      </c>
      <c r="K128" s="245"/>
      <c r="L128" s="257"/>
      <c r="M128" s="597" t="s">
        <v>560</v>
      </c>
      <c r="N128" s="598"/>
      <c r="O128" s="299"/>
      <c r="P128" s="180"/>
      <c r="Q128" s="180">
        <v>35000000</v>
      </c>
      <c r="R128" s="181">
        <f t="shared" ref="R128:R138" si="41">Q128/Q$127*100</f>
        <v>3.2747005988023949</v>
      </c>
      <c r="S128" s="181">
        <v>100</v>
      </c>
      <c r="T128" s="180">
        <f t="shared" si="23"/>
        <v>99.285714285714292</v>
      </c>
      <c r="U128" s="180">
        <f t="shared" si="37"/>
        <v>3.2513098802395213</v>
      </c>
      <c r="V128" s="182">
        <f t="shared" si="25"/>
        <v>0.7142857142857082</v>
      </c>
      <c r="W128" s="180"/>
      <c r="X128" s="180" t="e">
        <f>#REF!</f>
        <v>#REF!</v>
      </c>
      <c r="Y128" s="180" t="e">
        <f>#REF!</f>
        <v>#REF!</v>
      </c>
      <c r="Z128" s="180" t="e">
        <f>#REF!</f>
        <v>#REF!</v>
      </c>
      <c r="AA128" s="180" t="e">
        <f>#REF!</f>
        <v>#REF!</v>
      </c>
      <c r="AB128" s="180">
        <v>139212001</v>
      </c>
      <c r="AC128" s="180" t="e">
        <f>#REF!</f>
        <v>#REF!</v>
      </c>
      <c r="AD128" s="180" t="e">
        <f>#REF!</f>
        <v>#REF!</v>
      </c>
      <c r="AE128" s="180" t="e">
        <f>#REF!</f>
        <v>#REF!</v>
      </c>
      <c r="AF128" s="180" t="e">
        <f>[1]April!N37</f>
        <v>#REF!</v>
      </c>
      <c r="AG128" s="180" t="e">
        <f>[2]april!N37</f>
        <v>#REF!</v>
      </c>
      <c r="AH128" s="180">
        <f>'[3]DES SKPD'!$N37</f>
        <v>0</v>
      </c>
      <c r="AI128" s="180">
        <v>34750000</v>
      </c>
      <c r="AJ128" s="181">
        <f t="shared" si="27"/>
        <v>99.285714285714292</v>
      </c>
      <c r="AK128" s="180">
        <f t="shared" si="39"/>
        <v>250000</v>
      </c>
      <c r="AL128" s="181">
        <f t="shared" si="28"/>
        <v>0.7142857142857143</v>
      </c>
      <c r="AM128" s="243"/>
    </row>
    <row r="129" spans="1:39" ht="33" customHeight="1" x14ac:dyDescent="0.25">
      <c r="A129" s="243"/>
      <c r="B129" s="457"/>
      <c r="C129" s="457"/>
      <c r="D129" s="457"/>
      <c r="E129" s="457"/>
      <c r="F129" s="457"/>
      <c r="G129" s="457"/>
      <c r="H129" s="457"/>
      <c r="I129" s="458"/>
      <c r="J129" s="457" t="s">
        <v>563</v>
      </c>
      <c r="K129" s="245"/>
      <c r="L129" s="257"/>
      <c r="M129" s="597" t="s">
        <v>562</v>
      </c>
      <c r="N129" s="598"/>
      <c r="O129" s="299"/>
      <c r="P129" s="180"/>
      <c r="Q129" s="180">
        <v>110000000</v>
      </c>
      <c r="R129" s="181">
        <f t="shared" si="41"/>
        <v>10.29191616766467</v>
      </c>
      <c r="S129" s="181">
        <v>100</v>
      </c>
      <c r="T129" s="180">
        <f t="shared" si="23"/>
        <v>98.636363636363626</v>
      </c>
      <c r="U129" s="180">
        <f t="shared" si="37"/>
        <v>10.151571856287424</v>
      </c>
      <c r="V129" s="182">
        <f t="shared" si="25"/>
        <v>1.363636363636374</v>
      </c>
      <c r="W129" s="180"/>
      <c r="X129" s="180" t="e">
        <f>#REF!</f>
        <v>#REF!</v>
      </c>
      <c r="Y129" s="180" t="e">
        <f>#REF!</f>
        <v>#REF!</v>
      </c>
      <c r="Z129" s="180" t="e">
        <f>#REF!</f>
        <v>#REF!</v>
      </c>
      <c r="AA129" s="180" t="e">
        <f>#REF!</f>
        <v>#REF!</v>
      </c>
      <c r="AB129" s="180">
        <v>139212002</v>
      </c>
      <c r="AC129" s="180" t="e">
        <f>#REF!</f>
        <v>#REF!</v>
      </c>
      <c r="AD129" s="180" t="e">
        <f>#REF!</f>
        <v>#REF!</v>
      </c>
      <c r="AE129" s="180" t="e">
        <f>#REF!</f>
        <v>#REF!</v>
      </c>
      <c r="AF129" s="180" t="e">
        <f>[1]April!N37</f>
        <v>#REF!</v>
      </c>
      <c r="AG129" s="180" t="e">
        <f>[2]april!N37</f>
        <v>#REF!</v>
      </c>
      <c r="AH129" s="180">
        <f>'[3]DES SKPD'!$N37</f>
        <v>0</v>
      </c>
      <c r="AI129" s="180">
        <v>108500000</v>
      </c>
      <c r="AJ129" s="181">
        <f t="shared" si="27"/>
        <v>98.636363636363626</v>
      </c>
      <c r="AK129" s="180">
        <f t="shared" si="39"/>
        <v>1500000</v>
      </c>
      <c r="AL129" s="181">
        <f t="shared" si="28"/>
        <v>1.3636363636363635</v>
      </c>
      <c r="AM129" s="243"/>
    </row>
    <row r="130" spans="1:39" ht="27" customHeight="1" x14ac:dyDescent="0.25">
      <c r="A130" s="243"/>
      <c r="B130" s="457"/>
      <c r="C130" s="457"/>
      <c r="D130" s="457"/>
      <c r="E130" s="457"/>
      <c r="F130" s="457"/>
      <c r="G130" s="457"/>
      <c r="H130" s="457"/>
      <c r="I130" s="458"/>
      <c r="J130" s="457" t="s">
        <v>564</v>
      </c>
      <c r="K130" s="245"/>
      <c r="L130" s="257"/>
      <c r="M130" s="597" t="s">
        <v>565</v>
      </c>
      <c r="N130" s="598"/>
      <c r="O130" s="299"/>
      <c r="P130" s="180"/>
      <c r="Q130" s="180">
        <v>25000000</v>
      </c>
      <c r="R130" s="181">
        <f t="shared" si="41"/>
        <v>2.3390718562874251</v>
      </c>
      <c r="S130" s="181">
        <v>100</v>
      </c>
      <c r="T130" s="180">
        <f t="shared" si="23"/>
        <v>0</v>
      </c>
      <c r="U130" s="180">
        <f t="shared" si="37"/>
        <v>0</v>
      </c>
      <c r="V130" s="182">
        <f t="shared" si="25"/>
        <v>100</v>
      </c>
      <c r="W130" s="180"/>
      <c r="X130" s="180" t="e">
        <f>#REF!</f>
        <v>#REF!</v>
      </c>
      <c r="Y130" s="180" t="e">
        <f>#REF!</f>
        <v>#REF!</v>
      </c>
      <c r="Z130" s="180" t="e">
        <f>#REF!</f>
        <v>#REF!</v>
      </c>
      <c r="AA130" s="180" t="e">
        <f>#REF!</f>
        <v>#REF!</v>
      </c>
      <c r="AB130" s="180">
        <v>139212003</v>
      </c>
      <c r="AC130" s="180" t="e">
        <f>#REF!</f>
        <v>#REF!</v>
      </c>
      <c r="AD130" s="180" t="e">
        <f>#REF!</f>
        <v>#REF!</v>
      </c>
      <c r="AE130" s="180" t="e">
        <f>#REF!</f>
        <v>#REF!</v>
      </c>
      <c r="AF130" s="180" t="e">
        <f>[1]April!N38</f>
        <v>#REF!</v>
      </c>
      <c r="AG130" s="180" t="e">
        <f>[2]april!N38</f>
        <v>#REF!</v>
      </c>
      <c r="AH130" s="180">
        <f>'[3]DES SKPD'!$N38</f>
        <v>322038365</v>
      </c>
      <c r="AI130" s="180">
        <v>0</v>
      </c>
      <c r="AJ130" s="181">
        <f t="shared" si="27"/>
        <v>0</v>
      </c>
      <c r="AK130" s="180">
        <f t="shared" si="39"/>
        <v>25000000</v>
      </c>
      <c r="AL130" s="181">
        <f t="shared" si="28"/>
        <v>100</v>
      </c>
      <c r="AM130" s="243"/>
    </row>
    <row r="131" spans="1:39" ht="27.75" customHeight="1" x14ac:dyDescent="0.25">
      <c r="A131" s="243"/>
      <c r="B131" s="457"/>
      <c r="C131" s="457"/>
      <c r="D131" s="457"/>
      <c r="E131" s="457"/>
      <c r="F131" s="457"/>
      <c r="G131" s="457"/>
      <c r="H131" s="457"/>
      <c r="I131" s="458"/>
      <c r="J131" s="457" t="s">
        <v>566</v>
      </c>
      <c r="K131" s="245"/>
      <c r="L131" s="257"/>
      <c r="M131" s="597" t="s">
        <v>567</v>
      </c>
      <c r="N131" s="598"/>
      <c r="O131" s="299"/>
      <c r="P131" s="180"/>
      <c r="Q131" s="180">
        <v>12000000</v>
      </c>
      <c r="R131" s="181">
        <f t="shared" si="41"/>
        <v>1.1227544910179641</v>
      </c>
      <c r="S131" s="181">
        <v>100</v>
      </c>
      <c r="T131" s="180">
        <f t="shared" si="23"/>
        <v>82.415000000000006</v>
      </c>
      <c r="U131" s="180">
        <f t="shared" si="37"/>
        <v>0.92531811377245521</v>
      </c>
      <c r="V131" s="182">
        <f t="shared" si="25"/>
        <v>17.584999999999994</v>
      </c>
      <c r="W131" s="180"/>
      <c r="X131" s="180" t="e">
        <f>#REF!</f>
        <v>#REF!</v>
      </c>
      <c r="Y131" s="180" t="e">
        <f>#REF!</f>
        <v>#REF!</v>
      </c>
      <c r="Z131" s="180" t="e">
        <f>#REF!</f>
        <v>#REF!</v>
      </c>
      <c r="AA131" s="180" t="e">
        <f>#REF!</f>
        <v>#REF!</v>
      </c>
      <c r="AB131" s="180">
        <v>139212004</v>
      </c>
      <c r="AC131" s="180" t="e">
        <f>#REF!</f>
        <v>#REF!</v>
      </c>
      <c r="AD131" s="180" t="e">
        <f>#REF!</f>
        <v>#REF!</v>
      </c>
      <c r="AE131" s="180" t="e">
        <f>#REF!</f>
        <v>#REF!</v>
      </c>
      <c r="AF131" s="180" t="e">
        <f>[1]April!N39</f>
        <v>#REF!</v>
      </c>
      <c r="AG131" s="180" t="e">
        <f>[2]april!N39</f>
        <v>#REF!</v>
      </c>
      <c r="AH131" s="180">
        <f>'[3]DES SKPD'!$N39</f>
        <v>676934270</v>
      </c>
      <c r="AI131" s="180">
        <v>9889800</v>
      </c>
      <c r="AJ131" s="181">
        <f t="shared" si="27"/>
        <v>82.415000000000006</v>
      </c>
      <c r="AK131" s="180">
        <f t="shared" si="39"/>
        <v>2110200</v>
      </c>
      <c r="AL131" s="181">
        <f t="shared" si="28"/>
        <v>17.585000000000001</v>
      </c>
      <c r="AM131" s="243"/>
    </row>
    <row r="132" spans="1:39" ht="27.75" customHeight="1" x14ac:dyDescent="0.25">
      <c r="A132" s="243"/>
      <c r="B132" s="457"/>
      <c r="C132" s="457"/>
      <c r="D132" s="457"/>
      <c r="E132" s="457"/>
      <c r="F132" s="457"/>
      <c r="G132" s="457"/>
      <c r="H132" s="457"/>
      <c r="I132" s="458"/>
      <c r="J132" s="457" t="s">
        <v>435</v>
      </c>
      <c r="K132" s="245"/>
      <c r="L132" s="257"/>
      <c r="M132" s="597" t="s">
        <v>396</v>
      </c>
      <c r="N132" s="598"/>
      <c r="O132" s="299"/>
      <c r="P132" s="180"/>
      <c r="Q132" s="180">
        <v>42500000</v>
      </c>
      <c r="R132" s="181">
        <f t="shared" si="41"/>
        <v>3.9764221556886228</v>
      </c>
      <c r="S132" s="181">
        <v>100</v>
      </c>
      <c r="T132" s="180">
        <f t="shared" si="23"/>
        <v>97.294117647058826</v>
      </c>
      <c r="U132" s="180">
        <f t="shared" si="37"/>
        <v>3.8688248502994016</v>
      </c>
      <c r="V132" s="182">
        <f t="shared" ref="V132:V153" si="42">S132-T132</f>
        <v>2.705882352941174</v>
      </c>
      <c r="W132" s="180"/>
      <c r="X132" s="180" t="e">
        <f>#REF!</f>
        <v>#REF!</v>
      </c>
      <c r="Y132" s="180" t="e">
        <f>#REF!</f>
        <v>#REF!</v>
      </c>
      <c r="Z132" s="180" t="e">
        <f>#REF!</f>
        <v>#REF!</v>
      </c>
      <c r="AA132" s="180" t="e">
        <f>#REF!</f>
        <v>#REF!</v>
      </c>
      <c r="AB132" s="180">
        <v>139212004</v>
      </c>
      <c r="AC132" s="180" t="e">
        <f>#REF!</f>
        <v>#REF!</v>
      </c>
      <c r="AD132" s="180" t="e">
        <f>#REF!</f>
        <v>#REF!</v>
      </c>
      <c r="AE132" s="180" t="e">
        <f>#REF!</f>
        <v>#REF!</v>
      </c>
      <c r="AF132" s="180" t="e">
        <f>[1]April!N40</f>
        <v>#REF!</v>
      </c>
      <c r="AG132" s="180" t="e">
        <f>[2]april!N40</f>
        <v>#REF!</v>
      </c>
      <c r="AH132" s="180">
        <f>'[3]DES SKPD'!$N40</f>
        <v>140440000</v>
      </c>
      <c r="AI132" s="180">
        <v>41350000</v>
      </c>
      <c r="AJ132" s="181">
        <f t="shared" si="27"/>
        <v>97.294117647058826</v>
      </c>
      <c r="AK132" s="180">
        <f t="shared" si="39"/>
        <v>1150000</v>
      </c>
      <c r="AL132" s="181">
        <f t="shared" si="28"/>
        <v>2.7058823529411762</v>
      </c>
      <c r="AM132" s="243"/>
    </row>
    <row r="133" spans="1:39" ht="27.75" customHeight="1" x14ac:dyDescent="0.25">
      <c r="A133" s="243"/>
      <c r="B133" s="457"/>
      <c r="C133" s="457"/>
      <c r="D133" s="457"/>
      <c r="E133" s="457"/>
      <c r="F133" s="457"/>
      <c r="G133" s="457"/>
      <c r="H133" s="457"/>
      <c r="I133" s="458"/>
      <c r="J133" s="457" t="s">
        <v>400</v>
      </c>
      <c r="K133" s="245"/>
      <c r="L133" s="257"/>
      <c r="M133" s="597" t="s">
        <v>568</v>
      </c>
      <c r="N133" s="598"/>
      <c r="O133" s="299"/>
      <c r="P133" s="180"/>
      <c r="Q133" s="180">
        <v>493300000</v>
      </c>
      <c r="R133" s="181">
        <f t="shared" si="41"/>
        <v>46.154565868263475</v>
      </c>
      <c r="S133" s="181">
        <v>100</v>
      </c>
      <c r="T133" s="180">
        <f t="shared" si="23"/>
        <v>83.323575917291706</v>
      </c>
      <c r="U133" s="180">
        <f t="shared" si="37"/>
        <v>38.457634730538921</v>
      </c>
      <c r="V133" s="182">
        <f t="shared" si="42"/>
        <v>16.676424082708294</v>
      </c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>
        <v>411035200</v>
      </c>
      <c r="AJ133" s="181">
        <f t="shared" si="27"/>
        <v>83.323575917291706</v>
      </c>
      <c r="AK133" s="180">
        <f t="shared" si="39"/>
        <v>82264800</v>
      </c>
      <c r="AL133" s="181">
        <f t="shared" si="28"/>
        <v>16.676424082708291</v>
      </c>
      <c r="AM133" s="243"/>
    </row>
    <row r="134" spans="1:39" ht="27.75" customHeight="1" x14ac:dyDescent="0.25">
      <c r="A134" s="243"/>
      <c r="B134" s="457"/>
      <c r="C134" s="457"/>
      <c r="D134" s="457"/>
      <c r="E134" s="457"/>
      <c r="F134" s="457"/>
      <c r="G134" s="457"/>
      <c r="H134" s="457"/>
      <c r="I134" s="458"/>
      <c r="J134" s="457" t="s">
        <v>569</v>
      </c>
      <c r="K134" s="245"/>
      <c r="L134" s="257"/>
      <c r="M134" s="597" t="s">
        <v>570</v>
      </c>
      <c r="N134" s="598"/>
      <c r="O134" s="299"/>
      <c r="P134" s="180"/>
      <c r="Q134" s="180">
        <v>50000000</v>
      </c>
      <c r="R134" s="181">
        <f t="shared" si="41"/>
        <v>4.6781437125748502</v>
      </c>
      <c r="S134" s="181">
        <v>100</v>
      </c>
      <c r="T134" s="180">
        <f t="shared" si="23"/>
        <v>98.346800000000002</v>
      </c>
      <c r="U134" s="180">
        <f t="shared" si="37"/>
        <v>4.6008046407185628</v>
      </c>
      <c r="V134" s="182">
        <f t="shared" si="42"/>
        <v>1.6531999999999982</v>
      </c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>
        <v>49173400</v>
      </c>
      <c r="AJ134" s="181">
        <f t="shared" si="27"/>
        <v>98.346800000000002</v>
      </c>
      <c r="AK134" s="180">
        <f t="shared" si="39"/>
        <v>826600</v>
      </c>
      <c r="AL134" s="181">
        <f t="shared" si="28"/>
        <v>1.6532000000000002</v>
      </c>
      <c r="AM134" s="243"/>
    </row>
    <row r="135" spans="1:39" ht="27.75" customHeight="1" x14ac:dyDescent="0.25">
      <c r="A135" s="243"/>
      <c r="B135" s="457"/>
      <c r="C135" s="457"/>
      <c r="D135" s="457"/>
      <c r="E135" s="457"/>
      <c r="F135" s="457"/>
      <c r="G135" s="457"/>
      <c r="H135" s="457"/>
      <c r="I135" s="458"/>
      <c r="J135" s="457" t="s">
        <v>286</v>
      </c>
      <c r="K135" s="245"/>
      <c r="L135" s="257"/>
      <c r="M135" s="597" t="s">
        <v>571</v>
      </c>
      <c r="N135" s="598"/>
      <c r="O135" s="299"/>
      <c r="P135" s="180"/>
      <c r="Q135" s="180">
        <v>50000000</v>
      </c>
      <c r="R135" s="181">
        <f t="shared" si="41"/>
        <v>4.6781437125748502</v>
      </c>
      <c r="S135" s="181">
        <v>100</v>
      </c>
      <c r="T135" s="180">
        <f t="shared" si="23"/>
        <v>98.4</v>
      </c>
      <c r="U135" s="180">
        <f t="shared" si="37"/>
        <v>4.6032934131736525</v>
      </c>
      <c r="V135" s="182">
        <f t="shared" si="42"/>
        <v>1.5999999999999943</v>
      </c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>
        <v>49200000</v>
      </c>
      <c r="AJ135" s="181">
        <f t="shared" si="27"/>
        <v>98.4</v>
      </c>
      <c r="AK135" s="180">
        <f t="shared" si="39"/>
        <v>800000</v>
      </c>
      <c r="AL135" s="181">
        <f t="shared" si="28"/>
        <v>1.6</v>
      </c>
      <c r="AM135" s="243"/>
    </row>
    <row r="136" spans="1:39" ht="27.75" customHeight="1" x14ac:dyDescent="0.25">
      <c r="A136" s="243"/>
      <c r="B136" s="457"/>
      <c r="C136" s="457"/>
      <c r="D136" s="457"/>
      <c r="E136" s="457"/>
      <c r="F136" s="457"/>
      <c r="G136" s="457"/>
      <c r="H136" s="457"/>
      <c r="I136" s="458"/>
      <c r="J136" s="457" t="s">
        <v>402</v>
      </c>
      <c r="K136" s="245"/>
      <c r="L136" s="257"/>
      <c r="M136" s="597" t="s">
        <v>572</v>
      </c>
      <c r="N136" s="598"/>
      <c r="O136" s="299"/>
      <c r="P136" s="180"/>
      <c r="Q136" s="180">
        <v>192000000</v>
      </c>
      <c r="R136" s="181">
        <f t="shared" si="41"/>
        <v>17.964071856287426</v>
      </c>
      <c r="S136" s="181">
        <v>100</v>
      </c>
      <c r="T136" s="180">
        <f t="shared" si="23"/>
        <v>89.400468750000002</v>
      </c>
      <c r="U136" s="180">
        <f t="shared" si="37"/>
        <v>16.059964446107784</v>
      </c>
      <c r="V136" s="182">
        <f t="shared" si="42"/>
        <v>10.599531249999998</v>
      </c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>
        <v>171648900</v>
      </c>
      <c r="AJ136" s="181">
        <f t="shared" si="27"/>
        <v>89.400468750000002</v>
      </c>
      <c r="AK136" s="180">
        <f t="shared" si="39"/>
        <v>20351100</v>
      </c>
      <c r="AL136" s="181">
        <f t="shared" si="28"/>
        <v>10.59953125</v>
      </c>
      <c r="AM136" s="243"/>
    </row>
    <row r="137" spans="1:39" ht="27.75" customHeight="1" x14ac:dyDescent="0.25">
      <c r="A137" s="243"/>
      <c r="B137" s="457"/>
      <c r="C137" s="457"/>
      <c r="D137" s="457"/>
      <c r="E137" s="457"/>
      <c r="F137" s="457"/>
      <c r="G137" s="457"/>
      <c r="H137" s="457"/>
      <c r="I137" s="458"/>
      <c r="J137" s="457" t="s">
        <v>573</v>
      </c>
      <c r="K137" s="245"/>
      <c r="L137" s="257"/>
      <c r="M137" s="597" t="s">
        <v>574</v>
      </c>
      <c r="N137" s="598"/>
      <c r="O137" s="299"/>
      <c r="P137" s="180"/>
      <c r="Q137" s="180">
        <v>15000000</v>
      </c>
      <c r="R137" s="181">
        <f t="shared" si="41"/>
        <v>1.403443113772455</v>
      </c>
      <c r="S137" s="181">
        <v>100</v>
      </c>
      <c r="T137" s="180">
        <f t="shared" si="23"/>
        <v>81.879333333333335</v>
      </c>
      <c r="U137" s="180">
        <f t="shared" si="37"/>
        <v>1.149129865269461</v>
      </c>
      <c r="V137" s="182">
        <f t="shared" si="42"/>
        <v>18.120666666666665</v>
      </c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>
        <v>12281900</v>
      </c>
      <c r="AJ137" s="181">
        <f t="shared" si="27"/>
        <v>81.879333333333335</v>
      </c>
      <c r="AK137" s="180">
        <f t="shared" si="39"/>
        <v>2718100</v>
      </c>
      <c r="AL137" s="181">
        <f t="shared" si="28"/>
        <v>18.120666666666665</v>
      </c>
      <c r="AM137" s="243"/>
    </row>
    <row r="138" spans="1:39" ht="27.75" customHeight="1" x14ac:dyDescent="0.25">
      <c r="A138" s="243"/>
      <c r="B138" s="457"/>
      <c r="C138" s="457"/>
      <c r="D138" s="457"/>
      <c r="E138" s="457"/>
      <c r="F138" s="457"/>
      <c r="G138" s="457"/>
      <c r="H138" s="457"/>
      <c r="I138" s="458"/>
      <c r="J138" s="457" t="s">
        <v>575</v>
      </c>
      <c r="K138" s="245"/>
      <c r="L138" s="257"/>
      <c r="M138" s="597" t="s">
        <v>576</v>
      </c>
      <c r="N138" s="598"/>
      <c r="O138" s="299"/>
      <c r="P138" s="180"/>
      <c r="Q138" s="180">
        <v>44000000</v>
      </c>
      <c r="R138" s="181">
        <f t="shared" si="41"/>
        <v>4.1167664670658679</v>
      </c>
      <c r="S138" s="181">
        <v>100</v>
      </c>
      <c r="T138" s="180">
        <f t="shared" si="23"/>
        <v>90.909090909090907</v>
      </c>
      <c r="U138" s="180">
        <f t="shared" si="37"/>
        <v>3.7425149700598799</v>
      </c>
      <c r="V138" s="182">
        <f t="shared" si="42"/>
        <v>9.0909090909090935</v>
      </c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>
        <v>40000000</v>
      </c>
      <c r="AJ138" s="181">
        <f t="shared" si="27"/>
        <v>90.909090909090907</v>
      </c>
      <c r="AK138" s="180">
        <f t="shared" si="39"/>
        <v>4000000</v>
      </c>
      <c r="AL138" s="181">
        <f t="shared" si="28"/>
        <v>9.0909090909090917</v>
      </c>
      <c r="AM138" s="243"/>
    </row>
    <row r="139" spans="1:39" s="297" customFormat="1" ht="24.75" customHeight="1" x14ac:dyDescent="0.25">
      <c r="A139" s="227">
        <f>A127+1</f>
        <v>17</v>
      </c>
      <c r="B139" s="615" t="s">
        <v>127</v>
      </c>
      <c r="C139" s="615"/>
      <c r="D139" s="615"/>
      <c r="E139" s="615"/>
      <c r="F139" s="615"/>
      <c r="G139" s="615"/>
      <c r="H139" s="615"/>
      <c r="I139" s="614"/>
      <c r="J139" s="304" t="s">
        <v>456</v>
      </c>
      <c r="K139" s="230"/>
      <c r="L139" s="294"/>
      <c r="M139" s="615" t="s">
        <v>579</v>
      </c>
      <c r="N139" s="614"/>
      <c r="O139" s="295">
        <v>68210000</v>
      </c>
      <c r="P139" s="231">
        <f>O139</f>
        <v>68210000</v>
      </c>
      <c r="Q139" s="231">
        <f>SUM(Q140:Q140)</f>
        <v>190800000</v>
      </c>
      <c r="R139" s="233">
        <f>Q139/Q$59*100</f>
        <v>7.5537021188162949</v>
      </c>
      <c r="S139" s="233">
        <v>100</v>
      </c>
      <c r="T139" s="231">
        <f t="shared" si="23"/>
        <v>46.80293501048218</v>
      </c>
      <c r="U139" s="231">
        <f t="shared" si="37"/>
        <v>3.535354293555006</v>
      </c>
      <c r="V139" s="296">
        <f t="shared" si="42"/>
        <v>53.19706498951782</v>
      </c>
      <c r="W139" s="231"/>
      <c r="X139" s="231" t="e">
        <f>#REF!</f>
        <v>#REF!</v>
      </c>
      <c r="Y139" s="231" t="e">
        <f>#REF!</f>
        <v>#REF!</v>
      </c>
      <c r="Z139" s="231" t="e">
        <f>#REF!</f>
        <v>#REF!</v>
      </c>
      <c r="AA139" s="231" t="e">
        <f>#REF!</f>
        <v>#REF!</v>
      </c>
      <c r="AB139" s="231">
        <v>139212000</v>
      </c>
      <c r="AC139" s="231" t="e">
        <f>#REF!</f>
        <v>#REF!</v>
      </c>
      <c r="AD139" s="231" t="e">
        <f>#REF!</f>
        <v>#REF!</v>
      </c>
      <c r="AE139" s="231" t="e">
        <f>#REF!</f>
        <v>#REF!</v>
      </c>
      <c r="AF139" s="231" t="e">
        <f>[1]April!N47</f>
        <v>#REF!</v>
      </c>
      <c r="AG139" s="231" t="e">
        <f>[2]april!N47</f>
        <v>#REF!</v>
      </c>
      <c r="AH139" s="231" t="e">
        <f>'[3]DES SKPD'!$N47</f>
        <v>#REF!</v>
      </c>
      <c r="AI139" s="231">
        <f>SUM(AI140)</f>
        <v>89300000</v>
      </c>
      <c r="AJ139" s="233">
        <f t="shared" si="27"/>
        <v>46.80293501048218</v>
      </c>
      <c r="AK139" s="231">
        <f t="shared" si="39"/>
        <v>101500000</v>
      </c>
      <c r="AL139" s="233">
        <f t="shared" si="28"/>
        <v>53.19706498951782</v>
      </c>
      <c r="AM139" s="227"/>
    </row>
    <row r="140" spans="1:39" ht="29.25" customHeight="1" x14ac:dyDescent="0.25">
      <c r="A140" s="243"/>
      <c r="B140" s="457"/>
      <c r="C140" s="457"/>
      <c r="D140" s="457"/>
      <c r="E140" s="457"/>
      <c r="F140" s="457"/>
      <c r="G140" s="457"/>
      <c r="H140" s="457"/>
      <c r="I140" s="458"/>
      <c r="J140" s="457" t="s">
        <v>577</v>
      </c>
      <c r="K140" s="245"/>
      <c r="L140" s="257"/>
      <c r="M140" s="597" t="s">
        <v>578</v>
      </c>
      <c r="N140" s="598"/>
      <c r="O140" s="299"/>
      <c r="P140" s="180"/>
      <c r="Q140" s="180">
        <v>190800000</v>
      </c>
      <c r="R140" s="181">
        <f t="shared" ref="R140" si="43">Q140/Q$127*100</f>
        <v>17.851796407185631</v>
      </c>
      <c r="S140" s="181">
        <v>100</v>
      </c>
      <c r="T140" s="180">
        <f t="shared" si="23"/>
        <v>46.80293501048218</v>
      </c>
      <c r="U140" s="180">
        <f t="shared" si="37"/>
        <v>8.3551646706586844</v>
      </c>
      <c r="V140" s="182">
        <f t="shared" si="42"/>
        <v>53.19706498951782</v>
      </c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>
        <v>89300000</v>
      </c>
      <c r="AJ140" s="181">
        <f t="shared" si="27"/>
        <v>46.80293501048218</v>
      </c>
      <c r="AK140" s="180">
        <f t="shared" si="39"/>
        <v>101500000</v>
      </c>
      <c r="AL140" s="181">
        <f t="shared" si="28"/>
        <v>53.19706498951782</v>
      </c>
      <c r="AM140" s="243"/>
    </row>
    <row r="141" spans="1:39" s="297" customFormat="1" ht="31.5" customHeight="1" x14ac:dyDescent="0.25">
      <c r="A141" s="227">
        <f>A139+1</f>
        <v>18</v>
      </c>
      <c r="B141" s="615" t="s">
        <v>128</v>
      </c>
      <c r="C141" s="615"/>
      <c r="D141" s="615"/>
      <c r="E141" s="615"/>
      <c r="F141" s="615"/>
      <c r="G141" s="615"/>
      <c r="H141" s="615"/>
      <c r="I141" s="614"/>
      <c r="J141" s="304" t="s">
        <v>457</v>
      </c>
      <c r="K141" s="230"/>
      <c r="L141" s="294"/>
      <c r="M141" s="615" t="s">
        <v>129</v>
      </c>
      <c r="N141" s="614"/>
      <c r="O141" s="295">
        <v>295960000</v>
      </c>
      <c r="P141" s="231">
        <v>0</v>
      </c>
      <c r="Q141" s="231">
        <f>SUM(Q142:Q143)</f>
        <v>326040000</v>
      </c>
      <c r="R141" s="233">
        <f>Q141/Q$59*100</f>
        <v>12.907804186681682</v>
      </c>
      <c r="S141" s="233">
        <v>100</v>
      </c>
      <c r="T141" s="231">
        <f t="shared" si="23"/>
        <v>98.760888234572448</v>
      </c>
      <c r="U141" s="231">
        <f>R141*T141/100</f>
        <v>12.747862066346158</v>
      </c>
      <c r="V141" s="296">
        <f t="shared" si="42"/>
        <v>1.2391117654275519</v>
      </c>
      <c r="W141" s="231"/>
      <c r="X141" s="231"/>
      <c r="Y141" s="231"/>
      <c r="Z141" s="231"/>
      <c r="AA141" s="231"/>
      <c r="AB141" s="231"/>
      <c r="AC141" s="231"/>
      <c r="AD141" s="231"/>
      <c r="AE141" s="231"/>
      <c r="AF141" s="231"/>
      <c r="AG141" s="231" t="e">
        <f>[2]april!N37</f>
        <v>#REF!</v>
      </c>
      <c r="AH141" s="231">
        <f>'[3]DES SKPD'!$N37</f>
        <v>0</v>
      </c>
      <c r="AI141" s="231">
        <f>SUM(AI142:AI143)</f>
        <v>322000000</v>
      </c>
      <c r="AJ141" s="233">
        <f t="shared" si="27"/>
        <v>98.760888234572448</v>
      </c>
      <c r="AK141" s="231">
        <f t="shared" si="39"/>
        <v>4040000</v>
      </c>
      <c r="AL141" s="233">
        <f t="shared" si="28"/>
        <v>1.239111765427555</v>
      </c>
      <c r="AM141" s="227"/>
    </row>
    <row r="142" spans="1:39" ht="24.75" customHeight="1" x14ac:dyDescent="0.25">
      <c r="A142" s="243"/>
      <c r="B142" s="457"/>
      <c r="C142" s="457"/>
      <c r="D142" s="457"/>
      <c r="E142" s="457"/>
      <c r="F142" s="457"/>
      <c r="G142" s="457"/>
      <c r="H142" s="457"/>
      <c r="I142" s="458"/>
      <c r="J142" s="457" t="s">
        <v>259</v>
      </c>
      <c r="K142" s="245"/>
      <c r="L142" s="257"/>
      <c r="M142" s="623" t="s">
        <v>260</v>
      </c>
      <c r="N142" s="624"/>
      <c r="O142" s="299"/>
      <c r="P142" s="180"/>
      <c r="Q142" s="180">
        <v>1040000</v>
      </c>
      <c r="R142" s="181">
        <f>Q142/Q$35*100</f>
        <v>3.271854703066358E-3</v>
      </c>
      <c r="S142" s="181">
        <v>100</v>
      </c>
      <c r="T142" s="180">
        <f t="shared" si="23"/>
        <v>0</v>
      </c>
      <c r="U142" s="180">
        <f>R142*T142/100</f>
        <v>0</v>
      </c>
      <c r="V142" s="182">
        <f t="shared" si="42"/>
        <v>100</v>
      </c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>
        <v>0</v>
      </c>
      <c r="AJ142" s="181">
        <f t="shared" si="27"/>
        <v>0</v>
      </c>
      <c r="AK142" s="180">
        <f t="shared" si="39"/>
        <v>1040000</v>
      </c>
      <c r="AL142" s="181">
        <f t="shared" si="28"/>
        <v>100</v>
      </c>
      <c r="AM142" s="243"/>
    </row>
    <row r="143" spans="1:39" ht="24.75" customHeight="1" x14ac:dyDescent="0.25">
      <c r="A143" s="243"/>
      <c r="B143" s="457"/>
      <c r="C143" s="457"/>
      <c r="D143" s="457"/>
      <c r="E143" s="457"/>
      <c r="F143" s="457"/>
      <c r="G143" s="457"/>
      <c r="H143" s="457"/>
      <c r="I143" s="458"/>
      <c r="J143" s="457" t="s">
        <v>288</v>
      </c>
      <c r="K143" s="245"/>
      <c r="L143" s="257"/>
      <c r="M143" s="597" t="s">
        <v>289</v>
      </c>
      <c r="N143" s="598"/>
      <c r="O143" s="299"/>
      <c r="P143" s="180"/>
      <c r="Q143" s="180">
        <v>325000000</v>
      </c>
      <c r="R143" s="181">
        <f>Q143/Q$141*100</f>
        <v>99.681020733652318</v>
      </c>
      <c r="S143" s="181">
        <v>100</v>
      </c>
      <c r="T143" s="180">
        <f t="shared" si="23"/>
        <v>99.07692307692308</v>
      </c>
      <c r="U143" s="180">
        <f>R143*T143/100</f>
        <v>98.760888234572448</v>
      </c>
      <c r="V143" s="182">
        <f t="shared" si="42"/>
        <v>0.9230769230769198</v>
      </c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 t="e">
        <f>[2]april!N39</f>
        <v>#REF!</v>
      </c>
      <c r="AH143" s="180">
        <f>'[3]DES SKPD'!$N39</f>
        <v>676934270</v>
      </c>
      <c r="AI143" s="180">
        <v>322000000</v>
      </c>
      <c r="AJ143" s="181">
        <f t="shared" si="27"/>
        <v>99.07692307692308</v>
      </c>
      <c r="AK143" s="180">
        <f t="shared" si="39"/>
        <v>3000000</v>
      </c>
      <c r="AL143" s="181">
        <f t="shared" si="28"/>
        <v>0.92307692307692313</v>
      </c>
      <c r="AM143" s="243"/>
    </row>
    <row r="144" spans="1:39" s="297" customFormat="1" ht="31.5" customHeight="1" x14ac:dyDescent="0.25">
      <c r="A144" s="227">
        <f>A141+1</f>
        <v>19</v>
      </c>
      <c r="B144" s="615" t="s">
        <v>128</v>
      </c>
      <c r="C144" s="615"/>
      <c r="D144" s="615"/>
      <c r="E144" s="615"/>
      <c r="F144" s="615"/>
      <c r="G144" s="615"/>
      <c r="H144" s="615"/>
      <c r="I144" s="614"/>
      <c r="J144" s="304" t="s">
        <v>458</v>
      </c>
      <c r="K144" s="230"/>
      <c r="L144" s="294"/>
      <c r="M144" s="615" t="s">
        <v>26</v>
      </c>
      <c r="N144" s="614"/>
      <c r="O144" s="295">
        <v>295960000</v>
      </c>
      <c r="P144" s="231">
        <f>O144</f>
        <v>295960000</v>
      </c>
      <c r="Q144" s="231">
        <f>SUM(Q145:Q147)</f>
        <v>151500000</v>
      </c>
      <c r="R144" s="233">
        <f>Q144/Q$59*100</f>
        <v>5.997829512582121</v>
      </c>
      <c r="S144" s="233">
        <v>100</v>
      </c>
      <c r="T144" s="231">
        <f t="shared" ref="T144:T207" si="44">AJ144</f>
        <v>60.759075907590756</v>
      </c>
      <c r="U144" s="231">
        <f>R144*T144/100</f>
        <v>3.6442257863576515</v>
      </c>
      <c r="V144" s="296">
        <f t="shared" si="42"/>
        <v>39.240924092409244</v>
      </c>
      <c r="W144" s="231"/>
      <c r="X144" s="231" t="e">
        <f>#REF!</f>
        <v>#REF!</v>
      </c>
      <c r="Y144" s="231" t="e">
        <f>#REF!</f>
        <v>#REF!</v>
      </c>
      <c r="Z144" s="231" t="e">
        <f>#REF!</f>
        <v>#REF!</v>
      </c>
      <c r="AA144" s="231" t="e">
        <f>#REF!</f>
        <v>#REF!</v>
      </c>
      <c r="AB144" s="231">
        <v>91844000</v>
      </c>
      <c r="AC144" s="231" t="e">
        <f>#REF!</f>
        <v>#REF!</v>
      </c>
      <c r="AD144" s="231" t="e">
        <f>#REF!</f>
        <v>#REF!</v>
      </c>
      <c r="AE144" s="231" t="e">
        <f>#REF!</f>
        <v>#REF!</v>
      </c>
      <c r="AF144" s="231" t="e">
        <f>[1]April!N38</f>
        <v>#REF!</v>
      </c>
      <c r="AG144" s="231" t="e">
        <f>[2]april!N38</f>
        <v>#REF!</v>
      </c>
      <c r="AH144" s="231">
        <f>'[3]DES SKPD'!$N38</f>
        <v>322038365</v>
      </c>
      <c r="AI144" s="231">
        <f>SUM(AI145:AI147)</f>
        <v>92050000</v>
      </c>
      <c r="AJ144" s="233">
        <f t="shared" ref="AJ144:AJ207" si="45">AI144/Q144*100</f>
        <v>60.759075907590756</v>
      </c>
      <c r="AK144" s="231">
        <f t="shared" si="39"/>
        <v>59450000</v>
      </c>
      <c r="AL144" s="233">
        <f t="shared" ref="AL144:AL207" si="46">AK144/Q144*100</f>
        <v>39.240924092409237</v>
      </c>
      <c r="AM144" s="227"/>
    </row>
    <row r="145" spans="1:39" ht="30.75" customHeight="1" x14ac:dyDescent="0.25">
      <c r="A145" s="243"/>
      <c r="B145" s="457"/>
      <c r="C145" s="457"/>
      <c r="D145" s="457"/>
      <c r="E145" s="457"/>
      <c r="F145" s="457"/>
      <c r="G145" s="457"/>
      <c r="H145" s="457"/>
      <c r="I145" s="458"/>
      <c r="J145" s="457" t="s">
        <v>259</v>
      </c>
      <c r="K145" s="245"/>
      <c r="L145" s="257"/>
      <c r="M145" s="597" t="s">
        <v>260</v>
      </c>
      <c r="N145" s="598"/>
      <c r="O145" s="299"/>
      <c r="P145" s="180"/>
      <c r="Q145" s="180">
        <v>800000</v>
      </c>
      <c r="R145" s="181">
        <f>Q145/Q$144*100</f>
        <v>0.528052805280528</v>
      </c>
      <c r="S145" s="181">
        <v>100</v>
      </c>
      <c r="T145" s="180">
        <f t="shared" si="44"/>
        <v>0</v>
      </c>
      <c r="U145" s="180">
        <f t="shared" ref="U145:U160" si="47">R145*T145/100</f>
        <v>0</v>
      </c>
      <c r="V145" s="182">
        <f t="shared" si="42"/>
        <v>100</v>
      </c>
      <c r="W145" s="180"/>
      <c r="X145" s="180" t="e">
        <f>#REF!</f>
        <v>#REF!</v>
      </c>
      <c r="Y145" s="180" t="e">
        <f>#REF!</f>
        <v>#REF!</v>
      </c>
      <c r="Z145" s="180" t="e">
        <f>#REF!</f>
        <v>#REF!</v>
      </c>
      <c r="AA145" s="180" t="e">
        <f>#REF!</f>
        <v>#REF!</v>
      </c>
      <c r="AB145" s="180">
        <v>91844002</v>
      </c>
      <c r="AC145" s="180" t="e">
        <f>#REF!</f>
        <v>#REF!</v>
      </c>
      <c r="AD145" s="180" t="e">
        <f>#REF!</f>
        <v>#REF!</v>
      </c>
      <c r="AE145" s="180" t="e">
        <f>#REF!</f>
        <v>#REF!</v>
      </c>
      <c r="AF145" s="180" t="e">
        <f>[1]April!N40</f>
        <v>#REF!</v>
      </c>
      <c r="AG145" s="180" t="e">
        <f>[2]april!N40</f>
        <v>#REF!</v>
      </c>
      <c r="AH145" s="180">
        <f>'[3]DES SKPD'!$N40</f>
        <v>140440000</v>
      </c>
      <c r="AI145" s="180">
        <v>0</v>
      </c>
      <c r="AJ145" s="181">
        <f t="shared" si="45"/>
        <v>0</v>
      </c>
      <c r="AK145" s="180">
        <f t="shared" si="39"/>
        <v>800000</v>
      </c>
      <c r="AL145" s="181">
        <f t="shared" si="46"/>
        <v>100</v>
      </c>
      <c r="AM145" s="243"/>
    </row>
    <row r="146" spans="1:39" ht="24.75" customHeight="1" x14ac:dyDescent="0.25">
      <c r="A146" s="243"/>
      <c r="B146" s="457"/>
      <c r="C146" s="457"/>
      <c r="D146" s="457"/>
      <c r="E146" s="457"/>
      <c r="F146" s="457"/>
      <c r="G146" s="457"/>
      <c r="H146" s="457"/>
      <c r="I146" s="458"/>
      <c r="J146" s="457" t="s">
        <v>290</v>
      </c>
      <c r="K146" s="245"/>
      <c r="L146" s="257"/>
      <c r="M146" s="597" t="s">
        <v>291</v>
      </c>
      <c r="N146" s="598"/>
      <c r="O146" s="299"/>
      <c r="P146" s="180"/>
      <c r="Q146" s="180">
        <v>95400000</v>
      </c>
      <c r="R146" s="181">
        <f>Q146/Q$144*100</f>
        <v>62.970297029702969</v>
      </c>
      <c r="S146" s="181">
        <v>100</v>
      </c>
      <c r="T146" s="180">
        <f t="shared" si="44"/>
        <v>38.836477987421389</v>
      </c>
      <c r="U146" s="180">
        <f t="shared" si="47"/>
        <v>24.455445544554458</v>
      </c>
      <c r="V146" s="182">
        <f t="shared" si="42"/>
        <v>61.163522012578611</v>
      </c>
      <c r="W146" s="180"/>
      <c r="X146" s="180" t="e">
        <f>#REF!</f>
        <v>#REF!</v>
      </c>
      <c r="Y146" s="180" t="e">
        <f>#REF!</f>
        <v>#REF!</v>
      </c>
      <c r="Z146" s="180" t="e">
        <f>#REF!</f>
        <v>#REF!</v>
      </c>
      <c r="AA146" s="180" t="e">
        <f>#REF!</f>
        <v>#REF!</v>
      </c>
      <c r="AB146" s="180">
        <v>91844003</v>
      </c>
      <c r="AC146" s="180" t="e">
        <f>#REF!</f>
        <v>#REF!</v>
      </c>
      <c r="AD146" s="180" t="e">
        <f>#REF!</f>
        <v>#REF!</v>
      </c>
      <c r="AE146" s="180" t="e">
        <f>#REF!</f>
        <v>#REF!</v>
      </c>
      <c r="AF146" s="180" t="e">
        <f>[1]April!N41</f>
        <v>#REF!</v>
      </c>
      <c r="AG146" s="180" t="e">
        <f>[2]april!N41</f>
        <v>#REF!</v>
      </c>
      <c r="AH146" s="180">
        <f>'[3]DES SKPD'!$N41</f>
        <v>231767600</v>
      </c>
      <c r="AI146" s="180">
        <f>10400000+5200000+7150000+7150000+7150000</f>
        <v>37050000</v>
      </c>
      <c r="AJ146" s="181">
        <f t="shared" si="45"/>
        <v>38.836477987421389</v>
      </c>
      <c r="AK146" s="180">
        <f t="shared" si="39"/>
        <v>58350000</v>
      </c>
      <c r="AL146" s="181">
        <f t="shared" si="46"/>
        <v>61.163522012578618</v>
      </c>
      <c r="AM146" s="243"/>
    </row>
    <row r="147" spans="1:39" ht="36" customHeight="1" x14ac:dyDescent="0.25">
      <c r="A147" s="243"/>
      <c r="B147" s="457"/>
      <c r="C147" s="457"/>
      <c r="D147" s="457"/>
      <c r="E147" s="457"/>
      <c r="F147" s="457"/>
      <c r="G147" s="457"/>
      <c r="H147" s="457"/>
      <c r="I147" s="458"/>
      <c r="J147" s="457" t="s">
        <v>292</v>
      </c>
      <c r="K147" s="245"/>
      <c r="L147" s="257"/>
      <c r="M147" s="597" t="s">
        <v>293</v>
      </c>
      <c r="N147" s="598"/>
      <c r="O147" s="299"/>
      <c r="P147" s="180"/>
      <c r="Q147" s="180">
        <v>55300000</v>
      </c>
      <c r="R147" s="181">
        <f>Q147/Q$144*100</f>
        <v>36.5016501650165</v>
      </c>
      <c r="S147" s="181">
        <v>100</v>
      </c>
      <c r="T147" s="180">
        <f t="shared" si="44"/>
        <v>99.457504520795652</v>
      </c>
      <c r="U147" s="180">
        <f t="shared" si="47"/>
        <v>36.303630363036298</v>
      </c>
      <c r="V147" s="182">
        <f t="shared" si="42"/>
        <v>0.54249547920434793</v>
      </c>
      <c r="W147" s="180"/>
      <c r="X147" s="180" t="e">
        <f>#REF!</f>
        <v>#REF!</v>
      </c>
      <c r="Y147" s="180" t="e">
        <f>#REF!</f>
        <v>#REF!</v>
      </c>
      <c r="Z147" s="180" t="e">
        <f>#REF!</f>
        <v>#REF!</v>
      </c>
      <c r="AA147" s="180" t="e">
        <f>#REF!</f>
        <v>#REF!</v>
      </c>
      <c r="AB147" s="180">
        <v>91844004</v>
      </c>
      <c r="AC147" s="180" t="e">
        <f>#REF!</f>
        <v>#REF!</v>
      </c>
      <c r="AD147" s="180" t="e">
        <f>#REF!</f>
        <v>#REF!</v>
      </c>
      <c r="AE147" s="180" t="e">
        <f>#REF!</f>
        <v>#REF!</v>
      </c>
      <c r="AF147" s="180" t="e">
        <f>[1]April!N42</f>
        <v>#REF!</v>
      </c>
      <c r="AG147" s="180" t="e">
        <f>[2]april!N42</f>
        <v>#REF!</v>
      </c>
      <c r="AH147" s="180" t="e">
        <f>'[3]DES SKPD'!$N42</f>
        <v>#REF!</v>
      </c>
      <c r="AI147" s="180">
        <v>55000000</v>
      </c>
      <c r="AJ147" s="181">
        <f t="shared" si="45"/>
        <v>99.457504520795652</v>
      </c>
      <c r="AK147" s="180">
        <f t="shared" si="39"/>
        <v>300000</v>
      </c>
      <c r="AL147" s="181">
        <f t="shared" si="46"/>
        <v>0.54249547920433994</v>
      </c>
      <c r="AM147" s="243"/>
    </row>
    <row r="148" spans="1:39" s="297" customFormat="1" ht="32.25" customHeight="1" x14ac:dyDescent="0.25">
      <c r="A148" s="227">
        <f>A144+1</f>
        <v>20</v>
      </c>
      <c r="B148" s="615" t="s">
        <v>130</v>
      </c>
      <c r="C148" s="615"/>
      <c r="D148" s="615"/>
      <c r="E148" s="615"/>
      <c r="F148" s="615"/>
      <c r="G148" s="615"/>
      <c r="H148" s="615"/>
      <c r="I148" s="614"/>
      <c r="J148" s="304" t="s">
        <v>459</v>
      </c>
      <c r="K148" s="230"/>
      <c r="L148" s="294"/>
      <c r="M148" s="615" t="s">
        <v>27</v>
      </c>
      <c r="N148" s="614"/>
      <c r="O148" s="295">
        <v>641710000</v>
      </c>
      <c r="P148" s="231">
        <f>O148</f>
        <v>641710000</v>
      </c>
      <c r="Q148" s="231">
        <f>SUM(Q149:Q154)</f>
        <v>1030500000</v>
      </c>
      <c r="R148" s="233">
        <f>Q148/Q$59*100</f>
        <v>40.797117575682343</v>
      </c>
      <c r="S148" s="233">
        <v>100</v>
      </c>
      <c r="T148" s="231">
        <f>AJ148</f>
        <v>49.75482319262494</v>
      </c>
      <c r="U148" s="231">
        <f>R148*T148/100</f>
        <v>20.298533717468064</v>
      </c>
      <c r="V148" s="296">
        <f>S148-T148</f>
        <v>50.24517680737506</v>
      </c>
      <c r="W148" s="231"/>
      <c r="X148" s="231" t="e">
        <f>#REF!</f>
        <v>#REF!</v>
      </c>
      <c r="Y148" s="231" t="e">
        <f>#REF!</f>
        <v>#REF!</v>
      </c>
      <c r="Z148" s="231" t="e">
        <f>#REF!</f>
        <v>#REF!</v>
      </c>
      <c r="AA148" s="231" t="e">
        <f>#REF!</f>
        <v>#REF!</v>
      </c>
      <c r="AB148" s="231">
        <v>335806263</v>
      </c>
      <c r="AC148" s="231" t="e">
        <f>#REF!</f>
        <v>#REF!</v>
      </c>
      <c r="AD148" s="231" t="e">
        <f>#REF!</f>
        <v>#REF!</v>
      </c>
      <c r="AE148" s="231" t="e">
        <f>#REF!</f>
        <v>#REF!</v>
      </c>
      <c r="AF148" s="231" t="e">
        <f>[1]April!N39</f>
        <v>#REF!</v>
      </c>
      <c r="AG148" s="231" t="e">
        <f>[2]april!N39</f>
        <v>#REF!</v>
      </c>
      <c r="AH148" s="231">
        <f>'[3]DES SKPD'!$N39</f>
        <v>676934270</v>
      </c>
      <c r="AI148" s="231">
        <f>SUM(AI149:AI154)</f>
        <v>512723453</v>
      </c>
      <c r="AJ148" s="233">
        <f>AI148/Q148*100</f>
        <v>49.75482319262494</v>
      </c>
      <c r="AK148" s="231">
        <f>Q148-AI148</f>
        <v>517776547</v>
      </c>
      <c r="AL148" s="233">
        <f>AK148/Q148*100</f>
        <v>50.24517680737506</v>
      </c>
      <c r="AM148" s="227"/>
    </row>
    <row r="149" spans="1:39" s="297" customFormat="1" ht="32.25" customHeight="1" x14ac:dyDescent="0.25">
      <c r="A149" s="227"/>
      <c r="B149" s="462"/>
      <c r="C149" s="462"/>
      <c r="D149" s="462"/>
      <c r="E149" s="462"/>
      <c r="F149" s="462"/>
      <c r="G149" s="462"/>
      <c r="H149" s="462"/>
      <c r="I149" s="461"/>
      <c r="J149" s="457" t="s">
        <v>259</v>
      </c>
      <c r="K149" s="245"/>
      <c r="L149" s="257"/>
      <c r="M149" s="597" t="s">
        <v>260</v>
      </c>
      <c r="N149" s="598"/>
      <c r="O149" s="299"/>
      <c r="P149" s="180"/>
      <c r="Q149" s="180">
        <v>800000</v>
      </c>
      <c r="R149" s="181">
        <f>Q149/Q$144*100</f>
        <v>0.528052805280528</v>
      </c>
      <c r="S149" s="181">
        <v>100</v>
      </c>
      <c r="T149" s="180">
        <f t="shared" ref="T149" si="48">AJ149</f>
        <v>0</v>
      </c>
      <c r="U149" s="180">
        <f t="shared" ref="U149" si="49">R149*T149/100</f>
        <v>0</v>
      </c>
      <c r="V149" s="182">
        <f t="shared" ref="V149" si="50">S149-T149</f>
        <v>100</v>
      </c>
      <c r="W149" s="180"/>
      <c r="X149" s="180" t="e">
        <f>#REF!</f>
        <v>#REF!</v>
      </c>
      <c r="Y149" s="180" t="e">
        <f>#REF!</f>
        <v>#REF!</v>
      </c>
      <c r="Z149" s="180" t="e">
        <f>#REF!</f>
        <v>#REF!</v>
      </c>
      <c r="AA149" s="180" t="e">
        <f>#REF!</f>
        <v>#REF!</v>
      </c>
      <c r="AB149" s="180">
        <v>91844002</v>
      </c>
      <c r="AC149" s="180" t="e">
        <f>#REF!</f>
        <v>#REF!</v>
      </c>
      <c r="AD149" s="180" t="e">
        <f>#REF!</f>
        <v>#REF!</v>
      </c>
      <c r="AE149" s="180" t="e">
        <f>#REF!</f>
        <v>#REF!</v>
      </c>
      <c r="AF149" s="180" t="e">
        <f>[1]April!N44</f>
        <v>#REF!</v>
      </c>
      <c r="AG149" s="180" t="e">
        <f>[2]april!N44</f>
        <v>#REF!</v>
      </c>
      <c r="AH149" s="180" t="e">
        <f>'[3]DES SKPD'!$N44</f>
        <v>#REF!</v>
      </c>
      <c r="AI149" s="180">
        <v>0</v>
      </c>
      <c r="AJ149" s="181">
        <f t="shared" ref="AJ149" si="51">AI149/Q149*100</f>
        <v>0</v>
      </c>
      <c r="AK149" s="180">
        <f t="shared" ref="AK149" si="52">Q149-AI149</f>
        <v>800000</v>
      </c>
      <c r="AL149" s="181">
        <f t="shared" ref="AL149" si="53">AK149/Q149*100</f>
        <v>100</v>
      </c>
      <c r="AM149" s="227"/>
    </row>
    <row r="150" spans="1:39" ht="28.5" customHeight="1" x14ac:dyDescent="0.25">
      <c r="A150" s="243"/>
      <c r="B150" s="457"/>
      <c r="C150" s="457"/>
      <c r="D150" s="457"/>
      <c r="E150" s="457"/>
      <c r="F150" s="457"/>
      <c r="G150" s="457"/>
      <c r="H150" s="457"/>
      <c r="I150" s="458"/>
      <c r="J150" s="457" t="s">
        <v>294</v>
      </c>
      <c r="K150" s="245"/>
      <c r="L150" s="257"/>
      <c r="M150" s="597" t="s">
        <v>295</v>
      </c>
      <c r="N150" s="598"/>
      <c r="O150" s="299"/>
      <c r="P150" s="180"/>
      <c r="Q150" s="180">
        <v>67090000</v>
      </c>
      <c r="R150" s="181">
        <f t="shared" ref="R150:R154" si="54">Q150/Q$148*100</f>
        <v>6.5104318292091223</v>
      </c>
      <c r="S150" s="181">
        <v>100</v>
      </c>
      <c r="T150" s="180">
        <f t="shared" si="44"/>
        <v>99.604710090922637</v>
      </c>
      <c r="U150" s="180">
        <f t="shared" si="47"/>
        <v>6.4846967491508973</v>
      </c>
      <c r="V150" s="182">
        <f t="shared" si="42"/>
        <v>0.39528990907736272</v>
      </c>
      <c r="W150" s="180"/>
      <c r="X150" s="180" t="e">
        <f>#REF!</f>
        <v>#REF!</v>
      </c>
      <c r="Y150" s="180" t="e">
        <f>#REF!</f>
        <v>#REF!</v>
      </c>
      <c r="Z150" s="180" t="e">
        <f>#REF!</f>
        <v>#REF!</v>
      </c>
      <c r="AA150" s="180" t="e">
        <f>#REF!</f>
        <v>#REF!</v>
      </c>
      <c r="AB150" s="180">
        <v>335806265</v>
      </c>
      <c r="AC150" s="180" t="e">
        <f>#REF!</f>
        <v>#REF!</v>
      </c>
      <c r="AD150" s="180" t="e">
        <f>#REF!</f>
        <v>#REF!</v>
      </c>
      <c r="AE150" s="180" t="e">
        <f>#REF!</f>
        <v>#REF!</v>
      </c>
      <c r="AF150" s="180" t="e">
        <f>[1]April!N41</f>
        <v>#REF!</v>
      </c>
      <c r="AG150" s="180" t="e">
        <f>[2]april!N41</f>
        <v>#REF!</v>
      </c>
      <c r="AH150" s="180">
        <f>'[3]DES SKPD'!$N41</f>
        <v>231767600</v>
      </c>
      <c r="AI150" s="180">
        <v>66824800</v>
      </c>
      <c r="AJ150" s="181">
        <f t="shared" si="45"/>
        <v>99.604710090922637</v>
      </c>
      <c r="AK150" s="180">
        <f t="shared" si="39"/>
        <v>265200</v>
      </c>
      <c r="AL150" s="181">
        <f t="shared" si="46"/>
        <v>0.39528990907735878</v>
      </c>
      <c r="AM150" s="243"/>
    </row>
    <row r="151" spans="1:39" ht="28.5" customHeight="1" x14ac:dyDescent="0.25">
      <c r="A151" s="243"/>
      <c r="B151" s="457"/>
      <c r="C151" s="457"/>
      <c r="D151" s="457"/>
      <c r="E151" s="457"/>
      <c r="F151" s="457"/>
      <c r="G151" s="457"/>
      <c r="H151" s="457"/>
      <c r="I151" s="458"/>
      <c r="J151" s="457" t="s">
        <v>296</v>
      </c>
      <c r="K151" s="245"/>
      <c r="L151" s="257"/>
      <c r="M151" s="597" t="s">
        <v>297</v>
      </c>
      <c r="N151" s="598"/>
      <c r="O151" s="299"/>
      <c r="P151" s="180"/>
      <c r="Q151" s="180">
        <v>297450000</v>
      </c>
      <c r="R151" s="181">
        <f t="shared" si="54"/>
        <v>28.864628820960696</v>
      </c>
      <c r="S151" s="181">
        <v>100</v>
      </c>
      <c r="T151" s="180">
        <f t="shared" si="44"/>
        <v>7.0483156833081191</v>
      </c>
      <c r="U151" s="180">
        <f t="shared" si="47"/>
        <v>2.0344701601164483</v>
      </c>
      <c r="V151" s="182">
        <f t="shared" si="42"/>
        <v>92.951684316691882</v>
      </c>
      <c r="W151" s="180"/>
      <c r="X151" s="180" t="e">
        <f>#REF!</f>
        <v>#REF!</v>
      </c>
      <c r="Y151" s="180" t="e">
        <f>#REF!</f>
        <v>#REF!</v>
      </c>
      <c r="Z151" s="180" t="e">
        <f>#REF!</f>
        <v>#REF!</v>
      </c>
      <c r="AA151" s="180" t="e">
        <f>#REF!</f>
        <v>#REF!</v>
      </c>
      <c r="AB151" s="180">
        <v>335806266</v>
      </c>
      <c r="AC151" s="180" t="e">
        <f>#REF!</f>
        <v>#REF!</v>
      </c>
      <c r="AD151" s="180" t="e">
        <f>#REF!</f>
        <v>#REF!</v>
      </c>
      <c r="AE151" s="180" t="e">
        <f>#REF!</f>
        <v>#REF!</v>
      </c>
      <c r="AF151" s="180" t="e">
        <f>[1]April!N42</f>
        <v>#REF!</v>
      </c>
      <c r="AG151" s="180" t="e">
        <f>[2]april!N42</f>
        <v>#REF!</v>
      </c>
      <c r="AH151" s="180" t="e">
        <f>'[3]DES SKPD'!$N42</f>
        <v>#REF!</v>
      </c>
      <c r="AI151" s="180">
        <f>8977800+11987415</f>
        <v>20965215</v>
      </c>
      <c r="AJ151" s="181">
        <f t="shared" si="45"/>
        <v>7.0483156833081191</v>
      </c>
      <c r="AK151" s="180">
        <f t="shared" si="39"/>
        <v>276484785</v>
      </c>
      <c r="AL151" s="181">
        <f t="shared" si="46"/>
        <v>92.951684316691882</v>
      </c>
      <c r="AM151" s="243"/>
    </row>
    <row r="152" spans="1:39" ht="28.5" customHeight="1" x14ac:dyDescent="0.25">
      <c r="A152" s="243"/>
      <c r="B152" s="457"/>
      <c r="C152" s="457"/>
      <c r="D152" s="457"/>
      <c r="E152" s="457"/>
      <c r="F152" s="457"/>
      <c r="G152" s="457"/>
      <c r="H152" s="457"/>
      <c r="I152" s="458"/>
      <c r="J152" s="457" t="s">
        <v>298</v>
      </c>
      <c r="K152" s="245"/>
      <c r="L152" s="257"/>
      <c r="M152" s="597" t="s">
        <v>299</v>
      </c>
      <c r="N152" s="598"/>
      <c r="O152" s="299"/>
      <c r="P152" s="180"/>
      <c r="Q152" s="180">
        <v>241500000</v>
      </c>
      <c r="R152" s="181">
        <f t="shared" si="54"/>
        <v>23.435225618631733</v>
      </c>
      <c r="S152" s="181">
        <v>100</v>
      </c>
      <c r="T152" s="180">
        <f t="shared" si="44"/>
        <v>55.512049689440992</v>
      </c>
      <c r="U152" s="180">
        <f t="shared" si="47"/>
        <v>13.009374090247452</v>
      </c>
      <c r="V152" s="182">
        <f t="shared" si="42"/>
        <v>44.487950310559008</v>
      </c>
      <c r="W152" s="180"/>
      <c r="X152" s="180" t="e">
        <f>#REF!</f>
        <v>#REF!</v>
      </c>
      <c r="Y152" s="180" t="e">
        <f>#REF!</f>
        <v>#REF!</v>
      </c>
      <c r="Z152" s="180" t="e">
        <f>#REF!</f>
        <v>#REF!</v>
      </c>
      <c r="AA152" s="180" t="e">
        <f>#REF!</f>
        <v>#REF!</v>
      </c>
      <c r="AB152" s="180">
        <v>335806267</v>
      </c>
      <c r="AC152" s="180" t="e">
        <f>#REF!</f>
        <v>#REF!</v>
      </c>
      <c r="AD152" s="180" t="e">
        <f>#REF!</f>
        <v>#REF!</v>
      </c>
      <c r="AE152" s="180" t="e">
        <f>#REF!</f>
        <v>#REF!</v>
      </c>
      <c r="AF152" s="180" t="e">
        <f>[1]April!N43</f>
        <v>#REF!</v>
      </c>
      <c r="AG152" s="180" t="e">
        <f>[2]april!N43</f>
        <v>#REF!</v>
      </c>
      <c r="AH152" s="180">
        <f>'[3]DES SKPD'!$N43</f>
        <v>38085000</v>
      </c>
      <c r="AI152" s="180">
        <f>59073775+74987825</f>
        <v>134061600</v>
      </c>
      <c r="AJ152" s="181">
        <f t="shared" si="45"/>
        <v>55.512049689440992</v>
      </c>
      <c r="AK152" s="180">
        <f t="shared" si="39"/>
        <v>107438400</v>
      </c>
      <c r="AL152" s="181">
        <f t="shared" si="46"/>
        <v>44.487950310559008</v>
      </c>
      <c r="AM152" s="243"/>
    </row>
    <row r="153" spans="1:39" ht="28.5" customHeight="1" x14ac:dyDescent="0.25">
      <c r="A153" s="243"/>
      <c r="B153" s="457"/>
      <c r="C153" s="457"/>
      <c r="D153" s="457"/>
      <c r="E153" s="457"/>
      <c r="F153" s="457"/>
      <c r="G153" s="457"/>
      <c r="H153" s="457"/>
      <c r="I153" s="458"/>
      <c r="J153" s="457" t="s">
        <v>581</v>
      </c>
      <c r="K153" s="245"/>
      <c r="L153" s="257"/>
      <c r="M153" s="597" t="s">
        <v>580</v>
      </c>
      <c r="N153" s="598"/>
      <c r="O153" s="299"/>
      <c r="P153" s="180"/>
      <c r="Q153" s="180">
        <v>411660000</v>
      </c>
      <c r="R153" s="181">
        <f t="shared" si="54"/>
        <v>39.94759825327511</v>
      </c>
      <c r="S153" s="181">
        <v>100</v>
      </c>
      <c r="T153" s="180">
        <f t="shared" si="44"/>
        <v>69.20075742117281</v>
      </c>
      <c r="U153" s="180">
        <f t="shared" si="47"/>
        <v>27.644040562833574</v>
      </c>
      <c r="V153" s="182">
        <f t="shared" si="42"/>
        <v>30.79924257882719</v>
      </c>
      <c r="W153" s="180"/>
      <c r="X153" s="180" t="e">
        <f>#REF!</f>
        <v>#REF!</v>
      </c>
      <c r="Y153" s="180" t="e">
        <f>#REF!</f>
        <v>#REF!</v>
      </c>
      <c r="Z153" s="180" t="e">
        <f>#REF!</f>
        <v>#REF!</v>
      </c>
      <c r="AA153" s="180" t="e">
        <f>#REF!</f>
        <v>#REF!</v>
      </c>
      <c r="AB153" s="180">
        <v>335806268</v>
      </c>
      <c r="AC153" s="180" t="e">
        <f>#REF!</f>
        <v>#REF!</v>
      </c>
      <c r="AD153" s="180" t="e">
        <f>#REF!</f>
        <v>#REF!</v>
      </c>
      <c r="AE153" s="180" t="e">
        <f>#REF!</f>
        <v>#REF!</v>
      </c>
      <c r="AF153" s="180" t="e">
        <f>[1]April!N44</f>
        <v>#REF!</v>
      </c>
      <c r="AG153" s="180" t="e">
        <f>[2]april!N44</f>
        <v>#REF!</v>
      </c>
      <c r="AH153" s="180" t="e">
        <f>'[3]DES SKPD'!$N44</f>
        <v>#REF!</v>
      </c>
      <c r="AI153" s="180">
        <f>38300000+153200000+38300000+6981150+9790688+38300000</f>
        <v>284871838</v>
      </c>
      <c r="AJ153" s="181">
        <f t="shared" si="45"/>
        <v>69.20075742117281</v>
      </c>
      <c r="AK153" s="180">
        <f t="shared" si="39"/>
        <v>126788162</v>
      </c>
      <c r="AL153" s="181">
        <f t="shared" si="46"/>
        <v>30.799242578827187</v>
      </c>
      <c r="AM153" s="243"/>
    </row>
    <row r="154" spans="1:39" ht="32.25" customHeight="1" x14ac:dyDescent="0.25">
      <c r="A154" s="243"/>
      <c r="B154" s="457"/>
      <c r="C154" s="457"/>
      <c r="D154" s="457"/>
      <c r="E154" s="457"/>
      <c r="F154" s="457"/>
      <c r="G154" s="457"/>
      <c r="H154" s="457"/>
      <c r="I154" s="458"/>
      <c r="J154" s="457" t="s">
        <v>551</v>
      </c>
      <c r="K154" s="245"/>
      <c r="L154" s="257"/>
      <c r="M154" s="597" t="s">
        <v>550</v>
      </c>
      <c r="N154" s="598"/>
      <c r="O154" s="299"/>
      <c r="P154" s="180"/>
      <c r="Q154" s="180">
        <v>12000000</v>
      </c>
      <c r="R154" s="181">
        <f t="shared" si="54"/>
        <v>1.1644832605531297</v>
      </c>
      <c r="S154" s="181"/>
      <c r="T154" s="180">
        <f t="shared" si="44"/>
        <v>50</v>
      </c>
      <c r="U154" s="180">
        <f t="shared" si="47"/>
        <v>0.58224163027656484</v>
      </c>
      <c r="V154" s="182">
        <f>S154-T154</f>
        <v>-50</v>
      </c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>
        <f>2000000+1000000+1000000+1000000+1000000</f>
        <v>6000000</v>
      </c>
      <c r="AJ154" s="181">
        <f t="shared" si="45"/>
        <v>50</v>
      </c>
      <c r="AK154" s="180">
        <f t="shared" si="39"/>
        <v>6000000</v>
      </c>
      <c r="AL154" s="181">
        <f t="shared" si="46"/>
        <v>50</v>
      </c>
      <c r="AM154" s="243"/>
    </row>
    <row r="155" spans="1:39" s="297" customFormat="1" ht="33.75" customHeight="1" x14ac:dyDescent="0.25">
      <c r="A155" s="227">
        <f>A148+1</f>
        <v>21</v>
      </c>
      <c r="B155" s="615" t="s">
        <v>131</v>
      </c>
      <c r="C155" s="615"/>
      <c r="D155" s="615"/>
      <c r="E155" s="615"/>
      <c r="F155" s="615"/>
      <c r="G155" s="615"/>
      <c r="H155" s="615"/>
      <c r="I155" s="614"/>
      <c r="J155" s="304" t="s">
        <v>460</v>
      </c>
      <c r="K155" s="230"/>
      <c r="L155" s="294"/>
      <c r="M155" s="615" t="s">
        <v>28</v>
      </c>
      <c r="N155" s="614"/>
      <c r="O155" s="295">
        <v>140600000</v>
      </c>
      <c r="P155" s="231">
        <f>O155</f>
        <v>140600000</v>
      </c>
      <c r="Q155" s="231">
        <f>SUM(Q156:Q156)</f>
        <v>96500000</v>
      </c>
      <c r="R155" s="233">
        <f>Q155/Q$124*100</f>
        <v>2.7479286597853601</v>
      </c>
      <c r="S155" s="233">
        <v>100</v>
      </c>
      <c r="T155" s="231">
        <f t="shared" si="44"/>
        <v>99.52435233160621</v>
      </c>
      <c r="U155" s="231">
        <f t="shared" si="47"/>
        <v>2.7348582011859661</v>
      </c>
      <c r="V155" s="296">
        <f>S155-T155</f>
        <v>0.47564766839379047</v>
      </c>
      <c r="W155" s="231"/>
      <c r="X155" s="231" t="e">
        <f>#REF!</f>
        <v>#REF!</v>
      </c>
      <c r="Y155" s="231" t="e">
        <f>#REF!</f>
        <v>#REF!</v>
      </c>
      <c r="Z155" s="231" t="e">
        <f>#REF!</f>
        <v>#REF!</v>
      </c>
      <c r="AA155" s="231" t="e">
        <f>#REF!</f>
        <v>#REF!</v>
      </c>
      <c r="AB155" s="231">
        <v>54780000</v>
      </c>
      <c r="AC155" s="231" t="e">
        <f>#REF!</f>
        <v>#REF!</v>
      </c>
      <c r="AD155" s="231" t="e">
        <f>#REF!</f>
        <v>#REF!</v>
      </c>
      <c r="AE155" s="231" t="e">
        <f>#REF!</f>
        <v>#REF!</v>
      </c>
      <c r="AF155" s="231" t="e">
        <f>[1]April!N40</f>
        <v>#REF!</v>
      </c>
      <c r="AG155" s="231">
        <v>140440000</v>
      </c>
      <c r="AH155" s="231">
        <f>'[3]DES SKPD'!$N40</f>
        <v>140440000</v>
      </c>
      <c r="AI155" s="231">
        <f>SUM(AI156:AI156)</f>
        <v>96041000</v>
      </c>
      <c r="AJ155" s="233">
        <f t="shared" si="45"/>
        <v>99.52435233160621</v>
      </c>
      <c r="AK155" s="231">
        <f t="shared" si="39"/>
        <v>459000</v>
      </c>
      <c r="AL155" s="233">
        <f t="shared" si="46"/>
        <v>0.47564766839378236</v>
      </c>
      <c r="AM155" s="227"/>
    </row>
    <row r="156" spans="1:39" ht="29.25" customHeight="1" x14ac:dyDescent="0.25">
      <c r="A156" s="243"/>
      <c r="B156" s="457"/>
      <c r="C156" s="457"/>
      <c r="D156" s="457"/>
      <c r="E156" s="457"/>
      <c r="F156" s="457"/>
      <c r="G156" s="457"/>
      <c r="H156" s="457"/>
      <c r="I156" s="458"/>
      <c r="J156" s="457" t="s">
        <v>302</v>
      </c>
      <c r="K156" s="245"/>
      <c r="L156" s="257"/>
      <c r="M156" s="597" t="s">
        <v>303</v>
      </c>
      <c r="N156" s="598"/>
      <c r="O156" s="299"/>
      <c r="P156" s="180"/>
      <c r="Q156" s="180">
        <v>96500000</v>
      </c>
      <c r="R156" s="181">
        <f>Q156/Q$155*100</f>
        <v>100</v>
      </c>
      <c r="S156" s="181">
        <v>100</v>
      </c>
      <c r="T156" s="180">
        <f t="shared" si="44"/>
        <v>99.52435233160621</v>
      </c>
      <c r="U156" s="180">
        <f t="shared" si="47"/>
        <v>99.52435233160621</v>
      </c>
      <c r="V156" s="182">
        <f t="shared" ref="V156:V219" si="55">S156-T156</f>
        <v>0.47564766839379047</v>
      </c>
      <c r="W156" s="180"/>
      <c r="X156" s="180" t="e">
        <f>#REF!</f>
        <v>#REF!</v>
      </c>
      <c r="Y156" s="180" t="e">
        <f>#REF!</f>
        <v>#REF!</v>
      </c>
      <c r="Z156" s="180" t="e">
        <f>#REF!</f>
        <v>#REF!</v>
      </c>
      <c r="AA156" s="180" t="e">
        <f>#REF!</f>
        <v>#REF!</v>
      </c>
      <c r="AB156" s="180">
        <v>54780002</v>
      </c>
      <c r="AC156" s="180" t="e">
        <f>#REF!</f>
        <v>#REF!</v>
      </c>
      <c r="AD156" s="180" t="e">
        <f>#REF!</f>
        <v>#REF!</v>
      </c>
      <c r="AE156" s="180" t="e">
        <f>#REF!</f>
        <v>#REF!</v>
      </c>
      <c r="AF156" s="180" t="e">
        <f>[1]April!N42</f>
        <v>#REF!</v>
      </c>
      <c r="AG156" s="231">
        <v>140440002</v>
      </c>
      <c r="AH156" s="180" t="e">
        <f>'[3]DES SKPD'!$N42</f>
        <v>#REF!</v>
      </c>
      <c r="AI156" s="180">
        <v>96041000</v>
      </c>
      <c r="AJ156" s="181">
        <f t="shared" si="45"/>
        <v>99.52435233160621</v>
      </c>
      <c r="AK156" s="180">
        <f t="shared" si="39"/>
        <v>459000</v>
      </c>
      <c r="AL156" s="181">
        <f t="shared" si="46"/>
        <v>0.47564766839378236</v>
      </c>
      <c r="AM156" s="243"/>
    </row>
    <row r="157" spans="1:39" s="297" customFormat="1" ht="33" customHeight="1" x14ac:dyDescent="0.25">
      <c r="A157" s="227">
        <f>SUM(A155+1)</f>
        <v>22</v>
      </c>
      <c r="B157" s="462"/>
      <c r="C157" s="462"/>
      <c r="D157" s="462"/>
      <c r="E157" s="462"/>
      <c r="F157" s="462"/>
      <c r="G157" s="462"/>
      <c r="H157" s="462"/>
      <c r="I157" s="461"/>
      <c r="J157" s="304" t="s">
        <v>461</v>
      </c>
      <c r="K157" s="230"/>
      <c r="L157" s="294"/>
      <c r="M157" s="615" t="s">
        <v>197</v>
      </c>
      <c r="N157" s="614"/>
      <c r="O157" s="295"/>
      <c r="P157" s="231"/>
      <c r="Q157" s="231">
        <f>SUM(Q158:Q158)</f>
        <v>230100000</v>
      </c>
      <c r="R157" s="233">
        <f>Q157/Q$124*100</f>
        <v>6.552314866493381</v>
      </c>
      <c r="S157" s="233">
        <v>100</v>
      </c>
      <c r="T157" s="231">
        <f t="shared" si="44"/>
        <v>45.94632768361582</v>
      </c>
      <c r="U157" s="231">
        <f t="shared" si="47"/>
        <v>3.010548059421323</v>
      </c>
      <c r="V157" s="296">
        <f t="shared" si="55"/>
        <v>54.05367231638418</v>
      </c>
      <c r="W157" s="231"/>
      <c r="X157" s="231" t="e">
        <f>#REF!</f>
        <v>#REF!</v>
      </c>
      <c r="Y157" s="231" t="e">
        <f>#REF!</f>
        <v>#REF!</v>
      </c>
      <c r="Z157" s="231" t="e">
        <f>#REF!</f>
        <v>#REF!</v>
      </c>
      <c r="AA157" s="231" t="e">
        <f>#REF!</f>
        <v>#REF!</v>
      </c>
      <c r="AB157" s="231">
        <v>54780000</v>
      </c>
      <c r="AC157" s="231" t="e">
        <f>#REF!</f>
        <v>#REF!</v>
      </c>
      <c r="AD157" s="231" t="e">
        <f>#REF!</f>
        <v>#REF!</v>
      </c>
      <c r="AE157" s="231" t="e">
        <f>#REF!</f>
        <v>#REF!</v>
      </c>
      <c r="AF157" s="231" t="e">
        <f>[1]April!N41</f>
        <v>#REF!</v>
      </c>
      <c r="AG157" s="231">
        <v>140440000</v>
      </c>
      <c r="AH157" s="231">
        <f>'[3]DES SKPD'!$N41</f>
        <v>231767600</v>
      </c>
      <c r="AI157" s="231">
        <f>SUM(AI158:AI158)</f>
        <v>105722500</v>
      </c>
      <c r="AJ157" s="233">
        <f t="shared" si="45"/>
        <v>45.94632768361582</v>
      </c>
      <c r="AK157" s="231">
        <f t="shared" si="39"/>
        <v>124377500</v>
      </c>
      <c r="AL157" s="233">
        <f t="shared" si="46"/>
        <v>54.05367231638418</v>
      </c>
      <c r="AM157" s="227"/>
    </row>
    <row r="158" spans="1:39" ht="28.5" customHeight="1" x14ac:dyDescent="0.25">
      <c r="A158" s="243"/>
      <c r="B158" s="457"/>
      <c r="C158" s="457"/>
      <c r="D158" s="457"/>
      <c r="E158" s="457"/>
      <c r="F158" s="457"/>
      <c r="G158" s="457"/>
      <c r="H158" s="457"/>
      <c r="I158" s="458"/>
      <c r="J158" s="457" t="s">
        <v>304</v>
      </c>
      <c r="K158" s="245"/>
      <c r="L158" s="257"/>
      <c r="M158" s="597" t="s">
        <v>305</v>
      </c>
      <c r="N158" s="598"/>
      <c r="O158" s="299"/>
      <c r="P158" s="180"/>
      <c r="Q158" s="180">
        <v>230100000</v>
      </c>
      <c r="R158" s="181">
        <f>Q158/Q$157*100</f>
        <v>100</v>
      </c>
      <c r="S158" s="181">
        <v>100</v>
      </c>
      <c r="T158" s="180">
        <f t="shared" si="44"/>
        <v>45.94632768361582</v>
      </c>
      <c r="U158" s="180">
        <f t="shared" si="47"/>
        <v>45.94632768361582</v>
      </c>
      <c r="V158" s="182">
        <f t="shared" si="55"/>
        <v>54.05367231638418</v>
      </c>
      <c r="W158" s="180"/>
      <c r="X158" s="180" t="e">
        <f>#REF!</f>
        <v>#REF!</v>
      </c>
      <c r="Y158" s="180" t="e">
        <f>#REF!</f>
        <v>#REF!</v>
      </c>
      <c r="Z158" s="180" t="e">
        <f>#REF!</f>
        <v>#REF!</v>
      </c>
      <c r="AA158" s="180" t="e">
        <f>#REF!</f>
        <v>#REF!</v>
      </c>
      <c r="AB158" s="180">
        <v>54780002</v>
      </c>
      <c r="AC158" s="180" t="e">
        <f>#REF!</f>
        <v>#REF!</v>
      </c>
      <c r="AD158" s="180" t="e">
        <f>#REF!</f>
        <v>#REF!</v>
      </c>
      <c r="AE158" s="180" t="e">
        <f>#REF!</f>
        <v>#REF!</v>
      </c>
      <c r="AF158" s="180" t="e">
        <f>[1]April!N43</f>
        <v>#REF!</v>
      </c>
      <c r="AG158" s="231">
        <v>140440002</v>
      </c>
      <c r="AH158" s="180">
        <f>'[3]DES SKPD'!$N43</f>
        <v>38085000</v>
      </c>
      <c r="AI158" s="180">
        <f>42345000+52672500+10705000</f>
        <v>105722500</v>
      </c>
      <c r="AJ158" s="181">
        <f t="shared" si="45"/>
        <v>45.94632768361582</v>
      </c>
      <c r="AK158" s="180">
        <f t="shared" si="39"/>
        <v>124377500</v>
      </c>
      <c r="AL158" s="181">
        <f t="shared" si="46"/>
        <v>54.05367231638418</v>
      </c>
      <c r="AM158" s="243"/>
    </row>
    <row r="159" spans="1:39" ht="28.5" customHeight="1" x14ac:dyDescent="0.25">
      <c r="A159" s="227">
        <f>SUM(A157+1)</f>
        <v>23</v>
      </c>
      <c r="B159" s="462"/>
      <c r="C159" s="462"/>
      <c r="D159" s="462"/>
      <c r="E159" s="462"/>
      <c r="F159" s="462"/>
      <c r="G159" s="462"/>
      <c r="H159" s="462"/>
      <c r="I159" s="461"/>
      <c r="J159" s="304" t="s">
        <v>582</v>
      </c>
      <c r="K159" s="230"/>
      <c r="L159" s="294"/>
      <c r="M159" s="615" t="s">
        <v>583</v>
      </c>
      <c r="N159" s="614"/>
      <c r="O159" s="295"/>
      <c r="P159" s="231"/>
      <c r="Q159" s="231">
        <f>SUM(Q160:Q160)</f>
        <v>99200000</v>
      </c>
      <c r="R159" s="233">
        <f>Q159/Q$124*100</f>
        <v>2.8248137103700275</v>
      </c>
      <c r="S159" s="233">
        <v>100</v>
      </c>
      <c r="T159" s="231">
        <f t="shared" si="44"/>
        <v>0</v>
      </c>
      <c r="U159" s="231">
        <f t="shared" si="47"/>
        <v>0</v>
      </c>
      <c r="V159" s="296">
        <f t="shared" si="55"/>
        <v>100</v>
      </c>
      <c r="W159" s="231"/>
      <c r="X159" s="231" t="e">
        <f>#REF!</f>
        <v>#REF!</v>
      </c>
      <c r="Y159" s="231" t="e">
        <f>#REF!</f>
        <v>#REF!</v>
      </c>
      <c r="Z159" s="231" t="e">
        <f>#REF!</f>
        <v>#REF!</v>
      </c>
      <c r="AA159" s="231" t="e">
        <f>#REF!</f>
        <v>#REF!</v>
      </c>
      <c r="AB159" s="231">
        <v>54780000</v>
      </c>
      <c r="AC159" s="231" t="e">
        <f>#REF!</f>
        <v>#REF!</v>
      </c>
      <c r="AD159" s="231" t="e">
        <f>#REF!</f>
        <v>#REF!</v>
      </c>
      <c r="AE159" s="231" t="e">
        <f>#REF!</f>
        <v>#REF!</v>
      </c>
      <c r="AF159" s="231" t="e">
        <f>[1]April!N43</f>
        <v>#REF!</v>
      </c>
      <c r="AG159" s="231">
        <v>140440000</v>
      </c>
      <c r="AH159" s="231">
        <f>'[3]DES SKPD'!$N43</f>
        <v>38085000</v>
      </c>
      <c r="AI159" s="231">
        <f>SUM(AI160)</f>
        <v>0</v>
      </c>
      <c r="AJ159" s="233">
        <f t="shared" si="45"/>
        <v>0</v>
      </c>
      <c r="AK159" s="231">
        <f t="shared" si="39"/>
        <v>99200000</v>
      </c>
      <c r="AL159" s="233">
        <f t="shared" si="46"/>
        <v>100</v>
      </c>
      <c r="AM159" s="243"/>
    </row>
    <row r="160" spans="1:39" ht="28.5" customHeight="1" x14ac:dyDescent="0.25">
      <c r="A160" s="243"/>
      <c r="B160" s="457"/>
      <c r="C160" s="457"/>
      <c r="D160" s="457"/>
      <c r="E160" s="457"/>
      <c r="F160" s="457"/>
      <c r="G160" s="457"/>
      <c r="H160" s="457"/>
      <c r="I160" s="458"/>
      <c r="J160" s="457" t="s">
        <v>292</v>
      </c>
      <c r="K160" s="245"/>
      <c r="L160" s="257"/>
      <c r="M160" s="597" t="s">
        <v>584</v>
      </c>
      <c r="N160" s="598"/>
      <c r="O160" s="299"/>
      <c r="P160" s="180"/>
      <c r="Q160" s="180">
        <v>99200000</v>
      </c>
      <c r="R160" s="181">
        <f>Q160/Q$157*100</f>
        <v>43.111690569317688</v>
      </c>
      <c r="S160" s="181">
        <v>100</v>
      </c>
      <c r="T160" s="180">
        <f t="shared" si="44"/>
        <v>0</v>
      </c>
      <c r="U160" s="180">
        <f t="shared" si="47"/>
        <v>0</v>
      </c>
      <c r="V160" s="182">
        <f t="shared" si="55"/>
        <v>100</v>
      </c>
      <c r="W160" s="180"/>
      <c r="X160" s="180" t="e">
        <f>#REF!</f>
        <v>#REF!</v>
      </c>
      <c r="Y160" s="180" t="e">
        <f>#REF!</f>
        <v>#REF!</v>
      </c>
      <c r="Z160" s="180" t="e">
        <f>#REF!</f>
        <v>#REF!</v>
      </c>
      <c r="AA160" s="180" t="e">
        <f>#REF!</f>
        <v>#REF!</v>
      </c>
      <c r="AB160" s="180">
        <v>54780002</v>
      </c>
      <c r="AC160" s="180" t="e">
        <f>#REF!</f>
        <v>#REF!</v>
      </c>
      <c r="AD160" s="180" t="e">
        <f>#REF!</f>
        <v>#REF!</v>
      </c>
      <c r="AE160" s="180" t="e">
        <f>#REF!</f>
        <v>#REF!</v>
      </c>
      <c r="AF160" s="180" t="e">
        <f>[1]April!N45</f>
        <v>#REF!</v>
      </c>
      <c r="AG160" s="231">
        <v>140440002</v>
      </c>
      <c r="AH160" s="180">
        <f>'[3]DES SKPD'!$N45</f>
        <v>320566100</v>
      </c>
      <c r="AI160" s="180">
        <v>0</v>
      </c>
      <c r="AJ160" s="181">
        <f t="shared" si="45"/>
        <v>0</v>
      </c>
      <c r="AK160" s="180">
        <f t="shared" si="39"/>
        <v>99200000</v>
      </c>
      <c r="AL160" s="181">
        <f t="shared" si="46"/>
        <v>100</v>
      </c>
      <c r="AM160" s="243"/>
    </row>
    <row r="161" spans="1:39" s="226" customFormat="1" ht="29.25" customHeight="1" x14ac:dyDescent="0.25">
      <c r="A161" s="289" t="s">
        <v>29</v>
      </c>
      <c r="B161" s="607" t="s">
        <v>132</v>
      </c>
      <c r="C161" s="607"/>
      <c r="D161" s="607"/>
      <c r="E161" s="607"/>
      <c r="F161" s="607"/>
      <c r="G161" s="607"/>
      <c r="H161" s="607"/>
      <c r="I161" s="608"/>
      <c r="J161" s="463" t="s">
        <v>454</v>
      </c>
      <c r="K161" s="291"/>
      <c r="L161" s="607" t="s">
        <v>383</v>
      </c>
      <c r="M161" s="607"/>
      <c r="N161" s="608"/>
      <c r="O161" s="263">
        <f>SUM(O165)</f>
        <v>39710000</v>
      </c>
      <c r="P161" s="263">
        <f>SUM(P165)</f>
        <v>39710000</v>
      </c>
      <c r="Q161" s="263">
        <f>SUM(Q162+Q165)</f>
        <v>103000000</v>
      </c>
      <c r="R161" s="222">
        <f>Q161/Q$35*100</f>
        <v>0.32403945616907198</v>
      </c>
      <c r="S161" s="222">
        <v>100</v>
      </c>
      <c r="T161" s="263">
        <f t="shared" si="44"/>
        <v>26.844660194174757</v>
      </c>
      <c r="U161" s="263">
        <f>SUM(R161*T161/100)</f>
        <v>8.6987290903639228E-2</v>
      </c>
      <c r="V161" s="292">
        <f t="shared" si="55"/>
        <v>73.155339805825236</v>
      </c>
      <c r="W161" s="263">
        <f>SUM(W165)</f>
        <v>0</v>
      </c>
      <c r="X161" s="263" t="e">
        <f>SUM(X165)</f>
        <v>#REF!</v>
      </c>
      <c r="Y161" s="263" t="e">
        <f t="shared" ref="Y161:AH161" si="56">SUM(Y165)</f>
        <v>#REF!</v>
      </c>
      <c r="Z161" s="263" t="e">
        <f t="shared" si="56"/>
        <v>#REF!</v>
      </c>
      <c r="AA161" s="263" t="e">
        <f t="shared" si="56"/>
        <v>#REF!</v>
      </c>
      <c r="AB161" s="263">
        <f t="shared" si="56"/>
        <v>38085000</v>
      </c>
      <c r="AC161" s="263" t="e">
        <f t="shared" si="56"/>
        <v>#REF!</v>
      </c>
      <c r="AD161" s="263" t="e">
        <f t="shared" si="56"/>
        <v>#REF!</v>
      </c>
      <c r="AE161" s="263" t="e">
        <f t="shared" si="56"/>
        <v>#REF!</v>
      </c>
      <c r="AF161" s="263" t="e">
        <f t="shared" si="56"/>
        <v>#REF!</v>
      </c>
      <c r="AG161" s="263" t="e">
        <f t="shared" si="56"/>
        <v>#REF!</v>
      </c>
      <c r="AH161" s="263">
        <f t="shared" si="56"/>
        <v>38085000</v>
      </c>
      <c r="AI161" s="263">
        <f>SUM(AI162+AI165)</f>
        <v>27650000</v>
      </c>
      <c r="AJ161" s="222">
        <f t="shared" si="45"/>
        <v>26.844660194174757</v>
      </c>
      <c r="AK161" s="263">
        <f>SUM(Q161-AI161)</f>
        <v>75350000</v>
      </c>
      <c r="AL161" s="222">
        <f t="shared" si="46"/>
        <v>73.15533980582525</v>
      </c>
      <c r="AM161" s="289"/>
    </row>
    <row r="162" spans="1:39" s="235" customFormat="1" ht="29.25" customHeight="1" x14ac:dyDescent="0.25">
      <c r="A162" s="227">
        <f>A159+1</f>
        <v>24</v>
      </c>
      <c r="B162" s="462"/>
      <c r="C162" s="462"/>
      <c r="D162" s="462"/>
      <c r="E162" s="462"/>
      <c r="F162" s="462"/>
      <c r="G162" s="462"/>
      <c r="H162" s="462"/>
      <c r="I162" s="461"/>
      <c r="J162" s="304" t="s">
        <v>462</v>
      </c>
      <c r="K162" s="230"/>
      <c r="L162" s="462"/>
      <c r="M162" s="615" t="s">
        <v>386</v>
      </c>
      <c r="N162" s="614"/>
      <c r="O162" s="231"/>
      <c r="P162" s="231"/>
      <c r="Q162" s="231">
        <f>SUM(Q163:Q164)</f>
        <v>71000000</v>
      </c>
      <c r="R162" s="233">
        <f>Q162/Q$35*100</f>
        <v>0.2233670037670302</v>
      </c>
      <c r="S162" s="233">
        <v>100</v>
      </c>
      <c r="T162" s="231">
        <f t="shared" si="44"/>
        <v>0</v>
      </c>
      <c r="U162" s="231">
        <f t="shared" ref="U162:U167" si="57">R162*T162/100</f>
        <v>0</v>
      </c>
      <c r="V162" s="296">
        <f t="shared" si="55"/>
        <v>100</v>
      </c>
      <c r="W162" s="231"/>
      <c r="X162" s="231" t="e">
        <f>#REF!</f>
        <v>#REF!</v>
      </c>
      <c r="Y162" s="231" t="e">
        <f>#REF!</f>
        <v>#REF!</v>
      </c>
      <c r="Z162" s="231" t="e">
        <f>#REF!</f>
        <v>#REF!</v>
      </c>
      <c r="AA162" s="231" t="e">
        <f>#REF!</f>
        <v>#REF!</v>
      </c>
      <c r="AB162" s="231">
        <v>38085000</v>
      </c>
      <c r="AC162" s="231" t="e">
        <f>#REF!</f>
        <v>#REF!</v>
      </c>
      <c r="AD162" s="231" t="e">
        <f>#REF!</f>
        <v>#REF!</v>
      </c>
      <c r="AE162" s="231" t="e">
        <f>#REF!</f>
        <v>#REF!</v>
      </c>
      <c r="AF162" s="231" t="e">
        <f>[1]April!$N$43</f>
        <v>#REF!</v>
      </c>
      <c r="AG162" s="231" t="e">
        <f>[2]april!$N$43</f>
        <v>#REF!</v>
      </c>
      <c r="AH162" s="231">
        <f>'[3]DES SKPD'!$N39</f>
        <v>676934270</v>
      </c>
      <c r="AI162" s="231">
        <f>SUM(AI163:AI164)</f>
        <v>0</v>
      </c>
      <c r="AJ162" s="233">
        <f t="shared" si="45"/>
        <v>0</v>
      </c>
      <c r="AK162" s="231">
        <f t="shared" ref="AK162:AK167" si="58">Q162-AI162</f>
        <v>71000000</v>
      </c>
      <c r="AL162" s="233">
        <f t="shared" si="46"/>
        <v>100</v>
      </c>
      <c r="AM162" s="227"/>
    </row>
    <row r="163" spans="1:39" s="235" customFormat="1" ht="29.25" customHeight="1" x14ac:dyDescent="0.25">
      <c r="A163" s="227"/>
      <c r="B163" s="462"/>
      <c r="C163" s="462"/>
      <c r="D163" s="462"/>
      <c r="E163" s="462"/>
      <c r="F163" s="462"/>
      <c r="G163" s="462"/>
      <c r="H163" s="462"/>
      <c r="I163" s="461"/>
      <c r="J163" s="457" t="s">
        <v>259</v>
      </c>
      <c r="K163" s="245"/>
      <c r="L163" s="257"/>
      <c r="M163" s="597" t="s">
        <v>260</v>
      </c>
      <c r="N163" s="598"/>
      <c r="O163" s="231"/>
      <c r="P163" s="231"/>
      <c r="Q163" s="180">
        <v>800000</v>
      </c>
      <c r="R163" s="181">
        <f>Q163/Q$162*100</f>
        <v>1.1267605633802817</v>
      </c>
      <c r="S163" s="181">
        <v>100</v>
      </c>
      <c r="T163" s="180">
        <f t="shared" si="44"/>
        <v>0</v>
      </c>
      <c r="U163" s="180">
        <f t="shared" si="57"/>
        <v>0</v>
      </c>
      <c r="V163" s="182">
        <f t="shared" si="55"/>
        <v>100</v>
      </c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>
        <v>0</v>
      </c>
      <c r="AJ163" s="181">
        <f t="shared" si="45"/>
        <v>0</v>
      </c>
      <c r="AK163" s="180">
        <f t="shared" si="58"/>
        <v>800000</v>
      </c>
      <c r="AL163" s="181">
        <f t="shared" si="46"/>
        <v>100</v>
      </c>
      <c r="AM163" s="243"/>
    </row>
    <row r="164" spans="1:39" s="235" customFormat="1" ht="29.25" customHeight="1" x14ac:dyDescent="0.25">
      <c r="A164" s="227"/>
      <c r="B164" s="462"/>
      <c r="C164" s="462"/>
      <c r="D164" s="462"/>
      <c r="E164" s="462"/>
      <c r="F164" s="462"/>
      <c r="G164" s="462"/>
      <c r="H164" s="462"/>
      <c r="I164" s="461"/>
      <c r="J164" s="457" t="s">
        <v>387</v>
      </c>
      <c r="K164" s="230"/>
      <c r="L164" s="462"/>
      <c r="M164" s="597" t="s">
        <v>388</v>
      </c>
      <c r="N164" s="598"/>
      <c r="O164" s="231"/>
      <c r="P164" s="231"/>
      <c r="Q164" s="180">
        <v>70200000</v>
      </c>
      <c r="R164" s="181">
        <f>Q164/Q$162*100</f>
        <v>98.873239436619713</v>
      </c>
      <c r="S164" s="181">
        <v>100</v>
      </c>
      <c r="T164" s="180">
        <f t="shared" si="44"/>
        <v>0</v>
      </c>
      <c r="U164" s="180">
        <f t="shared" si="57"/>
        <v>0</v>
      </c>
      <c r="V164" s="182">
        <f t="shared" si="55"/>
        <v>100</v>
      </c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>
        <v>0</v>
      </c>
      <c r="AJ164" s="181">
        <f t="shared" si="45"/>
        <v>0</v>
      </c>
      <c r="AK164" s="180">
        <f t="shared" si="58"/>
        <v>70200000</v>
      </c>
      <c r="AL164" s="181">
        <f t="shared" si="46"/>
        <v>100</v>
      </c>
      <c r="AM164" s="243"/>
    </row>
    <row r="165" spans="1:39" s="297" customFormat="1" ht="28.5" customHeight="1" x14ac:dyDescent="0.25">
      <c r="A165" s="227">
        <f>A162+1</f>
        <v>25</v>
      </c>
      <c r="B165" s="615" t="s">
        <v>133</v>
      </c>
      <c r="C165" s="615"/>
      <c r="D165" s="615"/>
      <c r="E165" s="615"/>
      <c r="F165" s="615"/>
      <c r="G165" s="615"/>
      <c r="H165" s="615"/>
      <c r="I165" s="614"/>
      <c r="J165" s="304" t="s">
        <v>463</v>
      </c>
      <c r="K165" s="230"/>
      <c r="L165" s="294"/>
      <c r="M165" s="615" t="s">
        <v>134</v>
      </c>
      <c r="N165" s="614"/>
      <c r="O165" s="231">
        <v>39710000</v>
      </c>
      <c r="P165" s="231">
        <f>O165</f>
        <v>39710000</v>
      </c>
      <c r="Q165" s="231">
        <f>SUM(Q166:Q167)</f>
        <v>32000000</v>
      </c>
      <c r="R165" s="233">
        <f>Q165/Q$35*100</f>
        <v>0.10067245240204178</v>
      </c>
      <c r="S165" s="233">
        <v>100</v>
      </c>
      <c r="T165" s="231">
        <f t="shared" si="44"/>
        <v>86.40625</v>
      </c>
      <c r="U165" s="231">
        <f t="shared" si="57"/>
        <v>8.6987290903639228E-2</v>
      </c>
      <c r="V165" s="296">
        <f t="shared" si="55"/>
        <v>13.59375</v>
      </c>
      <c r="W165" s="231"/>
      <c r="X165" s="231" t="e">
        <f>#REF!</f>
        <v>#REF!</v>
      </c>
      <c r="Y165" s="231" t="e">
        <f>#REF!</f>
        <v>#REF!</v>
      </c>
      <c r="Z165" s="231" t="e">
        <f>#REF!</f>
        <v>#REF!</v>
      </c>
      <c r="AA165" s="231" t="e">
        <f>#REF!</f>
        <v>#REF!</v>
      </c>
      <c r="AB165" s="231">
        <v>38085000</v>
      </c>
      <c r="AC165" s="231" t="e">
        <f>#REF!</f>
        <v>#REF!</v>
      </c>
      <c r="AD165" s="231" t="e">
        <f>#REF!</f>
        <v>#REF!</v>
      </c>
      <c r="AE165" s="231" t="e">
        <f>#REF!</f>
        <v>#REF!</v>
      </c>
      <c r="AF165" s="231" t="e">
        <f>[1]April!$N$43</f>
        <v>#REF!</v>
      </c>
      <c r="AG165" s="231" t="e">
        <f>[2]april!$N$43</f>
        <v>#REF!</v>
      </c>
      <c r="AH165" s="231">
        <f>'[3]DES SKPD'!$N43</f>
        <v>38085000</v>
      </c>
      <c r="AI165" s="231">
        <f>SUM(AI166:AI167)</f>
        <v>27650000</v>
      </c>
      <c r="AJ165" s="233">
        <f t="shared" si="45"/>
        <v>86.40625</v>
      </c>
      <c r="AK165" s="231">
        <f t="shared" si="58"/>
        <v>4350000</v>
      </c>
      <c r="AL165" s="233">
        <f t="shared" si="46"/>
        <v>13.593749999999998</v>
      </c>
      <c r="AM165" s="227"/>
    </row>
    <row r="166" spans="1:39" ht="24.75" customHeight="1" x14ac:dyDescent="0.25">
      <c r="A166" s="243"/>
      <c r="B166" s="457"/>
      <c r="C166" s="457"/>
      <c r="D166" s="457"/>
      <c r="E166" s="457"/>
      <c r="F166" s="457"/>
      <c r="G166" s="457"/>
      <c r="H166" s="457"/>
      <c r="I166" s="458"/>
      <c r="J166" s="457" t="s">
        <v>259</v>
      </c>
      <c r="K166" s="245"/>
      <c r="L166" s="257"/>
      <c r="M166" s="597" t="s">
        <v>260</v>
      </c>
      <c r="N166" s="598"/>
      <c r="O166" s="180"/>
      <c r="P166" s="180"/>
      <c r="Q166" s="180">
        <v>800000</v>
      </c>
      <c r="R166" s="181">
        <f>Q166/Q$165*100</f>
        <v>2.5</v>
      </c>
      <c r="S166" s="181">
        <v>100</v>
      </c>
      <c r="T166" s="180">
        <f t="shared" si="44"/>
        <v>0</v>
      </c>
      <c r="U166" s="180">
        <f t="shared" si="57"/>
        <v>0</v>
      </c>
      <c r="V166" s="182">
        <f t="shared" si="55"/>
        <v>100</v>
      </c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>
        <v>0</v>
      </c>
      <c r="AJ166" s="181">
        <f t="shared" si="45"/>
        <v>0</v>
      </c>
      <c r="AK166" s="180">
        <f t="shared" si="58"/>
        <v>800000</v>
      </c>
      <c r="AL166" s="181">
        <f t="shared" si="46"/>
        <v>100</v>
      </c>
      <c r="AM166" s="243"/>
    </row>
    <row r="167" spans="1:39" ht="24.75" customHeight="1" x14ac:dyDescent="0.25">
      <c r="A167" s="243"/>
      <c r="B167" s="457"/>
      <c r="C167" s="457"/>
      <c r="D167" s="457"/>
      <c r="E167" s="457"/>
      <c r="F167" s="457"/>
      <c r="G167" s="457"/>
      <c r="H167" s="457"/>
      <c r="I167" s="458"/>
      <c r="J167" s="457" t="s">
        <v>311</v>
      </c>
      <c r="K167" s="245"/>
      <c r="L167" s="257"/>
      <c r="M167" s="597" t="s">
        <v>312</v>
      </c>
      <c r="N167" s="598"/>
      <c r="O167" s="180"/>
      <c r="P167" s="180"/>
      <c r="Q167" s="180">
        <v>31200000</v>
      </c>
      <c r="R167" s="181">
        <f>Q167/Q$165*100</f>
        <v>97.5</v>
      </c>
      <c r="S167" s="181">
        <v>100</v>
      </c>
      <c r="T167" s="180">
        <f t="shared" si="44"/>
        <v>88.621794871794862</v>
      </c>
      <c r="U167" s="180">
        <f t="shared" si="57"/>
        <v>86.406249999999986</v>
      </c>
      <c r="V167" s="182">
        <f t="shared" si="55"/>
        <v>11.378205128205138</v>
      </c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>
        <v>27650000</v>
      </c>
      <c r="AJ167" s="181">
        <f t="shared" si="45"/>
        <v>88.621794871794862</v>
      </c>
      <c r="AK167" s="180">
        <f t="shared" si="58"/>
        <v>3550000</v>
      </c>
      <c r="AL167" s="181">
        <f t="shared" si="46"/>
        <v>11.378205128205128</v>
      </c>
      <c r="AM167" s="243"/>
    </row>
    <row r="168" spans="1:39" s="226" customFormat="1" ht="28.5" customHeight="1" x14ac:dyDescent="0.25">
      <c r="A168" s="289" t="s">
        <v>30</v>
      </c>
      <c r="B168" s="607" t="s">
        <v>135</v>
      </c>
      <c r="C168" s="607"/>
      <c r="D168" s="607"/>
      <c r="E168" s="607"/>
      <c r="F168" s="607"/>
      <c r="G168" s="607"/>
      <c r="H168" s="607"/>
      <c r="I168" s="608"/>
      <c r="J168" s="463" t="s">
        <v>464</v>
      </c>
      <c r="K168" s="291"/>
      <c r="L168" s="607" t="s">
        <v>31</v>
      </c>
      <c r="M168" s="607"/>
      <c r="N168" s="608"/>
      <c r="O168" s="263">
        <f>SUM(O169:O171)</f>
        <v>789320000</v>
      </c>
      <c r="P168" s="263">
        <f>SUM(P169:P171)</f>
        <v>789320000</v>
      </c>
      <c r="Q168" s="263">
        <f>SUM(Q169+Q171)</f>
        <v>102870000</v>
      </c>
      <c r="R168" s="222">
        <f>Q168/Q$58*100</f>
        <v>0.50978833986266314</v>
      </c>
      <c r="S168" s="305">
        <v>100</v>
      </c>
      <c r="T168" s="306">
        <f t="shared" si="44"/>
        <v>47.905122970739768</v>
      </c>
      <c r="U168" s="263">
        <f>SUM(R168*T168/100)</f>
        <v>0.24421473110170155</v>
      </c>
      <c r="V168" s="307">
        <f t="shared" si="55"/>
        <v>52.094877029260232</v>
      </c>
      <c r="W168" s="263">
        <f t="shared" ref="W168:AH168" si="59">SUM(W169:W171)</f>
        <v>0</v>
      </c>
      <c r="X168" s="263" t="e">
        <f t="shared" si="59"/>
        <v>#REF!</v>
      </c>
      <c r="Y168" s="263" t="e">
        <f t="shared" si="59"/>
        <v>#REF!</v>
      </c>
      <c r="Z168" s="263" t="e">
        <f t="shared" si="59"/>
        <v>#REF!</v>
      </c>
      <c r="AA168" s="263" t="e">
        <f t="shared" si="59"/>
        <v>#REF!</v>
      </c>
      <c r="AB168" s="263">
        <f t="shared" si="59"/>
        <v>189087374</v>
      </c>
      <c r="AC168" s="263" t="e">
        <f t="shared" si="59"/>
        <v>#REF!</v>
      </c>
      <c r="AD168" s="263" t="e">
        <f t="shared" si="59"/>
        <v>#REF!</v>
      </c>
      <c r="AE168" s="263" t="e">
        <f t="shared" si="59"/>
        <v>#REF!</v>
      </c>
      <c r="AF168" s="263" t="e">
        <f t="shared" si="59"/>
        <v>#REF!</v>
      </c>
      <c r="AG168" s="263" t="e">
        <f t="shared" si="59"/>
        <v>#REF!</v>
      </c>
      <c r="AH168" s="263">
        <f t="shared" si="59"/>
        <v>663965174</v>
      </c>
      <c r="AI168" s="263">
        <f>SUM(AI169+AI171)</f>
        <v>49280000</v>
      </c>
      <c r="AJ168" s="222">
        <f t="shared" si="45"/>
        <v>47.905122970739768</v>
      </c>
      <c r="AK168" s="263">
        <f>SUM(Q168-AI168)</f>
        <v>53590000</v>
      </c>
      <c r="AL168" s="222">
        <f t="shared" si="46"/>
        <v>52.094877029260232</v>
      </c>
      <c r="AM168" s="289"/>
    </row>
    <row r="169" spans="1:39" s="297" customFormat="1" ht="29.25" customHeight="1" x14ac:dyDescent="0.25">
      <c r="A169" s="227">
        <f>A165+1</f>
        <v>26</v>
      </c>
      <c r="B169" s="615" t="s">
        <v>136</v>
      </c>
      <c r="C169" s="615"/>
      <c r="D169" s="615"/>
      <c r="E169" s="615"/>
      <c r="F169" s="615"/>
      <c r="G169" s="615"/>
      <c r="H169" s="615"/>
      <c r="I169" s="614"/>
      <c r="J169" s="304" t="s">
        <v>465</v>
      </c>
      <c r="K169" s="230"/>
      <c r="L169" s="294"/>
      <c r="M169" s="615" t="s">
        <v>32</v>
      </c>
      <c r="N169" s="614"/>
      <c r="O169" s="295">
        <v>350000000</v>
      </c>
      <c r="P169" s="231">
        <f>O169</f>
        <v>350000000</v>
      </c>
      <c r="Q169" s="231">
        <f>SUM(Q170:Q170)</f>
        <v>37300000</v>
      </c>
      <c r="R169" s="233">
        <f>Q169/Q$168*100</f>
        <v>36.259356469330221</v>
      </c>
      <c r="S169" s="233">
        <v>100</v>
      </c>
      <c r="T169" s="231">
        <f t="shared" si="44"/>
        <v>33.512064343163537</v>
      </c>
      <c r="U169" s="231">
        <f>R169*T169/100</f>
        <v>12.151258870418975</v>
      </c>
      <c r="V169" s="296">
        <f t="shared" si="55"/>
        <v>66.48793565683647</v>
      </c>
      <c r="W169" s="231"/>
      <c r="X169" s="231" t="e">
        <f>#REF!</f>
        <v>#REF!</v>
      </c>
      <c r="Y169" s="231" t="e">
        <f>#REF!</f>
        <v>#REF!</v>
      </c>
      <c r="Z169" s="231" t="e">
        <f>#REF!</f>
        <v>#REF!</v>
      </c>
      <c r="AA169" s="231" t="e">
        <f>#REF!</f>
        <v>#REF!</v>
      </c>
      <c r="AB169" s="231">
        <v>112882300</v>
      </c>
      <c r="AC169" s="231" t="e">
        <f>#REF!</f>
        <v>#REF!</v>
      </c>
      <c r="AD169" s="231" t="e">
        <f>#REF!</f>
        <v>#REF!</v>
      </c>
      <c r="AE169" s="231" t="e">
        <f>#REF!</f>
        <v>#REF!</v>
      </c>
      <c r="AF169" s="231" t="e">
        <f>[1]April!N45</f>
        <v>#REF!</v>
      </c>
      <c r="AG169" s="231" t="e">
        <f>[2]april!N45</f>
        <v>#REF!</v>
      </c>
      <c r="AH169" s="231">
        <f>'[3]DES SKPD'!$N45</f>
        <v>320566100</v>
      </c>
      <c r="AI169" s="231">
        <f>SUM(AI170:AI170)</f>
        <v>12500000</v>
      </c>
      <c r="AJ169" s="233">
        <f t="shared" si="45"/>
        <v>33.512064343163537</v>
      </c>
      <c r="AK169" s="231">
        <f t="shared" ref="AK169:AK179" si="60">Q169-AI169</f>
        <v>24800000</v>
      </c>
      <c r="AL169" s="233">
        <f t="shared" si="46"/>
        <v>66.487935656836456</v>
      </c>
      <c r="AM169" s="227"/>
    </row>
    <row r="170" spans="1:39" ht="29.25" customHeight="1" x14ac:dyDescent="0.25">
      <c r="A170" s="243"/>
      <c r="B170" s="457"/>
      <c r="C170" s="457"/>
      <c r="D170" s="457"/>
      <c r="E170" s="457"/>
      <c r="F170" s="457"/>
      <c r="G170" s="457"/>
      <c r="H170" s="457"/>
      <c r="I170" s="458"/>
      <c r="J170" s="457" t="s">
        <v>313</v>
      </c>
      <c r="K170" s="245"/>
      <c r="L170" s="257"/>
      <c r="M170" s="597" t="s">
        <v>314</v>
      </c>
      <c r="N170" s="598"/>
      <c r="O170" s="299"/>
      <c r="P170" s="180"/>
      <c r="Q170" s="180">
        <v>37300000</v>
      </c>
      <c r="R170" s="181">
        <f>Q170/Q$169*100</f>
        <v>100</v>
      </c>
      <c r="S170" s="181">
        <v>100</v>
      </c>
      <c r="T170" s="180">
        <f t="shared" si="44"/>
        <v>33.512064343163537</v>
      </c>
      <c r="U170" s="180">
        <f>R170*T170/100</f>
        <v>33.512064343163537</v>
      </c>
      <c r="V170" s="182">
        <f t="shared" si="55"/>
        <v>66.48793565683647</v>
      </c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>
        <v>12500000</v>
      </c>
      <c r="AJ170" s="181">
        <f t="shared" si="45"/>
        <v>33.512064343163537</v>
      </c>
      <c r="AK170" s="180">
        <f t="shared" si="60"/>
        <v>24800000</v>
      </c>
      <c r="AL170" s="181">
        <f t="shared" si="46"/>
        <v>66.487935656836456</v>
      </c>
      <c r="AM170" s="243"/>
    </row>
    <row r="171" spans="1:39" s="297" customFormat="1" ht="33.75" customHeight="1" x14ac:dyDescent="0.25">
      <c r="A171" s="227">
        <f>A169+1</f>
        <v>27</v>
      </c>
      <c r="B171" s="615" t="s">
        <v>137</v>
      </c>
      <c r="C171" s="615"/>
      <c r="D171" s="615"/>
      <c r="E171" s="615"/>
      <c r="F171" s="615"/>
      <c r="G171" s="615"/>
      <c r="H171" s="615"/>
      <c r="I171" s="614"/>
      <c r="J171" s="304" t="s">
        <v>466</v>
      </c>
      <c r="K171" s="230"/>
      <c r="L171" s="294"/>
      <c r="M171" s="615" t="s">
        <v>33</v>
      </c>
      <c r="N171" s="614"/>
      <c r="O171" s="295">
        <v>439320000</v>
      </c>
      <c r="P171" s="231">
        <f>O171</f>
        <v>439320000</v>
      </c>
      <c r="Q171" s="231">
        <f>SUM(Q172:Q179)</f>
        <v>65570000</v>
      </c>
      <c r="R171" s="233">
        <f>Q171/Q$168*100</f>
        <v>63.740643530669786</v>
      </c>
      <c r="S171" s="233">
        <v>100</v>
      </c>
      <c r="T171" s="231">
        <f t="shared" si="44"/>
        <v>56.092725331706575</v>
      </c>
      <c r="U171" s="231">
        <f>R171*T171/100</f>
        <v>35.753864100320797</v>
      </c>
      <c r="V171" s="296">
        <f t="shared" si="55"/>
        <v>43.907274668293425</v>
      </c>
      <c r="W171" s="231"/>
      <c r="X171" s="231" t="e">
        <f>#REF!</f>
        <v>#REF!</v>
      </c>
      <c r="Y171" s="231" t="e">
        <f>#REF!</f>
        <v>#REF!</v>
      </c>
      <c r="Z171" s="231" t="e">
        <f>#REF!</f>
        <v>#REF!</v>
      </c>
      <c r="AA171" s="231" t="e">
        <f>#REF!</f>
        <v>#REF!</v>
      </c>
      <c r="AB171" s="231">
        <v>76205074</v>
      </c>
      <c r="AC171" s="231" t="e">
        <f>#REF!</f>
        <v>#REF!</v>
      </c>
      <c r="AD171" s="231" t="e">
        <f>#REF!</f>
        <v>#REF!</v>
      </c>
      <c r="AE171" s="231" t="e">
        <f>#REF!</f>
        <v>#REF!</v>
      </c>
      <c r="AF171" s="231" t="e">
        <f>[1]April!N46</f>
        <v>#REF!</v>
      </c>
      <c r="AG171" s="231" t="e">
        <f>[2]april!N46</f>
        <v>#REF!</v>
      </c>
      <c r="AH171" s="231">
        <f>'[3]DES SKPD'!$N46</f>
        <v>343399074</v>
      </c>
      <c r="AI171" s="231">
        <f>SUM(AI172:AI179)</f>
        <v>36780000</v>
      </c>
      <c r="AJ171" s="233">
        <f t="shared" si="45"/>
        <v>56.092725331706575</v>
      </c>
      <c r="AK171" s="231">
        <f t="shared" si="60"/>
        <v>28790000</v>
      </c>
      <c r="AL171" s="233">
        <f t="shared" si="46"/>
        <v>43.907274668293425</v>
      </c>
      <c r="AM171" s="227"/>
    </row>
    <row r="172" spans="1:39" ht="28.5" customHeight="1" x14ac:dyDescent="0.25">
      <c r="A172" s="243"/>
      <c r="B172" s="457"/>
      <c r="C172" s="457"/>
      <c r="D172" s="457"/>
      <c r="E172" s="457"/>
      <c r="F172" s="457"/>
      <c r="G172" s="457"/>
      <c r="H172" s="457"/>
      <c r="I172" s="458"/>
      <c r="J172" s="457" t="s">
        <v>259</v>
      </c>
      <c r="K172" s="245"/>
      <c r="L172" s="257"/>
      <c r="M172" s="597" t="s">
        <v>260</v>
      </c>
      <c r="N172" s="598"/>
      <c r="O172" s="299"/>
      <c r="P172" s="180"/>
      <c r="Q172" s="180">
        <v>770000</v>
      </c>
      <c r="R172" s="181">
        <f t="shared" ref="R172:R179" si="61">Q172/Q$171*100</f>
        <v>1.1743175232575873</v>
      </c>
      <c r="S172" s="181">
        <v>100</v>
      </c>
      <c r="T172" s="180">
        <f t="shared" si="44"/>
        <v>100</v>
      </c>
      <c r="U172" s="180">
        <f t="shared" ref="U172:U180" si="62">R172*T172/100</f>
        <v>1.1743175232575873</v>
      </c>
      <c r="V172" s="182">
        <f t="shared" si="55"/>
        <v>0</v>
      </c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>
        <v>770000</v>
      </c>
      <c r="AJ172" s="181">
        <f t="shared" si="45"/>
        <v>100</v>
      </c>
      <c r="AK172" s="180">
        <f t="shared" si="60"/>
        <v>0</v>
      </c>
      <c r="AL172" s="181">
        <f t="shared" si="46"/>
        <v>0</v>
      </c>
      <c r="AM172" s="243"/>
    </row>
    <row r="173" spans="1:39" ht="32.25" customHeight="1" x14ac:dyDescent="0.25">
      <c r="A173" s="243"/>
      <c r="B173" s="457"/>
      <c r="C173" s="457"/>
      <c r="D173" s="457"/>
      <c r="E173" s="457"/>
      <c r="F173" s="457"/>
      <c r="G173" s="457"/>
      <c r="H173" s="457"/>
      <c r="I173" s="458"/>
      <c r="J173" s="457" t="s">
        <v>315</v>
      </c>
      <c r="K173" s="245"/>
      <c r="L173" s="257"/>
      <c r="M173" s="597" t="s">
        <v>428</v>
      </c>
      <c r="N173" s="598"/>
      <c r="O173" s="299"/>
      <c r="P173" s="180"/>
      <c r="Q173" s="180">
        <v>1500000</v>
      </c>
      <c r="R173" s="181">
        <f t="shared" si="61"/>
        <v>2.2876315388134816</v>
      </c>
      <c r="S173" s="181">
        <v>100</v>
      </c>
      <c r="T173" s="180">
        <f t="shared" si="44"/>
        <v>60</v>
      </c>
      <c r="U173" s="180">
        <f t="shared" si="62"/>
        <v>1.3725789232880892</v>
      </c>
      <c r="V173" s="182">
        <f t="shared" si="55"/>
        <v>40</v>
      </c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>
        <v>900000</v>
      </c>
      <c r="AJ173" s="181">
        <f t="shared" si="45"/>
        <v>60</v>
      </c>
      <c r="AK173" s="180">
        <f t="shared" si="60"/>
        <v>600000</v>
      </c>
      <c r="AL173" s="181">
        <f t="shared" si="46"/>
        <v>40</v>
      </c>
      <c r="AM173" s="243"/>
    </row>
    <row r="174" spans="1:39" ht="32.25" customHeight="1" x14ac:dyDescent="0.25">
      <c r="A174" s="243"/>
      <c r="B174" s="457"/>
      <c r="C174" s="457"/>
      <c r="D174" s="457"/>
      <c r="E174" s="457"/>
      <c r="F174" s="457"/>
      <c r="G174" s="457"/>
      <c r="H174" s="457"/>
      <c r="I174" s="458"/>
      <c r="J174" s="457" t="s">
        <v>316</v>
      </c>
      <c r="K174" s="245"/>
      <c r="L174" s="257"/>
      <c r="M174" s="597" t="s">
        <v>317</v>
      </c>
      <c r="N174" s="598"/>
      <c r="O174" s="299"/>
      <c r="P174" s="180"/>
      <c r="Q174" s="180">
        <v>300000</v>
      </c>
      <c r="R174" s="181">
        <f t="shared" si="61"/>
        <v>0.45752630776269632</v>
      </c>
      <c r="S174" s="181">
        <v>100</v>
      </c>
      <c r="T174" s="180">
        <f t="shared" si="44"/>
        <v>50</v>
      </c>
      <c r="U174" s="180">
        <f t="shared" si="62"/>
        <v>0.22876315388134816</v>
      </c>
      <c r="V174" s="182">
        <f t="shared" si="55"/>
        <v>50</v>
      </c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>
        <v>150000</v>
      </c>
      <c r="AJ174" s="181">
        <f t="shared" si="45"/>
        <v>50</v>
      </c>
      <c r="AK174" s="180">
        <f t="shared" si="60"/>
        <v>150000</v>
      </c>
      <c r="AL174" s="181">
        <f t="shared" si="46"/>
        <v>50</v>
      </c>
      <c r="AM174" s="243"/>
    </row>
    <row r="175" spans="1:39" ht="30.75" customHeight="1" x14ac:dyDescent="0.25">
      <c r="A175" s="243"/>
      <c r="B175" s="457"/>
      <c r="C175" s="457"/>
      <c r="D175" s="457"/>
      <c r="E175" s="457"/>
      <c r="F175" s="457"/>
      <c r="G175" s="457"/>
      <c r="H175" s="457"/>
      <c r="I175" s="458"/>
      <c r="J175" s="457" t="s">
        <v>318</v>
      </c>
      <c r="K175" s="245"/>
      <c r="L175" s="257"/>
      <c r="M175" s="597" t="s">
        <v>319</v>
      </c>
      <c r="N175" s="598"/>
      <c r="O175" s="299"/>
      <c r="P175" s="180"/>
      <c r="Q175" s="180">
        <v>26250000</v>
      </c>
      <c r="R175" s="181">
        <f t="shared" si="61"/>
        <v>40.033551929235934</v>
      </c>
      <c r="S175" s="181">
        <v>100</v>
      </c>
      <c r="T175" s="180">
        <f t="shared" si="44"/>
        <v>93.333333333333329</v>
      </c>
      <c r="U175" s="180">
        <f t="shared" si="62"/>
        <v>37.36464846728687</v>
      </c>
      <c r="V175" s="182">
        <f t="shared" si="55"/>
        <v>6.6666666666666714</v>
      </c>
      <c r="W175" s="180"/>
      <c r="X175" s="180"/>
      <c r="Y175" s="180"/>
      <c r="Z175" s="180"/>
      <c r="AA175" s="180"/>
      <c r="AB175" s="180"/>
      <c r="AC175" s="180"/>
      <c r="AD175" s="180"/>
      <c r="AE175" s="180"/>
      <c r="AF175" s="180"/>
      <c r="AG175" s="180"/>
      <c r="AH175" s="180"/>
      <c r="AI175" s="180">
        <v>24500000</v>
      </c>
      <c r="AJ175" s="181">
        <f t="shared" si="45"/>
        <v>93.333333333333329</v>
      </c>
      <c r="AK175" s="180">
        <f t="shared" si="60"/>
        <v>1750000</v>
      </c>
      <c r="AL175" s="181">
        <f t="shared" si="46"/>
        <v>6.666666666666667</v>
      </c>
      <c r="AM175" s="243"/>
    </row>
    <row r="176" spans="1:39" ht="24.75" customHeight="1" x14ac:dyDescent="0.25">
      <c r="A176" s="243"/>
      <c r="B176" s="457"/>
      <c r="C176" s="457"/>
      <c r="D176" s="457"/>
      <c r="E176" s="457"/>
      <c r="F176" s="457"/>
      <c r="G176" s="457"/>
      <c r="H176" s="457"/>
      <c r="I176" s="458"/>
      <c r="J176" s="457" t="s">
        <v>284</v>
      </c>
      <c r="K176" s="245"/>
      <c r="L176" s="257"/>
      <c r="M176" s="597" t="s">
        <v>585</v>
      </c>
      <c r="N176" s="598"/>
      <c r="O176" s="299"/>
      <c r="P176" s="180"/>
      <c r="Q176" s="180">
        <v>12900000</v>
      </c>
      <c r="R176" s="181">
        <f t="shared" si="61"/>
        <v>19.673631233795945</v>
      </c>
      <c r="S176" s="181">
        <v>100</v>
      </c>
      <c r="T176" s="180">
        <f t="shared" si="44"/>
        <v>46.589147286821699</v>
      </c>
      <c r="U176" s="180">
        <f t="shared" si="62"/>
        <v>9.1657770321793492</v>
      </c>
      <c r="V176" s="182">
        <f t="shared" si="55"/>
        <v>53.410852713178301</v>
      </c>
      <c r="W176" s="180"/>
      <c r="X176" s="180"/>
      <c r="Y176" s="180"/>
      <c r="Z176" s="180"/>
      <c r="AA176" s="180"/>
      <c r="AB176" s="180"/>
      <c r="AC176" s="180"/>
      <c r="AD176" s="180"/>
      <c r="AE176" s="180"/>
      <c r="AF176" s="180"/>
      <c r="AG176" s="180"/>
      <c r="AH176" s="180"/>
      <c r="AI176" s="180">
        <v>6010000</v>
      </c>
      <c r="AJ176" s="181">
        <f t="shared" si="45"/>
        <v>46.589147286821699</v>
      </c>
      <c r="AK176" s="180">
        <f t="shared" si="60"/>
        <v>6890000</v>
      </c>
      <c r="AL176" s="181">
        <f t="shared" si="46"/>
        <v>53.410852713178294</v>
      </c>
      <c r="AM176" s="243"/>
    </row>
    <row r="177" spans="1:44" ht="24.75" customHeight="1" x14ac:dyDescent="0.25">
      <c r="A177" s="243"/>
      <c r="B177" s="457"/>
      <c r="C177" s="457"/>
      <c r="D177" s="457"/>
      <c r="E177" s="457"/>
      <c r="F177" s="457"/>
      <c r="G177" s="457"/>
      <c r="H177" s="457"/>
      <c r="I177" s="458"/>
      <c r="J177" s="457" t="s">
        <v>282</v>
      </c>
      <c r="K177" s="245"/>
      <c r="L177" s="257"/>
      <c r="M177" s="597" t="s">
        <v>586</v>
      </c>
      <c r="N177" s="598"/>
      <c r="O177" s="299"/>
      <c r="P177" s="180"/>
      <c r="Q177" s="180">
        <v>5000000</v>
      </c>
      <c r="R177" s="181">
        <f t="shared" si="61"/>
        <v>7.6254384627116059</v>
      </c>
      <c r="S177" s="181">
        <v>100</v>
      </c>
      <c r="T177" s="180">
        <f t="shared" si="44"/>
        <v>0</v>
      </c>
      <c r="U177" s="180">
        <f t="shared" si="62"/>
        <v>0</v>
      </c>
      <c r="V177" s="182">
        <f>S177-T177</f>
        <v>100</v>
      </c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>
        <v>0</v>
      </c>
      <c r="AJ177" s="181">
        <f t="shared" si="45"/>
        <v>0</v>
      </c>
      <c r="AK177" s="180">
        <f t="shared" si="60"/>
        <v>5000000</v>
      </c>
      <c r="AL177" s="181">
        <f t="shared" si="46"/>
        <v>100</v>
      </c>
      <c r="AM177" s="243"/>
    </row>
    <row r="178" spans="1:44" ht="24.75" customHeight="1" x14ac:dyDescent="0.25">
      <c r="A178" s="243"/>
      <c r="B178" s="457"/>
      <c r="C178" s="457"/>
      <c r="D178" s="457"/>
      <c r="E178" s="457"/>
      <c r="F178" s="457"/>
      <c r="G178" s="457"/>
      <c r="H178" s="457"/>
      <c r="I178" s="458"/>
      <c r="J178" s="457" t="s">
        <v>320</v>
      </c>
      <c r="K178" s="245"/>
      <c r="L178" s="257"/>
      <c r="M178" s="597" t="s">
        <v>321</v>
      </c>
      <c r="N178" s="598"/>
      <c r="O178" s="299"/>
      <c r="P178" s="180"/>
      <c r="Q178" s="180">
        <v>18400000</v>
      </c>
      <c r="R178" s="181">
        <f t="shared" si="61"/>
        <v>28.061613542778709</v>
      </c>
      <c r="S178" s="181">
        <v>100</v>
      </c>
      <c r="T178" s="180">
        <f t="shared" si="44"/>
        <v>21.739130434782609</v>
      </c>
      <c r="U178" s="180">
        <f t="shared" si="62"/>
        <v>6.1003507701692845</v>
      </c>
      <c r="V178" s="182">
        <f t="shared" ref="V178:V179" si="63">S178-T178</f>
        <v>78.260869565217391</v>
      </c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>
        <v>4000000</v>
      </c>
      <c r="AJ178" s="181">
        <f t="shared" si="45"/>
        <v>21.739130434782609</v>
      </c>
      <c r="AK178" s="180">
        <f t="shared" si="60"/>
        <v>14400000</v>
      </c>
      <c r="AL178" s="181">
        <f t="shared" si="46"/>
        <v>78.260869565217391</v>
      </c>
      <c r="AM178" s="243"/>
    </row>
    <row r="179" spans="1:44" ht="24.75" customHeight="1" x14ac:dyDescent="0.25">
      <c r="A179" s="243"/>
      <c r="B179" s="457"/>
      <c r="C179" s="457"/>
      <c r="D179" s="457"/>
      <c r="E179" s="457"/>
      <c r="F179" s="457"/>
      <c r="G179" s="457"/>
      <c r="H179" s="457"/>
      <c r="I179" s="458"/>
      <c r="J179" s="457" t="s">
        <v>407</v>
      </c>
      <c r="K179" s="245"/>
      <c r="L179" s="257"/>
      <c r="M179" s="597" t="s">
        <v>414</v>
      </c>
      <c r="N179" s="598"/>
      <c r="O179" s="299"/>
      <c r="P179" s="180"/>
      <c r="Q179" s="180">
        <v>450000</v>
      </c>
      <c r="R179" s="181">
        <f t="shared" si="61"/>
        <v>0.68628946164404447</v>
      </c>
      <c r="S179" s="181">
        <v>100</v>
      </c>
      <c r="T179" s="180">
        <f t="shared" si="44"/>
        <v>100</v>
      </c>
      <c r="U179" s="180">
        <f t="shared" si="62"/>
        <v>0.68628946164404458</v>
      </c>
      <c r="V179" s="182">
        <f t="shared" si="63"/>
        <v>0</v>
      </c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>
        <v>450000</v>
      </c>
      <c r="AJ179" s="181">
        <f t="shared" si="45"/>
        <v>100</v>
      </c>
      <c r="AK179" s="180">
        <f t="shared" si="60"/>
        <v>0</v>
      </c>
      <c r="AL179" s="181">
        <f t="shared" si="46"/>
        <v>0</v>
      </c>
      <c r="AM179" s="243"/>
    </row>
    <row r="180" spans="1:44" s="226" customFormat="1" ht="36.75" customHeight="1" x14ac:dyDescent="0.25">
      <c r="A180" s="289" t="s">
        <v>34</v>
      </c>
      <c r="B180" s="607" t="s">
        <v>138</v>
      </c>
      <c r="C180" s="607"/>
      <c r="D180" s="607"/>
      <c r="E180" s="607"/>
      <c r="F180" s="607"/>
      <c r="G180" s="607"/>
      <c r="H180" s="607"/>
      <c r="I180" s="608"/>
      <c r="J180" s="463" t="s">
        <v>467</v>
      </c>
      <c r="K180" s="291"/>
      <c r="L180" s="607" t="s">
        <v>35</v>
      </c>
      <c r="M180" s="607"/>
      <c r="N180" s="608"/>
      <c r="O180" s="263">
        <f>SUM(O181:O230)</f>
        <v>2212865000</v>
      </c>
      <c r="P180" s="263">
        <f>SUM(P181:P230)</f>
        <v>1923365000</v>
      </c>
      <c r="Q180" s="263">
        <f>SUM(Q181+Q193+Q201+Q209+Q216+Q222+Q230+Q241)</f>
        <v>1358098427</v>
      </c>
      <c r="R180" s="222">
        <f>Q180/Q$58*100</f>
        <v>6.7302687126511538</v>
      </c>
      <c r="S180" s="222">
        <f>S181</f>
        <v>100</v>
      </c>
      <c r="T180" s="263">
        <f t="shared" si="44"/>
        <v>32.749303081255981</v>
      </c>
      <c r="U180" s="263">
        <f t="shared" si="62"/>
        <v>2.2041160988890716</v>
      </c>
      <c r="V180" s="292">
        <f t="shared" si="55"/>
        <v>67.250696918744012</v>
      </c>
      <c r="W180" s="263">
        <f t="shared" ref="W180:AH180" si="64">SUM(W181:W230)</f>
        <v>0</v>
      </c>
      <c r="X180" s="263" t="e">
        <f t="shared" si="64"/>
        <v>#REF!</v>
      </c>
      <c r="Y180" s="263" t="e">
        <f t="shared" si="64"/>
        <v>#REF!</v>
      </c>
      <c r="Z180" s="263" t="e">
        <f t="shared" si="64"/>
        <v>#REF!</v>
      </c>
      <c r="AA180" s="263" t="e">
        <f t="shared" si="64"/>
        <v>#REF!</v>
      </c>
      <c r="AB180" s="263">
        <f t="shared" si="64"/>
        <v>1160108089</v>
      </c>
      <c r="AC180" s="263" t="e">
        <f t="shared" si="64"/>
        <v>#REF!</v>
      </c>
      <c r="AD180" s="263" t="e">
        <f t="shared" si="64"/>
        <v>#REF!</v>
      </c>
      <c r="AE180" s="263" t="e">
        <f t="shared" si="64"/>
        <v>#REF!</v>
      </c>
      <c r="AF180" s="263" t="e">
        <f t="shared" si="64"/>
        <v>#REF!</v>
      </c>
      <c r="AG180" s="263" t="e">
        <f t="shared" si="64"/>
        <v>#REF!</v>
      </c>
      <c r="AH180" s="263" t="e">
        <f t="shared" si="64"/>
        <v>#REF!</v>
      </c>
      <c r="AI180" s="263">
        <f>SUM(AI181+AI193+AI201+AI209+AI216+AI222+AI230+AI241)</f>
        <v>444767770</v>
      </c>
      <c r="AJ180" s="222">
        <f t="shared" si="45"/>
        <v>32.749303081255981</v>
      </c>
      <c r="AK180" s="263">
        <f>SUM(Q180-AI180)</f>
        <v>913330657</v>
      </c>
      <c r="AL180" s="222">
        <f t="shared" si="46"/>
        <v>67.250696918744026</v>
      </c>
      <c r="AM180" s="289"/>
    </row>
    <row r="181" spans="1:44" s="297" customFormat="1" ht="42" customHeight="1" x14ac:dyDescent="0.25">
      <c r="A181" s="227">
        <f>A171+1</f>
        <v>28</v>
      </c>
      <c r="B181" s="615" t="s">
        <v>139</v>
      </c>
      <c r="C181" s="615"/>
      <c r="D181" s="615"/>
      <c r="E181" s="615"/>
      <c r="F181" s="615"/>
      <c r="G181" s="615"/>
      <c r="H181" s="615"/>
      <c r="I181" s="614"/>
      <c r="J181" s="304" t="s">
        <v>468</v>
      </c>
      <c r="K181" s="230"/>
      <c r="L181" s="294"/>
      <c r="M181" s="615" t="s">
        <v>36</v>
      </c>
      <c r="N181" s="614"/>
      <c r="O181" s="300">
        <v>1093890000</v>
      </c>
      <c r="P181" s="231">
        <f>[9]Sheet1!$U$80</f>
        <v>804390000</v>
      </c>
      <c r="Q181" s="231">
        <f>SUM(Q182:Q192)</f>
        <v>496093427</v>
      </c>
      <c r="R181" s="233">
        <f>Q181/Q$180*100</f>
        <v>36.528532626008264</v>
      </c>
      <c r="S181" s="233">
        <v>100</v>
      </c>
      <c r="T181" s="231">
        <f t="shared" si="44"/>
        <v>44.112309917784906</v>
      </c>
      <c r="U181" s="231">
        <f>R181*T181/100</f>
        <v>16.113579520403938</v>
      </c>
      <c r="V181" s="296">
        <f t="shared" si="55"/>
        <v>55.887690082215094</v>
      </c>
      <c r="W181" s="231"/>
      <c r="X181" s="231" t="e">
        <f>#REF!</f>
        <v>#REF!</v>
      </c>
      <c r="Y181" s="231" t="e">
        <f>#REF!</f>
        <v>#REF!</v>
      </c>
      <c r="Z181" s="231" t="e">
        <f>#REF!</f>
        <v>#REF!</v>
      </c>
      <c r="AA181" s="231" t="e">
        <f>#REF!</f>
        <v>#REF!</v>
      </c>
      <c r="AB181" s="231">
        <v>258208050</v>
      </c>
      <c r="AC181" s="231" t="e">
        <f>#REF!</f>
        <v>#REF!</v>
      </c>
      <c r="AD181" s="231" t="e">
        <f>#REF!</f>
        <v>#REF!</v>
      </c>
      <c r="AE181" s="231" t="e">
        <f>#REF!</f>
        <v>#REF!</v>
      </c>
      <c r="AF181" s="231" t="e">
        <f>[1]April!N48</f>
        <v>#REF!</v>
      </c>
      <c r="AG181" s="231" t="e">
        <f>[2]april!N48</f>
        <v>#REF!</v>
      </c>
      <c r="AH181" s="231">
        <f>'[3]DES SKPD'!$N48</f>
        <v>531334050</v>
      </c>
      <c r="AI181" s="231">
        <f>SUM(AI182:AI192)</f>
        <v>218838270</v>
      </c>
      <c r="AJ181" s="233">
        <f t="shared" si="45"/>
        <v>44.112309917784906</v>
      </c>
      <c r="AK181" s="231">
        <f>Q181-AI181</f>
        <v>277255157</v>
      </c>
      <c r="AL181" s="233">
        <f t="shared" si="46"/>
        <v>55.887690082215101</v>
      </c>
      <c r="AM181" s="227"/>
    </row>
    <row r="182" spans="1:44" ht="28.5" customHeight="1" x14ac:dyDescent="0.25">
      <c r="A182" s="243"/>
      <c r="B182" s="457"/>
      <c r="C182" s="457"/>
      <c r="D182" s="457"/>
      <c r="E182" s="457"/>
      <c r="F182" s="457"/>
      <c r="G182" s="457"/>
      <c r="H182" s="457"/>
      <c r="I182" s="458"/>
      <c r="J182" s="457" t="s">
        <v>259</v>
      </c>
      <c r="K182" s="245"/>
      <c r="L182" s="257"/>
      <c r="M182" s="597" t="s">
        <v>260</v>
      </c>
      <c r="N182" s="598"/>
      <c r="O182" s="301"/>
      <c r="P182" s="180"/>
      <c r="Q182" s="180">
        <v>1096000</v>
      </c>
      <c r="R182" s="181">
        <f t="shared" ref="R182:R192" si="65">Q182/Q$181*100</f>
        <v>0.22092612809401324</v>
      </c>
      <c r="S182" s="181">
        <v>100</v>
      </c>
      <c r="T182" s="180">
        <f t="shared" si="44"/>
        <v>0</v>
      </c>
      <c r="U182" s="180">
        <f t="shared" ref="U182:U190" si="66">R182*T182/100</f>
        <v>0</v>
      </c>
      <c r="V182" s="182">
        <f t="shared" si="55"/>
        <v>100</v>
      </c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>
        <v>0</v>
      </c>
      <c r="AJ182" s="181">
        <f t="shared" si="45"/>
        <v>0</v>
      </c>
      <c r="AK182" s="180">
        <f t="shared" ref="AK182:AK245" si="67">Q182-AI182</f>
        <v>1096000</v>
      </c>
      <c r="AL182" s="181">
        <f t="shared" si="46"/>
        <v>100</v>
      </c>
      <c r="AM182" s="243"/>
      <c r="AR182" s="205">
        <f>SUM(69300000-48250000)</f>
        <v>21050000</v>
      </c>
    </row>
    <row r="183" spans="1:44" ht="28.5" customHeight="1" x14ac:dyDescent="0.25">
      <c r="A183" s="243"/>
      <c r="B183" s="457"/>
      <c r="C183" s="457"/>
      <c r="D183" s="457"/>
      <c r="E183" s="457"/>
      <c r="F183" s="457"/>
      <c r="G183" s="457"/>
      <c r="H183" s="457"/>
      <c r="I183" s="458"/>
      <c r="J183" s="457" t="s">
        <v>273</v>
      </c>
      <c r="K183" s="245"/>
      <c r="L183" s="257"/>
      <c r="M183" s="597" t="s">
        <v>322</v>
      </c>
      <c r="N183" s="598"/>
      <c r="O183" s="301"/>
      <c r="P183" s="180"/>
      <c r="Q183" s="180">
        <v>6900000</v>
      </c>
      <c r="R183" s="181">
        <f t="shared" si="65"/>
        <v>1.3908670473072002</v>
      </c>
      <c r="S183" s="181">
        <v>100</v>
      </c>
      <c r="T183" s="180">
        <f>AJ183</f>
        <v>100</v>
      </c>
      <c r="U183" s="180">
        <f t="shared" si="66"/>
        <v>1.3908670473072002</v>
      </c>
      <c r="V183" s="182">
        <f t="shared" si="55"/>
        <v>0</v>
      </c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>
        <v>6900000</v>
      </c>
      <c r="AJ183" s="181">
        <f>AI183/Q183*100</f>
        <v>100</v>
      </c>
      <c r="AK183" s="180">
        <f t="shared" si="67"/>
        <v>0</v>
      </c>
      <c r="AL183" s="181">
        <f t="shared" si="46"/>
        <v>0</v>
      </c>
      <c r="AM183" s="243"/>
    </row>
    <row r="184" spans="1:44" ht="28.5" customHeight="1" x14ac:dyDescent="0.25">
      <c r="A184" s="243"/>
      <c r="B184" s="457"/>
      <c r="C184" s="457"/>
      <c r="D184" s="457"/>
      <c r="E184" s="457"/>
      <c r="F184" s="457"/>
      <c r="G184" s="457"/>
      <c r="H184" s="457"/>
      <c r="I184" s="458"/>
      <c r="J184" s="457" t="s">
        <v>587</v>
      </c>
      <c r="K184" s="245"/>
      <c r="L184" s="257"/>
      <c r="M184" s="597" t="s">
        <v>588</v>
      </c>
      <c r="N184" s="598"/>
      <c r="O184" s="301"/>
      <c r="P184" s="180"/>
      <c r="Q184" s="180">
        <v>80900000</v>
      </c>
      <c r="R184" s="181">
        <f t="shared" si="65"/>
        <v>16.307412192340941</v>
      </c>
      <c r="S184" s="181">
        <v>100</v>
      </c>
      <c r="T184" s="180">
        <f>AJ184</f>
        <v>75.4017305315204</v>
      </c>
      <c r="U184" s="180">
        <f t="shared" si="66"/>
        <v>12.296070997933219</v>
      </c>
      <c r="V184" s="182">
        <f t="shared" si="55"/>
        <v>24.5982694684796</v>
      </c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>
        <v>61000000</v>
      </c>
      <c r="AJ184" s="181">
        <f>AI184/Q184*100</f>
        <v>75.4017305315204</v>
      </c>
      <c r="AK184" s="180">
        <f t="shared" si="67"/>
        <v>19900000</v>
      </c>
      <c r="AL184" s="181"/>
      <c r="AM184" s="243"/>
    </row>
    <row r="185" spans="1:44" ht="28.5" customHeight="1" x14ac:dyDescent="0.25">
      <c r="A185" s="243"/>
      <c r="B185" s="457"/>
      <c r="C185" s="457"/>
      <c r="D185" s="457"/>
      <c r="E185" s="457"/>
      <c r="F185" s="457"/>
      <c r="G185" s="457"/>
      <c r="H185" s="457"/>
      <c r="I185" s="458"/>
      <c r="J185" s="457" t="s">
        <v>323</v>
      </c>
      <c r="K185" s="245"/>
      <c r="L185" s="257"/>
      <c r="M185" s="597" t="s">
        <v>324</v>
      </c>
      <c r="N185" s="598"/>
      <c r="O185" s="301"/>
      <c r="P185" s="180"/>
      <c r="Q185" s="180">
        <v>23150000</v>
      </c>
      <c r="R185" s="181">
        <f t="shared" si="65"/>
        <v>4.6664597311828526</v>
      </c>
      <c r="S185" s="181">
        <v>100</v>
      </c>
      <c r="T185" s="180">
        <f t="shared" si="44"/>
        <v>57.8488120950324</v>
      </c>
      <c r="U185" s="180">
        <f t="shared" si="66"/>
        <v>2.6994915213823223</v>
      </c>
      <c r="V185" s="182">
        <f t="shared" si="55"/>
        <v>42.1511879049676</v>
      </c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>
        <v>13392000</v>
      </c>
      <c r="AJ185" s="181">
        <f t="shared" si="45"/>
        <v>57.8488120950324</v>
      </c>
      <c r="AK185" s="180">
        <f t="shared" si="67"/>
        <v>9758000</v>
      </c>
      <c r="AL185" s="181">
        <f t="shared" si="46"/>
        <v>42.1511879049676</v>
      </c>
      <c r="AM185" s="243"/>
    </row>
    <row r="186" spans="1:44" ht="28.5" customHeight="1" x14ac:dyDescent="0.25">
      <c r="A186" s="243"/>
      <c r="B186" s="457"/>
      <c r="C186" s="457"/>
      <c r="D186" s="457"/>
      <c r="E186" s="457"/>
      <c r="F186" s="457"/>
      <c r="G186" s="457"/>
      <c r="H186" s="457"/>
      <c r="I186" s="458"/>
      <c r="J186" s="457" t="s">
        <v>269</v>
      </c>
      <c r="K186" s="245"/>
      <c r="L186" s="257"/>
      <c r="M186" s="597" t="s">
        <v>589</v>
      </c>
      <c r="N186" s="598"/>
      <c r="O186" s="301"/>
      <c r="P186" s="180"/>
      <c r="Q186" s="180">
        <v>23500000</v>
      </c>
      <c r="R186" s="181">
        <f t="shared" si="65"/>
        <v>4.737010958220174</v>
      </c>
      <c r="S186" s="181">
        <v>100</v>
      </c>
      <c r="T186" s="180">
        <f t="shared" si="44"/>
        <v>27.659574468085108</v>
      </c>
      <c r="U186" s="180">
        <f t="shared" si="66"/>
        <v>1.3102370735502609</v>
      </c>
      <c r="V186" s="182">
        <f t="shared" si="55"/>
        <v>72.340425531914889</v>
      </c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>
        <v>6500000</v>
      </c>
      <c r="AJ186" s="181">
        <f t="shared" si="45"/>
        <v>27.659574468085108</v>
      </c>
      <c r="AK186" s="180">
        <f t="shared" si="67"/>
        <v>17000000</v>
      </c>
      <c r="AL186" s="181">
        <f t="shared" si="46"/>
        <v>72.340425531914903</v>
      </c>
      <c r="AM186" s="243"/>
    </row>
    <row r="187" spans="1:44" ht="28.5" customHeight="1" x14ac:dyDescent="0.25">
      <c r="A187" s="243"/>
      <c r="B187" s="457"/>
      <c r="C187" s="457"/>
      <c r="D187" s="457"/>
      <c r="E187" s="457"/>
      <c r="F187" s="457"/>
      <c r="G187" s="457"/>
      <c r="H187" s="457"/>
      <c r="I187" s="458"/>
      <c r="J187" s="457" t="s">
        <v>315</v>
      </c>
      <c r="K187" s="245"/>
      <c r="L187" s="257"/>
      <c r="M187" s="597" t="s">
        <v>271</v>
      </c>
      <c r="N187" s="598"/>
      <c r="O187" s="301"/>
      <c r="P187" s="180"/>
      <c r="Q187" s="180">
        <v>5200000</v>
      </c>
      <c r="R187" s="181">
        <f t="shared" si="65"/>
        <v>1.0481896588402086</v>
      </c>
      <c r="S187" s="181">
        <v>100</v>
      </c>
      <c r="T187" s="180">
        <f t="shared" si="44"/>
        <v>7.6730769230769225</v>
      </c>
      <c r="U187" s="180">
        <f t="shared" si="66"/>
        <v>8.0428398822546765E-2</v>
      </c>
      <c r="V187" s="182">
        <f t="shared" si="55"/>
        <v>92.32692307692308</v>
      </c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>
        <v>399000</v>
      </c>
      <c r="AJ187" s="181">
        <f t="shared" si="45"/>
        <v>7.6730769230769225</v>
      </c>
      <c r="AK187" s="180">
        <f t="shared" si="67"/>
        <v>4801000</v>
      </c>
      <c r="AL187" s="181">
        <f t="shared" si="46"/>
        <v>92.326923076923066</v>
      </c>
      <c r="AM187" s="243"/>
    </row>
    <row r="188" spans="1:44" ht="28.5" customHeight="1" x14ac:dyDescent="0.25">
      <c r="A188" s="243"/>
      <c r="B188" s="457"/>
      <c r="C188" s="457"/>
      <c r="D188" s="457"/>
      <c r="E188" s="457"/>
      <c r="F188" s="457"/>
      <c r="G188" s="457"/>
      <c r="H188" s="457"/>
      <c r="I188" s="458"/>
      <c r="J188" s="457" t="s">
        <v>328</v>
      </c>
      <c r="K188" s="245"/>
      <c r="L188" s="257"/>
      <c r="M188" s="597" t="s">
        <v>329</v>
      </c>
      <c r="N188" s="598"/>
      <c r="O188" s="301"/>
      <c r="P188" s="180"/>
      <c r="Q188" s="180">
        <v>36000000</v>
      </c>
      <c r="R188" s="181">
        <f t="shared" si="65"/>
        <v>7.2566976381245221</v>
      </c>
      <c r="S188" s="181">
        <v>100</v>
      </c>
      <c r="T188" s="180">
        <f t="shared" si="44"/>
        <v>50</v>
      </c>
      <c r="U188" s="180">
        <f t="shared" si="66"/>
        <v>3.628348819062261</v>
      </c>
      <c r="V188" s="182">
        <f t="shared" si="55"/>
        <v>50</v>
      </c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>
        <v>18000000</v>
      </c>
      <c r="AJ188" s="181">
        <f t="shared" si="45"/>
        <v>50</v>
      </c>
      <c r="AK188" s="180">
        <f t="shared" si="67"/>
        <v>18000000</v>
      </c>
      <c r="AL188" s="181">
        <f t="shared" si="46"/>
        <v>50</v>
      </c>
      <c r="AM188" s="243"/>
    </row>
    <row r="189" spans="1:44" ht="28.5" customHeight="1" x14ac:dyDescent="0.25">
      <c r="A189" s="243"/>
      <c r="B189" s="457"/>
      <c r="C189" s="457"/>
      <c r="D189" s="457"/>
      <c r="E189" s="457"/>
      <c r="F189" s="457"/>
      <c r="G189" s="457"/>
      <c r="H189" s="457"/>
      <c r="I189" s="458"/>
      <c r="J189" s="457" t="s">
        <v>280</v>
      </c>
      <c r="K189" s="245"/>
      <c r="L189" s="257"/>
      <c r="M189" s="597" t="s">
        <v>425</v>
      </c>
      <c r="N189" s="598"/>
      <c r="O189" s="301"/>
      <c r="P189" s="180"/>
      <c r="Q189" s="180">
        <v>40500000</v>
      </c>
      <c r="R189" s="181">
        <f t="shared" si="65"/>
        <v>8.1637848428900881</v>
      </c>
      <c r="S189" s="181">
        <v>100</v>
      </c>
      <c r="T189" s="180">
        <f t="shared" si="44"/>
        <v>4.3209876543209873</v>
      </c>
      <c r="U189" s="180">
        <f t="shared" si="66"/>
        <v>0.3527561351866087</v>
      </c>
      <c r="V189" s="182">
        <f t="shared" si="55"/>
        <v>95.679012345679013</v>
      </c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>
        <v>1750000</v>
      </c>
      <c r="AJ189" s="181">
        <f t="shared" si="45"/>
        <v>4.3209876543209873</v>
      </c>
      <c r="AK189" s="180">
        <f t="shared" si="67"/>
        <v>38750000</v>
      </c>
      <c r="AL189" s="181">
        <f t="shared" si="46"/>
        <v>95.679012345679013</v>
      </c>
      <c r="AM189" s="243"/>
    </row>
    <row r="190" spans="1:44" ht="28.5" customHeight="1" x14ac:dyDescent="0.25">
      <c r="A190" s="243"/>
      <c r="B190" s="457"/>
      <c r="C190" s="457"/>
      <c r="D190" s="457"/>
      <c r="E190" s="457"/>
      <c r="F190" s="457"/>
      <c r="G190" s="457"/>
      <c r="H190" s="457"/>
      <c r="I190" s="458"/>
      <c r="J190" s="457" t="s">
        <v>282</v>
      </c>
      <c r="K190" s="245"/>
      <c r="L190" s="257"/>
      <c r="M190" s="597" t="s">
        <v>590</v>
      </c>
      <c r="N190" s="598"/>
      <c r="O190" s="301"/>
      <c r="P190" s="180"/>
      <c r="Q190" s="180">
        <v>40047427</v>
      </c>
      <c r="R190" s="181">
        <f t="shared" si="65"/>
        <v>8.0725574701073395</v>
      </c>
      <c r="S190" s="181">
        <v>100</v>
      </c>
      <c r="T190" s="180">
        <f t="shared" si="44"/>
        <v>31.206174618908726</v>
      </c>
      <c r="U190" s="180">
        <f t="shared" si="66"/>
        <v>2.5191363803334572</v>
      </c>
      <c r="V190" s="182">
        <f t="shared" si="55"/>
        <v>68.793825381091267</v>
      </c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>
        <v>12497270</v>
      </c>
      <c r="AJ190" s="181">
        <f t="shared" si="45"/>
        <v>31.206174618908726</v>
      </c>
      <c r="AK190" s="180">
        <f t="shared" si="67"/>
        <v>27550157</v>
      </c>
      <c r="AL190" s="181">
        <f t="shared" si="46"/>
        <v>68.793825381091281</v>
      </c>
      <c r="AM190" s="243"/>
    </row>
    <row r="191" spans="1:44" ht="28.5" customHeight="1" x14ac:dyDescent="0.25">
      <c r="A191" s="243"/>
      <c r="B191" s="457"/>
      <c r="C191" s="457"/>
      <c r="D191" s="457"/>
      <c r="E191" s="457"/>
      <c r="F191" s="457"/>
      <c r="G191" s="457"/>
      <c r="H191" s="457"/>
      <c r="I191" s="458"/>
      <c r="J191" s="457" t="s">
        <v>306</v>
      </c>
      <c r="K191" s="245"/>
      <c r="L191" s="257"/>
      <c r="M191" s="597" t="s">
        <v>591</v>
      </c>
      <c r="N191" s="598"/>
      <c r="O191" s="301"/>
      <c r="P191" s="180"/>
      <c r="Q191" s="180">
        <v>40000000</v>
      </c>
      <c r="R191" s="181">
        <f t="shared" si="65"/>
        <v>8.0629973756939126</v>
      </c>
      <c r="S191" s="181">
        <v>100</v>
      </c>
      <c r="T191" s="180">
        <f>AJ192</f>
        <v>0</v>
      </c>
      <c r="U191" s="180">
        <f>R191*T191/100</f>
        <v>0</v>
      </c>
      <c r="V191" s="182">
        <f>S191-T191</f>
        <v>100</v>
      </c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>
        <v>0</v>
      </c>
      <c r="AJ191" s="181">
        <f>AI191/Q191*100</f>
        <v>0</v>
      </c>
      <c r="AK191" s="180">
        <f t="shared" si="67"/>
        <v>40000000</v>
      </c>
      <c r="AL191" s="181">
        <f t="shared" si="46"/>
        <v>100</v>
      </c>
      <c r="AM191" s="243"/>
    </row>
    <row r="192" spans="1:44" ht="28.5" customHeight="1" x14ac:dyDescent="0.25">
      <c r="A192" s="243"/>
      <c r="B192" s="457"/>
      <c r="C192" s="457"/>
      <c r="D192" s="457"/>
      <c r="E192" s="457"/>
      <c r="F192" s="457"/>
      <c r="G192" s="457"/>
      <c r="H192" s="457"/>
      <c r="I192" s="458"/>
      <c r="J192" s="457" t="s">
        <v>551</v>
      </c>
      <c r="K192" s="245"/>
      <c r="L192" s="257"/>
      <c r="M192" s="597" t="s">
        <v>550</v>
      </c>
      <c r="N192" s="598"/>
      <c r="O192" s="301"/>
      <c r="P192" s="180"/>
      <c r="Q192" s="180">
        <v>198800000</v>
      </c>
      <c r="R192" s="181">
        <f t="shared" si="65"/>
        <v>40.07309695719875</v>
      </c>
      <c r="S192" s="181">
        <v>100</v>
      </c>
      <c r="T192" s="180">
        <f>AJ193</f>
        <v>0</v>
      </c>
      <c r="U192" s="180">
        <f>R192*T192/100</f>
        <v>0</v>
      </c>
      <c r="V192" s="182">
        <f>S192-T192</f>
        <v>100</v>
      </c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>
        <f>32800000+16400000+16400000+16400000+16400000</f>
        <v>98400000</v>
      </c>
      <c r="AJ192" s="181">
        <f>AI191/Q191*100</f>
        <v>0</v>
      </c>
      <c r="AK192" s="180">
        <f t="shared" si="67"/>
        <v>100400000</v>
      </c>
      <c r="AL192" s="181">
        <f t="shared" si="46"/>
        <v>50.503018108651908</v>
      </c>
      <c r="AM192" s="243"/>
    </row>
    <row r="193" spans="1:39" s="297" customFormat="1" ht="28.5" customHeight="1" x14ac:dyDescent="0.25">
      <c r="A193" s="227">
        <f>A181+1</f>
        <v>29</v>
      </c>
      <c r="B193" s="615" t="s">
        <v>140</v>
      </c>
      <c r="C193" s="615"/>
      <c r="D193" s="615"/>
      <c r="E193" s="615"/>
      <c r="F193" s="615"/>
      <c r="G193" s="615"/>
      <c r="H193" s="615"/>
      <c r="I193" s="614"/>
      <c r="J193" s="304" t="s">
        <v>469</v>
      </c>
      <c r="K193" s="230"/>
      <c r="L193" s="294"/>
      <c r="M193" s="615" t="s">
        <v>37</v>
      </c>
      <c r="N193" s="614"/>
      <c r="O193" s="295">
        <v>144225000</v>
      </c>
      <c r="P193" s="231">
        <f>O193</f>
        <v>144225000</v>
      </c>
      <c r="Q193" s="231">
        <f>SUM(Q194:Q200)</f>
        <v>131070000</v>
      </c>
      <c r="R193" s="233">
        <f>Q193/Q$180*100</f>
        <v>9.6509941690698966</v>
      </c>
      <c r="S193" s="233">
        <v>100</v>
      </c>
      <c r="T193" s="231">
        <f t="shared" si="44"/>
        <v>0</v>
      </c>
      <c r="U193" s="231">
        <f>R193*T193/100</f>
        <v>0</v>
      </c>
      <c r="V193" s="296">
        <f t="shared" si="55"/>
        <v>100</v>
      </c>
      <c r="W193" s="231"/>
      <c r="X193" s="231" t="e">
        <f>#REF!</f>
        <v>#REF!</v>
      </c>
      <c r="Y193" s="231" t="e">
        <f>#REF!</f>
        <v>#REF!</v>
      </c>
      <c r="Z193" s="231" t="e">
        <f>#REF!</f>
        <v>#REF!</v>
      </c>
      <c r="AA193" s="231" t="e">
        <f>#REF!</f>
        <v>#REF!</v>
      </c>
      <c r="AB193" s="231">
        <v>0</v>
      </c>
      <c r="AC193" s="231" t="e">
        <f>#REF!</f>
        <v>#REF!</v>
      </c>
      <c r="AD193" s="231" t="e">
        <f>#REF!</f>
        <v>#REF!</v>
      </c>
      <c r="AE193" s="231" t="e">
        <f>#REF!</f>
        <v>#REF!</v>
      </c>
      <c r="AF193" s="231" t="e">
        <f>[1]April!N49</f>
        <v>#REF!</v>
      </c>
      <c r="AG193" s="231" t="e">
        <f>[2]april!N49</f>
        <v>#REF!</v>
      </c>
      <c r="AH193" s="231">
        <f>'[3]DES SKPD'!$N49</f>
        <v>143100490</v>
      </c>
      <c r="AI193" s="231">
        <f>SUM(AI194:AI200)</f>
        <v>0</v>
      </c>
      <c r="AJ193" s="233">
        <f t="shared" si="45"/>
        <v>0</v>
      </c>
      <c r="AK193" s="231">
        <f t="shared" si="67"/>
        <v>131070000</v>
      </c>
      <c r="AL193" s="233">
        <f t="shared" si="46"/>
        <v>100</v>
      </c>
      <c r="AM193" s="227"/>
    </row>
    <row r="194" spans="1:39" ht="28.5" customHeight="1" x14ac:dyDescent="0.25">
      <c r="A194" s="243"/>
      <c r="B194" s="457"/>
      <c r="C194" s="457"/>
      <c r="D194" s="457"/>
      <c r="E194" s="457"/>
      <c r="F194" s="457"/>
      <c r="G194" s="457"/>
      <c r="H194" s="457"/>
      <c r="I194" s="458"/>
      <c r="J194" s="457" t="s">
        <v>326</v>
      </c>
      <c r="K194" s="245"/>
      <c r="L194" s="257"/>
      <c r="M194" s="597" t="s">
        <v>327</v>
      </c>
      <c r="N194" s="598"/>
      <c r="O194" s="299"/>
      <c r="P194" s="180"/>
      <c r="Q194" s="180">
        <v>16750000</v>
      </c>
      <c r="R194" s="181">
        <f t="shared" ref="R194:R200" si="68">Q194/Q$193*100</f>
        <v>12.779430838483252</v>
      </c>
      <c r="S194" s="181">
        <v>100</v>
      </c>
      <c r="T194" s="180">
        <f t="shared" si="44"/>
        <v>0</v>
      </c>
      <c r="U194" s="180">
        <f t="shared" ref="U194:U200" si="69">R194*T194/100</f>
        <v>0</v>
      </c>
      <c r="V194" s="182">
        <f t="shared" si="55"/>
        <v>100</v>
      </c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>
        <v>0</v>
      </c>
      <c r="AJ194" s="181">
        <f t="shared" si="45"/>
        <v>0</v>
      </c>
      <c r="AK194" s="180">
        <f t="shared" si="67"/>
        <v>16750000</v>
      </c>
      <c r="AL194" s="181">
        <f t="shared" si="46"/>
        <v>100</v>
      </c>
      <c r="AM194" s="243"/>
    </row>
    <row r="195" spans="1:39" ht="28.5" customHeight="1" x14ac:dyDescent="0.25">
      <c r="A195" s="243"/>
      <c r="B195" s="457"/>
      <c r="C195" s="457"/>
      <c r="D195" s="457"/>
      <c r="E195" s="457"/>
      <c r="F195" s="457"/>
      <c r="G195" s="457"/>
      <c r="H195" s="457"/>
      <c r="I195" s="458"/>
      <c r="J195" s="457" t="s">
        <v>323</v>
      </c>
      <c r="K195" s="245"/>
      <c r="L195" s="257"/>
      <c r="M195" s="597" t="s">
        <v>324</v>
      </c>
      <c r="N195" s="598"/>
      <c r="O195" s="299"/>
      <c r="P195" s="180"/>
      <c r="Q195" s="180">
        <v>9132000</v>
      </c>
      <c r="R195" s="181">
        <f t="shared" si="68"/>
        <v>6.9672693980315863</v>
      </c>
      <c r="S195" s="181">
        <v>100</v>
      </c>
      <c r="T195" s="180">
        <f t="shared" si="44"/>
        <v>0</v>
      </c>
      <c r="U195" s="180">
        <f t="shared" si="69"/>
        <v>0</v>
      </c>
      <c r="V195" s="182">
        <f t="shared" si="55"/>
        <v>100</v>
      </c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>
        <v>0</v>
      </c>
      <c r="AJ195" s="181">
        <f t="shared" si="45"/>
        <v>0</v>
      </c>
      <c r="AK195" s="180">
        <f t="shared" si="67"/>
        <v>9132000</v>
      </c>
      <c r="AL195" s="181">
        <f t="shared" si="46"/>
        <v>100</v>
      </c>
      <c r="AM195" s="243"/>
    </row>
    <row r="196" spans="1:39" ht="28.5" customHeight="1" x14ac:dyDescent="0.25">
      <c r="A196" s="243"/>
      <c r="B196" s="457"/>
      <c r="C196" s="457"/>
      <c r="D196" s="457"/>
      <c r="E196" s="457"/>
      <c r="F196" s="457"/>
      <c r="G196" s="457"/>
      <c r="H196" s="457"/>
      <c r="I196" s="458"/>
      <c r="J196" s="457" t="s">
        <v>269</v>
      </c>
      <c r="K196" s="245"/>
      <c r="L196" s="257"/>
      <c r="M196" s="597" t="s">
        <v>270</v>
      </c>
      <c r="N196" s="598"/>
      <c r="O196" s="299"/>
      <c r="P196" s="180"/>
      <c r="Q196" s="180">
        <v>13650000</v>
      </c>
      <c r="R196" s="181">
        <f t="shared" si="68"/>
        <v>10.414282444495308</v>
      </c>
      <c r="S196" s="181">
        <v>100</v>
      </c>
      <c r="T196" s="180">
        <f t="shared" si="44"/>
        <v>0</v>
      </c>
      <c r="U196" s="180">
        <f t="shared" si="69"/>
        <v>0</v>
      </c>
      <c r="V196" s="182">
        <f t="shared" si="55"/>
        <v>100</v>
      </c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>
        <v>0</v>
      </c>
      <c r="AJ196" s="181">
        <f t="shared" si="45"/>
        <v>0</v>
      </c>
      <c r="AK196" s="180">
        <f t="shared" si="67"/>
        <v>13650000</v>
      </c>
      <c r="AL196" s="181">
        <f t="shared" si="46"/>
        <v>100</v>
      </c>
      <c r="AM196" s="243"/>
    </row>
    <row r="197" spans="1:39" ht="28.5" customHeight="1" x14ac:dyDescent="0.25">
      <c r="A197" s="243"/>
      <c r="B197" s="457"/>
      <c r="C197" s="457"/>
      <c r="D197" s="457"/>
      <c r="E197" s="457"/>
      <c r="F197" s="457"/>
      <c r="G197" s="457"/>
      <c r="H197" s="457"/>
      <c r="I197" s="458"/>
      <c r="J197" s="457" t="s">
        <v>315</v>
      </c>
      <c r="K197" s="245"/>
      <c r="L197" s="257"/>
      <c r="M197" s="597" t="s">
        <v>271</v>
      </c>
      <c r="N197" s="598"/>
      <c r="O197" s="299"/>
      <c r="P197" s="180"/>
      <c r="Q197" s="180">
        <v>1418000</v>
      </c>
      <c r="R197" s="181">
        <f t="shared" si="68"/>
        <v>1.0818646524757762</v>
      </c>
      <c r="S197" s="181">
        <v>100</v>
      </c>
      <c r="T197" s="180">
        <f t="shared" si="44"/>
        <v>0</v>
      </c>
      <c r="U197" s="180">
        <f t="shared" si="69"/>
        <v>0</v>
      </c>
      <c r="V197" s="182">
        <f t="shared" si="55"/>
        <v>100</v>
      </c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>
        <v>0</v>
      </c>
      <c r="AJ197" s="181">
        <f t="shared" si="45"/>
        <v>0</v>
      </c>
      <c r="AK197" s="180">
        <f t="shared" si="67"/>
        <v>1418000</v>
      </c>
      <c r="AL197" s="181">
        <f t="shared" si="46"/>
        <v>100</v>
      </c>
      <c r="AM197" s="243"/>
    </row>
    <row r="198" spans="1:39" ht="28.5" customHeight="1" x14ac:dyDescent="0.25">
      <c r="A198" s="243"/>
      <c r="B198" s="457"/>
      <c r="C198" s="457"/>
      <c r="D198" s="457"/>
      <c r="E198" s="457"/>
      <c r="F198" s="457"/>
      <c r="G198" s="457"/>
      <c r="H198" s="457"/>
      <c r="I198" s="458"/>
      <c r="J198" s="457" t="s">
        <v>328</v>
      </c>
      <c r="K198" s="245"/>
      <c r="L198" s="257"/>
      <c r="M198" s="597" t="s">
        <v>329</v>
      </c>
      <c r="N198" s="598"/>
      <c r="O198" s="299"/>
      <c r="P198" s="180"/>
      <c r="Q198" s="180">
        <v>82500000</v>
      </c>
      <c r="R198" s="181">
        <f t="shared" si="68"/>
        <v>62.943465323872736</v>
      </c>
      <c r="S198" s="181">
        <v>100</v>
      </c>
      <c r="T198" s="180">
        <f t="shared" si="44"/>
        <v>0</v>
      </c>
      <c r="U198" s="180">
        <f t="shared" si="69"/>
        <v>0</v>
      </c>
      <c r="V198" s="182">
        <f t="shared" si="55"/>
        <v>100</v>
      </c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>
        <v>0</v>
      </c>
      <c r="AJ198" s="181">
        <f t="shared" si="45"/>
        <v>0</v>
      </c>
      <c r="AK198" s="180">
        <f t="shared" si="67"/>
        <v>82500000</v>
      </c>
      <c r="AL198" s="181">
        <f t="shared" si="46"/>
        <v>100</v>
      </c>
      <c r="AM198" s="243"/>
    </row>
    <row r="199" spans="1:39" ht="28.5" customHeight="1" x14ac:dyDescent="0.25">
      <c r="A199" s="243"/>
      <c r="B199" s="457"/>
      <c r="C199" s="457"/>
      <c r="D199" s="457"/>
      <c r="E199" s="457"/>
      <c r="F199" s="457"/>
      <c r="G199" s="457"/>
      <c r="H199" s="457"/>
      <c r="I199" s="458"/>
      <c r="J199" s="457" t="s">
        <v>284</v>
      </c>
      <c r="K199" s="245"/>
      <c r="L199" s="257"/>
      <c r="M199" s="597" t="s">
        <v>285</v>
      </c>
      <c r="N199" s="598"/>
      <c r="O199" s="299"/>
      <c r="P199" s="180"/>
      <c r="Q199" s="180">
        <v>2120000</v>
      </c>
      <c r="R199" s="181">
        <f t="shared" si="68"/>
        <v>1.617456321049821</v>
      </c>
      <c r="S199" s="181">
        <v>100</v>
      </c>
      <c r="T199" s="180">
        <f t="shared" si="44"/>
        <v>0</v>
      </c>
      <c r="U199" s="180">
        <f t="shared" si="69"/>
        <v>0</v>
      </c>
      <c r="V199" s="182">
        <f t="shared" si="55"/>
        <v>100</v>
      </c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>
        <v>0</v>
      </c>
      <c r="AJ199" s="181">
        <f t="shared" si="45"/>
        <v>0</v>
      </c>
      <c r="AK199" s="180">
        <f t="shared" si="67"/>
        <v>2120000</v>
      </c>
      <c r="AL199" s="181">
        <f t="shared" si="46"/>
        <v>100</v>
      </c>
      <c r="AM199" s="243"/>
    </row>
    <row r="200" spans="1:39" ht="28.5" customHeight="1" x14ac:dyDescent="0.25">
      <c r="A200" s="243"/>
      <c r="B200" s="457"/>
      <c r="C200" s="457"/>
      <c r="D200" s="457"/>
      <c r="E200" s="457"/>
      <c r="F200" s="457"/>
      <c r="G200" s="457"/>
      <c r="H200" s="457"/>
      <c r="I200" s="458"/>
      <c r="J200" s="457" t="s">
        <v>282</v>
      </c>
      <c r="K200" s="245"/>
      <c r="L200" s="257"/>
      <c r="M200" s="597" t="s">
        <v>283</v>
      </c>
      <c r="N200" s="598"/>
      <c r="O200" s="299"/>
      <c r="P200" s="180"/>
      <c r="Q200" s="180">
        <v>5500000</v>
      </c>
      <c r="R200" s="181">
        <f t="shared" si="68"/>
        <v>4.1962310215915153</v>
      </c>
      <c r="S200" s="181">
        <v>100</v>
      </c>
      <c r="T200" s="180">
        <f t="shared" si="44"/>
        <v>0</v>
      </c>
      <c r="U200" s="180">
        <f t="shared" si="69"/>
        <v>0</v>
      </c>
      <c r="V200" s="182">
        <f t="shared" si="55"/>
        <v>100</v>
      </c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>
        <v>0</v>
      </c>
      <c r="AJ200" s="181">
        <f t="shared" si="45"/>
        <v>0</v>
      </c>
      <c r="AK200" s="180">
        <f t="shared" si="67"/>
        <v>5500000</v>
      </c>
      <c r="AL200" s="181">
        <f t="shared" si="46"/>
        <v>100</v>
      </c>
      <c r="AM200" s="243"/>
    </row>
    <row r="201" spans="1:39" ht="28.5" customHeight="1" x14ac:dyDescent="0.25">
      <c r="A201" s="227">
        <v>30</v>
      </c>
      <c r="B201" s="457"/>
      <c r="C201" s="457"/>
      <c r="D201" s="457"/>
      <c r="E201" s="457"/>
      <c r="F201" s="457"/>
      <c r="G201" s="457"/>
      <c r="H201" s="457"/>
      <c r="I201" s="458"/>
      <c r="J201" s="304" t="s">
        <v>474</v>
      </c>
      <c r="K201" s="230"/>
      <c r="L201" s="294"/>
      <c r="M201" s="615" t="s">
        <v>470</v>
      </c>
      <c r="N201" s="614"/>
      <c r="O201" s="295">
        <v>144225000</v>
      </c>
      <c r="P201" s="231">
        <f>O201</f>
        <v>144225000</v>
      </c>
      <c r="Q201" s="231">
        <f>SUM(Q202:Q208)</f>
        <v>168774000</v>
      </c>
      <c r="R201" s="233">
        <f>Q201/Q$180*100</f>
        <v>12.427228884493804</v>
      </c>
      <c r="S201" s="233">
        <v>100</v>
      </c>
      <c r="T201" s="231">
        <f t="shared" si="44"/>
        <v>32.871473094196972</v>
      </c>
      <c r="U201" s="231">
        <f>R201*T201/100</f>
        <v>4.0850131991206551</v>
      </c>
      <c r="V201" s="296">
        <f t="shared" si="55"/>
        <v>67.128526905803028</v>
      </c>
      <c r="W201" s="231"/>
      <c r="X201" s="231" t="e">
        <f>#REF!</f>
        <v>#REF!</v>
      </c>
      <c r="Y201" s="231" t="e">
        <f>#REF!</f>
        <v>#REF!</v>
      </c>
      <c r="Z201" s="231" t="e">
        <f>#REF!</f>
        <v>#REF!</v>
      </c>
      <c r="AA201" s="231" t="e">
        <f>#REF!</f>
        <v>#REF!</v>
      </c>
      <c r="AB201" s="231">
        <v>0</v>
      </c>
      <c r="AC201" s="231" t="e">
        <f>#REF!</f>
        <v>#REF!</v>
      </c>
      <c r="AD201" s="231" t="e">
        <f>#REF!</f>
        <v>#REF!</v>
      </c>
      <c r="AE201" s="231" t="e">
        <f>#REF!</f>
        <v>#REF!</v>
      </c>
      <c r="AF201" s="231" t="e">
        <f>[1]April!N58</f>
        <v>#REF!</v>
      </c>
      <c r="AG201" s="231" t="e">
        <f>[2]april!N58</f>
        <v>#REF!</v>
      </c>
      <c r="AH201" s="231">
        <f>'[3]DES SKPD'!$N58</f>
        <v>133587000</v>
      </c>
      <c r="AI201" s="231">
        <f>SUM(AI202:AI208)</f>
        <v>55478500</v>
      </c>
      <c r="AJ201" s="233">
        <f t="shared" si="45"/>
        <v>32.871473094196972</v>
      </c>
      <c r="AK201" s="231">
        <f t="shared" si="67"/>
        <v>113295500</v>
      </c>
      <c r="AL201" s="233">
        <f t="shared" si="46"/>
        <v>67.128526905803028</v>
      </c>
      <c r="AM201" s="243"/>
    </row>
    <row r="202" spans="1:39" ht="28.5" customHeight="1" x14ac:dyDescent="0.25">
      <c r="A202" s="243"/>
      <c r="B202" s="457"/>
      <c r="C202" s="457"/>
      <c r="D202" s="457"/>
      <c r="E202" s="457"/>
      <c r="F202" s="457"/>
      <c r="G202" s="457"/>
      <c r="H202" s="457"/>
      <c r="I202" s="458"/>
      <c r="J202" s="457" t="s">
        <v>273</v>
      </c>
      <c r="K202" s="245"/>
      <c r="L202" s="257"/>
      <c r="M202" s="597" t="s">
        <v>322</v>
      </c>
      <c r="N202" s="598"/>
      <c r="O202" s="299"/>
      <c r="P202" s="180"/>
      <c r="Q202" s="180">
        <v>34600000</v>
      </c>
      <c r="R202" s="181">
        <f t="shared" ref="R202:R208" si="70">Q202/Q$201*100</f>
        <v>20.500788036071906</v>
      </c>
      <c r="S202" s="181">
        <v>100</v>
      </c>
      <c r="T202" s="180">
        <f t="shared" si="44"/>
        <v>52.312138728323696</v>
      </c>
      <c r="U202" s="180">
        <f t="shared" ref="U202:U208" si="71">R202*T202/100</f>
        <v>10.724400677829522</v>
      </c>
      <c r="V202" s="182">
        <f t="shared" si="55"/>
        <v>47.687861271676304</v>
      </c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>
        <v>18100000</v>
      </c>
      <c r="AJ202" s="181">
        <f t="shared" si="45"/>
        <v>52.312138728323696</v>
      </c>
      <c r="AK202" s="180">
        <f t="shared" si="67"/>
        <v>16500000</v>
      </c>
      <c r="AL202" s="181">
        <f t="shared" si="46"/>
        <v>47.687861271676304</v>
      </c>
      <c r="AM202" s="243"/>
    </row>
    <row r="203" spans="1:39" ht="28.5" customHeight="1" x14ac:dyDescent="0.25">
      <c r="A203" s="243"/>
      <c r="B203" s="457"/>
      <c r="C203" s="457"/>
      <c r="D203" s="457"/>
      <c r="E203" s="457"/>
      <c r="F203" s="457"/>
      <c r="G203" s="457"/>
      <c r="H203" s="457"/>
      <c r="I203" s="458"/>
      <c r="J203" s="457" t="s">
        <v>323</v>
      </c>
      <c r="K203" s="245"/>
      <c r="L203" s="257"/>
      <c r="M203" s="597" t="s">
        <v>324</v>
      </c>
      <c r="N203" s="598"/>
      <c r="O203" s="299"/>
      <c r="P203" s="180"/>
      <c r="Q203" s="180">
        <v>100464000</v>
      </c>
      <c r="R203" s="181">
        <f t="shared" si="70"/>
        <v>59.525756336876533</v>
      </c>
      <c r="S203" s="181">
        <v>100</v>
      </c>
      <c r="T203" s="180">
        <f t="shared" si="44"/>
        <v>24.409738811912725</v>
      </c>
      <c r="U203" s="180">
        <f t="shared" si="71"/>
        <v>14.530081647647147</v>
      </c>
      <c r="V203" s="182">
        <f t="shared" si="55"/>
        <v>75.590261188087283</v>
      </c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>
        <f>18502000+6021000</f>
        <v>24523000</v>
      </c>
      <c r="AJ203" s="181">
        <f t="shared" si="45"/>
        <v>24.409738811912725</v>
      </c>
      <c r="AK203" s="180">
        <f t="shared" si="67"/>
        <v>75941000</v>
      </c>
      <c r="AL203" s="181">
        <f t="shared" si="46"/>
        <v>75.590261188087268</v>
      </c>
      <c r="AM203" s="243"/>
    </row>
    <row r="204" spans="1:39" ht="28.5" customHeight="1" x14ac:dyDescent="0.25">
      <c r="A204" s="243"/>
      <c r="B204" s="457"/>
      <c r="C204" s="457"/>
      <c r="D204" s="457"/>
      <c r="E204" s="457"/>
      <c r="F204" s="457"/>
      <c r="G204" s="457"/>
      <c r="H204" s="457"/>
      <c r="I204" s="458"/>
      <c r="J204" s="457" t="s">
        <v>269</v>
      </c>
      <c r="K204" s="245"/>
      <c r="L204" s="257"/>
      <c r="M204" s="597" t="s">
        <v>270</v>
      </c>
      <c r="N204" s="598"/>
      <c r="O204" s="299"/>
      <c r="P204" s="180"/>
      <c r="Q204" s="180">
        <v>9000000</v>
      </c>
      <c r="R204" s="181">
        <f t="shared" si="70"/>
        <v>5.3325749226776642</v>
      </c>
      <c r="S204" s="181">
        <v>100</v>
      </c>
      <c r="T204" s="180">
        <f t="shared" si="44"/>
        <v>37.777777777777779</v>
      </c>
      <c r="U204" s="180">
        <f t="shared" si="71"/>
        <v>2.0145283041226731</v>
      </c>
      <c r="V204" s="182">
        <f t="shared" si="55"/>
        <v>62.222222222222221</v>
      </c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>
        <v>3400000</v>
      </c>
      <c r="AJ204" s="181">
        <f t="shared" si="45"/>
        <v>37.777777777777779</v>
      </c>
      <c r="AK204" s="180">
        <f t="shared" si="67"/>
        <v>5600000</v>
      </c>
      <c r="AL204" s="181">
        <f t="shared" si="46"/>
        <v>62.222222222222221</v>
      </c>
      <c r="AM204" s="243"/>
    </row>
    <row r="205" spans="1:39" ht="28.5" customHeight="1" x14ac:dyDescent="0.25">
      <c r="A205" s="243"/>
      <c r="B205" s="457"/>
      <c r="C205" s="457"/>
      <c r="D205" s="457"/>
      <c r="E205" s="457"/>
      <c r="F205" s="457"/>
      <c r="G205" s="457"/>
      <c r="H205" s="457"/>
      <c r="I205" s="458"/>
      <c r="J205" s="457" t="s">
        <v>315</v>
      </c>
      <c r="K205" s="245"/>
      <c r="L205" s="257"/>
      <c r="M205" s="597" t="s">
        <v>271</v>
      </c>
      <c r="N205" s="598"/>
      <c r="O205" s="299"/>
      <c r="P205" s="180"/>
      <c r="Q205" s="180">
        <v>360000</v>
      </c>
      <c r="R205" s="181">
        <f t="shared" si="70"/>
        <v>0.21330299690710655</v>
      </c>
      <c r="S205" s="181">
        <v>100</v>
      </c>
      <c r="T205" s="180">
        <f t="shared" si="44"/>
        <v>0</v>
      </c>
      <c r="U205" s="180">
        <f t="shared" si="71"/>
        <v>0</v>
      </c>
      <c r="V205" s="182">
        <f t="shared" si="55"/>
        <v>100</v>
      </c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>
        <v>0</v>
      </c>
      <c r="AJ205" s="181">
        <f t="shared" si="45"/>
        <v>0</v>
      </c>
      <c r="AK205" s="180">
        <f t="shared" si="67"/>
        <v>360000</v>
      </c>
      <c r="AL205" s="181">
        <f t="shared" si="46"/>
        <v>100</v>
      </c>
      <c r="AM205" s="243"/>
    </row>
    <row r="206" spans="1:39" ht="28.5" customHeight="1" x14ac:dyDescent="0.25">
      <c r="A206" s="243"/>
      <c r="B206" s="457"/>
      <c r="C206" s="457"/>
      <c r="D206" s="457"/>
      <c r="E206" s="457"/>
      <c r="F206" s="457"/>
      <c r="G206" s="457"/>
      <c r="H206" s="457"/>
      <c r="I206" s="458"/>
      <c r="J206" s="457" t="s">
        <v>280</v>
      </c>
      <c r="K206" s="245"/>
      <c r="L206" s="257"/>
      <c r="M206" s="597" t="s">
        <v>425</v>
      </c>
      <c r="N206" s="598"/>
      <c r="O206" s="299"/>
      <c r="P206" s="180"/>
      <c r="Q206" s="180">
        <v>3500000</v>
      </c>
      <c r="R206" s="181">
        <f t="shared" si="70"/>
        <v>2.073779136596869</v>
      </c>
      <c r="S206" s="181">
        <v>100</v>
      </c>
      <c r="T206" s="180">
        <f t="shared" si="44"/>
        <v>100</v>
      </c>
      <c r="U206" s="180">
        <f t="shared" si="71"/>
        <v>2.073779136596869</v>
      </c>
      <c r="V206" s="182">
        <f t="shared" si="55"/>
        <v>0</v>
      </c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>
        <v>3500000</v>
      </c>
      <c r="AJ206" s="181">
        <f t="shared" si="45"/>
        <v>100</v>
      </c>
      <c r="AK206" s="180">
        <f t="shared" si="67"/>
        <v>0</v>
      </c>
      <c r="AL206" s="181">
        <f t="shared" si="46"/>
        <v>0</v>
      </c>
      <c r="AM206" s="243"/>
    </row>
    <row r="207" spans="1:39" ht="28.5" customHeight="1" x14ac:dyDescent="0.25">
      <c r="A207" s="243"/>
      <c r="B207" s="457"/>
      <c r="C207" s="457"/>
      <c r="D207" s="457"/>
      <c r="E207" s="457"/>
      <c r="F207" s="457"/>
      <c r="G207" s="457"/>
      <c r="H207" s="457"/>
      <c r="I207" s="458"/>
      <c r="J207" s="457" t="s">
        <v>284</v>
      </c>
      <c r="K207" s="245"/>
      <c r="L207" s="257"/>
      <c r="M207" s="597" t="s">
        <v>285</v>
      </c>
      <c r="N207" s="598"/>
      <c r="O207" s="299"/>
      <c r="P207" s="180"/>
      <c r="Q207" s="180">
        <v>5250000</v>
      </c>
      <c r="R207" s="181">
        <f t="shared" si="70"/>
        <v>3.1106687048953039</v>
      </c>
      <c r="S207" s="181">
        <v>100</v>
      </c>
      <c r="T207" s="180">
        <f t="shared" si="44"/>
        <v>41.714285714285715</v>
      </c>
      <c r="U207" s="180">
        <f t="shared" si="71"/>
        <v>1.2975932311848981</v>
      </c>
      <c r="V207" s="182">
        <f t="shared" si="55"/>
        <v>58.285714285714285</v>
      </c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>
        <v>2190000</v>
      </c>
      <c r="AJ207" s="181">
        <f t="shared" si="45"/>
        <v>41.714285714285715</v>
      </c>
      <c r="AK207" s="180">
        <f t="shared" si="67"/>
        <v>3060000</v>
      </c>
      <c r="AL207" s="181">
        <f t="shared" si="46"/>
        <v>58.285714285714285</v>
      </c>
      <c r="AM207" s="243"/>
    </row>
    <row r="208" spans="1:39" ht="28.5" customHeight="1" x14ac:dyDescent="0.25">
      <c r="A208" s="243"/>
      <c r="B208" s="457"/>
      <c r="C208" s="457"/>
      <c r="D208" s="457"/>
      <c r="E208" s="457"/>
      <c r="F208" s="457"/>
      <c r="G208" s="457"/>
      <c r="H208" s="457"/>
      <c r="I208" s="458"/>
      <c r="J208" s="457" t="s">
        <v>282</v>
      </c>
      <c r="K208" s="245"/>
      <c r="L208" s="257"/>
      <c r="M208" s="597" t="s">
        <v>283</v>
      </c>
      <c r="N208" s="598"/>
      <c r="O208" s="299"/>
      <c r="P208" s="180"/>
      <c r="Q208" s="180">
        <v>15600000</v>
      </c>
      <c r="R208" s="181">
        <f t="shared" si="70"/>
        <v>9.2431298659746162</v>
      </c>
      <c r="S208" s="181">
        <v>100</v>
      </c>
      <c r="T208" s="180">
        <f t="shared" ref="T208:T280" si="72">AJ208</f>
        <v>24.137820512820511</v>
      </c>
      <c r="U208" s="180">
        <f t="shared" si="71"/>
        <v>2.2310900968158602</v>
      </c>
      <c r="V208" s="182">
        <f t="shared" si="55"/>
        <v>75.862179487179489</v>
      </c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80"/>
      <c r="AH208" s="180"/>
      <c r="AI208" s="180">
        <v>3765500</v>
      </c>
      <c r="AJ208" s="181">
        <f t="shared" ref="AJ208:AJ280" si="73">AI208/Q208*100</f>
        <v>24.137820512820511</v>
      </c>
      <c r="AK208" s="180">
        <f t="shared" si="67"/>
        <v>11834500</v>
      </c>
      <c r="AL208" s="181">
        <f t="shared" ref="AL208:AL280" si="74">AK208/Q208*100</f>
        <v>75.862179487179475</v>
      </c>
      <c r="AM208" s="243"/>
    </row>
    <row r="209" spans="1:39" s="297" customFormat="1" ht="28.5" customHeight="1" x14ac:dyDescent="0.25">
      <c r="A209" s="227">
        <f>A201+1</f>
        <v>31</v>
      </c>
      <c r="B209" s="615" t="s">
        <v>141</v>
      </c>
      <c r="C209" s="615"/>
      <c r="D209" s="615"/>
      <c r="E209" s="615"/>
      <c r="F209" s="615"/>
      <c r="G209" s="615"/>
      <c r="H209" s="615"/>
      <c r="I209" s="614"/>
      <c r="J209" s="304" t="s">
        <v>475</v>
      </c>
      <c r="K209" s="230"/>
      <c r="L209" s="294"/>
      <c r="M209" s="615" t="s">
        <v>142</v>
      </c>
      <c r="N209" s="614"/>
      <c r="O209" s="295">
        <v>299485000</v>
      </c>
      <c r="P209" s="231">
        <f>O209</f>
        <v>299485000</v>
      </c>
      <c r="Q209" s="231">
        <f>SUM(Q210:Q215)</f>
        <v>142716000</v>
      </c>
      <c r="R209" s="233">
        <f>Q209/Q$180*100</f>
        <v>10.508516699725181</v>
      </c>
      <c r="S209" s="233">
        <v>100</v>
      </c>
      <c r="T209" s="231">
        <f t="shared" si="72"/>
        <v>0</v>
      </c>
      <c r="U209" s="231">
        <f>R209*T209/100</f>
        <v>0</v>
      </c>
      <c r="V209" s="296">
        <f t="shared" si="55"/>
        <v>100</v>
      </c>
      <c r="W209" s="231"/>
      <c r="X209" s="231" t="e">
        <f>#REF!</f>
        <v>#REF!</v>
      </c>
      <c r="Y209" s="231" t="e">
        <f>#REF!</f>
        <v>#REF!</v>
      </c>
      <c r="Z209" s="231" t="e">
        <f>#REF!</f>
        <v>#REF!</v>
      </c>
      <c r="AA209" s="231" t="e">
        <f>#REF!</f>
        <v>#REF!</v>
      </c>
      <c r="AB209" s="231">
        <v>4600000</v>
      </c>
      <c r="AC209" s="231" t="e">
        <f>#REF!</f>
        <v>#REF!</v>
      </c>
      <c r="AD209" s="231" t="e">
        <f>#REF!</f>
        <v>#REF!</v>
      </c>
      <c r="AE209" s="231" t="e">
        <f>#REF!</f>
        <v>#REF!</v>
      </c>
      <c r="AF209" s="231" t="e">
        <f>[1]April!N50</f>
        <v>#REF!</v>
      </c>
      <c r="AG209" s="231" t="e">
        <f>[2]april!N50</f>
        <v>#REF!</v>
      </c>
      <c r="AH209" s="231">
        <f>'[3]DES SKPD'!$N50</f>
        <v>221288650</v>
      </c>
      <c r="AI209" s="231">
        <f>SUM(AI210:AI215)</f>
        <v>0</v>
      </c>
      <c r="AJ209" s="233">
        <f t="shared" si="73"/>
        <v>0</v>
      </c>
      <c r="AK209" s="231">
        <f t="shared" si="67"/>
        <v>142716000</v>
      </c>
      <c r="AL209" s="233">
        <f t="shared" si="74"/>
        <v>100</v>
      </c>
      <c r="AM209" s="227"/>
    </row>
    <row r="210" spans="1:39" ht="28.5" customHeight="1" x14ac:dyDescent="0.25">
      <c r="A210" s="243"/>
      <c r="B210" s="457"/>
      <c r="C210" s="457"/>
      <c r="D210" s="457"/>
      <c r="E210" s="457"/>
      <c r="F210" s="457"/>
      <c r="G210" s="457"/>
      <c r="H210" s="457"/>
      <c r="I210" s="458"/>
      <c r="J210" s="457" t="s">
        <v>323</v>
      </c>
      <c r="K210" s="245"/>
      <c r="L210" s="257"/>
      <c r="M210" s="597" t="s">
        <v>324</v>
      </c>
      <c r="N210" s="598"/>
      <c r="O210" s="299"/>
      <c r="P210" s="180"/>
      <c r="Q210" s="180">
        <v>27408000</v>
      </c>
      <c r="R210" s="181">
        <f t="shared" ref="R210:R215" si="75">Q210/Q$209*100</f>
        <v>19.2045741192298</v>
      </c>
      <c r="S210" s="181">
        <v>100</v>
      </c>
      <c r="T210" s="180">
        <f t="shared" si="72"/>
        <v>0</v>
      </c>
      <c r="U210" s="180">
        <f t="shared" ref="U210:U229" si="76">R210*T210/100</f>
        <v>0</v>
      </c>
      <c r="V210" s="182">
        <f t="shared" si="55"/>
        <v>100</v>
      </c>
      <c r="W210" s="180"/>
      <c r="X210" s="180" t="e">
        <f>#REF!</f>
        <v>#REF!</v>
      </c>
      <c r="Y210" s="180" t="e">
        <f>#REF!</f>
        <v>#REF!</v>
      </c>
      <c r="Z210" s="180" t="e">
        <f>#REF!</f>
        <v>#REF!</v>
      </c>
      <c r="AA210" s="180" t="e">
        <f>#REF!</f>
        <v>#REF!</v>
      </c>
      <c r="AB210" s="180">
        <v>4600002</v>
      </c>
      <c r="AC210" s="180" t="e">
        <f>#REF!</f>
        <v>#REF!</v>
      </c>
      <c r="AD210" s="180" t="e">
        <f>#REF!</f>
        <v>#REF!</v>
      </c>
      <c r="AE210" s="180" t="e">
        <f>#REF!</f>
        <v>#REF!</v>
      </c>
      <c r="AF210" s="180" t="e">
        <f>[1]April!N52</f>
        <v>#REF!</v>
      </c>
      <c r="AG210" s="180" t="e">
        <f>[2]april!N52</f>
        <v>#REF!</v>
      </c>
      <c r="AH210" s="180">
        <f>'[3]DES SKPD'!$N52</f>
        <v>73668000</v>
      </c>
      <c r="AI210" s="180">
        <v>0</v>
      </c>
      <c r="AJ210" s="181">
        <f t="shared" si="73"/>
        <v>0</v>
      </c>
      <c r="AK210" s="180">
        <f t="shared" si="67"/>
        <v>27408000</v>
      </c>
      <c r="AL210" s="181">
        <f t="shared" si="74"/>
        <v>100</v>
      </c>
      <c r="AM210" s="243"/>
    </row>
    <row r="211" spans="1:39" ht="28.5" customHeight="1" x14ac:dyDescent="0.25">
      <c r="A211" s="243"/>
      <c r="B211" s="457"/>
      <c r="C211" s="457"/>
      <c r="D211" s="457"/>
      <c r="E211" s="457"/>
      <c r="F211" s="457"/>
      <c r="G211" s="457"/>
      <c r="H211" s="457"/>
      <c r="I211" s="458"/>
      <c r="J211" s="457" t="s">
        <v>269</v>
      </c>
      <c r="K211" s="245"/>
      <c r="L211" s="257"/>
      <c r="M211" s="597" t="s">
        <v>270</v>
      </c>
      <c r="N211" s="598"/>
      <c r="O211" s="299"/>
      <c r="P211" s="180"/>
      <c r="Q211" s="180">
        <v>17800000</v>
      </c>
      <c r="R211" s="181">
        <f t="shared" si="75"/>
        <v>12.472322654782927</v>
      </c>
      <c r="S211" s="181">
        <v>100</v>
      </c>
      <c r="T211" s="180">
        <f t="shared" si="72"/>
        <v>0</v>
      </c>
      <c r="U211" s="180">
        <f t="shared" si="76"/>
        <v>0</v>
      </c>
      <c r="V211" s="182">
        <f t="shared" si="55"/>
        <v>100</v>
      </c>
      <c r="W211" s="180"/>
      <c r="X211" s="180" t="e">
        <f>#REF!</f>
        <v>#REF!</v>
      </c>
      <c r="Y211" s="180" t="e">
        <f>#REF!</f>
        <v>#REF!</v>
      </c>
      <c r="Z211" s="180" t="e">
        <f>#REF!</f>
        <v>#REF!</v>
      </c>
      <c r="AA211" s="180" t="e">
        <f>#REF!</f>
        <v>#REF!</v>
      </c>
      <c r="AB211" s="180">
        <v>4600003</v>
      </c>
      <c r="AC211" s="180" t="e">
        <f>#REF!</f>
        <v>#REF!</v>
      </c>
      <c r="AD211" s="180" t="e">
        <f>#REF!</f>
        <v>#REF!</v>
      </c>
      <c r="AE211" s="180" t="e">
        <f>#REF!</f>
        <v>#REF!</v>
      </c>
      <c r="AF211" s="180" t="e">
        <f>[1]April!N53</f>
        <v>#REF!</v>
      </c>
      <c r="AG211" s="180" t="e">
        <f>[2]april!N53</f>
        <v>#REF!</v>
      </c>
      <c r="AH211" s="180" t="e">
        <f>'[3]DES SKPD'!$N53</f>
        <v>#REF!</v>
      </c>
      <c r="AI211" s="180">
        <v>0</v>
      </c>
      <c r="AJ211" s="181">
        <f t="shared" si="73"/>
        <v>0</v>
      </c>
      <c r="AK211" s="180">
        <f t="shared" si="67"/>
        <v>17800000</v>
      </c>
      <c r="AL211" s="181">
        <f t="shared" si="74"/>
        <v>100</v>
      </c>
      <c r="AM211" s="243"/>
    </row>
    <row r="212" spans="1:39" ht="28.5" customHeight="1" x14ac:dyDescent="0.25">
      <c r="A212" s="243"/>
      <c r="B212" s="457"/>
      <c r="C212" s="457"/>
      <c r="D212" s="457"/>
      <c r="E212" s="457"/>
      <c r="F212" s="457"/>
      <c r="G212" s="457"/>
      <c r="H212" s="457"/>
      <c r="I212" s="458"/>
      <c r="J212" s="457" t="s">
        <v>315</v>
      </c>
      <c r="K212" s="245"/>
      <c r="L212" s="257"/>
      <c r="M212" s="597" t="s">
        <v>271</v>
      </c>
      <c r="N212" s="598"/>
      <c r="O212" s="299"/>
      <c r="P212" s="180"/>
      <c r="Q212" s="180">
        <v>3648000</v>
      </c>
      <c r="R212" s="181">
        <f t="shared" si="75"/>
        <v>2.5561254519465235</v>
      </c>
      <c r="S212" s="181">
        <v>100</v>
      </c>
      <c r="T212" s="180">
        <f t="shared" si="72"/>
        <v>0</v>
      </c>
      <c r="U212" s="180">
        <f t="shared" si="76"/>
        <v>0</v>
      </c>
      <c r="V212" s="182">
        <f t="shared" si="55"/>
        <v>100</v>
      </c>
      <c r="W212" s="180"/>
      <c r="X212" s="180" t="e">
        <f>#REF!</f>
        <v>#REF!</v>
      </c>
      <c r="Y212" s="180" t="e">
        <f>#REF!</f>
        <v>#REF!</v>
      </c>
      <c r="Z212" s="180" t="e">
        <f>#REF!</f>
        <v>#REF!</v>
      </c>
      <c r="AA212" s="180" t="e">
        <f>#REF!</f>
        <v>#REF!</v>
      </c>
      <c r="AB212" s="180">
        <v>4600004</v>
      </c>
      <c r="AC212" s="180" t="e">
        <f>#REF!</f>
        <v>#REF!</v>
      </c>
      <c r="AD212" s="180" t="e">
        <f>#REF!</f>
        <v>#REF!</v>
      </c>
      <c r="AE212" s="180" t="e">
        <f>#REF!</f>
        <v>#REF!</v>
      </c>
      <c r="AF212" s="180" t="e">
        <f>[1]April!N54</f>
        <v>#REF!</v>
      </c>
      <c r="AG212" s="180" t="e">
        <f>[2]april!N54</f>
        <v>#REF!</v>
      </c>
      <c r="AH212" s="180">
        <f>'[3]DES SKPD'!$N54</f>
        <v>508172500</v>
      </c>
      <c r="AI212" s="180">
        <v>0</v>
      </c>
      <c r="AJ212" s="181">
        <f t="shared" si="73"/>
        <v>0</v>
      </c>
      <c r="AK212" s="180">
        <f t="shared" si="67"/>
        <v>3648000</v>
      </c>
      <c r="AL212" s="181">
        <f t="shared" si="74"/>
        <v>100</v>
      </c>
      <c r="AM212" s="243"/>
    </row>
    <row r="213" spans="1:39" ht="28.5" customHeight="1" x14ac:dyDescent="0.25">
      <c r="A213" s="243"/>
      <c r="B213" s="457"/>
      <c r="C213" s="457"/>
      <c r="D213" s="457"/>
      <c r="E213" s="457"/>
      <c r="F213" s="457"/>
      <c r="G213" s="457"/>
      <c r="H213" s="457"/>
      <c r="I213" s="458"/>
      <c r="J213" s="457" t="s">
        <v>328</v>
      </c>
      <c r="K213" s="245"/>
      <c r="L213" s="257"/>
      <c r="M213" s="597" t="s">
        <v>329</v>
      </c>
      <c r="N213" s="598"/>
      <c r="O213" s="299"/>
      <c r="P213" s="180"/>
      <c r="Q213" s="180">
        <v>36000000</v>
      </c>
      <c r="R213" s="181">
        <f t="shared" si="75"/>
        <v>25.224922223156476</v>
      </c>
      <c r="S213" s="181">
        <v>100</v>
      </c>
      <c r="T213" s="180">
        <f t="shared" si="72"/>
        <v>0</v>
      </c>
      <c r="U213" s="180">
        <f t="shared" si="76"/>
        <v>0</v>
      </c>
      <c r="V213" s="182">
        <f t="shared" si="55"/>
        <v>100</v>
      </c>
      <c r="W213" s="180"/>
      <c r="X213" s="180" t="e">
        <f>#REF!</f>
        <v>#REF!</v>
      </c>
      <c r="Y213" s="180" t="e">
        <f>#REF!</f>
        <v>#REF!</v>
      </c>
      <c r="Z213" s="180" t="e">
        <f>#REF!</f>
        <v>#REF!</v>
      </c>
      <c r="AA213" s="180" t="e">
        <f>#REF!</f>
        <v>#REF!</v>
      </c>
      <c r="AB213" s="180">
        <v>4600004</v>
      </c>
      <c r="AC213" s="180" t="e">
        <f>#REF!</f>
        <v>#REF!</v>
      </c>
      <c r="AD213" s="180" t="e">
        <f>#REF!</f>
        <v>#REF!</v>
      </c>
      <c r="AE213" s="180" t="e">
        <f>#REF!</f>
        <v>#REF!</v>
      </c>
      <c r="AF213" s="180" t="e">
        <f>[1]April!N55</f>
        <v>#REF!</v>
      </c>
      <c r="AG213" s="180" t="e">
        <f>[2]april!N55</f>
        <v>#REF!</v>
      </c>
      <c r="AH213" s="180" t="e">
        <f>'[3]DES SKPD'!$N55</f>
        <v>#REF!</v>
      </c>
      <c r="AI213" s="180">
        <v>0</v>
      </c>
      <c r="AJ213" s="181">
        <f t="shared" si="73"/>
        <v>0</v>
      </c>
      <c r="AK213" s="180">
        <f t="shared" si="67"/>
        <v>36000000</v>
      </c>
      <c r="AL213" s="181">
        <f t="shared" si="74"/>
        <v>100</v>
      </c>
      <c r="AM213" s="243"/>
    </row>
    <row r="214" spans="1:39" ht="28.5" customHeight="1" x14ac:dyDescent="0.25">
      <c r="A214" s="243"/>
      <c r="B214" s="457"/>
      <c r="C214" s="457"/>
      <c r="D214" s="457"/>
      <c r="E214" s="457"/>
      <c r="F214" s="457"/>
      <c r="G214" s="457"/>
      <c r="H214" s="457"/>
      <c r="I214" s="458"/>
      <c r="J214" s="457" t="s">
        <v>280</v>
      </c>
      <c r="K214" s="245"/>
      <c r="L214" s="257"/>
      <c r="M214" s="597" t="s">
        <v>281</v>
      </c>
      <c r="N214" s="598"/>
      <c r="O214" s="299"/>
      <c r="P214" s="180"/>
      <c r="Q214" s="180">
        <v>15750000</v>
      </c>
      <c r="R214" s="181">
        <f t="shared" si="75"/>
        <v>11.035903472630959</v>
      </c>
      <c r="S214" s="181">
        <v>100</v>
      </c>
      <c r="T214" s="180">
        <f t="shared" si="72"/>
        <v>0</v>
      </c>
      <c r="U214" s="180">
        <f t="shared" si="76"/>
        <v>0</v>
      </c>
      <c r="V214" s="182">
        <f t="shared" si="55"/>
        <v>100</v>
      </c>
      <c r="W214" s="180"/>
      <c r="X214" s="180" t="e">
        <f>#REF!</f>
        <v>#REF!</v>
      </c>
      <c r="Y214" s="180" t="e">
        <f>#REF!</f>
        <v>#REF!</v>
      </c>
      <c r="Z214" s="180" t="e">
        <f>#REF!</f>
        <v>#REF!</v>
      </c>
      <c r="AA214" s="180" t="e">
        <f>#REF!</f>
        <v>#REF!</v>
      </c>
      <c r="AB214" s="180">
        <v>4600005</v>
      </c>
      <c r="AC214" s="180" t="e">
        <f>#REF!</f>
        <v>#REF!</v>
      </c>
      <c r="AD214" s="180" t="e">
        <f>#REF!</f>
        <v>#REF!</v>
      </c>
      <c r="AE214" s="180" t="e">
        <f>#REF!</f>
        <v>#REF!</v>
      </c>
      <c r="AF214" s="180" t="e">
        <f>[1]April!N55</f>
        <v>#REF!</v>
      </c>
      <c r="AG214" s="180" t="e">
        <f>[2]april!N55</f>
        <v>#REF!</v>
      </c>
      <c r="AH214" s="180" t="e">
        <f>'[3]DES SKPD'!$N55</f>
        <v>#REF!</v>
      </c>
      <c r="AI214" s="180">
        <v>0</v>
      </c>
      <c r="AJ214" s="181">
        <f t="shared" si="73"/>
        <v>0</v>
      </c>
      <c r="AK214" s="180">
        <f t="shared" si="67"/>
        <v>15750000</v>
      </c>
      <c r="AL214" s="181">
        <f t="shared" si="74"/>
        <v>100</v>
      </c>
      <c r="AM214" s="243"/>
    </row>
    <row r="215" spans="1:39" ht="28.5" customHeight="1" x14ac:dyDescent="0.25">
      <c r="A215" s="243"/>
      <c r="B215" s="457"/>
      <c r="C215" s="457"/>
      <c r="D215" s="457"/>
      <c r="E215" s="457"/>
      <c r="F215" s="457"/>
      <c r="G215" s="457"/>
      <c r="H215" s="457"/>
      <c r="I215" s="458"/>
      <c r="J215" s="457" t="s">
        <v>282</v>
      </c>
      <c r="K215" s="245"/>
      <c r="L215" s="257"/>
      <c r="M215" s="597" t="s">
        <v>283</v>
      </c>
      <c r="N215" s="598"/>
      <c r="O215" s="299"/>
      <c r="P215" s="180"/>
      <c r="Q215" s="180">
        <v>42110000</v>
      </c>
      <c r="R215" s="181">
        <f t="shared" si="75"/>
        <v>29.506152078253312</v>
      </c>
      <c r="S215" s="181">
        <v>100</v>
      </c>
      <c r="T215" s="180">
        <f t="shared" si="72"/>
        <v>0</v>
      </c>
      <c r="U215" s="180">
        <f t="shared" si="76"/>
        <v>0</v>
      </c>
      <c r="V215" s="182">
        <f t="shared" si="55"/>
        <v>100</v>
      </c>
      <c r="W215" s="180"/>
      <c r="X215" s="180" t="e">
        <f>#REF!</f>
        <v>#REF!</v>
      </c>
      <c r="Y215" s="180" t="e">
        <f>#REF!</f>
        <v>#REF!</v>
      </c>
      <c r="Z215" s="180" t="e">
        <f>#REF!</f>
        <v>#REF!</v>
      </c>
      <c r="AA215" s="180" t="e">
        <f>#REF!</f>
        <v>#REF!</v>
      </c>
      <c r="AB215" s="180">
        <v>4600006</v>
      </c>
      <c r="AC215" s="180" t="e">
        <f>#REF!</f>
        <v>#REF!</v>
      </c>
      <c r="AD215" s="180" t="e">
        <f>#REF!</f>
        <v>#REF!</v>
      </c>
      <c r="AE215" s="180" t="e">
        <f>#REF!</f>
        <v>#REF!</v>
      </c>
      <c r="AF215" s="180" t="e">
        <f>[1]April!N56</f>
        <v>#REF!</v>
      </c>
      <c r="AG215" s="180" t="e">
        <f>[2]april!N56</f>
        <v>#REF!</v>
      </c>
      <c r="AH215" s="180">
        <f>'[3]DES SKPD'!$N56</f>
        <v>260098500</v>
      </c>
      <c r="AI215" s="180">
        <v>0</v>
      </c>
      <c r="AJ215" s="181">
        <f t="shared" si="73"/>
        <v>0</v>
      </c>
      <c r="AK215" s="180">
        <f t="shared" si="67"/>
        <v>42110000</v>
      </c>
      <c r="AL215" s="181">
        <f t="shared" si="74"/>
        <v>100</v>
      </c>
      <c r="AM215" s="243"/>
    </row>
    <row r="216" spans="1:39" s="297" customFormat="1" ht="32.25" customHeight="1" x14ac:dyDescent="0.25">
      <c r="A216" s="227">
        <f>A209+1</f>
        <v>32</v>
      </c>
      <c r="B216" s="615" t="s">
        <v>141</v>
      </c>
      <c r="C216" s="615"/>
      <c r="D216" s="615"/>
      <c r="E216" s="615"/>
      <c r="F216" s="615"/>
      <c r="G216" s="615"/>
      <c r="H216" s="615"/>
      <c r="I216" s="614"/>
      <c r="J216" s="304" t="s">
        <v>476</v>
      </c>
      <c r="K216" s="230"/>
      <c r="L216" s="294"/>
      <c r="M216" s="615" t="s">
        <v>143</v>
      </c>
      <c r="N216" s="614"/>
      <c r="O216" s="295">
        <v>359210000</v>
      </c>
      <c r="P216" s="231">
        <f>O216</f>
        <v>359210000</v>
      </c>
      <c r="Q216" s="231">
        <f>SUM(Q217:Q221)</f>
        <v>138060000</v>
      </c>
      <c r="R216" s="233">
        <f>Q216/Q$180*100</f>
        <v>10.16568440514069</v>
      </c>
      <c r="S216" s="233">
        <v>100</v>
      </c>
      <c r="T216" s="231">
        <f t="shared" si="72"/>
        <v>53.708532522091843</v>
      </c>
      <c r="U216" s="231">
        <f t="shared" si="76"/>
        <v>5.4598399148282057</v>
      </c>
      <c r="V216" s="296">
        <f t="shared" si="55"/>
        <v>46.291467477908157</v>
      </c>
      <c r="W216" s="231"/>
      <c r="X216" s="231" t="e">
        <f>#REF!</f>
        <v>#REF!</v>
      </c>
      <c r="Y216" s="231" t="e">
        <f>#REF!</f>
        <v>#REF!</v>
      </c>
      <c r="Z216" s="231" t="e">
        <f>#REF!</f>
        <v>#REF!</v>
      </c>
      <c r="AA216" s="231" t="e">
        <f>#REF!</f>
        <v>#REF!</v>
      </c>
      <c r="AB216" s="231">
        <v>173940000</v>
      </c>
      <c r="AC216" s="231" t="e">
        <f>#REF!</f>
        <v>#REF!</v>
      </c>
      <c r="AD216" s="231" t="e">
        <f>#REF!</f>
        <v>#REF!</v>
      </c>
      <c r="AE216" s="231" t="e">
        <f>#REF!</f>
        <v>#REF!</v>
      </c>
      <c r="AF216" s="231" t="e">
        <f>[1]April!N51</f>
        <v>#REF!</v>
      </c>
      <c r="AG216" s="231" t="e">
        <f>[2]april!N51</f>
        <v>#REF!</v>
      </c>
      <c r="AH216" s="231">
        <f>'[3]DES SKPD'!$N51</f>
        <v>317812000</v>
      </c>
      <c r="AI216" s="231">
        <f>SUM(AI217:AI221)</f>
        <v>74150000</v>
      </c>
      <c r="AJ216" s="233">
        <f t="shared" si="73"/>
        <v>53.708532522091843</v>
      </c>
      <c r="AK216" s="231">
        <f t="shared" si="67"/>
        <v>63910000</v>
      </c>
      <c r="AL216" s="233">
        <f t="shared" si="74"/>
        <v>46.291467477908157</v>
      </c>
      <c r="AM216" s="227"/>
    </row>
    <row r="217" spans="1:39" ht="28.5" customHeight="1" x14ac:dyDescent="0.25">
      <c r="A217" s="243"/>
      <c r="B217" s="457"/>
      <c r="C217" s="457"/>
      <c r="D217" s="457"/>
      <c r="E217" s="457"/>
      <c r="F217" s="457"/>
      <c r="G217" s="457"/>
      <c r="H217" s="457"/>
      <c r="I217" s="458"/>
      <c r="J217" s="457" t="s">
        <v>332</v>
      </c>
      <c r="K217" s="245"/>
      <c r="L217" s="257"/>
      <c r="M217" s="597" t="s">
        <v>335</v>
      </c>
      <c r="N217" s="598"/>
      <c r="O217" s="299"/>
      <c r="P217" s="180"/>
      <c r="Q217" s="180">
        <v>1000000</v>
      </c>
      <c r="R217" s="181">
        <f>Q217/Q$216*100</f>
        <v>0.72432275822106329</v>
      </c>
      <c r="S217" s="181">
        <v>100</v>
      </c>
      <c r="T217" s="180">
        <f t="shared" si="72"/>
        <v>25</v>
      </c>
      <c r="U217" s="180">
        <f t="shared" si="76"/>
        <v>0.18108068955526582</v>
      </c>
      <c r="V217" s="182">
        <f t="shared" si="55"/>
        <v>75</v>
      </c>
      <c r="W217" s="180"/>
      <c r="X217" s="180" t="e">
        <f>#REF!</f>
        <v>#REF!</v>
      </c>
      <c r="Y217" s="180" t="e">
        <f>#REF!</f>
        <v>#REF!</v>
      </c>
      <c r="Z217" s="180" t="e">
        <f>#REF!</f>
        <v>#REF!</v>
      </c>
      <c r="AA217" s="180" t="e">
        <f>#REF!</f>
        <v>#REF!</v>
      </c>
      <c r="AB217" s="180">
        <v>173940002</v>
      </c>
      <c r="AC217" s="180" t="e">
        <f>#REF!</f>
        <v>#REF!</v>
      </c>
      <c r="AD217" s="180" t="e">
        <f>#REF!</f>
        <v>#REF!</v>
      </c>
      <c r="AE217" s="180" t="e">
        <f>#REF!</f>
        <v>#REF!</v>
      </c>
      <c r="AF217" s="180" t="e">
        <f>[1]April!N53</f>
        <v>#REF!</v>
      </c>
      <c r="AG217" s="180" t="e">
        <f>[2]april!N53</f>
        <v>#REF!</v>
      </c>
      <c r="AH217" s="180" t="e">
        <f>'[3]DES SKPD'!$N53</f>
        <v>#REF!</v>
      </c>
      <c r="AI217" s="180">
        <v>250000</v>
      </c>
      <c r="AJ217" s="181">
        <f t="shared" si="73"/>
        <v>25</v>
      </c>
      <c r="AK217" s="180">
        <f t="shared" si="67"/>
        <v>750000</v>
      </c>
      <c r="AL217" s="181">
        <f t="shared" si="74"/>
        <v>75</v>
      </c>
      <c r="AM217" s="243"/>
    </row>
    <row r="218" spans="1:39" ht="28.5" customHeight="1" x14ac:dyDescent="0.25">
      <c r="A218" s="243"/>
      <c r="B218" s="457"/>
      <c r="C218" s="457"/>
      <c r="D218" s="457"/>
      <c r="E218" s="457"/>
      <c r="F218" s="457"/>
      <c r="G218" s="457"/>
      <c r="H218" s="457"/>
      <c r="I218" s="458"/>
      <c r="J218" s="457" t="s">
        <v>333</v>
      </c>
      <c r="K218" s="245"/>
      <c r="L218" s="257"/>
      <c r="M218" s="597" t="s">
        <v>334</v>
      </c>
      <c r="N218" s="598"/>
      <c r="O218" s="299"/>
      <c r="P218" s="180"/>
      <c r="Q218" s="180">
        <v>20000000</v>
      </c>
      <c r="R218" s="181">
        <f>Q218/Q$216*100</f>
        <v>14.486455164421267</v>
      </c>
      <c r="S218" s="181">
        <v>100</v>
      </c>
      <c r="T218" s="180">
        <f t="shared" si="72"/>
        <v>25</v>
      </c>
      <c r="U218" s="180">
        <f t="shared" si="76"/>
        <v>3.6216137911053168</v>
      </c>
      <c r="V218" s="182">
        <f t="shared" si="55"/>
        <v>75</v>
      </c>
      <c r="W218" s="180"/>
      <c r="X218" s="180" t="e">
        <f>#REF!</f>
        <v>#REF!</v>
      </c>
      <c r="Y218" s="180" t="e">
        <f>#REF!</f>
        <v>#REF!</v>
      </c>
      <c r="Z218" s="180" t="e">
        <f>#REF!</f>
        <v>#REF!</v>
      </c>
      <c r="AA218" s="180" t="e">
        <f>#REF!</f>
        <v>#REF!</v>
      </c>
      <c r="AB218" s="180">
        <v>173940003</v>
      </c>
      <c r="AC218" s="180" t="e">
        <f>#REF!</f>
        <v>#REF!</v>
      </c>
      <c r="AD218" s="180" t="e">
        <f>#REF!</f>
        <v>#REF!</v>
      </c>
      <c r="AE218" s="180" t="e">
        <f>#REF!</f>
        <v>#REF!</v>
      </c>
      <c r="AF218" s="180" t="e">
        <f>[1]April!N54</f>
        <v>#REF!</v>
      </c>
      <c r="AG218" s="180" t="e">
        <f>[2]april!N54</f>
        <v>#REF!</v>
      </c>
      <c r="AH218" s="180">
        <f>'[3]DES SKPD'!$N54</f>
        <v>508172500</v>
      </c>
      <c r="AI218" s="180">
        <v>5000000</v>
      </c>
      <c r="AJ218" s="181">
        <f t="shared" si="73"/>
        <v>25</v>
      </c>
      <c r="AK218" s="180">
        <f t="shared" si="67"/>
        <v>15000000</v>
      </c>
      <c r="AL218" s="181">
        <f t="shared" si="74"/>
        <v>75</v>
      </c>
      <c r="AM218" s="243"/>
    </row>
    <row r="219" spans="1:39" ht="28.5" customHeight="1" x14ac:dyDescent="0.25">
      <c r="A219" s="243"/>
      <c r="B219" s="457"/>
      <c r="C219" s="457"/>
      <c r="D219" s="457"/>
      <c r="E219" s="457"/>
      <c r="F219" s="457"/>
      <c r="G219" s="457"/>
      <c r="H219" s="457"/>
      <c r="I219" s="458"/>
      <c r="J219" s="457" t="s">
        <v>336</v>
      </c>
      <c r="K219" s="245"/>
      <c r="L219" s="257"/>
      <c r="M219" s="597" t="s">
        <v>337</v>
      </c>
      <c r="N219" s="598"/>
      <c r="O219" s="299"/>
      <c r="P219" s="180"/>
      <c r="Q219" s="180">
        <v>92100000</v>
      </c>
      <c r="R219" s="181">
        <f>Q219/Q$216*100</f>
        <v>66.710126032159934</v>
      </c>
      <c r="S219" s="181">
        <v>100</v>
      </c>
      <c r="T219" s="180">
        <f t="shared" si="72"/>
        <v>68.946796959826273</v>
      </c>
      <c r="U219" s="180">
        <f t="shared" si="76"/>
        <v>45.994495147037526</v>
      </c>
      <c r="V219" s="182">
        <f t="shared" si="55"/>
        <v>31.053203040173727</v>
      </c>
      <c r="W219" s="180"/>
      <c r="X219" s="180" t="e">
        <f>#REF!</f>
        <v>#REF!</v>
      </c>
      <c r="Y219" s="180" t="e">
        <f>#REF!</f>
        <v>#REF!</v>
      </c>
      <c r="Z219" s="180" t="e">
        <f>#REF!</f>
        <v>#REF!</v>
      </c>
      <c r="AA219" s="180" t="e">
        <f>#REF!</f>
        <v>#REF!</v>
      </c>
      <c r="AB219" s="180">
        <v>173940004</v>
      </c>
      <c r="AC219" s="180" t="e">
        <f>#REF!</f>
        <v>#REF!</v>
      </c>
      <c r="AD219" s="180" t="e">
        <f>#REF!</f>
        <v>#REF!</v>
      </c>
      <c r="AE219" s="180" t="e">
        <f>#REF!</f>
        <v>#REF!</v>
      </c>
      <c r="AF219" s="180" t="e">
        <f>[1]April!N55</f>
        <v>#REF!</v>
      </c>
      <c r="AG219" s="180" t="e">
        <f>[2]april!N55</f>
        <v>#REF!</v>
      </c>
      <c r="AH219" s="180" t="e">
        <f>'[3]DES SKPD'!$N55</f>
        <v>#REF!</v>
      </c>
      <c r="AI219" s="180">
        <f>25500000+18000000+20000000</f>
        <v>63500000</v>
      </c>
      <c r="AJ219" s="181">
        <f t="shared" si="73"/>
        <v>68.946796959826273</v>
      </c>
      <c r="AK219" s="180">
        <f t="shared" si="67"/>
        <v>28600000</v>
      </c>
      <c r="AL219" s="181">
        <f t="shared" si="74"/>
        <v>31.053203040173727</v>
      </c>
      <c r="AM219" s="243"/>
    </row>
    <row r="220" spans="1:39" ht="28.5" customHeight="1" x14ac:dyDescent="0.25">
      <c r="A220" s="243"/>
      <c r="B220" s="457"/>
      <c r="C220" s="457"/>
      <c r="D220" s="457"/>
      <c r="E220" s="457"/>
      <c r="F220" s="457"/>
      <c r="G220" s="457"/>
      <c r="H220" s="457"/>
      <c r="I220" s="458"/>
      <c r="J220" s="457" t="s">
        <v>309</v>
      </c>
      <c r="K220" s="245"/>
      <c r="L220" s="257"/>
      <c r="M220" s="597" t="s">
        <v>310</v>
      </c>
      <c r="N220" s="598"/>
      <c r="O220" s="299"/>
      <c r="P220" s="180"/>
      <c r="Q220" s="180">
        <v>21600000</v>
      </c>
      <c r="R220" s="181">
        <f>Q220/Q$216*100</f>
        <v>15.645371577574968</v>
      </c>
      <c r="S220" s="181">
        <v>100</v>
      </c>
      <c r="T220" s="180">
        <f t="shared" si="72"/>
        <v>25</v>
      </c>
      <c r="U220" s="180">
        <f t="shared" si="76"/>
        <v>3.9113428943937421</v>
      </c>
      <c r="V220" s="182">
        <f t="shared" ref="V220:V297" si="77">S220-T220</f>
        <v>75</v>
      </c>
      <c r="W220" s="180"/>
      <c r="X220" s="180" t="e">
        <f>#REF!</f>
        <v>#REF!</v>
      </c>
      <c r="Y220" s="180" t="e">
        <f>#REF!</f>
        <v>#REF!</v>
      </c>
      <c r="Z220" s="180" t="e">
        <f>#REF!</f>
        <v>#REF!</v>
      </c>
      <c r="AA220" s="180" t="e">
        <f>#REF!</f>
        <v>#REF!</v>
      </c>
      <c r="AB220" s="180">
        <v>173940006</v>
      </c>
      <c r="AC220" s="180" t="e">
        <f>#REF!</f>
        <v>#REF!</v>
      </c>
      <c r="AD220" s="180" t="e">
        <f>#REF!</f>
        <v>#REF!</v>
      </c>
      <c r="AE220" s="180" t="e">
        <f>#REF!</f>
        <v>#REF!</v>
      </c>
      <c r="AF220" s="180" t="e">
        <f>[1]April!N57</f>
        <v>#REF!</v>
      </c>
      <c r="AG220" s="180" t="e">
        <f>[2]april!N57</f>
        <v>#REF!</v>
      </c>
      <c r="AH220" s="180">
        <f>'[3]DES SKPD'!$N57</f>
        <v>371775000</v>
      </c>
      <c r="AI220" s="180">
        <f>900000+2700000+900000+900000</f>
        <v>5400000</v>
      </c>
      <c r="AJ220" s="181">
        <f>AI220/Q220*100</f>
        <v>25</v>
      </c>
      <c r="AK220" s="180">
        <f>Q220-AI220</f>
        <v>16200000</v>
      </c>
      <c r="AL220" s="181">
        <f t="shared" si="74"/>
        <v>75</v>
      </c>
      <c r="AM220" s="243"/>
    </row>
    <row r="221" spans="1:39" s="428" customFormat="1" ht="28.5" customHeight="1" x14ac:dyDescent="0.25">
      <c r="A221" s="243"/>
      <c r="B221" s="457"/>
      <c r="C221" s="457"/>
      <c r="D221" s="457"/>
      <c r="E221" s="457"/>
      <c r="F221" s="457"/>
      <c r="G221" s="457"/>
      <c r="H221" s="457"/>
      <c r="I221" s="458"/>
      <c r="J221" s="457" t="s">
        <v>551</v>
      </c>
      <c r="K221" s="245"/>
      <c r="L221" s="257"/>
      <c r="M221" s="597" t="s">
        <v>550</v>
      </c>
      <c r="N221" s="598"/>
      <c r="O221" s="432"/>
      <c r="P221" s="180"/>
      <c r="Q221" s="180">
        <v>3360000</v>
      </c>
      <c r="R221" s="181">
        <f>Q221/Q$216*100</f>
        <v>2.4337244676227727</v>
      </c>
      <c r="S221" s="181">
        <v>100</v>
      </c>
      <c r="T221" s="180">
        <f t="shared" si="72"/>
        <v>0</v>
      </c>
      <c r="U221" s="180">
        <f t="shared" si="76"/>
        <v>0</v>
      </c>
      <c r="V221" s="182">
        <f t="shared" si="77"/>
        <v>100</v>
      </c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>
        <f>2700000-2700000</f>
        <v>0</v>
      </c>
      <c r="AJ221" s="181">
        <f>AI221/Q221*100</f>
        <v>0</v>
      </c>
      <c r="AK221" s="180">
        <f>Q221-AI221</f>
        <v>3360000</v>
      </c>
      <c r="AL221" s="181">
        <f t="shared" si="74"/>
        <v>100</v>
      </c>
      <c r="AM221" s="243"/>
    </row>
    <row r="222" spans="1:39" ht="28.5" customHeight="1" x14ac:dyDescent="0.25">
      <c r="A222" s="227">
        <v>33</v>
      </c>
      <c r="B222" s="457"/>
      <c r="C222" s="457"/>
      <c r="D222" s="457"/>
      <c r="E222" s="457"/>
      <c r="F222" s="457"/>
      <c r="G222" s="457"/>
      <c r="H222" s="457"/>
      <c r="I222" s="458"/>
      <c r="J222" s="304" t="s">
        <v>477</v>
      </c>
      <c r="K222" s="230"/>
      <c r="L222" s="294"/>
      <c r="M222" s="615" t="s">
        <v>472</v>
      </c>
      <c r="N222" s="614"/>
      <c r="O222" s="295">
        <v>85915000</v>
      </c>
      <c r="P222" s="231">
        <f>O222</f>
        <v>85915000</v>
      </c>
      <c r="Q222" s="231">
        <f>SUM(Q223:Q229)</f>
        <v>102020000</v>
      </c>
      <c r="R222" s="233">
        <f>Q222/Q$180*100</f>
        <v>7.5119739462005866</v>
      </c>
      <c r="S222" s="233">
        <v>100</v>
      </c>
      <c r="T222" s="231">
        <f t="shared" si="72"/>
        <v>47.369143305234267</v>
      </c>
      <c r="U222" s="231">
        <f t="shared" si="76"/>
        <v>3.5583577036276175</v>
      </c>
      <c r="V222" s="296">
        <f t="shared" si="77"/>
        <v>52.630856694765733</v>
      </c>
      <c r="W222" s="231"/>
      <c r="X222" s="231" t="e">
        <f>#REF!</f>
        <v>#REF!</v>
      </c>
      <c r="Y222" s="231" t="e">
        <f>#REF!</f>
        <v>#REF!</v>
      </c>
      <c r="Z222" s="231" t="e">
        <f>#REF!</f>
        <v>#REF!</v>
      </c>
      <c r="AA222" s="231" t="e">
        <f>#REF!</f>
        <v>#REF!</v>
      </c>
      <c r="AB222" s="231">
        <v>0</v>
      </c>
      <c r="AC222" s="231" t="e">
        <f>#REF!</f>
        <v>#REF!</v>
      </c>
      <c r="AD222" s="231" t="e">
        <f>#REF!</f>
        <v>#REF!</v>
      </c>
      <c r="AE222" s="231" t="e">
        <f>#REF!</f>
        <v>#REF!</v>
      </c>
      <c r="AF222" s="231" t="e">
        <f>[1]April!N45</f>
        <v>#REF!</v>
      </c>
      <c r="AG222" s="231" t="e">
        <f>[2]april!N45</f>
        <v>#REF!</v>
      </c>
      <c r="AH222" s="231">
        <f>'[3]DES SKPD'!$N45</f>
        <v>320566100</v>
      </c>
      <c r="AI222" s="231">
        <f>SUM(AI223:AI229)</f>
        <v>48326000</v>
      </c>
      <c r="AJ222" s="233">
        <f t="shared" si="73"/>
        <v>47.369143305234267</v>
      </c>
      <c r="AK222" s="231">
        <f t="shared" si="67"/>
        <v>53694000</v>
      </c>
      <c r="AL222" s="233">
        <f t="shared" si="74"/>
        <v>52.63085669476574</v>
      </c>
      <c r="AM222" s="243"/>
    </row>
    <row r="223" spans="1:39" ht="28.5" customHeight="1" x14ac:dyDescent="0.25">
      <c r="A223" s="243"/>
      <c r="B223" s="457"/>
      <c r="C223" s="457"/>
      <c r="D223" s="457"/>
      <c r="E223" s="457"/>
      <c r="F223" s="457"/>
      <c r="G223" s="457"/>
      <c r="H223" s="457"/>
      <c r="I223" s="458"/>
      <c r="J223" s="457" t="s">
        <v>257</v>
      </c>
      <c r="K223" s="245"/>
      <c r="L223" s="257"/>
      <c r="M223" s="597" t="s">
        <v>592</v>
      </c>
      <c r="N223" s="598"/>
      <c r="O223" s="299"/>
      <c r="P223" s="180"/>
      <c r="Q223" s="180">
        <v>1600000</v>
      </c>
      <c r="R223" s="181">
        <f t="shared" ref="R223:R229" si="78">Q223/Q$222*100</f>
        <v>1.5683199372672023</v>
      </c>
      <c r="S223" s="181">
        <v>100</v>
      </c>
      <c r="T223" s="180">
        <f t="shared" si="72"/>
        <v>48.125</v>
      </c>
      <c r="U223" s="180">
        <f t="shared" si="76"/>
        <v>0.75475396980984111</v>
      </c>
      <c r="V223" s="182">
        <f t="shared" si="77"/>
        <v>51.875</v>
      </c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>
        <v>770000</v>
      </c>
      <c r="AJ223" s="181">
        <f t="shared" si="73"/>
        <v>48.125</v>
      </c>
      <c r="AK223" s="180">
        <f t="shared" si="67"/>
        <v>830000</v>
      </c>
      <c r="AL223" s="181">
        <f t="shared" si="74"/>
        <v>51.875000000000007</v>
      </c>
      <c r="AM223" s="243"/>
    </row>
    <row r="224" spans="1:39" ht="28.5" customHeight="1" x14ac:dyDescent="0.25">
      <c r="A224" s="243"/>
      <c r="B224" s="457"/>
      <c r="C224" s="457"/>
      <c r="D224" s="457"/>
      <c r="E224" s="457"/>
      <c r="F224" s="457"/>
      <c r="G224" s="457"/>
      <c r="H224" s="457"/>
      <c r="I224" s="458"/>
      <c r="J224" s="457" t="s">
        <v>593</v>
      </c>
      <c r="K224" s="245"/>
      <c r="L224" s="257"/>
      <c r="M224" s="597" t="s">
        <v>270</v>
      </c>
      <c r="N224" s="598"/>
      <c r="O224" s="299"/>
      <c r="P224" s="180"/>
      <c r="Q224" s="180">
        <v>2000000</v>
      </c>
      <c r="R224" s="181">
        <f t="shared" si="78"/>
        <v>1.9603999215840031</v>
      </c>
      <c r="S224" s="181">
        <v>100</v>
      </c>
      <c r="T224" s="180">
        <f t="shared" si="72"/>
        <v>0</v>
      </c>
      <c r="U224" s="180">
        <f t="shared" si="76"/>
        <v>0</v>
      </c>
      <c r="V224" s="182">
        <f t="shared" si="77"/>
        <v>100</v>
      </c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>
        <v>0</v>
      </c>
      <c r="AJ224" s="181">
        <f t="shared" si="73"/>
        <v>0</v>
      </c>
      <c r="AK224" s="180">
        <f t="shared" si="67"/>
        <v>2000000</v>
      </c>
      <c r="AL224" s="181">
        <f t="shared" si="74"/>
        <v>100</v>
      </c>
      <c r="AM224" s="243"/>
    </row>
    <row r="225" spans="1:39" ht="28.5" customHeight="1" x14ac:dyDescent="0.25">
      <c r="A225" s="243"/>
      <c r="B225" s="457"/>
      <c r="C225" s="457"/>
      <c r="D225" s="457"/>
      <c r="E225" s="457"/>
      <c r="F225" s="457"/>
      <c r="G225" s="457"/>
      <c r="H225" s="457"/>
      <c r="I225" s="458"/>
      <c r="J225" s="457" t="s">
        <v>593</v>
      </c>
      <c r="K225" s="245"/>
      <c r="L225" s="257"/>
      <c r="M225" s="597" t="s">
        <v>428</v>
      </c>
      <c r="N225" s="598"/>
      <c r="O225" s="299"/>
      <c r="P225" s="180"/>
      <c r="Q225" s="180">
        <v>1500000</v>
      </c>
      <c r="R225" s="181">
        <f t="shared" si="78"/>
        <v>1.4702999411880022</v>
      </c>
      <c r="S225" s="181">
        <v>100</v>
      </c>
      <c r="T225" s="180">
        <f t="shared" si="72"/>
        <v>50</v>
      </c>
      <c r="U225" s="180">
        <f t="shared" si="76"/>
        <v>0.73514997059400111</v>
      </c>
      <c r="V225" s="182">
        <f t="shared" si="77"/>
        <v>50</v>
      </c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>
        <v>750000</v>
      </c>
      <c r="AJ225" s="181">
        <f t="shared" si="73"/>
        <v>50</v>
      </c>
      <c r="AK225" s="180">
        <f t="shared" si="67"/>
        <v>750000</v>
      </c>
      <c r="AL225" s="181">
        <f t="shared" si="74"/>
        <v>50</v>
      </c>
      <c r="AM225" s="243"/>
    </row>
    <row r="226" spans="1:39" ht="28.5" customHeight="1" x14ac:dyDescent="0.25">
      <c r="A226" s="243"/>
      <c r="B226" s="457"/>
      <c r="C226" s="457"/>
      <c r="D226" s="457"/>
      <c r="E226" s="457"/>
      <c r="F226" s="457"/>
      <c r="G226" s="457"/>
      <c r="H226" s="457"/>
      <c r="I226" s="458"/>
      <c r="J226" s="457" t="s">
        <v>318</v>
      </c>
      <c r="K226" s="245"/>
      <c r="L226" s="257"/>
      <c r="M226" s="597" t="s">
        <v>319</v>
      </c>
      <c r="N226" s="598"/>
      <c r="O226" s="299"/>
      <c r="P226" s="180"/>
      <c r="Q226" s="180">
        <v>22750000</v>
      </c>
      <c r="R226" s="181">
        <f t="shared" si="78"/>
        <v>22.299549108018034</v>
      </c>
      <c r="S226" s="181">
        <v>100</v>
      </c>
      <c r="T226" s="180">
        <f t="shared" si="72"/>
        <v>100</v>
      </c>
      <c r="U226" s="180">
        <f t="shared" si="76"/>
        <v>22.299549108018038</v>
      </c>
      <c r="V226" s="182">
        <f t="shared" si="77"/>
        <v>0</v>
      </c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>
        <v>22750000</v>
      </c>
      <c r="AJ226" s="181">
        <f t="shared" si="73"/>
        <v>100</v>
      </c>
      <c r="AK226" s="180">
        <f t="shared" si="67"/>
        <v>0</v>
      </c>
      <c r="AL226" s="181">
        <f t="shared" si="74"/>
        <v>0</v>
      </c>
      <c r="AM226" s="243"/>
    </row>
    <row r="227" spans="1:39" ht="28.5" customHeight="1" x14ac:dyDescent="0.25">
      <c r="A227" s="243"/>
      <c r="B227" s="457"/>
      <c r="C227" s="457"/>
      <c r="D227" s="457"/>
      <c r="E227" s="457"/>
      <c r="F227" s="457"/>
      <c r="G227" s="457"/>
      <c r="H227" s="457"/>
      <c r="I227" s="458"/>
      <c r="J227" s="457" t="s">
        <v>280</v>
      </c>
      <c r="K227" s="245"/>
      <c r="L227" s="257"/>
      <c r="M227" s="597" t="s">
        <v>425</v>
      </c>
      <c r="N227" s="598"/>
      <c r="O227" s="299"/>
      <c r="P227" s="180"/>
      <c r="Q227" s="180">
        <v>7000000</v>
      </c>
      <c r="R227" s="181">
        <f t="shared" si="78"/>
        <v>6.8613997255440111</v>
      </c>
      <c r="S227" s="181">
        <v>100</v>
      </c>
      <c r="T227" s="180">
        <f t="shared" si="72"/>
        <v>0</v>
      </c>
      <c r="U227" s="180">
        <f t="shared" si="76"/>
        <v>0</v>
      </c>
      <c r="V227" s="182">
        <f t="shared" si="77"/>
        <v>100</v>
      </c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>
        <v>0</v>
      </c>
      <c r="AJ227" s="181">
        <f t="shared" si="73"/>
        <v>0</v>
      </c>
      <c r="AK227" s="180">
        <f t="shared" si="67"/>
        <v>7000000</v>
      </c>
      <c r="AL227" s="181">
        <f t="shared" si="74"/>
        <v>100</v>
      </c>
      <c r="AM227" s="243"/>
    </row>
    <row r="228" spans="1:39" ht="28.5" customHeight="1" x14ac:dyDescent="0.25">
      <c r="A228" s="243"/>
      <c r="B228" s="457"/>
      <c r="C228" s="457"/>
      <c r="D228" s="457"/>
      <c r="E228" s="457"/>
      <c r="F228" s="457"/>
      <c r="G228" s="457"/>
      <c r="H228" s="457"/>
      <c r="I228" s="458"/>
      <c r="J228" s="457" t="s">
        <v>282</v>
      </c>
      <c r="K228" s="245"/>
      <c r="L228" s="257"/>
      <c r="M228" s="597" t="s">
        <v>590</v>
      </c>
      <c r="N228" s="598"/>
      <c r="O228" s="299"/>
      <c r="P228" s="180"/>
      <c r="Q228" s="180">
        <v>27170000</v>
      </c>
      <c r="R228" s="181">
        <f t="shared" si="78"/>
        <v>26.63203293471868</v>
      </c>
      <c r="S228" s="181">
        <v>100</v>
      </c>
      <c r="T228" s="180">
        <f t="shared" si="72"/>
        <v>88.538829591461166</v>
      </c>
      <c r="U228" s="180">
        <f t="shared" si="76"/>
        <v>23.579690256812388</v>
      </c>
      <c r="V228" s="182">
        <f>S228-T228</f>
        <v>11.461170408538834</v>
      </c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>
        <v>24056000</v>
      </c>
      <c r="AJ228" s="181">
        <f t="shared" si="73"/>
        <v>88.538829591461166</v>
      </c>
      <c r="AK228" s="180">
        <f t="shared" si="67"/>
        <v>3114000</v>
      </c>
      <c r="AL228" s="181">
        <f t="shared" si="74"/>
        <v>11.46117040853883</v>
      </c>
      <c r="AM228" s="243"/>
    </row>
    <row r="229" spans="1:39" ht="28.5" customHeight="1" x14ac:dyDescent="0.25">
      <c r="A229" s="243"/>
      <c r="B229" s="457"/>
      <c r="C229" s="457"/>
      <c r="D229" s="457"/>
      <c r="E229" s="457"/>
      <c r="F229" s="457"/>
      <c r="G229" s="457"/>
      <c r="H229" s="457"/>
      <c r="I229" s="458"/>
      <c r="J229" s="457" t="s">
        <v>594</v>
      </c>
      <c r="K229" s="245"/>
      <c r="L229" s="257"/>
      <c r="M229" s="597" t="s">
        <v>591</v>
      </c>
      <c r="N229" s="598"/>
      <c r="O229" s="299"/>
      <c r="P229" s="180"/>
      <c r="Q229" s="180">
        <v>40000000</v>
      </c>
      <c r="R229" s="181">
        <f t="shared" si="78"/>
        <v>39.20799843168006</v>
      </c>
      <c r="S229" s="181">
        <v>100</v>
      </c>
      <c r="T229" s="180">
        <f t="shared" si="72"/>
        <v>0</v>
      </c>
      <c r="U229" s="180">
        <f t="shared" si="76"/>
        <v>0</v>
      </c>
      <c r="V229" s="182">
        <f>S229-T229</f>
        <v>100</v>
      </c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>
        <v>0</v>
      </c>
      <c r="AJ229" s="181">
        <f t="shared" si="73"/>
        <v>0</v>
      </c>
      <c r="AK229" s="180">
        <f t="shared" si="67"/>
        <v>40000000</v>
      </c>
      <c r="AL229" s="181">
        <f t="shared" si="74"/>
        <v>100</v>
      </c>
      <c r="AM229" s="243"/>
    </row>
    <row r="230" spans="1:39" s="297" customFormat="1" ht="24.75" customHeight="1" x14ac:dyDescent="0.25">
      <c r="A230" s="227">
        <f>A222+1</f>
        <v>34</v>
      </c>
      <c r="B230" s="615" t="s">
        <v>144</v>
      </c>
      <c r="C230" s="615"/>
      <c r="D230" s="615"/>
      <c r="E230" s="615"/>
      <c r="F230" s="615"/>
      <c r="G230" s="615"/>
      <c r="H230" s="615"/>
      <c r="I230" s="614"/>
      <c r="J230" s="304" t="s">
        <v>478</v>
      </c>
      <c r="K230" s="230"/>
      <c r="L230" s="294"/>
      <c r="M230" s="615" t="s">
        <v>167</v>
      </c>
      <c r="N230" s="614"/>
      <c r="O230" s="295">
        <v>85915000</v>
      </c>
      <c r="P230" s="231">
        <f>O230</f>
        <v>85915000</v>
      </c>
      <c r="Q230" s="231">
        <f>SUM(Q231:Q240)</f>
        <v>131325000</v>
      </c>
      <c r="R230" s="233">
        <f>Q230/Q$180*100</f>
        <v>9.6697704223171161</v>
      </c>
      <c r="S230" s="233">
        <v>100</v>
      </c>
      <c r="T230" s="231">
        <f t="shared" si="72"/>
        <v>31.962687987816484</v>
      </c>
      <c r="U230" s="231">
        <f>R230*T230/100</f>
        <v>3.090718549223384</v>
      </c>
      <c r="V230" s="296">
        <f t="shared" si="77"/>
        <v>68.03731201218352</v>
      </c>
      <c r="W230" s="231"/>
      <c r="X230" s="231" t="e">
        <f>#REF!</f>
        <v>#REF!</v>
      </c>
      <c r="Y230" s="231" t="e">
        <f>#REF!</f>
        <v>#REF!</v>
      </c>
      <c r="Z230" s="231" t="e">
        <f>#REF!</f>
        <v>#REF!</v>
      </c>
      <c r="AA230" s="231" t="e">
        <f>#REF!</f>
        <v>#REF!</v>
      </c>
      <c r="AB230" s="231">
        <v>0</v>
      </c>
      <c r="AC230" s="231" t="e">
        <f>#REF!</f>
        <v>#REF!</v>
      </c>
      <c r="AD230" s="231" t="e">
        <f>#REF!</f>
        <v>#REF!</v>
      </c>
      <c r="AE230" s="231" t="e">
        <f>#REF!</f>
        <v>#REF!</v>
      </c>
      <c r="AF230" s="231" t="e">
        <f>[1]April!N52</f>
        <v>#REF!</v>
      </c>
      <c r="AG230" s="231" t="e">
        <f>[2]april!N52</f>
        <v>#REF!</v>
      </c>
      <c r="AH230" s="231">
        <f>'[3]DES SKPD'!$N52</f>
        <v>73668000</v>
      </c>
      <c r="AI230" s="231">
        <f>SUM(AI231:AI240)</f>
        <v>41975000</v>
      </c>
      <c r="AJ230" s="233">
        <f t="shared" si="73"/>
        <v>31.962687987816484</v>
      </c>
      <c r="AK230" s="231">
        <f t="shared" si="67"/>
        <v>89350000</v>
      </c>
      <c r="AL230" s="233">
        <f t="shared" si="74"/>
        <v>68.03731201218352</v>
      </c>
      <c r="AM230" s="227"/>
    </row>
    <row r="231" spans="1:39" ht="24.75" customHeight="1" x14ac:dyDescent="0.25">
      <c r="A231" s="243"/>
      <c r="B231" s="457"/>
      <c r="C231" s="457"/>
      <c r="D231" s="457"/>
      <c r="E231" s="457"/>
      <c r="F231" s="457"/>
      <c r="G231" s="457"/>
      <c r="H231" s="457"/>
      <c r="I231" s="458"/>
      <c r="J231" s="457" t="s">
        <v>273</v>
      </c>
      <c r="K231" s="245"/>
      <c r="L231" s="257"/>
      <c r="M231" s="597" t="s">
        <v>322</v>
      </c>
      <c r="N231" s="598"/>
      <c r="O231" s="299"/>
      <c r="P231" s="180"/>
      <c r="Q231" s="180">
        <v>4600000</v>
      </c>
      <c r="R231" s="181">
        <f t="shared" ref="R231:R240" si="79">Q231/Q$230*100</f>
        <v>3.5027603274319441</v>
      </c>
      <c r="S231" s="181">
        <v>100</v>
      </c>
      <c r="T231" s="180">
        <f t="shared" si="72"/>
        <v>0</v>
      </c>
      <c r="U231" s="180">
        <f t="shared" ref="U231:U301" si="80">R231*T231/100</f>
        <v>0</v>
      </c>
      <c r="V231" s="182">
        <f t="shared" si="77"/>
        <v>100</v>
      </c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>
        <v>0</v>
      </c>
      <c r="AJ231" s="181">
        <f t="shared" si="73"/>
        <v>0</v>
      </c>
      <c r="AK231" s="180">
        <f t="shared" si="67"/>
        <v>4600000</v>
      </c>
      <c r="AL231" s="181">
        <f t="shared" si="74"/>
        <v>100</v>
      </c>
      <c r="AM231" s="243"/>
    </row>
    <row r="232" spans="1:39" ht="24.75" customHeight="1" x14ac:dyDescent="0.25">
      <c r="A232" s="243"/>
      <c r="B232" s="457"/>
      <c r="C232" s="457"/>
      <c r="D232" s="457"/>
      <c r="E232" s="457"/>
      <c r="F232" s="457"/>
      <c r="G232" s="457"/>
      <c r="H232" s="457"/>
      <c r="I232" s="458"/>
      <c r="J232" s="457" t="s">
        <v>323</v>
      </c>
      <c r="K232" s="245"/>
      <c r="L232" s="257"/>
      <c r="M232" s="597" t="s">
        <v>324</v>
      </c>
      <c r="N232" s="598"/>
      <c r="O232" s="299"/>
      <c r="P232" s="180"/>
      <c r="Q232" s="180">
        <v>13776000</v>
      </c>
      <c r="R232" s="181">
        <f t="shared" si="79"/>
        <v>10.490005711022272</v>
      </c>
      <c r="S232" s="181">
        <v>100</v>
      </c>
      <c r="T232" s="180">
        <f t="shared" si="72"/>
        <v>0</v>
      </c>
      <c r="U232" s="180">
        <f t="shared" si="80"/>
        <v>0</v>
      </c>
      <c r="V232" s="182">
        <f t="shared" si="77"/>
        <v>100</v>
      </c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>
        <v>0</v>
      </c>
      <c r="AJ232" s="181">
        <f t="shared" si="73"/>
        <v>0</v>
      </c>
      <c r="AK232" s="180">
        <f t="shared" si="67"/>
        <v>13776000</v>
      </c>
      <c r="AL232" s="181">
        <f t="shared" si="74"/>
        <v>100</v>
      </c>
      <c r="AM232" s="243"/>
    </row>
    <row r="233" spans="1:39" ht="24.75" customHeight="1" x14ac:dyDescent="0.25">
      <c r="A233" s="243"/>
      <c r="B233" s="457"/>
      <c r="C233" s="457"/>
      <c r="D233" s="457"/>
      <c r="E233" s="457"/>
      <c r="F233" s="457"/>
      <c r="G233" s="457"/>
      <c r="H233" s="457"/>
      <c r="I233" s="458"/>
      <c r="J233" s="457" t="s">
        <v>269</v>
      </c>
      <c r="K233" s="245"/>
      <c r="L233" s="257"/>
      <c r="M233" s="597" t="s">
        <v>270</v>
      </c>
      <c r="N233" s="598"/>
      <c r="O233" s="299"/>
      <c r="P233" s="180"/>
      <c r="Q233" s="180">
        <v>4000000</v>
      </c>
      <c r="R233" s="181">
        <f t="shared" si="79"/>
        <v>3.0458785455929944</v>
      </c>
      <c r="S233" s="181">
        <v>100</v>
      </c>
      <c r="T233" s="180">
        <f t="shared" si="72"/>
        <v>0</v>
      </c>
      <c r="U233" s="180">
        <f t="shared" si="80"/>
        <v>0</v>
      </c>
      <c r="V233" s="182">
        <f t="shared" si="77"/>
        <v>100</v>
      </c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>
        <v>0</v>
      </c>
      <c r="AJ233" s="181">
        <f t="shared" si="73"/>
        <v>0</v>
      </c>
      <c r="AK233" s="180">
        <f t="shared" si="67"/>
        <v>4000000</v>
      </c>
      <c r="AL233" s="181">
        <f t="shared" si="74"/>
        <v>100</v>
      </c>
      <c r="AM233" s="243"/>
    </row>
    <row r="234" spans="1:39" ht="24.75" customHeight="1" x14ac:dyDescent="0.25">
      <c r="A234" s="243"/>
      <c r="B234" s="457"/>
      <c r="C234" s="457"/>
      <c r="D234" s="457"/>
      <c r="E234" s="457"/>
      <c r="F234" s="457"/>
      <c r="G234" s="457"/>
      <c r="H234" s="457"/>
      <c r="I234" s="458"/>
      <c r="J234" s="457" t="s">
        <v>315</v>
      </c>
      <c r="K234" s="245"/>
      <c r="L234" s="257"/>
      <c r="M234" s="597" t="s">
        <v>271</v>
      </c>
      <c r="N234" s="598"/>
      <c r="O234" s="299"/>
      <c r="P234" s="180"/>
      <c r="Q234" s="180">
        <v>2889000</v>
      </c>
      <c r="R234" s="181">
        <f t="shared" si="79"/>
        <v>2.1998857795545406</v>
      </c>
      <c r="S234" s="181">
        <v>100</v>
      </c>
      <c r="T234" s="180">
        <f t="shared" si="72"/>
        <v>18.172377985462099</v>
      </c>
      <c r="U234" s="180">
        <f t="shared" si="80"/>
        <v>0.39977155910908058</v>
      </c>
      <c r="V234" s="182">
        <f t="shared" si="77"/>
        <v>81.827622014537894</v>
      </c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>
        <v>525000</v>
      </c>
      <c r="AJ234" s="181">
        <f t="shared" si="73"/>
        <v>18.172377985462099</v>
      </c>
      <c r="AK234" s="180">
        <f t="shared" si="67"/>
        <v>2364000</v>
      </c>
      <c r="AL234" s="181">
        <f t="shared" si="74"/>
        <v>81.827622014537909</v>
      </c>
      <c r="AM234" s="243"/>
    </row>
    <row r="235" spans="1:39" ht="24.75" customHeight="1" x14ac:dyDescent="0.25">
      <c r="A235" s="243"/>
      <c r="B235" s="457"/>
      <c r="C235" s="457"/>
      <c r="D235" s="457"/>
      <c r="E235" s="457"/>
      <c r="F235" s="457"/>
      <c r="G235" s="457"/>
      <c r="H235" s="457"/>
      <c r="I235" s="458"/>
      <c r="J235" s="457" t="s">
        <v>328</v>
      </c>
      <c r="K235" s="245"/>
      <c r="L235" s="257"/>
      <c r="M235" s="597" t="s">
        <v>329</v>
      </c>
      <c r="N235" s="598"/>
      <c r="O235" s="299"/>
      <c r="P235" s="180"/>
      <c r="Q235" s="180">
        <v>47750000</v>
      </c>
      <c r="R235" s="181">
        <f t="shared" si="79"/>
        <v>36.360175138016373</v>
      </c>
      <c r="S235" s="181">
        <v>100</v>
      </c>
      <c r="T235" s="180">
        <f t="shared" si="72"/>
        <v>58.638743455497377</v>
      </c>
      <c r="U235" s="180">
        <f t="shared" si="80"/>
        <v>21.321149819150961</v>
      </c>
      <c r="V235" s="182">
        <f t="shared" si="77"/>
        <v>41.361256544502623</v>
      </c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>
        <v>28000000</v>
      </c>
      <c r="AJ235" s="181">
        <f t="shared" si="73"/>
        <v>58.638743455497377</v>
      </c>
      <c r="AK235" s="180">
        <f t="shared" si="67"/>
        <v>19750000</v>
      </c>
      <c r="AL235" s="181">
        <f t="shared" si="74"/>
        <v>41.361256544502616</v>
      </c>
      <c r="AM235" s="243"/>
    </row>
    <row r="236" spans="1:39" ht="24.75" customHeight="1" x14ac:dyDescent="0.25">
      <c r="A236" s="243"/>
      <c r="B236" s="457"/>
      <c r="C236" s="457"/>
      <c r="D236" s="457"/>
      <c r="E236" s="457"/>
      <c r="F236" s="457"/>
      <c r="G236" s="457"/>
      <c r="H236" s="457"/>
      <c r="I236" s="458"/>
      <c r="J236" s="457" t="s">
        <v>280</v>
      </c>
      <c r="K236" s="245"/>
      <c r="L236" s="257"/>
      <c r="M236" s="597" t="s">
        <v>281</v>
      </c>
      <c r="N236" s="598"/>
      <c r="O236" s="299"/>
      <c r="P236" s="180"/>
      <c r="Q236" s="180">
        <v>15750000</v>
      </c>
      <c r="R236" s="181">
        <f t="shared" si="79"/>
        <v>11.993146773272416</v>
      </c>
      <c r="S236" s="181">
        <v>100</v>
      </c>
      <c r="T236" s="180">
        <f t="shared" si="72"/>
        <v>14.285714285714285</v>
      </c>
      <c r="U236" s="180">
        <f t="shared" si="80"/>
        <v>1.7133066818960594</v>
      </c>
      <c r="V236" s="182">
        <f t="shared" si="77"/>
        <v>85.714285714285722</v>
      </c>
      <c r="W236" s="180"/>
      <c r="X236" s="180"/>
      <c r="Y236" s="180"/>
      <c r="Z236" s="180"/>
      <c r="AA236" s="180"/>
      <c r="AB236" s="180"/>
      <c r="AC236" s="180"/>
      <c r="AD236" s="180"/>
      <c r="AE236" s="180"/>
      <c r="AF236" s="180"/>
      <c r="AG236" s="180"/>
      <c r="AH236" s="180"/>
      <c r="AI236" s="180">
        <v>2250000</v>
      </c>
      <c r="AJ236" s="181">
        <f t="shared" si="73"/>
        <v>14.285714285714285</v>
      </c>
      <c r="AK236" s="180">
        <f t="shared" si="67"/>
        <v>13500000</v>
      </c>
      <c r="AL236" s="181">
        <f t="shared" si="74"/>
        <v>85.714285714285708</v>
      </c>
      <c r="AM236" s="243"/>
    </row>
    <row r="237" spans="1:39" ht="24.75" customHeight="1" x14ac:dyDescent="0.25">
      <c r="A237" s="243"/>
      <c r="B237" s="457"/>
      <c r="C237" s="457"/>
      <c r="D237" s="457"/>
      <c r="E237" s="457"/>
      <c r="F237" s="457"/>
      <c r="G237" s="457"/>
      <c r="H237" s="457"/>
      <c r="I237" s="458"/>
      <c r="J237" s="457" t="s">
        <v>284</v>
      </c>
      <c r="K237" s="245"/>
      <c r="L237" s="257"/>
      <c r="M237" s="597" t="s">
        <v>585</v>
      </c>
      <c r="N237" s="598"/>
      <c r="O237" s="299"/>
      <c r="P237" s="180"/>
      <c r="Q237" s="180">
        <v>5550000</v>
      </c>
      <c r="R237" s="181">
        <f t="shared" si="79"/>
        <v>4.2261564820102802</v>
      </c>
      <c r="S237" s="181">
        <v>100</v>
      </c>
      <c r="T237" s="180">
        <f t="shared" si="72"/>
        <v>49.549549549549546</v>
      </c>
      <c r="U237" s="180">
        <f t="shared" si="80"/>
        <v>2.0940415000951837</v>
      </c>
      <c r="V237" s="182">
        <f t="shared" si="77"/>
        <v>50.450450450450454</v>
      </c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>
        <v>2750000</v>
      </c>
      <c r="AJ237" s="181">
        <f t="shared" si="73"/>
        <v>49.549549549549546</v>
      </c>
      <c r="AK237" s="180">
        <f t="shared" si="67"/>
        <v>2800000</v>
      </c>
      <c r="AL237" s="181">
        <f t="shared" si="74"/>
        <v>50.450450450450447</v>
      </c>
      <c r="AM237" s="243"/>
    </row>
    <row r="238" spans="1:39" ht="24.75" customHeight="1" x14ac:dyDescent="0.25">
      <c r="A238" s="243"/>
      <c r="B238" s="457"/>
      <c r="C238" s="457"/>
      <c r="D238" s="457"/>
      <c r="E238" s="457"/>
      <c r="F238" s="457"/>
      <c r="G238" s="457"/>
      <c r="H238" s="457"/>
      <c r="I238" s="458"/>
      <c r="J238" s="457" t="s">
        <v>282</v>
      </c>
      <c r="K238" s="245"/>
      <c r="L238" s="257"/>
      <c r="M238" s="597" t="s">
        <v>503</v>
      </c>
      <c r="N238" s="598"/>
      <c r="O238" s="299"/>
      <c r="P238" s="180"/>
      <c r="Q238" s="180">
        <v>21160000</v>
      </c>
      <c r="R238" s="181">
        <f t="shared" si="79"/>
        <v>16.11269750618694</v>
      </c>
      <c r="S238" s="181">
        <v>100</v>
      </c>
      <c r="T238" s="180">
        <f t="shared" si="72"/>
        <v>0</v>
      </c>
      <c r="U238" s="180">
        <f t="shared" si="80"/>
        <v>0</v>
      </c>
      <c r="V238" s="182">
        <f t="shared" si="77"/>
        <v>100</v>
      </c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180"/>
      <c r="AI238" s="180">
        <v>0</v>
      </c>
      <c r="AJ238" s="181">
        <f t="shared" si="73"/>
        <v>0</v>
      </c>
      <c r="AK238" s="180">
        <f t="shared" si="67"/>
        <v>21160000</v>
      </c>
      <c r="AL238" s="181">
        <f t="shared" si="74"/>
        <v>100</v>
      </c>
      <c r="AM238" s="243"/>
    </row>
    <row r="239" spans="1:39" ht="24.75" customHeight="1" x14ac:dyDescent="0.25">
      <c r="A239" s="243"/>
      <c r="B239" s="457"/>
      <c r="C239" s="457"/>
      <c r="D239" s="457"/>
      <c r="E239" s="457"/>
      <c r="F239" s="457"/>
      <c r="G239" s="457"/>
      <c r="H239" s="457"/>
      <c r="I239" s="458"/>
      <c r="J239" s="457" t="s">
        <v>320</v>
      </c>
      <c r="K239" s="245"/>
      <c r="L239" s="257"/>
      <c r="M239" s="597" t="s">
        <v>321</v>
      </c>
      <c r="N239" s="598"/>
      <c r="O239" s="299"/>
      <c r="P239" s="180"/>
      <c r="Q239" s="180">
        <v>11200000</v>
      </c>
      <c r="R239" s="181">
        <f t="shared" si="79"/>
        <v>8.5284599276603839</v>
      </c>
      <c r="S239" s="181">
        <v>100</v>
      </c>
      <c r="T239" s="180">
        <f t="shared" si="72"/>
        <v>33.928571428571431</v>
      </c>
      <c r="U239" s="180">
        <f t="shared" si="80"/>
        <v>2.8935846183133447</v>
      </c>
      <c r="V239" s="182">
        <f t="shared" si="77"/>
        <v>66.071428571428569</v>
      </c>
      <c r="W239" s="180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80"/>
      <c r="AH239" s="180"/>
      <c r="AI239" s="180">
        <v>3800000</v>
      </c>
      <c r="AJ239" s="181">
        <f t="shared" si="73"/>
        <v>33.928571428571431</v>
      </c>
      <c r="AK239" s="180">
        <f t="shared" si="67"/>
        <v>7400000</v>
      </c>
      <c r="AL239" s="181">
        <f t="shared" si="74"/>
        <v>66.071428571428569</v>
      </c>
      <c r="AM239" s="243"/>
    </row>
    <row r="240" spans="1:39" ht="24.75" customHeight="1" x14ac:dyDescent="0.25">
      <c r="A240" s="243"/>
      <c r="B240" s="457"/>
      <c r="C240" s="457"/>
      <c r="D240" s="457"/>
      <c r="E240" s="457"/>
      <c r="F240" s="457"/>
      <c r="G240" s="457"/>
      <c r="H240" s="457"/>
      <c r="I240" s="458"/>
      <c r="J240" s="457" t="s">
        <v>407</v>
      </c>
      <c r="K240" s="245"/>
      <c r="L240" s="257"/>
      <c r="M240" s="597" t="s">
        <v>595</v>
      </c>
      <c r="N240" s="598"/>
      <c r="O240" s="299"/>
      <c r="P240" s="180"/>
      <c r="Q240" s="180">
        <v>4650000</v>
      </c>
      <c r="R240" s="181">
        <f t="shared" si="79"/>
        <v>3.5408338092518559</v>
      </c>
      <c r="S240" s="181">
        <v>100</v>
      </c>
      <c r="T240" s="180">
        <f t="shared" si="72"/>
        <v>100</v>
      </c>
      <c r="U240" s="180">
        <f t="shared" si="80"/>
        <v>3.5408338092518559</v>
      </c>
      <c r="V240" s="182">
        <f t="shared" si="77"/>
        <v>0</v>
      </c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180"/>
      <c r="AI240" s="180">
        <v>4650000</v>
      </c>
      <c r="AJ240" s="181">
        <f t="shared" si="73"/>
        <v>100</v>
      </c>
      <c r="AK240" s="180">
        <f t="shared" si="67"/>
        <v>0</v>
      </c>
      <c r="AL240" s="181">
        <f t="shared" si="74"/>
        <v>0</v>
      </c>
      <c r="AM240" s="243"/>
    </row>
    <row r="241" spans="1:39" s="297" customFormat="1" ht="24.75" customHeight="1" x14ac:dyDescent="0.25">
      <c r="A241" s="227">
        <f>A230+1</f>
        <v>35</v>
      </c>
      <c r="B241" s="618" t="s">
        <v>144</v>
      </c>
      <c r="C241" s="615"/>
      <c r="D241" s="615"/>
      <c r="E241" s="615"/>
      <c r="F241" s="615"/>
      <c r="G241" s="615"/>
      <c r="H241" s="615"/>
      <c r="I241" s="614"/>
      <c r="J241" s="304" t="s">
        <v>596</v>
      </c>
      <c r="K241" s="230"/>
      <c r="L241" s="294"/>
      <c r="M241" s="615" t="s">
        <v>639</v>
      </c>
      <c r="N241" s="614"/>
      <c r="O241" s="295">
        <v>85915000</v>
      </c>
      <c r="P241" s="231">
        <f>O241</f>
        <v>85915000</v>
      </c>
      <c r="Q241" s="231">
        <f>SUM(Q242:Q247)</f>
        <v>48040000</v>
      </c>
      <c r="R241" s="233">
        <f>Q241/Q$180*100</f>
        <v>3.5372988470444637</v>
      </c>
      <c r="S241" s="233">
        <v>100</v>
      </c>
      <c r="T241" s="231">
        <f>AJ241</f>
        <v>12.489592006661116</v>
      </c>
      <c r="U241" s="231">
        <f>R241*T241/100</f>
        <v>0.44179419405218118</v>
      </c>
      <c r="V241" s="296">
        <f t="shared" si="77"/>
        <v>87.510407993338887</v>
      </c>
      <c r="W241" s="231"/>
      <c r="X241" s="231" t="e">
        <f>#REF!</f>
        <v>#REF!</v>
      </c>
      <c r="Y241" s="231" t="e">
        <f>#REF!</f>
        <v>#REF!</v>
      </c>
      <c r="Z241" s="231" t="e">
        <f>#REF!</f>
        <v>#REF!</v>
      </c>
      <c r="AA241" s="231" t="e">
        <f>#REF!</f>
        <v>#REF!</v>
      </c>
      <c r="AB241" s="231">
        <v>0</v>
      </c>
      <c r="AC241" s="231" t="e">
        <f>#REF!</f>
        <v>#REF!</v>
      </c>
      <c r="AD241" s="231" t="e">
        <f>#REF!</f>
        <v>#REF!</v>
      </c>
      <c r="AE241" s="231" t="e">
        <f>#REF!</f>
        <v>#REF!</v>
      </c>
      <c r="AF241" s="231" t="e">
        <f>[1]April!N63</f>
        <v>#REF!</v>
      </c>
      <c r="AG241" s="231" t="e">
        <f>[2]april!N63</f>
        <v>#REF!</v>
      </c>
      <c r="AH241" s="231">
        <f>'[3]DES SKPD'!$N63</f>
        <v>174573000</v>
      </c>
      <c r="AI241" s="231">
        <f>SUM(AI242:AI247)</f>
        <v>6000000</v>
      </c>
      <c r="AJ241" s="233">
        <f>AI241/Q241*100</f>
        <v>12.489592006661116</v>
      </c>
      <c r="AK241" s="231">
        <f t="shared" si="67"/>
        <v>42040000</v>
      </c>
      <c r="AL241" s="233">
        <f t="shared" si="74"/>
        <v>87.510407993338873</v>
      </c>
      <c r="AM241" s="227"/>
    </row>
    <row r="242" spans="1:39" ht="24.75" customHeight="1" x14ac:dyDescent="0.25">
      <c r="A242" s="243"/>
      <c r="B242" s="457"/>
      <c r="C242" s="457"/>
      <c r="D242" s="457"/>
      <c r="E242" s="457"/>
      <c r="F242" s="457"/>
      <c r="G242" s="457"/>
      <c r="H242" s="457"/>
      <c r="I242" s="458"/>
      <c r="J242" s="457" t="s">
        <v>273</v>
      </c>
      <c r="K242" s="245"/>
      <c r="L242" s="257"/>
      <c r="M242" s="597" t="s">
        <v>322</v>
      </c>
      <c r="N242" s="598"/>
      <c r="O242" s="299"/>
      <c r="P242" s="180"/>
      <c r="Q242" s="180">
        <v>12400000</v>
      </c>
      <c r="R242" s="181">
        <f t="shared" ref="R242:R247" si="81">Q242/Q$230*100</f>
        <v>9.4422234913382841</v>
      </c>
      <c r="S242" s="181">
        <v>100</v>
      </c>
      <c r="T242" s="180">
        <f t="shared" ref="T242:T247" si="82">AJ242</f>
        <v>0</v>
      </c>
      <c r="U242" s="180">
        <f t="shared" ref="U242:U247" si="83">R242*T242/100</f>
        <v>0</v>
      </c>
      <c r="V242" s="182">
        <f t="shared" si="77"/>
        <v>100</v>
      </c>
      <c r="W242" s="180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180"/>
      <c r="AI242" s="180">
        <v>0</v>
      </c>
      <c r="AJ242" s="181">
        <f t="shared" ref="AJ242:AJ247" si="84">AI242/Q242*100</f>
        <v>0</v>
      </c>
      <c r="AK242" s="180">
        <f t="shared" si="67"/>
        <v>12400000</v>
      </c>
      <c r="AL242" s="181">
        <f t="shared" si="74"/>
        <v>100</v>
      </c>
      <c r="AM242" s="243"/>
    </row>
    <row r="243" spans="1:39" ht="24.75" customHeight="1" x14ac:dyDescent="0.25">
      <c r="A243" s="243"/>
      <c r="B243" s="457"/>
      <c r="C243" s="457"/>
      <c r="D243" s="457"/>
      <c r="E243" s="457"/>
      <c r="F243" s="457"/>
      <c r="G243" s="457"/>
      <c r="H243" s="457"/>
      <c r="I243" s="458"/>
      <c r="J243" s="457" t="s">
        <v>315</v>
      </c>
      <c r="K243" s="245"/>
      <c r="L243" s="257"/>
      <c r="M243" s="597" t="s">
        <v>599</v>
      </c>
      <c r="N243" s="598"/>
      <c r="O243" s="299"/>
      <c r="P243" s="180"/>
      <c r="Q243" s="180">
        <v>1000000</v>
      </c>
      <c r="R243" s="181">
        <f t="shared" si="81"/>
        <v>0.76146963639824861</v>
      </c>
      <c r="S243" s="181">
        <v>100</v>
      </c>
      <c r="T243" s="180">
        <f t="shared" si="82"/>
        <v>0</v>
      </c>
      <c r="U243" s="180">
        <f t="shared" si="83"/>
        <v>0</v>
      </c>
      <c r="V243" s="182">
        <f t="shared" si="77"/>
        <v>100</v>
      </c>
      <c r="W243" s="180"/>
      <c r="X243" s="180"/>
      <c r="Y243" s="180"/>
      <c r="Z243" s="180"/>
      <c r="AA243" s="180"/>
      <c r="AB243" s="180"/>
      <c r="AC243" s="180"/>
      <c r="AD243" s="180"/>
      <c r="AE243" s="180"/>
      <c r="AF243" s="180"/>
      <c r="AG243" s="180"/>
      <c r="AH243" s="180"/>
      <c r="AI243" s="180">
        <v>0</v>
      </c>
      <c r="AJ243" s="181">
        <f t="shared" si="84"/>
        <v>0</v>
      </c>
      <c r="AK243" s="180">
        <f t="shared" si="67"/>
        <v>1000000</v>
      </c>
      <c r="AL243" s="181">
        <f t="shared" si="74"/>
        <v>100</v>
      </c>
      <c r="AM243" s="243"/>
    </row>
    <row r="244" spans="1:39" ht="24.75" customHeight="1" x14ac:dyDescent="0.25">
      <c r="A244" s="243"/>
      <c r="B244" s="457"/>
      <c r="C244" s="457"/>
      <c r="D244" s="457"/>
      <c r="E244" s="457"/>
      <c r="F244" s="457"/>
      <c r="G244" s="457"/>
      <c r="H244" s="457"/>
      <c r="I244" s="458"/>
      <c r="J244" s="457" t="s">
        <v>318</v>
      </c>
      <c r="K244" s="245"/>
      <c r="L244" s="257"/>
      <c r="M244" s="597" t="s">
        <v>319</v>
      </c>
      <c r="N244" s="598"/>
      <c r="O244" s="299"/>
      <c r="P244" s="180"/>
      <c r="Q244" s="180">
        <v>14000000</v>
      </c>
      <c r="R244" s="181">
        <f t="shared" si="81"/>
        <v>10.66057490957548</v>
      </c>
      <c r="S244" s="181">
        <v>100</v>
      </c>
      <c r="T244" s="180">
        <f t="shared" si="82"/>
        <v>0</v>
      </c>
      <c r="U244" s="180">
        <f>R244*T244/100</f>
        <v>0</v>
      </c>
      <c r="V244" s="182">
        <f t="shared" si="77"/>
        <v>100</v>
      </c>
      <c r="W244" s="180"/>
      <c r="X244" s="180"/>
      <c r="Y244" s="180"/>
      <c r="Z244" s="180"/>
      <c r="AA244" s="180"/>
      <c r="AB244" s="180"/>
      <c r="AC244" s="180"/>
      <c r="AD244" s="180"/>
      <c r="AE244" s="180"/>
      <c r="AF244" s="180"/>
      <c r="AG244" s="180"/>
      <c r="AH244" s="180"/>
      <c r="AI244" s="180">
        <v>0</v>
      </c>
      <c r="AJ244" s="181">
        <f t="shared" si="84"/>
        <v>0</v>
      </c>
      <c r="AK244" s="180">
        <f t="shared" si="67"/>
        <v>14000000</v>
      </c>
      <c r="AL244" s="181">
        <f t="shared" si="74"/>
        <v>100</v>
      </c>
      <c r="AM244" s="243"/>
    </row>
    <row r="245" spans="1:39" ht="24.75" customHeight="1" x14ac:dyDescent="0.25">
      <c r="A245" s="243"/>
      <c r="B245" s="457"/>
      <c r="C245" s="457"/>
      <c r="D245" s="457"/>
      <c r="E245" s="457"/>
      <c r="F245" s="457"/>
      <c r="G245" s="457"/>
      <c r="H245" s="457"/>
      <c r="I245" s="458"/>
      <c r="J245" s="457" t="s">
        <v>537</v>
      </c>
      <c r="K245" s="245"/>
      <c r="L245" s="257"/>
      <c r="M245" s="597" t="s">
        <v>600</v>
      </c>
      <c r="N245" s="598"/>
      <c r="O245" s="299"/>
      <c r="P245" s="180"/>
      <c r="Q245" s="180">
        <v>2640000</v>
      </c>
      <c r="R245" s="181">
        <f t="shared" si="81"/>
        <v>2.0102798400913762</v>
      </c>
      <c r="S245" s="181">
        <v>100</v>
      </c>
      <c r="T245" s="180">
        <f t="shared" si="82"/>
        <v>0</v>
      </c>
      <c r="U245" s="180">
        <f t="shared" si="83"/>
        <v>0</v>
      </c>
      <c r="V245" s="182">
        <f t="shared" si="77"/>
        <v>100</v>
      </c>
      <c r="W245" s="180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180"/>
      <c r="AI245" s="180">
        <v>0</v>
      </c>
      <c r="AJ245" s="181">
        <f t="shared" si="84"/>
        <v>0</v>
      </c>
      <c r="AK245" s="180">
        <f t="shared" si="67"/>
        <v>2640000</v>
      </c>
      <c r="AL245" s="181">
        <f t="shared" si="74"/>
        <v>100</v>
      </c>
      <c r="AM245" s="243"/>
    </row>
    <row r="246" spans="1:39" ht="24.75" customHeight="1" x14ac:dyDescent="0.25">
      <c r="A246" s="243"/>
      <c r="B246" s="457"/>
      <c r="C246" s="457"/>
      <c r="D246" s="457"/>
      <c r="E246" s="457"/>
      <c r="F246" s="457"/>
      <c r="G246" s="457"/>
      <c r="H246" s="457"/>
      <c r="I246" s="458"/>
      <c r="J246" s="457" t="s">
        <v>320</v>
      </c>
      <c r="K246" s="245"/>
      <c r="L246" s="257"/>
      <c r="M246" s="597" t="s">
        <v>321</v>
      </c>
      <c r="N246" s="598"/>
      <c r="O246" s="299"/>
      <c r="P246" s="180"/>
      <c r="Q246" s="180">
        <v>6000000</v>
      </c>
      <c r="R246" s="181">
        <f t="shared" si="81"/>
        <v>4.5688178183894914</v>
      </c>
      <c r="S246" s="181">
        <v>100</v>
      </c>
      <c r="T246" s="180">
        <f t="shared" si="82"/>
        <v>0</v>
      </c>
      <c r="U246" s="180">
        <f t="shared" si="83"/>
        <v>0</v>
      </c>
      <c r="V246" s="182">
        <f t="shared" si="77"/>
        <v>100</v>
      </c>
      <c r="W246" s="180"/>
      <c r="X246" s="180"/>
      <c r="Y246" s="180"/>
      <c r="Z246" s="180"/>
      <c r="AA246" s="180"/>
      <c r="AB246" s="180"/>
      <c r="AC246" s="180"/>
      <c r="AD246" s="180"/>
      <c r="AE246" s="180"/>
      <c r="AF246" s="180"/>
      <c r="AG246" s="180"/>
      <c r="AH246" s="180"/>
      <c r="AI246" s="180">
        <v>0</v>
      </c>
      <c r="AJ246" s="181">
        <f t="shared" si="84"/>
        <v>0</v>
      </c>
      <c r="AK246" s="180">
        <f t="shared" ref="AK246:AK247" si="85">Q246-AI246</f>
        <v>6000000</v>
      </c>
      <c r="AL246" s="181">
        <f t="shared" si="74"/>
        <v>100</v>
      </c>
      <c r="AM246" s="243"/>
    </row>
    <row r="247" spans="1:39" ht="24.75" customHeight="1" x14ac:dyDescent="0.25">
      <c r="A247" s="243"/>
      <c r="B247" s="457"/>
      <c r="C247" s="457"/>
      <c r="D247" s="457"/>
      <c r="E247" s="457"/>
      <c r="F247" s="457"/>
      <c r="G247" s="457"/>
      <c r="H247" s="457"/>
      <c r="I247" s="458"/>
      <c r="J247" s="457" t="s">
        <v>598</v>
      </c>
      <c r="K247" s="245"/>
      <c r="L247" s="257"/>
      <c r="M247" s="621" t="s">
        <v>550</v>
      </c>
      <c r="N247" s="622"/>
      <c r="O247" s="299"/>
      <c r="P247" s="180"/>
      <c r="Q247" s="180">
        <v>12000000</v>
      </c>
      <c r="R247" s="181">
        <f t="shared" si="81"/>
        <v>9.1376356367789828</v>
      </c>
      <c r="S247" s="181">
        <v>100</v>
      </c>
      <c r="T247" s="180">
        <f t="shared" si="82"/>
        <v>50</v>
      </c>
      <c r="U247" s="180">
        <f t="shared" si="83"/>
        <v>4.5688178183894914</v>
      </c>
      <c r="V247" s="182">
        <f t="shared" si="77"/>
        <v>50</v>
      </c>
      <c r="W247" s="180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>
        <f>3000000+1000000+1000000+1000000</f>
        <v>6000000</v>
      </c>
      <c r="AJ247" s="181">
        <f t="shared" si="84"/>
        <v>50</v>
      </c>
      <c r="AK247" s="180">
        <f t="shared" si="85"/>
        <v>6000000</v>
      </c>
      <c r="AL247" s="181">
        <f t="shared" si="74"/>
        <v>50</v>
      </c>
      <c r="AM247" s="243"/>
    </row>
    <row r="248" spans="1:39" s="226" customFormat="1" ht="27.75" customHeight="1" x14ac:dyDescent="0.25">
      <c r="A248" s="289" t="s">
        <v>38</v>
      </c>
      <c r="B248" s="607" t="s">
        <v>145</v>
      </c>
      <c r="C248" s="607"/>
      <c r="D248" s="607"/>
      <c r="E248" s="607"/>
      <c r="F248" s="607"/>
      <c r="G248" s="607"/>
      <c r="H248" s="607"/>
      <c r="I248" s="608"/>
      <c r="J248" s="463" t="s">
        <v>473</v>
      </c>
      <c r="K248" s="291"/>
      <c r="L248" s="607" t="s">
        <v>39</v>
      </c>
      <c r="M248" s="607"/>
      <c r="N248" s="608"/>
      <c r="O248" s="263" t="e">
        <f>SUM(O249:O680)</f>
        <v>#REF!</v>
      </c>
      <c r="P248" s="263" t="e">
        <f>SUM(P249:P680)</f>
        <v>#REF!</v>
      </c>
      <c r="Q248" s="263">
        <f>SUM(Q249+Q264+Q275+Q287+Q297+Q309+Q317+Q325+Q332+Q339+Q350+Q356+Q364+Q377+Q387+Q400+Q408+Q422+Q425+Q436+Q447+Q457+Q466+Q476+Q483+Q490+Q495+Q504+Q511+Q523+Q530+Q542+Q553+Q562+Q572+Q585+Q594+Q608+Q618+Q627+Q637+Q644+Q659+Q673)</f>
        <v>11927844735</v>
      </c>
      <c r="R248" s="222">
        <f>Q248/Q$35*100</f>
        <v>37.525168166976002</v>
      </c>
      <c r="S248" s="222">
        <f>S249</f>
        <v>100</v>
      </c>
      <c r="T248" s="263">
        <f>AJ248</f>
        <v>37.890227886169747</v>
      </c>
      <c r="U248" s="308">
        <f t="shared" si="80"/>
        <v>14.218371733135633</v>
      </c>
      <c r="V248" s="292">
        <f t="shared" si="77"/>
        <v>62.109772113830253</v>
      </c>
      <c r="W248" s="263">
        <f t="shared" ref="W248:AH248" si="86">SUM(W249:W680)</f>
        <v>0</v>
      </c>
      <c r="X248" s="263" t="e">
        <f t="shared" si="86"/>
        <v>#REF!</v>
      </c>
      <c r="Y248" s="263" t="e">
        <f t="shared" si="86"/>
        <v>#REF!</v>
      </c>
      <c r="Z248" s="263" t="e">
        <f t="shared" si="86"/>
        <v>#REF!</v>
      </c>
      <c r="AA248" s="263" t="e">
        <f t="shared" si="86"/>
        <v>#REF!</v>
      </c>
      <c r="AB248" s="263">
        <f t="shared" si="86"/>
        <v>4302660235</v>
      </c>
      <c r="AC248" s="263" t="e">
        <f t="shared" si="86"/>
        <v>#REF!</v>
      </c>
      <c r="AD248" s="263" t="e">
        <f t="shared" si="86"/>
        <v>#REF!</v>
      </c>
      <c r="AE248" s="263" t="e">
        <f t="shared" si="86"/>
        <v>#REF!</v>
      </c>
      <c r="AF248" s="263" t="e">
        <f t="shared" si="86"/>
        <v>#REF!</v>
      </c>
      <c r="AG248" s="263" t="e">
        <f t="shared" si="86"/>
        <v>#REF!</v>
      </c>
      <c r="AH248" s="263" t="e">
        <f t="shared" si="86"/>
        <v>#REF!</v>
      </c>
      <c r="AI248" s="263">
        <f>SUM(AI249+AI264+AI275+AI287+AI297+AI309+AI317+AI325+AI332+AI339+AI350+AI356+AI364+AI377+AI387+AI400+AI408+AI422+AI425+AI436+AI447+AI457+AI466+AI476+AI483+AI490+AI495+AI504+AI511+AI523+AI530+AI542+AI553+AI562+AI572+AI585+AI594+AI608+AI618+AI627+AI637+AI644+AI659+AI673)</f>
        <v>4519487552</v>
      </c>
      <c r="AJ248" s="222">
        <f>AI248/Q248*100</f>
        <v>37.890227886169747</v>
      </c>
      <c r="AK248" s="263">
        <f>SUM(Q248-AI248)</f>
        <v>7408357183</v>
      </c>
      <c r="AL248" s="222">
        <f t="shared" si="74"/>
        <v>62.109772113830253</v>
      </c>
      <c r="AM248" s="289"/>
    </row>
    <row r="249" spans="1:39" s="297" customFormat="1" ht="24.75" customHeight="1" x14ac:dyDescent="0.25">
      <c r="A249" s="227">
        <f>A241+1</f>
        <v>36</v>
      </c>
      <c r="B249" s="615" t="s">
        <v>146</v>
      </c>
      <c r="C249" s="615"/>
      <c r="D249" s="615"/>
      <c r="E249" s="615"/>
      <c r="F249" s="615"/>
      <c r="G249" s="615"/>
      <c r="H249" s="615"/>
      <c r="I249" s="614"/>
      <c r="J249" s="304" t="s">
        <v>479</v>
      </c>
      <c r="K249" s="230"/>
      <c r="L249" s="294"/>
      <c r="M249" s="609" t="s">
        <v>40</v>
      </c>
      <c r="N249" s="609"/>
      <c r="O249" s="309">
        <v>628725000</v>
      </c>
      <c r="P249" s="231">
        <f>O249</f>
        <v>628725000</v>
      </c>
      <c r="Q249" s="231">
        <f>SUM(Q250:Q263)</f>
        <v>462073720</v>
      </c>
      <c r="R249" s="233">
        <f>Q249/Q$248*100</f>
        <v>3.8739079042849394</v>
      </c>
      <c r="S249" s="233">
        <v>100</v>
      </c>
      <c r="T249" s="231">
        <f t="shared" si="72"/>
        <v>69.688273983640542</v>
      </c>
      <c r="U249" s="231">
        <f t="shared" si="80"/>
        <v>2.6996595542119959</v>
      </c>
      <c r="V249" s="296">
        <f t="shared" si="77"/>
        <v>30.311726016359458</v>
      </c>
      <c r="W249" s="231"/>
      <c r="X249" s="231" t="e">
        <f>#REF!</f>
        <v>#REF!</v>
      </c>
      <c r="Y249" s="231" t="e">
        <f>#REF!</f>
        <v>#REF!</v>
      </c>
      <c r="Z249" s="231" t="e">
        <f>#REF!</f>
        <v>#REF!</v>
      </c>
      <c r="AA249" s="231" t="e">
        <f>#REF!</f>
        <v>#REF!</v>
      </c>
      <c r="AB249" s="231">
        <v>391775000</v>
      </c>
      <c r="AC249" s="231" t="e">
        <f>#REF!</f>
        <v>#REF!</v>
      </c>
      <c r="AD249" s="231" t="e">
        <f>#REF!</f>
        <v>#REF!</v>
      </c>
      <c r="AE249" s="231" t="e">
        <f>#REF!</f>
        <v>#REF!</v>
      </c>
      <c r="AF249" s="231" t="e">
        <f>[1]April!N54</f>
        <v>#REF!</v>
      </c>
      <c r="AG249" s="231" t="e">
        <f>[2]april!N54</f>
        <v>#REF!</v>
      </c>
      <c r="AH249" s="231">
        <f>'[3]DES SKPD'!$N54</f>
        <v>508172500</v>
      </c>
      <c r="AI249" s="231">
        <f>SUM(AI250:AI263)</f>
        <v>322011200</v>
      </c>
      <c r="AJ249" s="233">
        <f t="shared" si="73"/>
        <v>69.688273983640542</v>
      </c>
      <c r="AK249" s="231">
        <f t="shared" ref="AK249:AK312" si="87">Q249-AI249</f>
        <v>140062520</v>
      </c>
      <c r="AL249" s="233">
        <f t="shared" si="74"/>
        <v>30.311726016359469</v>
      </c>
      <c r="AM249" s="227"/>
    </row>
    <row r="250" spans="1:39" ht="28.5" customHeight="1" x14ac:dyDescent="0.25">
      <c r="A250" s="243"/>
      <c r="B250" s="457"/>
      <c r="C250" s="457"/>
      <c r="D250" s="457"/>
      <c r="E250" s="457"/>
      <c r="F250" s="457"/>
      <c r="G250" s="457"/>
      <c r="H250" s="457"/>
      <c r="I250" s="458"/>
      <c r="J250" s="457" t="s">
        <v>259</v>
      </c>
      <c r="K250" s="245"/>
      <c r="L250" s="257"/>
      <c r="M250" s="591" t="s">
        <v>260</v>
      </c>
      <c r="N250" s="592"/>
      <c r="O250" s="179"/>
      <c r="P250" s="180"/>
      <c r="Q250" s="180">
        <v>3080000</v>
      </c>
      <c r="R250" s="181">
        <f t="shared" ref="R250:R261" si="88">Q250/Q$249*100</f>
        <v>0.66656030557202006</v>
      </c>
      <c r="S250" s="181">
        <v>100</v>
      </c>
      <c r="T250" s="180">
        <f>AJ250</f>
        <v>48.701298701298704</v>
      </c>
      <c r="U250" s="180">
        <f t="shared" si="80"/>
        <v>0.32462352544091888</v>
      </c>
      <c r="V250" s="182">
        <f t="shared" si="77"/>
        <v>51.298701298701296</v>
      </c>
      <c r="W250" s="180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180"/>
      <c r="AI250" s="180">
        <f>750000+750000</f>
        <v>1500000</v>
      </c>
      <c r="AJ250" s="181">
        <f t="shared" si="73"/>
        <v>48.701298701298704</v>
      </c>
      <c r="AK250" s="180">
        <f t="shared" si="87"/>
        <v>1580000</v>
      </c>
      <c r="AL250" s="181">
        <f t="shared" si="74"/>
        <v>51.298701298701296</v>
      </c>
      <c r="AM250" s="243"/>
    </row>
    <row r="251" spans="1:39" ht="24.75" customHeight="1" x14ac:dyDescent="0.25">
      <c r="A251" s="243"/>
      <c r="B251" s="457"/>
      <c r="C251" s="457"/>
      <c r="D251" s="457"/>
      <c r="E251" s="457"/>
      <c r="F251" s="457"/>
      <c r="G251" s="457"/>
      <c r="H251" s="457"/>
      <c r="I251" s="458"/>
      <c r="J251" s="457" t="s">
        <v>326</v>
      </c>
      <c r="K251" s="245"/>
      <c r="L251" s="257"/>
      <c r="M251" s="591" t="s">
        <v>327</v>
      </c>
      <c r="N251" s="592"/>
      <c r="O251" s="179"/>
      <c r="P251" s="180"/>
      <c r="Q251" s="180">
        <v>128800000</v>
      </c>
      <c r="R251" s="181">
        <f t="shared" si="88"/>
        <v>27.874340051193563</v>
      </c>
      <c r="S251" s="181">
        <v>100</v>
      </c>
      <c r="T251" s="180">
        <f t="shared" si="72"/>
        <v>75</v>
      </c>
      <c r="U251" s="180">
        <f t="shared" si="80"/>
        <v>20.905755038395174</v>
      </c>
      <c r="V251" s="182">
        <f t="shared" si="77"/>
        <v>25</v>
      </c>
      <c r="W251" s="180"/>
      <c r="X251" s="180"/>
      <c r="Y251" s="180"/>
      <c r="Z251" s="180"/>
      <c r="AA251" s="180"/>
      <c r="AB251" s="180"/>
      <c r="AC251" s="180"/>
      <c r="AD251" s="180"/>
      <c r="AE251" s="180"/>
      <c r="AF251" s="180"/>
      <c r="AG251" s="180"/>
      <c r="AH251" s="180"/>
      <c r="AI251" s="180">
        <f>64400000+32200000</f>
        <v>96600000</v>
      </c>
      <c r="AJ251" s="181">
        <f t="shared" si="73"/>
        <v>75</v>
      </c>
      <c r="AK251" s="180">
        <f t="shared" si="87"/>
        <v>32200000</v>
      </c>
      <c r="AL251" s="181">
        <f t="shared" si="74"/>
        <v>25</v>
      </c>
      <c r="AM251" s="243"/>
    </row>
    <row r="252" spans="1:39" ht="24.75" customHeight="1" x14ac:dyDescent="0.25">
      <c r="A252" s="243"/>
      <c r="B252" s="457"/>
      <c r="C252" s="457"/>
      <c r="D252" s="457"/>
      <c r="E252" s="457"/>
      <c r="F252" s="457"/>
      <c r="G252" s="457"/>
      <c r="H252" s="457"/>
      <c r="I252" s="458"/>
      <c r="J252" s="457" t="s">
        <v>323</v>
      </c>
      <c r="K252" s="245"/>
      <c r="L252" s="257"/>
      <c r="M252" s="591" t="s">
        <v>324</v>
      </c>
      <c r="N252" s="592"/>
      <c r="O252" s="179"/>
      <c r="P252" s="180"/>
      <c r="Q252" s="180">
        <v>3000000</v>
      </c>
      <c r="R252" s="181">
        <f t="shared" si="88"/>
        <v>0.64924705088183765</v>
      </c>
      <c r="S252" s="181">
        <v>100</v>
      </c>
      <c r="T252" s="180">
        <f t="shared" si="72"/>
        <v>57.199999999999996</v>
      </c>
      <c r="U252" s="180">
        <f t="shared" si="80"/>
        <v>0.37136931310441113</v>
      </c>
      <c r="V252" s="182">
        <f t="shared" si="77"/>
        <v>42.800000000000004</v>
      </c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180"/>
      <c r="AI252" s="180">
        <v>1716000</v>
      </c>
      <c r="AJ252" s="181">
        <f t="shared" si="73"/>
        <v>57.199999999999996</v>
      </c>
      <c r="AK252" s="180">
        <f t="shared" si="87"/>
        <v>1284000</v>
      </c>
      <c r="AL252" s="181">
        <f t="shared" si="74"/>
        <v>42.8</v>
      </c>
      <c r="AM252" s="243"/>
    </row>
    <row r="253" spans="1:39" ht="24.75" customHeight="1" x14ac:dyDescent="0.25">
      <c r="A253" s="243"/>
      <c r="B253" s="457"/>
      <c r="C253" s="457"/>
      <c r="D253" s="457"/>
      <c r="E253" s="457"/>
      <c r="F253" s="457"/>
      <c r="G253" s="457"/>
      <c r="H253" s="457"/>
      <c r="I253" s="458"/>
      <c r="J253" s="457" t="s">
        <v>269</v>
      </c>
      <c r="K253" s="245"/>
      <c r="L253" s="257"/>
      <c r="M253" s="591" t="s">
        <v>270</v>
      </c>
      <c r="N253" s="592"/>
      <c r="O253" s="179"/>
      <c r="P253" s="180"/>
      <c r="Q253" s="180">
        <v>52000000</v>
      </c>
      <c r="R253" s="181">
        <f t="shared" si="88"/>
        <v>11.253615548618519</v>
      </c>
      <c r="S253" s="181">
        <v>100</v>
      </c>
      <c r="T253" s="180">
        <f t="shared" si="72"/>
        <v>100</v>
      </c>
      <c r="U253" s="180">
        <f t="shared" si="80"/>
        <v>11.253615548618519</v>
      </c>
      <c r="V253" s="182">
        <f t="shared" si="77"/>
        <v>0</v>
      </c>
      <c r="W253" s="180"/>
      <c r="X253" s="180"/>
      <c r="Y253" s="180"/>
      <c r="Z253" s="180"/>
      <c r="AA253" s="180"/>
      <c r="AB253" s="180"/>
      <c r="AC253" s="180"/>
      <c r="AD253" s="180"/>
      <c r="AE253" s="180"/>
      <c r="AF253" s="180"/>
      <c r="AG253" s="180"/>
      <c r="AH253" s="180"/>
      <c r="AI253" s="180">
        <f>5000000+47000000</f>
        <v>52000000</v>
      </c>
      <c r="AJ253" s="181">
        <f t="shared" si="73"/>
        <v>100</v>
      </c>
      <c r="AK253" s="180">
        <f t="shared" si="87"/>
        <v>0</v>
      </c>
      <c r="AL253" s="181">
        <f t="shared" si="74"/>
        <v>0</v>
      </c>
      <c r="AM253" s="243"/>
    </row>
    <row r="254" spans="1:39" ht="24.75" customHeight="1" x14ac:dyDescent="0.25">
      <c r="A254" s="243"/>
      <c r="B254" s="457"/>
      <c r="C254" s="457"/>
      <c r="D254" s="457"/>
      <c r="E254" s="457"/>
      <c r="F254" s="457"/>
      <c r="G254" s="457"/>
      <c r="H254" s="457"/>
      <c r="I254" s="458"/>
      <c r="J254" s="457" t="s">
        <v>315</v>
      </c>
      <c r="K254" s="245"/>
      <c r="L254" s="257"/>
      <c r="M254" s="591" t="s">
        <v>271</v>
      </c>
      <c r="N254" s="592"/>
      <c r="O254" s="179"/>
      <c r="P254" s="180"/>
      <c r="Q254" s="180">
        <v>4000000</v>
      </c>
      <c r="R254" s="181">
        <f t="shared" si="88"/>
        <v>0.8656627345091169</v>
      </c>
      <c r="S254" s="181">
        <v>100</v>
      </c>
      <c r="T254" s="180">
        <f t="shared" si="72"/>
        <v>100</v>
      </c>
      <c r="U254" s="180">
        <f t="shared" si="80"/>
        <v>0.8656627345091169</v>
      </c>
      <c r="V254" s="182">
        <f t="shared" si="77"/>
        <v>0</v>
      </c>
      <c r="W254" s="180"/>
      <c r="X254" s="180"/>
      <c r="Y254" s="180"/>
      <c r="Z254" s="180"/>
      <c r="AA254" s="180"/>
      <c r="AB254" s="180"/>
      <c r="AC254" s="180"/>
      <c r="AD254" s="180"/>
      <c r="AE254" s="180"/>
      <c r="AF254" s="180"/>
      <c r="AG254" s="180"/>
      <c r="AH254" s="180"/>
      <c r="AI254" s="180">
        <f>2000000+2000000</f>
        <v>4000000</v>
      </c>
      <c r="AJ254" s="181">
        <f t="shared" si="73"/>
        <v>100</v>
      </c>
      <c r="AK254" s="180">
        <f t="shared" si="87"/>
        <v>0</v>
      </c>
      <c r="AL254" s="181">
        <f t="shared" si="74"/>
        <v>0</v>
      </c>
      <c r="AM254" s="243"/>
    </row>
    <row r="255" spans="1:39" ht="24.75" customHeight="1" x14ac:dyDescent="0.25">
      <c r="A255" s="243"/>
      <c r="B255" s="457"/>
      <c r="C255" s="457"/>
      <c r="D255" s="457"/>
      <c r="E255" s="457"/>
      <c r="F255" s="457"/>
      <c r="G255" s="457"/>
      <c r="H255" s="457"/>
      <c r="I255" s="458"/>
      <c r="J255" s="457" t="s">
        <v>328</v>
      </c>
      <c r="K255" s="245"/>
      <c r="L255" s="257"/>
      <c r="M255" s="591" t="s">
        <v>329</v>
      </c>
      <c r="N255" s="592"/>
      <c r="O255" s="179"/>
      <c r="P255" s="180"/>
      <c r="Q255" s="180">
        <v>20000000</v>
      </c>
      <c r="R255" s="181">
        <f t="shared" si="88"/>
        <v>4.3283136725455842</v>
      </c>
      <c r="S255" s="181">
        <v>100</v>
      </c>
      <c r="T255" s="180">
        <f t="shared" si="72"/>
        <v>50</v>
      </c>
      <c r="U255" s="180">
        <f t="shared" si="80"/>
        <v>2.1641568362727921</v>
      </c>
      <c r="V255" s="182">
        <f t="shared" si="77"/>
        <v>50</v>
      </c>
      <c r="W255" s="180"/>
      <c r="X255" s="180"/>
      <c r="Y255" s="180"/>
      <c r="Z255" s="180"/>
      <c r="AA255" s="180"/>
      <c r="AB255" s="180"/>
      <c r="AC255" s="180"/>
      <c r="AD255" s="180"/>
      <c r="AE255" s="180"/>
      <c r="AF255" s="180"/>
      <c r="AG255" s="180"/>
      <c r="AH255" s="180"/>
      <c r="AI255" s="180">
        <v>10000000</v>
      </c>
      <c r="AJ255" s="181">
        <f t="shared" si="73"/>
        <v>50</v>
      </c>
      <c r="AK255" s="180">
        <f t="shared" si="87"/>
        <v>10000000</v>
      </c>
      <c r="AL255" s="181">
        <f t="shared" si="74"/>
        <v>50</v>
      </c>
      <c r="AM255" s="243"/>
    </row>
    <row r="256" spans="1:39" ht="31.5" customHeight="1" x14ac:dyDescent="0.25">
      <c r="A256" s="243"/>
      <c r="B256" s="457"/>
      <c r="C256" s="457"/>
      <c r="D256" s="457"/>
      <c r="E256" s="457"/>
      <c r="F256" s="457"/>
      <c r="G256" s="457"/>
      <c r="H256" s="457"/>
      <c r="I256" s="458"/>
      <c r="J256" s="457" t="s">
        <v>318</v>
      </c>
      <c r="K256" s="245"/>
      <c r="L256" s="257"/>
      <c r="M256" s="591" t="s">
        <v>319</v>
      </c>
      <c r="N256" s="592"/>
      <c r="O256" s="179"/>
      <c r="P256" s="180"/>
      <c r="Q256" s="180">
        <v>61500000</v>
      </c>
      <c r="R256" s="181">
        <f t="shared" si="88"/>
        <v>13.30956454307767</v>
      </c>
      <c r="S256" s="181">
        <v>100</v>
      </c>
      <c r="T256" s="180">
        <f t="shared" si="72"/>
        <v>99.512195121951223</v>
      </c>
      <c r="U256" s="180">
        <f t="shared" si="80"/>
        <v>13.244639837989487</v>
      </c>
      <c r="V256" s="182">
        <f t="shared" si="77"/>
        <v>0.48780487804877737</v>
      </c>
      <c r="W256" s="180"/>
      <c r="X256" s="180"/>
      <c r="Y256" s="180"/>
      <c r="Z256" s="180"/>
      <c r="AA256" s="180"/>
      <c r="AB256" s="180"/>
      <c r="AC256" s="180"/>
      <c r="AD256" s="180"/>
      <c r="AE256" s="180"/>
      <c r="AF256" s="180"/>
      <c r="AG256" s="180"/>
      <c r="AH256" s="180"/>
      <c r="AI256" s="180">
        <f>48250000+12950000</f>
        <v>61200000</v>
      </c>
      <c r="AJ256" s="181">
        <f t="shared" si="73"/>
        <v>99.512195121951223</v>
      </c>
      <c r="AK256" s="180">
        <f t="shared" si="87"/>
        <v>300000</v>
      </c>
      <c r="AL256" s="181">
        <f t="shared" si="74"/>
        <v>0.48780487804878048</v>
      </c>
      <c r="AM256" s="243"/>
    </row>
    <row r="257" spans="1:39" ht="24.75" customHeight="1" x14ac:dyDescent="0.25">
      <c r="A257" s="243"/>
      <c r="B257" s="457"/>
      <c r="C257" s="457"/>
      <c r="D257" s="457"/>
      <c r="E257" s="457"/>
      <c r="F257" s="457"/>
      <c r="G257" s="457"/>
      <c r="H257" s="457"/>
      <c r="I257" s="458"/>
      <c r="J257" s="457" t="s">
        <v>280</v>
      </c>
      <c r="K257" s="245"/>
      <c r="L257" s="257"/>
      <c r="M257" s="591" t="s">
        <v>281</v>
      </c>
      <c r="N257" s="592"/>
      <c r="O257" s="179"/>
      <c r="P257" s="180"/>
      <c r="Q257" s="180">
        <v>15000000</v>
      </c>
      <c r="R257" s="181">
        <f t="shared" si="88"/>
        <v>3.2462352544091884</v>
      </c>
      <c r="S257" s="181">
        <v>100</v>
      </c>
      <c r="T257" s="180">
        <f t="shared" si="72"/>
        <v>33.333333333333329</v>
      </c>
      <c r="U257" s="180">
        <f t="shared" si="80"/>
        <v>1.082078418136396</v>
      </c>
      <c r="V257" s="182">
        <f t="shared" si="77"/>
        <v>66.666666666666671</v>
      </c>
      <c r="W257" s="180"/>
      <c r="X257" s="180"/>
      <c r="Y257" s="180"/>
      <c r="Z257" s="180"/>
      <c r="AA257" s="180"/>
      <c r="AB257" s="180"/>
      <c r="AC257" s="180"/>
      <c r="AD257" s="180"/>
      <c r="AE257" s="180"/>
      <c r="AF257" s="180"/>
      <c r="AG257" s="180"/>
      <c r="AH257" s="180"/>
      <c r="AI257" s="180">
        <v>5000000</v>
      </c>
      <c r="AJ257" s="181">
        <f t="shared" si="73"/>
        <v>33.333333333333329</v>
      </c>
      <c r="AK257" s="180">
        <f t="shared" si="87"/>
        <v>10000000</v>
      </c>
      <c r="AL257" s="181">
        <f t="shared" si="74"/>
        <v>66.666666666666657</v>
      </c>
      <c r="AM257" s="243"/>
    </row>
    <row r="258" spans="1:39" ht="24.75" customHeight="1" x14ac:dyDescent="0.25">
      <c r="A258" s="243"/>
      <c r="B258" s="457"/>
      <c r="C258" s="457"/>
      <c r="D258" s="457"/>
      <c r="E258" s="457"/>
      <c r="F258" s="457"/>
      <c r="G258" s="457"/>
      <c r="H258" s="457"/>
      <c r="I258" s="458"/>
      <c r="J258" s="457" t="s">
        <v>284</v>
      </c>
      <c r="K258" s="245"/>
      <c r="L258" s="257"/>
      <c r="M258" s="591" t="s">
        <v>285</v>
      </c>
      <c r="N258" s="592"/>
      <c r="O258" s="179"/>
      <c r="P258" s="180"/>
      <c r="Q258" s="180">
        <v>6600000</v>
      </c>
      <c r="R258" s="181">
        <f t="shared" si="88"/>
        <v>1.4283435119400427</v>
      </c>
      <c r="S258" s="181">
        <v>100</v>
      </c>
      <c r="T258" s="180">
        <f t="shared" si="72"/>
        <v>0</v>
      </c>
      <c r="U258" s="180">
        <f t="shared" si="80"/>
        <v>0</v>
      </c>
      <c r="V258" s="182">
        <f t="shared" si="77"/>
        <v>100</v>
      </c>
      <c r="W258" s="180"/>
      <c r="X258" s="180"/>
      <c r="Y258" s="180"/>
      <c r="Z258" s="180"/>
      <c r="AA258" s="180"/>
      <c r="AB258" s="180"/>
      <c r="AC258" s="180"/>
      <c r="AD258" s="180"/>
      <c r="AE258" s="180"/>
      <c r="AF258" s="180"/>
      <c r="AG258" s="180"/>
      <c r="AH258" s="180"/>
      <c r="AI258" s="180">
        <v>0</v>
      </c>
      <c r="AJ258" s="181">
        <f t="shared" si="73"/>
        <v>0</v>
      </c>
      <c r="AK258" s="180">
        <f t="shared" si="87"/>
        <v>6600000</v>
      </c>
      <c r="AL258" s="181">
        <f t="shared" si="74"/>
        <v>100</v>
      </c>
      <c r="AM258" s="243"/>
    </row>
    <row r="259" spans="1:39" ht="24.75" customHeight="1" x14ac:dyDescent="0.25">
      <c r="A259" s="243"/>
      <c r="B259" s="457"/>
      <c r="C259" s="457"/>
      <c r="D259" s="457"/>
      <c r="E259" s="457"/>
      <c r="F259" s="457"/>
      <c r="G259" s="457"/>
      <c r="H259" s="457"/>
      <c r="I259" s="458"/>
      <c r="J259" s="457" t="s">
        <v>282</v>
      </c>
      <c r="K259" s="245"/>
      <c r="L259" s="257"/>
      <c r="M259" s="591" t="s">
        <v>283</v>
      </c>
      <c r="N259" s="592"/>
      <c r="O259" s="179"/>
      <c r="P259" s="180"/>
      <c r="Q259" s="180">
        <v>33250000</v>
      </c>
      <c r="R259" s="181">
        <f t="shared" si="88"/>
        <v>7.1958214806070337</v>
      </c>
      <c r="S259" s="181">
        <v>100</v>
      </c>
      <c r="T259" s="180">
        <f t="shared" si="72"/>
        <v>94.000601503759398</v>
      </c>
      <c r="U259" s="180">
        <f t="shared" si="80"/>
        <v>6.7641154749073369</v>
      </c>
      <c r="V259" s="182">
        <f t="shared" si="77"/>
        <v>5.9993984962406017</v>
      </c>
      <c r="W259" s="180"/>
      <c r="X259" s="180"/>
      <c r="Y259" s="180"/>
      <c r="Z259" s="180"/>
      <c r="AA259" s="180"/>
      <c r="AB259" s="180"/>
      <c r="AC259" s="180"/>
      <c r="AD259" s="180"/>
      <c r="AE259" s="180"/>
      <c r="AF259" s="180"/>
      <c r="AG259" s="180"/>
      <c r="AH259" s="180"/>
      <c r="AI259" s="180">
        <f>15343500+15911700</f>
        <v>31255200</v>
      </c>
      <c r="AJ259" s="181">
        <f t="shared" si="73"/>
        <v>94.000601503759398</v>
      </c>
      <c r="AK259" s="180">
        <f t="shared" si="87"/>
        <v>1994800</v>
      </c>
      <c r="AL259" s="181">
        <f t="shared" si="74"/>
        <v>5.9993984962406017</v>
      </c>
      <c r="AM259" s="243"/>
    </row>
    <row r="260" spans="1:39" ht="24.75" customHeight="1" x14ac:dyDescent="0.25">
      <c r="A260" s="243"/>
      <c r="B260" s="457"/>
      <c r="C260" s="457"/>
      <c r="D260" s="457"/>
      <c r="E260" s="457"/>
      <c r="F260" s="457"/>
      <c r="G260" s="457"/>
      <c r="H260" s="457"/>
      <c r="I260" s="458"/>
      <c r="J260" s="457" t="s">
        <v>306</v>
      </c>
      <c r="K260" s="245"/>
      <c r="L260" s="257"/>
      <c r="M260" s="591" t="s">
        <v>325</v>
      </c>
      <c r="N260" s="592"/>
      <c r="O260" s="179"/>
      <c r="P260" s="180"/>
      <c r="Q260" s="180">
        <v>45000000</v>
      </c>
      <c r="R260" s="181">
        <f t="shared" si="88"/>
        <v>9.7387057632275642</v>
      </c>
      <c r="S260" s="181">
        <v>100</v>
      </c>
      <c r="T260" s="180">
        <f t="shared" si="72"/>
        <v>99.533333333333331</v>
      </c>
      <c r="U260" s="180">
        <f t="shared" si="80"/>
        <v>9.6932584696658353</v>
      </c>
      <c r="V260" s="182">
        <f t="shared" si="77"/>
        <v>0.46666666666666856</v>
      </c>
      <c r="W260" s="180"/>
      <c r="X260" s="180"/>
      <c r="Y260" s="180"/>
      <c r="Z260" s="180"/>
      <c r="AA260" s="180"/>
      <c r="AB260" s="180"/>
      <c r="AC260" s="180"/>
      <c r="AD260" s="180"/>
      <c r="AE260" s="180"/>
      <c r="AF260" s="180"/>
      <c r="AG260" s="180"/>
      <c r="AH260" s="180"/>
      <c r="AI260" s="180">
        <v>44790000</v>
      </c>
      <c r="AJ260" s="181">
        <f t="shared" si="73"/>
        <v>99.533333333333331</v>
      </c>
      <c r="AK260" s="180">
        <f t="shared" si="87"/>
        <v>210000</v>
      </c>
      <c r="AL260" s="181">
        <f t="shared" si="74"/>
        <v>0.46666666666666673</v>
      </c>
      <c r="AM260" s="243"/>
    </row>
    <row r="261" spans="1:39" ht="24.75" customHeight="1" x14ac:dyDescent="0.25">
      <c r="A261" s="243"/>
      <c r="B261" s="457"/>
      <c r="C261" s="457"/>
      <c r="D261" s="457"/>
      <c r="E261" s="457"/>
      <c r="F261" s="457"/>
      <c r="G261" s="457"/>
      <c r="H261" s="457"/>
      <c r="I261" s="458"/>
      <c r="J261" s="457" t="s">
        <v>379</v>
      </c>
      <c r="K261" s="245"/>
      <c r="L261" s="257"/>
      <c r="M261" s="591" t="s">
        <v>601</v>
      </c>
      <c r="N261" s="592"/>
      <c r="O261" s="179"/>
      <c r="P261" s="180"/>
      <c r="Q261" s="180">
        <v>31843720</v>
      </c>
      <c r="R261" s="181">
        <f t="shared" si="88"/>
        <v>6.8914804330356638</v>
      </c>
      <c r="S261" s="181">
        <v>100</v>
      </c>
      <c r="T261" s="180">
        <f t="shared" si="72"/>
        <v>16.957817742399442</v>
      </c>
      <c r="U261" s="180">
        <f t="shared" si="80"/>
        <v>1.1686446915873077</v>
      </c>
      <c r="V261" s="182">
        <f t="shared" si="77"/>
        <v>83.042182257600558</v>
      </c>
      <c r="W261" s="180"/>
      <c r="X261" s="180"/>
      <c r="Y261" s="180"/>
      <c r="Z261" s="180"/>
      <c r="AA261" s="180"/>
      <c r="AB261" s="180"/>
      <c r="AC261" s="180"/>
      <c r="AD261" s="180"/>
      <c r="AE261" s="180"/>
      <c r="AF261" s="180"/>
      <c r="AG261" s="180"/>
      <c r="AH261" s="180"/>
      <c r="AI261" s="180">
        <v>5400000</v>
      </c>
      <c r="AJ261" s="181">
        <f t="shared" si="73"/>
        <v>16.957817742399442</v>
      </c>
      <c r="AK261" s="180">
        <f t="shared" si="87"/>
        <v>26443720</v>
      </c>
      <c r="AL261" s="181">
        <f t="shared" si="74"/>
        <v>83.042182257600558</v>
      </c>
      <c r="AM261" s="243"/>
    </row>
    <row r="262" spans="1:39" ht="24.75" customHeight="1" x14ac:dyDescent="0.25">
      <c r="A262" s="243"/>
      <c r="B262" s="457"/>
      <c r="C262" s="457"/>
      <c r="D262" s="457"/>
      <c r="E262" s="457"/>
      <c r="F262" s="457"/>
      <c r="G262" s="457"/>
      <c r="H262" s="457"/>
      <c r="I262" s="458"/>
      <c r="J262" s="457" t="s">
        <v>380</v>
      </c>
      <c r="K262" s="245"/>
      <c r="L262" s="257"/>
      <c r="M262" s="591" t="s">
        <v>321</v>
      </c>
      <c r="N262" s="592"/>
      <c r="O262" s="179"/>
      <c r="P262" s="180"/>
      <c r="Q262" s="180">
        <v>40000000</v>
      </c>
      <c r="R262" s="181">
        <f>Q262/Q$249*100</f>
        <v>8.6566273450911684</v>
      </c>
      <c r="S262" s="181">
        <v>100</v>
      </c>
      <c r="T262" s="180">
        <f t="shared" si="72"/>
        <v>17.5</v>
      </c>
      <c r="U262" s="180">
        <f t="shared" si="80"/>
        <v>1.5149097853909543</v>
      </c>
      <c r="V262" s="182">
        <f t="shared" si="77"/>
        <v>82.5</v>
      </c>
      <c r="W262" s="180"/>
      <c r="X262" s="180"/>
      <c r="Y262" s="180"/>
      <c r="Z262" s="180"/>
      <c r="AA262" s="180"/>
      <c r="AB262" s="180"/>
      <c r="AC262" s="180"/>
      <c r="AD262" s="180"/>
      <c r="AE262" s="180"/>
      <c r="AF262" s="180"/>
      <c r="AG262" s="180"/>
      <c r="AH262" s="180"/>
      <c r="AI262" s="180">
        <f>5400000+1600000</f>
        <v>7000000</v>
      </c>
      <c r="AJ262" s="181">
        <f t="shared" si="73"/>
        <v>17.5</v>
      </c>
      <c r="AK262" s="180">
        <f t="shared" si="87"/>
        <v>33000000</v>
      </c>
      <c r="AL262" s="181">
        <f t="shared" si="74"/>
        <v>82.5</v>
      </c>
      <c r="AM262" s="243"/>
    </row>
    <row r="263" spans="1:39" ht="24.75" customHeight="1" x14ac:dyDescent="0.25">
      <c r="A263" s="243"/>
      <c r="B263" s="457"/>
      <c r="C263" s="457"/>
      <c r="D263" s="457"/>
      <c r="E263" s="457"/>
      <c r="F263" s="457"/>
      <c r="G263" s="457"/>
      <c r="H263" s="457"/>
      <c r="I263" s="458"/>
      <c r="J263" s="457" t="s">
        <v>413</v>
      </c>
      <c r="K263" s="245"/>
      <c r="L263" s="257"/>
      <c r="M263" s="591" t="s">
        <v>414</v>
      </c>
      <c r="N263" s="592"/>
      <c r="O263" s="179"/>
      <c r="P263" s="180"/>
      <c r="Q263" s="180">
        <v>18000000</v>
      </c>
      <c r="R263" s="181">
        <f>Q263/Q$249*100</f>
        <v>3.8954823052910257</v>
      </c>
      <c r="S263" s="181">
        <v>100</v>
      </c>
      <c r="T263" s="180">
        <f t="shared" si="72"/>
        <v>8.6111111111111107</v>
      </c>
      <c r="U263" s="180">
        <f t="shared" si="80"/>
        <v>0.33544430962228278</v>
      </c>
      <c r="V263" s="182">
        <f t="shared" si="77"/>
        <v>91.388888888888886</v>
      </c>
      <c r="W263" s="180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180"/>
      <c r="AI263" s="180">
        <v>1550000</v>
      </c>
      <c r="AJ263" s="181">
        <f t="shared" si="73"/>
        <v>8.6111111111111107</v>
      </c>
      <c r="AK263" s="180">
        <f t="shared" si="87"/>
        <v>16450000</v>
      </c>
      <c r="AL263" s="181">
        <f t="shared" si="74"/>
        <v>91.388888888888886</v>
      </c>
      <c r="AM263" s="243"/>
    </row>
    <row r="264" spans="1:39" s="297" customFormat="1" ht="30.75" customHeight="1" x14ac:dyDescent="0.25">
      <c r="A264" s="227">
        <f>SUM(A249+1)</f>
        <v>37</v>
      </c>
      <c r="B264" s="462"/>
      <c r="C264" s="462"/>
      <c r="D264" s="462"/>
      <c r="E264" s="462"/>
      <c r="F264" s="462"/>
      <c r="G264" s="462"/>
      <c r="H264" s="462"/>
      <c r="I264" s="461"/>
      <c r="J264" s="304" t="s">
        <v>480</v>
      </c>
      <c r="K264" s="230"/>
      <c r="L264" s="294"/>
      <c r="M264" s="610" t="s">
        <v>338</v>
      </c>
      <c r="N264" s="612"/>
      <c r="O264" s="309"/>
      <c r="P264" s="231"/>
      <c r="Q264" s="231">
        <f>SUM(Q265:Q274)</f>
        <v>64057069</v>
      </c>
      <c r="R264" s="233">
        <f>Q264/Q$248*100</f>
        <v>0.53703808544754672</v>
      </c>
      <c r="S264" s="233">
        <v>100</v>
      </c>
      <c r="T264" s="231">
        <f t="shared" si="72"/>
        <v>0</v>
      </c>
      <c r="U264" s="231">
        <f>R264*T264/100</f>
        <v>0</v>
      </c>
      <c r="V264" s="296">
        <f t="shared" si="77"/>
        <v>100</v>
      </c>
      <c r="W264" s="231"/>
      <c r="X264" s="231" t="e">
        <f>#REF!</f>
        <v>#REF!</v>
      </c>
      <c r="Y264" s="231" t="e">
        <f>#REF!</f>
        <v>#REF!</v>
      </c>
      <c r="Z264" s="231" t="e">
        <f>#REF!</f>
        <v>#REF!</v>
      </c>
      <c r="AA264" s="231" t="e">
        <f>#REF!</f>
        <v>#REF!</v>
      </c>
      <c r="AB264" s="231">
        <v>391775001</v>
      </c>
      <c r="AC264" s="231" t="e">
        <f>#REF!</f>
        <v>#REF!</v>
      </c>
      <c r="AD264" s="231" t="e">
        <f>#REF!</f>
        <v>#REF!</v>
      </c>
      <c r="AE264" s="231" t="e">
        <f>#REF!</f>
        <v>#REF!</v>
      </c>
      <c r="AF264" s="231" t="e">
        <f>[1]April!N55</f>
        <v>#REF!</v>
      </c>
      <c r="AG264" s="231" t="e">
        <f>[2]april!N55</f>
        <v>#REF!</v>
      </c>
      <c r="AH264" s="231" t="e">
        <f>'[3]DES SKPD'!$N55</f>
        <v>#REF!</v>
      </c>
      <c r="AI264" s="231">
        <f>SUM(AI265:AI274)</f>
        <v>0</v>
      </c>
      <c r="AJ264" s="233">
        <f t="shared" si="73"/>
        <v>0</v>
      </c>
      <c r="AK264" s="231">
        <f t="shared" si="87"/>
        <v>64057069</v>
      </c>
      <c r="AL264" s="233">
        <f t="shared" si="74"/>
        <v>100</v>
      </c>
      <c r="AM264" s="227"/>
    </row>
    <row r="265" spans="1:39" ht="24.75" customHeight="1" x14ac:dyDescent="0.25">
      <c r="A265" s="243"/>
      <c r="B265" s="457"/>
      <c r="C265" s="457"/>
      <c r="D265" s="457"/>
      <c r="E265" s="457"/>
      <c r="F265" s="457"/>
      <c r="G265" s="457"/>
      <c r="H265" s="457"/>
      <c r="I265" s="458"/>
      <c r="J265" s="457" t="s">
        <v>326</v>
      </c>
      <c r="K265" s="245"/>
      <c r="L265" s="257"/>
      <c r="M265" s="591" t="s">
        <v>327</v>
      </c>
      <c r="N265" s="592"/>
      <c r="O265" s="179"/>
      <c r="P265" s="180"/>
      <c r="Q265" s="180">
        <v>15750000</v>
      </c>
      <c r="R265" s="181">
        <f>Q265/Q$264*100</f>
        <v>24.587450293737291</v>
      </c>
      <c r="S265" s="181">
        <v>100</v>
      </c>
      <c r="T265" s="180">
        <f t="shared" si="72"/>
        <v>0</v>
      </c>
      <c r="U265" s="180">
        <f t="shared" si="80"/>
        <v>0</v>
      </c>
      <c r="V265" s="182">
        <f t="shared" si="77"/>
        <v>100</v>
      </c>
      <c r="W265" s="180"/>
      <c r="X265" s="180"/>
      <c r="Y265" s="180"/>
      <c r="Z265" s="180"/>
      <c r="AA265" s="180"/>
      <c r="AB265" s="180"/>
      <c r="AC265" s="180"/>
      <c r="AD265" s="180"/>
      <c r="AE265" s="180"/>
      <c r="AF265" s="180"/>
      <c r="AG265" s="180"/>
      <c r="AH265" s="180"/>
      <c r="AI265" s="180">
        <v>0</v>
      </c>
      <c r="AJ265" s="181">
        <f t="shared" si="73"/>
        <v>0</v>
      </c>
      <c r="AK265" s="180">
        <f t="shared" si="87"/>
        <v>15750000</v>
      </c>
      <c r="AL265" s="181">
        <f t="shared" si="74"/>
        <v>100</v>
      </c>
      <c r="AM265" s="243"/>
    </row>
    <row r="266" spans="1:39" ht="24.75" customHeight="1" x14ac:dyDescent="0.25">
      <c r="A266" s="243"/>
      <c r="B266" s="457"/>
      <c r="C266" s="457"/>
      <c r="D266" s="457"/>
      <c r="E266" s="457"/>
      <c r="F266" s="457"/>
      <c r="G266" s="457"/>
      <c r="H266" s="457"/>
      <c r="I266" s="458"/>
      <c r="J266" s="457" t="s">
        <v>323</v>
      </c>
      <c r="K266" s="245"/>
      <c r="L266" s="257"/>
      <c r="M266" s="591" t="s">
        <v>324</v>
      </c>
      <c r="N266" s="592"/>
      <c r="O266" s="179"/>
      <c r="P266" s="180"/>
      <c r="Q266" s="180">
        <v>2468000</v>
      </c>
      <c r="R266" s="181">
        <f t="shared" ref="R266:R274" si="89">Q266/Q$264*100</f>
        <v>3.8528144333297552</v>
      </c>
      <c r="S266" s="181">
        <v>100</v>
      </c>
      <c r="T266" s="180">
        <f t="shared" si="72"/>
        <v>0</v>
      </c>
      <c r="U266" s="180">
        <f t="shared" si="80"/>
        <v>0</v>
      </c>
      <c r="V266" s="182">
        <f t="shared" si="77"/>
        <v>100</v>
      </c>
      <c r="W266" s="180"/>
      <c r="X266" s="180"/>
      <c r="Y266" s="180"/>
      <c r="Z266" s="180"/>
      <c r="AA266" s="180"/>
      <c r="AB266" s="180"/>
      <c r="AC266" s="180"/>
      <c r="AD266" s="180"/>
      <c r="AE266" s="180"/>
      <c r="AF266" s="180"/>
      <c r="AG266" s="180"/>
      <c r="AH266" s="180"/>
      <c r="AI266" s="180">
        <v>0</v>
      </c>
      <c r="AJ266" s="181">
        <f t="shared" si="73"/>
        <v>0</v>
      </c>
      <c r="AK266" s="180">
        <f t="shared" si="87"/>
        <v>2468000</v>
      </c>
      <c r="AL266" s="181">
        <f t="shared" si="74"/>
        <v>100</v>
      </c>
      <c r="AM266" s="243"/>
    </row>
    <row r="267" spans="1:39" ht="24.75" customHeight="1" x14ac:dyDescent="0.25">
      <c r="A267" s="243"/>
      <c r="B267" s="457"/>
      <c r="C267" s="457"/>
      <c r="D267" s="457"/>
      <c r="E267" s="457"/>
      <c r="F267" s="457"/>
      <c r="G267" s="457"/>
      <c r="H267" s="457"/>
      <c r="I267" s="458"/>
      <c r="J267" s="457" t="s">
        <v>269</v>
      </c>
      <c r="K267" s="245"/>
      <c r="L267" s="257"/>
      <c r="M267" s="591" t="s">
        <v>352</v>
      </c>
      <c r="N267" s="592"/>
      <c r="O267" s="179"/>
      <c r="P267" s="180"/>
      <c r="Q267" s="180">
        <v>3000000</v>
      </c>
      <c r="R267" s="181">
        <f t="shared" si="89"/>
        <v>4.6833238654737697</v>
      </c>
      <c r="S267" s="181">
        <v>100</v>
      </c>
      <c r="T267" s="180">
        <f t="shared" si="72"/>
        <v>0</v>
      </c>
      <c r="U267" s="180">
        <f t="shared" si="80"/>
        <v>0</v>
      </c>
      <c r="V267" s="182">
        <f t="shared" si="77"/>
        <v>100</v>
      </c>
      <c r="W267" s="180"/>
      <c r="X267" s="180"/>
      <c r="Y267" s="180"/>
      <c r="Z267" s="180"/>
      <c r="AA267" s="180"/>
      <c r="AB267" s="180"/>
      <c r="AC267" s="180"/>
      <c r="AD267" s="180"/>
      <c r="AE267" s="180"/>
      <c r="AF267" s="180"/>
      <c r="AG267" s="180"/>
      <c r="AH267" s="180"/>
      <c r="AI267" s="180">
        <v>0</v>
      </c>
      <c r="AJ267" s="181">
        <f t="shared" si="73"/>
        <v>0</v>
      </c>
      <c r="AK267" s="180">
        <f t="shared" si="87"/>
        <v>3000000</v>
      </c>
      <c r="AL267" s="181">
        <f t="shared" si="74"/>
        <v>100</v>
      </c>
      <c r="AM267" s="243"/>
    </row>
    <row r="268" spans="1:39" ht="29.25" customHeight="1" x14ac:dyDescent="0.25">
      <c r="A268" s="243"/>
      <c r="B268" s="457"/>
      <c r="C268" s="457"/>
      <c r="D268" s="457"/>
      <c r="E268" s="457"/>
      <c r="F268" s="457"/>
      <c r="G268" s="457"/>
      <c r="H268" s="457"/>
      <c r="I268" s="458"/>
      <c r="J268" s="457" t="s">
        <v>315</v>
      </c>
      <c r="K268" s="245"/>
      <c r="L268" s="257"/>
      <c r="M268" s="591" t="s">
        <v>428</v>
      </c>
      <c r="N268" s="592"/>
      <c r="O268" s="179"/>
      <c r="P268" s="180"/>
      <c r="Q268" s="180">
        <v>2820000</v>
      </c>
      <c r="R268" s="181">
        <f t="shared" si="89"/>
        <v>4.4023244335453438</v>
      </c>
      <c r="S268" s="181">
        <v>100</v>
      </c>
      <c r="T268" s="180">
        <f t="shared" si="72"/>
        <v>0</v>
      </c>
      <c r="U268" s="180">
        <f t="shared" si="80"/>
        <v>0</v>
      </c>
      <c r="V268" s="182">
        <f t="shared" si="77"/>
        <v>100</v>
      </c>
      <c r="W268" s="180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180"/>
      <c r="AI268" s="180">
        <v>0</v>
      </c>
      <c r="AJ268" s="181">
        <f t="shared" si="73"/>
        <v>0</v>
      </c>
      <c r="AK268" s="180">
        <f t="shared" si="87"/>
        <v>2820000</v>
      </c>
      <c r="AL268" s="181">
        <f t="shared" si="74"/>
        <v>100</v>
      </c>
      <c r="AM268" s="243"/>
    </row>
    <row r="269" spans="1:39" ht="29.25" customHeight="1" x14ac:dyDescent="0.25">
      <c r="A269" s="243"/>
      <c r="B269" s="457"/>
      <c r="C269" s="457"/>
      <c r="D269" s="457"/>
      <c r="E269" s="457"/>
      <c r="F269" s="457"/>
      <c r="G269" s="457"/>
      <c r="H269" s="457"/>
      <c r="I269" s="458"/>
      <c r="J269" s="457" t="s">
        <v>318</v>
      </c>
      <c r="K269" s="245"/>
      <c r="L269" s="257"/>
      <c r="M269" s="591" t="s">
        <v>602</v>
      </c>
      <c r="N269" s="592"/>
      <c r="O269" s="179"/>
      <c r="P269" s="180"/>
      <c r="Q269" s="180">
        <v>20000000</v>
      </c>
      <c r="R269" s="181">
        <f t="shared" si="89"/>
        <v>31.222159103158464</v>
      </c>
      <c r="S269" s="181">
        <v>100</v>
      </c>
      <c r="T269" s="180">
        <f t="shared" si="72"/>
        <v>0</v>
      </c>
      <c r="U269" s="180">
        <f t="shared" si="80"/>
        <v>0</v>
      </c>
      <c r="V269" s="182">
        <f t="shared" si="77"/>
        <v>100</v>
      </c>
      <c r="W269" s="180"/>
      <c r="X269" s="180"/>
      <c r="Y269" s="180"/>
      <c r="Z269" s="180"/>
      <c r="AA269" s="180"/>
      <c r="AB269" s="180"/>
      <c r="AC269" s="180"/>
      <c r="AD269" s="180"/>
      <c r="AE269" s="180"/>
      <c r="AF269" s="180"/>
      <c r="AG269" s="180"/>
      <c r="AH269" s="180"/>
      <c r="AI269" s="180">
        <v>0</v>
      </c>
      <c r="AJ269" s="181">
        <f t="shared" si="73"/>
        <v>0</v>
      </c>
      <c r="AK269" s="180">
        <f t="shared" si="87"/>
        <v>20000000</v>
      </c>
      <c r="AL269" s="181">
        <f t="shared" si="74"/>
        <v>100</v>
      </c>
      <c r="AM269" s="243"/>
    </row>
    <row r="270" spans="1:39" ht="29.25" customHeight="1" x14ac:dyDescent="0.25">
      <c r="A270" s="243"/>
      <c r="B270" s="457"/>
      <c r="C270" s="457"/>
      <c r="D270" s="457"/>
      <c r="E270" s="457"/>
      <c r="F270" s="457"/>
      <c r="G270" s="457"/>
      <c r="H270" s="457"/>
      <c r="I270" s="458"/>
      <c r="J270" s="457" t="s">
        <v>339</v>
      </c>
      <c r="K270" s="245"/>
      <c r="L270" s="257"/>
      <c r="M270" s="591" t="s">
        <v>340</v>
      </c>
      <c r="N270" s="592"/>
      <c r="O270" s="179"/>
      <c r="P270" s="180"/>
      <c r="Q270" s="180">
        <v>2000000</v>
      </c>
      <c r="R270" s="181">
        <f t="shared" si="89"/>
        <v>3.1222159103158469</v>
      </c>
      <c r="S270" s="181">
        <v>100</v>
      </c>
      <c r="T270" s="180">
        <f t="shared" si="72"/>
        <v>0</v>
      </c>
      <c r="U270" s="180">
        <f t="shared" si="80"/>
        <v>0</v>
      </c>
      <c r="V270" s="182">
        <f t="shared" si="77"/>
        <v>100</v>
      </c>
      <c r="W270" s="180"/>
      <c r="X270" s="180"/>
      <c r="Y270" s="180"/>
      <c r="Z270" s="180"/>
      <c r="AA270" s="180"/>
      <c r="AB270" s="180"/>
      <c r="AC270" s="180"/>
      <c r="AD270" s="180"/>
      <c r="AE270" s="180"/>
      <c r="AF270" s="180"/>
      <c r="AG270" s="180"/>
      <c r="AH270" s="180"/>
      <c r="AI270" s="180">
        <v>0</v>
      </c>
      <c r="AJ270" s="181">
        <f t="shared" si="73"/>
        <v>0</v>
      </c>
      <c r="AK270" s="180">
        <f t="shared" si="87"/>
        <v>2000000</v>
      </c>
      <c r="AL270" s="181">
        <f t="shared" si="74"/>
        <v>100</v>
      </c>
      <c r="AM270" s="243"/>
    </row>
    <row r="271" spans="1:39" ht="29.25" customHeight="1" x14ac:dyDescent="0.25">
      <c r="A271" s="243"/>
      <c r="B271" s="457"/>
      <c r="C271" s="457"/>
      <c r="D271" s="457"/>
      <c r="E271" s="457"/>
      <c r="F271" s="457"/>
      <c r="G271" s="457"/>
      <c r="H271" s="457"/>
      <c r="I271" s="458"/>
      <c r="J271" s="457" t="s">
        <v>284</v>
      </c>
      <c r="K271" s="245"/>
      <c r="L271" s="257"/>
      <c r="M271" s="591" t="s">
        <v>603</v>
      </c>
      <c r="N271" s="592"/>
      <c r="O271" s="179"/>
      <c r="P271" s="180"/>
      <c r="Q271" s="180">
        <v>1119069</v>
      </c>
      <c r="R271" s="181">
        <f t="shared" si="89"/>
        <v>1.746987518270622</v>
      </c>
      <c r="S271" s="181">
        <v>100</v>
      </c>
      <c r="T271" s="180">
        <f t="shared" si="72"/>
        <v>0</v>
      </c>
      <c r="U271" s="180">
        <f t="shared" si="80"/>
        <v>0</v>
      </c>
      <c r="V271" s="182">
        <f t="shared" si="77"/>
        <v>100</v>
      </c>
      <c r="W271" s="180"/>
      <c r="X271" s="180"/>
      <c r="Y271" s="180"/>
      <c r="Z271" s="180"/>
      <c r="AA271" s="180"/>
      <c r="AB271" s="180"/>
      <c r="AC271" s="180"/>
      <c r="AD271" s="180"/>
      <c r="AE271" s="180"/>
      <c r="AF271" s="180"/>
      <c r="AG271" s="180"/>
      <c r="AH271" s="180"/>
      <c r="AI271" s="180">
        <v>0</v>
      </c>
      <c r="AJ271" s="181">
        <f t="shared" si="73"/>
        <v>0</v>
      </c>
      <c r="AK271" s="180">
        <f t="shared" si="87"/>
        <v>1119069</v>
      </c>
      <c r="AL271" s="181">
        <f t="shared" si="74"/>
        <v>100</v>
      </c>
      <c r="AM271" s="243"/>
    </row>
    <row r="272" spans="1:39" ht="29.25" customHeight="1" x14ac:dyDescent="0.25">
      <c r="A272" s="243"/>
      <c r="B272" s="457"/>
      <c r="C272" s="457"/>
      <c r="D272" s="457"/>
      <c r="E272" s="457"/>
      <c r="F272" s="457"/>
      <c r="G272" s="457"/>
      <c r="H272" s="457"/>
      <c r="I272" s="458"/>
      <c r="J272" s="457" t="s">
        <v>282</v>
      </c>
      <c r="K272" s="245"/>
      <c r="L272" s="257"/>
      <c r="M272" s="591" t="s">
        <v>283</v>
      </c>
      <c r="N272" s="592"/>
      <c r="O272" s="179"/>
      <c r="P272" s="180"/>
      <c r="Q272" s="180">
        <v>6900000</v>
      </c>
      <c r="R272" s="181">
        <f t="shared" si="89"/>
        <v>10.771644890589672</v>
      </c>
      <c r="S272" s="181">
        <v>100</v>
      </c>
      <c r="T272" s="180">
        <f t="shared" si="72"/>
        <v>0</v>
      </c>
      <c r="U272" s="180">
        <f t="shared" si="80"/>
        <v>0</v>
      </c>
      <c r="V272" s="182">
        <f t="shared" si="77"/>
        <v>100</v>
      </c>
      <c r="W272" s="180"/>
      <c r="X272" s="180"/>
      <c r="Y272" s="180"/>
      <c r="Z272" s="180"/>
      <c r="AA272" s="180"/>
      <c r="AB272" s="180"/>
      <c r="AC272" s="180"/>
      <c r="AD272" s="180"/>
      <c r="AE272" s="180"/>
      <c r="AF272" s="180"/>
      <c r="AG272" s="180"/>
      <c r="AH272" s="180"/>
      <c r="AI272" s="180">
        <v>0</v>
      </c>
      <c r="AJ272" s="181">
        <f t="shared" si="73"/>
        <v>0</v>
      </c>
      <c r="AK272" s="180">
        <f t="shared" si="87"/>
        <v>6900000</v>
      </c>
      <c r="AL272" s="181">
        <f t="shared" si="74"/>
        <v>100</v>
      </c>
      <c r="AM272" s="243"/>
    </row>
    <row r="273" spans="1:39" ht="29.25" customHeight="1" x14ac:dyDescent="0.25">
      <c r="A273" s="243"/>
      <c r="B273" s="457"/>
      <c r="C273" s="457"/>
      <c r="D273" s="457"/>
      <c r="E273" s="457"/>
      <c r="F273" s="457"/>
      <c r="G273" s="457"/>
      <c r="H273" s="457"/>
      <c r="I273" s="458"/>
      <c r="J273" s="457" t="s">
        <v>320</v>
      </c>
      <c r="K273" s="245"/>
      <c r="L273" s="257"/>
      <c r="M273" s="591" t="s">
        <v>321</v>
      </c>
      <c r="N273" s="592"/>
      <c r="O273" s="179"/>
      <c r="P273" s="180"/>
      <c r="Q273" s="180">
        <v>7200000</v>
      </c>
      <c r="R273" s="181">
        <f t="shared" si="89"/>
        <v>11.239977277137047</v>
      </c>
      <c r="S273" s="181">
        <v>100</v>
      </c>
      <c r="T273" s="180">
        <f t="shared" si="72"/>
        <v>0</v>
      </c>
      <c r="U273" s="180">
        <f t="shared" si="80"/>
        <v>0</v>
      </c>
      <c r="V273" s="182">
        <f t="shared" si="77"/>
        <v>100</v>
      </c>
      <c r="W273" s="180"/>
      <c r="X273" s="180"/>
      <c r="Y273" s="180"/>
      <c r="Z273" s="180"/>
      <c r="AA273" s="180"/>
      <c r="AB273" s="180"/>
      <c r="AC273" s="180"/>
      <c r="AD273" s="180"/>
      <c r="AE273" s="180"/>
      <c r="AF273" s="180"/>
      <c r="AG273" s="180"/>
      <c r="AH273" s="180"/>
      <c r="AI273" s="180">
        <v>0</v>
      </c>
      <c r="AJ273" s="181">
        <f t="shared" si="73"/>
        <v>0</v>
      </c>
      <c r="AK273" s="180">
        <f t="shared" si="87"/>
        <v>7200000</v>
      </c>
      <c r="AL273" s="181">
        <f t="shared" si="74"/>
        <v>100</v>
      </c>
      <c r="AM273" s="243"/>
    </row>
    <row r="274" spans="1:39" ht="24.75" customHeight="1" x14ac:dyDescent="0.25">
      <c r="A274" s="243"/>
      <c r="B274" s="457"/>
      <c r="C274" s="457"/>
      <c r="D274" s="457"/>
      <c r="E274" s="457"/>
      <c r="F274" s="457"/>
      <c r="G274" s="457"/>
      <c r="H274" s="457"/>
      <c r="I274" s="458"/>
      <c r="J274" s="457" t="s">
        <v>407</v>
      </c>
      <c r="K274" s="245"/>
      <c r="L274" s="257"/>
      <c r="M274" s="591" t="s">
        <v>414</v>
      </c>
      <c r="N274" s="592"/>
      <c r="O274" s="179"/>
      <c r="P274" s="180"/>
      <c r="Q274" s="180">
        <v>2800000</v>
      </c>
      <c r="R274" s="181">
        <f t="shared" si="89"/>
        <v>4.371102274442185</v>
      </c>
      <c r="S274" s="181">
        <v>100</v>
      </c>
      <c r="T274" s="180">
        <f t="shared" si="72"/>
        <v>0</v>
      </c>
      <c r="U274" s="180">
        <f t="shared" si="80"/>
        <v>0</v>
      </c>
      <c r="V274" s="182">
        <f t="shared" si="77"/>
        <v>100</v>
      </c>
      <c r="W274" s="180"/>
      <c r="X274" s="180"/>
      <c r="Y274" s="180"/>
      <c r="Z274" s="180"/>
      <c r="AA274" s="180"/>
      <c r="AB274" s="180"/>
      <c r="AC274" s="180"/>
      <c r="AD274" s="180"/>
      <c r="AE274" s="180"/>
      <c r="AF274" s="180"/>
      <c r="AG274" s="180"/>
      <c r="AH274" s="180"/>
      <c r="AI274" s="180">
        <v>0</v>
      </c>
      <c r="AJ274" s="181">
        <f t="shared" si="73"/>
        <v>0</v>
      </c>
      <c r="AK274" s="180">
        <f t="shared" si="87"/>
        <v>2800000</v>
      </c>
      <c r="AL274" s="181">
        <f t="shared" si="74"/>
        <v>100</v>
      </c>
      <c r="AM274" s="243"/>
    </row>
    <row r="275" spans="1:39" s="311" customFormat="1" ht="34.5" customHeight="1" x14ac:dyDescent="0.25">
      <c r="A275" s="227">
        <f>(A264+1)</f>
        <v>38</v>
      </c>
      <c r="B275" s="615" t="s">
        <v>150</v>
      </c>
      <c r="C275" s="615"/>
      <c r="D275" s="615"/>
      <c r="E275" s="615"/>
      <c r="F275" s="615"/>
      <c r="G275" s="615"/>
      <c r="H275" s="615"/>
      <c r="I275" s="614"/>
      <c r="J275" s="304" t="s">
        <v>482</v>
      </c>
      <c r="K275" s="230"/>
      <c r="L275" s="294"/>
      <c r="M275" s="609" t="s">
        <v>41</v>
      </c>
      <c r="N275" s="609"/>
      <c r="O275" s="310">
        <v>461840000</v>
      </c>
      <c r="P275" s="231">
        <f>O275</f>
        <v>461840000</v>
      </c>
      <c r="Q275" s="231">
        <f>SUM(Q276:Q286)</f>
        <v>300818900</v>
      </c>
      <c r="R275" s="233">
        <f>Q275/Q$248*100</f>
        <v>2.5219887304309383</v>
      </c>
      <c r="S275" s="233">
        <v>100</v>
      </c>
      <c r="T275" s="231">
        <f t="shared" si="72"/>
        <v>10.033777797871078</v>
      </c>
      <c r="U275" s="231">
        <f t="shared" si="80"/>
        <v>0.25305074529879013</v>
      </c>
      <c r="V275" s="296">
        <f t="shared" si="77"/>
        <v>89.966222202128918</v>
      </c>
      <c r="W275" s="231"/>
      <c r="X275" s="231" t="e">
        <f>#REF!</f>
        <v>#REF!</v>
      </c>
      <c r="Y275" s="231" t="e">
        <f>#REF!</f>
        <v>#REF!</v>
      </c>
      <c r="Z275" s="231" t="e">
        <f>#REF!</f>
        <v>#REF!</v>
      </c>
      <c r="AA275" s="231" t="e">
        <f>#REF!</f>
        <v>#REF!</v>
      </c>
      <c r="AB275" s="231">
        <v>26033000</v>
      </c>
      <c r="AC275" s="231" t="e">
        <f>#REF!</f>
        <v>#REF!</v>
      </c>
      <c r="AD275" s="231" t="e">
        <f>#REF!</f>
        <v>#REF!</v>
      </c>
      <c r="AE275" s="231" t="e">
        <f>#REF!</f>
        <v>#REF!</v>
      </c>
      <c r="AF275" s="231" t="e">
        <f>[1]April!N57</f>
        <v>#REF!</v>
      </c>
      <c r="AG275" s="231" t="e">
        <f>[2]april!N57</f>
        <v>#REF!</v>
      </c>
      <c r="AH275" s="231">
        <f>'[3]DES SKPD'!$N57</f>
        <v>371775000</v>
      </c>
      <c r="AI275" s="231">
        <f>SUM(AI276:AI286)</f>
        <v>30183500</v>
      </c>
      <c r="AJ275" s="233">
        <f t="shared" si="73"/>
        <v>10.033777797871078</v>
      </c>
      <c r="AK275" s="231">
        <f t="shared" si="87"/>
        <v>270635400</v>
      </c>
      <c r="AL275" s="233">
        <f t="shared" si="74"/>
        <v>89.966222202128918</v>
      </c>
      <c r="AM275" s="227"/>
    </row>
    <row r="276" spans="1:39" ht="28.5" customHeight="1" x14ac:dyDescent="0.25">
      <c r="A276" s="243"/>
      <c r="B276" s="457"/>
      <c r="C276" s="457"/>
      <c r="D276" s="457"/>
      <c r="E276" s="457"/>
      <c r="F276" s="457"/>
      <c r="G276" s="457"/>
      <c r="H276" s="457"/>
      <c r="I276" s="458"/>
      <c r="J276" s="457" t="s">
        <v>257</v>
      </c>
      <c r="K276" s="245"/>
      <c r="L276" s="257"/>
      <c r="M276" s="591" t="s">
        <v>260</v>
      </c>
      <c r="N276" s="592"/>
      <c r="O276" s="179"/>
      <c r="P276" s="180"/>
      <c r="Q276" s="180">
        <v>1540000</v>
      </c>
      <c r="R276" s="181">
        <f>Q276/Q$275*100</f>
        <v>0.51193591891998813</v>
      </c>
      <c r="S276" s="181">
        <v>100</v>
      </c>
      <c r="T276" s="180">
        <f t="shared" si="72"/>
        <v>0</v>
      </c>
      <c r="U276" s="180">
        <f t="shared" si="80"/>
        <v>0</v>
      </c>
      <c r="V276" s="182">
        <f t="shared" si="77"/>
        <v>100</v>
      </c>
      <c r="W276" s="180"/>
      <c r="X276" s="180"/>
      <c r="Y276" s="180"/>
      <c r="Z276" s="180"/>
      <c r="AA276" s="180"/>
      <c r="AB276" s="180"/>
      <c r="AC276" s="180"/>
      <c r="AD276" s="180"/>
      <c r="AE276" s="180"/>
      <c r="AF276" s="180"/>
      <c r="AG276" s="180"/>
      <c r="AH276" s="180"/>
      <c r="AI276" s="180">
        <v>0</v>
      </c>
      <c r="AJ276" s="181">
        <f t="shared" si="73"/>
        <v>0</v>
      </c>
      <c r="AK276" s="180">
        <f t="shared" si="87"/>
        <v>1540000</v>
      </c>
      <c r="AL276" s="181">
        <f t="shared" si="74"/>
        <v>100</v>
      </c>
      <c r="AM276" s="243"/>
    </row>
    <row r="277" spans="1:39" ht="28.5" customHeight="1" x14ac:dyDescent="0.25">
      <c r="A277" s="243"/>
      <c r="B277" s="457"/>
      <c r="C277" s="457"/>
      <c r="D277" s="457"/>
      <c r="E277" s="457"/>
      <c r="F277" s="457"/>
      <c r="G277" s="457"/>
      <c r="H277" s="457"/>
      <c r="I277" s="458"/>
      <c r="J277" s="457" t="s">
        <v>326</v>
      </c>
      <c r="K277" s="245"/>
      <c r="L277" s="257"/>
      <c r="M277" s="591" t="s">
        <v>327</v>
      </c>
      <c r="N277" s="592"/>
      <c r="O277" s="179"/>
      <c r="P277" s="180"/>
      <c r="Q277" s="180">
        <v>140400000</v>
      </c>
      <c r="R277" s="181">
        <f t="shared" ref="R277:R286" si="90">Q277/Q$275*100</f>
        <v>46.672599361276838</v>
      </c>
      <c r="S277" s="181">
        <v>100</v>
      </c>
      <c r="T277" s="180">
        <f t="shared" si="72"/>
        <v>0</v>
      </c>
      <c r="U277" s="180">
        <f t="shared" si="80"/>
        <v>0</v>
      </c>
      <c r="V277" s="182">
        <f t="shared" si="77"/>
        <v>100</v>
      </c>
      <c r="W277" s="180"/>
      <c r="X277" s="180"/>
      <c r="Y277" s="180"/>
      <c r="Z277" s="180"/>
      <c r="AA277" s="180"/>
      <c r="AB277" s="180"/>
      <c r="AC277" s="180"/>
      <c r="AD277" s="180"/>
      <c r="AE277" s="180"/>
      <c r="AF277" s="180"/>
      <c r="AG277" s="180"/>
      <c r="AH277" s="180"/>
      <c r="AI277" s="180">
        <v>0</v>
      </c>
      <c r="AJ277" s="181">
        <f t="shared" si="73"/>
        <v>0</v>
      </c>
      <c r="AK277" s="180">
        <f t="shared" si="87"/>
        <v>140400000</v>
      </c>
      <c r="AL277" s="181">
        <f t="shared" si="74"/>
        <v>100</v>
      </c>
      <c r="AM277" s="243"/>
    </row>
    <row r="278" spans="1:39" ht="28.5" customHeight="1" x14ac:dyDescent="0.25">
      <c r="A278" s="243"/>
      <c r="B278" s="457"/>
      <c r="C278" s="457"/>
      <c r="D278" s="457"/>
      <c r="E278" s="457"/>
      <c r="F278" s="457"/>
      <c r="G278" s="457"/>
      <c r="H278" s="457"/>
      <c r="I278" s="458"/>
      <c r="J278" s="457" t="s">
        <v>323</v>
      </c>
      <c r="K278" s="245"/>
      <c r="L278" s="257"/>
      <c r="M278" s="591" t="s">
        <v>324</v>
      </c>
      <c r="N278" s="592"/>
      <c r="O278" s="179"/>
      <c r="P278" s="180"/>
      <c r="Q278" s="180">
        <v>10250000</v>
      </c>
      <c r="R278" s="181">
        <f t="shared" si="90"/>
        <v>3.4073656941103101</v>
      </c>
      <c r="S278" s="181">
        <v>100</v>
      </c>
      <c r="T278" s="180">
        <f t="shared" si="72"/>
        <v>0</v>
      </c>
      <c r="U278" s="180">
        <f t="shared" si="80"/>
        <v>0</v>
      </c>
      <c r="V278" s="182">
        <f t="shared" si="77"/>
        <v>100</v>
      </c>
      <c r="W278" s="180"/>
      <c r="X278" s="180"/>
      <c r="Y278" s="180"/>
      <c r="Z278" s="180"/>
      <c r="AA278" s="180"/>
      <c r="AB278" s="180"/>
      <c r="AC278" s="180"/>
      <c r="AD278" s="180"/>
      <c r="AE278" s="180"/>
      <c r="AF278" s="180"/>
      <c r="AG278" s="180"/>
      <c r="AH278" s="180"/>
      <c r="AI278" s="180">
        <v>0</v>
      </c>
      <c r="AJ278" s="181">
        <f t="shared" si="73"/>
        <v>0</v>
      </c>
      <c r="AK278" s="180">
        <f t="shared" si="87"/>
        <v>10250000</v>
      </c>
      <c r="AL278" s="181">
        <f t="shared" si="74"/>
        <v>100</v>
      </c>
      <c r="AM278" s="243"/>
    </row>
    <row r="279" spans="1:39" ht="28.5" customHeight="1" x14ac:dyDescent="0.25">
      <c r="A279" s="243"/>
      <c r="B279" s="457"/>
      <c r="C279" s="457"/>
      <c r="D279" s="457"/>
      <c r="E279" s="457"/>
      <c r="F279" s="457"/>
      <c r="G279" s="457"/>
      <c r="H279" s="457"/>
      <c r="I279" s="458"/>
      <c r="J279" s="457" t="s">
        <v>336</v>
      </c>
      <c r="K279" s="245"/>
      <c r="L279" s="257"/>
      <c r="M279" s="591" t="s">
        <v>337</v>
      </c>
      <c r="N279" s="592"/>
      <c r="O279" s="179"/>
      <c r="P279" s="180"/>
      <c r="Q279" s="180">
        <v>10000000</v>
      </c>
      <c r="R279" s="181">
        <f t="shared" si="90"/>
        <v>3.3242592137661564</v>
      </c>
      <c r="S279" s="181">
        <v>100</v>
      </c>
      <c r="T279" s="180">
        <f t="shared" si="72"/>
        <v>0</v>
      </c>
      <c r="U279" s="180">
        <f t="shared" si="80"/>
        <v>0</v>
      </c>
      <c r="V279" s="182">
        <f t="shared" si="77"/>
        <v>100</v>
      </c>
      <c r="W279" s="180"/>
      <c r="X279" s="180"/>
      <c r="Y279" s="180"/>
      <c r="Z279" s="180"/>
      <c r="AA279" s="180"/>
      <c r="AB279" s="180"/>
      <c r="AC279" s="180"/>
      <c r="AD279" s="180"/>
      <c r="AE279" s="180"/>
      <c r="AF279" s="180"/>
      <c r="AG279" s="180"/>
      <c r="AH279" s="180"/>
      <c r="AI279" s="180">
        <v>0</v>
      </c>
      <c r="AJ279" s="181">
        <f t="shared" si="73"/>
        <v>0</v>
      </c>
      <c r="AK279" s="180">
        <f t="shared" si="87"/>
        <v>10000000</v>
      </c>
      <c r="AL279" s="181">
        <f t="shared" si="74"/>
        <v>100</v>
      </c>
      <c r="AM279" s="243"/>
    </row>
    <row r="280" spans="1:39" ht="28.5" customHeight="1" x14ac:dyDescent="0.25">
      <c r="A280" s="243"/>
      <c r="B280" s="457"/>
      <c r="C280" s="457"/>
      <c r="D280" s="457"/>
      <c r="E280" s="457"/>
      <c r="F280" s="457"/>
      <c r="G280" s="457"/>
      <c r="H280" s="457"/>
      <c r="I280" s="458"/>
      <c r="J280" s="457" t="s">
        <v>269</v>
      </c>
      <c r="K280" s="245"/>
      <c r="L280" s="257"/>
      <c r="M280" s="591" t="s">
        <v>270</v>
      </c>
      <c r="N280" s="592"/>
      <c r="O280" s="179"/>
      <c r="P280" s="180"/>
      <c r="Q280" s="180">
        <v>23000000</v>
      </c>
      <c r="R280" s="181">
        <f t="shared" si="90"/>
        <v>7.6457961916621588</v>
      </c>
      <c r="S280" s="181">
        <v>100</v>
      </c>
      <c r="T280" s="180">
        <f t="shared" si="72"/>
        <v>67.391304347826093</v>
      </c>
      <c r="U280" s="180">
        <f t="shared" si="80"/>
        <v>5.1526017813375429</v>
      </c>
      <c r="V280" s="182">
        <f t="shared" si="77"/>
        <v>32.608695652173907</v>
      </c>
      <c r="W280" s="180"/>
      <c r="X280" s="180"/>
      <c r="Y280" s="180"/>
      <c r="Z280" s="180"/>
      <c r="AA280" s="180"/>
      <c r="AB280" s="180"/>
      <c r="AC280" s="180"/>
      <c r="AD280" s="180"/>
      <c r="AE280" s="180"/>
      <c r="AF280" s="180"/>
      <c r="AG280" s="180"/>
      <c r="AH280" s="180"/>
      <c r="AI280" s="180">
        <v>15500000</v>
      </c>
      <c r="AJ280" s="181">
        <f t="shared" si="73"/>
        <v>67.391304347826093</v>
      </c>
      <c r="AK280" s="180">
        <f t="shared" si="87"/>
        <v>7500000</v>
      </c>
      <c r="AL280" s="181">
        <f t="shared" si="74"/>
        <v>32.608695652173914</v>
      </c>
      <c r="AM280" s="243"/>
    </row>
    <row r="281" spans="1:39" ht="28.5" customHeight="1" x14ac:dyDescent="0.25">
      <c r="A281" s="243"/>
      <c r="B281" s="457"/>
      <c r="C281" s="457"/>
      <c r="D281" s="457"/>
      <c r="E281" s="457"/>
      <c r="F281" s="457"/>
      <c r="G281" s="457"/>
      <c r="H281" s="457"/>
      <c r="I281" s="458"/>
      <c r="J281" s="457" t="s">
        <v>315</v>
      </c>
      <c r="K281" s="245"/>
      <c r="L281" s="257"/>
      <c r="M281" s="591" t="s">
        <v>271</v>
      </c>
      <c r="N281" s="592"/>
      <c r="O281" s="179"/>
      <c r="P281" s="180"/>
      <c r="Q281" s="180">
        <v>17250000</v>
      </c>
      <c r="R281" s="181">
        <f t="shared" si="90"/>
        <v>5.7343471437466196</v>
      </c>
      <c r="S281" s="181">
        <v>100</v>
      </c>
      <c r="T281" s="180">
        <f t="shared" ref="T281:T344" si="91">AJ281</f>
        <v>0</v>
      </c>
      <c r="U281" s="180">
        <f t="shared" si="80"/>
        <v>0</v>
      </c>
      <c r="V281" s="182">
        <f t="shared" si="77"/>
        <v>100</v>
      </c>
      <c r="W281" s="180"/>
      <c r="X281" s="180"/>
      <c r="Y281" s="180"/>
      <c r="Z281" s="180"/>
      <c r="AA281" s="180"/>
      <c r="AB281" s="180"/>
      <c r="AC281" s="180"/>
      <c r="AD281" s="180"/>
      <c r="AE281" s="180"/>
      <c r="AF281" s="180"/>
      <c r="AG281" s="180"/>
      <c r="AH281" s="180"/>
      <c r="AI281" s="180">
        <v>0</v>
      </c>
      <c r="AJ281" s="181">
        <f t="shared" ref="AJ281:AJ344" si="92">AI281/Q281*100</f>
        <v>0</v>
      </c>
      <c r="AK281" s="180">
        <f t="shared" si="87"/>
        <v>17250000</v>
      </c>
      <c r="AL281" s="181">
        <f t="shared" ref="AL281:AL344" si="93">AK281/Q281*100</f>
        <v>100</v>
      </c>
      <c r="AM281" s="243"/>
    </row>
    <row r="282" spans="1:39" ht="28.5" customHeight="1" x14ac:dyDescent="0.25">
      <c r="A282" s="243"/>
      <c r="B282" s="457"/>
      <c r="C282" s="457"/>
      <c r="D282" s="457"/>
      <c r="E282" s="457"/>
      <c r="F282" s="457"/>
      <c r="G282" s="457"/>
      <c r="H282" s="457"/>
      <c r="I282" s="458"/>
      <c r="J282" s="457" t="s">
        <v>318</v>
      </c>
      <c r="K282" s="245"/>
      <c r="L282" s="257"/>
      <c r="M282" s="591" t="s">
        <v>319</v>
      </c>
      <c r="N282" s="592"/>
      <c r="O282" s="179"/>
      <c r="P282" s="180"/>
      <c r="Q282" s="180">
        <v>32500000</v>
      </c>
      <c r="R282" s="181">
        <f t="shared" si="90"/>
        <v>10.803842444740008</v>
      </c>
      <c r="S282" s="181">
        <v>100</v>
      </c>
      <c r="T282" s="180">
        <f t="shared" si="91"/>
        <v>0</v>
      </c>
      <c r="U282" s="180">
        <f t="shared" si="80"/>
        <v>0</v>
      </c>
      <c r="V282" s="182">
        <f t="shared" si="77"/>
        <v>100</v>
      </c>
      <c r="W282" s="180"/>
      <c r="X282" s="180"/>
      <c r="Y282" s="180"/>
      <c r="Z282" s="180"/>
      <c r="AA282" s="180"/>
      <c r="AB282" s="180"/>
      <c r="AC282" s="180"/>
      <c r="AD282" s="180"/>
      <c r="AE282" s="180"/>
      <c r="AF282" s="180"/>
      <c r="AG282" s="180"/>
      <c r="AH282" s="180"/>
      <c r="AI282" s="180">
        <v>0</v>
      </c>
      <c r="AJ282" s="181">
        <f t="shared" si="92"/>
        <v>0</v>
      </c>
      <c r="AK282" s="180">
        <f t="shared" si="87"/>
        <v>32500000</v>
      </c>
      <c r="AL282" s="181">
        <f t="shared" si="93"/>
        <v>100</v>
      </c>
      <c r="AM282" s="243"/>
    </row>
    <row r="283" spans="1:39" ht="28.5" customHeight="1" x14ac:dyDescent="0.25">
      <c r="A283" s="243"/>
      <c r="B283" s="457"/>
      <c r="C283" s="457"/>
      <c r="D283" s="457"/>
      <c r="E283" s="457"/>
      <c r="F283" s="457"/>
      <c r="G283" s="457"/>
      <c r="H283" s="457"/>
      <c r="I283" s="458"/>
      <c r="J283" s="457" t="s">
        <v>280</v>
      </c>
      <c r="K283" s="245"/>
      <c r="L283" s="257"/>
      <c r="M283" s="591" t="s">
        <v>281</v>
      </c>
      <c r="N283" s="592"/>
      <c r="O283" s="179"/>
      <c r="P283" s="180"/>
      <c r="Q283" s="180">
        <v>6500000</v>
      </c>
      <c r="R283" s="181">
        <f t="shared" si="90"/>
        <v>2.1607684889480017</v>
      </c>
      <c r="S283" s="181">
        <v>100</v>
      </c>
      <c r="T283" s="180">
        <f t="shared" si="91"/>
        <v>30.76923076923077</v>
      </c>
      <c r="U283" s="180">
        <f t="shared" si="80"/>
        <v>0.66485184275323139</v>
      </c>
      <c r="V283" s="182">
        <f t="shared" si="77"/>
        <v>69.230769230769226</v>
      </c>
      <c r="W283" s="180"/>
      <c r="X283" s="180"/>
      <c r="Y283" s="180"/>
      <c r="Z283" s="180"/>
      <c r="AA283" s="180"/>
      <c r="AB283" s="180"/>
      <c r="AC283" s="180"/>
      <c r="AD283" s="180"/>
      <c r="AE283" s="180"/>
      <c r="AF283" s="180"/>
      <c r="AG283" s="180"/>
      <c r="AH283" s="180"/>
      <c r="AI283" s="180">
        <v>2000000</v>
      </c>
      <c r="AJ283" s="181">
        <f t="shared" si="92"/>
        <v>30.76923076923077</v>
      </c>
      <c r="AK283" s="180">
        <f t="shared" si="87"/>
        <v>4500000</v>
      </c>
      <c r="AL283" s="181">
        <f t="shared" si="93"/>
        <v>69.230769230769226</v>
      </c>
      <c r="AM283" s="243"/>
    </row>
    <row r="284" spans="1:39" ht="28.5" customHeight="1" x14ac:dyDescent="0.25">
      <c r="A284" s="243"/>
      <c r="B284" s="457"/>
      <c r="C284" s="457"/>
      <c r="D284" s="457"/>
      <c r="E284" s="457"/>
      <c r="F284" s="457"/>
      <c r="G284" s="457"/>
      <c r="H284" s="457"/>
      <c r="I284" s="458"/>
      <c r="J284" s="457" t="s">
        <v>284</v>
      </c>
      <c r="K284" s="245"/>
      <c r="L284" s="257"/>
      <c r="M284" s="591" t="s">
        <v>285</v>
      </c>
      <c r="N284" s="592"/>
      <c r="O284" s="179"/>
      <c r="P284" s="180"/>
      <c r="Q284" s="180">
        <v>2700000</v>
      </c>
      <c r="R284" s="181">
        <f t="shared" si="90"/>
        <v>0.89754998771686223</v>
      </c>
      <c r="S284" s="181">
        <v>100</v>
      </c>
      <c r="T284" s="180">
        <f t="shared" si="91"/>
        <v>16.296296296296298</v>
      </c>
      <c r="U284" s="180">
        <f t="shared" si="80"/>
        <v>0.1462674054057109</v>
      </c>
      <c r="V284" s="182">
        <f t="shared" si="77"/>
        <v>83.703703703703695</v>
      </c>
      <c r="W284" s="180"/>
      <c r="X284" s="180"/>
      <c r="Y284" s="180"/>
      <c r="Z284" s="180"/>
      <c r="AA284" s="180"/>
      <c r="AB284" s="180"/>
      <c r="AC284" s="180"/>
      <c r="AD284" s="180"/>
      <c r="AE284" s="180"/>
      <c r="AF284" s="180"/>
      <c r="AG284" s="180"/>
      <c r="AH284" s="180"/>
      <c r="AI284" s="180">
        <v>440000</v>
      </c>
      <c r="AJ284" s="181">
        <f t="shared" si="92"/>
        <v>16.296296296296298</v>
      </c>
      <c r="AK284" s="180">
        <f t="shared" si="87"/>
        <v>2260000</v>
      </c>
      <c r="AL284" s="181">
        <f t="shared" si="93"/>
        <v>83.703703703703695</v>
      </c>
      <c r="AM284" s="243"/>
    </row>
    <row r="285" spans="1:39" ht="28.5" customHeight="1" x14ac:dyDescent="0.25">
      <c r="A285" s="243"/>
      <c r="B285" s="457"/>
      <c r="C285" s="457"/>
      <c r="D285" s="457"/>
      <c r="E285" s="457"/>
      <c r="F285" s="457"/>
      <c r="G285" s="457"/>
      <c r="H285" s="457"/>
      <c r="I285" s="458"/>
      <c r="J285" s="457" t="s">
        <v>282</v>
      </c>
      <c r="K285" s="245"/>
      <c r="L285" s="257"/>
      <c r="M285" s="591" t="s">
        <v>283</v>
      </c>
      <c r="N285" s="592"/>
      <c r="O285" s="179"/>
      <c r="P285" s="180"/>
      <c r="Q285" s="180">
        <v>55878900</v>
      </c>
      <c r="R285" s="181">
        <f t="shared" si="90"/>
        <v>18.575594818011769</v>
      </c>
      <c r="S285" s="181">
        <v>100</v>
      </c>
      <c r="T285" s="180">
        <f t="shared" si="91"/>
        <v>21.910774907881152</v>
      </c>
      <c r="U285" s="180">
        <f t="shared" si="80"/>
        <v>4.0700567683745943</v>
      </c>
      <c r="V285" s="182">
        <f t="shared" si="77"/>
        <v>78.089225092118852</v>
      </c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  <c r="AG285" s="180"/>
      <c r="AH285" s="180"/>
      <c r="AI285" s="180">
        <v>12243500</v>
      </c>
      <c r="AJ285" s="181">
        <f t="shared" si="92"/>
        <v>21.910774907881152</v>
      </c>
      <c r="AK285" s="180">
        <f t="shared" si="87"/>
        <v>43635400</v>
      </c>
      <c r="AL285" s="181">
        <f t="shared" si="93"/>
        <v>78.089225092118852</v>
      </c>
      <c r="AM285" s="243"/>
    </row>
    <row r="286" spans="1:39" ht="28.5" customHeight="1" x14ac:dyDescent="0.25">
      <c r="A286" s="243"/>
      <c r="B286" s="457"/>
      <c r="C286" s="457"/>
      <c r="D286" s="457"/>
      <c r="E286" s="457"/>
      <c r="F286" s="457"/>
      <c r="G286" s="457"/>
      <c r="H286" s="457"/>
      <c r="I286" s="458"/>
      <c r="J286" s="457" t="s">
        <v>320</v>
      </c>
      <c r="K286" s="245"/>
      <c r="L286" s="257"/>
      <c r="M286" s="591" t="s">
        <v>414</v>
      </c>
      <c r="N286" s="592"/>
      <c r="O286" s="179"/>
      <c r="P286" s="180"/>
      <c r="Q286" s="180">
        <v>800000</v>
      </c>
      <c r="R286" s="181">
        <f t="shared" si="90"/>
        <v>0.26594073710129251</v>
      </c>
      <c r="S286" s="181">
        <v>100</v>
      </c>
      <c r="T286" s="180">
        <f t="shared" si="91"/>
        <v>0</v>
      </c>
      <c r="U286" s="180">
        <f t="shared" si="80"/>
        <v>0</v>
      </c>
      <c r="V286" s="182">
        <f t="shared" si="77"/>
        <v>100</v>
      </c>
      <c r="W286" s="180"/>
      <c r="X286" s="180"/>
      <c r="Y286" s="180"/>
      <c r="Z286" s="180"/>
      <c r="AA286" s="180"/>
      <c r="AB286" s="180"/>
      <c r="AC286" s="180"/>
      <c r="AD286" s="180"/>
      <c r="AE286" s="180"/>
      <c r="AF286" s="180"/>
      <c r="AG286" s="180"/>
      <c r="AH286" s="180"/>
      <c r="AI286" s="180">
        <v>0</v>
      </c>
      <c r="AJ286" s="181">
        <f t="shared" si="92"/>
        <v>0</v>
      </c>
      <c r="AK286" s="180">
        <f t="shared" si="87"/>
        <v>800000</v>
      </c>
      <c r="AL286" s="181">
        <f t="shared" si="93"/>
        <v>100</v>
      </c>
      <c r="AM286" s="243"/>
    </row>
    <row r="287" spans="1:39" s="297" customFormat="1" ht="28.5" customHeight="1" x14ac:dyDescent="0.25">
      <c r="A287" s="227">
        <f>A275+1</f>
        <v>39</v>
      </c>
      <c r="B287" s="615" t="s">
        <v>151</v>
      </c>
      <c r="C287" s="615"/>
      <c r="D287" s="615"/>
      <c r="E287" s="615"/>
      <c r="F287" s="615"/>
      <c r="G287" s="615"/>
      <c r="H287" s="615"/>
      <c r="I287" s="614"/>
      <c r="J287" s="304" t="s">
        <v>483</v>
      </c>
      <c r="K287" s="230"/>
      <c r="L287" s="294"/>
      <c r="M287" s="610" t="s">
        <v>42</v>
      </c>
      <c r="N287" s="610"/>
      <c r="O287" s="309">
        <v>128761142</v>
      </c>
      <c r="P287" s="231">
        <f>O287</f>
        <v>128761142</v>
      </c>
      <c r="Q287" s="231">
        <f>SUM(Q288:Q296)</f>
        <v>412682320</v>
      </c>
      <c r="R287" s="233">
        <f>Q287/Q$248*100</f>
        <v>3.4598230373427139</v>
      </c>
      <c r="S287" s="233">
        <v>100</v>
      </c>
      <c r="T287" s="231">
        <f t="shared" si="91"/>
        <v>6.0579285296254035</v>
      </c>
      <c r="U287" s="231">
        <f t="shared" si="80"/>
        <v>0.20959360685373646</v>
      </c>
      <c r="V287" s="296">
        <f t="shared" si="77"/>
        <v>93.9420714703746</v>
      </c>
      <c r="W287" s="231"/>
      <c r="X287" s="231" t="e">
        <f>#REF!</f>
        <v>#REF!</v>
      </c>
      <c r="Y287" s="231" t="e">
        <f>#REF!</f>
        <v>#REF!</v>
      </c>
      <c r="Z287" s="231" t="e">
        <f>#REF!</f>
        <v>#REF!</v>
      </c>
      <c r="AA287" s="231" t="e">
        <f>#REF!</f>
        <v>#REF!</v>
      </c>
      <c r="AB287" s="231">
        <v>11060000</v>
      </c>
      <c r="AC287" s="231" t="e">
        <f>#REF!</f>
        <v>#REF!</v>
      </c>
      <c r="AD287" s="231" t="e">
        <f>#REF!</f>
        <v>#REF!</v>
      </c>
      <c r="AE287" s="231" t="e">
        <f>#REF!</f>
        <v>#REF!</v>
      </c>
      <c r="AF287" s="231" t="e">
        <f>[1]April!N58</f>
        <v>#REF!</v>
      </c>
      <c r="AG287" s="231">
        <v>137440000</v>
      </c>
      <c r="AH287" s="231">
        <f>'[3]DES SKPD'!$N58</f>
        <v>133587000</v>
      </c>
      <c r="AI287" s="231">
        <f>SUM(AI288:AI296)</f>
        <v>25000000</v>
      </c>
      <c r="AJ287" s="233">
        <f t="shared" si="92"/>
        <v>6.0579285296254035</v>
      </c>
      <c r="AK287" s="231">
        <f t="shared" si="87"/>
        <v>387682320</v>
      </c>
      <c r="AL287" s="233">
        <f t="shared" si="93"/>
        <v>93.9420714703746</v>
      </c>
      <c r="AM287" s="227"/>
    </row>
    <row r="288" spans="1:39" ht="28.5" customHeight="1" x14ac:dyDescent="0.25">
      <c r="A288" s="243"/>
      <c r="B288" s="457"/>
      <c r="C288" s="457"/>
      <c r="D288" s="457"/>
      <c r="E288" s="457"/>
      <c r="F288" s="457"/>
      <c r="G288" s="457"/>
      <c r="H288" s="457"/>
      <c r="I288" s="458"/>
      <c r="J288" s="457" t="s">
        <v>257</v>
      </c>
      <c r="K288" s="245"/>
      <c r="L288" s="257"/>
      <c r="M288" s="591" t="s">
        <v>260</v>
      </c>
      <c r="N288" s="592"/>
      <c r="O288" s="179"/>
      <c r="P288" s="180"/>
      <c r="Q288" s="180">
        <v>1540000</v>
      </c>
      <c r="R288" s="181">
        <f>Q288/Q$297*100</f>
        <v>0.51971035259647624</v>
      </c>
      <c r="S288" s="181">
        <v>100</v>
      </c>
      <c r="T288" s="180">
        <f t="shared" si="91"/>
        <v>0</v>
      </c>
      <c r="U288" s="180">
        <f t="shared" si="80"/>
        <v>0</v>
      </c>
      <c r="V288" s="182">
        <f t="shared" si="77"/>
        <v>100</v>
      </c>
      <c r="W288" s="180"/>
      <c r="X288" s="180"/>
      <c r="Y288" s="180"/>
      <c r="Z288" s="180"/>
      <c r="AA288" s="180"/>
      <c r="AB288" s="180"/>
      <c r="AC288" s="180"/>
      <c r="AD288" s="180"/>
      <c r="AE288" s="180"/>
      <c r="AF288" s="180"/>
      <c r="AG288" s="180"/>
      <c r="AH288" s="180"/>
      <c r="AI288" s="180">
        <v>0</v>
      </c>
      <c r="AJ288" s="181">
        <f t="shared" si="92"/>
        <v>0</v>
      </c>
      <c r="AK288" s="180">
        <f t="shared" si="87"/>
        <v>1540000</v>
      </c>
      <c r="AL288" s="181">
        <f t="shared" si="93"/>
        <v>100</v>
      </c>
      <c r="AM288" s="243"/>
    </row>
    <row r="289" spans="1:39" ht="28.5" customHeight="1" x14ac:dyDescent="0.25">
      <c r="A289" s="243"/>
      <c r="B289" s="457"/>
      <c r="C289" s="457"/>
      <c r="D289" s="457"/>
      <c r="E289" s="457"/>
      <c r="F289" s="457"/>
      <c r="G289" s="457"/>
      <c r="H289" s="457"/>
      <c r="I289" s="458"/>
      <c r="J289" s="457" t="s">
        <v>326</v>
      </c>
      <c r="K289" s="245"/>
      <c r="L289" s="257"/>
      <c r="M289" s="591" t="s">
        <v>327</v>
      </c>
      <c r="N289" s="592"/>
      <c r="O289" s="179"/>
      <c r="P289" s="180"/>
      <c r="Q289" s="180">
        <v>255600000</v>
      </c>
      <c r="R289" s="181">
        <f>Q289/Q$297*100</f>
        <v>86.258419560817757</v>
      </c>
      <c r="S289" s="181">
        <v>100</v>
      </c>
      <c r="T289" s="180">
        <f>AJ289</f>
        <v>0</v>
      </c>
      <c r="U289" s="180">
        <f>R289*T289/100</f>
        <v>0</v>
      </c>
      <c r="V289" s="182">
        <f>S289-T289</f>
        <v>100</v>
      </c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  <c r="AG289" s="180"/>
      <c r="AH289" s="180"/>
      <c r="AI289" s="180">
        <v>0</v>
      </c>
      <c r="AJ289" s="181">
        <f t="shared" si="92"/>
        <v>0</v>
      </c>
      <c r="AK289" s="180">
        <f t="shared" si="87"/>
        <v>255600000</v>
      </c>
      <c r="AL289" s="181">
        <f t="shared" si="93"/>
        <v>100</v>
      </c>
      <c r="AM289" s="243"/>
    </row>
    <row r="290" spans="1:39" ht="28.5" customHeight="1" x14ac:dyDescent="0.25">
      <c r="A290" s="243"/>
      <c r="B290" s="457"/>
      <c r="C290" s="457"/>
      <c r="D290" s="457"/>
      <c r="E290" s="457"/>
      <c r="F290" s="457"/>
      <c r="G290" s="457"/>
      <c r="H290" s="457"/>
      <c r="I290" s="458"/>
      <c r="J290" s="457" t="s">
        <v>604</v>
      </c>
      <c r="K290" s="245"/>
      <c r="L290" s="257"/>
      <c r="M290" s="591" t="s">
        <v>324</v>
      </c>
      <c r="N290" s="592"/>
      <c r="O290" s="179"/>
      <c r="P290" s="180"/>
      <c r="Q290" s="180">
        <v>10000000</v>
      </c>
      <c r="R290" s="181"/>
      <c r="S290" s="181">
        <v>100</v>
      </c>
      <c r="T290" s="180">
        <f>AJ290</f>
        <v>0</v>
      </c>
      <c r="U290" s="180"/>
      <c r="V290" s="182">
        <f>S290-T290</f>
        <v>100</v>
      </c>
      <c r="W290" s="180"/>
      <c r="X290" s="180"/>
      <c r="Y290" s="180"/>
      <c r="Z290" s="180"/>
      <c r="AA290" s="180"/>
      <c r="AB290" s="180"/>
      <c r="AC290" s="180"/>
      <c r="AD290" s="180"/>
      <c r="AE290" s="180"/>
      <c r="AF290" s="180"/>
      <c r="AG290" s="180"/>
      <c r="AH290" s="180"/>
      <c r="AI290" s="180">
        <v>0</v>
      </c>
      <c r="AJ290" s="181">
        <f t="shared" si="92"/>
        <v>0</v>
      </c>
      <c r="AK290" s="180">
        <f t="shared" si="87"/>
        <v>10000000</v>
      </c>
      <c r="AL290" s="181">
        <f t="shared" si="93"/>
        <v>100</v>
      </c>
      <c r="AM290" s="243"/>
    </row>
    <row r="291" spans="1:39" ht="28.5" customHeight="1" x14ac:dyDescent="0.25">
      <c r="A291" s="243"/>
      <c r="B291" s="457"/>
      <c r="C291" s="457"/>
      <c r="D291" s="457"/>
      <c r="E291" s="457"/>
      <c r="F291" s="457"/>
      <c r="G291" s="457"/>
      <c r="H291" s="457"/>
      <c r="I291" s="458"/>
      <c r="J291" s="457" t="s">
        <v>269</v>
      </c>
      <c r="K291" s="245"/>
      <c r="L291" s="257"/>
      <c r="M291" s="591" t="s">
        <v>270</v>
      </c>
      <c r="N291" s="592"/>
      <c r="O291" s="179"/>
      <c r="P291" s="180"/>
      <c r="Q291" s="180">
        <v>25000000</v>
      </c>
      <c r="R291" s="181">
        <f t="shared" ref="R291:R296" si="94">Q291/Q$297*100</f>
        <v>8.4368563733194204</v>
      </c>
      <c r="S291" s="181">
        <v>100</v>
      </c>
      <c r="T291" s="180">
        <f t="shared" si="91"/>
        <v>100</v>
      </c>
      <c r="U291" s="180">
        <f t="shared" si="80"/>
        <v>8.4368563733194204</v>
      </c>
      <c r="V291" s="182">
        <f t="shared" si="77"/>
        <v>0</v>
      </c>
      <c r="W291" s="180"/>
      <c r="X291" s="180"/>
      <c r="Y291" s="180"/>
      <c r="Z291" s="180"/>
      <c r="AA291" s="180"/>
      <c r="AB291" s="180"/>
      <c r="AC291" s="180"/>
      <c r="AD291" s="180"/>
      <c r="AE291" s="180"/>
      <c r="AF291" s="180"/>
      <c r="AG291" s="180"/>
      <c r="AH291" s="180"/>
      <c r="AI291" s="180">
        <v>25000000</v>
      </c>
      <c r="AJ291" s="181">
        <f t="shared" si="92"/>
        <v>100</v>
      </c>
      <c r="AK291" s="180">
        <f t="shared" si="87"/>
        <v>0</v>
      </c>
      <c r="AL291" s="181">
        <f t="shared" si="93"/>
        <v>0</v>
      </c>
      <c r="AM291" s="243"/>
    </row>
    <row r="292" spans="1:39" ht="28.5" customHeight="1" x14ac:dyDescent="0.25">
      <c r="A292" s="243"/>
      <c r="B292" s="457"/>
      <c r="C292" s="457"/>
      <c r="D292" s="457"/>
      <c r="E292" s="457"/>
      <c r="F292" s="457"/>
      <c r="G292" s="457"/>
      <c r="H292" s="457"/>
      <c r="I292" s="458"/>
      <c r="J292" s="457" t="s">
        <v>315</v>
      </c>
      <c r="K292" s="245"/>
      <c r="L292" s="257"/>
      <c r="M292" s="591" t="s">
        <v>271</v>
      </c>
      <c r="N292" s="592"/>
      <c r="O292" s="179"/>
      <c r="P292" s="180"/>
      <c r="Q292" s="180">
        <v>1000000</v>
      </c>
      <c r="R292" s="181">
        <f t="shared" si="94"/>
        <v>0.33747425493277683</v>
      </c>
      <c r="S292" s="181">
        <v>100</v>
      </c>
      <c r="T292" s="180">
        <f t="shared" si="91"/>
        <v>0</v>
      </c>
      <c r="U292" s="180">
        <f t="shared" si="80"/>
        <v>0</v>
      </c>
      <c r="V292" s="182">
        <f t="shared" si="77"/>
        <v>100</v>
      </c>
      <c r="W292" s="180"/>
      <c r="X292" s="180"/>
      <c r="Y292" s="180"/>
      <c r="Z292" s="180"/>
      <c r="AA292" s="180"/>
      <c r="AB292" s="180"/>
      <c r="AC292" s="180"/>
      <c r="AD292" s="180"/>
      <c r="AE292" s="180"/>
      <c r="AF292" s="180"/>
      <c r="AG292" s="180"/>
      <c r="AH292" s="180"/>
      <c r="AI292" s="180">
        <v>0</v>
      </c>
      <c r="AJ292" s="181">
        <f t="shared" si="92"/>
        <v>0</v>
      </c>
      <c r="AK292" s="180">
        <f t="shared" si="87"/>
        <v>1000000</v>
      </c>
      <c r="AL292" s="181">
        <f t="shared" si="93"/>
        <v>100</v>
      </c>
      <c r="AM292" s="243"/>
    </row>
    <row r="293" spans="1:39" ht="28.5" customHeight="1" x14ac:dyDescent="0.25">
      <c r="A293" s="243"/>
      <c r="B293" s="457"/>
      <c r="C293" s="457"/>
      <c r="D293" s="457"/>
      <c r="E293" s="457"/>
      <c r="F293" s="457"/>
      <c r="G293" s="457"/>
      <c r="H293" s="457"/>
      <c r="I293" s="458"/>
      <c r="J293" s="457" t="s">
        <v>318</v>
      </c>
      <c r="K293" s="245"/>
      <c r="L293" s="257"/>
      <c r="M293" s="591" t="s">
        <v>319</v>
      </c>
      <c r="N293" s="592"/>
      <c r="O293" s="179"/>
      <c r="P293" s="180"/>
      <c r="Q293" s="180">
        <v>105482320</v>
      </c>
      <c r="R293" s="181">
        <f t="shared" si="94"/>
        <v>35.597567350580746</v>
      </c>
      <c r="S293" s="181">
        <v>100</v>
      </c>
      <c r="T293" s="180">
        <f t="shared" si="91"/>
        <v>0</v>
      </c>
      <c r="U293" s="180"/>
      <c r="V293" s="182">
        <f t="shared" si="77"/>
        <v>100</v>
      </c>
      <c r="W293" s="180"/>
      <c r="X293" s="180"/>
      <c r="Y293" s="180"/>
      <c r="Z293" s="180"/>
      <c r="AA293" s="180"/>
      <c r="AB293" s="180"/>
      <c r="AC293" s="180"/>
      <c r="AD293" s="180"/>
      <c r="AE293" s="180"/>
      <c r="AF293" s="180"/>
      <c r="AG293" s="180"/>
      <c r="AH293" s="180"/>
      <c r="AI293" s="180">
        <v>0</v>
      </c>
      <c r="AJ293" s="181">
        <f t="shared" si="92"/>
        <v>0</v>
      </c>
      <c r="AK293" s="180">
        <f t="shared" si="87"/>
        <v>105482320</v>
      </c>
      <c r="AL293" s="181">
        <f t="shared" si="93"/>
        <v>100</v>
      </c>
      <c r="AM293" s="243"/>
    </row>
    <row r="294" spans="1:39" ht="28.5" customHeight="1" x14ac:dyDescent="0.25">
      <c r="A294" s="243"/>
      <c r="B294" s="457"/>
      <c r="C294" s="457"/>
      <c r="D294" s="457"/>
      <c r="E294" s="457"/>
      <c r="F294" s="457"/>
      <c r="G294" s="457"/>
      <c r="H294" s="457"/>
      <c r="I294" s="458"/>
      <c r="J294" s="457" t="s">
        <v>280</v>
      </c>
      <c r="K294" s="245"/>
      <c r="L294" s="257"/>
      <c r="M294" s="591" t="s">
        <v>281</v>
      </c>
      <c r="N294" s="592"/>
      <c r="O294" s="179"/>
      <c r="P294" s="180"/>
      <c r="Q294" s="180">
        <v>13000000</v>
      </c>
      <c r="R294" s="181">
        <f t="shared" si="94"/>
        <v>4.3871653141260989</v>
      </c>
      <c r="S294" s="181">
        <v>100</v>
      </c>
      <c r="T294" s="180">
        <f t="shared" si="91"/>
        <v>0</v>
      </c>
      <c r="U294" s="180">
        <f t="shared" si="80"/>
        <v>0</v>
      </c>
      <c r="V294" s="182">
        <f t="shared" si="77"/>
        <v>100</v>
      </c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>
        <v>0</v>
      </c>
      <c r="AJ294" s="181">
        <f t="shared" si="92"/>
        <v>0</v>
      </c>
      <c r="AK294" s="180">
        <f t="shared" si="87"/>
        <v>13000000</v>
      </c>
      <c r="AL294" s="181">
        <f t="shared" si="93"/>
        <v>100</v>
      </c>
      <c r="AM294" s="243"/>
    </row>
    <row r="295" spans="1:39" ht="28.5" customHeight="1" x14ac:dyDescent="0.25">
      <c r="A295" s="243"/>
      <c r="B295" s="457"/>
      <c r="C295" s="457"/>
      <c r="D295" s="457"/>
      <c r="E295" s="457"/>
      <c r="F295" s="457"/>
      <c r="G295" s="457"/>
      <c r="H295" s="457"/>
      <c r="I295" s="458"/>
      <c r="J295" s="457" t="s">
        <v>284</v>
      </c>
      <c r="K295" s="245"/>
      <c r="L295" s="257"/>
      <c r="M295" s="591" t="s">
        <v>600</v>
      </c>
      <c r="N295" s="592"/>
      <c r="O295" s="179"/>
      <c r="P295" s="180"/>
      <c r="Q295" s="180">
        <v>660000</v>
      </c>
      <c r="R295" s="181">
        <f t="shared" si="94"/>
        <v>0.22273300825563269</v>
      </c>
      <c r="S295" s="181">
        <v>100</v>
      </c>
      <c r="T295" s="180">
        <f t="shared" si="91"/>
        <v>0</v>
      </c>
      <c r="U295" s="180"/>
      <c r="V295" s="182">
        <f t="shared" si="77"/>
        <v>100</v>
      </c>
      <c r="W295" s="180"/>
      <c r="X295" s="180"/>
      <c r="Y295" s="180"/>
      <c r="Z295" s="180"/>
      <c r="AA295" s="180"/>
      <c r="AB295" s="180"/>
      <c r="AC295" s="180"/>
      <c r="AD295" s="180"/>
      <c r="AE295" s="180"/>
      <c r="AF295" s="180"/>
      <c r="AG295" s="180"/>
      <c r="AH295" s="180"/>
      <c r="AI295" s="180">
        <v>0</v>
      </c>
      <c r="AJ295" s="181">
        <f t="shared" si="92"/>
        <v>0</v>
      </c>
      <c r="AK295" s="180">
        <f t="shared" si="87"/>
        <v>660000</v>
      </c>
      <c r="AL295" s="181">
        <f t="shared" si="93"/>
        <v>100</v>
      </c>
      <c r="AM295" s="243"/>
    </row>
    <row r="296" spans="1:39" ht="28.5" customHeight="1" x14ac:dyDescent="0.25">
      <c r="A296" s="243"/>
      <c r="B296" s="457"/>
      <c r="C296" s="457"/>
      <c r="D296" s="457"/>
      <c r="E296" s="457"/>
      <c r="F296" s="457"/>
      <c r="G296" s="457"/>
      <c r="H296" s="457"/>
      <c r="I296" s="458"/>
      <c r="J296" s="457" t="s">
        <v>407</v>
      </c>
      <c r="K296" s="245"/>
      <c r="L296" s="257"/>
      <c r="M296" s="591" t="s">
        <v>414</v>
      </c>
      <c r="N296" s="592"/>
      <c r="O296" s="179"/>
      <c r="P296" s="180"/>
      <c r="Q296" s="180">
        <v>400000</v>
      </c>
      <c r="R296" s="181">
        <f t="shared" si="94"/>
        <v>0.13498970197311072</v>
      </c>
      <c r="S296" s="181">
        <v>100</v>
      </c>
      <c r="T296" s="180">
        <f t="shared" si="91"/>
        <v>0</v>
      </c>
      <c r="U296" s="180">
        <f t="shared" si="80"/>
        <v>0</v>
      </c>
      <c r="V296" s="182">
        <f t="shared" si="77"/>
        <v>100</v>
      </c>
      <c r="W296" s="180"/>
      <c r="X296" s="180"/>
      <c r="Y296" s="180"/>
      <c r="Z296" s="180"/>
      <c r="AA296" s="180"/>
      <c r="AB296" s="180"/>
      <c r="AC296" s="180"/>
      <c r="AD296" s="180"/>
      <c r="AE296" s="180"/>
      <c r="AF296" s="180"/>
      <c r="AG296" s="180"/>
      <c r="AH296" s="180"/>
      <c r="AI296" s="180">
        <v>0</v>
      </c>
      <c r="AJ296" s="181">
        <f t="shared" si="92"/>
        <v>0</v>
      </c>
      <c r="AK296" s="180">
        <f t="shared" si="87"/>
        <v>400000</v>
      </c>
      <c r="AL296" s="181">
        <f t="shared" si="93"/>
        <v>100</v>
      </c>
      <c r="AM296" s="243"/>
    </row>
    <row r="297" spans="1:39" s="311" customFormat="1" ht="33" customHeight="1" x14ac:dyDescent="0.25">
      <c r="A297" s="227">
        <f>A287+1</f>
        <v>40</v>
      </c>
      <c r="B297" s="615" t="s">
        <v>147</v>
      </c>
      <c r="C297" s="615"/>
      <c r="D297" s="615"/>
      <c r="E297" s="615"/>
      <c r="F297" s="615"/>
      <c r="G297" s="615"/>
      <c r="H297" s="615"/>
      <c r="I297" s="614"/>
      <c r="J297" s="304" t="s">
        <v>484</v>
      </c>
      <c r="K297" s="230"/>
      <c r="L297" s="294"/>
      <c r="M297" s="609" t="s">
        <v>43</v>
      </c>
      <c r="N297" s="609"/>
      <c r="O297" s="310">
        <v>450820000</v>
      </c>
      <c r="P297" s="231">
        <f>O297</f>
        <v>450820000</v>
      </c>
      <c r="Q297" s="231">
        <f>SUM(Q298:Q308)</f>
        <v>296318900</v>
      </c>
      <c r="R297" s="233">
        <f>Q297/Q$248*100</f>
        <v>2.4842618811972654</v>
      </c>
      <c r="S297" s="233">
        <v>100</v>
      </c>
      <c r="T297" s="231">
        <f t="shared" si="91"/>
        <v>0</v>
      </c>
      <c r="U297" s="231">
        <f t="shared" si="80"/>
        <v>0</v>
      </c>
      <c r="V297" s="296">
        <f t="shared" si="77"/>
        <v>100</v>
      </c>
      <c r="W297" s="231"/>
      <c r="X297" s="231" t="e">
        <f>#REF!</f>
        <v>#REF!</v>
      </c>
      <c r="Y297" s="231" t="e">
        <f>#REF!</f>
        <v>#REF!</v>
      </c>
      <c r="Z297" s="231" t="e">
        <f>#REF!</f>
        <v>#REF!</v>
      </c>
      <c r="AA297" s="231" t="e">
        <f>#REF!</f>
        <v>#REF!</v>
      </c>
      <c r="AB297" s="231">
        <v>0</v>
      </c>
      <c r="AC297" s="231" t="e">
        <f>#REF!</f>
        <v>#REF!</v>
      </c>
      <c r="AD297" s="231" t="e">
        <f>#REF!</f>
        <v>#REF!</v>
      </c>
      <c r="AE297" s="231" t="e">
        <f>#REF!</f>
        <v>#REF!</v>
      </c>
      <c r="AF297" s="231" t="e">
        <f>[1]April!N59</f>
        <v>#REF!</v>
      </c>
      <c r="AG297" s="231" t="e">
        <f>[2]april!N59</f>
        <v>#REF!</v>
      </c>
      <c r="AH297" s="231">
        <f>'[3]DES SKPD'!$N59</f>
        <v>395224250</v>
      </c>
      <c r="AI297" s="231">
        <f>SUM(AI298:AI308)</f>
        <v>0</v>
      </c>
      <c r="AJ297" s="233">
        <f t="shared" si="92"/>
        <v>0</v>
      </c>
      <c r="AK297" s="231">
        <f t="shared" si="87"/>
        <v>296318900</v>
      </c>
      <c r="AL297" s="233">
        <f t="shared" si="93"/>
        <v>100</v>
      </c>
      <c r="AM297" s="227"/>
    </row>
    <row r="298" spans="1:39" ht="28.5" customHeight="1" x14ac:dyDescent="0.25">
      <c r="A298" s="243"/>
      <c r="B298" s="457"/>
      <c r="C298" s="457"/>
      <c r="D298" s="457"/>
      <c r="E298" s="457"/>
      <c r="F298" s="457"/>
      <c r="G298" s="457"/>
      <c r="H298" s="457"/>
      <c r="I298" s="458"/>
      <c r="J298" s="457" t="s">
        <v>257</v>
      </c>
      <c r="K298" s="245"/>
      <c r="L298" s="257"/>
      <c r="M298" s="591" t="s">
        <v>260</v>
      </c>
      <c r="N298" s="592"/>
      <c r="O298" s="179"/>
      <c r="P298" s="180"/>
      <c r="Q298" s="180">
        <v>1540000</v>
      </c>
      <c r="R298" s="181">
        <f>Q298/Q$297*100</f>
        <v>0.51971035259647624</v>
      </c>
      <c r="S298" s="181">
        <v>100</v>
      </c>
      <c r="T298" s="180">
        <f t="shared" si="91"/>
        <v>0</v>
      </c>
      <c r="U298" s="180">
        <f t="shared" si="80"/>
        <v>0</v>
      </c>
      <c r="V298" s="182">
        <f t="shared" ref="V298:V537" si="95">S298-T298</f>
        <v>100</v>
      </c>
      <c r="W298" s="180"/>
      <c r="X298" s="180"/>
      <c r="Y298" s="180"/>
      <c r="Z298" s="180"/>
      <c r="AA298" s="180"/>
      <c r="AB298" s="180"/>
      <c r="AC298" s="180"/>
      <c r="AD298" s="180"/>
      <c r="AE298" s="180"/>
      <c r="AF298" s="180"/>
      <c r="AG298" s="180"/>
      <c r="AH298" s="180"/>
      <c r="AI298" s="180">
        <v>0</v>
      </c>
      <c r="AJ298" s="181">
        <f t="shared" si="92"/>
        <v>0</v>
      </c>
      <c r="AK298" s="180">
        <f t="shared" si="87"/>
        <v>1540000</v>
      </c>
      <c r="AL298" s="181">
        <f t="shared" si="93"/>
        <v>100</v>
      </c>
      <c r="AM298" s="243"/>
    </row>
    <row r="299" spans="1:39" ht="28.5" customHeight="1" x14ac:dyDescent="0.25">
      <c r="A299" s="243"/>
      <c r="B299" s="457"/>
      <c r="C299" s="457"/>
      <c r="D299" s="457"/>
      <c r="E299" s="457"/>
      <c r="F299" s="457"/>
      <c r="G299" s="457"/>
      <c r="H299" s="457"/>
      <c r="I299" s="458"/>
      <c r="J299" s="457" t="s">
        <v>326</v>
      </c>
      <c r="K299" s="245"/>
      <c r="L299" s="257"/>
      <c r="M299" s="591" t="s">
        <v>327</v>
      </c>
      <c r="N299" s="592"/>
      <c r="O299" s="179"/>
      <c r="P299" s="180"/>
      <c r="Q299" s="180">
        <v>140400000</v>
      </c>
      <c r="R299" s="181">
        <f t="shared" ref="R299:R308" si="96">Q299/Q$297*100</f>
        <v>47.381385392561867</v>
      </c>
      <c r="S299" s="181">
        <v>100</v>
      </c>
      <c r="T299" s="180">
        <f t="shared" si="91"/>
        <v>0</v>
      </c>
      <c r="U299" s="180">
        <f t="shared" si="80"/>
        <v>0</v>
      </c>
      <c r="V299" s="182">
        <f t="shared" si="95"/>
        <v>100</v>
      </c>
      <c r="W299" s="180"/>
      <c r="X299" s="180"/>
      <c r="Y299" s="180"/>
      <c r="Z299" s="180"/>
      <c r="AA299" s="180"/>
      <c r="AB299" s="180"/>
      <c r="AC299" s="180"/>
      <c r="AD299" s="180"/>
      <c r="AE299" s="180"/>
      <c r="AF299" s="180"/>
      <c r="AG299" s="180"/>
      <c r="AH299" s="180"/>
      <c r="AI299" s="180">
        <v>0</v>
      </c>
      <c r="AJ299" s="181">
        <f t="shared" si="92"/>
        <v>0</v>
      </c>
      <c r="AK299" s="180">
        <f t="shared" si="87"/>
        <v>140400000</v>
      </c>
      <c r="AL299" s="181">
        <f t="shared" si="93"/>
        <v>100</v>
      </c>
      <c r="AM299" s="243"/>
    </row>
    <row r="300" spans="1:39" ht="28.5" customHeight="1" x14ac:dyDescent="0.25">
      <c r="A300" s="243"/>
      <c r="B300" s="457"/>
      <c r="C300" s="457"/>
      <c r="D300" s="457"/>
      <c r="E300" s="457"/>
      <c r="F300" s="457"/>
      <c r="G300" s="457"/>
      <c r="H300" s="457"/>
      <c r="I300" s="458"/>
      <c r="J300" s="457" t="s">
        <v>323</v>
      </c>
      <c r="K300" s="245"/>
      <c r="L300" s="257"/>
      <c r="M300" s="591" t="s">
        <v>324</v>
      </c>
      <c r="N300" s="592"/>
      <c r="O300" s="179"/>
      <c r="P300" s="180"/>
      <c r="Q300" s="180">
        <v>10000000</v>
      </c>
      <c r="R300" s="181">
        <f t="shared" si="96"/>
        <v>3.3747425493277681</v>
      </c>
      <c r="S300" s="181">
        <v>100</v>
      </c>
      <c r="T300" s="180">
        <f t="shared" si="91"/>
        <v>0</v>
      </c>
      <c r="U300" s="180">
        <f t="shared" si="80"/>
        <v>0</v>
      </c>
      <c r="V300" s="182">
        <f t="shared" si="95"/>
        <v>100</v>
      </c>
      <c r="W300" s="180"/>
      <c r="X300" s="180"/>
      <c r="Y300" s="180"/>
      <c r="Z300" s="180"/>
      <c r="AA300" s="180"/>
      <c r="AB300" s="180"/>
      <c r="AC300" s="180"/>
      <c r="AD300" s="180"/>
      <c r="AE300" s="180"/>
      <c r="AF300" s="180"/>
      <c r="AG300" s="180"/>
      <c r="AH300" s="180"/>
      <c r="AI300" s="180">
        <v>0</v>
      </c>
      <c r="AJ300" s="181">
        <f t="shared" si="92"/>
        <v>0</v>
      </c>
      <c r="AK300" s="180">
        <f t="shared" si="87"/>
        <v>10000000</v>
      </c>
      <c r="AL300" s="181">
        <f t="shared" si="93"/>
        <v>100</v>
      </c>
      <c r="AM300" s="243"/>
    </row>
    <row r="301" spans="1:39" ht="28.5" customHeight="1" x14ac:dyDescent="0.25">
      <c r="A301" s="243"/>
      <c r="B301" s="457"/>
      <c r="C301" s="457"/>
      <c r="D301" s="457"/>
      <c r="E301" s="457"/>
      <c r="F301" s="457"/>
      <c r="G301" s="457"/>
      <c r="H301" s="457"/>
      <c r="I301" s="458"/>
      <c r="J301" s="457" t="s">
        <v>341</v>
      </c>
      <c r="K301" s="245"/>
      <c r="L301" s="257"/>
      <c r="M301" s="591" t="s">
        <v>337</v>
      </c>
      <c r="N301" s="592"/>
      <c r="O301" s="179"/>
      <c r="P301" s="180"/>
      <c r="Q301" s="180">
        <v>10000000</v>
      </c>
      <c r="R301" s="181">
        <f t="shared" si="96"/>
        <v>3.3747425493277681</v>
      </c>
      <c r="S301" s="181">
        <v>100</v>
      </c>
      <c r="T301" s="180">
        <f t="shared" si="91"/>
        <v>0</v>
      </c>
      <c r="U301" s="180">
        <f t="shared" si="80"/>
        <v>0</v>
      </c>
      <c r="V301" s="182">
        <f t="shared" si="95"/>
        <v>100</v>
      </c>
      <c r="W301" s="180"/>
      <c r="X301" s="180"/>
      <c r="Y301" s="180"/>
      <c r="Z301" s="180"/>
      <c r="AA301" s="180"/>
      <c r="AB301" s="180"/>
      <c r="AC301" s="180"/>
      <c r="AD301" s="180"/>
      <c r="AE301" s="180"/>
      <c r="AF301" s="180"/>
      <c r="AG301" s="180"/>
      <c r="AH301" s="180"/>
      <c r="AI301" s="180">
        <v>0</v>
      </c>
      <c r="AJ301" s="181">
        <f t="shared" si="92"/>
        <v>0</v>
      </c>
      <c r="AK301" s="180">
        <f t="shared" si="87"/>
        <v>10000000</v>
      </c>
      <c r="AL301" s="181">
        <f t="shared" si="93"/>
        <v>100</v>
      </c>
      <c r="AM301" s="243"/>
    </row>
    <row r="302" spans="1:39" ht="28.5" customHeight="1" x14ac:dyDescent="0.25">
      <c r="A302" s="243"/>
      <c r="B302" s="457"/>
      <c r="C302" s="457"/>
      <c r="D302" s="457"/>
      <c r="E302" s="457"/>
      <c r="F302" s="457"/>
      <c r="G302" s="457"/>
      <c r="H302" s="457"/>
      <c r="I302" s="458"/>
      <c r="J302" s="457" t="s">
        <v>269</v>
      </c>
      <c r="K302" s="245"/>
      <c r="L302" s="257"/>
      <c r="M302" s="591" t="s">
        <v>270</v>
      </c>
      <c r="N302" s="592"/>
      <c r="O302" s="179"/>
      <c r="P302" s="180"/>
      <c r="Q302" s="180">
        <v>23000000</v>
      </c>
      <c r="R302" s="181">
        <f t="shared" si="96"/>
        <v>7.7619078634538665</v>
      </c>
      <c r="S302" s="181">
        <v>100</v>
      </c>
      <c r="T302" s="180">
        <f t="shared" si="91"/>
        <v>0</v>
      </c>
      <c r="U302" s="180">
        <f t="shared" ref="U302:U365" si="97">R302*T302/100</f>
        <v>0</v>
      </c>
      <c r="V302" s="182">
        <f t="shared" si="95"/>
        <v>100</v>
      </c>
      <c r="W302" s="180"/>
      <c r="X302" s="180"/>
      <c r="Y302" s="180"/>
      <c r="Z302" s="180"/>
      <c r="AA302" s="180"/>
      <c r="AB302" s="180"/>
      <c r="AC302" s="180"/>
      <c r="AD302" s="180"/>
      <c r="AE302" s="180"/>
      <c r="AF302" s="180"/>
      <c r="AG302" s="180"/>
      <c r="AH302" s="180"/>
      <c r="AI302" s="180">
        <v>0</v>
      </c>
      <c r="AJ302" s="181">
        <f t="shared" si="92"/>
        <v>0</v>
      </c>
      <c r="AK302" s="180">
        <f t="shared" si="87"/>
        <v>23000000</v>
      </c>
      <c r="AL302" s="181">
        <f t="shared" si="93"/>
        <v>100</v>
      </c>
      <c r="AM302" s="243"/>
    </row>
    <row r="303" spans="1:39" ht="28.5" customHeight="1" x14ac:dyDescent="0.25">
      <c r="A303" s="243"/>
      <c r="B303" s="457"/>
      <c r="C303" s="457"/>
      <c r="D303" s="457"/>
      <c r="E303" s="457"/>
      <c r="F303" s="457"/>
      <c r="G303" s="457"/>
      <c r="H303" s="457"/>
      <c r="I303" s="458"/>
      <c r="J303" s="457" t="s">
        <v>315</v>
      </c>
      <c r="K303" s="245"/>
      <c r="L303" s="257"/>
      <c r="M303" s="591" t="s">
        <v>271</v>
      </c>
      <c r="N303" s="592"/>
      <c r="O303" s="179"/>
      <c r="P303" s="180"/>
      <c r="Q303" s="180">
        <v>17000000</v>
      </c>
      <c r="R303" s="181">
        <f t="shared" si="96"/>
        <v>5.7370623338572058</v>
      </c>
      <c r="S303" s="181">
        <v>100</v>
      </c>
      <c r="T303" s="180">
        <f t="shared" si="91"/>
        <v>0</v>
      </c>
      <c r="U303" s="180">
        <f t="shared" si="97"/>
        <v>0</v>
      </c>
      <c r="V303" s="182">
        <f t="shared" si="95"/>
        <v>100</v>
      </c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>
        <v>0</v>
      </c>
      <c r="AJ303" s="181">
        <f t="shared" si="92"/>
        <v>0</v>
      </c>
      <c r="AK303" s="180">
        <f t="shared" si="87"/>
        <v>17000000</v>
      </c>
      <c r="AL303" s="181">
        <f t="shared" si="93"/>
        <v>100</v>
      </c>
      <c r="AM303" s="243"/>
    </row>
    <row r="304" spans="1:39" ht="28.5" customHeight="1" x14ac:dyDescent="0.25">
      <c r="A304" s="243"/>
      <c r="B304" s="457"/>
      <c r="C304" s="457"/>
      <c r="D304" s="457"/>
      <c r="E304" s="457"/>
      <c r="F304" s="457"/>
      <c r="G304" s="457"/>
      <c r="H304" s="457"/>
      <c r="I304" s="458"/>
      <c r="J304" s="457" t="s">
        <v>343</v>
      </c>
      <c r="K304" s="245"/>
      <c r="L304" s="257"/>
      <c r="M304" s="591" t="s">
        <v>319</v>
      </c>
      <c r="N304" s="592"/>
      <c r="O304" s="179"/>
      <c r="P304" s="180"/>
      <c r="Q304" s="180">
        <v>32500000</v>
      </c>
      <c r="R304" s="181">
        <f t="shared" si="96"/>
        <v>10.967913285315246</v>
      </c>
      <c r="S304" s="181">
        <v>100</v>
      </c>
      <c r="T304" s="180">
        <f t="shared" si="91"/>
        <v>0</v>
      </c>
      <c r="U304" s="180">
        <f t="shared" si="97"/>
        <v>0</v>
      </c>
      <c r="V304" s="182">
        <f t="shared" si="95"/>
        <v>100</v>
      </c>
      <c r="W304" s="180"/>
      <c r="X304" s="180"/>
      <c r="Y304" s="180"/>
      <c r="Z304" s="180"/>
      <c r="AA304" s="180"/>
      <c r="AB304" s="180"/>
      <c r="AC304" s="180"/>
      <c r="AD304" s="180"/>
      <c r="AE304" s="180"/>
      <c r="AF304" s="180"/>
      <c r="AG304" s="180"/>
      <c r="AH304" s="180"/>
      <c r="AI304" s="180">
        <v>0</v>
      </c>
      <c r="AJ304" s="181">
        <f t="shared" si="92"/>
        <v>0</v>
      </c>
      <c r="AK304" s="180">
        <f t="shared" si="87"/>
        <v>32500000</v>
      </c>
      <c r="AL304" s="181">
        <f t="shared" si="93"/>
        <v>100</v>
      </c>
      <c r="AM304" s="243"/>
    </row>
    <row r="305" spans="1:39" ht="28.5" customHeight="1" x14ac:dyDescent="0.25">
      <c r="A305" s="243"/>
      <c r="B305" s="457"/>
      <c r="C305" s="457"/>
      <c r="D305" s="457"/>
      <c r="E305" s="457"/>
      <c r="F305" s="457"/>
      <c r="G305" s="457"/>
      <c r="H305" s="457"/>
      <c r="I305" s="458"/>
      <c r="J305" s="457" t="s">
        <v>280</v>
      </c>
      <c r="K305" s="245"/>
      <c r="L305" s="257"/>
      <c r="M305" s="591" t="s">
        <v>281</v>
      </c>
      <c r="N305" s="592"/>
      <c r="O305" s="179"/>
      <c r="P305" s="180"/>
      <c r="Q305" s="180">
        <v>6500000</v>
      </c>
      <c r="R305" s="181">
        <f t="shared" si="96"/>
        <v>2.1935826570630494</v>
      </c>
      <c r="S305" s="181">
        <v>100</v>
      </c>
      <c r="T305" s="180">
        <f t="shared" si="91"/>
        <v>0</v>
      </c>
      <c r="U305" s="180">
        <f t="shared" si="97"/>
        <v>0</v>
      </c>
      <c r="V305" s="182">
        <f t="shared" si="95"/>
        <v>100</v>
      </c>
      <c r="W305" s="180"/>
      <c r="X305" s="180"/>
      <c r="Y305" s="180"/>
      <c r="Z305" s="180"/>
      <c r="AA305" s="180"/>
      <c r="AB305" s="180"/>
      <c r="AC305" s="180"/>
      <c r="AD305" s="180"/>
      <c r="AE305" s="180"/>
      <c r="AF305" s="180"/>
      <c r="AG305" s="180"/>
      <c r="AH305" s="180"/>
      <c r="AI305" s="180">
        <v>0</v>
      </c>
      <c r="AJ305" s="181">
        <f t="shared" si="92"/>
        <v>0</v>
      </c>
      <c r="AK305" s="180">
        <f t="shared" si="87"/>
        <v>6500000</v>
      </c>
      <c r="AL305" s="181">
        <f t="shared" si="93"/>
        <v>100</v>
      </c>
      <c r="AM305" s="243"/>
    </row>
    <row r="306" spans="1:39" ht="28.5" customHeight="1" x14ac:dyDescent="0.25">
      <c r="A306" s="243"/>
      <c r="B306" s="457"/>
      <c r="C306" s="457"/>
      <c r="D306" s="457"/>
      <c r="E306" s="457"/>
      <c r="F306" s="457"/>
      <c r="G306" s="457"/>
      <c r="H306" s="457"/>
      <c r="I306" s="458"/>
      <c r="J306" s="457"/>
      <c r="K306" s="245"/>
      <c r="L306" s="257"/>
      <c r="M306" s="591" t="s">
        <v>285</v>
      </c>
      <c r="N306" s="592"/>
      <c r="O306" s="179"/>
      <c r="P306" s="180"/>
      <c r="Q306" s="180">
        <v>660000</v>
      </c>
      <c r="R306" s="181">
        <f t="shared" si="96"/>
        <v>0.22273300825563269</v>
      </c>
      <c r="S306" s="181"/>
      <c r="T306" s="180">
        <f t="shared" si="91"/>
        <v>0</v>
      </c>
      <c r="U306" s="180">
        <f t="shared" si="97"/>
        <v>0</v>
      </c>
      <c r="V306" s="182">
        <f t="shared" si="95"/>
        <v>0</v>
      </c>
      <c r="W306" s="180"/>
      <c r="X306" s="180"/>
      <c r="Y306" s="180"/>
      <c r="Z306" s="180"/>
      <c r="AA306" s="180"/>
      <c r="AB306" s="180"/>
      <c r="AC306" s="180"/>
      <c r="AD306" s="180"/>
      <c r="AE306" s="180"/>
      <c r="AF306" s="180"/>
      <c r="AG306" s="180"/>
      <c r="AH306" s="180"/>
      <c r="AI306" s="180">
        <v>0</v>
      </c>
      <c r="AJ306" s="181">
        <f t="shared" si="92"/>
        <v>0</v>
      </c>
      <c r="AK306" s="180">
        <f t="shared" si="87"/>
        <v>660000</v>
      </c>
      <c r="AL306" s="181">
        <f t="shared" si="93"/>
        <v>100</v>
      </c>
      <c r="AM306" s="243"/>
    </row>
    <row r="307" spans="1:39" ht="28.5" customHeight="1" x14ac:dyDescent="0.25">
      <c r="A307" s="243"/>
      <c r="B307" s="457"/>
      <c r="C307" s="457"/>
      <c r="D307" s="457"/>
      <c r="E307" s="457"/>
      <c r="F307" s="457"/>
      <c r="G307" s="457"/>
      <c r="H307" s="457"/>
      <c r="I307" s="458"/>
      <c r="J307" s="457" t="s">
        <v>282</v>
      </c>
      <c r="K307" s="245"/>
      <c r="L307" s="257"/>
      <c r="M307" s="591" t="s">
        <v>283</v>
      </c>
      <c r="N307" s="592"/>
      <c r="O307" s="179"/>
      <c r="P307" s="180"/>
      <c r="Q307" s="180">
        <v>53918900</v>
      </c>
      <c r="R307" s="181">
        <f t="shared" si="96"/>
        <v>18.1962406042949</v>
      </c>
      <c r="S307" s="181">
        <v>100</v>
      </c>
      <c r="T307" s="180">
        <f t="shared" si="91"/>
        <v>0</v>
      </c>
      <c r="U307" s="180">
        <f t="shared" si="97"/>
        <v>0</v>
      </c>
      <c r="V307" s="182">
        <f t="shared" si="95"/>
        <v>100</v>
      </c>
      <c r="W307" s="180"/>
      <c r="X307" s="180"/>
      <c r="Y307" s="180"/>
      <c r="Z307" s="180"/>
      <c r="AA307" s="180"/>
      <c r="AB307" s="180"/>
      <c r="AC307" s="180"/>
      <c r="AD307" s="180"/>
      <c r="AE307" s="180"/>
      <c r="AF307" s="180"/>
      <c r="AG307" s="180"/>
      <c r="AH307" s="180"/>
      <c r="AI307" s="180">
        <v>0</v>
      </c>
      <c r="AJ307" s="181">
        <f t="shared" si="92"/>
        <v>0</v>
      </c>
      <c r="AK307" s="180">
        <f t="shared" si="87"/>
        <v>53918900</v>
      </c>
      <c r="AL307" s="181">
        <f t="shared" si="93"/>
        <v>100</v>
      </c>
      <c r="AM307" s="243"/>
    </row>
    <row r="308" spans="1:39" ht="28.5" customHeight="1" x14ac:dyDescent="0.25">
      <c r="A308" s="243"/>
      <c r="B308" s="457"/>
      <c r="C308" s="457"/>
      <c r="D308" s="457"/>
      <c r="E308" s="457"/>
      <c r="F308" s="457"/>
      <c r="G308" s="457"/>
      <c r="H308" s="457"/>
      <c r="I308" s="458"/>
      <c r="J308" s="457" t="s">
        <v>407</v>
      </c>
      <c r="K308" s="245"/>
      <c r="L308" s="257"/>
      <c r="M308" s="591" t="s">
        <v>414</v>
      </c>
      <c r="N308" s="592"/>
      <c r="O308" s="179"/>
      <c r="P308" s="180"/>
      <c r="Q308" s="180">
        <v>800000</v>
      </c>
      <c r="R308" s="181">
        <f t="shared" si="96"/>
        <v>0.26997940394622144</v>
      </c>
      <c r="S308" s="181">
        <v>100</v>
      </c>
      <c r="T308" s="180">
        <f t="shared" si="91"/>
        <v>0</v>
      </c>
      <c r="U308" s="180">
        <f t="shared" si="97"/>
        <v>0</v>
      </c>
      <c r="V308" s="182">
        <f t="shared" si="95"/>
        <v>100</v>
      </c>
      <c r="W308" s="180"/>
      <c r="X308" s="180"/>
      <c r="Y308" s="180"/>
      <c r="Z308" s="180"/>
      <c r="AA308" s="180"/>
      <c r="AB308" s="180"/>
      <c r="AC308" s="180"/>
      <c r="AD308" s="180"/>
      <c r="AE308" s="180"/>
      <c r="AF308" s="180"/>
      <c r="AG308" s="180"/>
      <c r="AH308" s="180"/>
      <c r="AI308" s="180">
        <v>0</v>
      </c>
      <c r="AJ308" s="181">
        <f t="shared" si="92"/>
        <v>0</v>
      </c>
      <c r="AK308" s="180">
        <f t="shared" si="87"/>
        <v>800000</v>
      </c>
      <c r="AL308" s="181">
        <f t="shared" si="93"/>
        <v>100</v>
      </c>
      <c r="AM308" s="243"/>
    </row>
    <row r="309" spans="1:39" s="311" customFormat="1" ht="39.75" customHeight="1" x14ac:dyDescent="0.25">
      <c r="A309" s="227">
        <f>A297+1</f>
        <v>41</v>
      </c>
      <c r="B309" s="615" t="s">
        <v>148</v>
      </c>
      <c r="C309" s="615"/>
      <c r="D309" s="615"/>
      <c r="E309" s="615"/>
      <c r="F309" s="615"/>
      <c r="G309" s="615"/>
      <c r="H309" s="615"/>
      <c r="I309" s="614"/>
      <c r="J309" s="304" t="s">
        <v>485</v>
      </c>
      <c r="K309" s="230"/>
      <c r="L309" s="294"/>
      <c r="M309" s="609" t="s">
        <v>44</v>
      </c>
      <c r="N309" s="609"/>
      <c r="O309" s="310">
        <v>100275000</v>
      </c>
      <c r="P309" s="231">
        <f>O309</f>
        <v>100275000</v>
      </c>
      <c r="Q309" s="231">
        <f>SUM(Q310:Q316)</f>
        <v>331985880</v>
      </c>
      <c r="R309" s="233">
        <f>Q309/Q$248*100</f>
        <v>2.783284720548469</v>
      </c>
      <c r="S309" s="233">
        <v>100</v>
      </c>
      <c r="T309" s="231">
        <f t="shared" si="91"/>
        <v>2.284133289042293</v>
      </c>
      <c r="U309" s="231">
        <f t="shared" si="97"/>
        <v>6.357393283087534E-2</v>
      </c>
      <c r="V309" s="296">
        <f t="shared" si="95"/>
        <v>97.715866710957712</v>
      </c>
      <c r="W309" s="231"/>
      <c r="X309" s="231" t="e">
        <f>#REF!</f>
        <v>#REF!</v>
      </c>
      <c r="Y309" s="231" t="e">
        <f>#REF!</f>
        <v>#REF!</v>
      </c>
      <c r="Z309" s="231" t="e">
        <f>#REF!</f>
        <v>#REF!</v>
      </c>
      <c r="AA309" s="231" t="e">
        <f>#REF!</f>
        <v>#REF!</v>
      </c>
      <c r="AB309" s="231">
        <v>0</v>
      </c>
      <c r="AC309" s="231" t="e">
        <f>#REF!</f>
        <v>#REF!</v>
      </c>
      <c r="AD309" s="231" t="e">
        <f>#REF!</f>
        <v>#REF!</v>
      </c>
      <c r="AE309" s="231" t="e">
        <f>#REF!</f>
        <v>#REF!</v>
      </c>
      <c r="AF309" s="231" t="e">
        <f>[1]April!N60</f>
        <v>#REF!</v>
      </c>
      <c r="AG309" s="231" t="e">
        <f>[2]april!N60</f>
        <v>#REF!</v>
      </c>
      <c r="AH309" s="231">
        <f>'[3]DES SKPD'!$N60</f>
        <v>90196500</v>
      </c>
      <c r="AI309" s="231">
        <f>SUM(AI310:AI316)</f>
        <v>7583000</v>
      </c>
      <c r="AJ309" s="233">
        <f t="shared" si="92"/>
        <v>2.284133289042293</v>
      </c>
      <c r="AK309" s="231">
        <f t="shared" si="87"/>
        <v>324402880</v>
      </c>
      <c r="AL309" s="233">
        <f t="shared" si="93"/>
        <v>97.715866710957712</v>
      </c>
      <c r="AM309" s="227"/>
    </row>
    <row r="310" spans="1:39" ht="28.5" customHeight="1" x14ac:dyDescent="0.25">
      <c r="A310" s="243"/>
      <c r="B310" s="457"/>
      <c r="C310" s="457"/>
      <c r="D310" s="457"/>
      <c r="E310" s="457"/>
      <c r="F310" s="457"/>
      <c r="G310" s="457"/>
      <c r="H310" s="457"/>
      <c r="I310" s="458"/>
      <c r="J310" s="457" t="s">
        <v>326</v>
      </c>
      <c r="K310" s="245"/>
      <c r="L310" s="257"/>
      <c r="M310" s="591" t="s">
        <v>327</v>
      </c>
      <c r="N310" s="592"/>
      <c r="O310" s="179"/>
      <c r="P310" s="180"/>
      <c r="Q310" s="180">
        <v>280800000</v>
      </c>
      <c r="R310" s="181">
        <f t="shared" ref="R310:R316" si="98">Q310/Q$309*100</f>
        <v>84.581910531857559</v>
      </c>
      <c r="S310" s="181">
        <v>100</v>
      </c>
      <c r="T310" s="180">
        <f t="shared" si="91"/>
        <v>0</v>
      </c>
      <c r="U310" s="180">
        <f t="shared" si="97"/>
        <v>0</v>
      </c>
      <c r="V310" s="182">
        <f t="shared" si="95"/>
        <v>100</v>
      </c>
      <c r="W310" s="180"/>
      <c r="X310" s="180"/>
      <c r="Y310" s="180"/>
      <c r="Z310" s="180"/>
      <c r="AA310" s="180"/>
      <c r="AB310" s="180"/>
      <c r="AC310" s="180"/>
      <c r="AD310" s="180"/>
      <c r="AE310" s="180"/>
      <c r="AF310" s="180"/>
      <c r="AG310" s="180"/>
      <c r="AH310" s="180"/>
      <c r="AI310" s="180">
        <v>0</v>
      </c>
      <c r="AJ310" s="181">
        <f t="shared" si="92"/>
        <v>0</v>
      </c>
      <c r="AK310" s="180">
        <f t="shared" si="87"/>
        <v>280800000</v>
      </c>
      <c r="AL310" s="181">
        <f t="shared" si="93"/>
        <v>100</v>
      </c>
      <c r="AM310" s="243"/>
    </row>
    <row r="311" spans="1:39" ht="28.5" customHeight="1" x14ac:dyDescent="0.25">
      <c r="A311" s="243"/>
      <c r="B311" s="457"/>
      <c r="C311" s="457"/>
      <c r="D311" s="457"/>
      <c r="E311" s="457"/>
      <c r="F311" s="457"/>
      <c r="G311" s="457"/>
      <c r="H311" s="457"/>
      <c r="I311" s="458"/>
      <c r="J311" s="457" t="s">
        <v>323</v>
      </c>
      <c r="K311" s="245"/>
      <c r="L311" s="257"/>
      <c r="M311" s="591" t="s">
        <v>324</v>
      </c>
      <c r="N311" s="592"/>
      <c r="O311" s="179"/>
      <c r="P311" s="180"/>
      <c r="Q311" s="180">
        <v>4000000</v>
      </c>
      <c r="R311" s="181">
        <f t="shared" si="98"/>
        <v>1.2048705203968313</v>
      </c>
      <c r="S311" s="181">
        <v>100</v>
      </c>
      <c r="T311" s="180">
        <f t="shared" si="91"/>
        <v>51.324999999999996</v>
      </c>
      <c r="U311" s="180">
        <f t="shared" si="97"/>
        <v>0.61839979459367367</v>
      </c>
      <c r="V311" s="182">
        <f t="shared" si="95"/>
        <v>48.675000000000004</v>
      </c>
      <c r="W311" s="180"/>
      <c r="X311" s="180"/>
      <c r="Y311" s="180"/>
      <c r="Z311" s="180"/>
      <c r="AA311" s="180"/>
      <c r="AB311" s="180"/>
      <c r="AC311" s="180"/>
      <c r="AD311" s="180"/>
      <c r="AE311" s="180"/>
      <c r="AF311" s="180"/>
      <c r="AG311" s="180"/>
      <c r="AH311" s="180"/>
      <c r="AI311" s="180">
        <v>2053000</v>
      </c>
      <c r="AJ311" s="181">
        <f t="shared" si="92"/>
        <v>51.324999999999996</v>
      </c>
      <c r="AK311" s="180">
        <f t="shared" si="87"/>
        <v>1947000</v>
      </c>
      <c r="AL311" s="181">
        <f t="shared" si="93"/>
        <v>48.675000000000004</v>
      </c>
      <c r="AM311" s="243"/>
    </row>
    <row r="312" spans="1:39" ht="28.5" customHeight="1" x14ac:dyDescent="0.25">
      <c r="A312" s="243"/>
      <c r="B312" s="457"/>
      <c r="C312" s="457"/>
      <c r="D312" s="457"/>
      <c r="E312" s="457"/>
      <c r="F312" s="457"/>
      <c r="G312" s="457"/>
      <c r="H312" s="457"/>
      <c r="I312" s="458"/>
      <c r="J312" s="457" t="s">
        <v>269</v>
      </c>
      <c r="K312" s="245"/>
      <c r="L312" s="257"/>
      <c r="M312" s="591" t="s">
        <v>270</v>
      </c>
      <c r="N312" s="592"/>
      <c r="O312" s="179"/>
      <c r="P312" s="180"/>
      <c r="Q312" s="180">
        <v>27680000</v>
      </c>
      <c r="R312" s="181">
        <f t="shared" si="98"/>
        <v>8.3377040011460739</v>
      </c>
      <c r="S312" s="181">
        <v>100</v>
      </c>
      <c r="T312" s="180">
        <f t="shared" si="91"/>
        <v>9.6820809248554909</v>
      </c>
      <c r="U312" s="180">
        <f t="shared" si="97"/>
        <v>0.80726324866587706</v>
      </c>
      <c r="V312" s="182">
        <f t="shared" si="95"/>
        <v>90.317919075144516</v>
      </c>
      <c r="W312" s="180"/>
      <c r="X312" s="180"/>
      <c r="Y312" s="180"/>
      <c r="Z312" s="180"/>
      <c r="AA312" s="180"/>
      <c r="AB312" s="180"/>
      <c r="AC312" s="180"/>
      <c r="AD312" s="180"/>
      <c r="AE312" s="180"/>
      <c r="AF312" s="180"/>
      <c r="AG312" s="180"/>
      <c r="AH312" s="180"/>
      <c r="AI312" s="180">
        <v>2680000</v>
      </c>
      <c r="AJ312" s="181">
        <f t="shared" si="92"/>
        <v>9.6820809248554909</v>
      </c>
      <c r="AK312" s="180">
        <f t="shared" si="87"/>
        <v>25000000</v>
      </c>
      <c r="AL312" s="181">
        <f t="shared" si="93"/>
        <v>90.317919075144502</v>
      </c>
      <c r="AM312" s="243"/>
    </row>
    <row r="313" spans="1:39" ht="28.5" customHeight="1" x14ac:dyDescent="0.25">
      <c r="A313" s="243"/>
      <c r="B313" s="457"/>
      <c r="C313" s="457"/>
      <c r="D313" s="457"/>
      <c r="E313" s="457"/>
      <c r="F313" s="457"/>
      <c r="G313" s="457"/>
      <c r="H313" s="457"/>
      <c r="I313" s="458"/>
      <c r="J313" s="457" t="s">
        <v>315</v>
      </c>
      <c r="K313" s="245"/>
      <c r="L313" s="257"/>
      <c r="M313" s="591" t="s">
        <v>271</v>
      </c>
      <c r="N313" s="592"/>
      <c r="O313" s="179"/>
      <c r="P313" s="180"/>
      <c r="Q313" s="180">
        <v>1000000</v>
      </c>
      <c r="R313" s="181">
        <f t="shared" si="98"/>
        <v>0.30121763009920782</v>
      </c>
      <c r="S313" s="181">
        <v>100</v>
      </c>
      <c r="T313" s="180">
        <f t="shared" si="91"/>
        <v>15</v>
      </c>
      <c r="U313" s="180">
        <f t="shared" si="97"/>
        <v>4.5182644514881173E-2</v>
      </c>
      <c r="V313" s="182">
        <f t="shared" si="95"/>
        <v>85</v>
      </c>
      <c r="W313" s="180"/>
      <c r="X313" s="180"/>
      <c r="Y313" s="180"/>
      <c r="Z313" s="180"/>
      <c r="AA313" s="180"/>
      <c r="AB313" s="180"/>
      <c r="AC313" s="180"/>
      <c r="AD313" s="180"/>
      <c r="AE313" s="180"/>
      <c r="AF313" s="180"/>
      <c r="AG313" s="180"/>
      <c r="AH313" s="180"/>
      <c r="AI313" s="180">
        <v>150000</v>
      </c>
      <c r="AJ313" s="181">
        <f t="shared" si="92"/>
        <v>15</v>
      </c>
      <c r="AK313" s="180">
        <f t="shared" ref="AK313:AK359" si="99">Q313-AI313</f>
        <v>850000</v>
      </c>
      <c r="AL313" s="181">
        <f t="shared" si="93"/>
        <v>85</v>
      </c>
      <c r="AM313" s="243"/>
    </row>
    <row r="314" spans="1:39" ht="28.5" customHeight="1" x14ac:dyDescent="0.25">
      <c r="A314" s="243"/>
      <c r="B314" s="457"/>
      <c r="C314" s="457"/>
      <c r="D314" s="457"/>
      <c r="E314" s="457"/>
      <c r="F314" s="457"/>
      <c r="G314" s="457"/>
      <c r="H314" s="457"/>
      <c r="I314" s="458"/>
      <c r="J314" s="457" t="s">
        <v>328</v>
      </c>
      <c r="K314" s="245"/>
      <c r="L314" s="257"/>
      <c r="M314" s="591" t="s">
        <v>329</v>
      </c>
      <c r="N314" s="592"/>
      <c r="O314" s="179"/>
      <c r="P314" s="180"/>
      <c r="Q314" s="180">
        <v>5105880</v>
      </c>
      <c r="R314" s="181">
        <f t="shared" si="98"/>
        <v>1.5379810731709433</v>
      </c>
      <c r="S314" s="181">
        <v>100</v>
      </c>
      <c r="T314" s="180">
        <f t="shared" si="91"/>
        <v>0</v>
      </c>
      <c r="U314" s="180">
        <f t="shared" si="97"/>
        <v>0</v>
      </c>
      <c r="V314" s="182">
        <f t="shared" si="95"/>
        <v>100</v>
      </c>
      <c r="W314" s="180"/>
      <c r="X314" s="180"/>
      <c r="Y314" s="180"/>
      <c r="Z314" s="180"/>
      <c r="AA314" s="180"/>
      <c r="AB314" s="180"/>
      <c r="AC314" s="180"/>
      <c r="AD314" s="180"/>
      <c r="AE314" s="180"/>
      <c r="AF314" s="180"/>
      <c r="AG314" s="180"/>
      <c r="AH314" s="180"/>
      <c r="AI314" s="180">
        <v>0</v>
      </c>
      <c r="AJ314" s="181">
        <f t="shared" si="92"/>
        <v>0</v>
      </c>
      <c r="AK314" s="180">
        <f t="shared" si="99"/>
        <v>5105880</v>
      </c>
      <c r="AL314" s="181">
        <f t="shared" si="93"/>
        <v>100</v>
      </c>
      <c r="AM314" s="243"/>
    </row>
    <row r="315" spans="1:39" ht="28.5" customHeight="1" x14ac:dyDescent="0.25">
      <c r="A315" s="243"/>
      <c r="B315" s="457"/>
      <c r="C315" s="457"/>
      <c r="D315" s="457"/>
      <c r="E315" s="457"/>
      <c r="F315" s="457"/>
      <c r="G315" s="457"/>
      <c r="H315" s="457"/>
      <c r="I315" s="458"/>
      <c r="J315" s="457" t="s">
        <v>280</v>
      </c>
      <c r="K315" s="245"/>
      <c r="L315" s="257"/>
      <c r="M315" s="591" t="s">
        <v>281</v>
      </c>
      <c r="N315" s="592"/>
      <c r="O315" s="179"/>
      <c r="P315" s="180"/>
      <c r="Q315" s="180">
        <v>13000000</v>
      </c>
      <c r="R315" s="181">
        <f t="shared" si="98"/>
        <v>3.9158291912897019</v>
      </c>
      <c r="S315" s="181">
        <v>100</v>
      </c>
      <c r="T315" s="180">
        <f t="shared" si="91"/>
        <v>19.230769230769234</v>
      </c>
      <c r="U315" s="180">
        <f t="shared" si="97"/>
        <v>0.75304407524801975</v>
      </c>
      <c r="V315" s="182">
        <f t="shared" si="95"/>
        <v>80.769230769230774</v>
      </c>
      <c r="W315" s="180"/>
      <c r="X315" s="180"/>
      <c r="Y315" s="180"/>
      <c r="Z315" s="180"/>
      <c r="AA315" s="180"/>
      <c r="AB315" s="180"/>
      <c r="AC315" s="180"/>
      <c r="AD315" s="180"/>
      <c r="AE315" s="180"/>
      <c r="AF315" s="180"/>
      <c r="AG315" s="180"/>
      <c r="AH315" s="180"/>
      <c r="AI315" s="180">
        <v>2500000</v>
      </c>
      <c r="AJ315" s="181">
        <f t="shared" si="92"/>
        <v>19.230769230769234</v>
      </c>
      <c r="AK315" s="180">
        <f t="shared" si="99"/>
        <v>10500000</v>
      </c>
      <c r="AL315" s="181">
        <f t="shared" si="93"/>
        <v>80.769230769230774</v>
      </c>
      <c r="AM315" s="243"/>
    </row>
    <row r="316" spans="1:39" ht="28.5" customHeight="1" x14ac:dyDescent="0.25">
      <c r="A316" s="243"/>
      <c r="B316" s="457"/>
      <c r="C316" s="457"/>
      <c r="D316" s="457"/>
      <c r="E316" s="457"/>
      <c r="F316" s="457"/>
      <c r="G316" s="457"/>
      <c r="H316" s="457"/>
      <c r="I316" s="458"/>
      <c r="J316" s="457" t="s">
        <v>407</v>
      </c>
      <c r="K316" s="245"/>
      <c r="L316" s="257"/>
      <c r="M316" s="591" t="s">
        <v>414</v>
      </c>
      <c r="N316" s="592"/>
      <c r="O316" s="179"/>
      <c r="P316" s="180"/>
      <c r="Q316" s="180">
        <v>400000</v>
      </c>
      <c r="R316" s="181">
        <f t="shared" si="98"/>
        <v>0.12048705203968313</v>
      </c>
      <c r="S316" s="181">
        <v>100</v>
      </c>
      <c r="T316" s="180">
        <f t="shared" si="91"/>
        <v>50</v>
      </c>
      <c r="U316" s="180">
        <f t="shared" si="97"/>
        <v>6.0243526019841565E-2</v>
      </c>
      <c r="V316" s="182">
        <f t="shared" si="95"/>
        <v>50</v>
      </c>
      <c r="W316" s="180"/>
      <c r="X316" s="180"/>
      <c r="Y316" s="180"/>
      <c r="Z316" s="180"/>
      <c r="AA316" s="180"/>
      <c r="AB316" s="180"/>
      <c r="AC316" s="180"/>
      <c r="AD316" s="180"/>
      <c r="AE316" s="180"/>
      <c r="AF316" s="180"/>
      <c r="AG316" s="180"/>
      <c r="AH316" s="180"/>
      <c r="AI316" s="180">
        <v>200000</v>
      </c>
      <c r="AJ316" s="181">
        <f t="shared" si="92"/>
        <v>50</v>
      </c>
      <c r="AK316" s="180">
        <f t="shared" si="99"/>
        <v>200000</v>
      </c>
      <c r="AL316" s="181">
        <f t="shared" si="93"/>
        <v>50</v>
      </c>
      <c r="AM316" s="243"/>
    </row>
    <row r="317" spans="1:39" s="297" customFormat="1" ht="28.5" customHeight="1" x14ac:dyDescent="0.25">
      <c r="A317" s="227">
        <f>A309+1</f>
        <v>42</v>
      </c>
      <c r="B317" s="615" t="s">
        <v>150</v>
      </c>
      <c r="C317" s="615"/>
      <c r="D317" s="615"/>
      <c r="E317" s="615"/>
      <c r="F317" s="615"/>
      <c r="G317" s="615"/>
      <c r="H317" s="615"/>
      <c r="I317" s="614"/>
      <c r="J317" s="304" t="s">
        <v>486</v>
      </c>
      <c r="K317" s="230"/>
      <c r="L317" s="294"/>
      <c r="M317" s="610" t="s">
        <v>45</v>
      </c>
      <c r="N317" s="610"/>
      <c r="O317" s="309">
        <v>803450000</v>
      </c>
      <c r="P317" s="231">
        <f>O317</f>
        <v>803450000</v>
      </c>
      <c r="Q317" s="231">
        <f>SUM(Q318:Q324)</f>
        <v>77953471</v>
      </c>
      <c r="R317" s="233">
        <f>Q317/Q$248*100</f>
        <v>0.65354196614632576</v>
      </c>
      <c r="S317" s="233">
        <v>100</v>
      </c>
      <c r="T317" s="231">
        <f t="shared" si="91"/>
        <v>19.24224772492812</v>
      </c>
      <c r="U317" s="231">
        <f t="shared" si="97"/>
        <v>0.12575616411224189</v>
      </c>
      <c r="V317" s="296">
        <f t="shared" si="95"/>
        <v>80.75775227507188</v>
      </c>
      <c r="W317" s="231"/>
      <c r="X317" s="231" t="e">
        <f>#REF!</f>
        <v>#REF!</v>
      </c>
      <c r="Y317" s="231" t="e">
        <f>#REF!</f>
        <v>#REF!</v>
      </c>
      <c r="Z317" s="231" t="e">
        <f>#REF!</f>
        <v>#REF!</v>
      </c>
      <c r="AA317" s="231" t="e">
        <f>#REF!</f>
        <v>#REF!</v>
      </c>
      <c r="AB317" s="231">
        <v>323021990</v>
      </c>
      <c r="AC317" s="231" t="e">
        <f>#REF!</f>
        <v>#REF!</v>
      </c>
      <c r="AD317" s="231" t="e">
        <f>#REF!</f>
        <v>#REF!</v>
      </c>
      <c r="AE317" s="231" t="e">
        <f>#REF!</f>
        <v>#REF!</v>
      </c>
      <c r="AF317" s="231" t="e">
        <f>[1]April!N61</f>
        <v>#REF!</v>
      </c>
      <c r="AG317" s="231" t="e">
        <f>[2]april!N61</f>
        <v>#REF!</v>
      </c>
      <c r="AH317" s="231">
        <f>'[3]DES SKPD'!$N61</f>
        <v>541082490</v>
      </c>
      <c r="AI317" s="231">
        <f>SUM(AI318:AI324)</f>
        <v>15000000</v>
      </c>
      <c r="AJ317" s="233">
        <f t="shared" si="92"/>
        <v>19.24224772492812</v>
      </c>
      <c r="AK317" s="231">
        <f t="shared" si="99"/>
        <v>62953471</v>
      </c>
      <c r="AL317" s="233">
        <f t="shared" si="93"/>
        <v>80.75775227507188</v>
      </c>
      <c r="AM317" s="227"/>
    </row>
    <row r="318" spans="1:39" ht="28.5" customHeight="1" x14ac:dyDescent="0.25">
      <c r="A318" s="243"/>
      <c r="B318" s="457"/>
      <c r="C318" s="457"/>
      <c r="D318" s="457"/>
      <c r="E318" s="457"/>
      <c r="F318" s="457"/>
      <c r="G318" s="457"/>
      <c r="H318" s="457"/>
      <c r="I318" s="458"/>
      <c r="J318" s="457" t="s">
        <v>326</v>
      </c>
      <c r="K318" s="245"/>
      <c r="L318" s="257"/>
      <c r="M318" s="591" t="s">
        <v>327</v>
      </c>
      <c r="N318" s="592"/>
      <c r="O318" s="179"/>
      <c r="P318" s="180"/>
      <c r="Q318" s="180">
        <v>33500000</v>
      </c>
      <c r="R318" s="181">
        <f t="shared" ref="R318:R324" si="100">Q318/Q$317*100</f>
        <v>42.974353252339462</v>
      </c>
      <c r="S318" s="181">
        <v>100</v>
      </c>
      <c r="T318" s="180">
        <f t="shared" si="91"/>
        <v>0</v>
      </c>
      <c r="U318" s="180">
        <f t="shared" si="97"/>
        <v>0</v>
      </c>
      <c r="V318" s="182">
        <f t="shared" si="95"/>
        <v>100</v>
      </c>
      <c r="W318" s="180"/>
      <c r="X318" s="180"/>
      <c r="Y318" s="180"/>
      <c r="Z318" s="180"/>
      <c r="AA318" s="180"/>
      <c r="AB318" s="180"/>
      <c r="AC318" s="180"/>
      <c r="AD318" s="180"/>
      <c r="AE318" s="180"/>
      <c r="AF318" s="180"/>
      <c r="AG318" s="180"/>
      <c r="AH318" s="180"/>
      <c r="AI318" s="180">
        <v>0</v>
      </c>
      <c r="AJ318" s="181">
        <f t="shared" si="92"/>
        <v>0</v>
      </c>
      <c r="AK318" s="180">
        <f t="shared" si="99"/>
        <v>33500000</v>
      </c>
      <c r="AL318" s="181">
        <f t="shared" si="93"/>
        <v>100</v>
      </c>
      <c r="AM318" s="243"/>
    </row>
    <row r="319" spans="1:39" ht="28.5" customHeight="1" x14ac:dyDescent="0.25">
      <c r="A319" s="243"/>
      <c r="B319" s="457"/>
      <c r="C319" s="457"/>
      <c r="D319" s="457"/>
      <c r="E319" s="457"/>
      <c r="F319" s="457"/>
      <c r="G319" s="457"/>
      <c r="H319" s="457"/>
      <c r="I319" s="458"/>
      <c r="J319" s="457" t="s">
        <v>323</v>
      </c>
      <c r="K319" s="245"/>
      <c r="L319" s="257"/>
      <c r="M319" s="591" t="s">
        <v>324</v>
      </c>
      <c r="N319" s="592"/>
      <c r="O319" s="179"/>
      <c r="P319" s="180"/>
      <c r="Q319" s="180">
        <v>9642000</v>
      </c>
      <c r="R319" s="181">
        <f t="shared" si="100"/>
        <v>12.368916837583795</v>
      </c>
      <c r="S319" s="181">
        <v>100</v>
      </c>
      <c r="T319" s="180">
        <f t="shared" si="91"/>
        <v>0</v>
      </c>
      <c r="U319" s="180">
        <f t="shared" si="97"/>
        <v>0</v>
      </c>
      <c r="V319" s="182">
        <f t="shared" si="95"/>
        <v>100</v>
      </c>
      <c r="W319" s="180"/>
      <c r="X319" s="180"/>
      <c r="Y319" s="180"/>
      <c r="Z319" s="180"/>
      <c r="AA319" s="180"/>
      <c r="AB319" s="180"/>
      <c r="AC319" s="180"/>
      <c r="AD319" s="180"/>
      <c r="AE319" s="180"/>
      <c r="AF319" s="180"/>
      <c r="AG319" s="180"/>
      <c r="AH319" s="180"/>
      <c r="AI319" s="180">
        <v>0</v>
      </c>
      <c r="AJ319" s="181">
        <f t="shared" si="92"/>
        <v>0</v>
      </c>
      <c r="AK319" s="180">
        <f t="shared" si="99"/>
        <v>9642000</v>
      </c>
      <c r="AL319" s="181">
        <f t="shared" si="93"/>
        <v>100</v>
      </c>
      <c r="AM319" s="243"/>
    </row>
    <row r="320" spans="1:39" ht="28.5" customHeight="1" x14ac:dyDescent="0.25">
      <c r="A320" s="243"/>
      <c r="B320" s="457"/>
      <c r="C320" s="457"/>
      <c r="D320" s="457"/>
      <c r="E320" s="457"/>
      <c r="F320" s="457"/>
      <c r="G320" s="457"/>
      <c r="H320" s="457"/>
      <c r="I320" s="458"/>
      <c r="J320" s="457" t="s">
        <v>269</v>
      </c>
      <c r="K320" s="245"/>
      <c r="L320" s="257"/>
      <c r="M320" s="591" t="s">
        <v>270</v>
      </c>
      <c r="N320" s="592"/>
      <c r="O320" s="179"/>
      <c r="P320" s="180"/>
      <c r="Q320" s="180">
        <v>1250000</v>
      </c>
      <c r="R320" s="181">
        <f t="shared" si="100"/>
        <v>1.6035206437440097</v>
      </c>
      <c r="S320" s="181">
        <v>100</v>
      </c>
      <c r="T320" s="180">
        <f t="shared" si="91"/>
        <v>0</v>
      </c>
      <c r="U320" s="180">
        <f t="shared" si="97"/>
        <v>0</v>
      </c>
      <c r="V320" s="182">
        <f t="shared" si="95"/>
        <v>100</v>
      </c>
      <c r="W320" s="180"/>
      <c r="X320" s="180"/>
      <c r="Y320" s="180"/>
      <c r="Z320" s="180"/>
      <c r="AA320" s="180"/>
      <c r="AB320" s="180"/>
      <c r="AC320" s="180"/>
      <c r="AD320" s="180"/>
      <c r="AE320" s="180"/>
      <c r="AF320" s="180"/>
      <c r="AG320" s="180"/>
      <c r="AH320" s="180"/>
      <c r="AI320" s="180">
        <v>0</v>
      </c>
      <c r="AJ320" s="181">
        <f t="shared" si="92"/>
        <v>0</v>
      </c>
      <c r="AK320" s="180">
        <f t="shared" si="99"/>
        <v>1250000</v>
      </c>
      <c r="AL320" s="181">
        <f t="shared" si="93"/>
        <v>100</v>
      </c>
      <c r="AM320" s="243"/>
    </row>
    <row r="321" spans="1:39" ht="28.5" customHeight="1" x14ac:dyDescent="0.25">
      <c r="A321" s="243"/>
      <c r="B321" s="457"/>
      <c r="C321" s="457"/>
      <c r="D321" s="457"/>
      <c r="E321" s="457"/>
      <c r="F321" s="457"/>
      <c r="G321" s="457"/>
      <c r="H321" s="457"/>
      <c r="I321" s="458"/>
      <c r="J321" s="457" t="s">
        <v>315</v>
      </c>
      <c r="K321" s="245"/>
      <c r="L321" s="257"/>
      <c r="M321" s="591" t="s">
        <v>271</v>
      </c>
      <c r="N321" s="592"/>
      <c r="O321" s="179"/>
      <c r="P321" s="180"/>
      <c r="Q321" s="180">
        <v>17421471</v>
      </c>
      <c r="R321" s="181">
        <f t="shared" si="100"/>
        <v>22.348550714310079</v>
      </c>
      <c r="S321" s="181">
        <v>100</v>
      </c>
      <c r="T321" s="180">
        <f t="shared" si="91"/>
        <v>86.100651316986955</v>
      </c>
      <c r="U321" s="180">
        <f t="shared" si="97"/>
        <v>19.242247724928117</v>
      </c>
      <c r="V321" s="182">
        <f t="shared" si="95"/>
        <v>13.899348683013045</v>
      </c>
      <c r="W321" s="180"/>
      <c r="X321" s="180"/>
      <c r="Y321" s="180"/>
      <c r="Z321" s="180"/>
      <c r="AA321" s="180"/>
      <c r="AB321" s="180"/>
      <c r="AC321" s="180"/>
      <c r="AD321" s="180"/>
      <c r="AE321" s="180"/>
      <c r="AF321" s="180"/>
      <c r="AG321" s="180"/>
      <c r="AH321" s="180"/>
      <c r="AI321" s="180">
        <v>15000000</v>
      </c>
      <c r="AJ321" s="181">
        <f t="shared" si="92"/>
        <v>86.100651316986955</v>
      </c>
      <c r="AK321" s="180">
        <f t="shared" si="99"/>
        <v>2421471</v>
      </c>
      <c r="AL321" s="181">
        <f t="shared" si="93"/>
        <v>13.899348683013047</v>
      </c>
      <c r="AM321" s="243"/>
    </row>
    <row r="322" spans="1:39" ht="28.5" customHeight="1" x14ac:dyDescent="0.25">
      <c r="A322" s="243"/>
      <c r="B322" s="457"/>
      <c r="C322" s="457"/>
      <c r="D322" s="457"/>
      <c r="E322" s="457"/>
      <c r="F322" s="457"/>
      <c r="G322" s="457"/>
      <c r="H322" s="457"/>
      <c r="I322" s="458"/>
      <c r="J322" s="457" t="s">
        <v>318</v>
      </c>
      <c r="K322" s="245"/>
      <c r="L322" s="257"/>
      <c r="M322" s="591" t="s">
        <v>281</v>
      </c>
      <c r="N322" s="592"/>
      <c r="O322" s="179"/>
      <c r="P322" s="180"/>
      <c r="Q322" s="180">
        <v>2250000</v>
      </c>
      <c r="R322" s="181">
        <f t="shared" si="100"/>
        <v>2.8863371587392175</v>
      </c>
      <c r="S322" s="181">
        <v>100</v>
      </c>
      <c r="T322" s="180">
        <f t="shared" si="91"/>
        <v>0</v>
      </c>
      <c r="U322" s="180">
        <f t="shared" si="97"/>
        <v>0</v>
      </c>
      <c r="V322" s="182">
        <f t="shared" si="95"/>
        <v>100</v>
      </c>
      <c r="W322" s="180"/>
      <c r="X322" s="180"/>
      <c r="Y322" s="180"/>
      <c r="Z322" s="180"/>
      <c r="AA322" s="180"/>
      <c r="AB322" s="180"/>
      <c r="AC322" s="180"/>
      <c r="AD322" s="180"/>
      <c r="AE322" s="180"/>
      <c r="AF322" s="180"/>
      <c r="AG322" s="180"/>
      <c r="AH322" s="180"/>
      <c r="AI322" s="180">
        <v>0</v>
      </c>
      <c r="AJ322" s="181">
        <f t="shared" si="92"/>
        <v>0</v>
      </c>
      <c r="AK322" s="180">
        <f t="shared" si="99"/>
        <v>2250000</v>
      </c>
      <c r="AL322" s="181">
        <f t="shared" si="93"/>
        <v>100</v>
      </c>
      <c r="AM322" s="243"/>
    </row>
    <row r="323" spans="1:39" ht="28.5" customHeight="1" x14ac:dyDescent="0.25">
      <c r="A323" s="243"/>
      <c r="B323" s="457"/>
      <c r="C323" s="457"/>
      <c r="D323" s="457"/>
      <c r="E323" s="457"/>
      <c r="F323" s="457"/>
      <c r="G323" s="457"/>
      <c r="H323" s="457"/>
      <c r="I323" s="458"/>
      <c r="J323" s="457" t="s">
        <v>284</v>
      </c>
      <c r="K323" s="245"/>
      <c r="L323" s="257"/>
      <c r="M323" s="591" t="s">
        <v>285</v>
      </c>
      <c r="N323" s="592"/>
      <c r="O323" s="179"/>
      <c r="P323" s="180"/>
      <c r="Q323" s="180">
        <v>2640000</v>
      </c>
      <c r="R323" s="181">
        <f t="shared" si="100"/>
        <v>3.3866355995873487</v>
      </c>
      <c r="S323" s="181">
        <v>100</v>
      </c>
      <c r="T323" s="180">
        <f t="shared" si="91"/>
        <v>0</v>
      </c>
      <c r="U323" s="180">
        <f t="shared" si="97"/>
        <v>0</v>
      </c>
      <c r="V323" s="182">
        <f t="shared" si="95"/>
        <v>100</v>
      </c>
      <c r="W323" s="180"/>
      <c r="X323" s="180"/>
      <c r="Y323" s="180"/>
      <c r="Z323" s="180"/>
      <c r="AA323" s="180"/>
      <c r="AB323" s="180"/>
      <c r="AC323" s="180"/>
      <c r="AD323" s="180"/>
      <c r="AE323" s="180"/>
      <c r="AF323" s="180"/>
      <c r="AG323" s="180"/>
      <c r="AH323" s="180"/>
      <c r="AI323" s="180">
        <v>0</v>
      </c>
      <c r="AJ323" s="181">
        <f t="shared" si="92"/>
        <v>0</v>
      </c>
      <c r="AK323" s="180">
        <f t="shared" si="99"/>
        <v>2640000</v>
      </c>
      <c r="AL323" s="181">
        <f t="shared" si="93"/>
        <v>100</v>
      </c>
      <c r="AM323" s="243"/>
    </row>
    <row r="324" spans="1:39" ht="28.5" customHeight="1" x14ac:dyDescent="0.25">
      <c r="A324" s="243"/>
      <c r="B324" s="457"/>
      <c r="C324" s="457"/>
      <c r="D324" s="457"/>
      <c r="E324" s="457"/>
      <c r="F324" s="457"/>
      <c r="G324" s="457"/>
      <c r="H324" s="457"/>
      <c r="I324" s="458"/>
      <c r="J324" s="457" t="s">
        <v>282</v>
      </c>
      <c r="K324" s="245"/>
      <c r="L324" s="257"/>
      <c r="M324" s="591" t="s">
        <v>283</v>
      </c>
      <c r="N324" s="592"/>
      <c r="O324" s="179"/>
      <c r="P324" s="180"/>
      <c r="Q324" s="180">
        <v>11250000</v>
      </c>
      <c r="R324" s="181">
        <f t="shared" si="100"/>
        <v>14.431685793696088</v>
      </c>
      <c r="S324" s="181">
        <v>100</v>
      </c>
      <c r="T324" s="180">
        <f t="shared" si="91"/>
        <v>0</v>
      </c>
      <c r="U324" s="180">
        <f t="shared" si="97"/>
        <v>0</v>
      </c>
      <c r="V324" s="182">
        <f t="shared" si="95"/>
        <v>100</v>
      </c>
      <c r="W324" s="180"/>
      <c r="X324" s="180"/>
      <c r="Y324" s="180"/>
      <c r="Z324" s="180"/>
      <c r="AA324" s="180"/>
      <c r="AB324" s="180"/>
      <c r="AC324" s="180"/>
      <c r="AD324" s="180"/>
      <c r="AE324" s="180"/>
      <c r="AF324" s="180"/>
      <c r="AG324" s="180"/>
      <c r="AH324" s="180"/>
      <c r="AI324" s="180">
        <v>0</v>
      </c>
      <c r="AJ324" s="181">
        <f t="shared" si="92"/>
        <v>0</v>
      </c>
      <c r="AK324" s="180">
        <f t="shared" si="99"/>
        <v>11250000</v>
      </c>
      <c r="AL324" s="181">
        <f t="shared" si="93"/>
        <v>100</v>
      </c>
      <c r="AM324" s="243"/>
    </row>
    <row r="325" spans="1:39" s="297" customFormat="1" ht="47.25" customHeight="1" x14ac:dyDescent="0.25">
      <c r="A325" s="227">
        <f>A317+1</f>
        <v>43</v>
      </c>
      <c r="B325" s="615" t="s">
        <v>151</v>
      </c>
      <c r="C325" s="615"/>
      <c r="D325" s="615"/>
      <c r="E325" s="615"/>
      <c r="F325" s="615"/>
      <c r="G325" s="615"/>
      <c r="H325" s="615"/>
      <c r="I325" s="614"/>
      <c r="J325" s="304" t="s">
        <v>487</v>
      </c>
      <c r="K325" s="230"/>
      <c r="L325" s="294"/>
      <c r="M325" s="610" t="s">
        <v>46</v>
      </c>
      <c r="N325" s="610"/>
      <c r="O325" s="309">
        <v>66400000</v>
      </c>
      <c r="P325" s="231">
        <f>O325</f>
        <v>66400000</v>
      </c>
      <c r="Q325" s="231">
        <f>SUM(Q326:Q331)</f>
        <v>38384665</v>
      </c>
      <c r="R325" s="233">
        <f>Q325/Q$248*100</f>
        <v>0.32180721540889506</v>
      </c>
      <c r="S325" s="233">
        <v>100</v>
      </c>
      <c r="T325" s="231">
        <f t="shared" si="91"/>
        <v>0</v>
      </c>
      <c r="U325" s="231">
        <f t="shared" si="97"/>
        <v>0</v>
      </c>
      <c r="V325" s="296">
        <f t="shared" si="95"/>
        <v>100</v>
      </c>
      <c r="W325" s="231"/>
      <c r="X325" s="231" t="e">
        <f>#REF!</f>
        <v>#REF!</v>
      </c>
      <c r="Y325" s="231" t="e">
        <f>#REF!</f>
        <v>#REF!</v>
      </c>
      <c r="Z325" s="231" t="e">
        <f>#REF!</f>
        <v>#REF!</v>
      </c>
      <c r="AA325" s="231" t="e">
        <f>#REF!</f>
        <v>#REF!</v>
      </c>
      <c r="AB325" s="231">
        <v>323021990</v>
      </c>
      <c r="AC325" s="231" t="e">
        <f>#REF!</f>
        <v>#REF!</v>
      </c>
      <c r="AD325" s="231" t="e">
        <f>#REF!</f>
        <v>#REF!</v>
      </c>
      <c r="AE325" s="231" t="e">
        <f>#REF!</f>
        <v>#REF!</v>
      </c>
      <c r="AF325" s="231" t="e">
        <f>[1]April!N62</f>
        <v>#REF!</v>
      </c>
      <c r="AG325" s="231" t="e">
        <f>[2]april!N62</f>
        <v>#REF!</v>
      </c>
      <c r="AH325" s="231">
        <f>'[3]DES SKPD'!$N62</f>
        <v>58437000</v>
      </c>
      <c r="AI325" s="231">
        <f>SUM(AI326:AI331)</f>
        <v>0</v>
      </c>
      <c r="AJ325" s="233">
        <f t="shared" si="92"/>
        <v>0</v>
      </c>
      <c r="AK325" s="231">
        <f t="shared" si="99"/>
        <v>38384665</v>
      </c>
      <c r="AL325" s="233">
        <f t="shared" si="93"/>
        <v>100</v>
      </c>
      <c r="AM325" s="227"/>
    </row>
    <row r="326" spans="1:39" ht="28.5" customHeight="1" x14ac:dyDescent="0.25">
      <c r="A326" s="243"/>
      <c r="B326" s="457"/>
      <c r="C326" s="457"/>
      <c r="D326" s="457"/>
      <c r="E326" s="457"/>
      <c r="F326" s="457"/>
      <c r="G326" s="457"/>
      <c r="H326" s="457"/>
      <c r="I326" s="458"/>
      <c r="J326" s="457" t="s">
        <v>326</v>
      </c>
      <c r="K326" s="245"/>
      <c r="L326" s="257"/>
      <c r="M326" s="591" t="s">
        <v>327</v>
      </c>
      <c r="N326" s="592"/>
      <c r="O326" s="179"/>
      <c r="P326" s="180"/>
      <c r="Q326" s="180">
        <v>16750000</v>
      </c>
      <c r="R326" s="181">
        <f t="shared" ref="R326:R331" si="101">Q326/Q$325*100</f>
        <v>43.637218144277142</v>
      </c>
      <c r="S326" s="181">
        <v>100</v>
      </c>
      <c r="T326" s="180">
        <f t="shared" si="91"/>
        <v>0</v>
      </c>
      <c r="U326" s="180">
        <f t="shared" si="97"/>
        <v>0</v>
      </c>
      <c r="V326" s="182">
        <f t="shared" si="95"/>
        <v>100</v>
      </c>
      <c r="W326" s="180"/>
      <c r="X326" s="180"/>
      <c r="Y326" s="180"/>
      <c r="Z326" s="180"/>
      <c r="AA326" s="180"/>
      <c r="AB326" s="180"/>
      <c r="AC326" s="180"/>
      <c r="AD326" s="180"/>
      <c r="AE326" s="180"/>
      <c r="AF326" s="180"/>
      <c r="AG326" s="180"/>
      <c r="AH326" s="180"/>
      <c r="AI326" s="180">
        <v>0</v>
      </c>
      <c r="AJ326" s="181">
        <f t="shared" si="92"/>
        <v>0</v>
      </c>
      <c r="AK326" s="180">
        <f t="shared" si="99"/>
        <v>16750000</v>
      </c>
      <c r="AL326" s="181">
        <f t="shared" si="93"/>
        <v>100</v>
      </c>
      <c r="AM326" s="243"/>
    </row>
    <row r="327" spans="1:39" ht="28.5" customHeight="1" x14ac:dyDescent="0.25">
      <c r="A327" s="243"/>
      <c r="B327" s="457"/>
      <c r="C327" s="457"/>
      <c r="D327" s="457"/>
      <c r="E327" s="457"/>
      <c r="F327" s="457"/>
      <c r="G327" s="457"/>
      <c r="H327" s="457"/>
      <c r="I327" s="458"/>
      <c r="J327" s="457" t="s">
        <v>323</v>
      </c>
      <c r="K327" s="245"/>
      <c r="L327" s="257"/>
      <c r="M327" s="591" t="s">
        <v>324</v>
      </c>
      <c r="N327" s="592"/>
      <c r="O327" s="179"/>
      <c r="P327" s="180"/>
      <c r="Q327" s="180">
        <v>5934000</v>
      </c>
      <c r="R327" s="181">
        <f t="shared" si="101"/>
        <v>15.459298654814363</v>
      </c>
      <c r="S327" s="181">
        <v>100</v>
      </c>
      <c r="T327" s="180">
        <f t="shared" si="91"/>
        <v>0</v>
      </c>
      <c r="U327" s="180">
        <f t="shared" si="97"/>
        <v>0</v>
      </c>
      <c r="V327" s="182">
        <f t="shared" si="95"/>
        <v>100</v>
      </c>
      <c r="W327" s="180"/>
      <c r="X327" s="180"/>
      <c r="Y327" s="180"/>
      <c r="Z327" s="180"/>
      <c r="AA327" s="180"/>
      <c r="AB327" s="180"/>
      <c r="AC327" s="180"/>
      <c r="AD327" s="180"/>
      <c r="AE327" s="180"/>
      <c r="AF327" s="180"/>
      <c r="AG327" s="180"/>
      <c r="AH327" s="180"/>
      <c r="AI327" s="180">
        <v>0</v>
      </c>
      <c r="AJ327" s="181">
        <f t="shared" si="92"/>
        <v>0</v>
      </c>
      <c r="AK327" s="180">
        <f t="shared" si="99"/>
        <v>5934000</v>
      </c>
      <c r="AL327" s="181">
        <f t="shared" si="93"/>
        <v>100</v>
      </c>
      <c r="AM327" s="243"/>
    </row>
    <row r="328" spans="1:39" ht="28.5" customHeight="1" x14ac:dyDescent="0.25">
      <c r="A328" s="243"/>
      <c r="B328" s="457"/>
      <c r="C328" s="457"/>
      <c r="D328" s="457"/>
      <c r="E328" s="457"/>
      <c r="F328" s="457"/>
      <c r="G328" s="457"/>
      <c r="H328" s="457"/>
      <c r="I328" s="458"/>
      <c r="J328" s="457" t="s">
        <v>269</v>
      </c>
      <c r="K328" s="245"/>
      <c r="L328" s="257"/>
      <c r="M328" s="591" t="s">
        <v>270</v>
      </c>
      <c r="N328" s="592"/>
      <c r="O328" s="179"/>
      <c r="P328" s="180"/>
      <c r="Q328" s="180">
        <v>4000000</v>
      </c>
      <c r="R328" s="181">
        <f t="shared" si="101"/>
        <v>10.420828213558723</v>
      </c>
      <c r="S328" s="181">
        <v>100</v>
      </c>
      <c r="T328" s="180">
        <f t="shared" si="91"/>
        <v>0</v>
      </c>
      <c r="U328" s="180">
        <f t="shared" si="97"/>
        <v>0</v>
      </c>
      <c r="V328" s="182">
        <f t="shared" si="95"/>
        <v>100</v>
      </c>
      <c r="W328" s="180"/>
      <c r="X328" s="180"/>
      <c r="Y328" s="180"/>
      <c r="Z328" s="180"/>
      <c r="AA328" s="180"/>
      <c r="AB328" s="180"/>
      <c r="AC328" s="180"/>
      <c r="AD328" s="180"/>
      <c r="AE328" s="180"/>
      <c r="AF328" s="180"/>
      <c r="AG328" s="180"/>
      <c r="AH328" s="180"/>
      <c r="AI328" s="180">
        <v>0</v>
      </c>
      <c r="AJ328" s="181">
        <f t="shared" si="92"/>
        <v>0</v>
      </c>
      <c r="AK328" s="180">
        <f t="shared" si="99"/>
        <v>4000000</v>
      </c>
      <c r="AL328" s="181">
        <f t="shared" si="93"/>
        <v>100</v>
      </c>
      <c r="AM328" s="243"/>
    </row>
    <row r="329" spans="1:39" ht="28.5" customHeight="1" x14ac:dyDescent="0.25">
      <c r="A329" s="243"/>
      <c r="B329" s="457"/>
      <c r="C329" s="457"/>
      <c r="D329" s="457"/>
      <c r="E329" s="457"/>
      <c r="F329" s="457"/>
      <c r="G329" s="457"/>
      <c r="H329" s="457"/>
      <c r="I329" s="458"/>
      <c r="J329" s="457" t="s">
        <v>315</v>
      </c>
      <c r="K329" s="245"/>
      <c r="L329" s="257"/>
      <c r="M329" s="591" t="s">
        <v>271</v>
      </c>
      <c r="N329" s="592"/>
      <c r="O329" s="179"/>
      <c r="P329" s="180"/>
      <c r="Q329" s="180">
        <v>6000000</v>
      </c>
      <c r="R329" s="181">
        <f t="shared" si="101"/>
        <v>15.631242320338082</v>
      </c>
      <c r="S329" s="181">
        <v>100</v>
      </c>
      <c r="T329" s="180">
        <f t="shared" si="91"/>
        <v>0</v>
      </c>
      <c r="U329" s="180">
        <f t="shared" si="97"/>
        <v>0</v>
      </c>
      <c r="V329" s="182">
        <f t="shared" si="95"/>
        <v>100</v>
      </c>
      <c r="W329" s="180"/>
      <c r="X329" s="180"/>
      <c r="Y329" s="180"/>
      <c r="Z329" s="180"/>
      <c r="AA329" s="180"/>
      <c r="AB329" s="180"/>
      <c r="AC329" s="180"/>
      <c r="AD329" s="180"/>
      <c r="AE329" s="180"/>
      <c r="AF329" s="180"/>
      <c r="AG329" s="180"/>
      <c r="AH329" s="180"/>
      <c r="AI329" s="180">
        <v>0</v>
      </c>
      <c r="AJ329" s="181">
        <f t="shared" si="92"/>
        <v>0</v>
      </c>
      <c r="AK329" s="180">
        <f t="shared" si="99"/>
        <v>6000000</v>
      </c>
      <c r="AL329" s="181">
        <f t="shared" si="93"/>
        <v>100</v>
      </c>
      <c r="AM329" s="243"/>
    </row>
    <row r="330" spans="1:39" ht="28.5" customHeight="1" x14ac:dyDescent="0.25">
      <c r="A330" s="243"/>
      <c r="B330" s="457"/>
      <c r="C330" s="457"/>
      <c r="D330" s="457"/>
      <c r="E330" s="457"/>
      <c r="F330" s="457"/>
      <c r="G330" s="457"/>
      <c r="H330" s="457"/>
      <c r="I330" s="458"/>
      <c r="J330" s="457" t="s">
        <v>339</v>
      </c>
      <c r="K330" s="245"/>
      <c r="L330" s="257"/>
      <c r="M330" s="591" t="s">
        <v>340</v>
      </c>
      <c r="N330" s="592"/>
      <c r="O330" s="179"/>
      <c r="P330" s="180"/>
      <c r="Q330" s="180">
        <v>1500000</v>
      </c>
      <c r="R330" s="181">
        <f t="shared" si="101"/>
        <v>3.9078105800845204</v>
      </c>
      <c r="S330" s="181">
        <v>100</v>
      </c>
      <c r="T330" s="180">
        <f t="shared" si="91"/>
        <v>0</v>
      </c>
      <c r="U330" s="180">
        <f t="shared" si="97"/>
        <v>0</v>
      </c>
      <c r="V330" s="182">
        <f t="shared" si="95"/>
        <v>100</v>
      </c>
      <c r="W330" s="180"/>
      <c r="X330" s="180"/>
      <c r="Y330" s="180"/>
      <c r="Z330" s="180"/>
      <c r="AA330" s="180"/>
      <c r="AB330" s="180"/>
      <c r="AC330" s="180"/>
      <c r="AD330" s="180"/>
      <c r="AE330" s="180"/>
      <c r="AF330" s="180"/>
      <c r="AG330" s="180"/>
      <c r="AH330" s="180"/>
      <c r="AI330" s="180">
        <v>0</v>
      </c>
      <c r="AJ330" s="181">
        <f t="shared" si="92"/>
        <v>0</v>
      </c>
      <c r="AK330" s="180">
        <f t="shared" si="99"/>
        <v>1500000</v>
      </c>
      <c r="AL330" s="181">
        <f t="shared" si="93"/>
        <v>100</v>
      </c>
      <c r="AM330" s="243"/>
    </row>
    <row r="331" spans="1:39" ht="28.5" customHeight="1" x14ac:dyDescent="0.25">
      <c r="A331" s="243"/>
      <c r="B331" s="457"/>
      <c r="C331" s="457"/>
      <c r="D331" s="457"/>
      <c r="E331" s="457"/>
      <c r="F331" s="457"/>
      <c r="G331" s="457"/>
      <c r="H331" s="457"/>
      <c r="I331" s="458"/>
      <c r="J331" s="457" t="s">
        <v>282</v>
      </c>
      <c r="K331" s="245"/>
      <c r="L331" s="257"/>
      <c r="M331" s="591" t="s">
        <v>590</v>
      </c>
      <c r="N331" s="592"/>
      <c r="O331" s="179"/>
      <c r="P331" s="180"/>
      <c r="Q331" s="180">
        <v>4200665</v>
      </c>
      <c r="R331" s="181">
        <f t="shared" si="101"/>
        <v>10.943602086927163</v>
      </c>
      <c r="S331" s="181">
        <v>100</v>
      </c>
      <c r="T331" s="180">
        <f t="shared" si="91"/>
        <v>0</v>
      </c>
      <c r="U331" s="180">
        <f t="shared" si="97"/>
        <v>0</v>
      </c>
      <c r="V331" s="182">
        <f t="shared" si="95"/>
        <v>100</v>
      </c>
      <c r="W331" s="180"/>
      <c r="X331" s="180"/>
      <c r="Y331" s="180"/>
      <c r="Z331" s="180"/>
      <c r="AA331" s="180"/>
      <c r="AB331" s="180"/>
      <c r="AC331" s="180"/>
      <c r="AD331" s="180"/>
      <c r="AE331" s="180"/>
      <c r="AF331" s="180"/>
      <c r="AG331" s="180"/>
      <c r="AH331" s="180"/>
      <c r="AI331" s="180">
        <v>0</v>
      </c>
      <c r="AJ331" s="181">
        <f t="shared" si="92"/>
        <v>0</v>
      </c>
      <c r="AK331" s="180">
        <f t="shared" si="99"/>
        <v>4200665</v>
      </c>
      <c r="AL331" s="181">
        <f t="shared" si="93"/>
        <v>100</v>
      </c>
      <c r="AM331" s="243"/>
    </row>
    <row r="332" spans="1:39" s="311" customFormat="1" ht="27.75" customHeight="1" x14ac:dyDescent="0.25">
      <c r="A332" s="227">
        <f>SUM(A325+1)</f>
        <v>44</v>
      </c>
      <c r="B332" s="462"/>
      <c r="C332" s="462"/>
      <c r="D332" s="462"/>
      <c r="E332" s="462"/>
      <c r="F332" s="462"/>
      <c r="G332" s="462"/>
      <c r="H332" s="462"/>
      <c r="I332" s="461"/>
      <c r="J332" s="304" t="s">
        <v>488</v>
      </c>
      <c r="K332" s="230"/>
      <c r="L332" s="294"/>
      <c r="M332" s="609" t="s">
        <v>198</v>
      </c>
      <c r="N332" s="614"/>
      <c r="O332" s="310"/>
      <c r="P332" s="231"/>
      <c r="Q332" s="231">
        <f>SUM(Q333:Q338)</f>
        <v>139532300</v>
      </c>
      <c r="R332" s="233">
        <f>Q332/Q$248*100</f>
        <v>1.1698031211839044</v>
      </c>
      <c r="S332" s="233">
        <v>100</v>
      </c>
      <c r="T332" s="231">
        <f t="shared" si="91"/>
        <v>0</v>
      </c>
      <c r="U332" s="231">
        <f t="shared" si="97"/>
        <v>0</v>
      </c>
      <c r="V332" s="296">
        <f t="shared" si="95"/>
        <v>100</v>
      </c>
      <c r="W332" s="231"/>
      <c r="X332" s="231" t="e">
        <f>#REF!</f>
        <v>#REF!</v>
      </c>
      <c r="Y332" s="231" t="e">
        <f>#REF!</f>
        <v>#REF!</v>
      </c>
      <c r="Z332" s="231" t="e">
        <f>#REF!</f>
        <v>#REF!</v>
      </c>
      <c r="AA332" s="231" t="e">
        <f>#REF!</f>
        <v>#REF!</v>
      </c>
      <c r="AB332" s="231">
        <v>323021990</v>
      </c>
      <c r="AC332" s="231" t="e">
        <f>#REF!</f>
        <v>#REF!</v>
      </c>
      <c r="AD332" s="231" t="e">
        <f>#REF!</f>
        <v>#REF!</v>
      </c>
      <c r="AE332" s="231" t="e">
        <f>#REF!</f>
        <v>#REF!</v>
      </c>
      <c r="AF332" s="231" t="e">
        <f>[1]April!N63</f>
        <v>#REF!</v>
      </c>
      <c r="AG332" s="231" t="e">
        <f>[2]april!N63</f>
        <v>#REF!</v>
      </c>
      <c r="AH332" s="231">
        <f>'[3]DES SKPD'!$N63</f>
        <v>174573000</v>
      </c>
      <c r="AI332" s="231">
        <f>SUM(AI333:AI338)</f>
        <v>0</v>
      </c>
      <c r="AJ332" s="233">
        <f t="shared" si="92"/>
        <v>0</v>
      </c>
      <c r="AK332" s="231">
        <f t="shared" si="99"/>
        <v>139532300</v>
      </c>
      <c r="AL332" s="233">
        <f t="shared" si="93"/>
        <v>100</v>
      </c>
      <c r="AM332" s="227"/>
    </row>
    <row r="333" spans="1:39" ht="27.75" customHeight="1" x14ac:dyDescent="0.25">
      <c r="A333" s="243"/>
      <c r="B333" s="457"/>
      <c r="C333" s="457"/>
      <c r="D333" s="457"/>
      <c r="E333" s="457"/>
      <c r="F333" s="457"/>
      <c r="G333" s="457"/>
      <c r="H333" s="457"/>
      <c r="I333" s="458"/>
      <c r="J333" s="457" t="s">
        <v>257</v>
      </c>
      <c r="K333" s="245"/>
      <c r="L333" s="257"/>
      <c r="M333" s="591" t="s">
        <v>428</v>
      </c>
      <c r="N333" s="592"/>
      <c r="O333" s="179"/>
      <c r="P333" s="180"/>
      <c r="Q333" s="180">
        <v>2000000</v>
      </c>
      <c r="R333" s="181">
        <f t="shared" ref="R333:R338" si="102">Q333/Q$332*100</f>
        <v>1.4333598743803406</v>
      </c>
      <c r="S333" s="181">
        <v>100</v>
      </c>
      <c r="T333" s="180">
        <f t="shared" si="91"/>
        <v>0</v>
      </c>
      <c r="U333" s="180">
        <f t="shared" si="97"/>
        <v>0</v>
      </c>
      <c r="V333" s="182">
        <f t="shared" si="95"/>
        <v>100</v>
      </c>
      <c r="W333" s="180"/>
      <c r="X333" s="180"/>
      <c r="Y333" s="180"/>
      <c r="Z333" s="180"/>
      <c r="AA333" s="180"/>
      <c r="AB333" s="180"/>
      <c r="AC333" s="180"/>
      <c r="AD333" s="180"/>
      <c r="AE333" s="180"/>
      <c r="AF333" s="180"/>
      <c r="AG333" s="180"/>
      <c r="AH333" s="180"/>
      <c r="AI333" s="180">
        <v>0</v>
      </c>
      <c r="AJ333" s="181">
        <f t="shared" si="92"/>
        <v>0</v>
      </c>
      <c r="AK333" s="180">
        <f t="shared" si="99"/>
        <v>2000000</v>
      </c>
      <c r="AL333" s="181">
        <f t="shared" si="93"/>
        <v>100</v>
      </c>
      <c r="AM333" s="243"/>
    </row>
    <row r="334" spans="1:39" ht="27.75" customHeight="1" x14ac:dyDescent="0.25">
      <c r="A334" s="243"/>
      <c r="B334" s="457"/>
      <c r="C334" s="457"/>
      <c r="D334" s="457"/>
      <c r="E334" s="457"/>
      <c r="F334" s="457"/>
      <c r="G334" s="457"/>
      <c r="H334" s="457"/>
      <c r="I334" s="458"/>
      <c r="J334" s="457" t="s">
        <v>259</v>
      </c>
      <c r="K334" s="245"/>
      <c r="L334" s="257"/>
      <c r="M334" s="591" t="s">
        <v>340</v>
      </c>
      <c r="N334" s="592"/>
      <c r="O334" s="179"/>
      <c r="P334" s="180"/>
      <c r="Q334" s="180">
        <v>7500000</v>
      </c>
      <c r="R334" s="181">
        <f t="shared" si="102"/>
        <v>5.3750995289262775</v>
      </c>
      <c r="S334" s="181">
        <v>100</v>
      </c>
      <c r="T334" s="180">
        <f t="shared" si="91"/>
        <v>0</v>
      </c>
      <c r="U334" s="180">
        <f t="shared" si="97"/>
        <v>0</v>
      </c>
      <c r="V334" s="182">
        <f t="shared" si="95"/>
        <v>100</v>
      </c>
      <c r="W334" s="180"/>
      <c r="X334" s="180"/>
      <c r="Y334" s="180"/>
      <c r="Z334" s="180"/>
      <c r="AA334" s="180"/>
      <c r="AB334" s="180"/>
      <c r="AC334" s="180"/>
      <c r="AD334" s="180"/>
      <c r="AE334" s="180"/>
      <c r="AF334" s="180"/>
      <c r="AG334" s="180"/>
      <c r="AH334" s="180"/>
      <c r="AI334" s="180">
        <v>0</v>
      </c>
      <c r="AJ334" s="181">
        <f t="shared" si="92"/>
        <v>0</v>
      </c>
      <c r="AK334" s="180">
        <f t="shared" si="99"/>
        <v>7500000</v>
      </c>
      <c r="AL334" s="181">
        <f t="shared" si="93"/>
        <v>100</v>
      </c>
      <c r="AM334" s="243"/>
    </row>
    <row r="335" spans="1:39" ht="27.75" customHeight="1" x14ac:dyDescent="0.25">
      <c r="A335" s="243"/>
      <c r="B335" s="457"/>
      <c r="C335" s="457"/>
      <c r="D335" s="457"/>
      <c r="E335" s="457"/>
      <c r="F335" s="457"/>
      <c r="G335" s="457"/>
      <c r="H335" s="457"/>
      <c r="I335" s="458"/>
      <c r="J335" s="457" t="s">
        <v>323</v>
      </c>
      <c r="K335" s="245"/>
      <c r="L335" s="257"/>
      <c r="M335" s="591" t="s">
        <v>605</v>
      </c>
      <c r="N335" s="592"/>
      <c r="O335" s="179"/>
      <c r="P335" s="180"/>
      <c r="Q335" s="180">
        <v>24232300</v>
      </c>
      <c r="R335" s="181">
        <f t="shared" si="102"/>
        <v>17.366803241973365</v>
      </c>
      <c r="S335" s="181">
        <v>100</v>
      </c>
      <c r="T335" s="180">
        <f t="shared" si="91"/>
        <v>0</v>
      </c>
      <c r="U335" s="180">
        <f t="shared" si="97"/>
        <v>0</v>
      </c>
      <c r="V335" s="182">
        <f t="shared" si="95"/>
        <v>100</v>
      </c>
      <c r="W335" s="180"/>
      <c r="X335" s="180"/>
      <c r="Y335" s="180"/>
      <c r="Z335" s="180"/>
      <c r="AA335" s="180"/>
      <c r="AB335" s="180"/>
      <c r="AC335" s="180"/>
      <c r="AD335" s="180"/>
      <c r="AE335" s="180"/>
      <c r="AF335" s="180"/>
      <c r="AG335" s="180"/>
      <c r="AH335" s="180"/>
      <c r="AI335" s="180">
        <v>0</v>
      </c>
      <c r="AJ335" s="181">
        <f t="shared" si="92"/>
        <v>0</v>
      </c>
      <c r="AK335" s="180">
        <f t="shared" si="99"/>
        <v>24232300</v>
      </c>
      <c r="AL335" s="181">
        <f t="shared" si="93"/>
        <v>100</v>
      </c>
      <c r="AM335" s="243"/>
    </row>
    <row r="336" spans="1:39" ht="27.75" customHeight="1" x14ac:dyDescent="0.25">
      <c r="A336" s="243"/>
      <c r="B336" s="457"/>
      <c r="C336" s="457"/>
      <c r="D336" s="457"/>
      <c r="E336" s="457"/>
      <c r="F336" s="457"/>
      <c r="G336" s="457"/>
      <c r="H336" s="457"/>
      <c r="I336" s="458"/>
      <c r="J336" s="457" t="s">
        <v>315</v>
      </c>
      <c r="K336" s="245"/>
      <c r="L336" s="257"/>
      <c r="M336" s="591" t="s">
        <v>321</v>
      </c>
      <c r="N336" s="592"/>
      <c r="O336" s="179"/>
      <c r="P336" s="180"/>
      <c r="Q336" s="180">
        <v>3800000</v>
      </c>
      <c r="R336" s="181">
        <f t="shared" si="102"/>
        <v>2.7233837613226468</v>
      </c>
      <c r="S336" s="181">
        <v>100</v>
      </c>
      <c r="T336" s="180">
        <f t="shared" si="91"/>
        <v>0</v>
      </c>
      <c r="U336" s="180">
        <f t="shared" si="97"/>
        <v>0</v>
      </c>
      <c r="V336" s="182">
        <f t="shared" si="95"/>
        <v>100</v>
      </c>
      <c r="W336" s="180"/>
      <c r="X336" s="180"/>
      <c r="Y336" s="180"/>
      <c r="Z336" s="180"/>
      <c r="AA336" s="180"/>
      <c r="AB336" s="180"/>
      <c r="AC336" s="180"/>
      <c r="AD336" s="180"/>
      <c r="AE336" s="180"/>
      <c r="AF336" s="180"/>
      <c r="AG336" s="180"/>
      <c r="AH336" s="180"/>
      <c r="AI336" s="180">
        <v>0</v>
      </c>
      <c r="AJ336" s="181">
        <f t="shared" si="92"/>
        <v>0</v>
      </c>
      <c r="AK336" s="180">
        <f t="shared" si="99"/>
        <v>3800000</v>
      </c>
      <c r="AL336" s="181">
        <f t="shared" si="93"/>
        <v>100</v>
      </c>
      <c r="AM336" s="243"/>
    </row>
    <row r="337" spans="1:39" ht="27.75" customHeight="1" x14ac:dyDescent="0.25">
      <c r="A337" s="243"/>
      <c r="B337" s="457"/>
      <c r="C337" s="457"/>
      <c r="D337" s="457"/>
      <c r="E337" s="457"/>
      <c r="F337" s="457"/>
      <c r="G337" s="457"/>
      <c r="H337" s="457"/>
      <c r="I337" s="458"/>
      <c r="J337" s="457" t="s">
        <v>282</v>
      </c>
      <c r="K337" s="245"/>
      <c r="L337" s="257"/>
      <c r="M337" s="591" t="s">
        <v>606</v>
      </c>
      <c r="N337" s="592"/>
      <c r="O337" s="179"/>
      <c r="P337" s="180"/>
      <c r="Q337" s="180">
        <v>100000000</v>
      </c>
      <c r="R337" s="181">
        <f t="shared" si="102"/>
        <v>71.667993719017034</v>
      </c>
      <c r="S337" s="181">
        <v>100</v>
      </c>
      <c r="T337" s="180">
        <f t="shared" si="91"/>
        <v>0</v>
      </c>
      <c r="U337" s="180">
        <f t="shared" si="97"/>
        <v>0</v>
      </c>
      <c r="V337" s="182">
        <f t="shared" si="95"/>
        <v>100</v>
      </c>
      <c r="W337" s="180"/>
      <c r="X337" s="180"/>
      <c r="Y337" s="180"/>
      <c r="Z337" s="180"/>
      <c r="AA337" s="180"/>
      <c r="AB337" s="180"/>
      <c r="AC337" s="180"/>
      <c r="AD337" s="180"/>
      <c r="AE337" s="180"/>
      <c r="AF337" s="180"/>
      <c r="AG337" s="180"/>
      <c r="AH337" s="180"/>
      <c r="AI337" s="180">
        <v>0</v>
      </c>
      <c r="AJ337" s="181">
        <f t="shared" si="92"/>
        <v>0</v>
      </c>
      <c r="AK337" s="180">
        <f t="shared" si="99"/>
        <v>100000000</v>
      </c>
      <c r="AL337" s="181">
        <f t="shared" si="93"/>
        <v>100</v>
      </c>
      <c r="AM337" s="243"/>
    </row>
    <row r="338" spans="1:39" ht="27.75" customHeight="1" x14ac:dyDescent="0.25">
      <c r="A338" s="243"/>
      <c r="B338" s="457"/>
      <c r="C338" s="457"/>
      <c r="D338" s="457"/>
      <c r="E338" s="457"/>
      <c r="F338" s="457"/>
      <c r="G338" s="457"/>
      <c r="H338" s="457"/>
      <c r="I338" s="458"/>
      <c r="J338" s="457" t="s">
        <v>308</v>
      </c>
      <c r="K338" s="245"/>
      <c r="L338" s="257"/>
      <c r="M338" s="591" t="s">
        <v>607</v>
      </c>
      <c r="N338" s="592"/>
      <c r="O338" s="179"/>
      <c r="P338" s="180"/>
      <c r="Q338" s="180">
        <v>2000000</v>
      </c>
      <c r="R338" s="181">
        <f t="shared" si="102"/>
        <v>1.4333598743803406</v>
      </c>
      <c r="S338" s="181">
        <v>100</v>
      </c>
      <c r="T338" s="180">
        <f t="shared" si="91"/>
        <v>0</v>
      </c>
      <c r="U338" s="180">
        <f t="shared" si="97"/>
        <v>0</v>
      </c>
      <c r="V338" s="182">
        <f t="shared" si="95"/>
        <v>100</v>
      </c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0"/>
      <c r="AG338" s="180"/>
      <c r="AH338" s="180"/>
      <c r="AI338" s="180">
        <v>0</v>
      </c>
      <c r="AJ338" s="181">
        <f t="shared" si="92"/>
        <v>0</v>
      </c>
      <c r="AK338" s="180">
        <f t="shared" si="99"/>
        <v>2000000</v>
      </c>
      <c r="AL338" s="181">
        <f t="shared" si="93"/>
        <v>100</v>
      </c>
      <c r="AM338" s="243"/>
    </row>
    <row r="339" spans="1:39" s="297" customFormat="1" ht="36" customHeight="1" x14ac:dyDescent="0.25">
      <c r="A339" s="227">
        <f>SUM(A332+1)</f>
        <v>45</v>
      </c>
      <c r="B339" s="615" t="s">
        <v>152</v>
      </c>
      <c r="C339" s="615"/>
      <c r="D339" s="615"/>
      <c r="E339" s="615"/>
      <c r="F339" s="615"/>
      <c r="G339" s="615"/>
      <c r="H339" s="615"/>
      <c r="I339" s="614"/>
      <c r="J339" s="304" t="s">
        <v>489</v>
      </c>
      <c r="K339" s="230"/>
      <c r="L339" s="294"/>
      <c r="M339" s="610" t="s">
        <v>47</v>
      </c>
      <c r="N339" s="610"/>
      <c r="O339" s="309">
        <v>136000000</v>
      </c>
      <c r="P339" s="231">
        <f>O339</f>
        <v>136000000</v>
      </c>
      <c r="Q339" s="231">
        <f>SUM(Q340:Q349)</f>
        <v>341340000</v>
      </c>
      <c r="R339" s="233">
        <f>Q339/Q$248*100</f>
        <v>2.8617072705381759</v>
      </c>
      <c r="S339" s="233">
        <v>100</v>
      </c>
      <c r="T339" s="231">
        <f t="shared" si="91"/>
        <v>34.891498212925534</v>
      </c>
      <c r="U339" s="231">
        <f t="shared" si="97"/>
        <v>0.99849254115898778</v>
      </c>
      <c r="V339" s="296">
        <f t="shared" si="95"/>
        <v>65.108501787074459</v>
      </c>
      <c r="W339" s="231"/>
      <c r="X339" s="231" t="e">
        <f>#REF!</f>
        <v>#REF!</v>
      </c>
      <c r="Y339" s="231" t="e">
        <f>#REF!</f>
        <v>#REF!</v>
      </c>
      <c r="Z339" s="231" t="e">
        <f>#REF!</f>
        <v>#REF!</v>
      </c>
      <c r="AA339" s="231" t="e">
        <f>#REF!</f>
        <v>#REF!</v>
      </c>
      <c r="AB339" s="231">
        <v>88014000</v>
      </c>
      <c r="AC339" s="231" t="e">
        <f>#REF!</f>
        <v>#REF!</v>
      </c>
      <c r="AD339" s="231" t="e">
        <f>#REF!</f>
        <v>#REF!</v>
      </c>
      <c r="AE339" s="231" t="e">
        <f>#REF!</f>
        <v>#REF!</v>
      </c>
      <c r="AF339" s="231" t="e">
        <f>[1]April!N63</f>
        <v>#REF!</v>
      </c>
      <c r="AG339" s="231" t="e">
        <f>[2]april!N63</f>
        <v>#REF!</v>
      </c>
      <c r="AH339" s="231">
        <f>'[3]DES SKPD'!$N63</f>
        <v>174573000</v>
      </c>
      <c r="AI339" s="231">
        <f>SUM(AI340:AI349)</f>
        <v>119098640</v>
      </c>
      <c r="AJ339" s="233">
        <f t="shared" si="92"/>
        <v>34.891498212925534</v>
      </c>
      <c r="AK339" s="231">
        <f t="shared" si="99"/>
        <v>222241360</v>
      </c>
      <c r="AL339" s="233">
        <f t="shared" si="93"/>
        <v>65.108501787074474</v>
      </c>
      <c r="AM339" s="227"/>
    </row>
    <row r="340" spans="1:39" ht="29.25" customHeight="1" x14ac:dyDescent="0.25">
      <c r="A340" s="243"/>
      <c r="B340" s="457"/>
      <c r="C340" s="457"/>
      <c r="D340" s="457"/>
      <c r="E340" s="457"/>
      <c r="F340" s="457"/>
      <c r="G340" s="457"/>
      <c r="H340" s="457"/>
      <c r="I340" s="458"/>
      <c r="J340" s="457" t="s">
        <v>259</v>
      </c>
      <c r="K340" s="245"/>
      <c r="L340" s="257"/>
      <c r="M340" s="591" t="s">
        <v>260</v>
      </c>
      <c r="N340" s="592"/>
      <c r="O340" s="179"/>
      <c r="P340" s="180"/>
      <c r="Q340" s="180">
        <v>1600000</v>
      </c>
      <c r="R340" s="181">
        <f t="shared" ref="R340:R349" si="103">Q340/Q$339*100</f>
        <v>0.46874084490537299</v>
      </c>
      <c r="S340" s="181">
        <v>100</v>
      </c>
      <c r="T340" s="180">
        <f t="shared" si="91"/>
        <v>50</v>
      </c>
      <c r="U340" s="180">
        <f t="shared" si="97"/>
        <v>0.23437042245268649</v>
      </c>
      <c r="V340" s="182">
        <f t="shared" si="95"/>
        <v>50</v>
      </c>
      <c r="W340" s="180"/>
      <c r="X340" s="180"/>
      <c r="Y340" s="180"/>
      <c r="Z340" s="180"/>
      <c r="AA340" s="180"/>
      <c r="AB340" s="180"/>
      <c r="AC340" s="180"/>
      <c r="AD340" s="180"/>
      <c r="AE340" s="180"/>
      <c r="AF340" s="180"/>
      <c r="AG340" s="180"/>
      <c r="AH340" s="180"/>
      <c r="AI340" s="180">
        <v>800000</v>
      </c>
      <c r="AJ340" s="181">
        <f t="shared" si="92"/>
        <v>50</v>
      </c>
      <c r="AK340" s="180">
        <f t="shared" si="99"/>
        <v>800000</v>
      </c>
      <c r="AL340" s="181">
        <f t="shared" si="93"/>
        <v>50</v>
      </c>
      <c r="AM340" s="243"/>
    </row>
    <row r="341" spans="1:39" ht="29.25" customHeight="1" x14ac:dyDescent="0.25">
      <c r="A341" s="243"/>
      <c r="B341" s="457"/>
      <c r="C341" s="457"/>
      <c r="D341" s="457"/>
      <c r="E341" s="457"/>
      <c r="F341" s="457"/>
      <c r="G341" s="457"/>
      <c r="H341" s="457"/>
      <c r="I341" s="458"/>
      <c r="J341" s="457" t="s">
        <v>323</v>
      </c>
      <c r="K341" s="245"/>
      <c r="L341" s="257"/>
      <c r="M341" s="591" t="s">
        <v>324</v>
      </c>
      <c r="N341" s="592"/>
      <c r="O341" s="179"/>
      <c r="P341" s="180"/>
      <c r="Q341" s="180">
        <v>52980000</v>
      </c>
      <c r="R341" s="181">
        <f t="shared" si="103"/>
        <v>15.521181226929162</v>
      </c>
      <c r="S341" s="181">
        <v>100</v>
      </c>
      <c r="T341" s="180">
        <f t="shared" si="91"/>
        <v>37.127217818044542</v>
      </c>
      <c r="U341" s="180">
        <f t="shared" si="97"/>
        <v>5.7625827620554286</v>
      </c>
      <c r="V341" s="182">
        <f t="shared" si="95"/>
        <v>62.872782181955458</v>
      </c>
      <c r="W341" s="180"/>
      <c r="X341" s="180"/>
      <c r="Y341" s="180"/>
      <c r="Z341" s="180"/>
      <c r="AA341" s="180"/>
      <c r="AB341" s="180"/>
      <c r="AC341" s="180"/>
      <c r="AD341" s="180"/>
      <c r="AE341" s="180"/>
      <c r="AF341" s="180"/>
      <c r="AG341" s="180"/>
      <c r="AH341" s="180"/>
      <c r="AI341" s="180">
        <f>3803000+7983000+4041000+3843000</f>
        <v>19670000</v>
      </c>
      <c r="AJ341" s="181">
        <f t="shared" si="92"/>
        <v>37.127217818044542</v>
      </c>
      <c r="AK341" s="180">
        <f t="shared" si="99"/>
        <v>33310000</v>
      </c>
      <c r="AL341" s="181">
        <f t="shared" si="93"/>
        <v>62.872782181955458</v>
      </c>
      <c r="AM341" s="243"/>
    </row>
    <row r="342" spans="1:39" ht="39.75" customHeight="1" x14ac:dyDescent="0.25">
      <c r="A342" s="243"/>
      <c r="B342" s="457"/>
      <c r="C342" s="457"/>
      <c r="D342" s="457"/>
      <c r="E342" s="457"/>
      <c r="F342" s="457"/>
      <c r="G342" s="457"/>
      <c r="H342" s="457"/>
      <c r="I342" s="458"/>
      <c r="J342" s="457" t="s">
        <v>315</v>
      </c>
      <c r="K342" s="245"/>
      <c r="L342" s="257"/>
      <c r="M342" s="591" t="s">
        <v>271</v>
      </c>
      <c r="N342" s="592"/>
      <c r="O342" s="179"/>
      <c r="P342" s="180"/>
      <c r="Q342" s="180">
        <v>1800000</v>
      </c>
      <c r="R342" s="181">
        <f t="shared" si="103"/>
        <v>0.52733345051854452</v>
      </c>
      <c r="S342" s="181">
        <v>100</v>
      </c>
      <c r="T342" s="180">
        <f t="shared" si="91"/>
        <v>44.444444444444443</v>
      </c>
      <c r="U342" s="180">
        <f t="shared" si="97"/>
        <v>0.23437042245268647</v>
      </c>
      <c r="V342" s="182">
        <f t="shared" si="95"/>
        <v>55.555555555555557</v>
      </c>
      <c r="W342" s="180"/>
      <c r="X342" s="180"/>
      <c r="Y342" s="180"/>
      <c r="Z342" s="180"/>
      <c r="AA342" s="180"/>
      <c r="AB342" s="180"/>
      <c r="AC342" s="180"/>
      <c r="AD342" s="180"/>
      <c r="AE342" s="180"/>
      <c r="AF342" s="180"/>
      <c r="AG342" s="180"/>
      <c r="AH342" s="180"/>
      <c r="AI342" s="180">
        <v>800000</v>
      </c>
      <c r="AJ342" s="181">
        <f t="shared" si="92"/>
        <v>44.444444444444443</v>
      </c>
      <c r="AK342" s="180">
        <f t="shared" si="99"/>
        <v>1000000</v>
      </c>
      <c r="AL342" s="181">
        <f t="shared" si="93"/>
        <v>55.555555555555557</v>
      </c>
      <c r="AM342" s="243"/>
    </row>
    <row r="343" spans="1:39" ht="29.25" customHeight="1" x14ac:dyDescent="0.25">
      <c r="A343" s="243"/>
      <c r="B343" s="457"/>
      <c r="C343" s="457"/>
      <c r="D343" s="457"/>
      <c r="E343" s="457"/>
      <c r="F343" s="457"/>
      <c r="G343" s="457"/>
      <c r="H343" s="457"/>
      <c r="I343" s="458"/>
      <c r="J343" s="457" t="s">
        <v>316</v>
      </c>
      <c r="K343" s="245"/>
      <c r="L343" s="257"/>
      <c r="M343" s="591" t="s">
        <v>317</v>
      </c>
      <c r="N343" s="592"/>
      <c r="O343" s="179"/>
      <c r="P343" s="180"/>
      <c r="Q343" s="180">
        <v>600000</v>
      </c>
      <c r="R343" s="181">
        <f t="shared" si="103"/>
        <v>0.17577781683951485</v>
      </c>
      <c r="S343" s="181">
        <v>100</v>
      </c>
      <c r="T343" s="180">
        <f t="shared" si="91"/>
        <v>50</v>
      </c>
      <c r="U343" s="180">
        <f t="shared" si="97"/>
        <v>8.7888908419757425E-2</v>
      </c>
      <c r="V343" s="182">
        <f t="shared" si="95"/>
        <v>50</v>
      </c>
      <c r="W343" s="180"/>
      <c r="X343" s="180"/>
      <c r="Y343" s="180"/>
      <c r="Z343" s="180"/>
      <c r="AA343" s="180"/>
      <c r="AB343" s="180"/>
      <c r="AC343" s="180"/>
      <c r="AD343" s="180"/>
      <c r="AE343" s="180"/>
      <c r="AF343" s="180"/>
      <c r="AG343" s="180"/>
      <c r="AH343" s="180"/>
      <c r="AI343" s="180">
        <v>300000</v>
      </c>
      <c r="AJ343" s="181">
        <f t="shared" si="92"/>
        <v>50</v>
      </c>
      <c r="AK343" s="180">
        <f t="shared" si="99"/>
        <v>300000</v>
      </c>
      <c r="AL343" s="181">
        <f t="shared" si="93"/>
        <v>50</v>
      </c>
      <c r="AM343" s="243"/>
    </row>
    <row r="344" spans="1:39" ht="29.25" customHeight="1" x14ac:dyDescent="0.25">
      <c r="A344" s="243"/>
      <c r="B344" s="457"/>
      <c r="C344" s="457"/>
      <c r="D344" s="457"/>
      <c r="E344" s="457"/>
      <c r="F344" s="457"/>
      <c r="G344" s="457"/>
      <c r="H344" s="457"/>
      <c r="I344" s="458"/>
      <c r="J344" s="457" t="s">
        <v>318</v>
      </c>
      <c r="K344" s="245"/>
      <c r="L344" s="257"/>
      <c r="M344" s="591" t="s">
        <v>319</v>
      </c>
      <c r="N344" s="592"/>
      <c r="O344" s="179"/>
      <c r="P344" s="180"/>
      <c r="Q344" s="180">
        <v>97400000</v>
      </c>
      <c r="R344" s="181">
        <f t="shared" si="103"/>
        <v>28.534598933614578</v>
      </c>
      <c r="S344" s="181">
        <v>100</v>
      </c>
      <c r="T344" s="180">
        <f t="shared" si="91"/>
        <v>38.809034907597535</v>
      </c>
      <c r="U344" s="180">
        <f t="shared" si="97"/>
        <v>11.074002460889435</v>
      </c>
      <c r="V344" s="182">
        <f t="shared" si="95"/>
        <v>61.190965092402465</v>
      </c>
      <c r="W344" s="180"/>
      <c r="X344" s="180"/>
      <c r="Y344" s="180"/>
      <c r="Z344" s="180"/>
      <c r="AA344" s="180"/>
      <c r="AB344" s="180"/>
      <c r="AC344" s="180"/>
      <c r="AD344" s="180"/>
      <c r="AE344" s="180"/>
      <c r="AF344" s="180"/>
      <c r="AG344" s="180"/>
      <c r="AH344" s="180"/>
      <c r="AI344" s="180">
        <v>37800000</v>
      </c>
      <c r="AJ344" s="181">
        <f t="shared" si="92"/>
        <v>38.809034907597535</v>
      </c>
      <c r="AK344" s="180">
        <f t="shared" si="99"/>
        <v>59600000</v>
      </c>
      <c r="AL344" s="181">
        <f t="shared" si="93"/>
        <v>61.190965092402458</v>
      </c>
      <c r="AM344" s="243"/>
    </row>
    <row r="345" spans="1:39" ht="29.25" customHeight="1" x14ac:dyDescent="0.25">
      <c r="A345" s="243"/>
      <c r="B345" s="457"/>
      <c r="C345" s="457"/>
      <c r="D345" s="457"/>
      <c r="E345" s="457"/>
      <c r="F345" s="457"/>
      <c r="G345" s="457"/>
      <c r="H345" s="457"/>
      <c r="I345" s="458"/>
      <c r="J345" s="457" t="s">
        <v>280</v>
      </c>
      <c r="K345" s="245"/>
      <c r="L345" s="257"/>
      <c r="M345" s="591" t="s">
        <v>281</v>
      </c>
      <c r="N345" s="592"/>
      <c r="O345" s="179"/>
      <c r="P345" s="180"/>
      <c r="Q345" s="180">
        <v>2000000</v>
      </c>
      <c r="R345" s="181">
        <f t="shared" si="103"/>
        <v>0.58592605613171622</v>
      </c>
      <c r="S345" s="181">
        <v>100</v>
      </c>
      <c r="T345" s="180">
        <f t="shared" ref="T345:T413" si="104">AJ345</f>
        <v>0</v>
      </c>
      <c r="U345" s="180">
        <f t="shared" si="97"/>
        <v>0</v>
      </c>
      <c r="V345" s="182">
        <f t="shared" si="95"/>
        <v>100</v>
      </c>
      <c r="W345" s="180"/>
      <c r="X345" s="180"/>
      <c r="Y345" s="180"/>
      <c r="Z345" s="180"/>
      <c r="AA345" s="180"/>
      <c r="AB345" s="180"/>
      <c r="AC345" s="180"/>
      <c r="AD345" s="180"/>
      <c r="AE345" s="180"/>
      <c r="AF345" s="180"/>
      <c r="AG345" s="180"/>
      <c r="AH345" s="180"/>
      <c r="AI345" s="180">
        <v>0</v>
      </c>
      <c r="AJ345" s="181">
        <f t="shared" ref="AJ345:AJ408" si="105">AI345/Q345*100</f>
        <v>0</v>
      </c>
      <c r="AK345" s="180">
        <f t="shared" si="99"/>
        <v>2000000</v>
      </c>
      <c r="AL345" s="181">
        <f t="shared" ref="AL345:AL408" si="106">AK345/Q345*100</f>
        <v>100</v>
      </c>
      <c r="AM345" s="243"/>
    </row>
    <row r="346" spans="1:39" ht="29.25" customHeight="1" x14ac:dyDescent="0.25">
      <c r="A346" s="243"/>
      <c r="B346" s="457"/>
      <c r="C346" s="457"/>
      <c r="D346" s="457"/>
      <c r="E346" s="457"/>
      <c r="F346" s="457"/>
      <c r="G346" s="457"/>
      <c r="H346" s="457"/>
      <c r="I346" s="458"/>
      <c r="J346" s="457" t="s">
        <v>284</v>
      </c>
      <c r="K346" s="245"/>
      <c r="L346" s="257"/>
      <c r="M346" s="591" t="s">
        <v>285</v>
      </c>
      <c r="N346" s="592"/>
      <c r="O346" s="179"/>
      <c r="P346" s="180"/>
      <c r="Q346" s="180">
        <v>2200000</v>
      </c>
      <c r="R346" s="181">
        <f t="shared" si="103"/>
        <v>0.64451866174488781</v>
      </c>
      <c r="S346" s="181">
        <v>100</v>
      </c>
      <c r="T346" s="180">
        <f t="shared" si="104"/>
        <v>30</v>
      </c>
      <c r="U346" s="180">
        <f t="shared" si="97"/>
        <v>0.19335559852346634</v>
      </c>
      <c r="V346" s="182">
        <f t="shared" si="95"/>
        <v>70</v>
      </c>
      <c r="W346" s="180"/>
      <c r="X346" s="180"/>
      <c r="Y346" s="180"/>
      <c r="Z346" s="180"/>
      <c r="AA346" s="180"/>
      <c r="AB346" s="180"/>
      <c r="AC346" s="180"/>
      <c r="AD346" s="180"/>
      <c r="AE346" s="180"/>
      <c r="AF346" s="180"/>
      <c r="AG346" s="180"/>
      <c r="AH346" s="180"/>
      <c r="AI346" s="180">
        <v>660000</v>
      </c>
      <c r="AJ346" s="181">
        <f t="shared" si="105"/>
        <v>30</v>
      </c>
      <c r="AK346" s="180">
        <f t="shared" si="99"/>
        <v>1540000</v>
      </c>
      <c r="AL346" s="181">
        <f t="shared" si="106"/>
        <v>70</v>
      </c>
      <c r="AM346" s="243"/>
    </row>
    <row r="347" spans="1:39" ht="29.25" customHeight="1" x14ac:dyDescent="0.25">
      <c r="A347" s="243"/>
      <c r="B347" s="457"/>
      <c r="C347" s="457"/>
      <c r="D347" s="457"/>
      <c r="E347" s="457"/>
      <c r="F347" s="457"/>
      <c r="G347" s="457"/>
      <c r="H347" s="457"/>
      <c r="I347" s="458"/>
      <c r="J347" s="457" t="s">
        <v>282</v>
      </c>
      <c r="K347" s="245"/>
      <c r="L347" s="257"/>
      <c r="M347" s="591" t="s">
        <v>283</v>
      </c>
      <c r="N347" s="592"/>
      <c r="O347" s="179"/>
      <c r="P347" s="180"/>
      <c r="Q347" s="180">
        <v>159060000</v>
      </c>
      <c r="R347" s="181">
        <f t="shared" si="103"/>
        <v>46.598699244155391</v>
      </c>
      <c r="S347" s="181">
        <v>100</v>
      </c>
      <c r="T347" s="180">
        <f t="shared" si="104"/>
        <v>29.686055576512011</v>
      </c>
      <c r="U347" s="180">
        <f t="shared" si="97"/>
        <v>13.833315755551652</v>
      </c>
      <c r="V347" s="182">
        <f t="shared" si="95"/>
        <v>70.313944423487982</v>
      </c>
      <c r="W347" s="180"/>
      <c r="X347" s="180"/>
      <c r="Y347" s="180"/>
      <c r="Z347" s="180"/>
      <c r="AA347" s="180"/>
      <c r="AB347" s="180"/>
      <c r="AC347" s="180"/>
      <c r="AD347" s="180"/>
      <c r="AE347" s="180"/>
      <c r="AF347" s="180"/>
      <c r="AG347" s="180"/>
      <c r="AH347" s="180"/>
      <c r="AI347" s="180">
        <f>7205640+22163000+12750000+5100000</f>
        <v>47218640</v>
      </c>
      <c r="AJ347" s="181">
        <f t="shared" si="105"/>
        <v>29.686055576512011</v>
      </c>
      <c r="AK347" s="180">
        <f t="shared" si="99"/>
        <v>111841360</v>
      </c>
      <c r="AL347" s="181">
        <f t="shared" si="106"/>
        <v>70.313944423487996</v>
      </c>
      <c r="AM347" s="243"/>
    </row>
    <row r="348" spans="1:39" ht="29.25" customHeight="1" x14ac:dyDescent="0.25">
      <c r="A348" s="243"/>
      <c r="B348" s="457"/>
      <c r="C348" s="457"/>
      <c r="D348" s="457"/>
      <c r="E348" s="457"/>
      <c r="F348" s="457"/>
      <c r="G348" s="457"/>
      <c r="H348" s="457"/>
      <c r="I348" s="458"/>
      <c r="J348" s="457" t="s">
        <v>320</v>
      </c>
      <c r="K348" s="245"/>
      <c r="L348" s="257"/>
      <c r="M348" s="591" t="s">
        <v>321</v>
      </c>
      <c r="N348" s="592"/>
      <c r="O348" s="179"/>
      <c r="P348" s="180"/>
      <c r="Q348" s="180">
        <v>14400000</v>
      </c>
      <c r="R348" s="181">
        <f t="shared" si="103"/>
        <v>4.2186676041483562</v>
      </c>
      <c r="S348" s="181">
        <v>100</v>
      </c>
      <c r="T348" s="180">
        <f t="shared" si="104"/>
        <v>50</v>
      </c>
      <c r="U348" s="180">
        <f t="shared" si="97"/>
        <v>2.1093338020741781</v>
      </c>
      <c r="V348" s="182">
        <f t="shared" si="95"/>
        <v>50</v>
      </c>
      <c r="W348" s="180"/>
      <c r="X348" s="180"/>
      <c r="Y348" s="180"/>
      <c r="Z348" s="180"/>
      <c r="AA348" s="180"/>
      <c r="AB348" s="180"/>
      <c r="AC348" s="180"/>
      <c r="AD348" s="180"/>
      <c r="AE348" s="180"/>
      <c r="AF348" s="180"/>
      <c r="AG348" s="180"/>
      <c r="AH348" s="180"/>
      <c r="AI348" s="180">
        <v>7200000</v>
      </c>
      <c r="AJ348" s="181">
        <f t="shared" si="105"/>
        <v>50</v>
      </c>
      <c r="AK348" s="180">
        <f t="shared" si="99"/>
        <v>7200000</v>
      </c>
      <c r="AL348" s="181">
        <f t="shared" si="106"/>
        <v>50</v>
      </c>
      <c r="AM348" s="243"/>
    </row>
    <row r="349" spans="1:39" ht="29.25" customHeight="1" x14ac:dyDescent="0.25">
      <c r="A349" s="243"/>
      <c r="B349" s="457"/>
      <c r="C349" s="457"/>
      <c r="D349" s="457"/>
      <c r="E349" s="457"/>
      <c r="F349" s="457"/>
      <c r="G349" s="457"/>
      <c r="H349" s="457"/>
      <c r="I349" s="458"/>
      <c r="J349" s="457" t="s">
        <v>407</v>
      </c>
      <c r="K349" s="245"/>
      <c r="L349" s="257"/>
      <c r="M349" s="591" t="s">
        <v>414</v>
      </c>
      <c r="N349" s="592"/>
      <c r="O349" s="179"/>
      <c r="P349" s="180"/>
      <c r="Q349" s="180">
        <v>9300000</v>
      </c>
      <c r="R349" s="181">
        <f t="shared" si="103"/>
        <v>2.7245561610124804</v>
      </c>
      <c r="S349" s="181"/>
      <c r="T349" s="180">
        <f t="shared" si="104"/>
        <v>50</v>
      </c>
      <c r="U349" s="180">
        <f t="shared" si="97"/>
        <v>1.3622780805062402</v>
      </c>
      <c r="V349" s="182"/>
      <c r="W349" s="180"/>
      <c r="X349" s="180"/>
      <c r="Y349" s="180"/>
      <c r="Z349" s="180"/>
      <c r="AA349" s="180"/>
      <c r="AB349" s="180"/>
      <c r="AC349" s="180"/>
      <c r="AD349" s="180"/>
      <c r="AE349" s="180"/>
      <c r="AF349" s="180"/>
      <c r="AG349" s="180"/>
      <c r="AH349" s="180"/>
      <c r="AI349" s="180">
        <v>4650000</v>
      </c>
      <c r="AJ349" s="181">
        <f t="shared" si="105"/>
        <v>50</v>
      </c>
      <c r="AK349" s="180">
        <f t="shared" si="99"/>
        <v>4650000</v>
      </c>
      <c r="AL349" s="181">
        <f t="shared" si="106"/>
        <v>50</v>
      </c>
      <c r="AM349" s="243"/>
    </row>
    <row r="350" spans="1:39" s="297" customFormat="1" ht="45" customHeight="1" x14ac:dyDescent="0.25">
      <c r="A350" s="227">
        <f>A339+1</f>
        <v>46</v>
      </c>
      <c r="B350" s="615" t="s">
        <v>147</v>
      </c>
      <c r="C350" s="615"/>
      <c r="D350" s="615"/>
      <c r="E350" s="615"/>
      <c r="F350" s="615"/>
      <c r="G350" s="615"/>
      <c r="H350" s="615"/>
      <c r="I350" s="614"/>
      <c r="J350" s="304" t="s">
        <v>490</v>
      </c>
      <c r="K350" s="230"/>
      <c r="L350" s="294"/>
      <c r="M350" s="610" t="s">
        <v>48</v>
      </c>
      <c r="N350" s="610"/>
      <c r="O350" s="309">
        <v>606500000</v>
      </c>
      <c r="P350" s="231">
        <f>O350</f>
        <v>606500000</v>
      </c>
      <c r="Q350" s="231">
        <f>SUM(Q351:Q355)</f>
        <v>189188876</v>
      </c>
      <c r="R350" s="233">
        <f>Q350/Q$248*100</f>
        <v>1.5861111558977716</v>
      </c>
      <c r="S350" s="233">
        <v>100</v>
      </c>
      <c r="T350" s="231">
        <f t="shared" si="104"/>
        <v>24.472897655991151</v>
      </c>
      <c r="U350" s="231">
        <f t="shared" si="97"/>
        <v>0.38816735989311996</v>
      </c>
      <c r="V350" s="296">
        <f t="shared" si="95"/>
        <v>75.527102344008853</v>
      </c>
      <c r="W350" s="231"/>
      <c r="X350" s="231" t="e">
        <f>#REF!</f>
        <v>#REF!</v>
      </c>
      <c r="Y350" s="231" t="e">
        <f>#REF!</f>
        <v>#REF!</v>
      </c>
      <c r="Z350" s="231" t="e">
        <f>#REF!</f>
        <v>#REF!</v>
      </c>
      <c r="AA350" s="231" t="e">
        <f>#REF!</f>
        <v>#REF!</v>
      </c>
      <c r="AB350" s="231">
        <v>143751020</v>
      </c>
      <c r="AC350" s="231" t="e">
        <f>#REF!</f>
        <v>#REF!</v>
      </c>
      <c r="AD350" s="231" t="e">
        <f>#REF!</f>
        <v>#REF!</v>
      </c>
      <c r="AE350" s="231" t="e">
        <f>#REF!</f>
        <v>#REF!</v>
      </c>
      <c r="AF350" s="231" t="e">
        <f>[1]April!N64</f>
        <v>#REF!</v>
      </c>
      <c r="AG350" s="231" t="e">
        <f>[2]april!N64</f>
        <v>#REF!</v>
      </c>
      <c r="AH350" s="231">
        <f>'[3]DES SKPD'!$N64</f>
        <v>571546340</v>
      </c>
      <c r="AI350" s="231">
        <f>SUM(AI351:AI355)</f>
        <v>46300000</v>
      </c>
      <c r="AJ350" s="233">
        <f t="shared" si="105"/>
        <v>24.472897655991151</v>
      </c>
      <c r="AK350" s="231">
        <f t="shared" si="99"/>
        <v>142888876</v>
      </c>
      <c r="AL350" s="233">
        <f t="shared" si="106"/>
        <v>75.527102344008853</v>
      </c>
      <c r="AM350" s="227"/>
    </row>
    <row r="351" spans="1:39" ht="28.5" customHeight="1" x14ac:dyDescent="0.25">
      <c r="A351" s="243"/>
      <c r="B351" s="457"/>
      <c r="C351" s="457"/>
      <c r="D351" s="457"/>
      <c r="E351" s="457"/>
      <c r="F351" s="457"/>
      <c r="G351" s="457"/>
      <c r="H351" s="457"/>
      <c r="I351" s="458"/>
      <c r="J351" s="457" t="s">
        <v>257</v>
      </c>
      <c r="K351" s="245"/>
      <c r="L351" s="257"/>
      <c r="M351" s="591" t="s">
        <v>428</v>
      </c>
      <c r="N351" s="592"/>
      <c r="O351" s="179"/>
      <c r="P351" s="180"/>
      <c r="Q351" s="180">
        <v>10000000</v>
      </c>
      <c r="R351" s="181">
        <f>Q351/Q$350*100</f>
        <v>5.2857230358512197</v>
      </c>
      <c r="S351" s="181">
        <v>100</v>
      </c>
      <c r="T351" s="180">
        <f t="shared" si="104"/>
        <v>40</v>
      </c>
      <c r="U351" s="180">
        <f t="shared" si="97"/>
        <v>2.1142892143404879</v>
      </c>
      <c r="V351" s="182">
        <f t="shared" si="95"/>
        <v>60</v>
      </c>
      <c r="W351" s="180"/>
      <c r="X351" s="180"/>
      <c r="Y351" s="180"/>
      <c r="Z351" s="180"/>
      <c r="AA351" s="180"/>
      <c r="AB351" s="180"/>
      <c r="AC351" s="180"/>
      <c r="AD351" s="180"/>
      <c r="AE351" s="180"/>
      <c r="AF351" s="180"/>
      <c r="AG351" s="180"/>
      <c r="AH351" s="180"/>
      <c r="AI351" s="180">
        <v>4000000</v>
      </c>
      <c r="AJ351" s="181">
        <f t="shared" si="105"/>
        <v>40</v>
      </c>
      <c r="AK351" s="180">
        <f t="shared" si="99"/>
        <v>6000000</v>
      </c>
      <c r="AL351" s="181">
        <f t="shared" si="106"/>
        <v>60</v>
      </c>
      <c r="AM351" s="243"/>
    </row>
    <row r="352" spans="1:39" ht="28.5" customHeight="1" x14ac:dyDescent="0.25">
      <c r="A352" s="243"/>
      <c r="B352" s="457"/>
      <c r="C352" s="457"/>
      <c r="D352" s="457"/>
      <c r="E352" s="457"/>
      <c r="F352" s="457"/>
      <c r="G352" s="457"/>
      <c r="H352" s="457"/>
      <c r="I352" s="458"/>
      <c r="J352" s="457" t="s">
        <v>318</v>
      </c>
      <c r="K352" s="245"/>
      <c r="L352" s="257"/>
      <c r="M352" s="611" t="s">
        <v>319</v>
      </c>
      <c r="N352" s="598"/>
      <c r="O352" s="179"/>
      <c r="P352" s="180"/>
      <c r="Q352" s="180">
        <v>100000000</v>
      </c>
      <c r="R352" s="181">
        <f>Q352/Q$350*100</f>
        <v>52.857230358512197</v>
      </c>
      <c r="S352" s="181">
        <v>100</v>
      </c>
      <c r="T352" s="180">
        <f t="shared" si="104"/>
        <v>24</v>
      </c>
      <c r="U352" s="180">
        <f t="shared" si="97"/>
        <v>12.685735286042927</v>
      </c>
      <c r="V352" s="182">
        <f t="shared" si="95"/>
        <v>76</v>
      </c>
      <c r="W352" s="180"/>
      <c r="X352" s="180"/>
      <c r="Y352" s="180"/>
      <c r="Z352" s="180"/>
      <c r="AA352" s="180"/>
      <c r="AB352" s="180"/>
      <c r="AC352" s="180"/>
      <c r="AD352" s="180"/>
      <c r="AE352" s="180"/>
      <c r="AF352" s="180"/>
      <c r="AG352" s="180"/>
      <c r="AH352" s="180"/>
      <c r="AI352" s="180">
        <v>24000000</v>
      </c>
      <c r="AJ352" s="181">
        <f t="shared" si="105"/>
        <v>24</v>
      </c>
      <c r="AK352" s="180">
        <f t="shared" si="99"/>
        <v>76000000</v>
      </c>
      <c r="AL352" s="181">
        <f t="shared" si="106"/>
        <v>76</v>
      </c>
      <c r="AM352" s="243"/>
    </row>
    <row r="353" spans="1:39" ht="28.5" customHeight="1" x14ac:dyDescent="0.25">
      <c r="A353" s="243"/>
      <c r="B353" s="457"/>
      <c r="C353" s="457"/>
      <c r="D353" s="457"/>
      <c r="E353" s="457"/>
      <c r="F353" s="457"/>
      <c r="G353" s="457"/>
      <c r="H353" s="457"/>
      <c r="I353" s="458"/>
      <c r="J353" s="457" t="s">
        <v>282</v>
      </c>
      <c r="K353" s="245"/>
      <c r="L353" s="257"/>
      <c r="M353" s="591" t="s">
        <v>603</v>
      </c>
      <c r="N353" s="592"/>
      <c r="O353" s="179"/>
      <c r="P353" s="180"/>
      <c r="Q353" s="180">
        <v>12388876</v>
      </c>
      <c r="R353" s="181">
        <f>Q353/Q$350*100</f>
        <v>6.5484167261504318</v>
      </c>
      <c r="S353" s="181">
        <v>100</v>
      </c>
      <c r="T353" s="180">
        <f t="shared" si="104"/>
        <v>15.33633882524936</v>
      </c>
      <c r="U353" s="180">
        <f t="shared" si="97"/>
        <v>1.0042873768117317</v>
      </c>
      <c r="V353" s="182">
        <f t="shared" si="95"/>
        <v>84.663661174750644</v>
      </c>
      <c r="W353" s="180"/>
      <c r="X353" s="180"/>
      <c r="Y353" s="180"/>
      <c r="Z353" s="180"/>
      <c r="AA353" s="180"/>
      <c r="AB353" s="180"/>
      <c r="AC353" s="180"/>
      <c r="AD353" s="180"/>
      <c r="AE353" s="180"/>
      <c r="AF353" s="180"/>
      <c r="AG353" s="180"/>
      <c r="AH353" s="180"/>
      <c r="AI353" s="180">
        <v>1900000</v>
      </c>
      <c r="AJ353" s="181">
        <f t="shared" si="105"/>
        <v>15.33633882524936</v>
      </c>
      <c r="AK353" s="180">
        <f t="shared" si="99"/>
        <v>10488876</v>
      </c>
      <c r="AL353" s="181">
        <f t="shared" si="106"/>
        <v>84.663661174750644</v>
      </c>
      <c r="AM353" s="243"/>
    </row>
    <row r="354" spans="1:39" ht="28.5" customHeight="1" x14ac:dyDescent="0.25">
      <c r="A354" s="243"/>
      <c r="B354" s="457"/>
      <c r="C354" s="457"/>
      <c r="D354" s="457"/>
      <c r="E354" s="457"/>
      <c r="F354" s="457"/>
      <c r="G354" s="457"/>
      <c r="H354" s="457"/>
      <c r="I354" s="458"/>
      <c r="J354" s="457" t="s">
        <v>320</v>
      </c>
      <c r="K354" s="245"/>
      <c r="L354" s="257"/>
      <c r="M354" s="591" t="s">
        <v>321</v>
      </c>
      <c r="N354" s="592"/>
      <c r="O354" s="179"/>
      <c r="P354" s="180"/>
      <c r="Q354" s="180">
        <v>57600000</v>
      </c>
      <c r="R354" s="181">
        <f>Q354/Q$350*100</f>
        <v>30.445764686503026</v>
      </c>
      <c r="S354" s="181">
        <v>100</v>
      </c>
      <c r="T354" s="180">
        <f t="shared" si="104"/>
        <v>25</v>
      </c>
      <c r="U354" s="180">
        <f t="shared" si="97"/>
        <v>7.6114411716257564</v>
      </c>
      <c r="V354" s="182">
        <f t="shared" si="95"/>
        <v>75</v>
      </c>
      <c r="W354" s="180"/>
      <c r="X354" s="180"/>
      <c r="Y354" s="180"/>
      <c r="Z354" s="180"/>
      <c r="AA354" s="180"/>
      <c r="AB354" s="180"/>
      <c r="AC354" s="180"/>
      <c r="AD354" s="180"/>
      <c r="AE354" s="180"/>
      <c r="AF354" s="180"/>
      <c r="AG354" s="180"/>
      <c r="AH354" s="180"/>
      <c r="AI354" s="180">
        <v>14400000</v>
      </c>
      <c r="AJ354" s="181">
        <f t="shared" si="105"/>
        <v>25</v>
      </c>
      <c r="AK354" s="180">
        <f t="shared" si="99"/>
        <v>43200000</v>
      </c>
      <c r="AL354" s="181">
        <f t="shared" si="106"/>
        <v>75</v>
      </c>
      <c r="AM354" s="243"/>
    </row>
    <row r="355" spans="1:39" ht="28.5" customHeight="1" x14ac:dyDescent="0.25">
      <c r="A355" s="243"/>
      <c r="B355" s="457"/>
      <c r="C355" s="457"/>
      <c r="D355" s="457"/>
      <c r="E355" s="457"/>
      <c r="F355" s="457"/>
      <c r="G355" s="457"/>
      <c r="H355" s="457"/>
      <c r="I355" s="458"/>
      <c r="J355" s="457" t="s">
        <v>309</v>
      </c>
      <c r="K355" s="245"/>
      <c r="L355" s="257"/>
      <c r="M355" s="591" t="s">
        <v>607</v>
      </c>
      <c r="N355" s="592"/>
      <c r="O355" s="179"/>
      <c r="P355" s="180"/>
      <c r="Q355" s="180">
        <v>9200000</v>
      </c>
      <c r="R355" s="181">
        <f>Q355/Q$350*100</f>
        <v>4.8628651929831221</v>
      </c>
      <c r="S355" s="181">
        <v>100</v>
      </c>
      <c r="T355" s="180">
        <f t="shared" si="104"/>
        <v>21.739130434782609</v>
      </c>
      <c r="U355" s="180">
        <f t="shared" si="97"/>
        <v>1.0571446071702439</v>
      </c>
      <c r="V355" s="182">
        <f t="shared" si="95"/>
        <v>78.260869565217391</v>
      </c>
      <c r="W355" s="180"/>
      <c r="X355" s="180"/>
      <c r="Y355" s="180"/>
      <c r="Z355" s="180"/>
      <c r="AA355" s="180"/>
      <c r="AB355" s="180"/>
      <c r="AC355" s="180"/>
      <c r="AD355" s="180"/>
      <c r="AE355" s="180"/>
      <c r="AF355" s="180"/>
      <c r="AG355" s="180"/>
      <c r="AH355" s="180"/>
      <c r="AI355" s="180">
        <v>2000000</v>
      </c>
      <c r="AJ355" s="181">
        <f t="shared" si="105"/>
        <v>21.739130434782609</v>
      </c>
      <c r="AK355" s="180">
        <f t="shared" si="99"/>
        <v>7200000</v>
      </c>
      <c r="AL355" s="181">
        <f t="shared" si="106"/>
        <v>78.260869565217391</v>
      </c>
      <c r="AM355" s="243"/>
    </row>
    <row r="356" spans="1:39" ht="28.5" customHeight="1" x14ac:dyDescent="0.25">
      <c r="A356" s="227">
        <v>47</v>
      </c>
      <c r="B356" s="457"/>
      <c r="C356" s="457"/>
      <c r="D356" s="457"/>
      <c r="E356" s="457"/>
      <c r="F356" s="457"/>
      <c r="G356" s="457"/>
      <c r="H356" s="457"/>
      <c r="I356" s="458"/>
      <c r="J356" s="304" t="s">
        <v>492</v>
      </c>
      <c r="K356" s="230"/>
      <c r="L356" s="294"/>
      <c r="M356" s="609" t="s">
        <v>493</v>
      </c>
      <c r="N356" s="609"/>
      <c r="O356" s="309">
        <v>558720000</v>
      </c>
      <c r="P356" s="231">
        <f>O356</f>
        <v>558720000</v>
      </c>
      <c r="Q356" s="231">
        <f>SUM(Q357:Q363)</f>
        <v>541894073</v>
      </c>
      <c r="R356" s="233">
        <f>Q356/Q$248*100</f>
        <v>4.5431013317092779</v>
      </c>
      <c r="S356" s="233">
        <v>100</v>
      </c>
      <c r="T356" s="231">
        <f t="shared" si="104"/>
        <v>73.167119323705904</v>
      </c>
      <c r="U356" s="231">
        <f t="shared" si="97"/>
        <v>3.3240563723685996</v>
      </c>
      <c r="V356" s="296">
        <f t="shared" si="95"/>
        <v>26.832880676294096</v>
      </c>
      <c r="W356" s="231"/>
      <c r="X356" s="231" t="e">
        <f>#REF!</f>
        <v>#REF!</v>
      </c>
      <c r="Y356" s="231" t="e">
        <f>#REF!</f>
        <v>#REF!</v>
      </c>
      <c r="Z356" s="231" t="e">
        <f>#REF!</f>
        <v>#REF!</v>
      </c>
      <c r="AA356" s="231" t="e">
        <f>#REF!</f>
        <v>#REF!</v>
      </c>
      <c r="AB356" s="231">
        <v>192786500</v>
      </c>
      <c r="AC356" s="231" t="e">
        <f>#REF!</f>
        <v>#REF!</v>
      </c>
      <c r="AD356" s="231" t="e">
        <f>#REF!</f>
        <v>#REF!</v>
      </c>
      <c r="AE356" s="231" t="e">
        <f>#REF!</f>
        <v>#REF!</v>
      </c>
      <c r="AF356" s="231" t="e">
        <f>[1]April!N54</f>
        <v>#REF!</v>
      </c>
      <c r="AG356" s="231" t="e">
        <f>[2]april!N54</f>
        <v>#REF!</v>
      </c>
      <c r="AH356" s="231">
        <f>'[3]DES SKPD'!$N54</f>
        <v>508172500</v>
      </c>
      <c r="AI356" s="231">
        <f>SUM(AI357:AI363)</f>
        <v>396488283</v>
      </c>
      <c r="AJ356" s="233">
        <f t="shared" si="105"/>
        <v>73.167119323705904</v>
      </c>
      <c r="AK356" s="231">
        <f t="shared" si="99"/>
        <v>145405790</v>
      </c>
      <c r="AL356" s="233">
        <f t="shared" si="106"/>
        <v>26.832880676294092</v>
      </c>
      <c r="AM356" s="243"/>
    </row>
    <row r="357" spans="1:39" ht="28.5" customHeight="1" x14ac:dyDescent="0.25">
      <c r="A357" s="243"/>
      <c r="B357" s="457"/>
      <c r="C357" s="457"/>
      <c r="D357" s="457"/>
      <c r="E357" s="457"/>
      <c r="F357" s="457"/>
      <c r="G357" s="457"/>
      <c r="H357" s="457"/>
      <c r="I357" s="458"/>
      <c r="J357" s="457" t="s">
        <v>315</v>
      </c>
      <c r="K357" s="245"/>
      <c r="L357" s="257"/>
      <c r="M357" s="591" t="s">
        <v>271</v>
      </c>
      <c r="N357" s="592"/>
      <c r="O357" s="179"/>
      <c r="P357" s="180"/>
      <c r="Q357" s="180">
        <v>20304000</v>
      </c>
      <c r="R357" s="181">
        <f t="shared" ref="R357:R363" si="107">Q357/Q$356*100</f>
        <v>3.74685773689944</v>
      </c>
      <c r="S357" s="181">
        <v>100</v>
      </c>
      <c r="T357" s="180">
        <f t="shared" si="104"/>
        <v>99.980299448384557</v>
      </c>
      <c r="U357" s="180">
        <f t="shared" si="97"/>
        <v>3.7461195852570253</v>
      </c>
      <c r="V357" s="182">
        <f t="shared" si="95"/>
        <v>1.9700551615443374E-2</v>
      </c>
      <c r="W357" s="180"/>
      <c r="X357" s="180"/>
      <c r="Y357" s="180"/>
      <c r="Z357" s="180"/>
      <c r="AA357" s="180"/>
      <c r="AB357" s="180"/>
      <c r="AC357" s="180"/>
      <c r="AD357" s="180"/>
      <c r="AE357" s="180"/>
      <c r="AF357" s="180"/>
      <c r="AG357" s="180"/>
      <c r="AH357" s="180"/>
      <c r="AI357" s="180">
        <f>2000000+18300000</f>
        <v>20300000</v>
      </c>
      <c r="AJ357" s="181">
        <f t="shared" si="105"/>
        <v>99.980299448384557</v>
      </c>
      <c r="AK357" s="180">
        <f t="shared" si="99"/>
        <v>4000</v>
      </c>
      <c r="AL357" s="181">
        <f t="shared" si="106"/>
        <v>1.9700551615445233E-2</v>
      </c>
      <c r="AM357" s="243"/>
    </row>
    <row r="358" spans="1:39" ht="28.5" customHeight="1" x14ac:dyDescent="0.25">
      <c r="A358" s="243"/>
      <c r="B358" s="457"/>
      <c r="C358" s="457"/>
      <c r="D358" s="457"/>
      <c r="E358" s="457"/>
      <c r="F358" s="457"/>
      <c r="G358" s="457"/>
      <c r="H358" s="457"/>
      <c r="I358" s="458"/>
      <c r="J358" s="457" t="s">
        <v>328</v>
      </c>
      <c r="K358" s="245"/>
      <c r="L358" s="257"/>
      <c r="M358" s="591" t="s">
        <v>319</v>
      </c>
      <c r="N358" s="592"/>
      <c r="O358" s="179"/>
      <c r="P358" s="180"/>
      <c r="Q358" s="180">
        <v>231000000</v>
      </c>
      <c r="R358" s="181">
        <f t="shared" si="107"/>
        <v>42.628257349476492</v>
      </c>
      <c r="S358" s="181">
        <v>100</v>
      </c>
      <c r="T358" s="180">
        <f t="shared" si="104"/>
        <v>86.166666666666671</v>
      </c>
      <c r="U358" s="180">
        <f t="shared" si="97"/>
        <v>36.731348416132249</v>
      </c>
      <c r="V358" s="182">
        <f t="shared" si="95"/>
        <v>13.833333333333329</v>
      </c>
      <c r="W358" s="180"/>
      <c r="X358" s="180"/>
      <c r="Y358" s="180"/>
      <c r="Z358" s="180"/>
      <c r="AA358" s="180"/>
      <c r="AB358" s="180"/>
      <c r="AC358" s="180"/>
      <c r="AD358" s="180"/>
      <c r="AE358" s="180"/>
      <c r="AF358" s="180"/>
      <c r="AG358" s="180"/>
      <c r="AH358" s="180"/>
      <c r="AI358" s="180">
        <f>99330000+99715000</f>
        <v>199045000</v>
      </c>
      <c r="AJ358" s="181">
        <f t="shared" si="105"/>
        <v>86.166666666666671</v>
      </c>
      <c r="AK358" s="180">
        <f t="shared" si="99"/>
        <v>31955000</v>
      </c>
      <c r="AL358" s="181">
        <f t="shared" si="106"/>
        <v>13.833333333333334</v>
      </c>
      <c r="AM358" s="243"/>
    </row>
    <row r="359" spans="1:39" ht="28.5" customHeight="1" x14ac:dyDescent="0.25">
      <c r="A359" s="243"/>
      <c r="B359" s="457"/>
      <c r="C359" s="457"/>
      <c r="D359" s="457"/>
      <c r="E359" s="457"/>
      <c r="F359" s="457"/>
      <c r="G359" s="457"/>
      <c r="H359" s="457"/>
      <c r="I359" s="458"/>
      <c r="J359" s="312" t="s">
        <v>339</v>
      </c>
      <c r="M359" s="619" t="s">
        <v>608</v>
      </c>
      <c r="N359" s="620"/>
      <c r="O359" s="179"/>
      <c r="P359" s="180"/>
      <c r="Q359" s="180">
        <v>25200000</v>
      </c>
      <c r="R359" s="181">
        <f t="shared" si="107"/>
        <v>4.6503553472156174</v>
      </c>
      <c r="S359" s="181">
        <v>100</v>
      </c>
      <c r="T359" s="180">
        <f t="shared" si="104"/>
        <v>13.194444444444445</v>
      </c>
      <c r="U359" s="180">
        <f t="shared" si="97"/>
        <v>0.61358855275761615</v>
      </c>
      <c r="V359" s="182">
        <f t="shared" si="95"/>
        <v>86.805555555555557</v>
      </c>
      <c r="W359" s="180"/>
      <c r="X359" s="180"/>
      <c r="Y359" s="180"/>
      <c r="Z359" s="180"/>
      <c r="AA359" s="180"/>
      <c r="AB359" s="180"/>
      <c r="AC359" s="180"/>
      <c r="AD359" s="180"/>
      <c r="AE359" s="180"/>
      <c r="AF359" s="180"/>
      <c r="AG359" s="180"/>
      <c r="AH359" s="180"/>
      <c r="AI359" s="180">
        <f>875000+2450000</f>
        <v>3325000</v>
      </c>
      <c r="AJ359" s="181">
        <f t="shared" si="105"/>
        <v>13.194444444444445</v>
      </c>
      <c r="AK359" s="180">
        <f t="shared" si="99"/>
        <v>21875000</v>
      </c>
      <c r="AL359" s="181">
        <f t="shared" si="106"/>
        <v>86.805555555555557</v>
      </c>
      <c r="AM359" s="243"/>
    </row>
    <row r="360" spans="1:39" ht="28.5" customHeight="1" x14ac:dyDescent="0.25">
      <c r="A360" s="243"/>
      <c r="B360" s="457"/>
      <c r="C360" s="457"/>
      <c r="D360" s="457"/>
      <c r="E360" s="457"/>
      <c r="F360" s="457"/>
      <c r="G360" s="457"/>
      <c r="H360" s="457"/>
      <c r="I360" s="458"/>
      <c r="J360" s="457" t="s">
        <v>284</v>
      </c>
      <c r="K360" s="245"/>
      <c r="L360" s="257"/>
      <c r="M360" s="591" t="s">
        <v>503</v>
      </c>
      <c r="N360" s="592"/>
      <c r="O360" s="179"/>
      <c r="P360" s="180"/>
      <c r="Q360" s="180">
        <v>152190073</v>
      </c>
      <c r="R360" s="181">
        <f t="shared" si="107"/>
        <v>28.084838086058934</v>
      </c>
      <c r="S360" s="181">
        <v>100</v>
      </c>
      <c r="T360" s="180">
        <f t="shared" si="104"/>
        <v>72.29005205878309</v>
      </c>
      <c r="U360" s="180">
        <f t="shared" si="97"/>
        <v>20.302544073036941</v>
      </c>
      <c r="V360" s="182">
        <f t="shared" si="95"/>
        <v>27.70994794121691</v>
      </c>
      <c r="W360" s="180"/>
      <c r="X360" s="180"/>
      <c r="Y360" s="180"/>
      <c r="Z360" s="180"/>
      <c r="AA360" s="180"/>
      <c r="AB360" s="180"/>
      <c r="AC360" s="180"/>
      <c r="AD360" s="180"/>
      <c r="AE360" s="180"/>
      <c r="AF360" s="180"/>
      <c r="AG360" s="180"/>
      <c r="AH360" s="180"/>
      <c r="AI360" s="180">
        <f>30080000+79938283</f>
        <v>110018283</v>
      </c>
      <c r="AJ360" s="181">
        <f>AI360/Q360*100</f>
        <v>72.29005205878309</v>
      </c>
      <c r="AK360" s="180">
        <f>Q360-AI360</f>
        <v>42171790</v>
      </c>
      <c r="AL360" s="181">
        <f>AK360/Q360*100</f>
        <v>27.7099479412169</v>
      </c>
      <c r="AM360" s="243"/>
    </row>
    <row r="361" spans="1:39" ht="28.5" customHeight="1" x14ac:dyDescent="0.25">
      <c r="A361" s="243"/>
      <c r="B361" s="457"/>
      <c r="C361" s="457"/>
      <c r="D361" s="457"/>
      <c r="E361" s="457"/>
      <c r="F361" s="457"/>
      <c r="G361" s="457"/>
      <c r="H361" s="457"/>
      <c r="I361" s="458"/>
      <c r="J361" s="457" t="s">
        <v>320</v>
      </c>
      <c r="K361" s="245"/>
      <c r="L361" s="257"/>
      <c r="M361" s="591" t="s">
        <v>321</v>
      </c>
      <c r="N361" s="592"/>
      <c r="O361" s="179"/>
      <c r="P361" s="180"/>
      <c r="Q361" s="180">
        <v>9200000</v>
      </c>
      <c r="R361" s="181">
        <f t="shared" si="107"/>
        <v>1.6977487775549078</v>
      </c>
      <c r="S361" s="181">
        <v>100</v>
      </c>
      <c r="T361" s="180">
        <f t="shared" si="104"/>
        <v>90.217391304347828</v>
      </c>
      <c r="U361" s="180">
        <f t="shared" si="97"/>
        <v>1.5316646580114928</v>
      </c>
      <c r="V361" s="182">
        <f t="shared" si="95"/>
        <v>9.7826086956521721</v>
      </c>
      <c r="W361" s="180"/>
      <c r="X361" s="180"/>
      <c r="Y361" s="180"/>
      <c r="Z361" s="180"/>
      <c r="AA361" s="180"/>
      <c r="AB361" s="180"/>
      <c r="AC361" s="180"/>
      <c r="AD361" s="180"/>
      <c r="AE361" s="180"/>
      <c r="AF361" s="180"/>
      <c r="AG361" s="180"/>
      <c r="AH361" s="180"/>
      <c r="AI361" s="180">
        <f>6000000+2300000</f>
        <v>8300000</v>
      </c>
      <c r="AJ361" s="181">
        <f t="shared" si="105"/>
        <v>90.217391304347828</v>
      </c>
      <c r="AK361" s="180">
        <f t="shared" ref="AK361:AK424" si="108">Q361-AI361</f>
        <v>900000</v>
      </c>
      <c r="AL361" s="181">
        <f t="shared" si="106"/>
        <v>9.7826086956521738</v>
      </c>
      <c r="AM361" s="243"/>
    </row>
    <row r="362" spans="1:39" ht="28.5" customHeight="1" x14ac:dyDescent="0.25">
      <c r="A362" s="243"/>
      <c r="B362" s="457"/>
      <c r="C362" s="457"/>
      <c r="D362" s="457"/>
      <c r="E362" s="457"/>
      <c r="F362" s="457"/>
      <c r="G362" s="457"/>
      <c r="H362" s="457"/>
      <c r="I362" s="458"/>
      <c r="J362" s="312" t="s">
        <v>407</v>
      </c>
      <c r="M362" s="616" t="s">
        <v>414</v>
      </c>
      <c r="N362" s="617"/>
      <c r="O362" s="179"/>
      <c r="P362" s="180"/>
      <c r="Q362" s="180">
        <v>8000000</v>
      </c>
      <c r="R362" s="181">
        <f t="shared" si="107"/>
        <v>1.4763032848303546</v>
      </c>
      <c r="S362" s="181">
        <v>100</v>
      </c>
      <c r="T362" s="180">
        <f t="shared" si="104"/>
        <v>93.75</v>
      </c>
      <c r="U362" s="180">
        <f t="shared" si="97"/>
        <v>1.3840343295284574</v>
      </c>
      <c r="V362" s="182">
        <f t="shared" si="95"/>
        <v>6.25</v>
      </c>
      <c r="W362" s="180"/>
      <c r="X362" s="180"/>
      <c r="Y362" s="180"/>
      <c r="Z362" s="180"/>
      <c r="AA362" s="180"/>
      <c r="AB362" s="180"/>
      <c r="AC362" s="180"/>
      <c r="AD362" s="180"/>
      <c r="AE362" s="180"/>
      <c r="AF362" s="180"/>
      <c r="AG362" s="180"/>
      <c r="AH362" s="180"/>
      <c r="AI362" s="180">
        <f>1500000+6000000</f>
        <v>7500000</v>
      </c>
      <c r="AJ362" s="181">
        <f t="shared" si="105"/>
        <v>93.75</v>
      </c>
      <c r="AK362" s="180">
        <f t="shared" si="108"/>
        <v>500000</v>
      </c>
      <c r="AL362" s="181">
        <f t="shared" si="106"/>
        <v>6.25</v>
      </c>
      <c r="AM362" s="243"/>
    </row>
    <row r="363" spans="1:39" ht="28.5" customHeight="1" x14ac:dyDescent="0.25">
      <c r="A363" s="243"/>
      <c r="B363" s="457"/>
      <c r="C363" s="457"/>
      <c r="D363" s="457"/>
      <c r="E363" s="457"/>
      <c r="F363" s="457"/>
      <c r="G363" s="457"/>
      <c r="H363" s="457"/>
      <c r="I363" s="458"/>
      <c r="J363" s="312" t="s">
        <v>551</v>
      </c>
      <c r="M363" s="658" t="s">
        <v>550</v>
      </c>
      <c r="N363" s="659"/>
      <c r="O363" s="179"/>
      <c r="P363" s="180"/>
      <c r="Q363" s="180">
        <v>96000000</v>
      </c>
      <c r="R363" s="181">
        <f t="shared" si="107"/>
        <v>17.715639417964255</v>
      </c>
      <c r="S363" s="181">
        <v>100</v>
      </c>
      <c r="T363" s="180">
        <f t="shared" si="104"/>
        <v>50</v>
      </c>
      <c r="U363" s="180">
        <f t="shared" si="97"/>
        <v>8.8578197089821273</v>
      </c>
      <c r="V363" s="182">
        <f t="shared" si="95"/>
        <v>50</v>
      </c>
      <c r="W363" s="180"/>
      <c r="X363" s="180"/>
      <c r="Y363" s="180"/>
      <c r="Z363" s="180"/>
      <c r="AA363" s="180"/>
      <c r="AB363" s="180"/>
      <c r="AC363" s="180"/>
      <c r="AD363" s="180"/>
      <c r="AE363" s="180"/>
      <c r="AF363" s="180"/>
      <c r="AG363" s="180"/>
      <c r="AH363" s="180"/>
      <c r="AI363" s="180">
        <f>16000000+8000000+8000000+8000000+8000000</f>
        <v>48000000</v>
      </c>
      <c r="AJ363" s="181">
        <f t="shared" si="105"/>
        <v>50</v>
      </c>
      <c r="AK363" s="180">
        <f t="shared" si="108"/>
        <v>48000000</v>
      </c>
      <c r="AL363" s="181">
        <f t="shared" si="106"/>
        <v>50</v>
      </c>
      <c r="AM363" s="243"/>
    </row>
    <row r="364" spans="1:39" s="297" customFormat="1" ht="29.25" customHeight="1" x14ac:dyDescent="0.25">
      <c r="A364" s="227">
        <f>SUM(A356+1)</f>
        <v>48</v>
      </c>
      <c r="B364" s="615" t="s">
        <v>150</v>
      </c>
      <c r="C364" s="615"/>
      <c r="D364" s="615"/>
      <c r="E364" s="615"/>
      <c r="F364" s="615"/>
      <c r="G364" s="615"/>
      <c r="H364" s="615"/>
      <c r="I364" s="614"/>
      <c r="J364" s="304" t="s">
        <v>491</v>
      </c>
      <c r="K364" s="230"/>
      <c r="L364" s="294"/>
      <c r="M364" s="609" t="s">
        <v>49</v>
      </c>
      <c r="N364" s="609"/>
      <c r="O364" s="309">
        <v>558720000</v>
      </c>
      <c r="P364" s="231">
        <f>O364</f>
        <v>558720000</v>
      </c>
      <c r="Q364" s="231">
        <f>SUM(Q365:Q376)</f>
        <v>412540000</v>
      </c>
      <c r="R364" s="233">
        <f>Q364/Q$248*100</f>
        <v>3.4586298628576171</v>
      </c>
      <c r="S364" s="233">
        <v>100</v>
      </c>
      <c r="T364" s="231">
        <f t="shared" si="104"/>
        <v>68.28339361031658</v>
      </c>
      <c r="U364" s="231">
        <f t="shared" si="97"/>
        <v>2.361669842779019</v>
      </c>
      <c r="V364" s="296">
        <f t="shared" si="95"/>
        <v>31.71660638968342</v>
      </c>
      <c r="W364" s="231"/>
      <c r="X364" s="231" t="e">
        <f>#REF!</f>
        <v>#REF!</v>
      </c>
      <c r="Y364" s="231" t="e">
        <f>#REF!</f>
        <v>#REF!</v>
      </c>
      <c r="Z364" s="231" t="e">
        <f>#REF!</f>
        <v>#REF!</v>
      </c>
      <c r="AA364" s="231" t="e">
        <f>#REF!</f>
        <v>#REF!</v>
      </c>
      <c r="AB364" s="231">
        <v>192786500</v>
      </c>
      <c r="AC364" s="231" t="e">
        <f>#REF!</f>
        <v>#REF!</v>
      </c>
      <c r="AD364" s="231" t="e">
        <f>#REF!</f>
        <v>#REF!</v>
      </c>
      <c r="AE364" s="231" t="e">
        <f>#REF!</f>
        <v>#REF!</v>
      </c>
      <c r="AF364" s="231" t="e">
        <f>[1]April!N66</f>
        <v>#REF!</v>
      </c>
      <c r="AG364" s="231" t="e">
        <f>[2]april!N66</f>
        <v>#REF!</v>
      </c>
      <c r="AH364" s="231">
        <f>'[3]DES SKPD'!$N66</f>
        <v>558385000</v>
      </c>
      <c r="AI364" s="231">
        <f>SUM(AI365:AI376)</f>
        <v>281696312</v>
      </c>
      <c r="AJ364" s="233">
        <f t="shared" si="105"/>
        <v>68.28339361031658</v>
      </c>
      <c r="AK364" s="231">
        <f t="shared" si="108"/>
        <v>130843688</v>
      </c>
      <c r="AL364" s="233">
        <f t="shared" si="106"/>
        <v>31.716606389683427</v>
      </c>
      <c r="AM364" s="227"/>
    </row>
    <row r="365" spans="1:39" ht="29.25" customHeight="1" x14ac:dyDescent="0.25">
      <c r="A365" s="243"/>
      <c r="B365" s="457"/>
      <c r="C365" s="457"/>
      <c r="D365" s="457"/>
      <c r="E365" s="457"/>
      <c r="F365" s="457"/>
      <c r="G365" s="457"/>
      <c r="H365" s="457"/>
      <c r="I365" s="458"/>
      <c r="J365" s="457" t="s">
        <v>259</v>
      </c>
      <c r="K365" s="245"/>
      <c r="L365" s="257"/>
      <c r="M365" s="656" t="s">
        <v>260</v>
      </c>
      <c r="N365" s="657"/>
      <c r="O365" s="179"/>
      <c r="P365" s="180"/>
      <c r="Q365" s="180">
        <v>3080000</v>
      </c>
      <c r="R365" s="181">
        <f t="shared" ref="R365:R376" si="109">Q365/Q$364*100</f>
        <v>0.74659426964657971</v>
      </c>
      <c r="S365" s="181">
        <v>100</v>
      </c>
      <c r="T365" s="180">
        <f t="shared" si="104"/>
        <v>75</v>
      </c>
      <c r="U365" s="180">
        <f t="shared" si="97"/>
        <v>0.55994570223493478</v>
      </c>
      <c r="V365" s="182">
        <f t="shared" si="95"/>
        <v>25</v>
      </c>
      <c r="W365" s="180"/>
      <c r="X365" s="180"/>
      <c r="Y365" s="180"/>
      <c r="Z365" s="180"/>
      <c r="AA365" s="180"/>
      <c r="AB365" s="180"/>
      <c r="AC365" s="180"/>
      <c r="AD365" s="180"/>
      <c r="AE365" s="180"/>
      <c r="AF365" s="180"/>
      <c r="AG365" s="180"/>
      <c r="AH365" s="180"/>
      <c r="AI365" s="180">
        <f>1540000+770000</f>
        <v>2310000</v>
      </c>
      <c r="AJ365" s="181">
        <f t="shared" si="105"/>
        <v>75</v>
      </c>
      <c r="AK365" s="180">
        <f t="shared" si="108"/>
        <v>770000</v>
      </c>
      <c r="AL365" s="181">
        <f t="shared" si="106"/>
        <v>25</v>
      </c>
      <c r="AM365" s="243"/>
    </row>
    <row r="366" spans="1:39" ht="29.25" customHeight="1" x14ac:dyDescent="0.25">
      <c r="A366" s="243"/>
      <c r="B366" s="457"/>
      <c r="C366" s="457"/>
      <c r="D366" s="457"/>
      <c r="E366" s="457"/>
      <c r="F366" s="457"/>
      <c r="G366" s="457"/>
      <c r="H366" s="457"/>
      <c r="I366" s="458"/>
      <c r="J366" s="457" t="s">
        <v>347</v>
      </c>
      <c r="K366" s="245"/>
      <c r="L366" s="257"/>
      <c r="M366" s="591" t="s">
        <v>348</v>
      </c>
      <c r="N366" s="592"/>
      <c r="O366" s="179"/>
      <c r="P366" s="180"/>
      <c r="Q366" s="180">
        <v>57400000</v>
      </c>
      <c r="R366" s="181">
        <f t="shared" si="109"/>
        <v>13.913802297958986</v>
      </c>
      <c r="S366" s="181">
        <v>100</v>
      </c>
      <c r="T366" s="180">
        <f t="shared" si="104"/>
        <v>48.432055749128921</v>
      </c>
      <c r="U366" s="180">
        <f t="shared" ref="U366:U429" si="110">R366*T366/100</f>
        <v>6.7387404857710775</v>
      </c>
      <c r="V366" s="182">
        <f t="shared" si="95"/>
        <v>51.567944250871079</v>
      </c>
      <c r="W366" s="180"/>
      <c r="X366" s="180"/>
      <c r="Y366" s="180"/>
      <c r="Z366" s="180"/>
      <c r="AA366" s="180"/>
      <c r="AB366" s="180"/>
      <c r="AC366" s="180"/>
      <c r="AD366" s="180"/>
      <c r="AE366" s="180"/>
      <c r="AF366" s="180"/>
      <c r="AG366" s="180"/>
      <c r="AH366" s="180"/>
      <c r="AI366" s="180">
        <v>27800000</v>
      </c>
      <c r="AJ366" s="181">
        <f t="shared" si="105"/>
        <v>48.432055749128921</v>
      </c>
      <c r="AK366" s="180">
        <f t="shared" si="108"/>
        <v>29600000</v>
      </c>
      <c r="AL366" s="181">
        <f t="shared" si="106"/>
        <v>51.567944250871079</v>
      </c>
      <c r="AM366" s="243"/>
    </row>
    <row r="367" spans="1:39" ht="29.25" customHeight="1" x14ac:dyDescent="0.25">
      <c r="A367" s="243"/>
      <c r="B367" s="457"/>
      <c r="C367" s="457"/>
      <c r="D367" s="457"/>
      <c r="E367" s="457"/>
      <c r="F367" s="457"/>
      <c r="G367" s="457"/>
      <c r="H367" s="457"/>
      <c r="I367" s="458"/>
      <c r="J367" s="457" t="s">
        <v>323</v>
      </c>
      <c r="K367" s="245"/>
      <c r="L367" s="257"/>
      <c r="M367" s="591" t="s">
        <v>324</v>
      </c>
      <c r="N367" s="592"/>
      <c r="O367" s="179"/>
      <c r="P367" s="180"/>
      <c r="Q367" s="180">
        <v>24084000</v>
      </c>
      <c r="R367" s="181">
        <f t="shared" si="109"/>
        <v>5.8379793474572166</v>
      </c>
      <c r="S367" s="181">
        <v>100</v>
      </c>
      <c r="T367" s="180">
        <f t="shared" si="104"/>
        <v>72.869955156950667</v>
      </c>
      <c r="U367" s="180">
        <f t="shared" si="110"/>
        <v>4.2541329325641151</v>
      </c>
      <c r="V367" s="182">
        <f t="shared" si="95"/>
        <v>27.130044843049333</v>
      </c>
      <c r="W367" s="180"/>
      <c r="X367" s="180"/>
      <c r="Y367" s="180"/>
      <c r="Z367" s="180"/>
      <c r="AA367" s="180"/>
      <c r="AB367" s="180"/>
      <c r="AC367" s="180"/>
      <c r="AD367" s="180"/>
      <c r="AE367" s="180"/>
      <c r="AF367" s="180"/>
      <c r="AG367" s="180"/>
      <c r="AH367" s="180"/>
      <c r="AI367" s="180">
        <f>5850000+2925000+2925000+5850000</f>
        <v>17550000</v>
      </c>
      <c r="AJ367" s="181">
        <f t="shared" si="105"/>
        <v>72.869955156950667</v>
      </c>
      <c r="AK367" s="180">
        <f t="shared" si="108"/>
        <v>6534000</v>
      </c>
      <c r="AL367" s="181">
        <f t="shared" si="106"/>
        <v>27.130044843049326</v>
      </c>
      <c r="AM367" s="243"/>
    </row>
    <row r="368" spans="1:39" ht="29.25" customHeight="1" x14ac:dyDescent="0.25">
      <c r="A368" s="243"/>
      <c r="B368" s="457"/>
      <c r="C368" s="457"/>
      <c r="D368" s="457"/>
      <c r="E368" s="457"/>
      <c r="F368" s="457"/>
      <c r="G368" s="457"/>
      <c r="H368" s="457"/>
      <c r="I368" s="458"/>
      <c r="J368" s="457" t="s">
        <v>269</v>
      </c>
      <c r="K368" s="245"/>
      <c r="L368" s="257"/>
      <c r="M368" s="591" t="s">
        <v>270</v>
      </c>
      <c r="N368" s="592"/>
      <c r="O368" s="179"/>
      <c r="P368" s="180"/>
      <c r="Q368" s="180">
        <v>1500000</v>
      </c>
      <c r="R368" s="181">
        <f t="shared" si="109"/>
        <v>0.36360110534736023</v>
      </c>
      <c r="S368" s="181">
        <v>100</v>
      </c>
      <c r="T368" s="180">
        <f t="shared" si="104"/>
        <v>50</v>
      </c>
      <c r="U368" s="180">
        <f t="shared" si="110"/>
        <v>0.18180055267368012</v>
      </c>
      <c r="V368" s="182">
        <f t="shared" si="95"/>
        <v>50</v>
      </c>
      <c r="W368" s="180"/>
      <c r="X368" s="180"/>
      <c r="Y368" s="180"/>
      <c r="Z368" s="180"/>
      <c r="AA368" s="180"/>
      <c r="AB368" s="180"/>
      <c r="AC368" s="180"/>
      <c r="AD368" s="180"/>
      <c r="AE368" s="180"/>
      <c r="AF368" s="180"/>
      <c r="AG368" s="180"/>
      <c r="AH368" s="180"/>
      <c r="AI368" s="180">
        <v>750000</v>
      </c>
      <c r="AJ368" s="181">
        <f t="shared" si="105"/>
        <v>50</v>
      </c>
      <c r="AK368" s="180">
        <f t="shared" si="108"/>
        <v>750000</v>
      </c>
      <c r="AL368" s="181">
        <f t="shared" si="106"/>
        <v>50</v>
      </c>
      <c r="AM368" s="243"/>
    </row>
    <row r="369" spans="1:39" ht="29.25" customHeight="1" x14ac:dyDescent="0.25">
      <c r="A369" s="243"/>
      <c r="B369" s="457"/>
      <c r="C369" s="457"/>
      <c r="D369" s="457"/>
      <c r="E369" s="457"/>
      <c r="F369" s="457"/>
      <c r="G369" s="457"/>
      <c r="H369" s="457"/>
      <c r="I369" s="458"/>
      <c r="J369" s="457" t="s">
        <v>315</v>
      </c>
      <c r="K369" s="245"/>
      <c r="L369" s="257"/>
      <c r="M369" s="591" t="s">
        <v>271</v>
      </c>
      <c r="N369" s="592"/>
      <c r="O369" s="179"/>
      <c r="P369" s="180"/>
      <c r="Q369" s="180">
        <v>3116000</v>
      </c>
      <c r="R369" s="181">
        <f t="shared" si="109"/>
        <v>0.75532069617491637</v>
      </c>
      <c r="S369" s="181">
        <v>100</v>
      </c>
      <c r="T369" s="180">
        <f t="shared" si="104"/>
        <v>74.069319640564828</v>
      </c>
      <c r="U369" s="180">
        <f t="shared" si="110"/>
        <v>0.5594609007611383</v>
      </c>
      <c r="V369" s="182">
        <f t="shared" si="95"/>
        <v>25.930680359435172</v>
      </c>
      <c r="W369" s="180"/>
      <c r="X369" s="180"/>
      <c r="Y369" s="180"/>
      <c r="Z369" s="180"/>
      <c r="AA369" s="180"/>
      <c r="AB369" s="180"/>
      <c r="AC369" s="180"/>
      <c r="AD369" s="180"/>
      <c r="AE369" s="180"/>
      <c r="AF369" s="180"/>
      <c r="AG369" s="180"/>
      <c r="AH369" s="180"/>
      <c r="AI369" s="180">
        <f>958000+950000+400000</f>
        <v>2308000</v>
      </c>
      <c r="AJ369" s="181">
        <f t="shared" si="105"/>
        <v>74.069319640564828</v>
      </c>
      <c r="AK369" s="180">
        <f t="shared" si="108"/>
        <v>808000</v>
      </c>
      <c r="AL369" s="181">
        <f t="shared" si="106"/>
        <v>25.930680359435172</v>
      </c>
      <c r="AM369" s="243"/>
    </row>
    <row r="370" spans="1:39" ht="29.25" customHeight="1" x14ac:dyDescent="0.25">
      <c r="A370" s="243"/>
      <c r="B370" s="457"/>
      <c r="C370" s="457"/>
      <c r="D370" s="457"/>
      <c r="E370" s="457"/>
      <c r="F370" s="457"/>
      <c r="G370" s="457"/>
      <c r="H370" s="457"/>
      <c r="I370" s="458"/>
      <c r="J370" s="457" t="s">
        <v>316</v>
      </c>
      <c r="K370" s="245"/>
      <c r="L370" s="257"/>
      <c r="M370" s="591" t="s">
        <v>317</v>
      </c>
      <c r="N370" s="592"/>
      <c r="O370" s="179"/>
      <c r="P370" s="180"/>
      <c r="Q370" s="180">
        <v>2000000</v>
      </c>
      <c r="R370" s="181">
        <f t="shared" si="109"/>
        <v>0.48480147379648031</v>
      </c>
      <c r="S370" s="181">
        <v>100</v>
      </c>
      <c r="T370" s="180">
        <f t="shared" si="104"/>
        <v>75</v>
      </c>
      <c r="U370" s="180">
        <f t="shared" si="110"/>
        <v>0.36360110534736023</v>
      </c>
      <c r="V370" s="182">
        <f t="shared" si="95"/>
        <v>25</v>
      </c>
      <c r="W370" s="180"/>
      <c r="X370" s="180"/>
      <c r="Y370" s="180"/>
      <c r="Z370" s="180"/>
      <c r="AA370" s="180"/>
      <c r="AB370" s="180"/>
      <c r="AC370" s="180"/>
      <c r="AD370" s="180"/>
      <c r="AE370" s="180"/>
      <c r="AF370" s="180"/>
      <c r="AG370" s="180"/>
      <c r="AH370" s="180"/>
      <c r="AI370" s="180">
        <f>1000000+500000</f>
        <v>1500000</v>
      </c>
      <c r="AJ370" s="181">
        <f t="shared" si="105"/>
        <v>75</v>
      </c>
      <c r="AK370" s="180">
        <f t="shared" si="108"/>
        <v>500000</v>
      </c>
      <c r="AL370" s="181">
        <f t="shared" si="106"/>
        <v>25</v>
      </c>
      <c r="AM370" s="243"/>
    </row>
    <row r="371" spans="1:39" ht="29.25" customHeight="1" x14ac:dyDescent="0.25">
      <c r="A371" s="243"/>
      <c r="B371" s="457"/>
      <c r="C371" s="457"/>
      <c r="D371" s="457"/>
      <c r="E371" s="457"/>
      <c r="F371" s="457"/>
      <c r="G371" s="457"/>
      <c r="H371" s="457"/>
      <c r="I371" s="458"/>
      <c r="J371" s="457" t="s">
        <v>318</v>
      </c>
      <c r="K371" s="245"/>
      <c r="L371" s="257"/>
      <c r="M371" s="591" t="s">
        <v>319</v>
      </c>
      <c r="N371" s="592"/>
      <c r="O371" s="179"/>
      <c r="P371" s="180"/>
      <c r="Q371" s="180">
        <v>105200000</v>
      </c>
      <c r="R371" s="181">
        <f t="shared" si="109"/>
        <v>25.500557521694866</v>
      </c>
      <c r="S371" s="181">
        <v>100</v>
      </c>
      <c r="T371" s="180">
        <f t="shared" si="104"/>
        <v>96.863117870722434</v>
      </c>
      <c r="U371" s="180">
        <f t="shared" si="110"/>
        <v>24.700635089930675</v>
      </c>
      <c r="V371" s="182">
        <f t="shared" si="95"/>
        <v>3.1368821292775664</v>
      </c>
      <c r="W371" s="180"/>
      <c r="X371" s="180"/>
      <c r="Y371" s="180"/>
      <c r="Z371" s="180"/>
      <c r="AA371" s="180"/>
      <c r="AB371" s="180"/>
      <c r="AC371" s="180"/>
      <c r="AD371" s="180"/>
      <c r="AE371" s="180"/>
      <c r="AF371" s="180"/>
      <c r="AG371" s="180"/>
      <c r="AH371" s="180"/>
      <c r="AI371" s="180">
        <f>52500000+49400000</f>
        <v>101900000</v>
      </c>
      <c r="AJ371" s="181">
        <f t="shared" si="105"/>
        <v>96.863117870722434</v>
      </c>
      <c r="AK371" s="180">
        <f t="shared" si="108"/>
        <v>3300000</v>
      </c>
      <c r="AL371" s="181">
        <f t="shared" si="106"/>
        <v>3.1368821292775664</v>
      </c>
      <c r="AM371" s="243"/>
    </row>
    <row r="372" spans="1:39" ht="29.25" customHeight="1" x14ac:dyDescent="0.25">
      <c r="A372" s="243"/>
      <c r="B372" s="457"/>
      <c r="C372" s="457"/>
      <c r="D372" s="457"/>
      <c r="E372" s="457"/>
      <c r="F372" s="457"/>
      <c r="G372" s="457"/>
      <c r="H372" s="457"/>
      <c r="I372" s="458"/>
      <c r="J372" s="457" t="s">
        <v>284</v>
      </c>
      <c r="K372" s="245"/>
      <c r="L372" s="257"/>
      <c r="M372" s="591" t="s">
        <v>285</v>
      </c>
      <c r="N372" s="592"/>
      <c r="O372" s="179"/>
      <c r="P372" s="180"/>
      <c r="Q372" s="180">
        <v>14740000</v>
      </c>
      <c r="R372" s="181">
        <f t="shared" si="109"/>
        <v>3.57298686188006</v>
      </c>
      <c r="S372" s="181">
        <v>100</v>
      </c>
      <c r="T372" s="180">
        <f t="shared" si="104"/>
        <v>39.891451831750338</v>
      </c>
      <c r="U372" s="180">
        <f t="shared" si="110"/>
        <v>1.4253163329616521</v>
      </c>
      <c r="V372" s="182">
        <f t="shared" si="95"/>
        <v>60.108548168249662</v>
      </c>
      <c r="W372" s="180"/>
      <c r="X372" s="180"/>
      <c r="Y372" s="180"/>
      <c r="Z372" s="180"/>
      <c r="AA372" s="180"/>
      <c r="AB372" s="180"/>
      <c r="AC372" s="180"/>
      <c r="AD372" s="180"/>
      <c r="AE372" s="180"/>
      <c r="AF372" s="180"/>
      <c r="AG372" s="180"/>
      <c r="AH372" s="180"/>
      <c r="AI372" s="180">
        <f>2400000+660000+1170000+1650000</f>
        <v>5880000</v>
      </c>
      <c r="AJ372" s="181">
        <f t="shared" si="105"/>
        <v>39.891451831750338</v>
      </c>
      <c r="AK372" s="180">
        <f t="shared" si="108"/>
        <v>8860000</v>
      </c>
      <c r="AL372" s="181">
        <f t="shared" si="106"/>
        <v>60.108548168249662</v>
      </c>
      <c r="AM372" s="243"/>
    </row>
    <row r="373" spans="1:39" ht="29.25" customHeight="1" x14ac:dyDescent="0.25">
      <c r="A373" s="243"/>
      <c r="B373" s="457"/>
      <c r="C373" s="457"/>
      <c r="D373" s="457"/>
      <c r="E373" s="457"/>
      <c r="F373" s="457"/>
      <c r="G373" s="457"/>
      <c r="H373" s="457"/>
      <c r="I373" s="458"/>
      <c r="J373" s="457" t="s">
        <v>282</v>
      </c>
      <c r="K373" s="245"/>
      <c r="L373" s="257"/>
      <c r="M373" s="591" t="s">
        <v>283</v>
      </c>
      <c r="N373" s="592"/>
      <c r="O373" s="179"/>
      <c r="P373" s="180"/>
      <c r="Q373" s="180">
        <v>88420000</v>
      </c>
      <c r="R373" s="181">
        <f t="shared" si="109"/>
        <v>21.433073156542395</v>
      </c>
      <c r="S373" s="181">
        <v>100</v>
      </c>
      <c r="T373" s="180">
        <f t="shared" si="104"/>
        <v>52.361809545351733</v>
      </c>
      <c r="U373" s="180">
        <f t="shared" si="110"/>
        <v>11.222744945944635</v>
      </c>
      <c r="V373" s="182">
        <f t="shared" si="95"/>
        <v>47.638190454648267</v>
      </c>
      <c r="W373" s="180"/>
      <c r="X373" s="180"/>
      <c r="Y373" s="180"/>
      <c r="Z373" s="180"/>
      <c r="AA373" s="180"/>
      <c r="AB373" s="180"/>
      <c r="AC373" s="180"/>
      <c r="AD373" s="180"/>
      <c r="AE373" s="180"/>
      <c r="AF373" s="180"/>
      <c r="AG373" s="180"/>
      <c r="AH373" s="180"/>
      <c r="AI373" s="180">
        <f>14996982+18528740+12772590</f>
        <v>46298312</v>
      </c>
      <c r="AJ373" s="181">
        <f t="shared" si="105"/>
        <v>52.361809545351733</v>
      </c>
      <c r="AK373" s="180">
        <f t="shared" si="108"/>
        <v>42121688</v>
      </c>
      <c r="AL373" s="181">
        <f t="shared" si="106"/>
        <v>47.638190454648274</v>
      </c>
      <c r="AM373" s="243"/>
    </row>
    <row r="374" spans="1:39" ht="29.25" customHeight="1" x14ac:dyDescent="0.25">
      <c r="A374" s="243"/>
      <c r="B374" s="457"/>
      <c r="C374" s="457"/>
      <c r="D374" s="457"/>
      <c r="E374" s="457"/>
      <c r="F374" s="457"/>
      <c r="G374" s="457"/>
      <c r="H374" s="457"/>
      <c r="I374" s="458"/>
      <c r="J374" s="457" t="s">
        <v>320</v>
      </c>
      <c r="K374" s="245"/>
      <c r="L374" s="257"/>
      <c r="M374" s="591" t="s">
        <v>321</v>
      </c>
      <c r="N374" s="592"/>
      <c r="O374" s="179"/>
      <c r="P374" s="180"/>
      <c r="Q374" s="180">
        <v>65600000</v>
      </c>
      <c r="R374" s="181">
        <f t="shared" si="109"/>
        <v>15.901488340524555</v>
      </c>
      <c r="S374" s="181">
        <v>100</v>
      </c>
      <c r="T374" s="180">
        <f t="shared" si="104"/>
        <v>71.951219512195124</v>
      </c>
      <c r="U374" s="180">
        <f t="shared" si="110"/>
        <v>11.441314781596937</v>
      </c>
      <c r="V374" s="182">
        <f t="shared" si="95"/>
        <v>28.048780487804876</v>
      </c>
      <c r="W374" s="180"/>
      <c r="X374" s="180"/>
      <c r="Y374" s="180"/>
      <c r="Z374" s="180"/>
      <c r="AA374" s="180"/>
      <c r="AB374" s="180"/>
      <c r="AC374" s="180"/>
      <c r="AD374" s="180"/>
      <c r="AE374" s="180"/>
      <c r="AF374" s="180"/>
      <c r="AG374" s="180"/>
      <c r="AH374" s="180"/>
      <c r="AI374" s="180">
        <f>25400000+21800000</f>
        <v>47200000</v>
      </c>
      <c r="AJ374" s="181">
        <f t="shared" si="105"/>
        <v>71.951219512195124</v>
      </c>
      <c r="AK374" s="180">
        <f t="shared" si="108"/>
        <v>18400000</v>
      </c>
      <c r="AL374" s="181">
        <f t="shared" si="106"/>
        <v>28.04878048780488</v>
      </c>
      <c r="AM374" s="243"/>
    </row>
    <row r="375" spans="1:39" ht="29.25" customHeight="1" x14ac:dyDescent="0.25">
      <c r="A375" s="243"/>
      <c r="B375" s="457"/>
      <c r="C375" s="457"/>
      <c r="D375" s="457"/>
      <c r="E375" s="457"/>
      <c r="F375" s="457"/>
      <c r="G375" s="457"/>
      <c r="H375" s="457"/>
      <c r="I375" s="458"/>
      <c r="J375" s="457" t="s">
        <v>320</v>
      </c>
      <c r="K375" s="245"/>
      <c r="L375" s="257"/>
      <c r="M375" s="591" t="s">
        <v>414</v>
      </c>
      <c r="N375" s="592"/>
      <c r="O375" s="179"/>
      <c r="P375" s="180"/>
      <c r="Q375" s="180">
        <v>18600000</v>
      </c>
      <c r="R375" s="181">
        <f t="shared" si="109"/>
        <v>4.5086537063072676</v>
      </c>
      <c r="S375" s="181">
        <v>100</v>
      </c>
      <c r="T375" s="180">
        <f t="shared" si="104"/>
        <v>74.193548387096769</v>
      </c>
      <c r="U375" s="180">
        <f t="shared" si="110"/>
        <v>3.3451301691957145</v>
      </c>
      <c r="V375" s="182">
        <f t="shared" si="95"/>
        <v>25.806451612903231</v>
      </c>
      <c r="W375" s="180"/>
      <c r="X375" s="180"/>
      <c r="Y375" s="180"/>
      <c r="Z375" s="180"/>
      <c r="AA375" s="180"/>
      <c r="AB375" s="180"/>
      <c r="AC375" s="180"/>
      <c r="AD375" s="180"/>
      <c r="AE375" s="180"/>
      <c r="AF375" s="180"/>
      <c r="AG375" s="180"/>
      <c r="AH375" s="180"/>
      <c r="AI375" s="180">
        <f>8900000+4900000</f>
        <v>13800000</v>
      </c>
      <c r="AJ375" s="181">
        <f t="shared" si="105"/>
        <v>74.193548387096769</v>
      </c>
      <c r="AK375" s="180">
        <f t="shared" si="108"/>
        <v>4800000</v>
      </c>
      <c r="AL375" s="181">
        <f t="shared" si="106"/>
        <v>25.806451612903224</v>
      </c>
      <c r="AM375" s="243"/>
    </row>
    <row r="376" spans="1:39" ht="29.25" customHeight="1" x14ac:dyDescent="0.25">
      <c r="A376" s="243"/>
      <c r="B376" s="457"/>
      <c r="C376" s="457"/>
      <c r="D376" s="457"/>
      <c r="E376" s="457"/>
      <c r="F376" s="457"/>
      <c r="G376" s="457"/>
      <c r="H376" s="457"/>
      <c r="I376" s="458"/>
      <c r="J376" s="457" t="s">
        <v>350</v>
      </c>
      <c r="K376" s="245"/>
      <c r="L376" s="257"/>
      <c r="M376" s="591" t="s">
        <v>550</v>
      </c>
      <c r="N376" s="592"/>
      <c r="O376" s="179"/>
      <c r="P376" s="180"/>
      <c r="Q376" s="180">
        <v>28800000</v>
      </c>
      <c r="R376" s="181">
        <f t="shared" si="109"/>
        <v>6.9811412226693168</v>
      </c>
      <c r="S376" s="181">
        <v>100</v>
      </c>
      <c r="T376" s="180">
        <f t="shared" si="104"/>
        <v>50</v>
      </c>
      <c r="U376" s="180">
        <f t="shared" si="110"/>
        <v>3.4905706113346584</v>
      </c>
      <c r="V376" s="182">
        <f t="shared" si="95"/>
        <v>50</v>
      </c>
      <c r="W376" s="180"/>
      <c r="X376" s="180"/>
      <c r="Y376" s="180"/>
      <c r="Z376" s="180"/>
      <c r="AA376" s="180"/>
      <c r="AB376" s="180"/>
      <c r="AC376" s="180"/>
      <c r="AD376" s="180"/>
      <c r="AE376" s="180"/>
      <c r="AF376" s="180"/>
      <c r="AG376" s="180"/>
      <c r="AH376" s="180"/>
      <c r="AI376" s="180">
        <f>4800000+2400000+2400000+2400000+2400000</f>
        <v>14400000</v>
      </c>
      <c r="AJ376" s="181">
        <f t="shared" si="105"/>
        <v>50</v>
      </c>
      <c r="AK376" s="180">
        <f t="shared" si="108"/>
        <v>14400000</v>
      </c>
      <c r="AL376" s="181">
        <f t="shared" si="106"/>
        <v>50</v>
      </c>
      <c r="AM376" s="243"/>
    </row>
    <row r="377" spans="1:39" s="297" customFormat="1" ht="24.75" customHeight="1" x14ac:dyDescent="0.25">
      <c r="A377" s="227">
        <f>SUM(A364+1)</f>
        <v>49</v>
      </c>
      <c r="B377" s="615" t="s">
        <v>147</v>
      </c>
      <c r="C377" s="615"/>
      <c r="D377" s="615"/>
      <c r="E377" s="615"/>
      <c r="F377" s="615"/>
      <c r="G377" s="615"/>
      <c r="H377" s="615"/>
      <c r="I377" s="614"/>
      <c r="J377" s="304" t="s">
        <v>495</v>
      </c>
      <c r="K377" s="230"/>
      <c r="L377" s="294"/>
      <c r="M377" s="610" t="s">
        <v>50</v>
      </c>
      <c r="N377" s="610"/>
      <c r="O377" s="309">
        <v>509540000</v>
      </c>
      <c r="P377" s="231">
        <f>O377</f>
        <v>509540000</v>
      </c>
      <c r="Q377" s="231">
        <f>SUM(Q378:Q386)</f>
        <v>351260000</v>
      </c>
      <c r="R377" s="233">
        <f>Q377/Q$248*100</f>
        <v>2.9448740137377385</v>
      </c>
      <c r="S377" s="233">
        <v>100</v>
      </c>
      <c r="T377" s="231">
        <f t="shared" si="104"/>
        <v>32.354950748733131</v>
      </c>
      <c r="U377" s="231">
        <f t="shared" si="110"/>
        <v>0.95281253675708588</v>
      </c>
      <c r="V377" s="296">
        <f t="shared" si="95"/>
        <v>67.645049251266869</v>
      </c>
      <c r="W377" s="231"/>
      <c r="X377" s="231" t="e">
        <f>#REF!</f>
        <v>#REF!</v>
      </c>
      <c r="Y377" s="231" t="e">
        <f>#REF!</f>
        <v>#REF!</v>
      </c>
      <c r="Z377" s="231" t="e">
        <f>#REF!</f>
        <v>#REF!</v>
      </c>
      <c r="AA377" s="231" t="e">
        <f>#REF!</f>
        <v>#REF!</v>
      </c>
      <c r="AB377" s="231">
        <v>227840500</v>
      </c>
      <c r="AC377" s="231" t="e">
        <f>#REF!</f>
        <v>#REF!</v>
      </c>
      <c r="AD377" s="231" t="e">
        <f>#REF!</f>
        <v>#REF!</v>
      </c>
      <c r="AE377" s="231" t="e">
        <f>#REF!</f>
        <v>#REF!</v>
      </c>
      <c r="AF377" s="231" t="e">
        <f>[1]April!N68</f>
        <v>#REF!</v>
      </c>
      <c r="AG377" s="231" t="e">
        <f>[2]april!N68</f>
        <v>#REF!</v>
      </c>
      <c r="AH377" s="231">
        <f>'[3]DES SKPD'!$N68</f>
        <v>375022000</v>
      </c>
      <c r="AI377" s="231">
        <f>SUM(AI378:AI386)</f>
        <v>113650000</v>
      </c>
      <c r="AJ377" s="233">
        <f t="shared" si="105"/>
        <v>32.354950748733131</v>
      </c>
      <c r="AK377" s="231">
        <f t="shared" si="108"/>
        <v>237610000</v>
      </c>
      <c r="AL377" s="233">
        <f t="shared" si="106"/>
        <v>67.645049251266869</v>
      </c>
      <c r="AM377" s="227"/>
    </row>
    <row r="378" spans="1:39" ht="24.75" customHeight="1" x14ac:dyDescent="0.25">
      <c r="A378" s="243"/>
      <c r="B378" s="457"/>
      <c r="C378" s="457"/>
      <c r="D378" s="457"/>
      <c r="E378" s="457"/>
      <c r="F378" s="457"/>
      <c r="G378" s="457"/>
      <c r="H378" s="457"/>
      <c r="I378" s="458"/>
      <c r="J378" s="457" t="s">
        <v>259</v>
      </c>
      <c r="K378" s="245"/>
      <c r="L378" s="257"/>
      <c r="M378" s="591" t="s">
        <v>260</v>
      </c>
      <c r="N378" s="592"/>
      <c r="O378" s="179"/>
      <c r="P378" s="180"/>
      <c r="Q378" s="180">
        <v>4620000</v>
      </c>
      <c r="R378" s="181">
        <f t="shared" ref="R378:R386" si="111">Q378/Q$377*100</f>
        <v>1.3152650458349939</v>
      </c>
      <c r="S378" s="181">
        <v>100</v>
      </c>
      <c r="T378" s="180">
        <f t="shared" si="104"/>
        <v>33.333333333333329</v>
      </c>
      <c r="U378" s="180">
        <f t="shared" si="110"/>
        <v>0.43842168194499792</v>
      </c>
      <c r="V378" s="182">
        <f t="shared" si="95"/>
        <v>66.666666666666671</v>
      </c>
      <c r="W378" s="180"/>
      <c r="X378" s="180"/>
      <c r="Y378" s="180"/>
      <c r="Z378" s="180"/>
      <c r="AA378" s="180"/>
      <c r="AB378" s="180"/>
      <c r="AC378" s="180"/>
      <c r="AD378" s="180"/>
      <c r="AE378" s="180"/>
      <c r="AF378" s="180"/>
      <c r="AG378" s="180"/>
      <c r="AH378" s="180"/>
      <c r="AI378" s="180">
        <v>1540000</v>
      </c>
      <c r="AJ378" s="181">
        <f t="shared" si="105"/>
        <v>33.333333333333329</v>
      </c>
      <c r="AK378" s="180">
        <f t="shared" si="108"/>
        <v>3080000</v>
      </c>
      <c r="AL378" s="181">
        <f t="shared" si="106"/>
        <v>66.666666666666657</v>
      </c>
      <c r="AM378" s="243"/>
    </row>
    <row r="379" spans="1:39" ht="24.75" customHeight="1" x14ac:dyDescent="0.25">
      <c r="A379" s="243"/>
      <c r="B379" s="457"/>
      <c r="C379" s="457"/>
      <c r="D379" s="457"/>
      <c r="E379" s="457"/>
      <c r="F379" s="457"/>
      <c r="G379" s="457"/>
      <c r="H379" s="457"/>
      <c r="I379" s="458"/>
      <c r="J379" s="457" t="s">
        <v>323</v>
      </c>
      <c r="K379" s="245"/>
      <c r="L379" s="257"/>
      <c r="M379" s="591" t="s">
        <v>609</v>
      </c>
      <c r="N379" s="592"/>
      <c r="O379" s="179"/>
      <c r="P379" s="180"/>
      <c r="Q379" s="180">
        <v>18900000</v>
      </c>
      <c r="R379" s="181">
        <f t="shared" si="111"/>
        <v>5.3806297329613395</v>
      </c>
      <c r="S379" s="181">
        <v>100</v>
      </c>
      <c r="T379" s="180">
        <f t="shared" si="104"/>
        <v>29.100529100529098</v>
      </c>
      <c r="U379" s="180">
        <f t="shared" si="110"/>
        <v>1.5657917212321357</v>
      </c>
      <c r="V379" s="182">
        <f t="shared" si="95"/>
        <v>70.899470899470899</v>
      </c>
      <c r="W379" s="180"/>
      <c r="X379" s="180"/>
      <c r="Y379" s="180"/>
      <c r="Z379" s="180"/>
      <c r="AA379" s="180"/>
      <c r="AB379" s="180"/>
      <c r="AC379" s="180"/>
      <c r="AD379" s="180"/>
      <c r="AE379" s="180"/>
      <c r="AF379" s="180"/>
      <c r="AG379" s="180"/>
      <c r="AH379" s="180"/>
      <c r="AI379" s="180">
        <v>5500000</v>
      </c>
      <c r="AJ379" s="181">
        <f t="shared" si="105"/>
        <v>29.100529100529098</v>
      </c>
      <c r="AK379" s="180">
        <f t="shared" si="108"/>
        <v>13400000</v>
      </c>
      <c r="AL379" s="181">
        <f t="shared" si="106"/>
        <v>70.899470899470899</v>
      </c>
      <c r="AM379" s="243"/>
    </row>
    <row r="380" spans="1:39" ht="24.75" customHeight="1" x14ac:dyDescent="0.25">
      <c r="A380" s="243"/>
      <c r="B380" s="457"/>
      <c r="C380" s="457"/>
      <c r="D380" s="457"/>
      <c r="E380" s="457"/>
      <c r="F380" s="457"/>
      <c r="G380" s="457"/>
      <c r="H380" s="457"/>
      <c r="I380" s="458"/>
      <c r="J380" s="457" t="s">
        <v>269</v>
      </c>
      <c r="K380" s="245"/>
      <c r="L380" s="257"/>
      <c r="M380" s="591" t="s">
        <v>352</v>
      </c>
      <c r="N380" s="592"/>
      <c r="O380" s="179"/>
      <c r="P380" s="180"/>
      <c r="Q380" s="180">
        <v>7500000</v>
      </c>
      <c r="R380" s="181">
        <f t="shared" si="111"/>
        <v>2.1351705289529126</v>
      </c>
      <c r="S380" s="181">
        <v>100</v>
      </c>
      <c r="T380" s="180">
        <f t="shared" si="104"/>
        <v>33.333333333333329</v>
      </c>
      <c r="U380" s="180">
        <f t="shared" si="110"/>
        <v>0.71172350965097086</v>
      </c>
      <c r="V380" s="182">
        <f t="shared" si="95"/>
        <v>66.666666666666671</v>
      </c>
      <c r="W380" s="180"/>
      <c r="X380" s="180"/>
      <c r="Y380" s="180"/>
      <c r="Z380" s="180"/>
      <c r="AA380" s="180"/>
      <c r="AB380" s="180"/>
      <c r="AC380" s="180"/>
      <c r="AD380" s="180"/>
      <c r="AE380" s="180"/>
      <c r="AF380" s="180"/>
      <c r="AG380" s="180"/>
      <c r="AH380" s="180"/>
      <c r="AI380" s="180">
        <v>2500000</v>
      </c>
      <c r="AJ380" s="181">
        <f t="shared" si="105"/>
        <v>33.333333333333329</v>
      </c>
      <c r="AK380" s="180">
        <f t="shared" si="108"/>
        <v>5000000</v>
      </c>
      <c r="AL380" s="181">
        <f t="shared" si="106"/>
        <v>66.666666666666657</v>
      </c>
      <c r="AM380" s="243"/>
    </row>
    <row r="381" spans="1:39" ht="24.75" customHeight="1" x14ac:dyDescent="0.25">
      <c r="A381" s="243"/>
      <c r="B381" s="457"/>
      <c r="C381" s="457"/>
      <c r="D381" s="457"/>
      <c r="E381" s="457"/>
      <c r="F381" s="457"/>
      <c r="G381" s="457"/>
      <c r="H381" s="457"/>
      <c r="I381" s="458"/>
      <c r="J381" s="457" t="s">
        <v>315</v>
      </c>
      <c r="K381" s="245"/>
      <c r="L381" s="257"/>
      <c r="M381" s="591" t="s">
        <v>271</v>
      </c>
      <c r="N381" s="592"/>
      <c r="O381" s="179"/>
      <c r="P381" s="180"/>
      <c r="Q381" s="180">
        <v>7560000</v>
      </c>
      <c r="R381" s="181">
        <f t="shared" si="111"/>
        <v>2.1522518931845354</v>
      </c>
      <c r="S381" s="181">
        <v>100</v>
      </c>
      <c r="T381" s="180">
        <f t="shared" si="104"/>
        <v>33.333333333333329</v>
      </c>
      <c r="U381" s="180">
        <f t="shared" si="110"/>
        <v>0.7174172977281783</v>
      </c>
      <c r="V381" s="182">
        <f t="shared" si="95"/>
        <v>66.666666666666671</v>
      </c>
      <c r="W381" s="180"/>
      <c r="X381" s="180"/>
      <c r="Y381" s="180"/>
      <c r="Z381" s="180"/>
      <c r="AA381" s="180"/>
      <c r="AB381" s="180"/>
      <c r="AC381" s="180"/>
      <c r="AD381" s="180"/>
      <c r="AE381" s="180"/>
      <c r="AF381" s="180"/>
      <c r="AG381" s="180"/>
      <c r="AH381" s="180"/>
      <c r="AI381" s="180">
        <v>2520000</v>
      </c>
      <c r="AJ381" s="181">
        <f t="shared" si="105"/>
        <v>33.333333333333329</v>
      </c>
      <c r="AK381" s="180">
        <f t="shared" si="108"/>
        <v>5040000</v>
      </c>
      <c r="AL381" s="181">
        <f t="shared" si="106"/>
        <v>66.666666666666657</v>
      </c>
      <c r="AM381" s="243"/>
    </row>
    <row r="382" spans="1:39" ht="24.75" customHeight="1" x14ac:dyDescent="0.25">
      <c r="A382" s="243"/>
      <c r="B382" s="457"/>
      <c r="C382" s="457"/>
      <c r="D382" s="457"/>
      <c r="E382" s="457"/>
      <c r="F382" s="457"/>
      <c r="G382" s="457"/>
      <c r="H382" s="457"/>
      <c r="I382" s="458"/>
      <c r="J382" s="457" t="s">
        <v>318</v>
      </c>
      <c r="K382" s="245"/>
      <c r="L382" s="257"/>
      <c r="M382" s="591" t="s">
        <v>319</v>
      </c>
      <c r="N382" s="592"/>
      <c r="O382" s="179"/>
      <c r="P382" s="180"/>
      <c r="Q382" s="180">
        <v>182850000</v>
      </c>
      <c r="R382" s="181">
        <f t="shared" si="111"/>
        <v>52.055457495872005</v>
      </c>
      <c r="S382" s="181">
        <v>100</v>
      </c>
      <c r="T382" s="180">
        <f t="shared" si="104"/>
        <v>32.54580257041291</v>
      </c>
      <c r="U382" s="180">
        <f t="shared" si="110"/>
        <v>16.94186642373171</v>
      </c>
      <c r="V382" s="182">
        <f t="shared" si="95"/>
        <v>67.454197429587083</v>
      </c>
      <c r="W382" s="180"/>
      <c r="X382" s="180"/>
      <c r="Y382" s="180"/>
      <c r="Z382" s="180"/>
      <c r="AA382" s="180"/>
      <c r="AB382" s="180"/>
      <c r="AC382" s="180"/>
      <c r="AD382" s="180"/>
      <c r="AE382" s="180"/>
      <c r="AF382" s="180"/>
      <c r="AG382" s="180"/>
      <c r="AH382" s="180"/>
      <c r="AI382" s="180">
        <v>59510000</v>
      </c>
      <c r="AJ382" s="181">
        <f t="shared" si="105"/>
        <v>32.54580257041291</v>
      </c>
      <c r="AK382" s="180">
        <f t="shared" si="108"/>
        <v>123340000</v>
      </c>
      <c r="AL382" s="181">
        <f t="shared" si="106"/>
        <v>67.454197429587097</v>
      </c>
      <c r="AM382" s="243"/>
    </row>
    <row r="383" spans="1:39" ht="24.75" customHeight="1" x14ac:dyDescent="0.25">
      <c r="A383" s="243"/>
      <c r="B383" s="457"/>
      <c r="C383" s="457"/>
      <c r="D383" s="457"/>
      <c r="E383" s="457"/>
      <c r="F383" s="457"/>
      <c r="G383" s="457"/>
      <c r="H383" s="457"/>
      <c r="I383" s="458"/>
      <c r="J383" s="457" t="s">
        <v>284</v>
      </c>
      <c r="K383" s="245"/>
      <c r="L383" s="257"/>
      <c r="M383" s="591" t="s">
        <v>285</v>
      </c>
      <c r="N383" s="592"/>
      <c r="O383" s="179"/>
      <c r="P383" s="180"/>
      <c r="Q383" s="180">
        <v>1320000</v>
      </c>
      <c r="R383" s="181">
        <f t="shared" si="111"/>
        <v>0.37579001309571258</v>
      </c>
      <c r="S383" s="181">
        <v>100</v>
      </c>
      <c r="T383" s="180">
        <f t="shared" si="104"/>
        <v>28.787878787878789</v>
      </c>
      <c r="U383" s="180">
        <f t="shared" si="110"/>
        <v>0.10818197346694756</v>
      </c>
      <c r="V383" s="182">
        <f t="shared" si="95"/>
        <v>71.212121212121218</v>
      </c>
      <c r="W383" s="180"/>
      <c r="X383" s="180"/>
      <c r="Y383" s="180"/>
      <c r="Z383" s="180"/>
      <c r="AA383" s="180"/>
      <c r="AB383" s="180"/>
      <c r="AC383" s="180"/>
      <c r="AD383" s="180"/>
      <c r="AE383" s="180"/>
      <c r="AF383" s="180"/>
      <c r="AG383" s="180"/>
      <c r="AH383" s="180"/>
      <c r="AI383" s="180">
        <v>380000</v>
      </c>
      <c r="AJ383" s="181">
        <f t="shared" si="105"/>
        <v>28.787878787878789</v>
      </c>
      <c r="AK383" s="180">
        <f t="shared" si="108"/>
        <v>940000</v>
      </c>
      <c r="AL383" s="181">
        <f t="shared" si="106"/>
        <v>71.212121212121218</v>
      </c>
      <c r="AM383" s="243"/>
    </row>
    <row r="384" spans="1:39" ht="24.75" customHeight="1" x14ac:dyDescent="0.25">
      <c r="A384" s="243"/>
      <c r="B384" s="457"/>
      <c r="C384" s="457"/>
      <c r="D384" s="457"/>
      <c r="E384" s="457"/>
      <c r="F384" s="457"/>
      <c r="G384" s="457"/>
      <c r="H384" s="457"/>
      <c r="I384" s="458"/>
      <c r="J384" s="457" t="s">
        <v>282</v>
      </c>
      <c r="K384" s="245"/>
      <c r="L384" s="257"/>
      <c r="M384" s="591" t="s">
        <v>283</v>
      </c>
      <c r="N384" s="592"/>
      <c r="O384" s="179"/>
      <c r="P384" s="180"/>
      <c r="Q384" s="180">
        <v>108410000</v>
      </c>
      <c r="R384" s="181">
        <f t="shared" si="111"/>
        <v>30.863178272504697</v>
      </c>
      <c r="S384" s="181">
        <v>100</v>
      </c>
      <c r="T384" s="180">
        <f t="shared" si="104"/>
        <v>32.284844571533995</v>
      </c>
      <c r="U384" s="180">
        <f t="shared" si="110"/>
        <v>9.9641291351135912</v>
      </c>
      <c r="V384" s="182">
        <f t="shared" si="95"/>
        <v>67.715155428466005</v>
      </c>
      <c r="W384" s="180"/>
      <c r="X384" s="180"/>
      <c r="Y384" s="180"/>
      <c r="Z384" s="180"/>
      <c r="AA384" s="180"/>
      <c r="AB384" s="180"/>
      <c r="AC384" s="180"/>
      <c r="AD384" s="180"/>
      <c r="AE384" s="180"/>
      <c r="AF384" s="180"/>
      <c r="AG384" s="180"/>
      <c r="AH384" s="180"/>
      <c r="AI384" s="180">
        <v>35000000</v>
      </c>
      <c r="AJ384" s="181">
        <f t="shared" si="105"/>
        <v>32.284844571533995</v>
      </c>
      <c r="AK384" s="180">
        <f t="shared" si="108"/>
        <v>73410000</v>
      </c>
      <c r="AL384" s="181">
        <f t="shared" si="106"/>
        <v>67.715155428466005</v>
      </c>
      <c r="AM384" s="243"/>
    </row>
    <row r="385" spans="1:39" ht="24.75" customHeight="1" x14ac:dyDescent="0.25">
      <c r="A385" s="243"/>
      <c r="B385" s="457"/>
      <c r="C385" s="457"/>
      <c r="D385" s="457"/>
      <c r="E385" s="457"/>
      <c r="F385" s="457"/>
      <c r="G385" s="457"/>
      <c r="H385" s="457"/>
      <c r="I385" s="458"/>
      <c r="J385" s="457" t="s">
        <v>320</v>
      </c>
      <c r="K385" s="245"/>
      <c r="L385" s="257"/>
      <c r="M385" s="591" t="s">
        <v>321</v>
      </c>
      <c r="N385" s="592"/>
      <c r="O385" s="179"/>
      <c r="P385" s="180"/>
      <c r="Q385" s="180">
        <v>16800000</v>
      </c>
      <c r="R385" s="181">
        <f t="shared" si="111"/>
        <v>4.7827819848545232</v>
      </c>
      <c r="S385" s="181">
        <v>100</v>
      </c>
      <c r="T385" s="180">
        <f t="shared" si="104"/>
        <v>33.333333333333329</v>
      </c>
      <c r="U385" s="180">
        <f t="shared" si="110"/>
        <v>1.5942606616181743</v>
      </c>
      <c r="V385" s="182">
        <f t="shared" si="95"/>
        <v>66.666666666666671</v>
      </c>
      <c r="W385" s="180"/>
      <c r="X385" s="180"/>
      <c r="Y385" s="180"/>
      <c r="Z385" s="180"/>
      <c r="AA385" s="180"/>
      <c r="AB385" s="180"/>
      <c r="AC385" s="180"/>
      <c r="AD385" s="180"/>
      <c r="AE385" s="180"/>
      <c r="AF385" s="180"/>
      <c r="AG385" s="180"/>
      <c r="AH385" s="180"/>
      <c r="AI385" s="180">
        <v>5600000</v>
      </c>
      <c r="AJ385" s="181">
        <f t="shared" si="105"/>
        <v>33.333333333333329</v>
      </c>
      <c r="AK385" s="180">
        <f t="shared" si="108"/>
        <v>11200000</v>
      </c>
      <c r="AL385" s="181">
        <f t="shared" si="106"/>
        <v>66.666666666666657</v>
      </c>
      <c r="AM385" s="243"/>
    </row>
    <row r="386" spans="1:39" ht="24.75" customHeight="1" x14ac:dyDescent="0.25">
      <c r="A386" s="243"/>
      <c r="B386" s="457"/>
      <c r="C386" s="457"/>
      <c r="D386" s="457"/>
      <c r="E386" s="457"/>
      <c r="F386" s="457"/>
      <c r="G386" s="457"/>
      <c r="H386" s="457"/>
      <c r="I386" s="458"/>
      <c r="J386" s="457" t="s">
        <v>407</v>
      </c>
      <c r="K386" s="245"/>
      <c r="L386" s="257"/>
      <c r="M386" s="591" t="s">
        <v>414</v>
      </c>
      <c r="N386" s="592"/>
      <c r="O386" s="179"/>
      <c r="P386" s="180"/>
      <c r="Q386" s="180">
        <v>3300000</v>
      </c>
      <c r="R386" s="181">
        <f t="shared" si="111"/>
        <v>0.93947503273928146</v>
      </c>
      <c r="S386" s="181">
        <v>100</v>
      </c>
      <c r="T386" s="180">
        <f t="shared" si="104"/>
        <v>33.333333333333329</v>
      </c>
      <c r="U386" s="180">
        <f t="shared" si="110"/>
        <v>0.31315834424642708</v>
      </c>
      <c r="V386" s="182">
        <f t="shared" si="95"/>
        <v>66.666666666666671</v>
      </c>
      <c r="W386" s="180"/>
      <c r="X386" s="180"/>
      <c r="Y386" s="180"/>
      <c r="Z386" s="180"/>
      <c r="AA386" s="180"/>
      <c r="AB386" s="180"/>
      <c r="AC386" s="180"/>
      <c r="AD386" s="180"/>
      <c r="AE386" s="180"/>
      <c r="AF386" s="180"/>
      <c r="AG386" s="180"/>
      <c r="AH386" s="180"/>
      <c r="AI386" s="180">
        <v>1100000</v>
      </c>
      <c r="AJ386" s="181">
        <f t="shared" si="105"/>
        <v>33.333333333333329</v>
      </c>
      <c r="AK386" s="180">
        <f t="shared" si="108"/>
        <v>2200000</v>
      </c>
      <c r="AL386" s="181">
        <f t="shared" si="106"/>
        <v>66.666666666666657</v>
      </c>
      <c r="AM386" s="243"/>
    </row>
    <row r="387" spans="1:39" s="297" customFormat="1" ht="30.75" customHeight="1" x14ac:dyDescent="0.25">
      <c r="A387" s="227">
        <f>A377+1</f>
        <v>50</v>
      </c>
      <c r="B387" s="615" t="s">
        <v>148</v>
      </c>
      <c r="C387" s="615"/>
      <c r="D387" s="615"/>
      <c r="E387" s="615"/>
      <c r="F387" s="615"/>
      <c r="G387" s="615"/>
      <c r="H387" s="615"/>
      <c r="I387" s="614"/>
      <c r="J387" s="304" t="s">
        <v>496</v>
      </c>
      <c r="K387" s="230"/>
      <c r="L387" s="294"/>
      <c r="M387" s="610" t="s">
        <v>199</v>
      </c>
      <c r="N387" s="610"/>
      <c r="O387" s="309">
        <v>569155000</v>
      </c>
      <c r="P387" s="231">
        <f>O387</f>
        <v>569155000</v>
      </c>
      <c r="Q387" s="231">
        <f>SUM(Q388:Q399)</f>
        <v>303990300</v>
      </c>
      <c r="R387" s="233">
        <f>Q387/Q$248*100</f>
        <v>2.5485769370219757</v>
      </c>
      <c r="S387" s="233">
        <v>100</v>
      </c>
      <c r="T387" s="231">
        <f t="shared" si="104"/>
        <v>53.117073143452274</v>
      </c>
      <c r="U387" s="231">
        <f t="shared" si="110"/>
        <v>1.3537294757551184</v>
      </c>
      <c r="V387" s="296">
        <f t="shared" si="95"/>
        <v>46.882926856547726</v>
      </c>
      <c r="W387" s="231"/>
      <c r="X387" s="231" t="e">
        <f>#REF!</f>
        <v>#REF!</v>
      </c>
      <c r="Y387" s="231" t="e">
        <f>#REF!</f>
        <v>#REF!</v>
      </c>
      <c r="Z387" s="231" t="e">
        <f>#REF!</f>
        <v>#REF!</v>
      </c>
      <c r="AA387" s="231" t="e">
        <f>#REF!</f>
        <v>#REF!</v>
      </c>
      <c r="AB387" s="231">
        <v>286887000</v>
      </c>
      <c r="AC387" s="231" t="e">
        <f>#REF!</f>
        <v>#REF!</v>
      </c>
      <c r="AD387" s="231" t="e">
        <f>#REF!</f>
        <v>#REF!</v>
      </c>
      <c r="AE387" s="231" t="e">
        <f>#REF!</f>
        <v>#REF!</v>
      </c>
      <c r="AF387" s="231" t="e">
        <f>[1]April!N69</f>
        <v>#REF!</v>
      </c>
      <c r="AG387" s="231" t="e">
        <f>[2]april!N69</f>
        <v>#REF!</v>
      </c>
      <c r="AH387" s="231">
        <f>'[3]DES SKPD'!$N69</f>
        <v>642713500</v>
      </c>
      <c r="AI387" s="231">
        <f>SUM(AI388:AI399)</f>
        <v>161470750</v>
      </c>
      <c r="AJ387" s="233">
        <f t="shared" si="105"/>
        <v>53.117073143452274</v>
      </c>
      <c r="AK387" s="231">
        <f t="shared" si="108"/>
        <v>142519550</v>
      </c>
      <c r="AL387" s="233">
        <f t="shared" si="106"/>
        <v>46.882926856547726</v>
      </c>
      <c r="AM387" s="227"/>
    </row>
    <row r="388" spans="1:39" ht="24.75" customHeight="1" x14ac:dyDescent="0.25">
      <c r="A388" s="243"/>
      <c r="B388" s="457"/>
      <c r="C388" s="457"/>
      <c r="D388" s="457"/>
      <c r="E388" s="457"/>
      <c r="F388" s="457"/>
      <c r="G388" s="457"/>
      <c r="H388" s="457"/>
      <c r="I388" s="458"/>
      <c r="J388" s="457" t="s">
        <v>259</v>
      </c>
      <c r="K388" s="245"/>
      <c r="L388" s="257"/>
      <c r="M388" s="591" t="s">
        <v>260</v>
      </c>
      <c r="N388" s="592"/>
      <c r="O388" s="179"/>
      <c r="P388" s="180"/>
      <c r="Q388" s="180">
        <v>1540000</v>
      </c>
      <c r="R388" s="181">
        <f t="shared" ref="R388:R399" si="112">Q388/Q$387*100</f>
        <v>0.50659511175192107</v>
      </c>
      <c r="S388" s="181">
        <v>100</v>
      </c>
      <c r="T388" s="180">
        <f t="shared" si="104"/>
        <v>50</v>
      </c>
      <c r="U388" s="180">
        <f t="shared" si="110"/>
        <v>0.25329755587596053</v>
      </c>
      <c r="V388" s="182">
        <f t="shared" si="95"/>
        <v>50</v>
      </c>
      <c r="W388" s="180"/>
      <c r="X388" s="180"/>
      <c r="Y388" s="180"/>
      <c r="Z388" s="180"/>
      <c r="AA388" s="180"/>
      <c r="AB388" s="180"/>
      <c r="AC388" s="180"/>
      <c r="AD388" s="180"/>
      <c r="AE388" s="180"/>
      <c r="AF388" s="180"/>
      <c r="AG388" s="180"/>
      <c r="AH388" s="180"/>
      <c r="AI388" s="180">
        <v>770000</v>
      </c>
      <c r="AJ388" s="181">
        <f t="shared" si="105"/>
        <v>50</v>
      </c>
      <c r="AK388" s="180">
        <f t="shared" si="108"/>
        <v>770000</v>
      </c>
      <c r="AL388" s="181">
        <f t="shared" si="106"/>
        <v>50</v>
      </c>
      <c r="AM388" s="243"/>
    </row>
    <row r="389" spans="1:39" ht="24.75" customHeight="1" x14ac:dyDescent="0.25">
      <c r="A389" s="243"/>
      <c r="B389" s="457"/>
      <c r="C389" s="457"/>
      <c r="D389" s="457"/>
      <c r="E389" s="457"/>
      <c r="F389" s="457"/>
      <c r="G389" s="457"/>
      <c r="H389" s="457"/>
      <c r="I389" s="458"/>
      <c r="J389" s="457" t="s">
        <v>326</v>
      </c>
      <c r="K389" s="245"/>
      <c r="L389" s="257"/>
      <c r="M389" s="591" t="s">
        <v>327</v>
      </c>
      <c r="N389" s="592"/>
      <c r="O389" s="179"/>
      <c r="P389" s="180"/>
      <c r="Q389" s="180">
        <v>51150000</v>
      </c>
      <c r="R389" s="181">
        <f t="shared" si="112"/>
        <v>16.826194783188804</v>
      </c>
      <c r="S389" s="181">
        <v>100</v>
      </c>
      <c r="T389" s="180">
        <f t="shared" si="104"/>
        <v>0</v>
      </c>
      <c r="U389" s="180">
        <f t="shared" si="110"/>
        <v>0</v>
      </c>
      <c r="V389" s="182">
        <f t="shared" si="95"/>
        <v>100</v>
      </c>
      <c r="W389" s="180"/>
      <c r="X389" s="180"/>
      <c r="Y389" s="180"/>
      <c r="Z389" s="180"/>
      <c r="AA389" s="180"/>
      <c r="AB389" s="180"/>
      <c r="AC389" s="180"/>
      <c r="AD389" s="180"/>
      <c r="AE389" s="180"/>
      <c r="AF389" s="180"/>
      <c r="AG389" s="180"/>
      <c r="AH389" s="180"/>
      <c r="AI389" s="180">
        <v>0</v>
      </c>
      <c r="AJ389" s="181">
        <f t="shared" si="105"/>
        <v>0</v>
      </c>
      <c r="AK389" s="180">
        <f t="shared" si="108"/>
        <v>51150000</v>
      </c>
      <c r="AL389" s="181">
        <f t="shared" si="106"/>
        <v>100</v>
      </c>
      <c r="AM389" s="243"/>
    </row>
    <row r="390" spans="1:39" ht="24.75" customHeight="1" x14ac:dyDescent="0.25">
      <c r="A390" s="243"/>
      <c r="B390" s="457"/>
      <c r="C390" s="457"/>
      <c r="D390" s="457"/>
      <c r="E390" s="457"/>
      <c r="F390" s="457"/>
      <c r="G390" s="457"/>
      <c r="H390" s="457"/>
      <c r="I390" s="458"/>
      <c r="J390" s="457" t="s">
        <v>323</v>
      </c>
      <c r="K390" s="245"/>
      <c r="L390" s="257"/>
      <c r="M390" s="591" t="s">
        <v>324</v>
      </c>
      <c r="N390" s="592"/>
      <c r="O390" s="179"/>
      <c r="P390" s="180"/>
      <c r="Q390" s="180">
        <v>5000000</v>
      </c>
      <c r="R390" s="181">
        <f t="shared" si="112"/>
        <v>1.6447893238698736</v>
      </c>
      <c r="S390" s="181">
        <v>100</v>
      </c>
      <c r="T390" s="180">
        <f t="shared" si="104"/>
        <v>0</v>
      </c>
      <c r="U390" s="180">
        <f t="shared" si="110"/>
        <v>0</v>
      </c>
      <c r="V390" s="182">
        <f t="shared" si="95"/>
        <v>100</v>
      </c>
      <c r="W390" s="180"/>
      <c r="X390" s="180"/>
      <c r="Y390" s="180"/>
      <c r="Z390" s="180"/>
      <c r="AA390" s="180"/>
      <c r="AB390" s="180"/>
      <c r="AC390" s="180"/>
      <c r="AD390" s="180"/>
      <c r="AE390" s="180"/>
      <c r="AF390" s="180"/>
      <c r="AG390" s="180"/>
      <c r="AH390" s="180"/>
      <c r="AI390" s="180">
        <v>0</v>
      </c>
      <c r="AJ390" s="181">
        <f t="shared" si="105"/>
        <v>0</v>
      </c>
      <c r="AK390" s="180">
        <f t="shared" si="108"/>
        <v>5000000</v>
      </c>
      <c r="AL390" s="181">
        <f t="shared" si="106"/>
        <v>100</v>
      </c>
      <c r="AM390" s="243"/>
    </row>
    <row r="391" spans="1:39" ht="24.75" customHeight="1" x14ac:dyDescent="0.25">
      <c r="A391" s="243"/>
      <c r="B391" s="457"/>
      <c r="C391" s="457"/>
      <c r="D391" s="457"/>
      <c r="E391" s="457"/>
      <c r="F391" s="457"/>
      <c r="G391" s="457"/>
      <c r="H391" s="457"/>
      <c r="I391" s="458"/>
      <c r="J391" s="457" t="s">
        <v>269</v>
      </c>
      <c r="K391" s="245"/>
      <c r="L391" s="257"/>
      <c r="M391" s="591" t="s">
        <v>270</v>
      </c>
      <c r="N391" s="592"/>
      <c r="O391" s="179"/>
      <c r="P391" s="180"/>
      <c r="Q391" s="180">
        <v>22000000</v>
      </c>
      <c r="R391" s="181">
        <f t="shared" si="112"/>
        <v>7.2370730250274438</v>
      </c>
      <c r="S391" s="181">
        <v>100</v>
      </c>
      <c r="T391" s="180">
        <f t="shared" si="104"/>
        <v>100</v>
      </c>
      <c r="U391" s="180">
        <f t="shared" si="110"/>
        <v>7.2370730250274438</v>
      </c>
      <c r="V391" s="182">
        <f t="shared" si="95"/>
        <v>0</v>
      </c>
      <c r="W391" s="180"/>
      <c r="X391" s="180"/>
      <c r="Y391" s="180"/>
      <c r="Z391" s="180"/>
      <c r="AA391" s="180"/>
      <c r="AB391" s="180"/>
      <c r="AC391" s="180"/>
      <c r="AD391" s="180"/>
      <c r="AE391" s="180"/>
      <c r="AF391" s="180"/>
      <c r="AG391" s="180"/>
      <c r="AH391" s="180"/>
      <c r="AI391" s="180">
        <v>22000000</v>
      </c>
      <c r="AJ391" s="181">
        <f t="shared" si="105"/>
        <v>100</v>
      </c>
      <c r="AK391" s="180">
        <f t="shared" si="108"/>
        <v>0</v>
      </c>
      <c r="AL391" s="181">
        <f t="shared" si="106"/>
        <v>0</v>
      </c>
      <c r="AM391" s="243"/>
    </row>
    <row r="392" spans="1:39" ht="24.75" customHeight="1" x14ac:dyDescent="0.25">
      <c r="A392" s="243"/>
      <c r="B392" s="457"/>
      <c r="C392" s="457"/>
      <c r="D392" s="457"/>
      <c r="E392" s="457"/>
      <c r="F392" s="457"/>
      <c r="G392" s="457"/>
      <c r="H392" s="457"/>
      <c r="I392" s="458"/>
      <c r="J392" s="457" t="s">
        <v>315</v>
      </c>
      <c r="K392" s="245"/>
      <c r="L392" s="257"/>
      <c r="M392" s="591" t="s">
        <v>271</v>
      </c>
      <c r="N392" s="592"/>
      <c r="O392" s="179"/>
      <c r="P392" s="180"/>
      <c r="Q392" s="180">
        <v>3400300</v>
      </c>
      <c r="R392" s="181">
        <f t="shared" si="112"/>
        <v>1.1185554275909462</v>
      </c>
      <c r="S392" s="181">
        <v>100</v>
      </c>
      <c r="T392" s="180">
        <f t="shared" si="104"/>
        <v>0</v>
      </c>
      <c r="U392" s="180">
        <f t="shared" si="110"/>
        <v>0</v>
      </c>
      <c r="V392" s="182">
        <f t="shared" si="95"/>
        <v>100</v>
      </c>
      <c r="W392" s="180"/>
      <c r="X392" s="180"/>
      <c r="Y392" s="180"/>
      <c r="Z392" s="180"/>
      <c r="AA392" s="180"/>
      <c r="AB392" s="180"/>
      <c r="AC392" s="180"/>
      <c r="AD392" s="180"/>
      <c r="AE392" s="180"/>
      <c r="AF392" s="180"/>
      <c r="AG392" s="180"/>
      <c r="AH392" s="180"/>
      <c r="AI392" s="180">
        <v>0</v>
      </c>
      <c r="AJ392" s="181">
        <f t="shared" si="105"/>
        <v>0</v>
      </c>
      <c r="AK392" s="180">
        <f t="shared" si="108"/>
        <v>3400300</v>
      </c>
      <c r="AL392" s="181">
        <f t="shared" si="106"/>
        <v>100</v>
      </c>
      <c r="AM392" s="243"/>
    </row>
    <row r="393" spans="1:39" ht="24.75" customHeight="1" x14ac:dyDescent="0.25">
      <c r="A393" s="243"/>
      <c r="B393" s="457"/>
      <c r="C393" s="457"/>
      <c r="D393" s="457"/>
      <c r="E393" s="457"/>
      <c r="F393" s="457"/>
      <c r="G393" s="457"/>
      <c r="H393" s="457"/>
      <c r="I393" s="458"/>
      <c r="J393" s="457" t="s">
        <v>328</v>
      </c>
      <c r="K393" s="245"/>
      <c r="L393" s="257"/>
      <c r="M393" s="591" t="s">
        <v>329</v>
      </c>
      <c r="N393" s="592"/>
      <c r="O393" s="179"/>
      <c r="P393" s="180"/>
      <c r="Q393" s="180">
        <v>15000000</v>
      </c>
      <c r="R393" s="181">
        <f t="shared" si="112"/>
        <v>4.9343679716096203</v>
      </c>
      <c r="S393" s="181">
        <v>100</v>
      </c>
      <c r="T393" s="180">
        <f t="shared" si="104"/>
        <v>0</v>
      </c>
      <c r="U393" s="180">
        <f t="shared" si="110"/>
        <v>0</v>
      </c>
      <c r="V393" s="182">
        <f t="shared" si="95"/>
        <v>100</v>
      </c>
      <c r="W393" s="180"/>
      <c r="X393" s="180"/>
      <c r="Y393" s="180"/>
      <c r="Z393" s="180"/>
      <c r="AA393" s="180"/>
      <c r="AB393" s="180"/>
      <c r="AC393" s="180"/>
      <c r="AD393" s="180"/>
      <c r="AE393" s="180"/>
      <c r="AF393" s="180"/>
      <c r="AG393" s="180"/>
      <c r="AH393" s="180"/>
      <c r="AI393" s="180">
        <v>0</v>
      </c>
      <c r="AJ393" s="181">
        <f t="shared" si="105"/>
        <v>0</v>
      </c>
      <c r="AK393" s="180">
        <f t="shared" si="108"/>
        <v>15000000</v>
      </c>
      <c r="AL393" s="181">
        <f t="shared" si="106"/>
        <v>100</v>
      </c>
      <c r="AM393" s="243"/>
    </row>
    <row r="394" spans="1:39" ht="27.75" customHeight="1" x14ac:dyDescent="0.25">
      <c r="A394" s="243"/>
      <c r="B394" s="457"/>
      <c r="C394" s="457"/>
      <c r="D394" s="457"/>
      <c r="E394" s="457"/>
      <c r="F394" s="457"/>
      <c r="G394" s="457"/>
      <c r="H394" s="457"/>
      <c r="I394" s="458"/>
      <c r="J394" s="457" t="s">
        <v>318</v>
      </c>
      <c r="K394" s="245"/>
      <c r="L394" s="257"/>
      <c r="M394" s="591" t="s">
        <v>319</v>
      </c>
      <c r="N394" s="592"/>
      <c r="O394" s="179"/>
      <c r="P394" s="180"/>
      <c r="Q394" s="180">
        <v>91000000</v>
      </c>
      <c r="R394" s="181">
        <f t="shared" si="112"/>
        <v>29.935165694431699</v>
      </c>
      <c r="S394" s="181">
        <v>100</v>
      </c>
      <c r="T394" s="180">
        <f t="shared" si="104"/>
        <v>50</v>
      </c>
      <c r="U394" s="180">
        <f t="shared" si="110"/>
        <v>14.96758284721585</v>
      </c>
      <c r="V394" s="182">
        <f t="shared" si="95"/>
        <v>50</v>
      </c>
      <c r="W394" s="180"/>
      <c r="X394" s="180"/>
      <c r="Y394" s="180"/>
      <c r="Z394" s="180"/>
      <c r="AA394" s="180"/>
      <c r="AB394" s="180"/>
      <c r="AC394" s="180"/>
      <c r="AD394" s="180"/>
      <c r="AE394" s="180"/>
      <c r="AF394" s="180"/>
      <c r="AG394" s="180"/>
      <c r="AH394" s="180"/>
      <c r="AI394" s="180">
        <v>45500000</v>
      </c>
      <c r="AJ394" s="181">
        <f t="shared" si="105"/>
        <v>50</v>
      </c>
      <c r="AK394" s="180">
        <f t="shared" si="108"/>
        <v>45500000</v>
      </c>
      <c r="AL394" s="181">
        <f t="shared" si="106"/>
        <v>50</v>
      </c>
      <c r="AM394" s="243"/>
    </row>
    <row r="395" spans="1:39" ht="24.75" customHeight="1" x14ac:dyDescent="0.25">
      <c r="A395" s="243"/>
      <c r="B395" s="457"/>
      <c r="C395" s="457"/>
      <c r="D395" s="457"/>
      <c r="E395" s="457"/>
      <c r="F395" s="457"/>
      <c r="G395" s="457"/>
      <c r="H395" s="457"/>
      <c r="I395" s="458"/>
      <c r="J395" s="457" t="s">
        <v>280</v>
      </c>
      <c r="K395" s="245"/>
      <c r="L395" s="257"/>
      <c r="M395" s="591" t="s">
        <v>281</v>
      </c>
      <c r="N395" s="592"/>
      <c r="O395" s="179"/>
      <c r="P395" s="180"/>
      <c r="Q395" s="180">
        <v>23750000</v>
      </c>
      <c r="R395" s="181">
        <f t="shared" si="112"/>
        <v>7.8127492883818999</v>
      </c>
      <c r="S395" s="181">
        <v>100</v>
      </c>
      <c r="T395" s="180">
        <f t="shared" si="104"/>
        <v>94.73684210526315</v>
      </c>
      <c r="U395" s="180">
        <f t="shared" si="110"/>
        <v>7.4015519574144308</v>
      </c>
      <c r="V395" s="182">
        <f t="shared" si="95"/>
        <v>5.2631578947368496</v>
      </c>
      <c r="W395" s="180"/>
      <c r="X395" s="180"/>
      <c r="Y395" s="180"/>
      <c r="Z395" s="180"/>
      <c r="AA395" s="180"/>
      <c r="AB395" s="180"/>
      <c r="AC395" s="180"/>
      <c r="AD395" s="180"/>
      <c r="AE395" s="180"/>
      <c r="AF395" s="180"/>
      <c r="AG395" s="180"/>
      <c r="AH395" s="180"/>
      <c r="AI395" s="180">
        <v>22500000</v>
      </c>
      <c r="AJ395" s="181">
        <f t="shared" si="105"/>
        <v>94.73684210526315</v>
      </c>
      <c r="AK395" s="180">
        <f t="shared" si="108"/>
        <v>1250000</v>
      </c>
      <c r="AL395" s="181">
        <f t="shared" si="106"/>
        <v>5.2631578947368416</v>
      </c>
      <c r="AM395" s="243"/>
    </row>
    <row r="396" spans="1:39" ht="24.75" customHeight="1" x14ac:dyDescent="0.25">
      <c r="A396" s="243"/>
      <c r="B396" s="457"/>
      <c r="C396" s="457"/>
      <c r="D396" s="457"/>
      <c r="E396" s="457"/>
      <c r="F396" s="457"/>
      <c r="G396" s="457"/>
      <c r="H396" s="457"/>
      <c r="I396" s="458"/>
      <c r="J396" s="457" t="s">
        <v>284</v>
      </c>
      <c r="K396" s="245"/>
      <c r="L396" s="257"/>
      <c r="M396" s="591" t="s">
        <v>285</v>
      </c>
      <c r="N396" s="592"/>
      <c r="O396" s="179"/>
      <c r="P396" s="180"/>
      <c r="Q396" s="180">
        <v>6600000</v>
      </c>
      <c r="R396" s="181">
        <f t="shared" si="112"/>
        <v>2.1711219075082329</v>
      </c>
      <c r="S396" s="181">
        <v>100</v>
      </c>
      <c r="T396" s="180">
        <f t="shared" si="104"/>
        <v>43.333333333333336</v>
      </c>
      <c r="U396" s="180">
        <f t="shared" si="110"/>
        <v>0.94081949325356762</v>
      </c>
      <c r="V396" s="182">
        <f t="shared" si="95"/>
        <v>56.666666666666664</v>
      </c>
      <c r="W396" s="180"/>
      <c r="X396" s="180"/>
      <c r="Y396" s="180"/>
      <c r="Z396" s="180"/>
      <c r="AA396" s="180"/>
      <c r="AB396" s="180"/>
      <c r="AC396" s="180"/>
      <c r="AD396" s="180"/>
      <c r="AE396" s="180"/>
      <c r="AF396" s="180"/>
      <c r="AG396" s="180"/>
      <c r="AH396" s="180"/>
      <c r="AI396" s="180">
        <v>2860000</v>
      </c>
      <c r="AJ396" s="181">
        <f t="shared" si="105"/>
        <v>43.333333333333336</v>
      </c>
      <c r="AK396" s="180">
        <f t="shared" si="108"/>
        <v>3740000</v>
      </c>
      <c r="AL396" s="181">
        <f t="shared" si="106"/>
        <v>56.666666666666664</v>
      </c>
      <c r="AM396" s="243"/>
    </row>
    <row r="397" spans="1:39" ht="24.75" customHeight="1" x14ac:dyDescent="0.25">
      <c r="A397" s="243"/>
      <c r="B397" s="457"/>
      <c r="C397" s="457"/>
      <c r="D397" s="457"/>
      <c r="E397" s="457"/>
      <c r="F397" s="457"/>
      <c r="G397" s="457"/>
      <c r="H397" s="457"/>
      <c r="I397" s="458"/>
      <c r="J397" s="457" t="s">
        <v>282</v>
      </c>
      <c r="K397" s="245"/>
      <c r="L397" s="257"/>
      <c r="M397" s="591" t="s">
        <v>283</v>
      </c>
      <c r="N397" s="592"/>
      <c r="O397" s="179"/>
      <c r="P397" s="180"/>
      <c r="Q397" s="180">
        <v>25650000</v>
      </c>
      <c r="R397" s="181">
        <f t="shared" si="112"/>
        <v>8.4377692314524513</v>
      </c>
      <c r="S397" s="181">
        <v>100</v>
      </c>
      <c r="T397" s="180">
        <f t="shared" si="104"/>
        <v>74.622807017543863</v>
      </c>
      <c r="U397" s="180">
        <f t="shared" si="110"/>
        <v>6.2965002501724561</v>
      </c>
      <c r="V397" s="182">
        <f t="shared" si="95"/>
        <v>25.377192982456137</v>
      </c>
      <c r="W397" s="180"/>
      <c r="X397" s="180"/>
      <c r="Y397" s="180"/>
      <c r="Z397" s="180"/>
      <c r="AA397" s="180"/>
      <c r="AB397" s="180"/>
      <c r="AC397" s="180"/>
      <c r="AD397" s="180"/>
      <c r="AE397" s="180"/>
      <c r="AF397" s="180"/>
      <c r="AG397" s="180"/>
      <c r="AH397" s="180"/>
      <c r="AI397" s="180">
        <f>10890750+8250000</f>
        <v>19140750</v>
      </c>
      <c r="AJ397" s="181">
        <f t="shared" si="105"/>
        <v>74.622807017543863</v>
      </c>
      <c r="AK397" s="180">
        <f t="shared" si="108"/>
        <v>6509250</v>
      </c>
      <c r="AL397" s="181">
        <f t="shared" si="106"/>
        <v>25.377192982456144</v>
      </c>
      <c r="AM397" s="243"/>
    </row>
    <row r="398" spans="1:39" ht="24.75" customHeight="1" x14ac:dyDescent="0.25">
      <c r="A398" s="243"/>
      <c r="B398" s="457"/>
      <c r="C398" s="457"/>
      <c r="D398" s="457"/>
      <c r="E398" s="457"/>
      <c r="F398" s="457"/>
      <c r="G398" s="457"/>
      <c r="H398" s="457"/>
      <c r="I398" s="458"/>
      <c r="J398" s="457" t="s">
        <v>320</v>
      </c>
      <c r="K398" s="245"/>
      <c r="L398" s="257"/>
      <c r="M398" s="591" t="s">
        <v>321</v>
      </c>
      <c r="N398" s="592"/>
      <c r="O398" s="179"/>
      <c r="P398" s="180"/>
      <c r="Q398" s="180">
        <v>50400000</v>
      </c>
      <c r="R398" s="181">
        <f t="shared" si="112"/>
        <v>16.579476384608324</v>
      </c>
      <c r="S398" s="181">
        <v>100</v>
      </c>
      <c r="T398" s="180">
        <f t="shared" si="104"/>
        <v>85.714285714285708</v>
      </c>
      <c r="U398" s="180">
        <f t="shared" si="110"/>
        <v>14.210979758235705</v>
      </c>
      <c r="V398" s="182">
        <f t="shared" si="95"/>
        <v>14.285714285714292</v>
      </c>
      <c r="W398" s="180"/>
      <c r="X398" s="180"/>
      <c r="Y398" s="180"/>
      <c r="Z398" s="180"/>
      <c r="AA398" s="180"/>
      <c r="AB398" s="180"/>
      <c r="AC398" s="180"/>
      <c r="AD398" s="180"/>
      <c r="AE398" s="180"/>
      <c r="AF398" s="180"/>
      <c r="AG398" s="180"/>
      <c r="AH398" s="180"/>
      <c r="AI398" s="180">
        <v>43200000</v>
      </c>
      <c r="AJ398" s="181">
        <f t="shared" si="105"/>
        <v>85.714285714285708</v>
      </c>
      <c r="AK398" s="180">
        <f t="shared" si="108"/>
        <v>7200000</v>
      </c>
      <c r="AL398" s="181">
        <f t="shared" si="106"/>
        <v>14.285714285714285</v>
      </c>
      <c r="AM398" s="243"/>
    </row>
    <row r="399" spans="1:39" ht="24.75" customHeight="1" x14ac:dyDescent="0.25">
      <c r="A399" s="243"/>
      <c r="B399" s="457"/>
      <c r="C399" s="457"/>
      <c r="D399" s="457"/>
      <c r="E399" s="457"/>
      <c r="F399" s="457"/>
      <c r="G399" s="457"/>
      <c r="H399" s="457"/>
      <c r="I399" s="458"/>
      <c r="J399" s="457" t="s">
        <v>407</v>
      </c>
      <c r="K399" s="245"/>
      <c r="L399" s="257"/>
      <c r="M399" s="619" t="s">
        <v>414</v>
      </c>
      <c r="N399" s="620"/>
      <c r="O399" s="179"/>
      <c r="P399" s="180"/>
      <c r="Q399" s="180">
        <v>8500000</v>
      </c>
      <c r="R399" s="181">
        <f t="shared" si="112"/>
        <v>2.7961418505787852</v>
      </c>
      <c r="S399" s="181"/>
      <c r="T399" s="180">
        <f t="shared" si="104"/>
        <v>64.705882352941174</v>
      </c>
      <c r="U399" s="180">
        <f t="shared" si="110"/>
        <v>1.8092682562568609</v>
      </c>
      <c r="V399" s="182"/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  <c r="AG399" s="180"/>
      <c r="AH399" s="180"/>
      <c r="AI399" s="180">
        <v>5500000</v>
      </c>
      <c r="AJ399" s="181">
        <f t="shared" si="105"/>
        <v>64.705882352941174</v>
      </c>
      <c r="AK399" s="180">
        <f t="shared" si="108"/>
        <v>3000000</v>
      </c>
      <c r="AL399" s="181">
        <f t="shared" si="106"/>
        <v>35.294117647058826</v>
      </c>
      <c r="AM399" s="243"/>
    </row>
    <row r="400" spans="1:39" s="297" customFormat="1" ht="29.25" customHeight="1" x14ac:dyDescent="0.25">
      <c r="A400" s="227">
        <f>A387+1</f>
        <v>51</v>
      </c>
      <c r="B400" s="615" t="s">
        <v>150</v>
      </c>
      <c r="C400" s="615"/>
      <c r="D400" s="615"/>
      <c r="E400" s="615"/>
      <c r="F400" s="615"/>
      <c r="G400" s="615"/>
      <c r="H400" s="615"/>
      <c r="I400" s="614"/>
      <c r="J400" s="304" t="s">
        <v>497</v>
      </c>
      <c r="K400" s="230"/>
      <c r="L400" s="294"/>
      <c r="M400" s="610" t="s">
        <v>51</v>
      </c>
      <c r="N400" s="610"/>
      <c r="O400" s="309">
        <v>316240000</v>
      </c>
      <c r="P400" s="231">
        <f>O400</f>
        <v>316240000</v>
      </c>
      <c r="Q400" s="231">
        <f>SUM(Q401:Q407)</f>
        <v>266500000</v>
      </c>
      <c r="R400" s="233">
        <f>Q400/Q$248*100</f>
        <v>2.2342678490608305</v>
      </c>
      <c r="S400" s="233">
        <v>100</v>
      </c>
      <c r="T400" s="231">
        <f t="shared" si="104"/>
        <v>0</v>
      </c>
      <c r="U400" s="231">
        <f t="shared" si="110"/>
        <v>0</v>
      </c>
      <c r="V400" s="296">
        <f t="shared" si="95"/>
        <v>100</v>
      </c>
      <c r="W400" s="231"/>
      <c r="X400" s="231" t="e">
        <f>#REF!</f>
        <v>#REF!</v>
      </c>
      <c r="Y400" s="231" t="e">
        <f>#REF!</f>
        <v>#REF!</v>
      </c>
      <c r="Z400" s="231" t="e">
        <f>#REF!</f>
        <v>#REF!</v>
      </c>
      <c r="AA400" s="231" t="e">
        <f>#REF!</f>
        <v>#REF!</v>
      </c>
      <c r="AB400" s="231">
        <v>13182000</v>
      </c>
      <c r="AC400" s="231" t="e">
        <f>#REF!</f>
        <v>#REF!</v>
      </c>
      <c r="AD400" s="231" t="e">
        <f>#REF!</f>
        <v>#REF!</v>
      </c>
      <c r="AE400" s="231" t="e">
        <f>#REF!</f>
        <v>#REF!</v>
      </c>
      <c r="AF400" s="231" t="e">
        <f>[1]April!N70</f>
        <v>#REF!</v>
      </c>
      <c r="AG400" s="231" t="e">
        <f>[2]april!N70</f>
        <v>#REF!</v>
      </c>
      <c r="AH400" s="231">
        <f>'[3]DES SKPD'!$N70</f>
        <v>293250450</v>
      </c>
      <c r="AI400" s="231">
        <f>SUM(AI401:AI407)</f>
        <v>0</v>
      </c>
      <c r="AJ400" s="233">
        <f t="shared" si="105"/>
        <v>0</v>
      </c>
      <c r="AK400" s="231">
        <f t="shared" si="108"/>
        <v>266500000</v>
      </c>
      <c r="AL400" s="233">
        <f t="shared" si="106"/>
        <v>100</v>
      </c>
      <c r="AM400" s="227"/>
    </row>
    <row r="401" spans="1:39" ht="29.25" customHeight="1" x14ac:dyDescent="0.25">
      <c r="A401" s="243"/>
      <c r="B401" s="457"/>
      <c r="C401" s="457"/>
      <c r="D401" s="457"/>
      <c r="E401" s="457"/>
      <c r="F401" s="457"/>
      <c r="G401" s="457"/>
      <c r="H401" s="457"/>
      <c r="I401" s="458"/>
      <c r="J401" s="457" t="s">
        <v>315</v>
      </c>
      <c r="K401" s="245"/>
      <c r="L401" s="257"/>
      <c r="M401" s="591" t="s">
        <v>271</v>
      </c>
      <c r="N401" s="592"/>
      <c r="O401" s="179"/>
      <c r="P401" s="180"/>
      <c r="Q401" s="180">
        <v>8000000</v>
      </c>
      <c r="R401" s="181">
        <f t="shared" ref="R401:R407" si="113">Q401/Q$400*100</f>
        <v>3.0018761726078798</v>
      </c>
      <c r="S401" s="181">
        <v>100</v>
      </c>
      <c r="T401" s="180">
        <f t="shared" si="104"/>
        <v>0</v>
      </c>
      <c r="U401" s="180">
        <f t="shared" si="110"/>
        <v>0</v>
      </c>
      <c r="V401" s="182">
        <f t="shared" si="95"/>
        <v>100</v>
      </c>
      <c r="W401" s="180"/>
      <c r="X401" s="180"/>
      <c r="Y401" s="180"/>
      <c r="Z401" s="180"/>
      <c r="AA401" s="180"/>
      <c r="AB401" s="180"/>
      <c r="AC401" s="180"/>
      <c r="AD401" s="180"/>
      <c r="AE401" s="180"/>
      <c r="AF401" s="180"/>
      <c r="AG401" s="180"/>
      <c r="AH401" s="180"/>
      <c r="AI401" s="180">
        <v>0</v>
      </c>
      <c r="AJ401" s="181">
        <f t="shared" si="105"/>
        <v>0</v>
      </c>
      <c r="AK401" s="180">
        <f t="shared" si="108"/>
        <v>8000000</v>
      </c>
      <c r="AL401" s="181">
        <f t="shared" si="106"/>
        <v>100</v>
      </c>
      <c r="AM401" s="243"/>
    </row>
    <row r="402" spans="1:39" ht="29.25" customHeight="1" x14ac:dyDescent="0.25">
      <c r="A402" s="243"/>
      <c r="B402" s="457"/>
      <c r="C402" s="457"/>
      <c r="D402" s="457"/>
      <c r="E402" s="457"/>
      <c r="F402" s="457"/>
      <c r="G402" s="457"/>
      <c r="H402" s="457"/>
      <c r="I402" s="458"/>
      <c r="J402" s="457" t="s">
        <v>284</v>
      </c>
      <c r="K402" s="245"/>
      <c r="L402" s="257"/>
      <c r="M402" s="591" t="s">
        <v>319</v>
      </c>
      <c r="N402" s="592"/>
      <c r="O402" s="179"/>
      <c r="P402" s="180"/>
      <c r="Q402" s="180">
        <v>27000000</v>
      </c>
      <c r="R402" s="181">
        <f t="shared" si="113"/>
        <v>10.131332082551594</v>
      </c>
      <c r="S402" s="181">
        <v>100</v>
      </c>
      <c r="T402" s="180">
        <f t="shared" si="104"/>
        <v>0</v>
      </c>
      <c r="U402" s="180">
        <f t="shared" si="110"/>
        <v>0</v>
      </c>
      <c r="V402" s="182"/>
      <c r="W402" s="180"/>
      <c r="X402" s="180"/>
      <c r="Y402" s="180"/>
      <c r="Z402" s="180"/>
      <c r="AA402" s="180"/>
      <c r="AB402" s="180"/>
      <c r="AC402" s="180"/>
      <c r="AD402" s="180"/>
      <c r="AE402" s="180"/>
      <c r="AF402" s="180"/>
      <c r="AG402" s="180"/>
      <c r="AH402" s="180"/>
      <c r="AI402" s="180">
        <v>0</v>
      </c>
      <c r="AJ402" s="181">
        <f t="shared" si="105"/>
        <v>0</v>
      </c>
      <c r="AK402" s="180">
        <f t="shared" si="108"/>
        <v>27000000</v>
      </c>
      <c r="AL402" s="181">
        <f t="shared" si="106"/>
        <v>100</v>
      </c>
      <c r="AM402" s="243"/>
    </row>
    <row r="403" spans="1:39" ht="29.25" customHeight="1" x14ac:dyDescent="0.25">
      <c r="A403" s="243"/>
      <c r="B403" s="457"/>
      <c r="C403" s="457"/>
      <c r="D403" s="457"/>
      <c r="E403" s="457"/>
      <c r="F403" s="457"/>
      <c r="G403" s="457"/>
      <c r="H403" s="457"/>
      <c r="I403" s="458"/>
      <c r="J403" s="457" t="s">
        <v>282</v>
      </c>
      <c r="K403" s="245"/>
      <c r="L403" s="257"/>
      <c r="M403" s="591" t="s">
        <v>340</v>
      </c>
      <c r="N403" s="592"/>
      <c r="O403" s="179"/>
      <c r="P403" s="180"/>
      <c r="Q403" s="180">
        <v>5000000</v>
      </c>
      <c r="R403" s="181">
        <f t="shared" si="113"/>
        <v>1.876172607879925</v>
      </c>
      <c r="S403" s="181">
        <v>100</v>
      </c>
      <c r="T403" s="180">
        <f t="shared" si="104"/>
        <v>0</v>
      </c>
      <c r="U403" s="180">
        <f t="shared" si="110"/>
        <v>0</v>
      </c>
      <c r="V403" s="182">
        <f t="shared" si="95"/>
        <v>100</v>
      </c>
      <c r="W403" s="180"/>
      <c r="X403" s="180"/>
      <c r="Y403" s="180"/>
      <c r="Z403" s="180"/>
      <c r="AA403" s="180"/>
      <c r="AB403" s="180"/>
      <c r="AC403" s="180"/>
      <c r="AD403" s="180"/>
      <c r="AE403" s="180"/>
      <c r="AF403" s="180"/>
      <c r="AG403" s="180"/>
      <c r="AH403" s="180"/>
      <c r="AI403" s="180">
        <v>0</v>
      </c>
      <c r="AJ403" s="181">
        <f t="shared" si="105"/>
        <v>0</v>
      </c>
      <c r="AK403" s="180">
        <f t="shared" si="108"/>
        <v>5000000</v>
      </c>
      <c r="AL403" s="181">
        <f t="shared" si="106"/>
        <v>100</v>
      </c>
      <c r="AM403" s="243"/>
    </row>
    <row r="404" spans="1:39" ht="29.25" customHeight="1" x14ac:dyDescent="0.25">
      <c r="A404" s="243"/>
      <c r="B404" s="457"/>
      <c r="C404" s="457"/>
      <c r="D404" s="457"/>
      <c r="E404" s="457"/>
      <c r="F404" s="457"/>
      <c r="G404" s="457"/>
      <c r="H404" s="457"/>
      <c r="I404" s="458"/>
      <c r="J404" s="457" t="s">
        <v>308</v>
      </c>
      <c r="K404" s="245"/>
      <c r="L404" s="257"/>
      <c r="M404" s="591" t="s">
        <v>590</v>
      </c>
      <c r="N404" s="592"/>
      <c r="O404" s="179"/>
      <c r="P404" s="180"/>
      <c r="Q404" s="180">
        <v>15000000</v>
      </c>
      <c r="R404" s="181">
        <f t="shared" si="113"/>
        <v>5.6285178236397746</v>
      </c>
      <c r="S404" s="181">
        <v>100</v>
      </c>
      <c r="T404" s="180">
        <f t="shared" si="104"/>
        <v>0</v>
      </c>
      <c r="U404" s="180">
        <f t="shared" si="110"/>
        <v>0</v>
      </c>
      <c r="V404" s="182">
        <f t="shared" si="95"/>
        <v>100</v>
      </c>
      <c r="W404" s="180"/>
      <c r="X404" s="180"/>
      <c r="Y404" s="180"/>
      <c r="Z404" s="180"/>
      <c r="AA404" s="180"/>
      <c r="AB404" s="180"/>
      <c r="AC404" s="180"/>
      <c r="AD404" s="180"/>
      <c r="AE404" s="180"/>
      <c r="AF404" s="180"/>
      <c r="AG404" s="180"/>
      <c r="AH404" s="180"/>
      <c r="AI404" s="180">
        <v>0</v>
      </c>
      <c r="AJ404" s="181">
        <f t="shared" si="105"/>
        <v>0</v>
      </c>
      <c r="AK404" s="180">
        <f t="shared" si="108"/>
        <v>15000000</v>
      </c>
      <c r="AL404" s="181">
        <f t="shared" si="106"/>
        <v>100</v>
      </c>
      <c r="AM404" s="243"/>
    </row>
    <row r="405" spans="1:39" ht="29.25" customHeight="1" x14ac:dyDescent="0.25">
      <c r="A405" s="243"/>
      <c r="B405" s="457"/>
      <c r="C405" s="457"/>
      <c r="D405" s="457"/>
      <c r="E405" s="457"/>
      <c r="F405" s="457"/>
      <c r="G405" s="457"/>
      <c r="H405" s="457"/>
      <c r="I405" s="458"/>
      <c r="J405" s="457" t="s">
        <v>309</v>
      </c>
      <c r="K405" s="245"/>
      <c r="L405" s="257"/>
      <c r="M405" s="591" t="s">
        <v>321</v>
      </c>
      <c r="N405" s="592"/>
      <c r="O405" s="179"/>
      <c r="P405" s="180"/>
      <c r="Q405" s="180">
        <v>9500000</v>
      </c>
      <c r="R405" s="181">
        <f t="shared" si="113"/>
        <v>3.5647279549718571</v>
      </c>
      <c r="S405" s="181">
        <v>100</v>
      </c>
      <c r="T405" s="180">
        <f t="shared" si="104"/>
        <v>0</v>
      </c>
      <c r="U405" s="180">
        <f t="shared" si="110"/>
        <v>0</v>
      </c>
      <c r="V405" s="182">
        <f t="shared" si="95"/>
        <v>100</v>
      </c>
      <c r="W405" s="180"/>
      <c r="X405" s="180"/>
      <c r="Y405" s="180"/>
      <c r="Z405" s="180"/>
      <c r="AA405" s="180"/>
      <c r="AB405" s="180"/>
      <c r="AC405" s="180"/>
      <c r="AD405" s="180"/>
      <c r="AE405" s="180"/>
      <c r="AF405" s="180"/>
      <c r="AG405" s="180"/>
      <c r="AH405" s="180"/>
      <c r="AI405" s="180">
        <v>0</v>
      </c>
      <c r="AJ405" s="181">
        <f t="shared" si="105"/>
        <v>0</v>
      </c>
      <c r="AK405" s="180">
        <f t="shared" si="108"/>
        <v>9500000</v>
      </c>
      <c r="AL405" s="181">
        <f t="shared" si="106"/>
        <v>100</v>
      </c>
      <c r="AM405" s="243"/>
    </row>
    <row r="406" spans="1:39" ht="29.25" customHeight="1" x14ac:dyDescent="0.25">
      <c r="A406" s="243"/>
      <c r="B406" s="457"/>
      <c r="C406" s="457"/>
      <c r="D406" s="457"/>
      <c r="E406" s="457"/>
      <c r="F406" s="457"/>
      <c r="G406" s="457"/>
      <c r="H406" s="457"/>
      <c r="I406" s="458"/>
      <c r="J406" s="457" t="s">
        <v>309</v>
      </c>
      <c r="K406" s="245"/>
      <c r="L406" s="257"/>
      <c r="M406" s="591" t="s">
        <v>310</v>
      </c>
      <c r="N406" s="592"/>
      <c r="O406" s="179"/>
      <c r="P406" s="180"/>
      <c r="Q406" s="180">
        <v>200000000</v>
      </c>
      <c r="R406" s="181">
        <f t="shared" si="113"/>
        <v>75.046904315196997</v>
      </c>
      <c r="S406" s="181">
        <v>100</v>
      </c>
      <c r="T406" s="180">
        <f t="shared" si="104"/>
        <v>0</v>
      </c>
      <c r="U406" s="180">
        <f t="shared" si="110"/>
        <v>0</v>
      </c>
      <c r="V406" s="182">
        <f t="shared" si="95"/>
        <v>100</v>
      </c>
      <c r="W406" s="180"/>
      <c r="X406" s="180"/>
      <c r="Y406" s="180"/>
      <c r="Z406" s="180"/>
      <c r="AA406" s="180"/>
      <c r="AB406" s="180"/>
      <c r="AC406" s="180"/>
      <c r="AD406" s="180"/>
      <c r="AE406" s="180"/>
      <c r="AF406" s="180"/>
      <c r="AG406" s="180"/>
      <c r="AH406" s="180"/>
      <c r="AI406" s="180">
        <v>0</v>
      </c>
      <c r="AJ406" s="181">
        <f t="shared" si="105"/>
        <v>0</v>
      </c>
      <c r="AK406" s="180">
        <f t="shared" si="108"/>
        <v>200000000</v>
      </c>
      <c r="AL406" s="181">
        <f t="shared" si="106"/>
        <v>100</v>
      </c>
      <c r="AM406" s="243"/>
    </row>
    <row r="407" spans="1:39" ht="29.25" customHeight="1" x14ac:dyDescent="0.25">
      <c r="A407" s="243"/>
      <c r="B407" s="457"/>
      <c r="C407" s="457"/>
      <c r="D407" s="457"/>
      <c r="E407" s="457"/>
      <c r="F407" s="457"/>
      <c r="G407" s="457"/>
      <c r="H407" s="457"/>
      <c r="I407" s="458"/>
      <c r="J407" s="457" t="s">
        <v>407</v>
      </c>
      <c r="K407" s="245"/>
      <c r="L407" s="257"/>
      <c r="M407" s="591" t="s">
        <v>610</v>
      </c>
      <c r="N407" s="592"/>
      <c r="O407" s="179"/>
      <c r="P407" s="180"/>
      <c r="Q407" s="180">
        <v>2000000</v>
      </c>
      <c r="R407" s="181">
        <f t="shared" si="113"/>
        <v>0.75046904315196994</v>
      </c>
      <c r="S407" s="181">
        <v>100</v>
      </c>
      <c r="T407" s="180">
        <f t="shared" si="104"/>
        <v>0</v>
      </c>
      <c r="U407" s="180">
        <f t="shared" si="110"/>
        <v>0</v>
      </c>
      <c r="V407" s="182">
        <f t="shared" si="95"/>
        <v>100</v>
      </c>
      <c r="W407" s="180"/>
      <c r="X407" s="180"/>
      <c r="Y407" s="180"/>
      <c r="Z407" s="180"/>
      <c r="AA407" s="180"/>
      <c r="AB407" s="180"/>
      <c r="AC407" s="180"/>
      <c r="AD407" s="180"/>
      <c r="AE407" s="180"/>
      <c r="AF407" s="180"/>
      <c r="AG407" s="180"/>
      <c r="AH407" s="180"/>
      <c r="AI407" s="180">
        <v>0</v>
      </c>
      <c r="AJ407" s="181">
        <f t="shared" si="105"/>
        <v>0</v>
      </c>
      <c r="AK407" s="180">
        <f t="shared" si="108"/>
        <v>2000000</v>
      </c>
      <c r="AL407" s="181">
        <f t="shared" si="106"/>
        <v>100</v>
      </c>
      <c r="AM407" s="243"/>
    </row>
    <row r="408" spans="1:39" s="297" customFormat="1" ht="36" customHeight="1" x14ac:dyDescent="0.25">
      <c r="A408" s="227">
        <f>A400+1</f>
        <v>52</v>
      </c>
      <c r="B408" s="615" t="s">
        <v>151</v>
      </c>
      <c r="C408" s="615"/>
      <c r="D408" s="615"/>
      <c r="E408" s="615"/>
      <c r="F408" s="615"/>
      <c r="G408" s="615"/>
      <c r="H408" s="615"/>
      <c r="I408" s="614"/>
      <c r="J408" s="304" t="s">
        <v>498</v>
      </c>
      <c r="K408" s="230"/>
      <c r="L408" s="294"/>
      <c r="M408" s="613" t="s">
        <v>52</v>
      </c>
      <c r="N408" s="613"/>
      <c r="O408" s="309">
        <v>252956000</v>
      </c>
      <c r="P408" s="231">
        <f>O408</f>
        <v>252956000</v>
      </c>
      <c r="Q408" s="231">
        <f>SUM(Q409:Q421)</f>
        <v>394282000</v>
      </c>
      <c r="R408" s="233">
        <f>Q408/Q$35*100</f>
        <v>1.2404167461869322</v>
      </c>
      <c r="S408" s="233">
        <v>100</v>
      </c>
      <c r="T408" s="231">
        <f t="shared" si="104"/>
        <v>46.856343175696587</v>
      </c>
      <c r="U408" s="231">
        <f t="shared" si="110"/>
        <v>0.58121392740215827</v>
      </c>
      <c r="V408" s="296">
        <f t="shared" si="95"/>
        <v>53.143656824303413</v>
      </c>
      <c r="W408" s="231"/>
      <c r="X408" s="231" t="e">
        <f>#REF!</f>
        <v>#REF!</v>
      </c>
      <c r="Y408" s="231" t="e">
        <f>#REF!</f>
        <v>#REF!</v>
      </c>
      <c r="Z408" s="231" t="e">
        <f>#REF!</f>
        <v>#REF!</v>
      </c>
      <c r="AA408" s="231" t="e">
        <f>#REF!</f>
        <v>#REF!</v>
      </c>
      <c r="AB408" s="231">
        <v>58582925</v>
      </c>
      <c r="AC408" s="231" t="e">
        <f>#REF!</f>
        <v>#REF!</v>
      </c>
      <c r="AD408" s="231" t="e">
        <f>#REF!</f>
        <v>#REF!</v>
      </c>
      <c r="AE408" s="231" t="e">
        <f>#REF!</f>
        <v>#REF!</v>
      </c>
      <c r="AF408" s="231" t="e">
        <f>[1]April!N71</f>
        <v>#REF!</v>
      </c>
      <c r="AG408" s="231" t="e">
        <f>[2]april!N71</f>
        <v>#REF!</v>
      </c>
      <c r="AH408" s="231">
        <f>'[3]DES SKPD'!$N71</f>
        <v>205056925</v>
      </c>
      <c r="AI408" s="231">
        <f>SUM(AI409:AI421)</f>
        <v>184746127</v>
      </c>
      <c r="AJ408" s="233">
        <f t="shared" si="105"/>
        <v>46.856343175696587</v>
      </c>
      <c r="AK408" s="231">
        <f t="shared" si="108"/>
        <v>209535873</v>
      </c>
      <c r="AL408" s="233">
        <f t="shared" si="106"/>
        <v>53.14365682430342</v>
      </c>
      <c r="AM408" s="227"/>
    </row>
    <row r="409" spans="1:39" ht="29.25" customHeight="1" x14ac:dyDescent="0.25">
      <c r="A409" s="243"/>
      <c r="B409" s="457"/>
      <c r="C409" s="457"/>
      <c r="D409" s="457"/>
      <c r="E409" s="457"/>
      <c r="F409" s="457"/>
      <c r="G409" s="457"/>
      <c r="H409" s="457"/>
      <c r="I409" s="458"/>
      <c r="J409" s="457" t="s">
        <v>415</v>
      </c>
      <c r="K409" s="245"/>
      <c r="L409" s="257"/>
      <c r="M409" s="604" t="s">
        <v>260</v>
      </c>
      <c r="N409" s="592"/>
      <c r="O409" s="179"/>
      <c r="P409" s="180"/>
      <c r="Q409" s="180">
        <v>2400000</v>
      </c>
      <c r="R409" s="181">
        <f>Q409/Q$408*100</f>
        <v>0.60870138631740733</v>
      </c>
      <c r="S409" s="181">
        <v>100</v>
      </c>
      <c r="T409" s="180">
        <f t="shared" si="104"/>
        <v>33.333333333333329</v>
      </c>
      <c r="U409" s="180">
        <f t="shared" si="110"/>
        <v>0.20290046210580243</v>
      </c>
      <c r="V409" s="182">
        <f t="shared" si="95"/>
        <v>66.666666666666671</v>
      </c>
      <c r="W409" s="180"/>
      <c r="X409" s="180"/>
      <c r="Y409" s="180"/>
      <c r="Z409" s="180"/>
      <c r="AA409" s="180"/>
      <c r="AB409" s="180"/>
      <c r="AC409" s="180"/>
      <c r="AD409" s="180"/>
      <c r="AE409" s="180"/>
      <c r="AF409" s="180"/>
      <c r="AG409" s="180"/>
      <c r="AH409" s="180"/>
      <c r="AI409" s="180">
        <v>800000</v>
      </c>
      <c r="AJ409" s="181">
        <f t="shared" ref="AJ409:AJ473" si="114">AI409/Q409*100</f>
        <v>33.333333333333329</v>
      </c>
      <c r="AK409" s="180">
        <f t="shared" si="108"/>
        <v>1600000</v>
      </c>
      <c r="AL409" s="181">
        <f t="shared" ref="AL409:AL473" si="115">AK409/Q409*100</f>
        <v>66.666666666666657</v>
      </c>
      <c r="AM409" s="243"/>
    </row>
    <row r="410" spans="1:39" ht="29.25" customHeight="1" x14ac:dyDescent="0.25">
      <c r="A410" s="243"/>
      <c r="B410" s="457"/>
      <c r="C410" s="457"/>
      <c r="D410" s="457"/>
      <c r="E410" s="457"/>
      <c r="F410" s="457"/>
      <c r="G410" s="457"/>
      <c r="H410" s="457"/>
      <c r="I410" s="458"/>
      <c r="J410" s="457" t="s">
        <v>326</v>
      </c>
      <c r="K410" s="245"/>
      <c r="L410" s="257"/>
      <c r="M410" s="604" t="s">
        <v>327</v>
      </c>
      <c r="N410" s="592"/>
      <c r="O410" s="179"/>
      <c r="P410" s="180"/>
      <c r="Q410" s="180">
        <v>32800000</v>
      </c>
      <c r="R410" s="181">
        <f t="shared" ref="R410:R421" si="116">Q410/Q$408*100</f>
        <v>8.3189189463379005</v>
      </c>
      <c r="S410" s="181">
        <v>100</v>
      </c>
      <c r="T410" s="180">
        <f t="shared" si="104"/>
        <v>0</v>
      </c>
      <c r="U410" s="180">
        <f t="shared" si="110"/>
        <v>0</v>
      </c>
      <c r="V410" s="182">
        <f t="shared" si="95"/>
        <v>100</v>
      </c>
      <c r="W410" s="180"/>
      <c r="X410" s="180"/>
      <c r="Y410" s="180"/>
      <c r="Z410" s="180"/>
      <c r="AA410" s="180"/>
      <c r="AB410" s="180"/>
      <c r="AC410" s="180"/>
      <c r="AD410" s="180"/>
      <c r="AE410" s="180"/>
      <c r="AF410" s="180"/>
      <c r="AG410" s="180"/>
      <c r="AH410" s="180"/>
      <c r="AI410" s="180">
        <v>0</v>
      </c>
      <c r="AJ410" s="181">
        <f t="shared" si="114"/>
        <v>0</v>
      </c>
      <c r="AK410" s="180">
        <f t="shared" si="108"/>
        <v>32800000</v>
      </c>
      <c r="AL410" s="181">
        <f t="shared" si="115"/>
        <v>100</v>
      </c>
      <c r="AM410" s="243"/>
    </row>
    <row r="411" spans="1:39" ht="29.25" customHeight="1" x14ac:dyDescent="0.25">
      <c r="A411" s="243"/>
      <c r="B411" s="457"/>
      <c r="C411" s="457"/>
      <c r="D411" s="457"/>
      <c r="E411" s="457"/>
      <c r="F411" s="457"/>
      <c r="G411" s="457"/>
      <c r="H411" s="457"/>
      <c r="I411" s="458"/>
      <c r="J411" s="457" t="s">
        <v>347</v>
      </c>
      <c r="K411" s="245"/>
      <c r="L411" s="257"/>
      <c r="M411" s="604" t="s">
        <v>348</v>
      </c>
      <c r="N411" s="592"/>
      <c r="O411" s="179"/>
      <c r="P411" s="180"/>
      <c r="Q411" s="180">
        <v>27800000</v>
      </c>
      <c r="R411" s="181">
        <f t="shared" si="116"/>
        <v>7.0507910581766353</v>
      </c>
      <c r="S411" s="181">
        <v>100</v>
      </c>
      <c r="T411" s="180">
        <f t="shared" si="104"/>
        <v>0</v>
      </c>
      <c r="U411" s="180">
        <f t="shared" si="110"/>
        <v>0</v>
      </c>
      <c r="V411" s="182">
        <f t="shared" si="95"/>
        <v>100</v>
      </c>
      <c r="W411" s="180"/>
      <c r="X411" s="180"/>
      <c r="Y411" s="180"/>
      <c r="Z411" s="180"/>
      <c r="AA411" s="180"/>
      <c r="AB411" s="180"/>
      <c r="AC411" s="180"/>
      <c r="AD411" s="180"/>
      <c r="AE411" s="180"/>
      <c r="AF411" s="180"/>
      <c r="AG411" s="180"/>
      <c r="AH411" s="180"/>
      <c r="AI411" s="180">
        <v>0</v>
      </c>
      <c r="AJ411" s="181">
        <f t="shared" si="114"/>
        <v>0</v>
      </c>
      <c r="AK411" s="180">
        <f t="shared" si="108"/>
        <v>27800000</v>
      </c>
      <c r="AL411" s="181">
        <f t="shared" si="115"/>
        <v>100</v>
      </c>
      <c r="AM411" s="243"/>
    </row>
    <row r="412" spans="1:39" ht="29.25" customHeight="1" x14ac:dyDescent="0.25">
      <c r="A412" s="243"/>
      <c r="B412" s="457"/>
      <c r="C412" s="457"/>
      <c r="D412" s="457"/>
      <c r="E412" s="457"/>
      <c r="F412" s="457"/>
      <c r="G412" s="457"/>
      <c r="H412" s="457"/>
      <c r="I412" s="458"/>
      <c r="J412" s="457" t="s">
        <v>323</v>
      </c>
      <c r="K412" s="245"/>
      <c r="L412" s="257"/>
      <c r="M412" s="604" t="s">
        <v>324</v>
      </c>
      <c r="N412" s="592"/>
      <c r="O412" s="179"/>
      <c r="P412" s="180"/>
      <c r="Q412" s="180">
        <v>35352000</v>
      </c>
      <c r="R412" s="181">
        <f t="shared" si="116"/>
        <v>8.9661714204554102</v>
      </c>
      <c r="S412" s="181">
        <v>100</v>
      </c>
      <c r="T412" s="180">
        <f t="shared" si="104"/>
        <v>30.052047974654901</v>
      </c>
      <c r="U412" s="180">
        <f t="shared" si="110"/>
        <v>2.6945181367650566</v>
      </c>
      <c r="V412" s="182">
        <f t="shared" si="95"/>
        <v>69.947952025345103</v>
      </c>
      <c r="W412" s="180"/>
      <c r="X412" s="180"/>
      <c r="Y412" s="180"/>
      <c r="Z412" s="180"/>
      <c r="AA412" s="180"/>
      <c r="AB412" s="180"/>
      <c r="AC412" s="180"/>
      <c r="AD412" s="180"/>
      <c r="AE412" s="180"/>
      <c r="AF412" s="180"/>
      <c r="AG412" s="180"/>
      <c r="AH412" s="180"/>
      <c r="AI412" s="180">
        <f>3492000+1746000+5386000</f>
        <v>10624000</v>
      </c>
      <c r="AJ412" s="181">
        <f t="shared" si="114"/>
        <v>30.052047974654901</v>
      </c>
      <c r="AK412" s="180">
        <f t="shared" si="108"/>
        <v>24728000</v>
      </c>
      <c r="AL412" s="181">
        <f t="shared" si="115"/>
        <v>69.947952025345103</v>
      </c>
      <c r="AM412" s="243"/>
    </row>
    <row r="413" spans="1:39" ht="29.25" customHeight="1" x14ac:dyDescent="0.25">
      <c r="A413" s="243"/>
      <c r="B413" s="457"/>
      <c r="C413" s="457"/>
      <c r="D413" s="457"/>
      <c r="E413" s="457"/>
      <c r="F413" s="457"/>
      <c r="G413" s="457"/>
      <c r="H413" s="457"/>
      <c r="I413" s="458"/>
      <c r="J413" s="457" t="s">
        <v>269</v>
      </c>
      <c r="K413" s="245"/>
      <c r="L413" s="257"/>
      <c r="M413" s="604" t="s">
        <v>270</v>
      </c>
      <c r="N413" s="592"/>
      <c r="O413" s="179"/>
      <c r="P413" s="180"/>
      <c r="Q413" s="180">
        <v>16330000</v>
      </c>
      <c r="R413" s="181">
        <f t="shared" si="116"/>
        <v>4.1417056827346919</v>
      </c>
      <c r="S413" s="181">
        <v>100</v>
      </c>
      <c r="T413" s="180">
        <f t="shared" si="104"/>
        <v>39.191671769748929</v>
      </c>
      <c r="U413" s="180">
        <f t="shared" si="110"/>
        <v>1.6232036968464194</v>
      </c>
      <c r="V413" s="182">
        <f t="shared" si="95"/>
        <v>60.808328230251071</v>
      </c>
      <c r="W413" s="180"/>
      <c r="X413" s="180"/>
      <c r="Y413" s="180"/>
      <c r="Z413" s="180"/>
      <c r="AA413" s="180"/>
      <c r="AB413" s="180"/>
      <c r="AC413" s="180"/>
      <c r="AD413" s="180"/>
      <c r="AE413" s="180"/>
      <c r="AF413" s="180"/>
      <c r="AG413" s="180"/>
      <c r="AH413" s="180"/>
      <c r="AI413" s="180">
        <f>2380000+1190000+2830000</f>
        <v>6400000</v>
      </c>
      <c r="AJ413" s="181">
        <f t="shared" si="114"/>
        <v>39.191671769748929</v>
      </c>
      <c r="AK413" s="180">
        <f t="shared" si="108"/>
        <v>9930000</v>
      </c>
      <c r="AL413" s="181">
        <f t="shared" si="115"/>
        <v>60.808328230251071</v>
      </c>
      <c r="AM413" s="243"/>
    </row>
    <row r="414" spans="1:39" ht="29.25" customHeight="1" x14ac:dyDescent="0.25">
      <c r="A414" s="243"/>
      <c r="B414" s="457"/>
      <c r="C414" s="457"/>
      <c r="D414" s="457"/>
      <c r="E414" s="457"/>
      <c r="F414" s="457"/>
      <c r="G414" s="457"/>
      <c r="H414" s="457"/>
      <c r="I414" s="458"/>
      <c r="J414" s="457" t="s">
        <v>315</v>
      </c>
      <c r="K414" s="245"/>
      <c r="L414" s="257"/>
      <c r="M414" s="604" t="s">
        <v>271</v>
      </c>
      <c r="N414" s="592"/>
      <c r="O414" s="179"/>
      <c r="P414" s="180"/>
      <c r="Q414" s="180">
        <v>21000000</v>
      </c>
      <c r="R414" s="181">
        <f t="shared" si="116"/>
        <v>5.3261371302773144</v>
      </c>
      <c r="S414" s="181">
        <v>100</v>
      </c>
      <c r="T414" s="180">
        <f t="shared" ref="T414:T625" si="117">AJ414</f>
        <v>41.666666666666671</v>
      </c>
      <c r="U414" s="180">
        <f t="shared" si="110"/>
        <v>2.2192238042822146</v>
      </c>
      <c r="V414" s="182">
        <f t="shared" si="95"/>
        <v>58.333333333333329</v>
      </c>
      <c r="W414" s="180"/>
      <c r="X414" s="180"/>
      <c r="Y414" s="180"/>
      <c r="Z414" s="180"/>
      <c r="AA414" s="180"/>
      <c r="AB414" s="180"/>
      <c r="AC414" s="180"/>
      <c r="AD414" s="180"/>
      <c r="AE414" s="180"/>
      <c r="AF414" s="180"/>
      <c r="AG414" s="180"/>
      <c r="AH414" s="180"/>
      <c r="AI414" s="180">
        <f>3500000+1750000+3500000</f>
        <v>8750000</v>
      </c>
      <c r="AJ414" s="181">
        <f t="shared" si="114"/>
        <v>41.666666666666671</v>
      </c>
      <c r="AK414" s="180">
        <f t="shared" si="108"/>
        <v>12250000</v>
      </c>
      <c r="AL414" s="181">
        <f t="shared" si="115"/>
        <v>58.333333333333336</v>
      </c>
      <c r="AM414" s="243"/>
    </row>
    <row r="415" spans="1:39" ht="29.25" customHeight="1" x14ac:dyDescent="0.25">
      <c r="A415" s="243"/>
      <c r="B415" s="457"/>
      <c r="C415" s="457"/>
      <c r="D415" s="457"/>
      <c r="E415" s="457"/>
      <c r="F415" s="457"/>
      <c r="G415" s="457"/>
      <c r="H415" s="457"/>
      <c r="I415" s="458"/>
      <c r="J415" s="457" t="s">
        <v>316</v>
      </c>
      <c r="K415" s="245"/>
      <c r="L415" s="257"/>
      <c r="M415" s="604" t="s">
        <v>317</v>
      </c>
      <c r="N415" s="592"/>
      <c r="O415" s="179"/>
      <c r="P415" s="180"/>
      <c r="Q415" s="180">
        <v>900000</v>
      </c>
      <c r="R415" s="181">
        <f t="shared" si="116"/>
        <v>0.22826301986902778</v>
      </c>
      <c r="S415" s="181">
        <v>100</v>
      </c>
      <c r="T415" s="180">
        <f t="shared" si="117"/>
        <v>33.333333333333329</v>
      </c>
      <c r="U415" s="180">
        <f t="shared" si="110"/>
        <v>7.6087673289675917E-2</v>
      </c>
      <c r="V415" s="182">
        <f t="shared" si="95"/>
        <v>66.666666666666671</v>
      </c>
      <c r="W415" s="180"/>
      <c r="X415" s="180"/>
      <c r="Y415" s="180"/>
      <c r="Z415" s="180"/>
      <c r="AA415" s="180"/>
      <c r="AB415" s="180"/>
      <c r="AC415" s="180"/>
      <c r="AD415" s="180"/>
      <c r="AE415" s="180"/>
      <c r="AF415" s="180"/>
      <c r="AG415" s="180"/>
      <c r="AH415" s="180"/>
      <c r="AI415" s="180">
        <v>300000</v>
      </c>
      <c r="AJ415" s="181">
        <f t="shared" si="114"/>
        <v>33.333333333333329</v>
      </c>
      <c r="AK415" s="180">
        <f t="shared" si="108"/>
        <v>600000</v>
      </c>
      <c r="AL415" s="181">
        <f t="shared" si="115"/>
        <v>66.666666666666657</v>
      </c>
      <c r="AM415" s="243"/>
    </row>
    <row r="416" spans="1:39" ht="29.25" customHeight="1" x14ac:dyDescent="0.25">
      <c r="A416" s="243"/>
      <c r="B416" s="457"/>
      <c r="C416" s="457"/>
      <c r="D416" s="457"/>
      <c r="E416" s="457"/>
      <c r="F416" s="457"/>
      <c r="G416" s="457"/>
      <c r="H416" s="457"/>
      <c r="I416" s="458"/>
      <c r="J416" s="457" t="s">
        <v>318</v>
      </c>
      <c r="K416" s="245"/>
      <c r="L416" s="257"/>
      <c r="M416" s="604" t="s">
        <v>319</v>
      </c>
      <c r="N416" s="592"/>
      <c r="O416" s="179"/>
      <c r="P416" s="180"/>
      <c r="Q416" s="180">
        <v>109500000</v>
      </c>
      <c r="R416" s="181">
        <f t="shared" si="116"/>
        <v>27.772000750731713</v>
      </c>
      <c r="S416" s="181">
        <v>100</v>
      </c>
      <c r="T416" s="180">
        <f t="shared" si="117"/>
        <v>71.232876712328761</v>
      </c>
      <c r="U416" s="180">
        <f t="shared" si="110"/>
        <v>19.782795055315738</v>
      </c>
      <c r="V416" s="182">
        <f t="shared" si="95"/>
        <v>28.767123287671239</v>
      </c>
      <c r="W416" s="180"/>
      <c r="X416" s="180"/>
      <c r="Y416" s="180"/>
      <c r="Z416" s="180"/>
      <c r="AA416" s="180"/>
      <c r="AB416" s="180"/>
      <c r="AC416" s="180"/>
      <c r="AD416" s="180"/>
      <c r="AE416" s="180"/>
      <c r="AF416" s="180"/>
      <c r="AG416" s="180"/>
      <c r="AH416" s="180"/>
      <c r="AI416" s="180">
        <v>78000000</v>
      </c>
      <c r="AJ416" s="181">
        <f t="shared" si="114"/>
        <v>71.232876712328761</v>
      </c>
      <c r="AK416" s="180">
        <f t="shared" si="108"/>
        <v>31500000</v>
      </c>
      <c r="AL416" s="181">
        <f t="shared" si="115"/>
        <v>28.767123287671232</v>
      </c>
      <c r="AM416" s="243"/>
    </row>
    <row r="417" spans="1:39" ht="29.25" customHeight="1" x14ac:dyDescent="0.25">
      <c r="A417" s="243"/>
      <c r="B417" s="457"/>
      <c r="C417" s="457"/>
      <c r="D417" s="457"/>
      <c r="E417" s="457"/>
      <c r="F417" s="457"/>
      <c r="G417" s="457"/>
      <c r="H417" s="457"/>
      <c r="I417" s="458"/>
      <c r="J417" s="457" t="s">
        <v>284</v>
      </c>
      <c r="K417" s="245"/>
      <c r="L417" s="257"/>
      <c r="M417" s="604" t="s">
        <v>285</v>
      </c>
      <c r="N417" s="592"/>
      <c r="O417" s="179"/>
      <c r="P417" s="180"/>
      <c r="Q417" s="180">
        <v>25000000</v>
      </c>
      <c r="R417" s="181">
        <f t="shared" si="116"/>
        <v>6.3406394408063269</v>
      </c>
      <c r="S417" s="181">
        <v>100</v>
      </c>
      <c r="T417" s="180">
        <f t="shared" si="117"/>
        <v>40.96</v>
      </c>
      <c r="U417" s="180">
        <f t="shared" si="110"/>
        <v>2.5971259149542716</v>
      </c>
      <c r="V417" s="182">
        <f t="shared" si="95"/>
        <v>59.04</v>
      </c>
      <c r="W417" s="180"/>
      <c r="X417" s="180"/>
      <c r="Y417" s="180"/>
      <c r="Z417" s="180"/>
      <c r="AA417" s="180"/>
      <c r="AB417" s="180"/>
      <c r="AC417" s="180"/>
      <c r="AD417" s="180"/>
      <c r="AE417" s="180"/>
      <c r="AF417" s="180"/>
      <c r="AG417" s="180"/>
      <c r="AH417" s="180"/>
      <c r="AI417" s="180">
        <f>4180000+1960000+4100000</f>
        <v>10240000</v>
      </c>
      <c r="AJ417" s="181">
        <f t="shared" si="114"/>
        <v>40.96</v>
      </c>
      <c r="AK417" s="180">
        <f t="shared" si="108"/>
        <v>14760000</v>
      </c>
      <c r="AL417" s="181">
        <f t="shared" si="115"/>
        <v>59.040000000000006</v>
      </c>
      <c r="AM417" s="243"/>
    </row>
    <row r="418" spans="1:39" ht="29.25" customHeight="1" x14ac:dyDescent="0.25">
      <c r="A418" s="243"/>
      <c r="B418" s="457"/>
      <c r="C418" s="457"/>
      <c r="D418" s="457"/>
      <c r="E418" s="457"/>
      <c r="F418" s="457"/>
      <c r="G418" s="457"/>
      <c r="H418" s="457"/>
      <c r="I418" s="458"/>
      <c r="J418" s="457" t="s">
        <v>282</v>
      </c>
      <c r="K418" s="245"/>
      <c r="L418" s="257"/>
      <c r="M418" s="604" t="s">
        <v>283</v>
      </c>
      <c r="N418" s="592"/>
      <c r="O418" s="179"/>
      <c r="P418" s="180"/>
      <c r="Q418" s="180">
        <v>74100000</v>
      </c>
      <c r="R418" s="181">
        <f t="shared" si="116"/>
        <v>18.793655302549954</v>
      </c>
      <c r="S418" s="181">
        <v>100</v>
      </c>
      <c r="T418" s="180">
        <f t="shared" si="117"/>
        <v>71.905704453441302</v>
      </c>
      <c r="U418" s="180">
        <f t="shared" si="110"/>
        <v>13.51371023785007</v>
      </c>
      <c r="V418" s="182">
        <f t="shared" si="95"/>
        <v>28.094295546558698</v>
      </c>
      <c r="W418" s="180"/>
      <c r="X418" s="180"/>
      <c r="Y418" s="180"/>
      <c r="Z418" s="180"/>
      <c r="AA418" s="180"/>
      <c r="AB418" s="180"/>
      <c r="AC418" s="180"/>
      <c r="AD418" s="180"/>
      <c r="AE418" s="180"/>
      <c r="AF418" s="180"/>
      <c r="AG418" s="180"/>
      <c r="AH418" s="180"/>
      <c r="AI418" s="180">
        <f>14996000+33792152+4493975</f>
        <v>53282127</v>
      </c>
      <c r="AJ418" s="181">
        <f t="shared" si="114"/>
        <v>71.905704453441302</v>
      </c>
      <c r="AK418" s="180">
        <f t="shared" si="108"/>
        <v>20817873</v>
      </c>
      <c r="AL418" s="181">
        <f t="shared" si="115"/>
        <v>28.094295546558705</v>
      </c>
      <c r="AM418" s="243"/>
    </row>
    <row r="419" spans="1:39" ht="29.25" customHeight="1" x14ac:dyDescent="0.25">
      <c r="A419" s="243"/>
      <c r="B419" s="457"/>
      <c r="C419" s="457"/>
      <c r="D419" s="457"/>
      <c r="E419" s="457"/>
      <c r="F419" s="457"/>
      <c r="G419" s="457"/>
      <c r="H419" s="457"/>
      <c r="I419" s="458"/>
      <c r="J419" s="457" t="s">
        <v>320</v>
      </c>
      <c r="K419" s="245"/>
      <c r="L419" s="257"/>
      <c r="M419" s="604" t="s">
        <v>321</v>
      </c>
      <c r="N419" s="592"/>
      <c r="O419" s="179"/>
      <c r="P419" s="180"/>
      <c r="Q419" s="180">
        <v>26600000</v>
      </c>
      <c r="R419" s="181">
        <f t="shared" si="116"/>
        <v>6.7464403650179321</v>
      </c>
      <c r="S419" s="181">
        <v>100</v>
      </c>
      <c r="T419" s="180">
        <f t="shared" si="117"/>
        <v>26.691729323308273</v>
      </c>
      <c r="U419" s="180">
        <f t="shared" si="110"/>
        <v>1.800741601188997</v>
      </c>
      <c r="V419" s="182">
        <f t="shared" si="95"/>
        <v>73.308270676691734</v>
      </c>
      <c r="W419" s="180"/>
      <c r="X419" s="180"/>
      <c r="Y419" s="180"/>
      <c r="Z419" s="180"/>
      <c r="AA419" s="180"/>
      <c r="AB419" s="180"/>
      <c r="AC419" s="180"/>
      <c r="AD419" s="180"/>
      <c r="AE419" s="180"/>
      <c r="AF419" s="180"/>
      <c r="AG419" s="180"/>
      <c r="AH419" s="180"/>
      <c r="AI419" s="180">
        <v>7100000</v>
      </c>
      <c r="AJ419" s="181">
        <f t="shared" si="114"/>
        <v>26.691729323308273</v>
      </c>
      <c r="AK419" s="180">
        <f t="shared" si="108"/>
        <v>19500000</v>
      </c>
      <c r="AL419" s="181">
        <f t="shared" si="115"/>
        <v>73.308270676691734</v>
      </c>
      <c r="AM419" s="243"/>
    </row>
    <row r="420" spans="1:39" ht="29.25" customHeight="1" x14ac:dyDescent="0.25">
      <c r="A420" s="243"/>
      <c r="B420" s="457"/>
      <c r="C420" s="457"/>
      <c r="D420" s="457"/>
      <c r="E420" s="457"/>
      <c r="F420" s="457"/>
      <c r="G420" s="457"/>
      <c r="H420" s="457"/>
      <c r="I420" s="458"/>
      <c r="J420" s="457" t="s">
        <v>309</v>
      </c>
      <c r="K420" s="245"/>
      <c r="L420" s="257"/>
      <c r="M420" s="604" t="s">
        <v>611</v>
      </c>
      <c r="N420" s="592"/>
      <c r="O420" s="179"/>
      <c r="P420" s="180"/>
      <c r="Q420" s="180">
        <v>12900000</v>
      </c>
      <c r="R420" s="181">
        <f t="shared" si="116"/>
        <v>3.2717699514560645</v>
      </c>
      <c r="S420" s="181">
        <v>100</v>
      </c>
      <c r="T420" s="180">
        <f t="shared" si="117"/>
        <v>34.496124031007753</v>
      </c>
      <c r="U420" s="180">
        <f t="shared" si="110"/>
        <v>1.1286338204635262</v>
      </c>
      <c r="V420" s="182">
        <f t="shared" si="95"/>
        <v>65.503875968992247</v>
      </c>
      <c r="W420" s="180"/>
      <c r="X420" s="180"/>
      <c r="Y420" s="180"/>
      <c r="Z420" s="180"/>
      <c r="AA420" s="180"/>
      <c r="AB420" s="180"/>
      <c r="AC420" s="180"/>
      <c r="AD420" s="180"/>
      <c r="AE420" s="180"/>
      <c r="AF420" s="180"/>
      <c r="AG420" s="180"/>
      <c r="AH420" s="180"/>
      <c r="AI420" s="180">
        <v>4450000</v>
      </c>
      <c r="AJ420" s="181">
        <f t="shared" si="114"/>
        <v>34.496124031007753</v>
      </c>
      <c r="AK420" s="180">
        <f t="shared" si="108"/>
        <v>8450000</v>
      </c>
      <c r="AL420" s="181">
        <f t="shared" si="115"/>
        <v>65.503875968992247</v>
      </c>
      <c r="AM420" s="243"/>
    </row>
    <row r="421" spans="1:39" ht="29.25" customHeight="1" x14ac:dyDescent="0.25">
      <c r="A421" s="243"/>
      <c r="B421" s="457"/>
      <c r="C421" s="457"/>
      <c r="D421" s="457"/>
      <c r="E421" s="457"/>
      <c r="F421" s="457"/>
      <c r="G421" s="457"/>
      <c r="H421" s="457"/>
      <c r="I421" s="458"/>
      <c r="J421" s="457" t="s">
        <v>551</v>
      </c>
      <c r="K421" s="245"/>
      <c r="L421" s="257"/>
      <c r="M421" s="604" t="s">
        <v>550</v>
      </c>
      <c r="N421" s="592"/>
      <c r="O421" s="179"/>
      <c r="P421" s="180"/>
      <c r="Q421" s="180">
        <v>9600000</v>
      </c>
      <c r="R421" s="181">
        <f t="shared" si="116"/>
        <v>2.4348055452696293</v>
      </c>
      <c r="S421" s="181"/>
      <c r="T421" s="180">
        <f t="shared" si="117"/>
        <v>50</v>
      </c>
      <c r="U421" s="180">
        <f t="shared" si="110"/>
        <v>1.2174027726348147</v>
      </c>
      <c r="V421" s="182"/>
      <c r="W421" s="180"/>
      <c r="X421" s="180"/>
      <c r="Y421" s="180"/>
      <c r="Z421" s="180"/>
      <c r="AA421" s="180"/>
      <c r="AB421" s="180"/>
      <c r="AC421" s="180"/>
      <c r="AD421" s="180"/>
      <c r="AE421" s="180"/>
      <c r="AF421" s="180"/>
      <c r="AG421" s="180"/>
      <c r="AH421" s="180"/>
      <c r="AI421" s="180">
        <f>1600000+800000+800000+800000+800000</f>
        <v>4800000</v>
      </c>
      <c r="AJ421" s="181">
        <f t="shared" si="114"/>
        <v>50</v>
      </c>
      <c r="AK421" s="180">
        <f t="shared" si="108"/>
        <v>4800000</v>
      </c>
      <c r="AL421" s="181">
        <f t="shared" si="115"/>
        <v>50</v>
      </c>
      <c r="AM421" s="243"/>
    </row>
    <row r="422" spans="1:39" ht="29.25" customHeight="1" x14ac:dyDescent="0.25">
      <c r="A422" s="227">
        <v>53</v>
      </c>
      <c r="B422" s="457"/>
      <c r="C422" s="457"/>
      <c r="D422" s="457"/>
      <c r="E422" s="457"/>
      <c r="F422" s="457"/>
      <c r="G422" s="457"/>
      <c r="H422" s="457"/>
      <c r="I422" s="458"/>
      <c r="J422" s="304" t="s">
        <v>499</v>
      </c>
      <c r="K422" s="230"/>
      <c r="L422" s="294"/>
      <c r="M422" s="613" t="s">
        <v>500</v>
      </c>
      <c r="N422" s="613"/>
      <c r="O422" s="309">
        <v>252956000</v>
      </c>
      <c r="P422" s="231">
        <f>O422</f>
        <v>252956000</v>
      </c>
      <c r="Q422" s="231">
        <f>SUM(Q423:Q424)</f>
        <v>418500000</v>
      </c>
      <c r="R422" s="233">
        <f>Q422/Q$248*100</f>
        <v>3.5085969787315476</v>
      </c>
      <c r="S422" s="233">
        <v>100</v>
      </c>
      <c r="T422" s="231">
        <f t="shared" si="117"/>
        <v>35.121350059737154</v>
      </c>
      <c r="U422" s="231">
        <f t="shared" si="110"/>
        <v>1.2322666270856684</v>
      </c>
      <c r="V422" s="296">
        <f t="shared" ref="V422:V424" si="118">S422-T422</f>
        <v>64.878649940262846</v>
      </c>
      <c r="W422" s="231"/>
      <c r="X422" s="231" t="e">
        <f>#REF!</f>
        <v>#REF!</v>
      </c>
      <c r="Y422" s="231" t="e">
        <f>#REF!</f>
        <v>#REF!</v>
      </c>
      <c r="Z422" s="231" t="e">
        <f>#REF!</f>
        <v>#REF!</v>
      </c>
      <c r="AA422" s="231" t="e">
        <f>#REF!</f>
        <v>#REF!</v>
      </c>
      <c r="AB422" s="231">
        <v>58582925</v>
      </c>
      <c r="AC422" s="231" t="e">
        <f>#REF!</f>
        <v>#REF!</v>
      </c>
      <c r="AD422" s="231" t="e">
        <f>#REF!</f>
        <v>#REF!</v>
      </c>
      <c r="AE422" s="231" t="e">
        <f>#REF!</f>
        <v>#REF!</v>
      </c>
      <c r="AF422" s="231" t="e">
        <f>[1]April!N86</f>
        <v>#REF!</v>
      </c>
      <c r="AG422" s="231" t="e">
        <f>[2]april!N86</f>
        <v>#REF!</v>
      </c>
      <c r="AH422" s="231">
        <f>'[3]DES SKPD'!$N86</f>
        <v>126710000</v>
      </c>
      <c r="AI422" s="231">
        <f>SUM(AI423:AI424)</f>
        <v>146982850</v>
      </c>
      <c r="AJ422" s="233">
        <f t="shared" si="114"/>
        <v>35.121350059737154</v>
      </c>
      <c r="AK422" s="231">
        <f t="shared" si="108"/>
        <v>271517150</v>
      </c>
      <c r="AL422" s="233">
        <f t="shared" si="115"/>
        <v>64.878649940262846</v>
      </c>
      <c r="AM422" s="243"/>
    </row>
    <row r="423" spans="1:39" ht="29.25" customHeight="1" x14ac:dyDescent="0.25">
      <c r="A423" s="243"/>
      <c r="B423" s="457"/>
      <c r="C423" s="457"/>
      <c r="D423" s="457"/>
      <c r="E423" s="457"/>
      <c r="F423" s="457"/>
      <c r="G423" s="457"/>
      <c r="H423" s="457"/>
      <c r="I423" s="458"/>
      <c r="J423" s="457" t="s">
        <v>537</v>
      </c>
      <c r="K423" s="245"/>
      <c r="L423" s="257"/>
      <c r="M423" s="604" t="s">
        <v>605</v>
      </c>
      <c r="N423" s="592"/>
      <c r="O423" s="179"/>
      <c r="P423" s="180"/>
      <c r="Q423" s="180">
        <v>38500000</v>
      </c>
      <c r="R423" s="181">
        <f t="shared" ref="R423:R424" si="119">Q423/Q$422*100</f>
        <v>9.1995221027479097</v>
      </c>
      <c r="S423" s="181">
        <v>100</v>
      </c>
      <c r="T423" s="180">
        <f t="shared" si="117"/>
        <v>22.493506493506494</v>
      </c>
      <c r="U423" s="180">
        <f t="shared" si="110"/>
        <v>2.0692951015531662</v>
      </c>
      <c r="V423" s="182">
        <f t="shared" si="118"/>
        <v>77.506493506493513</v>
      </c>
      <c r="W423" s="180"/>
      <c r="X423" s="180"/>
      <c r="Y423" s="180"/>
      <c r="Z423" s="180"/>
      <c r="AA423" s="180"/>
      <c r="AB423" s="180"/>
      <c r="AC423" s="180"/>
      <c r="AD423" s="180"/>
      <c r="AE423" s="180"/>
      <c r="AF423" s="180"/>
      <c r="AG423" s="180"/>
      <c r="AH423" s="180"/>
      <c r="AI423" s="180">
        <f>8000000+660000</f>
        <v>8660000</v>
      </c>
      <c r="AJ423" s="181">
        <f t="shared" si="114"/>
        <v>22.493506493506494</v>
      </c>
      <c r="AK423" s="180">
        <f t="shared" si="108"/>
        <v>29840000</v>
      </c>
      <c r="AL423" s="181">
        <f t="shared" si="115"/>
        <v>77.506493506493499</v>
      </c>
      <c r="AM423" s="243"/>
    </row>
    <row r="424" spans="1:39" ht="29.25" customHeight="1" x14ac:dyDescent="0.25">
      <c r="A424" s="243"/>
      <c r="B424" s="457"/>
      <c r="C424" s="457"/>
      <c r="D424" s="457"/>
      <c r="E424" s="457"/>
      <c r="F424" s="457"/>
      <c r="G424" s="457"/>
      <c r="H424" s="457"/>
      <c r="I424" s="458"/>
      <c r="J424" s="457" t="s">
        <v>415</v>
      </c>
      <c r="K424" s="245"/>
      <c r="L424" s="257"/>
      <c r="M424" s="604" t="s">
        <v>303</v>
      </c>
      <c r="N424" s="592"/>
      <c r="O424" s="179"/>
      <c r="P424" s="180"/>
      <c r="Q424" s="180">
        <v>380000000</v>
      </c>
      <c r="R424" s="181">
        <f t="shared" si="119"/>
        <v>90.80047789725208</v>
      </c>
      <c r="S424" s="181">
        <v>100</v>
      </c>
      <c r="T424" s="180">
        <f t="shared" si="117"/>
        <v>36.400749999999995</v>
      </c>
      <c r="U424" s="180">
        <f t="shared" si="110"/>
        <v>33.05205495818398</v>
      </c>
      <c r="V424" s="182">
        <f t="shared" si="118"/>
        <v>63.599250000000005</v>
      </c>
      <c r="W424" s="180"/>
      <c r="X424" s="180"/>
      <c r="Y424" s="180"/>
      <c r="Z424" s="180"/>
      <c r="AA424" s="180"/>
      <c r="AB424" s="180"/>
      <c r="AC424" s="180"/>
      <c r="AD424" s="180"/>
      <c r="AE424" s="180"/>
      <c r="AF424" s="180"/>
      <c r="AG424" s="180"/>
      <c r="AH424" s="180"/>
      <c r="AI424" s="180">
        <v>138322850</v>
      </c>
      <c r="AJ424" s="181">
        <f t="shared" si="114"/>
        <v>36.400749999999995</v>
      </c>
      <c r="AK424" s="180">
        <f t="shared" si="108"/>
        <v>241677150</v>
      </c>
      <c r="AL424" s="181">
        <f t="shared" si="115"/>
        <v>63.599249999999998</v>
      </c>
      <c r="AM424" s="243"/>
    </row>
    <row r="425" spans="1:39" s="297" customFormat="1" ht="29.25" customHeight="1" x14ac:dyDescent="0.25">
      <c r="A425" s="227">
        <f>SUM(A422+1)</f>
        <v>54</v>
      </c>
      <c r="B425" s="615" t="s">
        <v>153</v>
      </c>
      <c r="C425" s="615"/>
      <c r="D425" s="615"/>
      <c r="E425" s="615"/>
      <c r="F425" s="615"/>
      <c r="G425" s="615"/>
      <c r="H425" s="615"/>
      <c r="I425" s="614"/>
      <c r="J425" s="304" t="s">
        <v>504</v>
      </c>
      <c r="K425" s="230"/>
      <c r="L425" s="294"/>
      <c r="M425" s="610" t="s">
        <v>53</v>
      </c>
      <c r="N425" s="610"/>
      <c r="O425" s="309">
        <v>420443450</v>
      </c>
      <c r="P425" s="231">
        <f>O425</f>
        <v>420443450</v>
      </c>
      <c r="Q425" s="231">
        <f>SUM(Q426:Q435)</f>
        <v>179508000</v>
      </c>
      <c r="R425" s="233">
        <f>Q425/Q$248*100</f>
        <v>1.5049491671640207</v>
      </c>
      <c r="S425" s="233">
        <v>100</v>
      </c>
      <c r="T425" s="231">
        <f t="shared" si="117"/>
        <v>0</v>
      </c>
      <c r="U425" s="231">
        <f t="shared" si="110"/>
        <v>0</v>
      </c>
      <c r="V425" s="296">
        <f t="shared" si="95"/>
        <v>100</v>
      </c>
      <c r="W425" s="231"/>
      <c r="X425" s="231" t="e">
        <f>#REF!</f>
        <v>#REF!</v>
      </c>
      <c r="Y425" s="231" t="e">
        <f>#REF!</f>
        <v>#REF!</v>
      </c>
      <c r="Z425" s="231" t="e">
        <f>#REF!</f>
        <v>#REF!</v>
      </c>
      <c r="AA425" s="231" t="e">
        <f>#REF!</f>
        <v>#REF!</v>
      </c>
      <c r="AB425" s="231">
        <v>55843500</v>
      </c>
      <c r="AC425" s="231" t="e">
        <f>#REF!</f>
        <v>#REF!</v>
      </c>
      <c r="AD425" s="231" t="e">
        <f>#REF!</f>
        <v>#REF!</v>
      </c>
      <c r="AE425" s="231" t="e">
        <f>#REF!</f>
        <v>#REF!</v>
      </c>
      <c r="AF425" s="231" t="e">
        <f>[1]April!N73</f>
        <v>#REF!</v>
      </c>
      <c r="AG425" s="231" t="e">
        <f>[2]april!N73</f>
        <v>#REF!</v>
      </c>
      <c r="AH425" s="231">
        <f>'[3]DES SKPD'!$N73</f>
        <v>192051900</v>
      </c>
      <c r="AI425" s="231">
        <f>SUM(AI426:AI435)</f>
        <v>0</v>
      </c>
      <c r="AJ425" s="233">
        <f t="shared" si="114"/>
        <v>0</v>
      </c>
      <c r="AK425" s="231">
        <f t="shared" ref="AK425:AK489" si="120">Q425-AI425</f>
        <v>179508000</v>
      </c>
      <c r="AL425" s="233">
        <f t="shared" si="115"/>
        <v>100</v>
      </c>
      <c r="AM425" s="227"/>
    </row>
    <row r="426" spans="1:39" ht="24.75" customHeight="1" x14ac:dyDescent="0.25">
      <c r="A426" s="243"/>
      <c r="B426" s="457"/>
      <c r="C426" s="457"/>
      <c r="D426" s="457"/>
      <c r="E426" s="457"/>
      <c r="F426" s="457"/>
      <c r="G426" s="457"/>
      <c r="H426" s="457"/>
      <c r="I426" s="458"/>
      <c r="J426" s="457" t="s">
        <v>273</v>
      </c>
      <c r="K426" s="245"/>
      <c r="L426" s="257"/>
      <c r="M426" s="591" t="s">
        <v>322</v>
      </c>
      <c r="N426" s="592"/>
      <c r="O426" s="179"/>
      <c r="P426" s="180"/>
      <c r="Q426" s="180">
        <v>20400000</v>
      </c>
      <c r="R426" s="181">
        <f t="shared" ref="R426:R435" si="121">Q426/Q$425*100</f>
        <v>11.364396015776455</v>
      </c>
      <c r="S426" s="181">
        <v>100</v>
      </c>
      <c r="T426" s="180">
        <f t="shared" si="117"/>
        <v>0</v>
      </c>
      <c r="U426" s="180">
        <f t="shared" si="110"/>
        <v>0</v>
      </c>
      <c r="V426" s="182">
        <f t="shared" si="95"/>
        <v>100</v>
      </c>
      <c r="W426" s="180"/>
      <c r="X426" s="180"/>
      <c r="Y426" s="180"/>
      <c r="Z426" s="180"/>
      <c r="AA426" s="180"/>
      <c r="AB426" s="180"/>
      <c r="AC426" s="180"/>
      <c r="AD426" s="180"/>
      <c r="AE426" s="180"/>
      <c r="AF426" s="180"/>
      <c r="AG426" s="180"/>
      <c r="AH426" s="180"/>
      <c r="AI426" s="180">
        <v>0</v>
      </c>
      <c r="AJ426" s="181">
        <f t="shared" si="114"/>
        <v>0</v>
      </c>
      <c r="AK426" s="180">
        <f t="shared" si="120"/>
        <v>20400000</v>
      </c>
      <c r="AL426" s="181">
        <f t="shared" si="115"/>
        <v>100</v>
      </c>
      <c r="AM426" s="243"/>
    </row>
    <row r="427" spans="1:39" ht="24.75" customHeight="1" x14ac:dyDescent="0.25">
      <c r="A427" s="243"/>
      <c r="B427" s="457"/>
      <c r="C427" s="457"/>
      <c r="D427" s="457"/>
      <c r="E427" s="457"/>
      <c r="F427" s="457"/>
      <c r="G427" s="457"/>
      <c r="H427" s="457"/>
      <c r="I427" s="458"/>
      <c r="J427" s="457" t="s">
        <v>323</v>
      </c>
      <c r="K427" s="245"/>
      <c r="L427" s="257"/>
      <c r="M427" s="591" t="s">
        <v>324</v>
      </c>
      <c r="N427" s="592"/>
      <c r="O427" s="179"/>
      <c r="P427" s="180"/>
      <c r="Q427" s="180">
        <v>8408000</v>
      </c>
      <c r="R427" s="181">
        <f t="shared" si="121"/>
        <v>4.6839138088553156</v>
      </c>
      <c r="S427" s="181">
        <v>100</v>
      </c>
      <c r="T427" s="180">
        <f t="shared" si="117"/>
        <v>0</v>
      </c>
      <c r="U427" s="180">
        <f t="shared" si="110"/>
        <v>0</v>
      </c>
      <c r="V427" s="182">
        <f t="shared" si="95"/>
        <v>100</v>
      </c>
      <c r="W427" s="180"/>
      <c r="X427" s="180"/>
      <c r="Y427" s="180"/>
      <c r="Z427" s="180"/>
      <c r="AA427" s="180"/>
      <c r="AB427" s="180"/>
      <c r="AC427" s="180"/>
      <c r="AD427" s="180"/>
      <c r="AE427" s="180"/>
      <c r="AF427" s="180"/>
      <c r="AG427" s="180"/>
      <c r="AH427" s="180"/>
      <c r="AI427" s="180">
        <v>0</v>
      </c>
      <c r="AJ427" s="181">
        <f t="shared" si="114"/>
        <v>0</v>
      </c>
      <c r="AK427" s="180">
        <f t="shared" si="120"/>
        <v>8408000</v>
      </c>
      <c r="AL427" s="181">
        <f t="shared" si="115"/>
        <v>100</v>
      </c>
      <c r="AM427" s="243"/>
    </row>
    <row r="428" spans="1:39" ht="24.75" customHeight="1" x14ac:dyDescent="0.25">
      <c r="A428" s="243"/>
      <c r="B428" s="457"/>
      <c r="C428" s="457"/>
      <c r="D428" s="457"/>
      <c r="E428" s="457"/>
      <c r="F428" s="457"/>
      <c r="G428" s="457"/>
      <c r="H428" s="457"/>
      <c r="I428" s="458"/>
      <c r="J428" s="457" t="s">
        <v>417</v>
      </c>
      <c r="K428" s="245"/>
      <c r="L428" s="257"/>
      <c r="M428" s="591" t="s">
        <v>408</v>
      </c>
      <c r="N428" s="592"/>
      <c r="O428" s="179"/>
      <c r="P428" s="180"/>
      <c r="Q428" s="180">
        <v>3000000</v>
      </c>
      <c r="R428" s="181">
        <f t="shared" si="121"/>
        <v>1.6712347082024199</v>
      </c>
      <c r="S428" s="181">
        <v>101</v>
      </c>
      <c r="T428" s="180">
        <f t="shared" si="117"/>
        <v>0</v>
      </c>
      <c r="U428" s="180">
        <f t="shared" si="110"/>
        <v>0</v>
      </c>
      <c r="V428" s="182">
        <f t="shared" si="95"/>
        <v>101</v>
      </c>
      <c r="W428" s="180"/>
      <c r="X428" s="180"/>
      <c r="Y428" s="180"/>
      <c r="Z428" s="180"/>
      <c r="AA428" s="180"/>
      <c r="AB428" s="180"/>
      <c r="AC428" s="180"/>
      <c r="AD428" s="180"/>
      <c r="AE428" s="180"/>
      <c r="AF428" s="180"/>
      <c r="AG428" s="180"/>
      <c r="AH428" s="180"/>
      <c r="AI428" s="180">
        <v>0</v>
      </c>
      <c r="AJ428" s="181">
        <f t="shared" si="114"/>
        <v>0</v>
      </c>
      <c r="AK428" s="180">
        <f t="shared" si="120"/>
        <v>3000000</v>
      </c>
      <c r="AL428" s="181">
        <f t="shared" si="115"/>
        <v>100</v>
      </c>
      <c r="AM428" s="243"/>
    </row>
    <row r="429" spans="1:39" ht="24.75" customHeight="1" x14ac:dyDescent="0.25">
      <c r="A429" s="243"/>
      <c r="B429" s="457"/>
      <c r="C429" s="457"/>
      <c r="D429" s="457"/>
      <c r="E429" s="457"/>
      <c r="F429" s="457"/>
      <c r="G429" s="457"/>
      <c r="H429" s="457"/>
      <c r="I429" s="458"/>
      <c r="J429" s="457" t="s">
        <v>315</v>
      </c>
      <c r="K429" s="245"/>
      <c r="L429" s="257"/>
      <c r="M429" s="591" t="s">
        <v>271</v>
      </c>
      <c r="N429" s="592"/>
      <c r="O429" s="179"/>
      <c r="P429" s="180"/>
      <c r="Q429" s="180">
        <v>4000000</v>
      </c>
      <c r="R429" s="181">
        <f t="shared" si="121"/>
        <v>2.2283129442698932</v>
      </c>
      <c r="S429" s="181">
        <v>100</v>
      </c>
      <c r="T429" s="180">
        <f t="shared" si="117"/>
        <v>0</v>
      </c>
      <c r="U429" s="180">
        <f t="shared" si="110"/>
        <v>0</v>
      </c>
      <c r="V429" s="182">
        <f t="shared" si="95"/>
        <v>100</v>
      </c>
      <c r="W429" s="180"/>
      <c r="X429" s="180"/>
      <c r="Y429" s="180"/>
      <c r="Z429" s="180"/>
      <c r="AA429" s="180"/>
      <c r="AB429" s="180"/>
      <c r="AC429" s="180"/>
      <c r="AD429" s="180"/>
      <c r="AE429" s="180"/>
      <c r="AF429" s="180"/>
      <c r="AG429" s="180"/>
      <c r="AH429" s="180"/>
      <c r="AI429" s="180">
        <v>0</v>
      </c>
      <c r="AJ429" s="181">
        <f t="shared" si="114"/>
        <v>0</v>
      </c>
      <c r="AK429" s="180">
        <f t="shared" si="120"/>
        <v>4000000</v>
      </c>
      <c r="AL429" s="181">
        <f t="shared" si="115"/>
        <v>100</v>
      </c>
      <c r="AM429" s="243"/>
    </row>
    <row r="430" spans="1:39" ht="29.25" customHeight="1" x14ac:dyDescent="0.25">
      <c r="A430" s="243"/>
      <c r="B430" s="457"/>
      <c r="C430" s="457"/>
      <c r="D430" s="457"/>
      <c r="E430" s="457"/>
      <c r="F430" s="457"/>
      <c r="G430" s="457"/>
      <c r="H430" s="457"/>
      <c r="I430" s="458"/>
      <c r="J430" s="457" t="s">
        <v>328</v>
      </c>
      <c r="K430" s="245"/>
      <c r="L430" s="257"/>
      <c r="M430" s="591" t="s">
        <v>329</v>
      </c>
      <c r="N430" s="592"/>
      <c r="O430" s="179"/>
      <c r="P430" s="180"/>
      <c r="Q430" s="180">
        <v>26000000</v>
      </c>
      <c r="R430" s="181">
        <f t="shared" si="121"/>
        <v>14.484034137754307</v>
      </c>
      <c r="S430" s="181">
        <v>100</v>
      </c>
      <c r="T430" s="180">
        <f t="shared" si="117"/>
        <v>0</v>
      </c>
      <c r="U430" s="180">
        <f t="shared" ref="U430:U672" si="122">R430*T430/100</f>
        <v>0</v>
      </c>
      <c r="V430" s="182">
        <f t="shared" si="95"/>
        <v>100</v>
      </c>
      <c r="W430" s="180"/>
      <c r="X430" s="180"/>
      <c r="Y430" s="180"/>
      <c r="Z430" s="180"/>
      <c r="AA430" s="180"/>
      <c r="AB430" s="180"/>
      <c r="AC430" s="180"/>
      <c r="AD430" s="180"/>
      <c r="AE430" s="180"/>
      <c r="AF430" s="180"/>
      <c r="AG430" s="180"/>
      <c r="AH430" s="180"/>
      <c r="AI430" s="180">
        <v>0</v>
      </c>
      <c r="AJ430" s="181">
        <f t="shared" si="114"/>
        <v>0</v>
      </c>
      <c r="AK430" s="180">
        <f t="shared" si="120"/>
        <v>26000000</v>
      </c>
      <c r="AL430" s="181">
        <f t="shared" si="115"/>
        <v>100</v>
      </c>
      <c r="AM430" s="243"/>
    </row>
    <row r="431" spans="1:39" ht="24.75" customHeight="1" x14ac:dyDescent="0.25">
      <c r="A431" s="243"/>
      <c r="B431" s="457"/>
      <c r="C431" s="457"/>
      <c r="D431" s="457"/>
      <c r="E431" s="457"/>
      <c r="F431" s="457"/>
      <c r="G431" s="457"/>
      <c r="H431" s="457"/>
      <c r="I431" s="458"/>
      <c r="J431" s="457" t="s">
        <v>280</v>
      </c>
      <c r="K431" s="245"/>
      <c r="L431" s="257"/>
      <c r="M431" s="591" t="s">
        <v>281</v>
      </c>
      <c r="N431" s="592"/>
      <c r="O431" s="179"/>
      <c r="P431" s="180"/>
      <c r="Q431" s="180">
        <v>48500000</v>
      </c>
      <c r="R431" s="181">
        <f t="shared" si="121"/>
        <v>27.018294449272457</v>
      </c>
      <c r="S431" s="181">
        <v>100</v>
      </c>
      <c r="T431" s="180">
        <f t="shared" si="117"/>
        <v>0</v>
      </c>
      <c r="U431" s="180">
        <f t="shared" si="122"/>
        <v>0</v>
      </c>
      <c r="V431" s="182">
        <f t="shared" si="95"/>
        <v>100</v>
      </c>
      <c r="W431" s="180"/>
      <c r="X431" s="180"/>
      <c r="Y431" s="180"/>
      <c r="Z431" s="180"/>
      <c r="AA431" s="180"/>
      <c r="AB431" s="180"/>
      <c r="AC431" s="180"/>
      <c r="AD431" s="180"/>
      <c r="AE431" s="180"/>
      <c r="AF431" s="180"/>
      <c r="AG431" s="180"/>
      <c r="AH431" s="180"/>
      <c r="AI431" s="180">
        <v>0</v>
      </c>
      <c r="AJ431" s="181">
        <f t="shared" si="114"/>
        <v>0</v>
      </c>
      <c r="AK431" s="180">
        <f t="shared" si="120"/>
        <v>48500000</v>
      </c>
      <c r="AL431" s="181">
        <f t="shared" si="115"/>
        <v>100</v>
      </c>
      <c r="AM431" s="243"/>
    </row>
    <row r="432" spans="1:39" ht="24.75" customHeight="1" x14ac:dyDescent="0.25">
      <c r="A432" s="243"/>
      <c r="B432" s="457"/>
      <c r="C432" s="457"/>
      <c r="D432" s="457"/>
      <c r="E432" s="457"/>
      <c r="F432" s="457"/>
      <c r="G432" s="457"/>
      <c r="H432" s="457"/>
      <c r="I432" s="458"/>
      <c r="J432" s="457" t="s">
        <v>284</v>
      </c>
      <c r="K432" s="245"/>
      <c r="L432" s="257"/>
      <c r="M432" s="591" t="s">
        <v>285</v>
      </c>
      <c r="N432" s="592"/>
      <c r="O432" s="179"/>
      <c r="P432" s="180"/>
      <c r="Q432" s="180">
        <v>10000000</v>
      </c>
      <c r="R432" s="181">
        <f t="shared" si="121"/>
        <v>5.5707823606747331</v>
      </c>
      <c r="S432" s="181">
        <v>100</v>
      </c>
      <c r="T432" s="180">
        <f t="shared" si="117"/>
        <v>0</v>
      </c>
      <c r="U432" s="180">
        <f t="shared" si="122"/>
        <v>0</v>
      </c>
      <c r="V432" s="182">
        <f t="shared" si="95"/>
        <v>100</v>
      </c>
      <c r="W432" s="180"/>
      <c r="X432" s="180"/>
      <c r="Y432" s="180"/>
      <c r="Z432" s="180"/>
      <c r="AA432" s="180"/>
      <c r="AB432" s="180"/>
      <c r="AC432" s="180"/>
      <c r="AD432" s="180"/>
      <c r="AE432" s="180"/>
      <c r="AF432" s="180"/>
      <c r="AG432" s="180"/>
      <c r="AH432" s="180"/>
      <c r="AI432" s="180">
        <v>0</v>
      </c>
      <c r="AJ432" s="181">
        <f t="shared" si="114"/>
        <v>0</v>
      </c>
      <c r="AK432" s="180">
        <f t="shared" si="120"/>
        <v>10000000</v>
      </c>
      <c r="AL432" s="181">
        <f t="shared" si="115"/>
        <v>100</v>
      </c>
      <c r="AM432" s="243"/>
    </row>
    <row r="433" spans="1:39" ht="24.75" customHeight="1" x14ac:dyDescent="0.25">
      <c r="A433" s="243"/>
      <c r="B433" s="457"/>
      <c r="C433" s="457"/>
      <c r="D433" s="457"/>
      <c r="E433" s="457"/>
      <c r="F433" s="457"/>
      <c r="G433" s="457"/>
      <c r="H433" s="457"/>
      <c r="I433" s="458"/>
      <c r="J433" s="457" t="s">
        <v>282</v>
      </c>
      <c r="K433" s="245"/>
      <c r="L433" s="257"/>
      <c r="M433" s="591" t="s">
        <v>283</v>
      </c>
      <c r="N433" s="592"/>
      <c r="O433" s="179"/>
      <c r="P433" s="180"/>
      <c r="Q433" s="180">
        <v>10000000</v>
      </c>
      <c r="R433" s="181">
        <f t="shared" si="121"/>
        <v>5.5707823606747331</v>
      </c>
      <c r="S433" s="181">
        <v>100</v>
      </c>
      <c r="T433" s="180">
        <f t="shared" si="117"/>
        <v>0</v>
      </c>
      <c r="U433" s="180">
        <f t="shared" si="122"/>
        <v>0</v>
      </c>
      <c r="V433" s="182">
        <f t="shared" si="95"/>
        <v>100</v>
      </c>
      <c r="W433" s="180"/>
      <c r="X433" s="180"/>
      <c r="Y433" s="180"/>
      <c r="Z433" s="180"/>
      <c r="AA433" s="180"/>
      <c r="AB433" s="180"/>
      <c r="AC433" s="180"/>
      <c r="AD433" s="180"/>
      <c r="AE433" s="180"/>
      <c r="AF433" s="180"/>
      <c r="AG433" s="180"/>
      <c r="AH433" s="180"/>
      <c r="AI433" s="180">
        <v>0</v>
      </c>
      <c r="AJ433" s="181">
        <f t="shared" si="114"/>
        <v>0</v>
      </c>
      <c r="AK433" s="180">
        <f t="shared" si="120"/>
        <v>10000000</v>
      </c>
      <c r="AL433" s="181">
        <f t="shared" si="115"/>
        <v>100</v>
      </c>
      <c r="AM433" s="243"/>
    </row>
    <row r="434" spans="1:39" ht="24.75" customHeight="1" x14ac:dyDescent="0.25">
      <c r="A434" s="243"/>
      <c r="B434" s="457"/>
      <c r="C434" s="457"/>
      <c r="D434" s="457"/>
      <c r="E434" s="457"/>
      <c r="F434" s="457"/>
      <c r="G434" s="457"/>
      <c r="H434" s="457"/>
      <c r="I434" s="458"/>
      <c r="J434" s="457" t="s">
        <v>309</v>
      </c>
      <c r="K434" s="245"/>
      <c r="L434" s="257"/>
      <c r="M434" s="591" t="s">
        <v>321</v>
      </c>
      <c r="N434" s="592"/>
      <c r="O434" s="179"/>
      <c r="P434" s="180"/>
      <c r="Q434" s="180">
        <v>39600000</v>
      </c>
      <c r="R434" s="181">
        <f t="shared" si="121"/>
        <v>22.060298148271944</v>
      </c>
      <c r="S434" s="181">
        <v>100</v>
      </c>
      <c r="T434" s="180">
        <f t="shared" si="117"/>
        <v>0</v>
      </c>
      <c r="U434" s="180">
        <f t="shared" si="122"/>
        <v>0</v>
      </c>
      <c r="V434" s="182">
        <f t="shared" si="95"/>
        <v>100</v>
      </c>
      <c r="W434" s="180"/>
      <c r="X434" s="180"/>
      <c r="Y434" s="180"/>
      <c r="Z434" s="180"/>
      <c r="AA434" s="180"/>
      <c r="AB434" s="180"/>
      <c r="AC434" s="180"/>
      <c r="AD434" s="180"/>
      <c r="AE434" s="180"/>
      <c r="AF434" s="180"/>
      <c r="AG434" s="180"/>
      <c r="AH434" s="180"/>
      <c r="AI434" s="180">
        <v>0</v>
      </c>
      <c r="AJ434" s="181">
        <f t="shared" si="114"/>
        <v>0</v>
      </c>
      <c r="AK434" s="180">
        <f t="shared" si="120"/>
        <v>39600000</v>
      </c>
      <c r="AL434" s="181">
        <f t="shared" si="115"/>
        <v>100</v>
      </c>
      <c r="AM434" s="243"/>
    </row>
    <row r="435" spans="1:39" ht="24.75" customHeight="1" x14ac:dyDescent="0.25">
      <c r="A435" s="243"/>
      <c r="B435" s="457"/>
      <c r="C435" s="457"/>
      <c r="D435" s="457"/>
      <c r="E435" s="457"/>
      <c r="F435" s="457"/>
      <c r="G435" s="457"/>
      <c r="H435" s="457"/>
      <c r="I435" s="458"/>
      <c r="J435" s="457" t="s">
        <v>407</v>
      </c>
      <c r="K435" s="245"/>
      <c r="L435" s="257"/>
      <c r="M435" s="591" t="s">
        <v>414</v>
      </c>
      <c r="N435" s="592"/>
      <c r="O435" s="179"/>
      <c r="P435" s="180"/>
      <c r="Q435" s="180">
        <v>9600000</v>
      </c>
      <c r="R435" s="181">
        <f t="shared" si="121"/>
        <v>5.3479510662477434</v>
      </c>
      <c r="S435" s="181"/>
      <c r="T435" s="180">
        <f t="shared" si="117"/>
        <v>0</v>
      </c>
      <c r="U435" s="180">
        <f t="shared" si="122"/>
        <v>0</v>
      </c>
      <c r="V435" s="182"/>
      <c r="W435" s="180"/>
      <c r="X435" s="180"/>
      <c r="Y435" s="180"/>
      <c r="Z435" s="180"/>
      <c r="AA435" s="180"/>
      <c r="AB435" s="180"/>
      <c r="AC435" s="180"/>
      <c r="AD435" s="180"/>
      <c r="AE435" s="180"/>
      <c r="AF435" s="180"/>
      <c r="AG435" s="180"/>
      <c r="AH435" s="180"/>
      <c r="AI435" s="180">
        <v>0</v>
      </c>
      <c r="AJ435" s="181">
        <f t="shared" si="114"/>
        <v>0</v>
      </c>
      <c r="AK435" s="180">
        <f t="shared" si="120"/>
        <v>9600000</v>
      </c>
      <c r="AL435" s="181">
        <f t="shared" si="115"/>
        <v>100</v>
      </c>
      <c r="AM435" s="243"/>
    </row>
    <row r="436" spans="1:39" s="297" customFormat="1" ht="24.75" customHeight="1" x14ac:dyDescent="0.25">
      <c r="A436" s="227">
        <f>A425+1</f>
        <v>55</v>
      </c>
      <c r="B436" s="615" t="s">
        <v>154</v>
      </c>
      <c r="C436" s="615"/>
      <c r="D436" s="615"/>
      <c r="E436" s="615"/>
      <c r="F436" s="615"/>
      <c r="G436" s="615"/>
      <c r="H436" s="615"/>
      <c r="I436" s="614"/>
      <c r="J436" s="304" t="s">
        <v>505</v>
      </c>
      <c r="K436" s="230"/>
      <c r="L436" s="294"/>
      <c r="M436" s="610" t="s">
        <v>54</v>
      </c>
      <c r="N436" s="610"/>
      <c r="O436" s="309">
        <v>255497500</v>
      </c>
      <c r="P436" s="231">
        <f>O436</f>
        <v>255497500</v>
      </c>
      <c r="Q436" s="231">
        <f>SUM(Q437:Q446)</f>
        <v>106437000</v>
      </c>
      <c r="R436" s="233">
        <f>Q436/Q$35*100</f>
        <v>0.33485230675987876</v>
      </c>
      <c r="S436" s="233">
        <v>100</v>
      </c>
      <c r="T436" s="231">
        <f t="shared" si="117"/>
        <v>14.848689835301634</v>
      </c>
      <c r="U436" s="231">
        <f t="shared" si="122"/>
        <v>4.9721180437127165E-2</v>
      </c>
      <c r="V436" s="296">
        <f t="shared" si="95"/>
        <v>85.151310164698373</v>
      </c>
      <c r="W436" s="231"/>
      <c r="X436" s="231" t="e">
        <f>#REF!</f>
        <v>#REF!</v>
      </c>
      <c r="Y436" s="231" t="e">
        <f>#REF!</f>
        <v>#REF!</v>
      </c>
      <c r="Z436" s="231" t="e">
        <f>#REF!</f>
        <v>#REF!</v>
      </c>
      <c r="AA436" s="231" t="e">
        <f>#REF!</f>
        <v>#REF!</v>
      </c>
      <c r="AB436" s="231">
        <v>62640000</v>
      </c>
      <c r="AC436" s="231" t="e">
        <f>#REF!</f>
        <v>#REF!</v>
      </c>
      <c r="AD436" s="231" t="e">
        <f>#REF!</f>
        <v>#REF!</v>
      </c>
      <c r="AE436" s="231" t="e">
        <f>#REF!</f>
        <v>#REF!</v>
      </c>
      <c r="AF436" s="231" t="e">
        <f>[1]April!N74</f>
        <v>#REF!</v>
      </c>
      <c r="AG436" s="231" t="e">
        <f>[2]april!N74</f>
        <v>#REF!</v>
      </c>
      <c r="AH436" s="231">
        <f>'[3]DES SKPD'!$N74</f>
        <v>327019800</v>
      </c>
      <c r="AI436" s="231">
        <f>SUM(AI437:AI446)</f>
        <v>15804500</v>
      </c>
      <c r="AJ436" s="233">
        <f t="shared" si="114"/>
        <v>14.848689835301634</v>
      </c>
      <c r="AK436" s="231">
        <f t="shared" si="120"/>
        <v>90632500</v>
      </c>
      <c r="AL436" s="233">
        <f t="shared" si="115"/>
        <v>85.151310164698373</v>
      </c>
      <c r="AM436" s="227"/>
    </row>
    <row r="437" spans="1:39" ht="24.75" customHeight="1" x14ac:dyDescent="0.25">
      <c r="A437" s="243"/>
      <c r="B437" s="457"/>
      <c r="C437" s="457"/>
      <c r="D437" s="457"/>
      <c r="E437" s="457"/>
      <c r="F437" s="457"/>
      <c r="G437" s="457"/>
      <c r="H437" s="457"/>
      <c r="I437" s="458"/>
      <c r="J437" s="457" t="s">
        <v>257</v>
      </c>
      <c r="K437" s="245"/>
      <c r="L437" s="257"/>
      <c r="M437" s="591" t="s">
        <v>324</v>
      </c>
      <c r="N437" s="592"/>
      <c r="O437" s="179"/>
      <c r="P437" s="180"/>
      <c r="Q437" s="180">
        <v>27357000</v>
      </c>
      <c r="R437" s="181">
        <f>Q437/Q$436*100</f>
        <v>25.702528256151524</v>
      </c>
      <c r="S437" s="181">
        <v>100</v>
      </c>
      <c r="T437" s="180">
        <f t="shared" si="117"/>
        <v>19.219943707277846</v>
      </c>
      <c r="U437" s="180">
        <f t="shared" si="122"/>
        <v>4.9400114621795055</v>
      </c>
      <c r="V437" s="182">
        <f t="shared" si="95"/>
        <v>80.780056292722151</v>
      </c>
      <c r="W437" s="180"/>
      <c r="X437" s="180"/>
      <c r="Y437" s="180"/>
      <c r="Z437" s="180"/>
      <c r="AA437" s="180"/>
      <c r="AB437" s="180"/>
      <c r="AC437" s="180"/>
      <c r="AD437" s="180"/>
      <c r="AE437" s="180"/>
      <c r="AF437" s="180"/>
      <c r="AG437" s="180"/>
      <c r="AH437" s="180"/>
      <c r="AI437" s="180">
        <v>5258000</v>
      </c>
      <c r="AJ437" s="181">
        <f t="shared" si="114"/>
        <v>19.219943707277846</v>
      </c>
      <c r="AK437" s="180">
        <f t="shared" si="120"/>
        <v>22099000</v>
      </c>
      <c r="AL437" s="181">
        <f t="shared" si="115"/>
        <v>80.780056292722151</v>
      </c>
      <c r="AM437" s="243"/>
    </row>
    <row r="438" spans="1:39" ht="24.75" customHeight="1" x14ac:dyDescent="0.25">
      <c r="A438" s="243"/>
      <c r="B438" s="457"/>
      <c r="C438" s="457"/>
      <c r="D438" s="457"/>
      <c r="E438" s="457"/>
      <c r="F438" s="457"/>
      <c r="G438" s="457"/>
      <c r="H438" s="457"/>
      <c r="I438" s="458"/>
      <c r="J438" s="457" t="s">
        <v>269</v>
      </c>
      <c r="K438" s="245"/>
      <c r="L438" s="257"/>
      <c r="M438" s="591" t="s">
        <v>270</v>
      </c>
      <c r="N438" s="592"/>
      <c r="O438" s="179"/>
      <c r="P438" s="180"/>
      <c r="Q438" s="180">
        <v>4500000</v>
      </c>
      <c r="R438" s="181">
        <f t="shared" ref="R438:R446" si="123">Q438/Q$436*100</f>
        <v>4.2278530961977507</v>
      </c>
      <c r="S438" s="181">
        <v>100</v>
      </c>
      <c r="T438" s="180">
        <f t="shared" si="117"/>
        <v>0</v>
      </c>
      <c r="U438" s="180">
        <f t="shared" si="122"/>
        <v>0</v>
      </c>
      <c r="V438" s="182">
        <f t="shared" si="95"/>
        <v>100</v>
      </c>
      <c r="W438" s="180"/>
      <c r="X438" s="180"/>
      <c r="Y438" s="180"/>
      <c r="Z438" s="180"/>
      <c r="AA438" s="180"/>
      <c r="AB438" s="180"/>
      <c r="AC438" s="180"/>
      <c r="AD438" s="180"/>
      <c r="AE438" s="180"/>
      <c r="AF438" s="180"/>
      <c r="AG438" s="180"/>
      <c r="AH438" s="180"/>
      <c r="AI438" s="180">
        <v>0</v>
      </c>
      <c r="AJ438" s="181">
        <f t="shared" si="114"/>
        <v>0</v>
      </c>
      <c r="AK438" s="180">
        <f t="shared" si="120"/>
        <v>4500000</v>
      </c>
      <c r="AL438" s="181">
        <f t="shared" si="115"/>
        <v>100</v>
      </c>
      <c r="AM438" s="243"/>
    </row>
    <row r="439" spans="1:39" ht="24.75" customHeight="1" x14ac:dyDescent="0.25">
      <c r="A439" s="243"/>
      <c r="B439" s="457"/>
      <c r="C439" s="457"/>
      <c r="D439" s="457"/>
      <c r="E439" s="457"/>
      <c r="F439" s="457"/>
      <c r="G439" s="457"/>
      <c r="H439" s="457"/>
      <c r="I439" s="458"/>
      <c r="J439" s="457" t="s">
        <v>315</v>
      </c>
      <c r="K439" s="245"/>
      <c r="L439" s="257"/>
      <c r="M439" s="591" t="s">
        <v>271</v>
      </c>
      <c r="N439" s="592"/>
      <c r="O439" s="179"/>
      <c r="P439" s="180"/>
      <c r="Q439" s="180">
        <v>1580000</v>
      </c>
      <c r="R439" s="181">
        <f t="shared" si="123"/>
        <v>1.4844461982205437</v>
      </c>
      <c r="S439" s="181">
        <v>100</v>
      </c>
      <c r="T439" s="180">
        <f t="shared" si="117"/>
        <v>0</v>
      </c>
      <c r="U439" s="180">
        <f t="shared" si="122"/>
        <v>0</v>
      </c>
      <c r="V439" s="182">
        <f t="shared" si="95"/>
        <v>100</v>
      </c>
      <c r="W439" s="180"/>
      <c r="X439" s="180"/>
      <c r="Y439" s="180"/>
      <c r="Z439" s="180"/>
      <c r="AA439" s="180"/>
      <c r="AB439" s="180"/>
      <c r="AC439" s="180"/>
      <c r="AD439" s="180"/>
      <c r="AE439" s="180"/>
      <c r="AF439" s="180"/>
      <c r="AG439" s="180"/>
      <c r="AH439" s="180"/>
      <c r="AI439" s="180">
        <v>0</v>
      </c>
      <c r="AJ439" s="181">
        <f t="shared" si="114"/>
        <v>0</v>
      </c>
      <c r="AK439" s="180">
        <f t="shared" si="120"/>
        <v>1580000</v>
      </c>
      <c r="AL439" s="181">
        <f t="shared" si="115"/>
        <v>100</v>
      </c>
      <c r="AM439" s="243"/>
    </row>
    <row r="440" spans="1:39" ht="24.75" customHeight="1" x14ac:dyDescent="0.25">
      <c r="A440" s="243"/>
      <c r="B440" s="457"/>
      <c r="C440" s="457"/>
      <c r="D440" s="457"/>
      <c r="E440" s="457"/>
      <c r="F440" s="457"/>
      <c r="G440" s="457"/>
      <c r="H440" s="457"/>
      <c r="I440" s="458"/>
      <c r="J440" s="457" t="s">
        <v>328</v>
      </c>
      <c r="K440" s="245"/>
      <c r="L440" s="257"/>
      <c r="M440" s="591" t="s">
        <v>612</v>
      </c>
      <c r="N440" s="592"/>
      <c r="O440" s="179"/>
      <c r="P440" s="180"/>
      <c r="Q440" s="180">
        <v>500000</v>
      </c>
      <c r="R440" s="181">
        <f t="shared" si="123"/>
        <v>0.46976145513308343</v>
      </c>
      <c r="S440" s="181">
        <v>100</v>
      </c>
      <c r="T440" s="180">
        <f t="shared" si="117"/>
        <v>0</v>
      </c>
      <c r="U440" s="180">
        <f t="shared" si="122"/>
        <v>0</v>
      </c>
      <c r="V440" s="182">
        <f t="shared" si="95"/>
        <v>100</v>
      </c>
      <c r="W440" s="180"/>
      <c r="X440" s="180"/>
      <c r="Y440" s="180"/>
      <c r="Z440" s="180"/>
      <c r="AA440" s="180"/>
      <c r="AB440" s="180"/>
      <c r="AC440" s="180"/>
      <c r="AD440" s="180"/>
      <c r="AE440" s="180"/>
      <c r="AF440" s="180"/>
      <c r="AG440" s="180"/>
      <c r="AH440" s="180"/>
      <c r="AI440" s="180">
        <v>0</v>
      </c>
      <c r="AJ440" s="181">
        <f t="shared" si="114"/>
        <v>0</v>
      </c>
      <c r="AK440" s="180">
        <f t="shared" si="120"/>
        <v>500000</v>
      </c>
      <c r="AL440" s="181">
        <f t="shared" si="115"/>
        <v>100</v>
      </c>
      <c r="AM440" s="243"/>
    </row>
    <row r="441" spans="1:39" ht="29.25" customHeight="1" x14ac:dyDescent="0.25">
      <c r="A441" s="243"/>
      <c r="B441" s="457"/>
      <c r="C441" s="457"/>
      <c r="D441" s="457"/>
      <c r="E441" s="457"/>
      <c r="F441" s="457"/>
      <c r="G441" s="457"/>
      <c r="H441" s="457"/>
      <c r="I441" s="458"/>
      <c r="J441" s="457" t="s">
        <v>339</v>
      </c>
      <c r="K441" s="245"/>
      <c r="L441" s="257"/>
      <c r="M441" s="591" t="s">
        <v>613</v>
      </c>
      <c r="N441" s="592"/>
      <c r="O441" s="179"/>
      <c r="P441" s="180"/>
      <c r="Q441" s="180">
        <v>9400000</v>
      </c>
      <c r="R441" s="181">
        <f t="shared" si="123"/>
        <v>8.8315153565019671</v>
      </c>
      <c r="S441" s="181">
        <v>100</v>
      </c>
      <c r="T441" s="180">
        <f t="shared" si="117"/>
        <v>0</v>
      </c>
      <c r="U441" s="180">
        <f t="shared" si="122"/>
        <v>0</v>
      </c>
      <c r="V441" s="182">
        <f t="shared" si="95"/>
        <v>100</v>
      </c>
      <c r="W441" s="180"/>
      <c r="X441" s="180"/>
      <c r="Y441" s="180"/>
      <c r="Z441" s="180"/>
      <c r="AA441" s="180"/>
      <c r="AB441" s="180"/>
      <c r="AC441" s="180"/>
      <c r="AD441" s="180"/>
      <c r="AE441" s="180"/>
      <c r="AF441" s="180"/>
      <c r="AG441" s="180"/>
      <c r="AH441" s="180"/>
      <c r="AI441" s="180">
        <v>0</v>
      </c>
      <c r="AJ441" s="181">
        <f t="shared" si="114"/>
        <v>0</v>
      </c>
      <c r="AK441" s="180">
        <f t="shared" si="120"/>
        <v>9400000</v>
      </c>
      <c r="AL441" s="181">
        <f t="shared" si="115"/>
        <v>100</v>
      </c>
      <c r="AM441" s="243"/>
    </row>
    <row r="442" spans="1:39" ht="24.75" customHeight="1" x14ac:dyDescent="0.25">
      <c r="A442" s="243"/>
      <c r="B442" s="457"/>
      <c r="C442" s="457"/>
      <c r="D442" s="457"/>
      <c r="E442" s="457"/>
      <c r="F442" s="457"/>
      <c r="G442" s="457"/>
      <c r="H442" s="457"/>
      <c r="I442" s="458"/>
      <c r="J442" s="457" t="s">
        <v>284</v>
      </c>
      <c r="K442" s="245"/>
      <c r="L442" s="257"/>
      <c r="M442" s="591" t="s">
        <v>319</v>
      </c>
      <c r="N442" s="592"/>
      <c r="O442" s="179"/>
      <c r="P442" s="180"/>
      <c r="Q442" s="180">
        <v>24500000</v>
      </c>
      <c r="R442" s="181">
        <f t="shared" si="123"/>
        <v>23.018311301521088</v>
      </c>
      <c r="S442" s="181">
        <v>100</v>
      </c>
      <c r="T442" s="180">
        <f t="shared" si="117"/>
        <v>0</v>
      </c>
      <c r="U442" s="180">
        <f t="shared" si="122"/>
        <v>0</v>
      </c>
      <c r="V442" s="182">
        <f t="shared" si="95"/>
        <v>100</v>
      </c>
      <c r="W442" s="180"/>
      <c r="X442" s="180"/>
      <c r="Y442" s="180"/>
      <c r="Z442" s="180"/>
      <c r="AA442" s="180"/>
      <c r="AB442" s="180"/>
      <c r="AC442" s="180"/>
      <c r="AD442" s="180"/>
      <c r="AE442" s="180"/>
      <c r="AF442" s="180"/>
      <c r="AG442" s="180"/>
      <c r="AH442" s="180"/>
      <c r="AI442" s="180">
        <v>0</v>
      </c>
      <c r="AJ442" s="181">
        <f t="shared" si="114"/>
        <v>0</v>
      </c>
      <c r="AK442" s="180">
        <f t="shared" si="120"/>
        <v>24500000</v>
      </c>
      <c r="AL442" s="181">
        <f t="shared" si="115"/>
        <v>100</v>
      </c>
      <c r="AM442" s="243"/>
    </row>
    <row r="443" spans="1:39" ht="24.75" customHeight="1" x14ac:dyDescent="0.25">
      <c r="A443" s="243"/>
      <c r="B443" s="457"/>
      <c r="C443" s="457"/>
      <c r="D443" s="457"/>
      <c r="E443" s="457"/>
      <c r="F443" s="457"/>
      <c r="G443" s="457"/>
      <c r="H443" s="457"/>
      <c r="I443" s="458"/>
      <c r="J443" s="457" t="s">
        <v>282</v>
      </c>
      <c r="K443" s="245"/>
      <c r="L443" s="257"/>
      <c r="M443" s="591" t="s">
        <v>585</v>
      </c>
      <c r="N443" s="592"/>
      <c r="O443" s="179"/>
      <c r="P443" s="180"/>
      <c r="Q443" s="180">
        <v>2500000</v>
      </c>
      <c r="R443" s="181">
        <f t="shared" si="123"/>
        <v>2.348807275665417</v>
      </c>
      <c r="S443" s="181">
        <v>100</v>
      </c>
      <c r="T443" s="180">
        <f t="shared" si="117"/>
        <v>0</v>
      </c>
      <c r="U443" s="180">
        <f t="shared" si="122"/>
        <v>0</v>
      </c>
      <c r="V443" s="182">
        <f t="shared" si="95"/>
        <v>100</v>
      </c>
      <c r="W443" s="180"/>
      <c r="X443" s="180"/>
      <c r="Y443" s="180"/>
      <c r="Z443" s="180"/>
      <c r="AA443" s="180"/>
      <c r="AB443" s="180"/>
      <c r="AC443" s="180"/>
      <c r="AD443" s="180"/>
      <c r="AE443" s="180"/>
      <c r="AF443" s="180"/>
      <c r="AG443" s="180"/>
      <c r="AH443" s="180"/>
      <c r="AI443" s="180">
        <v>0</v>
      </c>
      <c r="AJ443" s="181">
        <f t="shared" si="114"/>
        <v>0</v>
      </c>
      <c r="AK443" s="180">
        <f t="shared" si="120"/>
        <v>2500000</v>
      </c>
      <c r="AL443" s="181">
        <f t="shared" si="115"/>
        <v>100</v>
      </c>
      <c r="AM443" s="243"/>
    </row>
    <row r="444" spans="1:39" ht="24.75" customHeight="1" x14ac:dyDescent="0.25">
      <c r="A444" s="243"/>
      <c r="B444" s="457"/>
      <c r="C444" s="457"/>
      <c r="D444" s="457"/>
      <c r="E444" s="457"/>
      <c r="F444" s="457"/>
      <c r="G444" s="457"/>
      <c r="H444" s="457"/>
      <c r="I444" s="458"/>
      <c r="J444" s="457" t="s">
        <v>282</v>
      </c>
      <c r="K444" s="245"/>
      <c r="L444" s="257"/>
      <c r="M444" s="591" t="s">
        <v>503</v>
      </c>
      <c r="N444" s="592"/>
      <c r="O444" s="179"/>
      <c r="P444" s="180"/>
      <c r="Q444" s="180">
        <v>23900000</v>
      </c>
      <c r="R444" s="181">
        <f t="shared" si="123"/>
        <v>22.454597555361389</v>
      </c>
      <c r="S444" s="181">
        <v>100</v>
      </c>
      <c r="T444" s="180">
        <f t="shared" si="117"/>
        <v>44.127615062761507</v>
      </c>
      <c r="U444" s="180">
        <f t="shared" si="122"/>
        <v>9.9086783731221288</v>
      </c>
      <c r="V444" s="182">
        <f t="shared" si="95"/>
        <v>55.872384937238493</v>
      </c>
      <c r="W444" s="180"/>
      <c r="X444" s="180"/>
      <c r="Y444" s="180"/>
      <c r="Z444" s="180"/>
      <c r="AA444" s="180"/>
      <c r="AB444" s="180"/>
      <c r="AC444" s="180"/>
      <c r="AD444" s="180"/>
      <c r="AE444" s="180"/>
      <c r="AF444" s="180"/>
      <c r="AG444" s="180"/>
      <c r="AH444" s="180"/>
      <c r="AI444" s="180">
        <v>10546500</v>
      </c>
      <c r="AJ444" s="181">
        <f t="shared" si="114"/>
        <v>44.127615062761507</v>
      </c>
      <c r="AK444" s="180">
        <f t="shared" si="120"/>
        <v>13353500</v>
      </c>
      <c r="AL444" s="181">
        <f t="shared" si="115"/>
        <v>55.872384937238493</v>
      </c>
      <c r="AM444" s="243"/>
    </row>
    <row r="445" spans="1:39" ht="24.75" customHeight="1" x14ac:dyDescent="0.25">
      <c r="A445" s="243"/>
      <c r="B445" s="457"/>
      <c r="C445" s="457"/>
      <c r="D445" s="457"/>
      <c r="E445" s="457"/>
      <c r="F445" s="457"/>
      <c r="G445" s="457"/>
      <c r="H445" s="457"/>
      <c r="I445" s="458"/>
      <c r="J445" s="457" t="s">
        <v>320</v>
      </c>
      <c r="K445" s="245"/>
      <c r="L445" s="257"/>
      <c r="M445" s="591" t="s">
        <v>321</v>
      </c>
      <c r="N445" s="592"/>
      <c r="O445" s="179"/>
      <c r="P445" s="180"/>
      <c r="Q445" s="180">
        <v>7400000</v>
      </c>
      <c r="R445" s="181">
        <f t="shared" si="123"/>
        <v>6.9524695359696338</v>
      </c>
      <c r="S445" s="181">
        <v>100</v>
      </c>
      <c r="T445" s="180">
        <f t="shared" si="117"/>
        <v>0</v>
      </c>
      <c r="U445" s="180">
        <f t="shared" si="122"/>
        <v>0</v>
      </c>
      <c r="V445" s="182">
        <f t="shared" si="95"/>
        <v>100</v>
      </c>
      <c r="W445" s="180"/>
      <c r="X445" s="180"/>
      <c r="Y445" s="180"/>
      <c r="Z445" s="180"/>
      <c r="AA445" s="180"/>
      <c r="AB445" s="180"/>
      <c r="AC445" s="180"/>
      <c r="AD445" s="180"/>
      <c r="AE445" s="180"/>
      <c r="AF445" s="180"/>
      <c r="AG445" s="180"/>
      <c r="AH445" s="180"/>
      <c r="AI445" s="180">
        <v>0</v>
      </c>
      <c r="AJ445" s="181">
        <f t="shared" si="114"/>
        <v>0</v>
      </c>
      <c r="AK445" s="180">
        <f t="shared" si="120"/>
        <v>7400000</v>
      </c>
      <c r="AL445" s="181">
        <f t="shared" si="115"/>
        <v>100</v>
      </c>
      <c r="AM445" s="243"/>
    </row>
    <row r="446" spans="1:39" ht="24.75" customHeight="1" x14ac:dyDescent="0.25">
      <c r="A446" s="243"/>
      <c r="B446" s="457"/>
      <c r="C446" s="457"/>
      <c r="D446" s="457"/>
      <c r="E446" s="457"/>
      <c r="F446" s="457"/>
      <c r="G446" s="457"/>
      <c r="H446" s="457"/>
      <c r="I446" s="458"/>
      <c r="J446" s="457" t="s">
        <v>407</v>
      </c>
      <c r="K446" s="245"/>
      <c r="L446" s="257"/>
      <c r="M446" s="591" t="s">
        <v>614</v>
      </c>
      <c r="N446" s="592"/>
      <c r="O446" s="179"/>
      <c r="P446" s="180"/>
      <c r="Q446" s="180">
        <v>4800000</v>
      </c>
      <c r="R446" s="181">
        <f t="shared" si="123"/>
        <v>4.5097099692776013</v>
      </c>
      <c r="S446" s="181">
        <v>100</v>
      </c>
      <c r="T446" s="180">
        <f t="shared" si="117"/>
        <v>0</v>
      </c>
      <c r="U446" s="180">
        <f t="shared" si="122"/>
        <v>0</v>
      </c>
      <c r="V446" s="182">
        <f t="shared" si="95"/>
        <v>100</v>
      </c>
      <c r="W446" s="180"/>
      <c r="X446" s="180"/>
      <c r="Y446" s="180"/>
      <c r="Z446" s="180"/>
      <c r="AA446" s="180"/>
      <c r="AB446" s="180"/>
      <c r="AC446" s="180"/>
      <c r="AD446" s="180"/>
      <c r="AE446" s="180"/>
      <c r="AF446" s="180"/>
      <c r="AG446" s="180"/>
      <c r="AH446" s="180"/>
      <c r="AI446" s="180">
        <v>0</v>
      </c>
      <c r="AJ446" s="181">
        <f t="shared" si="114"/>
        <v>0</v>
      </c>
      <c r="AK446" s="180">
        <f t="shared" si="120"/>
        <v>4800000</v>
      </c>
      <c r="AL446" s="181">
        <f t="shared" si="115"/>
        <v>100</v>
      </c>
      <c r="AM446" s="243"/>
    </row>
    <row r="447" spans="1:39" s="297" customFormat="1" ht="28.5" customHeight="1" x14ac:dyDescent="0.25">
      <c r="A447" s="227">
        <f>A436+1</f>
        <v>56</v>
      </c>
      <c r="B447" s="618" t="s">
        <v>155</v>
      </c>
      <c r="C447" s="615"/>
      <c r="D447" s="615"/>
      <c r="E447" s="615"/>
      <c r="F447" s="615"/>
      <c r="G447" s="615"/>
      <c r="H447" s="615"/>
      <c r="I447" s="614"/>
      <c r="J447" s="304" t="s">
        <v>506</v>
      </c>
      <c r="K447" s="230"/>
      <c r="L447" s="294"/>
      <c r="M447" s="610" t="s">
        <v>55</v>
      </c>
      <c r="N447" s="612"/>
      <c r="O447" s="309">
        <v>589234000</v>
      </c>
      <c r="P447" s="231">
        <f>O447</f>
        <v>589234000</v>
      </c>
      <c r="Q447" s="231">
        <f>SUM(Q448:Q456)</f>
        <v>131960000</v>
      </c>
      <c r="R447" s="233">
        <f>Q447/Q$248*100</f>
        <v>1.1063188944167623</v>
      </c>
      <c r="S447" s="233">
        <v>100</v>
      </c>
      <c r="T447" s="231">
        <f t="shared" si="117"/>
        <v>96.007881176113969</v>
      </c>
      <c r="U447" s="231">
        <f t="shared" si="122"/>
        <v>1.062153329580543</v>
      </c>
      <c r="V447" s="296">
        <f t="shared" si="95"/>
        <v>3.992118823886031</v>
      </c>
      <c r="W447" s="231"/>
      <c r="X447" s="231" t="e">
        <f>#REF!</f>
        <v>#REF!</v>
      </c>
      <c r="Y447" s="231" t="e">
        <f>#REF!</f>
        <v>#REF!</v>
      </c>
      <c r="Z447" s="231" t="e">
        <f>#REF!</f>
        <v>#REF!</v>
      </c>
      <c r="AA447" s="231" t="e">
        <f>#REF!</f>
        <v>#REF!</v>
      </c>
      <c r="AB447" s="231">
        <v>371113894</v>
      </c>
      <c r="AC447" s="231" t="e">
        <f>#REF!</f>
        <v>#REF!</v>
      </c>
      <c r="AD447" s="231" t="e">
        <f>#REF!</f>
        <v>#REF!</v>
      </c>
      <c r="AE447" s="231" t="e">
        <f>#REF!</f>
        <v>#REF!</v>
      </c>
      <c r="AF447" s="231" t="e">
        <f>[1]April!N75</f>
        <v>#REF!</v>
      </c>
      <c r="AG447" s="231" t="e">
        <f>[2]april!N75</f>
        <v>#REF!</v>
      </c>
      <c r="AH447" s="231">
        <f>'[3]DES SKPD'!$N75</f>
        <v>574563894</v>
      </c>
      <c r="AI447" s="231">
        <f>SUM(AI448:AI456)</f>
        <v>126692000</v>
      </c>
      <c r="AJ447" s="233">
        <f t="shared" si="114"/>
        <v>96.007881176113969</v>
      </c>
      <c r="AK447" s="231">
        <f t="shared" si="120"/>
        <v>5268000</v>
      </c>
      <c r="AL447" s="233">
        <f t="shared" si="115"/>
        <v>3.9921188238860261</v>
      </c>
      <c r="AM447" s="227"/>
    </row>
    <row r="448" spans="1:39" ht="24.75" customHeight="1" x14ac:dyDescent="0.25">
      <c r="A448" s="243"/>
      <c r="B448" s="457"/>
      <c r="C448" s="457"/>
      <c r="D448" s="457"/>
      <c r="E448" s="457"/>
      <c r="F448" s="457"/>
      <c r="G448" s="457"/>
      <c r="H448" s="457"/>
      <c r="I448" s="458"/>
      <c r="J448" s="457" t="s">
        <v>259</v>
      </c>
      <c r="K448" s="245"/>
      <c r="L448" s="257"/>
      <c r="M448" s="591" t="s">
        <v>260</v>
      </c>
      <c r="N448" s="592"/>
      <c r="O448" s="179"/>
      <c r="P448" s="180"/>
      <c r="Q448" s="180">
        <v>1540000</v>
      </c>
      <c r="R448" s="181">
        <f t="shared" ref="R448:R456" si="124">Q448/Q$447*100</f>
        <v>1.1670203091846014</v>
      </c>
      <c r="S448" s="181">
        <v>100</v>
      </c>
      <c r="T448" s="180">
        <f t="shared" si="117"/>
        <v>50</v>
      </c>
      <c r="U448" s="180">
        <f t="shared" si="122"/>
        <v>0.58351015459230071</v>
      </c>
      <c r="V448" s="182">
        <f t="shared" si="95"/>
        <v>50</v>
      </c>
      <c r="W448" s="180"/>
      <c r="X448" s="180"/>
      <c r="Y448" s="180"/>
      <c r="Z448" s="180"/>
      <c r="AA448" s="180"/>
      <c r="AB448" s="180"/>
      <c r="AC448" s="180"/>
      <c r="AD448" s="180"/>
      <c r="AE448" s="180"/>
      <c r="AF448" s="180"/>
      <c r="AG448" s="180"/>
      <c r="AH448" s="180"/>
      <c r="AI448" s="180">
        <v>770000</v>
      </c>
      <c r="AJ448" s="181">
        <f t="shared" si="114"/>
        <v>50</v>
      </c>
      <c r="AK448" s="180">
        <f t="shared" si="120"/>
        <v>770000</v>
      </c>
      <c r="AL448" s="181">
        <f t="shared" si="115"/>
        <v>50</v>
      </c>
      <c r="AM448" s="243"/>
    </row>
    <row r="449" spans="1:39" ht="39" customHeight="1" x14ac:dyDescent="0.25">
      <c r="A449" s="243"/>
      <c r="B449" s="457"/>
      <c r="C449" s="457"/>
      <c r="D449" s="457"/>
      <c r="E449" s="457"/>
      <c r="F449" s="457"/>
      <c r="G449" s="457"/>
      <c r="H449" s="457"/>
      <c r="I449" s="458"/>
      <c r="J449" s="457" t="s">
        <v>345</v>
      </c>
      <c r="K449" s="245"/>
      <c r="L449" s="257"/>
      <c r="M449" s="591" t="s">
        <v>346</v>
      </c>
      <c r="N449" s="592"/>
      <c r="O449" s="179"/>
      <c r="P449" s="180"/>
      <c r="Q449" s="180">
        <v>1400000</v>
      </c>
      <c r="R449" s="181">
        <f t="shared" si="124"/>
        <v>1.0609275538041831</v>
      </c>
      <c r="S449" s="181">
        <v>100</v>
      </c>
      <c r="T449" s="180">
        <f t="shared" si="117"/>
        <v>100</v>
      </c>
      <c r="U449" s="180">
        <f t="shared" si="122"/>
        <v>1.0609275538041831</v>
      </c>
      <c r="V449" s="182">
        <f t="shared" si="95"/>
        <v>0</v>
      </c>
      <c r="W449" s="180"/>
      <c r="X449" s="180"/>
      <c r="Y449" s="180"/>
      <c r="Z449" s="180"/>
      <c r="AA449" s="180"/>
      <c r="AB449" s="180"/>
      <c r="AC449" s="180"/>
      <c r="AD449" s="180"/>
      <c r="AE449" s="180"/>
      <c r="AF449" s="180"/>
      <c r="AG449" s="180"/>
      <c r="AH449" s="180"/>
      <c r="AI449" s="180">
        <v>1400000</v>
      </c>
      <c r="AJ449" s="181">
        <f t="shared" si="114"/>
        <v>100</v>
      </c>
      <c r="AK449" s="180">
        <f t="shared" si="120"/>
        <v>0</v>
      </c>
      <c r="AL449" s="181">
        <f t="shared" si="115"/>
        <v>0</v>
      </c>
      <c r="AM449" s="243"/>
    </row>
    <row r="450" spans="1:39" ht="24.75" customHeight="1" x14ac:dyDescent="0.25">
      <c r="A450" s="243"/>
      <c r="B450" s="457"/>
      <c r="C450" s="457"/>
      <c r="D450" s="457"/>
      <c r="E450" s="457"/>
      <c r="F450" s="457"/>
      <c r="G450" s="457"/>
      <c r="H450" s="457"/>
      <c r="I450" s="458"/>
      <c r="J450" s="457" t="s">
        <v>315</v>
      </c>
      <c r="K450" s="245"/>
      <c r="L450" s="257"/>
      <c r="M450" s="591" t="s">
        <v>271</v>
      </c>
      <c r="N450" s="592"/>
      <c r="O450" s="179"/>
      <c r="P450" s="180"/>
      <c r="Q450" s="180">
        <v>3400000</v>
      </c>
      <c r="R450" s="181">
        <f t="shared" si="124"/>
        <v>2.5765383449530157</v>
      </c>
      <c r="S450" s="181">
        <v>100</v>
      </c>
      <c r="T450" s="180">
        <f t="shared" si="117"/>
        <v>100</v>
      </c>
      <c r="U450" s="180">
        <f t="shared" si="122"/>
        <v>2.5765383449530157</v>
      </c>
      <c r="V450" s="182">
        <f t="shared" si="95"/>
        <v>0</v>
      </c>
      <c r="W450" s="180"/>
      <c r="X450" s="180"/>
      <c r="Y450" s="180"/>
      <c r="Z450" s="180"/>
      <c r="AA450" s="180"/>
      <c r="AB450" s="180"/>
      <c r="AC450" s="180"/>
      <c r="AD450" s="180"/>
      <c r="AE450" s="180"/>
      <c r="AF450" s="180"/>
      <c r="AG450" s="180"/>
      <c r="AH450" s="180"/>
      <c r="AI450" s="180">
        <v>3400000</v>
      </c>
      <c r="AJ450" s="181">
        <f t="shared" si="114"/>
        <v>100</v>
      </c>
      <c r="AK450" s="180">
        <f t="shared" si="120"/>
        <v>0</v>
      </c>
      <c r="AL450" s="181">
        <f t="shared" si="115"/>
        <v>0</v>
      </c>
      <c r="AM450" s="243"/>
    </row>
    <row r="451" spans="1:39" ht="27.75" customHeight="1" x14ac:dyDescent="0.25">
      <c r="A451" s="243"/>
      <c r="B451" s="457"/>
      <c r="C451" s="457"/>
      <c r="D451" s="457"/>
      <c r="E451" s="457"/>
      <c r="F451" s="457"/>
      <c r="G451" s="457"/>
      <c r="H451" s="457"/>
      <c r="I451" s="458"/>
      <c r="J451" s="457" t="s">
        <v>318</v>
      </c>
      <c r="K451" s="245"/>
      <c r="L451" s="257"/>
      <c r="M451" s="591" t="s">
        <v>319</v>
      </c>
      <c r="N451" s="592"/>
      <c r="O451" s="179"/>
      <c r="P451" s="180"/>
      <c r="Q451" s="180">
        <v>64800000</v>
      </c>
      <c r="R451" s="181">
        <f t="shared" si="124"/>
        <v>49.105789633222194</v>
      </c>
      <c r="S451" s="181">
        <v>100</v>
      </c>
      <c r="T451" s="180">
        <f t="shared" si="117"/>
        <v>100</v>
      </c>
      <c r="U451" s="180">
        <f t="shared" si="122"/>
        <v>49.105789633222194</v>
      </c>
      <c r="V451" s="182">
        <f t="shared" si="95"/>
        <v>0</v>
      </c>
      <c r="W451" s="180"/>
      <c r="X451" s="180"/>
      <c r="Y451" s="180"/>
      <c r="Z451" s="180"/>
      <c r="AA451" s="180"/>
      <c r="AB451" s="180"/>
      <c r="AC451" s="180"/>
      <c r="AD451" s="180"/>
      <c r="AE451" s="180"/>
      <c r="AF451" s="180"/>
      <c r="AG451" s="180"/>
      <c r="AH451" s="180"/>
      <c r="AI451" s="180">
        <v>64800000</v>
      </c>
      <c r="AJ451" s="181">
        <f t="shared" si="114"/>
        <v>100</v>
      </c>
      <c r="AK451" s="180">
        <f t="shared" si="120"/>
        <v>0</v>
      </c>
      <c r="AL451" s="181">
        <f t="shared" si="115"/>
        <v>0</v>
      </c>
      <c r="AM451" s="243"/>
    </row>
    <row r="452" spans="1:39" ht="24.75" customHeight="1" x14ac:dyDescent="0.25">
      <c r="A452" s="243"/>
      <c r="B452" s="457"/>
      <c r="C452" s="457"/>
      <c r="D452" s="457"/>
      <c r="E452" s="457"/>
      <c r="F452" s="457"/>
      <c r="G452" s="457"/>
      <c r="H452" s="457"/>
      <c r="I452" s="458"/>
      <c r="J452" s="457" t="s">
        <v>330</v>
      </c>
      <c r="K452" s="245"/>
      <c r="L452" s="257"/>
      <c r="M452" s="591" t="s">
        <v>331</v>
      </c>
      <c r="N452" s="592"/>
      <c r="O452" s="179"/>
      <c r="P452" s="180"/>
      <c r="Q452" s="180">
        <v>12000000</v>
      </c>
      <c r="R452" s="181">
        <f t="shared" si="124"/>
        <v>9.0936647468929976</v>
      </c>
      <c r="S452" s="181">
        <v>100</v>
      </c>
      <c r="T452" s="180">
        <f t="shared" si="117"/>
        <v>100</v>
      </c>
      <c r="U452" s="180">
        <f t="shared" si="122"/>
        <v>9.0936647468929976</v>
      </c>
      <c r="V452" s="182">
        <f t="shared" si="95"/>
        <v>0</v>
      </c>
      <c r="W452" s="180"/>
      <c r="X452" s="180"/>
      <c r="Y452" s="180"/>
      <c r="Z452" s="180"/>
      <c r="AA452" s="180"/>
      <c r="AB452" s="180"/>
      <c r="AC452" s="180"/>
      <c r="AD452" s="180"/>
      <c r="AE452" s="180"/>
      <c r="AF452" s="180"/>
      <c r="AG452" s="180"/>
      <c r="AH452" s="180"/>
      <c r="AI452" s="180">
        <v>12000000</v>
      </c>
      <c r="AJ452" s="181">
        <f t="shared" si="114"/>
        <v>100</v>
      </c>
      <c r="AK452" s="180">
        <f t="shared" si="120"/>
        <v>0</v>
      </c>
      <c r="AL452" s="181">
        <f t="shared" si="115"/>
        <v>0</v>
      </c>
      <c r="AM452" s="243"/>
    </row>
    <row r="453" spans="1:39" ht="24.75" customHeight="1" x14ac:dyDescent="0.25">
      <c r="A453" s="243"/>
      <c r="B453" s="457"/>
      <c r="C453" s="457"/>
      <c r="D453" s="457"/>
      <c r="E453" s="457"/>
      <c r="F453" s="457"/>
      <c r="G453" s="457"/>
      <c r="H453" s="457"/>
      <c r="I453" s="458"/>
      <c r="J453" s="457" t="s">
        <v>284</v>
      </c>
      <c r="K453" s="245"/>
      <c r="L453" s="257"/>
      <c r="M453" s="591" t="s">
        <v>585</v>
      </c>
      <c r="N453" s="592"/>
      <c r="O453" s="179"/>
      <c r="P453" s="180"/>
      <c r="Q453" s="180">
        <v>300000</v>
      </c>
      <c r="R453" s="181">
        <f t="shared" si="124"/>
        <v>0.22734161867232497</v>
      </c>
      <c r="S453" s="181">
        <v>100</v>
      </c>
      <c r="T453" s="180">
        <f t="shared" si="117"/>
        <v>0</v>
      </c>
      <c r="U453" s="180">
        <f t="shared" si="122"/>
        <v>0</v>
      </c>
      <c r="V453" s="182">
        <f t="shared" si="95"/>
        <v>100</v>
      </c>
      <c r="W453" s="180"/>
      <c r="X453" s="180"/>
      <c r="Y453" s="180"/>
      <c r="Z453" s="180"/>
      <c r="AA453" s="180"/>
      <c r="AB453" s="180"/>
      <c r="AC453" s="180"/>
      <c r="AD453" s="180"/>
      <c r="AE453" s="180"/>
      <c r="AF453" s="180"/>
      <c r="AG453" s="180"/>
      <c r="AH453" s="180"/>
      <c r="AI453" s="180">
        <v>0</v>
      </c>
      <c r="AJ453" s="181">
        <f t="shared" si="114"/>
        <v>0</v>
      </c>
      <c r="AK453" s="180">
        <f t="shared" si="120"/>
        <v>300000</v>
      </c>
      <c r="AL453" s="181">
        <f t="shared" si="115"/>
        <v>100</v>
      </c>
      <c r="AM453" s="243"/>
    </row>
    <row r="454" spans="1:39" ht="24.75" customHeight="1" x14ac:dyDescent="0.25">
      <c r="A454" s="243"/>
      <c r="B454" s="457"/>
      <c r="C454" s="457"/>
      <c r="D454" s="457"/>
      <c r="E454" s="457"/>
      <c r="F454" s="457"/>
      <c r="G454" s="457"/>
      <c r="H454" s="457"/>
      <c r="I454" s="458"/>
      <c r="J454" s="457" t="s">
        <v>282</v>
      </c>
      <c r="K454" s="245"/>
      <c r="L454" s="257"/>
      <c r="M454" s="591" t="s">
        <v>503</v>
      </c>
      <c r="N454" s="592"/>
      <c r="O454" s="179"/>
      <c r="P454" s="180"/>
      <c r="Q454" s="180">
        <v>26720000</v>
      </c>
      <c r="R454" s="181">
        <f t="shared" si="124"/>
        <v>20.248560169748409</v>
      </c>
      <c r="S454" s="181">
        <v>100</v>
      </c>
      <c r="T454" s="180">
        <f t="shared" si="117"/>
        <v>94.019461077844312</v>
      </c>
      <c r="U454" s="180">
        <f t="shared" si="122"/>
        <v>19.037587147620492</v>
      </c>
      <c r="V454" s="182">
        <f t="shared" si="95"/>
        <v>5.9805389221556879</v>
      </c>
      <c r="W454" s="180"/>
      <c r="X454" s="180"/>
      <c r="Y454" s="180"/>
      <c r="Z454" s="180"/>
      <c r="AA454" s="180"/>
      <c r="AB454" s="180"/>
      <c r="AC454" s="180"/>
      <c r="AD454" s="180"/>
      <c r="AE454" s="180"/>
      <c r="AF454" s="180"/>
      <c r="AG454" s="180"/>
      <c r="AH454" s="180"/>
      <c r="AI454" s="180">
        <v>25122000</v>
      </c>
      <c r="AJ454" s="181">
        <f t="shared" si="114"/>
        <v>94.019461077844312</v>
      </c>
      <c r="AK454" s="180">
        <f t="shared" si="120"/>
        <v>1598000</v>
      </c>
      <c r="AL454" s="181">
        <f t="shared" si="115"/>
        <v>5.9805389221556888</v>
      </c>
      <c r="AM454" s="243"/>
    </row>
    <row r="455" spans="1:39" ht="24.75" customHeight="1" x14ac:dyDescent="0.25">
      <c r="A455" s="243"/>
      <c r="B455" s="457"/>
      <c r="C455" s="457"/>
      <c r="D455" s="457"/>
      <c r="E455" s="457"/>
      <c r="F455" s="457"/>
      <c r="G455" s="457"/>
      <c r="H455" s="457"/>
      <c r="I455" s="458"/>
      <c r="J455" s="457" t="s">
        <v>320</v>
      </c>
      <c r="K455" s="245"/>
      <c r="L455" s="257"/>
      <c r="M455" s="591" t="s">
        <v>321</v>
      </c>
      <c r="N455" s="592"/>
      <c r="O455" s="179"/>
      <c r="P455" s="180"/>
      <c r="Q455" s="180">
        <v>13800000</v>
      </c>
      <c r="R455" s="181">
        <f t="shared" si="124"/>
        <v>10.457714458926947</v>
      </c>
      <c r="S455" s="181">
        <v>100</v>
      </c>
      <c r="T455" s="180">
        <f t="shared" si="117"/>
        <v>95.652173913043484</v>
      </c>
      <c r="U455" s="180">
        <f t="shared" si="122"/>
        <v>10.003031221582297</v>
      </c>
      <c r="V455" s="182">
        <f t="shared" si="95"/>
        <v>4.3478260869565162</v>
      </c>
      <c r="W455" s="180"/>
      <c r="X455" s="180"/>
      <c r="Y455" s="180"/>
      <c r="Z455" s="180"/>
      <c r="AA455" s="180"/>
      <c r="AB455" s="180"/>
      <c r="AC455" s="180"/>
      <c r="AD455" s="180"/>
      <c r="AE455" s="180"/>
      <c r="AF455" s="180"/>
      <c r="AG455" s="180"/>
      <c r="AH455" s="180"/>
      <c r="AI455" s="180">
        <v>13200000</v>
      </c>
      <c r="AJ455" s="181">
        <f t="shared" si="114"/>
        <v>95.652173913043484</v>
      </c>
      <c r="AK455" s="180">
        <f t="shared" si="120"/>
        <v>600000</v>
      </c>
      <c r="AL455" s="181">
        <f t="shared" si="115"/>
        <v>4.3478260869565215</v>
      </c>
      <c r="AM455" s="243"/>
    </row>
    <row r="456" spans="1:39" ht="24.75" customHeight="1" x14ac:dyDescent="0.25">
      <c r="A456" s="243"/>
      <c r="B456" s="457"/>
      <c r="C456" s="457"/>
      <c r="D456" s="457"/>
      <c r="E456" s="457"/>
      <c r="F456" s="457"/>
      <c r="G456" s="457"/>
      <c r="H456" s="457"/>
      <c r="I456" s="458"/>
      <c r="J456" s="457" t="s">
        <v>407</v>
      </c>
      <c r="K456" s="245"/>
      <c r="L456" s="257"/>
      <c r="M456" s="591" t="s">
        <v>414</v>
      </c>
      <c r="N456" s="592"/>
      <c r="O456" s="179"/>
      <c r="P456" s="180"/>
      <c r="Q456" s="180">
        <v>8000000</v>
      </c>
      <c r="R456" s="181">
        <f t="shared" si="124"/>
        <v>6.0624431645953321</v>
      </c>
      <c r="S456" s="181"/>
      <c r="T456" s="180">
        <f t="shared" si="117"/>
        <v>75</v>
      </c>
      <c r="U456" s="180">
        <f t="shared" si="122"/>
        <v>4.5468323734464988</v>
      </c>
      <c r="V456" s="182"/>
      <c r="W456" s="180"/>
      <c r="X456" s="180"/>
      <c r="Y456" s="180"/>
      <c r="Z456" s="180"/>
      <c r="AA456" s="180"/>
      <c r="AB456" s="180"/>
      <c r="AC456" s="180"/>
      <c r="AD456" s="180"/>
      <c r="AE456" s="180"/>
      <c r="AF456" s="180"/>
      <c r="AG456" s="180"/>
      <c r="AH456" s="180"/>
      <c r="AI456" s="180">
        <v>6000000</v>
      </c>
      <c r="AJ456" s="181">
        <f t="shared" si="114"/>
        <v>75</v>
      </c>
      <c r="AK456" s="180">
        <f t="shared" si="120"/>
        <v>2000000</v>
      </c>
      <c r="AL456" s="181">
        <f t="shared" si="115"/>
        <v>25</v>
      </c>
      <c r="AM456" s="243"/>
    </row>
    <row r="457" spans="1:39" s="297" customFormat="1" ht="30" customHeight="1" x14ac:dyDescent="0.25">
      <c r="A457" s="227">
        <f>A447+1</f>
        <v>57</v>
      </c>
      <c r="B457" s="615" t="s">
        <v>156</v>
      </c>
      <c r="C457" s="615"/>
      <c r="D457" s="615"/>
      <c r="E457" s="615"/>
      <c r="F457" s="615"/>
      <c r="G457" s="615"/>
      <c r="H457" s="615"/>
      <c r="I457" s="614"/>
      <c r="J457" s="304" t="s">
        <v>507</v>
      </c>
      <c r="K457" s="230"/>
      <c r="L457" s="294"/>
      <c r="M457" s="610" t="s">
        <v>157</v>
      </c>
      <c r="N457" s="610"/>
      <c r="O457" s="309">
        <v>1493981000</v>
      </c>
      <c r="P457" s="231">
        <f>O457</f>
        <v>1493981000</v>
      </c>
      <c r="Q457" s="231">
        <f>SUM(Q458:Q465)</f>
        <v>759011476</v>
      </c>
      <c r="R457" s="233">
        <f>Q457/Q$248*100</f>
        <v>6.3633581159287287</v>
      </c>
      <c r="S457" s="233">
        <v>100</v>
      </c>
      <c r="T457" s="231">
        <f t="shared" si="117"/>
        <v>56.879904145217431</v>
      </c>
      <c r="U457" s="231">
        <f t="shared" si="122"/>
        <v>3.6194719967571745</v>
      </c>
      <c r="V457" s="296">
        <f t="shared" si="95"/>
        <v>43.120095854782569</v>
      </c>
      <c r="W457" s="231"/>
      <c r="X457" s="231" t="e">
        <f>#REF!</f>
        <v>#REF!</v>
      </c>
      <c r="Y457" s="231" t="e">
        <f>#REF!</f>
        <v>#REF!</v>
      </c>
      <c r="Z457" s="231" t="e">
        <f>#REF!</f>
        <v>#REF!</v>
      </c>
      <c r="AA457" s="231" t="e">
        <f>#REF!</f>
        <v>#REF!</v>
      </c>
      <c r="AB457" s="231">
        <v>366754000</v>
      </c>
      <c r="AC457" s="231" t="e">
        <f>#REF!</f>
        <v>#REF!</v>
      </c>
      <c r="AD457" s="231" t="e">
        <f>#REF!</f>
        <v>#REF!</v>
      </c>
      <c r="AE457" s="231" t="e">
        <f>#REF!</f>
        <v>#REF!</v>
      </c>
      <c r="AF457" s="231" t="e">
        <f>[1]April!N76</f>
        <v>#REF!</v>
      </c>
      <c r="AG457" s="231" t="e">
        <f>[2]april!N76</f>
        <v>#REF!</v>
      </c>
      <c r="AH457" s="231">
        <f>'[3]DES SKPD'!$N76</f>
        <v>1083037500</v>
      </c>
      <c r="AI457" s="231">
        <f>SUM(AI458:AI465)</f>
        <v>431725000</v>
      </c>
      <c r="AJ457" s="233">
        <f t="shared" si="114"/>
        <v>56.879904145217431</v>
      </c>
      <c r="AK457" s="231">
        <f>Q457-AI457</f>
        <v>327286476</v>
      </c>
      <c r="AL457" s="233">
        <f t="shared" si="115"/>
        <v>43.120095854782569</v>
      </c>
      <c r="AM457" s="227"/>
    </row>
    <row r="458" spans="1:39" ht="30" customHeight="1" x14ac:dyDescent="0.25">
      <c r="A458" s="243"/>
      <c r="B458" s="457"/>
      <c r="C458" s="457"/>
      <c r="D458" s="457"/>
      <c r="E458" s="457"/>
      <c r="F458" s="457"/>
      <c r="G458" s="457"/>
      <c r="H458" s="457"/>
      <c r="I458" s="458"/>
      <c r="J458" s="457" t="s">
        <v>259</v>
      </c>
      <c r="K458" s="245"/>
      <c r="L458" s="257"/>
      <c r="M458" s="591" t="s">
        <v>615</v>
      </c>
      <c r="N458" s="592"/>
      <c r="O458" s="179"/>
      <c r="P458" s="180"/>
      <c r="Q458" s="180">
        <v>3850000</v>
      </c>
      <c r="R458" s="181">
        <f t="shared" ref="R458:R465" si="125">Q458/Q$457*100</f>
        <v>0.5072387074158019</v>
      </c>
      <c r="S458" s="181">
        <v>100</v>
      </c>
      <c r="T458" s="180">
        <f t="shared" si="117"/>
        <v>60</v>
      </c>
      <c r="U458" s="180">
        <f t="shared" si="122"/>
        <v>0.30434322444948114</v>
      </c>
      <c r="V458" s="182">
        <f t="shared" si="95"/>
        <v>40</v>
      </c>
      <c r="W458" s="180"/>
      <c r="X458" s="180"/>
      <c r="Y458" s="180"/>
      <c r="Z458" s="180"/>
      <c r="AA458" s="180"/>
      <c r="AB458" s="180"/>
      <c r="AC458" s="180"/>
      <c r="AD458" s="180"/>
      <c r="AE458" s="180"/>
      <c r="AF458" s="180"/>
      <c r="AG458" s="180"/>
      <c r="AH458" s="180"/>
      <c r="AI458" s="180">
        <f>770000+1540000</f>
        <v>2310000</v>
      </c>
      <c r="AJ458" s="181">
        <f t="shared" si="114"/>
        <v>60</v>
      </c>
      <c r="AK458" s="180">
        <f t="shared" si="120"/>
        <v>1540000</v>
      </c>
      <c r="AL458" s="181">
        <f t="shared" si="115"/>
        <v>40</v>
      </c>
      <c r="AM458" s="243"/>
    </row>
    <row r="459" spans="1:39" ht="30" customHeight="1" x14ac:dyDescent="0.25">
      <c r="A459" s="243"/>
      <c r="B459" s="457"/>
      <c r="C459" s="457"/>
      <c r="D459" s="457"/>
      <c r="E459" s="457"/>
      <c r="F459" s="457"/>
      <c r="G459" s="457"/>
      <c r="H459" s="457"/>
      <c r="I459" s="458"/>
      <c r="J459" s="457" t="s">
        <v>269</v>
      </c>
      <c r="K459" s="245"/>
      <c r="L459" s="257"/>
      <c r="M459" s="591" t="s">
        <v>354</v>
      </c>
      <c r="N459" s="592"/>
      <c r="O459" s="179"/>
      <c r="P459" s="180"/>
      <c r="Q459" s="180">
        <v>155506476</v>
      </c>
      <c r="R459" s="181">
        <f t="shared" si="125"/>
        <v>20.488026982084786</v>
      </c>
      <c r="S459" s="181">
        <v>100</v>
      </c>
      <c r="T459" s="180">
        <f t="shared" si="117"/>
        <v>69.373316645668183</v>
      </c>
      <c r="U459" s="180">
        <f t="shared" si="122"/>
        <v>14.213223832731614</v>
      </c>
      <c r="V459" s="182">
        <f t="shared" si="95"/>
        <v>30.626683354331817</v>
      </c>
      <c r="W459" s="180"/>
      <c r="X459" s="180"/>
      <c r="Y459" s="180"/>
      <c r="Z459" s="180"/>
      <c r="AA459" s="180"/>
      <c r="AB459" s="180"/>
      <c r="AC459" s="180"/>
      <c r="AD459" s="180"/>
      <c r="AE459" s="180"/>
      <c r="AF459" s="180"/>
      <c r="AG459" s="180"/>
      <c r="AH459" s="180"/>
      <c r="AI459" s="180">
        <f>48600000+59280000</f>
        <v>107880000</v>
      </c>
      <c r="AJ459" s="181">
        <f t="shared" si="114"/>
        <v>69.373316645668183</v>
      </c>
      <c r="AK459" s="180">
        <f t="shared" si="120"/>
        <v>47626476</v>
      </c>
      <c r="AL459" s="181">
        <f t="shared" si="115"/>
        <v>30.626683354331817</v>
      </c>
      <c r="AM459" s="243"/>
    </row>
    <row r="460" spans="1:39" ht="30" customHeight="1" x14ac:dyDescent="0.25">
      <c r="A460" s="243"/>
      <c r="B460" s="457"/>
      <c r="C460" s="457"/>
      <c r="D460" s="457"/>
      <c r="E460" s="457"/>
      <c r="F460" s="457"/>
      <c r="G460" s="457"/>
      <c r="H460" s="457"/>
      <c r="I460" s="458"/>
      <c r="J460" s="457" t="s">
        <v>306</v>
      </c>
      <c r="K460" s="245"/>
      <c r="L460" s="257"/>
      <c r="M460" s="591" t="s">
        <v>352</v>
      </c>
      <c r="N460" s="592"/>
      <c r="O460" s="179"/>
      <c r="P460" s="180"/>
      <c r="Q460" s="180">
        <v>47955000</v>
      </c>
      <c r="R460" s="181">
        <f t="shared" si="125"/>
        <v>6.3180862893830607</v>
      </c>
      <c r="S460" s="181">
        <v>100</v>
      </c>
      <c r="T460" s="180">
        <f t="shared" si="117"/>
        <v>100</v>
      </c>
      <c r="U460" s="180">
        <f t="shared" si="122"/>
        <v>6.3180862893830616</v>
      </c>
      <c r="V460" s="182">
        <f t="shared" si="95"/>
        <v>0</v>
      </c>
      <c r="W460" s="180"/>
      <c r="X460" s="180"/>
      <c r="Y460" s="180"/>
      <c r="Z460" s="180"/>
      <c r="AA460" s="180"/>
      <c r="AB460" s="180"/>
      <c r="AC460" s="180"/>
      <c r="AD460" s="180"/>
      <c r="AE460" s="180"/>
      <c r="AF460" s="180"/>
      <c r="AG460" s="180"/>
      <c r="AH460" s="180"/>
      <c r="AI460" s="180">
        <v>47955000</v>
      </c>
      <c r="AJ460" s="181">
        <f t="shared" si="114"/>
        <v>100</v>
      </c>
      <c r="AK460" s="180">
        <f t="shared" si="120"/>
        <v>0</v>
      </c>
      <c r="AL460" s="181">
        <f t="shared" si="115"/>
        <v>0</v>
      </c>
      <c r="AM460" s="243"/>
    </row>
    <row r="461" spans="1:39" ht="30" customHeight="1" x14ac:dyDescent="0.25">
      <c r="A461" s="243"/>
      <c r="B461" s="457"/>
      <c r="C461" s="457"/>
      <c r="D461" s="457"/>
      <c r="E461" s="457"/>
      <c r="F461" s="457"/>
      <c r="G461" s="457"/>
      <c r="H461" s="457"/>
      <c r="I461" s="458"/>
      <c r="J461" s="457" t="s">
        <v>308</v>
      </c>
      <c r="K461" s="245"/>
      <c r="L461" s="257"/>
      <c r="M461" s="591" t="s">
        <v>612</v>
      </c>
      <c r="N461" s="592"/>
      <c r="O461" s="179"/>
      <c r="P461" s="180"/>
      <c r="Q461" s="180">
        <v>5000000</v>
      </c>
      <c r="R461" s="181">
        <f t="shared" si="125"/>
        <v>0.65875156807247004</v>
      </c>
      <c r="S461" s="181">
        <v>100</v>
      </c>
      <c r="T461" s="180">
        <f t="shared" si="117"/>
        <v>100</v>
      </c>
      <c r="U461" s="180">
        <f t="shared" si="122"/>
        <v>0.65875156807247004</v>
      </c>
      <c r="V461" s="182">
        <f t="shared" si="95"/>
        <v>0</v>
      </c>
      <c r="W461" s="180"/>
      <c r="X461" s="180"/>
      <c r="Y461" s="180"/>
      <c r="Z461" s="180"/>
      <c r="AA461" s="180"/>
      <c r="AB461" s="180"/>
      <c r="AC461" s="180"/>
      <c r="AD461" s="180"/>
      <c r="AE461" s="180"/>
      <c r="AF461" s="180"/>
      <c r="AG461" s="180"/>
      <c r="AH461" s="180"/>
      <c r="AI461" s="180">
        <v>5000000</v>
      </c>
      <c r="AJ461" s="181">
        <f t="shared" si="114"/>
        <v>100</v>
      </c>
      <c r="AK461" s="180">
        <f t="shared" si="120"/>
        <v>0</v>
      </c>
      <c r="AL461" s="181">
        <f t="shared" si="115"/>
        <v>0</v>
      </c>
      <c r="AM461" s="243"/>
    </row>
    <row r="462" spans="1:39" ht="30" customHeight="1" x14ac:dyDescent="0.25">
      <c r="A462" s="243"/>
      <c r="B462" s="457"/>
      <c r="C462" s="457"/>
      <c r="D462" s="457"/>
      <c r="E462" s="457"/>
      <c r="F462" s="457"/>
      <c r="G462" s="457"/>
      <c r="H462" s="457"/>
      <c r="I462" s="458"/>
      <c r="J462" s="457" t="s">
        <v>282</v>
      </c>
      <c r="K462" s="245"/>
      <c r="L462" s="257"/>
      <c r="M462" s="591" t="s">
        <v>616</v>
      </c>
      <c r="N462" s="592"/>
      <c r="O462" s="179"/>
      <c r="P462" s="180"/>
      <c r="Q462" s="180">
        <v>63700000</v>
      </c>
      <c r="R462" s="181">
        <f t="shared" si="125"/>
        <v>8.3924949772432687</v>
      </c>
      <c r="S462" s="181">
        <v>100</v>
      </c>
      <c r="T462" s="180">
        <f t="shared" si="117"/>
        <v>43.061224489795919</v>
      </c>
      <c r="U462" s="180">
        <f t="shared" si="122"/>
        <v>3.6139111024455706</v>
      </c>
      <c r="V462" s="182">
        <f t="shared" si="95"/>
        <v>56.938775510204081</v>
      </c>
      <c r="W462" s="180"/>
      <c r="X462" s="180"/>
      <c r="Y462" s="180"/>
      <c r="Z462" s="180"/>
      <c r="AA462" s="180"/>
      <c r="AB462" s="180"/>
      <c r="AC462" s="180"/>
      <c r="AD462" s="180"/>
      <c r="AE462" s="180"/>
      <c r="AF462" s="180"/>
      <c r="AG462" s="180"/>
      <c r="AH462" s="180"/>
      <c r="AI462" s="180">
        <v>27430000</v>
      </c>
      <c r="AJ462" s="181">
        <f t="shared" si="114"/>
        <v>43.061224489795919</v>
      </c>
      <c r="AK462" s="180">
        <f t="shared" si="120"/>
        <v>36270000</v>
      </c>
      <c r="AL462" s="181">
        <f t="shared" si="115"/>
        <v>56.938775510204088</v>
      </c>
      <c r="AM462" s="243"/>
    </row>
    <row r="463" spans="1:39" ht="30" customHeight="1" x14ac:dyDescent="0.25">
      <c r="A463" s="243"/>
      <c r="B463" s="457"/>
      <c r="C463" s="457"/>
      <c r="D463" s="457"/>
      <c r="E463" s="457"/>
      <c r="F463" s="457"/>
      <c r="G463" s="457"/>
      <c r="H463" s="457"/>
      <c r="I463" s="458"/>
      <c r="J463" s="457" t="s">
        <v>308</v>
      </c>
      <c r="K463" s="245"/>
      <c r="L463" s="257"/>
      <c r="M463" s="591" t="s">
        <v>601</v>
      </c>
      <c r="N463" s="592"/>
      <c r="O463" s="179"/>
      <c r="P463" s="180"/>
      <c r="Q463" s="180">
        <v>225000000</v>
      </c>
      <c r="R463" s="181">
        <f t="shared" si="125"/>
        <v>29.643820563261151</v>
      </c>
      <c r="S463" s="181">
        <v>100</v>
      </c>
      <c r="T463" s="180">
        <f t="shared" si="117"/>
        <v>30.733333333333334</v>
      </c>
      <c r="U463" s="180">
        <f t="shared" si="122"/>
        <v>9.1105341864422602</v>
      </c>
      <c r="V463" s="182">
        <f t="shared" si="95"/>
        <v>69.266666666666666</v>
      </c>
      <c r="W463" s="180"/>
      <c r="X463" s="180"/>
      <c r="Y463" s="180"/>
      <c r="Z463" s="180"/>
      <c r="AA463" s="180"/>
      <c r="AB463" s="180"/>
      <c r="AC463" s="180"/>
      <c r="AD463" s="180"/>
      <c r="AE463" s="180"/>
      <c r="AF463" s="180"/>
      <c r="AG463" s="180"/>
      <c r="AH463" s="180"/>
      <c r="AI463" s="180">
        <f>49500000+19650000</f>
        <v>69150000</v>
      </c>
      <c r="AJ463" s="181">
        <f t="shared" si="114"/>
        <v>30.733333333333334</v>
      </c>
      <c r="AK463" s="180">
        <f t="shared" si="120"/>
        <v>155850000</v>
      </c>
      <c r="AL463" s="181">
        <f t="shared" si="115"/>
        <v>69.266666666666666</v>
      </c>
      <c r="AM463" s="243"/>
    </row>
    <row r="464" spans="1:39" ht="30" customHeight="1" x14ac:dyDescent="0.25">
      <c r="A464" s="243"/>
      <c r="B464" s="457"/>
      <c r="C464" s="457"/>
      <c r="D464" s="457"/>
      <c r="E464" s="457"/>
      <c r="F464" s="457"/>
      <c r="G464" s="457"/>
      <c r="H464" s="457"/>
      <c r="I464" s="458"/>
      <c r="J464" s="457" t="s">
        <v>309</v>
      </c>
      <c r="K464" s="245"/>
      <c r="L464" s="257"/>
      <c r="M464" s="591" t="s">
        <v>310</v>
      </c>
      <c r="N464" s="592"/>
      <c r="O464" s="179"/>
      <c r="P464" s="180"/>
      <c r="Q464" s="180">
        <v>28500000</v>
      </c>
      <c r="R464" s="181">
        <f t="shared" si="125"/>
        <v>3.7548839380130796</v>
      </c>
      <c r="S464" s="181">
        <v>100</v>
      </c>
      <c r="T464" s="180">
        <f t="shared" si="117"/>
        <v>66.666666666666657</v>
      </c>
      <c r="U464" s="180">
        <f t="shared" si="122"/>
        <v>2.503255958675386</v>
      </c>
      <c r="V464" s="182">
        <f t="shared" si="95"/>
        <v>33.333333333333343</v>
      </c>
      <c r="W464" s="180"/>
      <c r="X464" s="180"/>
      <c r="Y464" s="180"/>
      <c r="Z464" s="180"/>
      <c r="AA464" s="180"/>
      <c r="AB464" s="180"/>
      <c r="AC464" s="180"/>
      <c r="AD464" s="180"/>
      <c r="AE464" s="180"/>
      <c r="AF464" s="180"/>
      <c r="AG464" s="180"/>
      <c r="AH464" s="180"/>
      <c r="AI464" s="180">
        <v>19000000</v>
      </c>
      <c r="AJ464" s="181">
        <f t="shared" si="114"/>
        <v>66.666666666666657</v>
      </c>
      <c r="AK464" s="180">
        <f t="shared" si="120"/>
        <v>9500000</v>
      </c>
      <c r="AL464" s="181">
        <f t="shared" si="115"/>
        <v>33.333333333333329</v>
      </c>
      <c r="AM464" s="243"/>
    </row>
    <row r="465" spans="1:39" ht="30" customHeight="1" x14ac:dyDescent="0.25">
      <c r="A465" s="243"/>
      <c r="B465" s="457"/>
      <c r="C465" s="457"/>
      <c r="D465" s="457"/>
      <c r="E465" s="457"/>
      <c r="F465" s="457"/>
      <c r="G465" s="457"/>
      <c r="H465" s="457"/>
      <c r="I465" s="458"/>
      <c r="J465" s="457" t="s">
        <v>551</v>
      </c>
      <c r="K465" s="245"/>
      <c r="L465" s="257"/>
      <c r="M465" s="591" t="s">
        <v>550</v>
      </c>
      <c r="N465" s="592"/>
      <c r="O465" s="179"/>
      <c r="P465" s="180"/>
      <c r="Q465" s="180">
        <v>229500000</v>
      </c>
      <c r="R465" s="181">
        <f t="shared" si="125"/>
        <v>30.236696974526378</v>
      </c>
      <c r="S465" s="181">
        <v>100</v>
      </c>
      <c r="T465" s="180">
        <f t="shared" si="117"/>
        <v>66.666666666666657</v>
      </c>
      <c r="U465" s="180">
        <f t="shared" si="122"/>
        <v>20.157797983017584</v>
      </c>
      <c r="V465" s="182">
        <f t="shared" si="95"/>
        <v>33.333333333333343</v>
      </c>
      <c r="W465" s="180"/>
      <c r="X465" s="180"/>
      <c r="Y465" s="180"/>
      <c r="Z465" s="180"/>
      <c r="AA465" s="180"/>
      <c r="AB465" s="180"/>
      <c r="AC465" s="180"/>
      <c r="AD465" s="180"/>
      <c r="AE465" s="180"/>
      <c r="AF465" s="180"/>
      <c r="AG465" s="180"/>
      <c r="AH465" s="180"/>
      <c r="AI465" s="180">
        <f>51000000+25500000+25500000+25500000+25500000</f>
        <v>153000000</v>
      </c>
      <c r="AJ465" s="181">
        <f t="shared" si="114"/>
        <v>66.666666666666657</v>
      </c>
      <c r="AK465" s="180">
        <f t="shared" si="120"/>
        <v>76500000</v>
      </c>
      <c r="AL465" s="181">
        <f t="shared" si="115"/>
        <v>33.333333333333329</v>
      </c>
      <c r="AM465" s="243"/>
    </row>
    <row r="466" spans="1:39" s="297" customFormat="1" ht="31.5" customHeight="1" x14ac:dyDescent="0.25">
      <c r="A466" s="227">
        <f>A457+1</f>
        <v>58</v>
      </c>
      <c r="B466" s="615" t="s">
        <v>158</v>
      </c>
      <c r="C466" s="615"/>
      <c r="D466" s="615"/>
      <c r="E466" s="615"/>
      <c r="F466" s="615"/>
      <c r="G466" s="615"/>
      <c r="H466" s="615"/>
      <c r="I466" s="614"/>
      <c r="J466" s="304" t="s">
        <v>508</v>
      </c>
      <c r="K466" s="230"/>
      <c r="L466" s="294"/>
      <c r="M466" s="609" t="s">
        <v>159</v>
      </c>
      <c r="N466" s="609"/>
      <c r="O466" s="309">
        <v>355300000</v>
      </c>
      <c r="P466" s="231">
        <f>O466</f>
        <v>355300000</v>
      </c>
      <c r="Q466" s="231">
        <f>SUM(Q467:Q475)</f>
        <v>83400000</v>
      </c>
      <c r="R466" s="233">
        <f>Q466/Q$35*100</f>
        <v>0.26237757907282139</v>
      </c>
      <c r="S466" s="233">
        <v>100</v>
      </c>
      <c r="T466" s="231">
        <f t="shared" si="117"/>
        <v>3.1175059952038371</v>
      </c>
      <c r="U466" s="231">
        <f t="shared" si="122"/>
        <v>8.1796367576658941E-3</v>
      </c>
      <c r="V466" s="296">
        <f t="shared" si="95"/>
        <v>96.882494004796158</v>
      </c>
      <c r="W466" s="231"/>
      <c r="X466" s="231" t="e">
        <f>#REF!</f>
        <v>#REF!</v>
      </c>
      <c r="Y466" s="231" t="e">
        <f>#REF!</f>
        <v>#REF!</v>
      </c>
      <c r="Z466" s="231" t="e">
        <f>#REF!</f>
        <v>#REF!</v>
      </c>
      <c r="AA466" s="231" t="e">
        <f>#REF!</f>
        <v>#REF!</v>
      </c>
      <c r="AB466" s="231">
        <v>131395500</v>
      </c>
      <c r="AC466" s="231" t="e">
        <f>#REF!</f>
        <v>#REF!</v>
      </c>
      <c r="AD466" s="231" t="e">
        <f>#REF!</f>
        <v>#REF!</v>
      </c>
      <c r="AE466" s="231" t="e">
        <f>#REF!</f>
        <v>#REF!</v>
      </c>
      <c r="AF466" s="231" t="e">
        <f>[1]April!N67</f>
        <v>#REF!</v>
      </c>
      <c r="AG466" s="231" t="e">
        <f>[2]april!N77</f>
        <v>#REF!</v>
      </c>
      <c r="AH466" s="231">
        <f>'[3]DES SKPD'!$N77</f>
        <v>318242454</v>
      </c>
      <c r="AI466" s="231">
        <f>SUM(AI467:AI475)</f>
        <v>2600000</v>
      </c>
      <c r="AJ466" s="233">
        <f t="shared" si="114"/>
        <v>3.1175059952038371</v>
      </c>
      <c r="AK466" s="231">
        <f t="shared" si="120"/>
        <v>80800000</v>
      </c>
      <c r="AL466" s="233">
        <f t="shared" si="115"/>
        <v>96.882494004796158</v>
      </c>
      <c r="AM466" s="227"/>
    </row>
    <row r="467" spans="1:39" ht="24.75" customHeight="1" x14ac:dyDescent="0.25">
      <c r="A467" s="243"/>
      <c r="B467" s="457"/>
      <c r="C467" s="457"/>
      <c r="D467" s="457"/>
      <c r="E467" s="457"/>
      <c r="F467" s="457"/>
      <c r="G467" s="457"/>
      <c r="H467" s="457"/>
      <c r="I467" s="458"/>
      <c r="J467" s="457" t="s">
        <v>257</v>
      </c>
      <c r="K467" s="245"/>
      <c r="L467" s="257"/>
      <c r="M467" s="591" t="s">
        <v>258</v>
      </c>
      <c r="N467" s="592"/>
      <c r="O467" s="179"/>
      <c r="P467" s="180"/>
      <c r="Q467" s="180">
        <v>2600000</v>
      </c>
      <c r="R467" s="181">
        <f>Q467/Q$466*100</f>
        <v>3.1175059952038371</v>
      </c>
      <c r="S467" s="181">
        <v>100</v>
      </c>
      <c r="T467" s="180">
        <f t="shared" si="117"/>
        <v>0</v>
      </c>
      <c r="U467" s="180">
        <f t="shared" si="122"/>
        <v>0</v>
      </c>
      <c r="V467" s="182">
        <f t="shared" si="95"/>
        <v>100</v>
      </c>
      <c r="W467" s="180"/>
      <c r="X467" s="180"/>
      <c r="Y467" s="180"/>
      <c r="Z467" s="180"/>
      <c r="AA467" s="180"/>
      <c r="AB467" s="180"/>
      <c r="AC467" s="180"/>
      <c r="AD467" s="180"/>
      <c r="AE467" s="180"/>
      <c r="AF467" s="180"/>
      <c r="AG467" s="180"/>
      <c r="AH467" s="180"/>
      <c r="AI467" s="180">
        <v>0</v>
      </c>
      <c r="AJ467" s="181">
        <f t="shared" si="114"/>
        <v>0</v>
      </c>
      <c r="AK467" s="180">
        <f t="shared" si="120"/>
        <v>2600000</v>
      </c>
      <c r="AL467" s="181">
        <f t="shared" si="115"/>
        <v>100</v>
      </c>
      <c r="AM467" s="243"/>
    </row>
    <row r="468" spans="1:39" ht="24.75" customHeight="1" x14ac:dyDescent="0.25">
      <c r="A468" s="243"/>
      <c r="B468" s="457"/>
      <c r="C468" s="457"/>
      <c r="D468" s="457"/>
      <c r="E468" s="457"/>
      <c r="F468" s="457"/>
      <c r="G468" s="457"/>
      <c r="H468" s="457"/>
      <c r="I468" s="458"/>
      <c r="J468" s="457" t="s">
        <v>269</v>
      </c>
      <c r="K468" s="245"/>
      <c r="L468" s="257"/>
      <c r="M468" s="591" t="s">
        <v>352</v>
      </c>
      <c r="N468" s="592"/>
      <c r="O468" s="179"/>
      <c r="P468" s="180"/>
      <c r="Q468" s="180">
        <v>3000000</v>
      </c>
      <c r="R468" s="181">
        <f t="shared" ref="R468:R475" si="126">Q468/Q$466*100</f>
        <v>3.5971223021582732</v>
      </c>
      <c r="S468" s="181">
        <v>100</v>
      </c>
      <c r="T468" s="180">
        <f t="shared" si="117"/>
        <v>0</v>
      </c>
      <c r="U468" s="180">
        <f t="shared" si="122"/>
        <v>0</v>
      </c>
      <c r="V468" s="182">
        <f t="shared" si="95"/>
        <v>100</v>
      </c>
      <c r="W468" s="180"/>
      <c r="X468" s="180"/>
      <c r="Y468" s="180"/>
      <c r="Z468" s="180"/>
      <c r="AA468" s="180"/>
      <c r="AB468" s="180"/>
      <c r="AC468" s="180"/>
      <c r="AD468" s="180"/>
      <c r="AE468" s="180"/>
      <c r="AF468" s="180"/>
      <c r="AG468" s="180"/>
      <c r="AH468" s="180"/>
      <c r="AI468" s="180">
        <v>0</v>
      </c>
      <c r="AJ468" s="181">
        <f t="shared" si="114"/>
        <v>0</v>
      </c>
      <c r="AK468" s="180">
        <f t="shared" si="120"/>
        <v>3000000</v>
      </c>
      <c r="AL468" s="181">
        <f t="shared" si="115"/>
        <v>100</v>
      </c>
      <c r="AM468" s="243"/>
    </row>
    <row r="469" spans="1:39" ht="24.75" customHeight="1" x14ac:dyDescent="0.25">
      <c r="A469" s="243"/>
      <c r="B469" s="457"/>
      <c r="C469" s="457"/>
      <c r="D469" s="457"/>
      <c r="E469" s="457"/>
      <c r="F469" s="457"/>
      <c r="G469" s="457"/>
      <c r="H469" s="457"/>
      <c r="I469" s="458"/>
      <c r="J469" s="457" t="s">
        <v>315</v>
      </c>
      <c r="K469" s="245"/>
      <c r="L469" s="257"/>
      <c r="M469" s="591" t="s">
        <v>271</v>
      </c>
      <c r="N469" s="592"/>
      <c r="O469" s="179"/>
      <c r="P469" s="180"/>
      <c r="Q469" s="180">
        <v>1400000</v>
      </c>
      <c r="R469" s="181">
        <f t="shared" si="126"/>
        <v>1.6786570743405276</v>
      </c>
      <c r="S469" s="181">
        <v>100</v>
      </c>
      <c r="T469" s="180">
        <f t="shared" si="117"/>
        <v>21.428571428571427</v>
      </c>
      <c r="U469" s="180">
        <f t="shared" si="122"/>
        <v>0.35971223021582732</v>
      </c>
      <c r="V469" s="182">
        <f t="shared" si="95"/>
        <v>78.571428571428569</v>
      </c>
      <c r="W469" s="180"/>
      <c r="X469" s="180"/>
      <c r="Y469" s="180"/>
      <c r="Z469" s="180"/>
      <c r="AA469" s="180"/>
      <c r="AB469" s="180"/>
      <c r="AC469" s="180"/>
      <c r="AD469" s="180"/>
      <c r="AE469" s="180"/>
      <c r="AF469" s="180"/>
      <c r="AG469" s="180"/>
      <c r="AH469" s="180"/>
      <c r="AI469" s="180">
        <v>300000</v>
      </c>
      <c r="AJ469" s="181">
        <f t="shared" si="114"/>
        <v>21.428571428571427</v>
      </c>
      <c r="AK469" s="180">
        <f t="shared" si="120"/>
        <v>1100000</v>
      </c>
      <c r="AL469" s="181">
        <f t="shared" si="115"/>
        <v>78.571428571428569</v>
      </c>
      <c r="AM469" s="243"/>
    </row>
    <row r="470" spans="1:39" ht="24.75" customHeight="1" x14ac:dyDescent="0.25">
      <c r="A470" s="243"/>
      <c r="B470" s="457"/>
      <c r="C470" s="457"/>
      <c r="D470" s="457"/>
      <c r="E470" s="457"/>
      <c r="F470" s="457"/>
      <c r="G470" s="457"/>
      <c r="H470" s="457"/>
      <c r="I470" s="458"/>
      <c r="J470" s="457"/>
      <c r="K470" s="245"/>
      <c r="L470" s="257"/>
      <c r="M470" s="591" t="s">
        <v>612</v>
      </c>
      <c r="N470" s="592"/>
      <c r="O470" s="179"/>
      <c r="P470" s="180"/>
      <c r="Q470" s="180">
        <v>1200000</v>
      </c>
      <c r="R470" s="181">
        <f t="shared" si="126"/>
        <v>1.4388489208633095</v>
      </c>
      <c r="S470" s="181">
        <v>100</v>
      </c>
      <c r="T470" s="180">
        <f t="shared" si="117"/>
        <v>0</v>
      </c>
      <c r="U470" s="180">
        <f t="shared" si="122"/>
        <v>0</v>
      </c>
      <c r="V470" s="182">
        <f t="shared" si="95"/>
        <v>100</v>
      </c>
      <c r="W470" s="180"/>
      <c r="X470" s="180"/>
      <c r="Y470" s="180"/>
      <c r="Z470" s="180"/>
      <c r="AA470" s="180"/>
      <c r="AB470" s="180"/>
      <c r="AC470" s="180"/>
      <c r="AD470" s="180"/>
      <c r="AE470" s="180"/>
      <c r="AF470" s="180"/>
      <c r="AG470" s="180"/>
      <c r="AH470" s="180"/>
      <c r="AI470" s="180">
        <v>0</v>
      </c>
      <c r="AJ470" s="181">
        <f t="shared" si="114"/>
        <v>0</v>
      </c>
      <c r="AK470" s="180">
        <f t="shared" si="120"/>
        <v>1200000</v>
      </c>
      <c r="AL470" s="181">
        <f t="shared" si="115"/>
        <v>100</v>
      </c>
      <c r="AM470" s="243"/>
    </row>
    <row r="471" spans="1:39" ht="33" customHeight="1" x14ac:dyDescent="0.25">
      <c r="A471" s="243"/>
      <c r="B471" s="457"/>
      <c r="C471" s="457"/>
      <c r="D471" s="457"/>
      <c r="E471" s="457"/>
      <c r="F471" s="457"/>
      <c r="G471" s="457"/>
      <c r="H471" s="457"/>
      <c r="I471" s="458"/>
      <c r="J471" s="457" t="s">
        <v>318</v>
      </c>
      <c r="K471" s="245"/>
      <c r="L471" s="257"/>
      <c r="M471" s="591" t="s">
        <v>319</v>
      </c>
      <c r="N471" s="592"/>
      <c r="O471" s="179"/>
      <c r="P471" s="180"/>
      <c r="Q471" s="180">
        <v>36000000</v>
      </c>
      <c r="R471" s="181">
        <f t="shared" si="126"/>
        <v>43.165467625899282</v>
      </c>
      <c r="S471" s="181">
        <v>100</v>
      </c>
      <c r="T471" s="180">
        <f t="shared" si="117"/>
        <v>0</v>
      </c>
      <c r="U471" s="180">
        <f t="shared" si="122"/>
        <v>0</v>
      </c>
      <c r="V471" s="182">
        <f t="shared" si="95"/>
        <v>100</v>
      </c>
      <c r="W471" s="180"/>
      <c r="X471" s="180"/>
      <c r="Y471" s="180"/>
      <c r="Z471" s="180"/>
      <c r="AA471" s="180"/>
      <c r="AB471" s="180"/>
      <c r="AC471" s="180"/>
      <c r="AD471" s="180"/>
      <c r="AE471" s="180"/>
      <c r="AF471" s="180"/>
      <c r="AG471" s="180"/>
      <c r="AH471" s="180"/>
      <c r="AI471" s="180">
        <v>0</v>
      </c>
      <c r="AJ471" s="181">
        <f t="shared" si="114"/>
        <v>0</v>
      </c>
      <c r="AK471" s="180">
        <f t="shared" si="120"/>
        <v>36000000</v>
      </c>
      <c r="AL471" s="181">
        <f t="shared" si="115"/>
        <v>100</v>
      </c>
      <c r="AM471" s="243"/>
    </row>
    <row r="472" spans="1:39" ht="24.75" customHeight="1" x14ac:dyDescent="0.25">
      <c r="A472" s="243"/>
      <c r="B472" s="457"/>
      <c r="C472" s="457"/>
      <c r="D472" s="457"/>
      <c r="E472" s="457"/>
      <c r="F472" s="457"/>
      <c r="G472" s="457"/>
      <c r="H472" s="457"/>
      <c r="I472" s="458"/>
      <c r="J472" s="457" t="s">
        <v>284</v>
      </c>
      <c r="K472" s="245"/>
      <c r="L472" s="257"/>
      <c r="M472" s="591" t="s">
        <v>285</v>
      </c>
      <c r="N472" s="592"/>
      <c r="O472" s="179"/>
      <c r="P472" s="180"/>
      <c r="Q472" s="180">
        <v>10000000</v>
      </c>
      <c r="R472" s="181">
        <f t="shared" si="126"/>
        <v>11.990407673860911</v>
      </c>
      <c r="S472" s="181">
        <v>100</v>
      </c>
      <c r="T472" s="180">
        <f t="shared" si="117"/>
        <v>11</v>
      </c>
      <c r="U472" s="180">
        <f t="shared" si="122"/>
        <v>1.3189448441247003</v>
      </c>
      <c r="V472" s="182">
        <f t="shared" si="95"/>
        <v>89</v>
      </c>
      <c r="W472" s="180"/>
      <c r="X472" s="180"/>
      <c r="Y472" s="180"/>
      <c r="Z472" s="180"/>
      <c r="AA472" s="180"/>
      <c r="AB472" s="180"/>
      <c r="AC472" s="180"/>
      <c r="AD472" s="180"/>
      <c r="AE472" s="180"/>
      <c r="AF472" s="180"/>
      <c r="AG472" s="180"/>
      <c r="AH472" s="180"/>
      <c r="AI472" s="180">
        <v>1100000</v>
      </c>
      <c r="AJ472" s="181">
        <f t="shared" si="114"/>
        <v>11</v>
      </c>
      <c r="AK472" s="180">
        <f t="shared" si="120"/>
        <v>8900000</v>
      </c>
      <c r="AL472" s="181">
        <f t="shared" si="115"/>
        <v>89</v>
      </c>
      <c r="AM472" s="243"/>
    </row>
    <row r="473" spans="1:39" ht="24.75" customHeight="1" x14ac:dyDescent="0.25">
      <c r="A473" s="243"/>
      <c r="B473" s="457"/>
      <c r="C473" s="457"/>
      <c r="D473" s="457"/>
      <c r="E473" s="457"/>
      <c r="F473" s="457"/>
      <c r="G473" s="457"/>
      <c r="H473" s="457"/>
      <c r="I473" s="458"/>
      <c r="J473" s="457"/>
      <c r="K473" s="245"/>
      <c r="L473" s="257"/>
      <c r="M473" s="591" t="s">
        <v>503</v>
      </c>
      <c r="N473" s="592"/>
      <c r="O473" s="179"/>
      <c r="P473" s="180"/>
      <c r="Q473" s="180">
        <v>12000000</v>
      </c>
      <c r="R473" s="181">
        <f t="shared" si="126"/>
        <v>14.388489208633093</v>
      </c>
      <c r="S473" s="181">
        <v>100</v>
      </c>
      <c r="T473" s="180">
        <f t="shared" si="117"/>
        <v>10</v>
      </c>
      <c r="U473" s="180">
        <f t="shared" si="122"/>
        <v>1.4388489208633093</v>
      </c>
      <c r="V473" s="182">
        <f t="shared" si="95"/>
        <v>90</v>
      </c>
      <c r="W473" s="180"/>
      <c r="X473" s="180"/>
      <c r="Y473" s="180"/>
      <c r="Z473" s="180"/>
      <c r="AA473" s="180"/>
      <c r="AB473" s="180"/>
      <c r="AC473" s="180"/>
      <c r="AD473" s="180"/>
      <c r="AE473" s="180"/>
      <c r="AF473" s="180"/>
      <c r="AG473" s="180"/>
      <c r="AH473" s="180"/>
      <c r="AI473" s="180">
        <v>1200000</v>
      </c>
      <c r="AJ473" s="181">
        <f t="shared" si="114"/>
        <v>10</v>
      </c>
      <c r="AK473" s="180">
        <f t="shared" si="120"/>
        <v>10800000</v>
      </c>
      <c r="AL473" s="181">
        <f t="shared" si="115"/>
        <v>90</v>
      </c>
      <c r="AM473" s="243"/>
    </row>
    <row r="474" spans="1:39" ht="24.75" customHeight="1" x14ac:dyDescent="0.25">
      <c r="A474" s="243"/>
      <c r="B474" s="457"/>
      <c r="C474" s="457"/>
      <c r="D474" s="457"/>
      <c r="E474" s="457"/>
      <c r="F474" s="457"/>
      <c r="G474" s="457"/>
      <c r="H474" s="457"/>
      <c r="I474" s="458"/>
      <c r="J474" s="457" t="s">
        <v>320</v>
      </c>
      <c r="K474" s="245"/>
      <c r="L474" s="257"/>
      <c r="M474" s="611" t="s">
        <v>321</v>
      </c>
      <c r="N474" s="598"/>
      <c r="O474" s="179"/>
      <c r="P474" s="180"/>
      <c r="Q474" s="180">
        <v>11600000</v>
      </c>
      <c r="R474" s="181">
        <f t="shared" si="126"/>
        <v>13.908872901678656</v>
      </c>
      <c r="S474" s="181">
        <v>100</v>
      </c>
      <c r="T474" s="180">
        <f t="shared" si="117"/>
        <v>0</v>
      </c>
      <c r="U474" s="180">
        <f t="shared" si="122"/>
        <v>0</v>
      </c>
      <c r="V474" s="182">
        <f t="shared" si="95"/>
        <v>100</v>
      </c>
      <c r="W474" s="180"/>
      <c r="X474" s="180"/>
      <c r="Y474" s="180"/>
      <c r="Z474" s="180"/>
      <c r="AA474" s="180"/>
      <c r="AB474" s="180"/>
      <c r="AC474" s="180"/>
      <c r="AD474" s="180"/>
      <c r="AE474" s="180"/>
      <c r="AF474" s="180"/>
      <c r="AG474" s="180"/>
      <c r="AH474" s="180"/>
      <c r="AI474" s="180">
        <v>0</v>
      </c>
      <c r="AJ474" s="181">
        <f t="shared" ref="AJ474:AJ537" si="127">AI474/Q474*100</f>
        <v>0</v>
      </c>
      <c r="AK474" s="180">
        <f t="shared" si="120"/>
        <v>11600000</v>
      </c>
      <c r="AL474" s="181">
        <f t="shared" ref="AL474:AL511" si="128">AK474/Q474*100</f>
        <v>100</v>
      </c>
      <c r="AM474" s="243"/>
    </row>
    <row r="475" spans="1:39" ht="24.75" customHeight="1" x14ac:dyDescent="0.25">
      <c r="A475" s="243"/>
      <c r="B475" s="457"/>
      <c r="C475" s="457"/>
      <c r="D475" s="457"/>
      <c r="E475" s="457"/>
      <c r="F475" s="457"/>
      <c r="G475" s="457"/>
      <c r="H475" s="457"/>
      <c r="I475" s="458"/>
      <c r="J475" s="457" t="s">
        <v>407</v>
      </c>
      <c r="K475" s="245"/>
      <c r="L475" s="257"/>
      <c r="M475" s="591" t="s">
        <v>414</v>
      </c>
      <c r="N475" s="592"/>
      <c r="O475" s="179"/>
      <c r="P475" s="180"/>
      <c r="Q475" s="180">
        <v>5600000</v>
      </c>
      <c r="R475" s="181">
        <f t="shared" si="126"/>
        <v>6.7146282973621103</v>
      </c>
      <c r="S475" s="181">
        <v>100</v>
      </c>
      <c r="T475" s="180">
        <f t="shared" si="117"/>
        <v>0</v>
      </c>
      <c r="U475" s="180">
        <f t="shared" si="122"/>
        <v>0</v>
      </c>
      <c r="V475" s="182">
        <f t="shared" si="95"/>
        <v>100</v>
      </c>
      <c r="W475" s="180"/>
      <c r="X475" s="180"/>
      <c r="Y475" s="180"/>
      <c r="Z475" s="180"/>
      <c r="AA475" s="180"/>
      <c r="AB475" s="180"/>
      <c r="AC475" s="180"/>
      <c r="AD475" s="180"/>
      <c r="AE475" s="180"/>
      <c r="AF475" s="180"/>
      <c r="AG475" s="180"/>
      <c r="AH475" s="180"/>
      <c r="AI475" s="180">
        <v>0</v>
      </c>
      <c r="AJ475" s="181">
        <f t="shared" si="127"/>
        <v>0</v>
      </c>
      <c r="AK475" s="180">
        <f t="shared" si="120"/>
        <v>5600000</v>
      </c>
      <c r="AL475" s="181">
        <f t="shared" si="128"/>
        <v>100</v>
      </c>
      <c r="AM475" s="243"/>
    </row>
    <row r="476" spans="1:39" ht="33.75" customHeight="1" x14ac:dyDescent="0.25">
      <c r="A476" s="227">
        <v>59</v>
      </c>
      <c r="B476" s="457"/>
      <c r="C476" s="457"/>
      <c r="D476" s="457"/>
      <c r="E476" s="457"/>
      <c r="F476" s="457"/>
      <c r="G476" s="457"/>
      <c r="H476" s="457"/>
      <c r="I476" s="458"/>
      <c r="J476" s="304" t="s">
        <v>511</v>
      </c>
      <c r="K476" s="230"/>
      <c r="L476" s="294"/>
      <c r="M476" s="609" t="s">
        <v>512</v>
      </c>
      <c r="N476" s="609"/>
      <c r="O476" s="309">
        <v>355300000</v>
      </c>
      <c r="P476" s="231">
        <f>O476</f>
        <v>355300000</v>
      </c>
      <c r="Q476" s="231">
        <f>SUM(Q477:Q482)</f>
        <v>14850000</v>
      </c>
      <c r="R476" s="233">
        <f>Q476/Q$248*100</f>
        <v>0.12449860247111945</v>
      </c>
      <c r="S476" s="233">
        <v>100</v>
      </c>
      <c r="T476" s="231">
        <f t="shared" si="117"/>
        <v>0</v>
      </c>
      <c r="U476" s="231">
        <f t="shared" si="122"/>
        <v>0</v>
      </c>
      <c r="V476" s="296">
        <f t="shared" si="95"/>
        <v>100</v>
      </c>
      <c r="W476" s="231"/>
      <c r="X476" s="231" t="e">
        <f>#REF!</f>
        <v>#REF!</v>
      </c>
      <c r="Y476" s="231" t="e">
        <f>#REF!</f>
        <v>#REF!</v>
      </c>
      <c r="Z476" s="231" t="e">
        <f>#REF!</f>
        <v>#REF!</v>
      </c>
      <c r="AA476" s="231" t="e">
        <f>#REF!</f>
        <v>#REF!</v>
      </c>
      <c r="AB476" s="231">
        <v>131395500</v>
      </c>
      <c r="AC476" s="231" t="e">
        <f>#REF!</f>
        <v>#REF!</v>
      </c>
      <c r="AD476" s="231" t="e">
        <f>#REF!</f>
        <v>#REF!</v>
      </c>
      <c r="AE476" s="231" t="e">
        <f>#REF!</f>
        <v>#REF!</v>
      </c>
      <c r="AF476" s="231" t="e">
        <f>[1]April!N80</f>
        <v>#REF!</v>
      </c>
      <c r="AG476" s="231" t="e">
        <f>[2]april!N90</f>
        <v>#REF!</v>
      </c>
      <c r="AH476" s="231" t="e">
        <f>'[3]DES SKPD'!$N90</f>
        <v>#REF!</v>
      </c>
      <c r="AI476" s="231">
        <f>SUM(AI477:AI482)</f>
        <v>0</v>
      </c>
      <c r="AJ476" s="233">
        <f t="shared" si="127"/>
        <v>0</v>
      </c>
      <c r="AK476" s="231">
        <f t="shared" si="120"/>
        <v>14850000</v>
      </c>
      <c r="AL476" s="233">
        <f t="shared" si="128"/>
        <v>100</v>
      </c>
      <c r="AM476" s="227"/>
    </row>
    <row r="477" spans="1:39" ht="24.75" customHeight="1" x14ac:dyDescent="0.25">
      <c r="A477" s="243"/>
      <c r="B477" s="457"/>
      <c r="C477" s="457"/>
      <c r="D477" s="457"/>
      <c r="E477" s="457"/>
      <c r="F477" s="457"/>
      <c r="G477" s="457"/>
      <c r="H477" s="457"/>
      <c r="I477" s="458"/>
      <c r="J477" s="457" t="s">
        <v>257</v>
      </c>
      <c r="K477" s="245"/>
      <c r="L477" s="257"/>
      <c r="M477" s="591" t="s">
        <v>260</v>
      </c>
      <c r="N477" s="592"/>
      <c r="O477" s="179"/>
      <c r="P477" s="180"/>
      <c r="Q477" s="180">
        <v>650000</v>
      </c>
      <c r="R477" s="181">
        <f t="shared" ref="R477:R482" si="129">Q477/Q$476*100</f>
        <v>4.3771043771043772</v>
      </c>
      <c r="S477" s="181">
        <v>100</v>
      </c>
      <c r="T477" s="180">
        <f t="shared" si="117"/>
        <v>0</v>
      </c>
      <c r="U477" s="180">
        <f t="shared" si="122"/>
        <v>0</v>
      </c>
      <c r="V477" s="182">
        <f t="shared" si="95"/>
        <v>100</v>
      </c>
      <c r="W477" s="180"/>
      <c r="X477" s="180"/>
      <c r="Y477" s="180"/>
      <c r="Z477" s="180"/>
      <c r="AA477" s="180"/>
      <c r="AB477" s="180"/>
      <c r="AC477" s="180"/>
      <c r="AD477" s="180"/>
      <c r="AE477" s="180"/>
      <c r="AF477" s="180"/>
      <c r="AG477" s="180"/>
      <c r="AH477" s="180"/>
      <c r="AI477" s="180">
        <v>0</v>
      </c>
      <c r="AJ477" s="181">
        <f t="shared" si="127"/>
        <v>0</v>
      </c>
      <c r="AK477" s="180">
        <f t="shared" si="120"/>
        <v>650000</v>
      </c>
      <c r="AL477" s="181">
        <f t="shared" si="128"/>
        <v>100</v>
      </c>
      <c r="AM477" s="243"/>
    </row>
    <row r="478" spans="1:39" ht="24.75" customHeight="1" x14ac:dyDescent="0.25">
      <c r="A478" s="243"/>
      <c r="B478" s="457"/>
      <c r="C478" s="457"/>
      <c r="D478" s="457"/>
      <c r="E478" s="457"/>
      <c r="F478" s="457"/>
      <c r="G478" s="457"/>
      <c r="H478" s="457"/>
      <c r="I478" s="458"/>
      <c r="J478" s="457" t="s">
        <v>326</v>
      </c>
      <c r="K478" s="245"/>
      <c r="L478" s="257"/>
      <c r="M478" s="591" t="s">
        <v>351</v>
      </c>
      <c r="N478" s="592"/>
      <c r="O478" s="179"/>
      <c r="P478" s="180"/>
      <c r="Q478" s="180">
        <v>250000</v>
      </c>
      <c r="R478" s="181">
        <f t="shared" si="129"/>
        <v>1.6835016835016834</v>
      </c>
      <c r="S478" s="181">
        <v>100</v>
      </c>
      <c r="T478" s="180">
        <f t="shared" si="117"/>
        <v>0</v>
      </c>
      <c r="U478" s="180">
        <f t="shared" si="122"/>
        <v>0</v>
      </c>
      <c r="V478" s="182">
        <f t="shared" si="95"/>
        <v>100</v>
      </c>
      <c r="W478" s="180"/>
      <c r="X478" s="180"/>
      <c r="Y478" s="180"/>
      <c r="Z478" s="180"/>
      <c r="AA478" s="180"/>
      <c r="AB478" s="180"/>
      <c r="AC478" s="180"/>
      <c r="AD478" s="180"/>
      <c r="AE478" s="180"/>
      <c r="AF478" s="180"/>
      <c r="AG478" s="180"/>
      <c r="AH478" s="180"/>
      <c r="AI478" s="180">
        <v>0</v>
      </c>
      <c r="AJ478" s="181">
        <f t="shared" si="127"/>
        <v>0</v>
      </c>
      <c r="AK478" s="180">
        <f t="shared" si="120"/>
        <v>250000</v>
      </c>
      <c r="AL478" s="181">
        <f t="shared" si="128"/>
        <v>100</v>
      </c>
      <c r="AM478" s="243"/>
    </row>
    <row r="479" spans="1:39" ht="24.75" customHeight="1" x14ac:dyDescent="0.25">
      <c r="A479" s="243"/>
      <c r="B479" s="457"/>
      <c r="C479" s="457"/>
      <c r="D479" s="457"/>
      <c r="E479" s="457"/>
      <c r="F479" s="457"/>
      <c r="G479" s="457"/>
      <c r="H479" s="457"/>
      <c r="I479" s="458"/>
      <c r="J479" s="457" t="s">
        <v>315</v>
      </c>
      <c r="K479" s="245"/>
      <c r="L479" s="257"/>
      <c r="M479" s="591" t="s">
        <v>271</v>
      </c>
      <c r="N479" s="592"/>
      <c r="O479" s="179"/>
      <c r="P479" s="180"/>
      <c r="Q479" s="180">
        <v>250000</v>
      </c>
      <c r="R479" s="181">
        <f t="shared" si="129"/>
        <v>1.6835016835016834</v>
      </c>
      <c r="S479" s="181">
        <v>100</v>
      </c>
      <c r="T479" s="180">
        <f t="shared" si="117"/>
        <v>0</v>
      </c>
      <c r="U479" s="180">
        <f t="shared" si="122"/>
        <v>0</v>
      </c>
      <c r="V479" s="182">
        <f t="shared" si="95"/>
        <v>100</v>
      </c>
      <c r="W479" s="180"/>
      <c r="X479" s="180"/>
      <c r="Y479" s="180"/>
      <c r="Z479" s="180"/>
      <c r="AA479" s="180"/>
      <c r="AB479" s="180"/>
      <c r="AC479" s="180"/>
      <c r="AD479" s="180"/>
      <c r="AE479" s="180"/>
      <c r="AF479" s="180"/>
      <c r="AG479" s="180"/>
      <c r="AH479" s="180"/>
      <c r="AI479" s="180">
        <v>0</v>
      </c>
      <c r="AJ479" s="181">
        <f t="shared" si="127"/>
        <v>0</v>
      </c>
      <c r="AK479" s="180">
        <f t="shared" si="120"/>
        <v>250000</v>
      </c>
      <c r="AL479" s="181">
        <f t="shared" si="128"/>
        <v>100</v>
      </c>
      <c r="AM479" s="243"/>
    </row>
    <row r="480" spans="1:39" ht="29.25" customHeight="1" x14ac:dyDescent="0.25">
      <c r="A480" s="243"/>
      <c r="B480" s="457"/>
      <c r="C480" s="457"/>
      <c r="D480" s="457"/>
      <c r="E480" s="457"/>
      <c r="F480" s="457"/>
      <c r="G480" s="457"/>
      <c r="H480" s="457"/>
      <c r="I480" s="458"/>
      <c r="J480" s="457" t="s">
        <v>318</v>
      </c>
      <c r="K480" s="245"/>
      <c r="L480" s="257"/>
      <c r="M480" s="591" t="s">
        <v>329</v>
      </c>
      <c r="N480" s="592"/>
      <c r="O480" s="179"/>
      <c r="P480" s="180"/>
      <c r="Q480" s="180">
        <v>5000000</v>
      </c>
      <c r="R480" s="181">
        <f t="shared" si="129"/>
        <v>33.670033670033675</v>
      </c>
      <c r="S480" s="181">
        <v>100</v>
      </c>
      <c r="T480" s="180">
        <f t="shared" si="117"/>
        <v>0</v>
      </c>
      <c r="U480" s="180">
        <f t="shared" si="122"/>
        <v>0</v>
      </c>
      <c r="V480" s="182">
        <f t="shared" si="95"/>
        <v>100</v>
      </c>
      <c r="W480" s="180"/>
      <c r="X480" s="180"/>
      <c r="Y480" s="180"/>
      <c r="Z480" s="180"/>
      <c r="AA480" s="180"/>
      <c r="AB480" s="180"/>
      <c r="AC480" s="180"/>
      <c r="AD480" s="180"/>
      <c r="AE480" s="180"/>
      <c r="AF480" s="180"/>
      <c r="AG480" s="180"/>
      <c r="AH480" s="180"/>
      <c r="AI480" s="180">
        <v>0</v>
      </c>
      <c r="AJ480" s="181">
        <f t="shared" si="127"/>
        <v>0</v>
      </c>
      <c r="AK480" s="180">
        <f t="shared" si="120"/>
        <v>5000000</v>
      </c>
      <c r="AL480" s="181">
        <f t="shared" si="128"/>
        <v>100</v>
      </c>
      <c r="AM480" s="243"/>
    </row>
    <row r="481" spans="1:39" ht="29.25" customHeight="1" x14ac:dyDescent="0.25">
      <c r="A481" s="243"/>
      <c r="B481" s="457"/>
      <c r="C481" s="457"/>
      <c r="D481" s="457"/>
      <c r="E481" s="457"/>
      <c r="F481" s="457"/>
      <c r="G481" s="457"/>
      <c r="H481" s="457"/>
      <c r="I481" s="458"/>
      <c r="J481" s="457" t="s">
        <v>284</v>
      </c>
      <c r="K481" s="245"/>
      <c r="L481" s="257"/>
      <c r="M481" s="591" t="s">
        <v>285</v>
      </c>
      <c r="N481" s="592"/>
      <c r="O481" s="179"/>
      <c r="P481" s="180"/>
      <c r="Q481" s="180">
        <v>2200000</v>
      </c>
      <c r="R481" s="181">
        <f t="shared" si="129"/>
        <v>14.814814814814813</v>
      </c>
      <c r="S481" s="181">
        <v>100</v>
      </c>
      <c r="T481" s="180">
        <f t="shared" si="117"/>
        <v>0</v>
      </c>
      <c r="U481" s="180">
        <f t="shared" si="122"/>
        <v>0</v>
      </c>
      <c r="V481" s="182">
        <f t="shared" si="95"/>
        <v>100</v>
      </c>
      <c r="W481" s="180"/>
      <c r="X481" s="180"/>
      <c r="Y481" s="180"/>
      <c r="Z481" s="180"/>
      <c r="AA481" s="180"/>
      <c r="AB481" s="180"/>
      <c r="AC481" s="180"/>
      <c r="AD481" s="180"/>
      <c r="AE481" s="180"/>
      <c r="AF481" s="180"/>
      <c r="AG481" s="180"/>
      <c r="AH481" s="180"/>
      <c r="AI481" s="180">
        <v>0</v>
      </c>
      <c r="AJ481" s="181">
        <f t="shared" si="127"/>
        <v>0</v>
      </c>
      <c r="AK481" s="180">
        <f t="shared" si="120"/>
        <v>2200000</v>
      </c>
      <c r="AL481" s="181">
        <f t="shared" si="128"/>
        <v>100</v>
      </c>
      <c r="AM481" s="243"/>
    </row>
    <row r="482" spans="1:39" ht="24.75" customHeight="1" x14ac:dyDescent="0.25">
      <c r="A482" s="243"/>
      <c r="B482" s="457"/>
      <c r="C482" s="457"/>
      <c r="D482" s="457"/>
      <c r="E482" s="457"/>
      <c r="F482" s="457"/>
      <c r="G482" s="457"/>
      <c r="H482" s="457"/>
      <c r="I482" s="458"/>
      <c r="J482" s="457" t="s">
        <v>282</v>
      </c>
      <c r="K482" s="245"/>
      <c r="L482" s="257"/>
      <c r="M482" s="616" t="s">
        <v>418</v>
      </c>
      <c r="N482" s="617"/>
      <c r="O482" s="179"/>
      <c r="P482" s="180"/>
      <c r="Q482" s="180">
        <v>6500000</v>
      </c>
      <c r="R482" s="181">
        <f t="shared" si="129"/>
        <v>43.771043771043772</v>
      </c>
      <c r="S482" s="181">
        <v>100</v>
      </c>
      <c r="T482" s="180">
        <f t="shared" si="117"/>
        <v>0</v>
      </c>
      <c r="U482" s="180">
        <f t="shared" si="122"/>
        <v>0</v>
      </c>
      <c r="V482" s="182">
        <f t="shared" si="95"/>
        <v>100</v>
      </c>
      <c r="W482" s="180"/>
      <c r="X482" s="180"/>
      <c r="Y482" s="180"/>
      <c r="Z482" s="180"/>
      <c r="AA482" s="180"/>
      <c r="AB482" s="180"/>
      <c r="AC482" s="180"/>
      <c r="AD482" s="180"/>
      <c r="AE482" s="180"/>
      <c r="AF482" s="180"/>
      <c r="AG482" s="180"/>
      <c r="AH482" s="180"/>
      <c r="AI482" s="180">
        <v>0</v>
      </c>
      <c r="AJ482" s="181">
        <f t="shared" si="127"/>
        <v>0</v>
      </c>
      <c r="AK482" s="180">
        <f t="shared" si="120"/>
        <v>6500000</v>
      </c>
      <c r="AL482" s="181">
        <f t="shared" si="128"/>
        <v>100</v>
      </c>
      <c r="AM482" s="243"/>
    </row>
    <row r="483" spans="1:39" ht="30.75" customHeight="1" x14ac:dyDescent="0.25">
      <c r="A483" s="227">
        <v>60</v>
      </c>
      <c r="B483" s="457"/>
      <c r="C483" s="457"/>
      <c r="D483" s="457"/>
      <c r="E483" s="457"/>
      <c r="F483" s="457"/>
      <c r="G483" s="457"/>
      <c r="H483" s="457"/>
      <c r="I483" s="458"/>
      <c r="J483" s="304" t="s">
        <v>513</v>
      </c>
      <c r="M483" s="609" t="s">
        <v>160</v>
      </c>
      <c r="N483" s="609"/>
      <c r="O483" s="309">
        <v>355300000</v>
      </c>
      <c r="P483" s="231">
        <f>O483</f>
        <v>355300000</v>
      </c>
      <c r="Q483" s="231">
        <f>SUM(Q484:Q489)</f>
        <v>241740393</v>
      </c>
      <c r="R483" s="233">
        <f>Q483/Q$248*100</f>
        <v>2.0266896356443893</v>
      </c>
      <c r="S483" s="233">
        <v>100</v>
      </c>
      <c r="T483" s="231">
        <f t="shared" si="117"/>
        <v>17.028184445782713</v>
      </c>
      <c r="U483" s="231">
        <f t="shared" si="122"/>
        <v>0.34510844930108825</v>
      </c>
      <c r="V483" s="296">
        <f t="shared" si="95"/>
        <v>82.971815554217287</v>
      </c>
      <c r="W483" s="231"/>
      <c r="X483" s="231" t="e">
        <f>#REF!</f>
        <v>#REF!</v>
      </c>
      <c r="Y483" s="231" t="e">
        <f>#REF!</f>
        <v>#REF!</v>
      </c>
      <c r="Z483" s="231" t="e">
        <f>#REF!</f>
        <v>#REF!</v>
      </c>
      <c r="AA483" s="231" t="e">
        <f>#REF!</f>
        <v>#REF!</v>
      </c>
      <c r="AB483" s="231">
        <v>131395500</v>
      </c>
      <c r="AC483" s="231" t="e">
        <f>#REF!</f>
        <v>#REF!</v>
      </c>
      <c r="AD483" s="231" t="e">
        <f>#REF!</f>
        <v>#REF!</v>
      </c>
      <c r="AE483" s="231" t="e">
        <f>#REF!</f>
        <v>#REF!</v>
      </c>
      <c r="AF483" s="231" t="e">
        <f>[1]April!N89</f>
        <v>#REF!</v>
      </c>
      <c r="AG483" s="231" t="e">
        <f>[2]april!N99</f>
        <v>#REF!</v>
      </c>
      <c r="AH483" s="231" t="e">
        <f>'[3]DES SKPD'!$N99</f>
        <v>#REF!</v>
      </c>
      <c r="AI483" s="231">
        <f>SUM(AI484:AI489)</f>
        <v>41164000</v>
      </c>
      <c r="AJ483" s="233">
        <f t="shared" si="127"/>
        <v>17.028184445782713</v>
      </c>
      <c r="AK483" s="231">
        <f>Q483-AI483</f>
        <v>200576393</v>
      </c>
      <c r="AL483" s="233">
        <f>AK483/Q483*100</f>
        <v>82.971815554217287</v>
      </c>
      <c r="AM483" s="243"/>
    </row>
    <row r="484" spans="1:39" ht="24.75" customHeight="1" x14ac:dyDescent="0.25">
      <c r="A484" s="243"/>
      <c r="B484" s="457"/>
      <c r="C484" s="457"/>
      <c r="D484" s="457"/>
      <c r="E484" s="457"/>
      <c r="F484" s="457"/>
      <c r="G484" s="457"/>
      <c r="H484" s="457"/>
      <c r="I484" s="458"/>
      <c r="J484" s="457" t="s">
        <v>257</v>
      </c>
      <c r="K484" s="245"/>
      <c r="L484" s="257"/>
      <c r="M484" s="591" t="s">
        <v>324</v>
      </c>
      <c r="N484" s="592"/>
      <c r="O484" s="179"/>
      <c r="P484" s="180"/>
      <c r="Q484" s="180">
        <v>15000000</v>
      </c>
      <c r="R484" s="181">
        <f>Q484/Q483*100</f>
        <v>6.2050035634714966</v>
      </c>
      <c r="S484" s="181">
        <v>100</v>
      </c>
      <c r="T484" s="180">
        <f t="shared" si="117"/>
        <v>33.333333333333329</v>
      </c>
      <c r="U484" s="180">
        <f t="shared" si="122"/>
        <v>2.0683345211571651</v>
      </c>
      <c r="V484" s="182">
        <f t="shared" si="95"/>
        <v>66.666666666666671</v>
      </c>
      <c r="W484" s="180"/>
      <c r="X484" s="180"/>
      <c r="Y484" s="180"/>
      <c r="Z484" s="180"/>
      <c r="AA484" s="180"/>
      <c r="AB484" s="180"/>
      <c r="AC484" s="180"/>
      <c r="AD484" s="180"/>
      <c r="AE484" s="180"/>
      <c r="AF484" s="180"/>
      <c r="AG484" s="180"/>
      <c r="AH484" s="180"/>
      <c r="AI484" s="180">
        <v>5000000</v>
      </c>
      <c r="AJ484" s="181">
        <f t="shared" si="127"/>
        <v>33.333333333333329</v>
      </c>
      <c r="AK484" s="180">
        <f t="shared" si="120"/>
        <v>10000000</v>
      </c>
      <c r="AL484" s="181">
        <f t="shared" si="128"/>
        <v>66.666666666666657</v>
      </c>
      <c r="AM484" s="243"/>
    </row>
    <row r="485" spans="1:39" ht="24.75" customHeight="1" x14ac:dyDescent="0.25">
      <c r="A485" s="243"/>
      <c r="B485" s="457"/>
      <c r="C485" s="457"/>
      <c r="D485" s="457"/>
      <c r="E485" s="457"/>
      <c r="F485" s="457"/>
      <c r="G485" s="457"/>
      <c r="H485" s="457"/>
      <c r="I485" s="458"/>
      <c r="J485" s="457" t="s">
        <v>326</v>
      </c>
      <c r="K485" s="245"/>
      <c r="L485" s="257"/>
      <c r="M485" s="591" t="s">
        <v>428</v>
      </c>
      <c r="N485" s="592"/>
      <c r="O485" s="179"/>
      <c r="P485" s="180"/>
      <c r="Q485" s="180">
        <v>8000000</v>
      </c>
      <c r="R485" s="181">
        <f>Q485/Q483*100</f>
        <v>3.3093352338514648</v>
      </c>
      <c r="S485" s="181">
        <v>100</v>
      </c>
      <c r="T485" s="180">
        <f t="shared" si="117"/>
        <v>26.875</v>
      </c>
      <c r="U485" s="180">
        <f t="shared" si="122"/>
        <v>0.8893838440975812</v>
      </c>
      <c r="V485" s="182">
        <f t="shared" si="95"/>
        <v>73.125</v>
      </c>
      <c r="W485" s="180"/>
      <c r="X485" s="180"/>
      <c r="Y485" s="180"/>
      <c r="Z485" s="180"/>
      <c r="AA485" s="180"/>
      <c r="AB485" s="180"/>
      <c r="AC485" s="180"/>
      <c r="AD485" s="180"/>
      <c r="AE485" s="180"/>
      <c r="AF485" s="180"/>
      <c r="AG485" s="180"/>
      <c r="AH485" s="180"/>
      <c r="AI485" s="180">
        <f>975000+200000+975000</f>
        <v>2150000</v>
      </c>
      <c r="AJ485" s="181">
        <f t="shared" si="127"/>
        <v>26.875</v>
      </c>
      <c r="AK485" s="180">
        <f t="shared" si="120"/>
        <v>5850000</v>
      </c>
      <c r="AL485" s="181">
        <f t="shared" si="128"/>
        <v>73.125</v>
      </c>
      <c r="AM485" s="243"/>
    </row>
    <row r="486" spans="1:39" ht="24.75" customHeight="1" x14ac:dyDescent="0.25">
      <c r="A486" s="227"/>
      <c r="B486" s="457"/>
      <c r="C486" s="457"/>
      <c r="D486" s="457"/>
      <c r="E486" s="457"/>
      <c r="F486" s="457"/>
      <c r="G486" s="457"/>
      <c r="H486" s="457"/>
      <c r="I486" s="458"/>
      <c r="J486" s="457" t="s">
        <v>315</v>
      </c>
      <c r="K486" s="245"/>
      <c r="L486" s="257"/>
      <c r="M486" s="591" t="s">
        <v>329</v>
      </c>
      <c r="N486" s="592"/>
      <c r="O486" s="179"/>
      <c r="P486" s="180"/>
      <c r="Q486" s="180">
        <v>24000000</v>
      </c>
      <c r="R486" s="181">
        <f>Q486/Q483*100</f>
        <v>9.9280057015543939</v>
      </c>
      <c r="S486" s="181">
        <v>100</v>
      </c>
      <c r="T486" s="180">
        <f t="shared" si="117"/>
        <v>33.333333333333329</v>
      </c>
      <c r="U486" s="180">
        <f t="shared" si="122"/>
        <v>3.3093352338514643</v>
      </c>
      <c r="V486" s="182">
        <f t="shared" si="95"/>
        <v>66.666666666666671</v>
      </c>
      <c r="W486" s="180"/>
      <c r="X486" s="180"/>
      <c r="Y486" s="180"/>
      <c r="Z486" s="180"/>
      <c r="AA486" s="180"/>
      <c r="AB486" s="180"/>
      <c r="AC486" s="180"/>
      <c r="AD486" s="180"/>
      <c r="AE486" s="180"/>
      <c r="AF486" s="180"/>
      <c r="AG486" s="180"/>
      <c r="AH486" s="180"/>
      <c r="AI486" s="180">
        <v>8000000</v>
      </c>
      <c r="AJ486" s="181">
        <f t="shared" si="127"/>
        <v>33.333333333333329</v>
      </c>
      <c r="AK486" s="180">
        <f t="shared" si="120"/>
        <v>16000000</v>
      </c>
      <c r="AL486" s="181">
        <f t="shared" si="128"/>
        <v>66.666666666666657</v>
      </c>
      <c r="AM486" s="243"/>
    </row>
    <row r="487" spans="1:39" ht="24.75" customHeight="1" x14ac:dyDescent="0.25">
      <c r="A487" s="243"/>
      <c r="B487" s="457"/>
      <c r="C487" s="457"/>
      <c r="D487" s="457"/>
      <c r="E487" s="457"/>
      <c r="F487" s="457"/>
      <c r="G487" s="457"/>
      <c r="H487" s="457"/>
      <c r="I487" s="458"/>
      <c r="J487" s="457" t="s">
        <v>280</v>
      </c>
      <c r="K487" s="245"/>
      <c r="L487" s="257"/>
      <c r="M487" s="591" t="s">
        <v>585</v>
      </c>
      <c r="N487" s="592"/>
      <c r="O487" s="179"/>
      <c r="P487" s="180"/>
      <c r="Q487" s="180">
        <v>15000000</v>
      </c>
      <c r="R487" s="181">
        <f>Q487/Q483*100</f>
        <v>6.2050035634714966</v>
      </c>
      <c r="S487" s="181">
        <v>100</v>
      </c>
      <c r="T487" s="180">
        <f t="shared" si="117"/>
        <v>56.466666666666669</v>
      </c>
      <c r="U487" s="180">
        <f t="shared" si="122"/>
        <v>3.5037586788402386</v>
      </c>
      <c r="V487" s="182">
        <f t="shared" si="95"/>
        <v>43.533333333333331</v>
      </c>
      <c r="W487" s="180"/>
      <c r="X487" s="180"/>
      <c r="Y487" s="180"/>
      <c r="Z487" s="180"/>
      <c r="AA487" s="180"/>
      <c r="AB487" s="180"/>
      <c r="AC487" s="180"/>
      <c r="AD487" s="180"/>
      <c r="AE487" s="180"/>
      <c r="AF487" s="180"/>
      <c r="AG487" s="180"/>
      <c r="AH487" s="180"/>
      <c r="AI487" s="180">
        <f>3080000+880000+4510000</f>
        <v>8470000</v>
      </c>
      <c r="AJ487" s="181">
        <f t="shared" si="127"/>
        <v>56.466666666666669</v>
      </c>
      <c r="AK487" s="180">
        <f t="shared" si="120"/>
        <v>6530000</v>
      </c>
      <c r="AL487" s="181">
        <f t="shared" si="128"/>
        <v>43.533333333333331</v>
      </c>
      <c r="AM487" s="243"/>
    </row>
    <row r="488" spans="1:39" ht="24.75" customHeight="1" x14ac:dyDescent="0.25">
      <c r="A488" s="243"/>
      <c r="B488" s="457"/>
      <c r="C488" s="457"/>
      <c r="D488" s="457"/>
      <c r="E488" s="457"/>
      <c r="F488" s="457"/>
      <c r="G488" s="457"/>
      <c r="H488" s="457"/>
      <c r="I488" s="458"/>
      <c r="J488" s="457" t="s">
        <v>284</v>
      </c>
      <c r="K488" s="245"/>
      <c r="L488" s="257"/>
      <c r="M488" s="591" t="s">
        <v>503</v>
      </c>
      <c r="N488" s="592"/>
      <c r="O488" s="179"/>
      <c r="P488" s="180"/>
      <c r="Q488" s="180">
        <v>29740393</v>
      </c>
      <c r="R488" s="181">
        <f>Q488/Q483*100</f>
        <v>12.302616302936183</v>
      </c>
      <c r="S488" s="181">
        <v>100</v>
      </c>
      <c r="T488" s="180">
        <f t="shared" si="117"/>
        <v>8.5540228066253192</v>
      </c>
      <c r="U488" s="180">
        <f t="shared" si="122"/>
        <v>1.0523686043647658</v>
      </c>
      <c r="V488" s="182">
        <f t="shared" si="95"/>
        <v>91.445977193374688</v>
      </c>
      <c r="W488" s="180"/>
      <c r="X488" s="180"/>
      <c r="Y488" s="180"/>
      <c r="Z488" s="180"/>
      <c r="AA488" s="180"/>
      <c r="AB488" s="180"/>
      <c r="AC488" s="180"/>
      <c r="AD488" s="180"/>
      <c r="AE488" s="180"/>
      <c r="AF488" s="180"/>
      <c r="AG488" s="180"/>
      <c r="AH488" s="180"/>
      <c r="AI488" s="180">
        <v>2544000</v>
      </c>
      <c r="AJ488" s="181">
        <f t="shared" si="127"/>
        <v>8.5540228066253192</v>
      </c>
      <c r="AK488" s="180">
        <f t="shared" si="120"/>
        <v>27196393</v>
      </c>
      <c r="AL488" s="181">
        <f t="shared" si="128"/>
        <v>91.445977193374688</v>
      </c>
      <c r="AM488" s="243"/>
    </row>
    <row r="489" spans="1:39" ht="24.75" customHeight="1" x14ac:dyDescent="0.25">
      <c r="A489" s="243"/>
      <c r="B489" s="457"/>
      <c r="C489" s="457"/>
      <c r="D489" s="457"/>
      <c r="E489" s="457"/>
      <c r="F489" s="457"/>
      <c r="G489" s="457"/>
      <c r="H489" s="457"/>
      <c r="I489" s="458"/>
      <c r="J489" s="457" t="s">
        <v>282</v>
      </c>
      <c r="K489" s="245"/>
      <c r="L489" s="257"/>
      <c r="M489" s="591" t="s">
        <v>591</v>
      </c>
      <c r="N489" s="592"/>
      <c r="O489" s="179"/>
      <c r="P489" s="180"/>
      <c r="Q489" s="180">
        <v>150000000</v>
      </c>
      <c r="R489" s="181">
        <f>Q489/Q483*100</f>
        <v>62.050035634714959</v>
      </c>
      <c r="S489" s="181">
        <v>100</v>
      </c>
      <c r="T489" s="180">
        <f t="shared" si="117"/>
        <v>10</v>
      </c>
      <c r="U489" s="180">
        <f t="shared" si="122"/>
        <v>6.2050035634714957</v>
      </c>
      <c r="V489" s="182">
        <f t="shared" si="95"/>
        <v>90</v>
      </c>
      <c r="W489" s="180"/>
      <c r="X489" s="180"/>
      <c r="Y489" s="180"/>
      <c r="Z489" s="180"/>
      <c r="AA489" s="180"/>
      <c r="AB489" s="180"/>
      <c r="AC489" s="180"/>
      <c r="AD489" s="180"/>
      <c r="AE489" s="180"/>
      <c r="AF489" s="180"/>
      <c r="AG489" s="180"/>
      <c r="AH489" s="180"/>
      <c r="AI489" s="180">
        <v>15000000</v>
      </c>
      <c r="AJ489" s="181">
        <f t="shared" si="127"/>
        <v>10</v>
      </c>
      <c r="AK489" s="180">
        <f t="shared" si="120"/>
        <v>135000000</v>
      </c>
      <c r="AL489" s="181">
        <f t="shared" si="128"/>
        <v>90</v>
      </c>
      <c r="AM489" s="243"/>
    </row>
    <row r="490" spans="1:39" s="297" customFormat="1" ht="27.75" customHeight="1" x14ac:dyDescent="0.25">
      <c r="A490" s="227">
        <v>61</v>
      </c>
      <c r="B490" s="462"/>
      <c r="C490" s="462"/>
      <c r="D490" s="462"/>
      <c r="E490" s="462"/>
      <c r="F490" s="462"/>
      <c r="G490" s="462"/>
      <c r="H490" s="462"/>
      <c r="I490" s="461"/>
      <c r="J490" s="304" t="s">
        <v>514</v>
      </c>
      <c r="K490" s="230"/>
      <c r="L490" s="294"/>
      <c r="M490" s="610" t="s">
        <v>200</v>
      </c>
      <c r="N490" s="612"/>
      <c r="O490" s="309"/>
      <c r="P490" s="231"/>
      <c r="Q490" s="231">
        <f>SUM(Q491:Q494)</f>
        <v>395380000</v>
      </c>
      <c r="R490" s="233">
        <f>Q490/Q$248*100</f>
        <v>3.3147648111132124</v>
      </c>
      <c r="S490" s="233">
        <v>100</v>
      </c>
      <c r="T490" s="231">
        <f t="shared" si="117"/>
        <v>34.798320602964239</v>
      </c>
      <c r="U490" s="231">
        <f t="shared" si="122"/>
        <v>1.1534824862054176</v>
      </c>
      <c r="V490" s="296">
        <f t="shared" si="95"/>
        <v>65.201679397035761</v>
      </c>
      <c r="W490" s="231"/>
      <c r="X490" s="231"/>
      <c r="Y490" s="231"/>
      <c r="Z490" s="231"/>
      <c r="AA490" s="231"/>
      <c r="AB490" s="231"/>
      <c r="AC490" s="231"/>
      <c r="AD490" s="231"/>
      <c r="AE490" s="231"/>
      <c r="AF490" s="231"/>
      <c r="AG490" s="231"/>
      <c r="AH490" s="231"/>
      <c r="AI490" s="231">
        <f>SUM(AI491:AI494)</f>
        <v>137585600</v>
      </c>
      <c r="AJ490" s="233">
        <f t="shared" si="127"/>
        <v>34.798320602964239</v>
      </c>
      <c r="AK490" s="231">
        <f t="shared" ref="AK490:AK495" si="130">Q490-AI490</f>
        <v>257794400</v>
      </c>
      <c r="AL490" s="233">
        <f t="shared" si="128"/>
        <v>65.201679397035761</v>
      </c>
      <c r="AM490" s="227"/>
    </row>
    <row r="491" spans="1:39" ht="29.25" customHeight="1" x14ac:dyDescent="0.25">
      <c r="A491" s="243"/>
      <c r="B491" s="457"/>
      <c r="C491" s="457"/>
      <c r="D491" s="457"/>
      <c r="E491" s="457"/>
      <c r="F491" s="457"/>
      <c r="G491" s="457"/>
      <c r="H491" s="457"/>
      <c r="I491" s="458"/>
      <c r="J491" s="457" t="s">
        <v>315</v>
      </c>
      <c r="K491" s="245"/>
      <c r="L491" s="257"/>
      <c r="M491" s="591" t="s">
        <v>271</v>
      </c>
      <c r="N491" s="592"/>
      <c r="O491" s="179"/>
      <c r="P491" s="180"/>
      <c r="Q491" s="180">
        <v>20295000</v>
      </c>
      <c r="R491" s="181">
        <f>Q491/Q$490*100</f>
        <v>5.1330365724113509</v>
      </c>
      <c r="S491" s="181">
        <v>100</v>
      </c>
      <c r="T491" s="180">
        <f t="shared" si="117"/>
        <v>99.744271988174432</v>
      </c>
      <c r="U491" s="180">
        <f t="shared" si="122"/>
        <v>5.1199099600384441</v>
      </c>
      <c r="V491" s="182">
        <f t="shared" si="95"/>
        <v>0.25572801182556759</v>
      </c>
      <c r="W491" s="180"/>
      <c r="X491" s="180"/>
      <c r="Y491" s="180"/>
      <c r="Z491" s="180"/>
      <c r="AA491" s="180"/>
      <c r="AB491" s="180"/>
      <c r="AC491" s="180"/>
      <c r="AD491" s="180"/>
      <c r="AE491" s="180"/>
      <c r="AF491" s="180"/>
      <c r="AG491" s="180"/>
      <c r="AH491" s="180"/>
      <c r="AI491" s="180">
        <v>20243100</v>
      </c>
      <c r="AJ491" s="181">
        <f t="shared" si="127"/>
        <v>99.744271988174432</v>
      </c>
      <c r="AK491" s="180">
        <f t="shared" si="130"/>
        <v>51900</v>
      </c>
      <c r="AL491" s="181">
        <f t="shared" si="128"/>
        <v>0.25572801182557281</v>
      </c>
      <c r="AM491" s="243"/>
    </row>
    <row r="492" spans="1:39" ht="24.75" customHeight="1" x14ac:dyDescent="0.25">
      <c r="A492" s="243"/>
      <c r="B492" s="457"/>
      <c r="C492" s="457"/>
      <c r="D492" s="457"/>
      <c r="E492" s="457"/>
      <c r="F492" s="457"/>
      <c r="G492" s="457"/>
      <c r="H492" s="457"/>
      <c r="I492" s="458"/>
      <c r="J492" s="457" t="s">
        <v>284</v>
      </c>
      <c r="K492" s="245"/>
      <c r="L492" s="257"/>
      <c r="M492" s="591" t="s">
        <v>285</v>
      </c>
      <c r="N492" s="592"/>
      <c r="O492" s="179"/>
      <c r="P492" s="180"/>
      <c r="Q492" s="180">
        <v>5000000</v>
      </c>
      <c r="R492" s="181">
        <f>Q492/Q$490*100</f>
        <v>1.2646062016288129</v>
      </c>
      <c r="S492" s="181">
        <v>100</v>
      </c>
      <c r="T492" s="180">
        <f t="shared" si="117"/>
        <v>0</v>
      </c>
      <c r="U492" s="180">
        <f t="shared" si="122"/>
        <v>0</v>
      </c>
      <c r="V492" s="182">
        <f t="shared" si="95"/>
        <v>100</v>
      </c>
      <c r="W492" s="180"/>
      <c r="X492" s="180"/>
      <c r="Y492" s="180"/>
      <c r="Z492" s="180"/>
      <c r="AA492" s="180"/>
      <c r="AB492" s="180"/>
      <c r="AC492" s="180"/>
      <c r="AD492" s="180"/>
      <c r="AE492" s="180"/>
      <c r="AF492" s="180"/>
      <c r="AG492" s="180"/>
      <c r="AH492" s="180"/>
      <c r="AI492" s="180">
        <v>0</v>
      </c>
      <c r="AJ492" s="181">
        <f t="shared" si="127"/>
        <v>0</v>
      </c>
      <c r="AK492" s="180">
        <f t="shared" si="130"/>
        <v>5000000</v>
      </c>
      <c r="AL492" s="181">
        <f t="shared" si="128"/>
        <v>100</v>
      </c>
      <c r="AM492" s="243"/>
    </row>
    <row r="493" spans="1:39" ht="24.75" customHeight="1" x14ac:dyDescent="0.25">
      <c r="A493" s="243"/>
      <c r="B493" s="457"/>
      <c r="C493" s="457"/>
      <c r="D493" s="457"/>
      <c r="E493" s="457"/>
      <c r="F493" s="457"/>
      <c r="G493" s="457"/>
      <c r="H493" s="457"/>
      <c r="I493" s="458"/>
      <c r="J493" s="457" t="s">
        <v>309</v>
      </c>
      <c r="K493" s="245"/>
      <c r="L493" s="257"/>
      <c r="M493" s="591" t="s">
        <v>310</v>
      </c>
      <c r="N493" s="592"/>
      <c r="O493" s="179"/>
      <c r="P493" s="180"/>
      <c r="Q493" s="180">
        <v>219362000</v>
      </c>
      <c r="R493" s="181">
        <f>Q493/Q$490*100</f>
        <v>55.48130912033993</v>
      </c>
      <c r="S493" s="181">
        <v>100</v>
      </c>
      <c r="T493" s="180">
        <f t="shared" si="117"/>
        <v>53.492628623006723</v>
      </c>
      <c r="U493" s="180">
        <f t="shared" si="122"/>
        <v>29.678410642925797</v>
      </c>
      <c r="V493" s="182">
        <f t="shared" si="95"/>
        <v>46.507371376993277</v>
      </c>
      <c r="W493" s="180"/>
      <c r="X493" s="180"/>
      <c r="Y493" s="180"/>
      <c r="Z493" s="180"/>
      <c r="AA493" s="180"/>
      <c r="AB493" s="180"/>
      <c r="AC493" s="180"/>
      <c r="AD493" s="180"/>
      <c r="AE493" s="180"/>
      <c r="AF493" s="180"/>
      <c r="AG493" s="180"/>
      <c r="AH493" s="180"/>
      <c r="AI493" s="180">
        <v>117342500</v>
      </c>
      <c r="AJ493" s="181">
        <f t="shared" si="127"/>
        <v>53.492628623006723</v>
      </c>
      <c r="AK493" s="180">
        <f t="shared" si="130"/>
        <v>102019500</v>
      </c>
      <c r="AL493" s="181">
        <f t="shared" si="128"/>
        <v>46.507371376993277</v>
      </c>
      <c r="AM493" s="243"/>
    </row>
    <row r="494" spans="1:39" ht="24.75" customHeight="1" x14ac:dyDescent="0.25">
      <c r="A494" s="243"/>
      <c r="B494" s="457"/>
      <c r="C494" s="457"/>
      <c r="D494" s="457"/>
      <c r="E494" s="457"/>
      <c r="F494" s="457"/>
      <c r="G494" s="457"/>
      <c r="H494" s="457"/>
      <c r="I494" s="458"/>
      <c r="J494" s="457" t="s">
        <v>342</v>
      </c>
      <c r="K494" s="245"/>
      <c r="L494" s="257"/>
      <c r="M494" s="591" t="s">
        <v>617</v>
      </c>
      <c r="N494" s="592"/>
      <c r="O494" s="179"/>
      <c r="P494" s="180"/>
      <c r="Q494" s="180">
        <v>150723000</v>
      </c>
      <c r="R494" s="181">
        <f>Q494/Q$490*100</f>
        <v>38.121048105619906</v>
      </c>
      <c r="S494" s="181">
        <v>100</v>
      </c>
      <c r="T494" s="180">
        <f t="shared" si="117"/>
        <v>0</v>
      </c>
      <c r="U494" s="180">
        <f t="shared" si="122"/>
        <v>0</v>
      </c>
      <c r="V494" s="182">
        <f t="shared" si="95"/>
        <v>100</v>
      </c>
      <c r="W494" s="180"/>
      <c r="X494" s="180"/>
      <c r="Y494" s="180"/>
      <c r="Z494" s="180"/>
      <c r="AA494" s="180"/>
      <c r="AB494" s="180"/>
      <c r="AC494" s="180"/>
      <c r="AD494" s="180"/>
      <c r="AE494" s="180"/>
      <c r="AF494" s="180"/>
      <c r="AG494" s="180"/>
      <c r="AH494" s="180"/>
      <c r="AI494" s="180">
        <v>0</v>
      </c>
      <c r="AJ494" s="181">
        <f t="shared" si="127"/>
        <v>0</v>
      </c>
      <c r="AK494" s="180">
        <f t="shared" si="130"/>
        <v>150723000</v>
      </c>
      <c r="AL494" s="181">
        <f t="shared" si="128"/>
        <v>100</v>
      </c>
      <c r="AM494" s="243"/>
    </row>
    <row r="495" spans="1:39" s="297" customFormat="1" ht="29.25" customHeight="1" x14ac:dyDescent="0.25">
      <c r="A495" s="227">
        <f>SUM(A490+1)</f>
        <v>62</v>
      </c>
      <c r="B495" s="615" t="s">
        <v>158</v>
      </c>
      <c r="C495" s="615"/>
      <c r="D495" s="615"/>
      <c r="E495" s="615"/>
      <c r="F495" s="615"/>
      <c r="G495" s="615"/>
      <c r="H495" s="615"/>
      <c r="I495" s="614"/>
      <c r="J495" s="304" t="s">
        <v>515</v>
      </c>
      <c r="K495" s="230"/>
      <c r="L495" s="294"/>
      <c r="M495" s="610" t="s">
        <v>161</v>
      </c>
      <c r="N495" s="610"/>
      <c r="O495" s="309">
        <v>355300000</v>
      </c>
      <c r="P495" s="231">
        <v>0</v>
      </c>
      <c r="Q495" s="231">
        <f>SUM(Q496:Q503)</f>
        <v>20233874</v>
      </c>
      <c r="R495" s="233">
        <f>Q495/Q$248*100</f>
        <v>0.16963562529136159</v>
      </c>
      <c r="S495" s="233">
        <v>100</v>
      </c>
      <c r="T495" s="231">
        <f t="shared" si="117"/>
        <v>0</v>
      </c>
      <c r="U495" s="231">
        <f t="shared" si="122"/>
        <v>0</v>
      </c>
      <c r="V495" s="296">
        <f t="shared" si="95"/>
        <v>100</v>
      </c>
      <c r="W495" s="231"/>
      <c r="X495" s="231"/>
      <c r="Y495" s="231"/>
      <c r="Z495" s="231"/>
      <c r="AA495" s="231"/>
      <c r="AB495" s="231"/>
      <c r="AC495" s="231"/>
      <c r="AD495" s="231"/>
      <c r="AE495" s="231"/>
      <c r="AF495" s="231"/>
      <c r="AG495" s="231" t="e">
        <f>[2]april!N82</f>
        <v>#REF!</v>
      </c>
      <c r="AH495" s="231">
        <f>'[3]DES SKPD'!$N82</f>
        <v>34370000</v>
      </c>
      <c r="AI495" s="231">
        <f>SUM(AI496:AI503)</f>
        <v>0</v>
      </c>
      <c r="AJ495" s="233">
        <f t="shared" si="127"/>
        <v>0</v>
      </c>
      <c r="AK495" s="231">
        <f t="shared" si="130"/>
        <v>20233874</v>
      </c>
      <c r="AL495" s="233">
        <f t="shared" si="128"/>
        <v>100</v>
      </c>
      <c r="AM495" s="227"/>
    </row>
    <row r="496" spans="1:39" ht="29.25" customHeight="1" x14ac:dyDescent="0.25">
      <c r="A496" s="243"/>
      <c r="B496" s="457"/>
      <c r="C496" s="457"/>
      <c r="D496" s="457"/>
      <c r="E496" s="457"/>
      <c r="F496" s="457"/>
      <c r="G496" s="457"/>
      <c r="H496" s="457"/>
      <c r="I496" s="458"/>
      <c r="J496" s="457" t="s">
        <v>257</v>
      </c>
      <c r="K496" s="245"/>
      <c r="L496" s="257"/>
      <c r="M496" s="591" t="s">
        <v>260</v>
      </c>
      <c r="N496" s="592"/>
      <c r="O496" s="179"/>
      <c r="P496" s="180"/>
      <c r="Q496" s="180">
        <v>650000</v>
      </c>
      <c r="R496" s="181">
        <f>Q496/Q$495*100</f>
        <v>3.2124347517435363</v>
      </c>
      <c r="S496" s="181">
        <v>100</v>
      </c>
      <c r="T496" s="180">
        <f t="shared" si="117"/>
        <v>0</v>
      </c>
      <c r="U496" s="180">
        <f t="shared" si="122"/>
        <v>0</v>
      </c>
      <c r="V496" s="182">
        <f t="shared" si="95"/>
        <v>100</v>
      </c>
      <c r="W496" s="180"/>
      <c r="X496" s="180"/>
      <c r="Y496" s="180"/>
      <c r="Z496" s="180"/>
      <c r="AA496" s="180"/>
      <c r="AB496" s="180"/>
      <c r="AC496" s="180"/>
      <c r="AD496" s="180"/>
      <c r="AE496" s="180"/>
      <c r="AF496" s="180"/>
      <c r="AG496" s="180"/>
      <c r="AH496" s="180"/>
      <c r="AI496" s="180">
        <v>0</v>
      </c>
      <c r="AJ496" s="181">
        <f t="shared" si="127"/>
        <v>0</v>
      </c>
      <c r="AK496" s="180">
        <f>SUM(Q496-AI496)</f>
        <v>650000</v>
      </c>
      <c r="AL496" s="181">
        <f t="shared" si="128"/>
        <v>100</v>
      </c>
      <c r="AM496" s="243"/>
    </row>
    <row r="497" spans="1:39" ht="42" customHeight="1" x14ac:dyDescent="0.25">
      <c r="A497" s="243"/>
      <c r="B497" s="457"/>
      <c r="C497" s="457"/>
      <c r="D497" s="457"/>
      <c r="E497" s="457"/>
      <c r="F497" s="457"/>
      <c r="G497" s="457"/>
      <c r="H497" s="457"/>
      <c r="I497" s="458"/>
      <c r="J497" s="457" t="s">
        <v>345</v>
      </c>
      <c r="K497" s="245"/>
      <c r="L497" s="257"/>
      <c r="M497" s="591" t="s">
        <v>351</v>
      </c>
      <c r="N497" s="592"/>
      <c r="O497" s="179"/>
      <c r="P497" s="180"/>
      <c r="Q497" s="180">
        <v>250000</v>
      </c>
      <c r="R497" s="181">
        <f t="shared" ref="R497:R503" si="131">Q497/Q$495*100</f>
        <v>1.2355518275936679</v>
      </c>
      <c r="S497" s="181">
        <v>100</v>
      </c>
      <c r="T497" s="180">
        <f t="shared" si="117"/>
        <v>0</v>
      </c>
      <c r="U497" s="180">
        <f t="shared" si="122"/>
        <v>0</v>
      </c>
      <c r="V497" s="182">
        <f t="shared" si="95"/>
        <v>100</v>
      </c>
      <c r="W497" s="180"/>
      <c r="X497" s="180"/>
      <c r="Y497" s="180"/>
      <c r="Z497" s="180"/>
      <c r="AA497" s="180"/>
      <c r="AB497" s="180"/>
      <c r="AC497" s="180"/>
      <c r="AD497" s="180"/>
      <c r="AE497" s="180"/>
      <c r="AF497" s="180"/>
      <c r="AG497" s="180"/>
      <c r="AH497" s="180"/>
      <c r="AI497" s="180">
        <v>0</v>
      </c>
      <c r="AJ497" s="181">
        <f t="shared" si="127"/>
        <v>0</v>
      </c>
      <c r="AK497" s="180">
        <f t="shared" ref="AK497:AK503" si="132">SUM(Q497-AI497)</f>
        <v>250000</v>
      </c>
      <c r="AL497" s="181">
        <f t="shared" si="128"/>
        <v>100</v>
      </c>
      <c r="AM497" s="243"/>
    </row>
    <row r="498" spans="1:39" ht="29.25" customHeight="1" x14ac:dyDescent="0.25">
      <c r="A498" s="243"/>
      <c r="B498" s="457"/>
      <c r="C498" s="457"/>
      <c r="D498" s="457"/>
      <c r="E498" s="457"/>
      <c r="F498" s="457"/>
      <c r="G498" s="457"/>
      <c r="H498" s="457"/>
      <c r="I498" s="458"/>
      <c r="J498" s="457" t="s">
        <v>315</v>
      </c>
      <c r="K498" s="245"/>
      <c r="L498" s="257"/>
      <c r="M498" s="591" t="s">
        <v>271</v>
      </c>
      <c r="N498" s="592"/>
      <c r="O498" s="179"/>
      <c r="P498" s="180"/>
      <c r="Q498" s="180">
        <v>250000</v>
      </c>
      <c r="R498" s="181">
        <f t="shared" si="131"/>
        <v>1.2355518275936679</v>
      </c>
      <c r="S498" s="181">
        <v>100</v>
      </c>
      <c r="T498" s="180">
        <f t="shared" si="117"/>
        <v>0</v>
      </c>
      <c r="U498" s="180">
        <f t="shared" si="122"/>
        <v>0</v>
      </c>
      <c r="V498" s="182">
        <f t="shared" si="95"/>
        <v>100</v>
      </c>
      <c r="W498" s="180"/>
      <c r="X498" s="180"/>
      <c r="Y498" s="180"/>
      <c r="Z498" s="180"/>
      <c r="AA498" s="180"/>
      <c r="AB498" s="180"/>
      <c r="AC498" s="180"/>
      <c r="AD498" s="180"/>
      <c r="AE498" s="180"/>
      <c r="AF498" s="180"/>
      <c r="AG498" s="180"/>
      <c r="AH498" s="180"/>
      <c r="AI498" s="180">
        <v>0</v>
      </c>
      <c r="AJ498" s="181">
        <f t="shared" si="127"/>
        <v>0</v>
      </c>
      <c r="AK498" s="180">
        <f t="shared" si="132"/>
        <v>250000</v>
      </c>
      <c r="AL498" s="181">
        <f t="shared" si="128"/>
        <v>100</v>
      </c>
      <c r="AM498" s="243"/>
    </row>
    <row r="499" spans="1:39" ht="29.25" customHeight="1" x14ac:dyDescent="0.25">
      <c r="A499" s="243"/>
      <c r="B499" s="457"/>
      <c r="C499" s="457"/>
      <c r="D499" s="457"/>
      <c r="E499" s="457"/>
      <c r="F499" s="457"/>
      <c r="G499" s="457"/>
      <c r="H499" s="457"/>
      <c r="I499" s="458"/>
      <c r="J499" s="457" t="s">
        <v>342</v>
      </c>
      <c r="K499" s="245"/>
      <c r="L499" s="257"/>
      <c r="M499" s="591" t="s">
        <v>612</v>
      </c>
      <c r="N499" s="592"/>
      <c r="O499" s="179"/>
      <c r="P499" s="180"/>
      <c r="Q499" s="180">
        <v>250000</v>
      </c>
      <c r="R499" s="181">
        <f t="shared" si="131"/>
        <v>1.2355518275936679</v>
      </c>
      <c r="S499" s="181">
        <v>100</v>
      </c>
      <c r="T499" s="180">
        <f t="shared" si="117"/>
        <v>0</v>
      </c>
      <c r="U499" s="180">
        <f t="shared" si="122"/>
        <v>0</v>
      </c>
      <c r="V499" s="182">
        <f t="shared" si="95"/>
        <v>100</v>
      </c>
      <c r="W499" s="180"/>
      <c r="X499" s="180"/>
      <c r="Y499" s="180"/>
      <c r="Z499" s="180"/>
      <c r="AA499" s="180"/>
      <c r="AB499" s="180"/>
      <c r="AC499" s="180"/>
      <c r="AD499" s="180"/>
      <c r="AE499" s="180"/>
      <c r="AF499" s="180"/>
      <c r="AG499" s="180"/>
      <c r="AH499" s="180"/>
      <c r="AI499" s="180">
        <v>0</v>
      </c>
      <c r="AJ499" s="181">
        <f t="shared" si="127"/>
        <v>0</v>
      </c>
      <c r="AK499" s="180">
        <f t="shared" si="132"/>
        <v>250000</v>
      </c>
      <c r="AL499" s="181">
        <f t="shared" si="128"/>
        <v>100</v>
      </c>
      <c r="AM499" s="243"/>
    </row>
    <row r="500" spans="1:39" ht="29.25" customHeight="1" x14ac:dyDescent="0.25">
      <c r="A500" s="243"/>
      <c r="B500" s="457"/>
      <c r="C500" s="457"/>
      <c r="D500" s="457"/>
      <c r="E500" s="457"/>
      <c r="F500" s="457"/>
      <c r="G500" s="457"/>
      <c r="H500" s="457"/>
      <c r="I500" s="458"/>
      <c r="J500" s="457" t="s">
        <v>318</v>
      </c>
      <c r="K500" s="245"/>
      <c r="L500" s="257"/>
      <c r="M500" s="591" t="s">
        <v>319</v>
      </c>
      <c r="N500" s="592"/>
      <c r="O500" s="179"/>
      <c r="P500" s="180"/>
      <c r="Q500" s="180">
        <v>10500000</v>
      </c>
      <c r="R500" s="181">
        <f t="shared" si="131"/>
        <v>51.893176758934054</v>
      </c>
      <c r="S500" s="181">
        <v>100</v>
      </c>
      <c r="T500" s="180">
        <f t="shared" si="117"/>
        <v>0</v>
      </c>
      <c r="U500" s="180">
        <f t="shared" si="122"/>
        <v>0</v>
      </c>
      <c r="V500" s="182">
        <f t="shared" si="95"/>
        <v>100</v>
      </c>
      <c r="W500" s="180"/>
      <c r="X500" s="180"/>
      <c r="Y500" s="180"/>
      <c r="Z500" s="180"/>
      <c r="AA500" s="180"/>
      <c r="AB500" s="180"/>
      <c r="AC500" s="180"/>
      <c r="AD500" s="180"/>
      <c r="AE500" s="180"/>
      <c r="AF500" s="180"/>
      <c r="AG500" s="180"/>
      <c r="AH500" s="180"/>
      <c r="AI500" s="180">
        <v>0</v>
      </c>
      <c r="AJ500" s="181">
        <f t="shared" si="127"/>
        <v>0</v>
      </c>
      <c r="AK500" s="180">
        <f t="shared" si="132"/>
        <v>10500000</v>
      </c>
      <c r="AL500" s="181">
        <f t="shared" si="128"/>
        <v>100</v>
      </c>
      <c r="AM500" s="243"/>
    </row>
    <row r="501" spans="1:39" ht="29.25" customHeight="1" x14ac:dyDescent="0.25">
      <c r="A501" s="243"/>
      <c r="B501" s="457"/>
      <c r="C501" s="457"/>
      <c r="D501" s="457"/>
      <c r="E501" s="457"/>
      <c r="F501" s="457"/>
      <c r="G501" s="457"/>
      <c r="H501" s="457"/>
      <c r="I501" s="458"/>
      <c r="J501" s="457" t="s">
        <v>284</v>
      </c>
      <c r="K501" s="245"/>
      <c r="L501" s="257"/>
      <c r="M501" s="591" t="s">
        <v>285</v>
      </c>
      <c r="N501" s="592"/>
      <c r="O501" s="179"/>
      <c r="P501" s="180"/>
      <c r="Q501" s="180">
        <v>2890000</v>
      </c>
      <c r="R501" s="181">
        <f t="shared" si="131"/>
        <v>14.2829791269828</v>
      </c>
      <c r="S501" s="181">
        <v>100</v>
      </c>
      <c r="T501" s="180">
        <f t="shared" si="117"/>
        <v>0</v>
      </c>
      <c r="U501" s="180">
        <f t="shared" si="122"/>
        <v>0</v>
      </c>
      <c r="V501" s="182">
        <f t="shared" si="95"/>
        <v>100</v>
      </c>
      <c r="W501" s="180"/>
      <c r="X501" s="180"/>
      <c r="Y501" s="180"/>
      <c r="Z501" s="180"/>
      <c r="AA501" s="180"/>
      <c r="AB501" s="180"/>
      <c r="AC501" s="180"/>
      <c r="AD501" s="180"/>
      <c r="AE501" s="180"/>
      <c r="AF501" s="180"/>
      <c r="AG501" s="180"/>
      <c r="AH501" s="180"/>
      <c r="AI501" s="180">
        <v>0</v>
      </c>
      <c r="AJ501" s="181">
        <f t="shared" si="127"/>
        <v>0</v>
      </c>
      <c r="AK501" s="180">
        <f t="shared" si="132"/>
        <v>2890000</v>
      </c>
      <c r="AL501" s="181">
        <f t="shared" si="128"/>
        <v>100</v>
      </c>
      <c r="AM501" s="243"/>
    </row>
    <row r="502" spans="1:39" ht="29.25" customHeight="1" x14ac:dyDescent="0.25">
      <c r="A502" s="243"/>
      <c r="B502" s="457"/>
      <c r="C502" s="457"/>
      <c r="D502" s="457"/>
      <c r="E502" s="457"/>
      <c r="F502" s="457"/>
      <c r="G502" s="457"/>
      <c r="H502" s="457"/>
      <c r="I502" s="458"/>
      <c r="J502" s="457" t="s">
        <v>282</v>
      </c>
      <c r="K502" s="245"/>
      <c r="L502" s="257"/>
      <c r="M502" s="591" t="s">
        <v>283</v>
      </c>
      <c r="N502" s="592"/>
      <c r="O502" s="179"/>
      <c r="P502" s="180"/>
      <c r="Q502" s="180">
        <v>2943874</v>
      </c>
      <c r="R502" s="181">
        <f t="shared" si="131"/>
        <v>14.549235603621927</v>
      </c>
      <c r="S502" s="181">
        <v>100</v>
      </c>
      <c r="T502" s="180">
        <f t="shared" si="117"/>
        <v>0</v>
      </c>
      <c r="U502" s="180">
        <f t="shared" si="122"/>
        <v>0</v>
      </c>
      <c r="V502" s="182">
        <f t="shared" si="95"/>
        <v>100</v>
      </c>
      <c r="W502" s="180"/>
      <c r="X502" s="180"/>
      <c r="Y502" s="180"/>
      <c r="Z502" s="180"/>
      <c r="AA502" s="180"/>
      <c r="AB502" s="180"/>
      <c r="AC502" s="180"/>
      <c r="AD502" s="180"/>
      <c r="AE502" s="180"/>
      <c r="AF502" s="180"/>
      <c r="AG502" s="180"/>
      <c r="AH502" s="180"/>
      <c r="AI502" s="180">
        <v>0</v>
      </c>
      <c r="AJ502" s="181">
        <f t="shared" si="127"/>
        <v>0</v>
      </c>
      <c r="AK502" s="180">
        <f t="shared" si="132"/>
        <v>2943874</v>
      </c>
      <c r="AL502" s="181">
        <f t="shared" si="128"/>
        <v>100</v>
      </c>
      <c r="AM502" s="243"/>
    </row>
    <row r="503" spans="1:39" ht="29.25" customHeight="1" x14ac:dyDescent="0.25">
      <c r="A503" s="243"/>
      <c r="B503" s="457"/>
      <c r="C503" s="457"/>
      <c r="D503" s="457"/>
      <c r="E503" s="457"/>
      <c r="F503" s="457"/>
      <c r="G503" s="457"/>
      <c r="H503" s="457"/>
      <c r="I503" s="458"/>
      <c r="J503" s="457" t="s">
        <v>320</v>
      </c>
      <c r="K503" s="245"/>
      <c r="L503" s="257"/>
      <c r="M503" s="591" t="s">
        <v>321</v>
      </c>
      <c r="N503" s="592"/>
      <c r="O503" s="179"/>
      <c r="P503" s="180"/>
      <c r="Q503" s="180">
        <v>2500000</v>
      </c>
      <c r="R503" s="181">
        <f t="shared" si="131"/>
        <v>12.35551827593668</v>
      </c>
      <c r="S503" s="181">
        <v>100</v>
      </c>
      <c r="T503" s="180">
        <f t="shared" si="117"/>
        <v>0</v>
      </c>
      <c r="U503" s="180">
        <f t="shared" si="122"/>
        <v>0</v>
      </c>
      <c r="V503" s="182">
        <f t="shared" si="95"/>
        <v>100</v>
      </c>
      <c r="W503" s="180"/>
      <c r="X503" s="180"/>
      <c r="Y503" s="180"/>
      <c r="Z503" s="180"/>
      <c r="AA503" s="180"/>
      <c r="AB503" s="180"/>
      <c r="AC503" s="180"/>
      <c r="AD503" s="180"/>
      <c r="AE503" s="180"/>
      <c r="AF503" s="180"/>
      <c r="AG503" s="180"/>
      <c r="AH503" s="180"/>
      <c r="AI503" s="180">
        <v>0</v>
      </c>
      <c r="AJ503" s="181">
        <f t="shared" si="127"/>
        <v>0</v>
      </c>
      <c r="AK503" s="180">
        <f t="shared" si="132"/>
        <v>2500000</v>
      </c>
      <c r="AL503" s="181">
        <f t="shared" si="128"/>
        <v>100</v>
      </c>
      <c r="AM503" s="243"/>
    </row>
    <row r="504" spans="1:39" s="297" customFormat="1" ht="29.25" customHeight="1" x14ac:dyDescent="0.25">
      <c r="A504" s="227">
        <f>A495+1</f>
        <v>63</v>
      </c>
      <c r="B504" s="615" t="s">
        <v>158</v>
      </c>
      <c r="C504" s="615"/>
      <c r="D504" s="615"/>
      <c r="E504" s="615"/>
      <c r="F504" s="615"/>
      <c r="G504" s="615"/>
      <c r="H504" s="615"/>
      <c r="I504" s="614"/>
      <c r="J504" s="304" t="s">
        <v>516</v>
      </c>
      <c r="K504" s="230"/>
      <c r="L504" s="294"/>
      <c r="M504" s="610" t="s">
        <v>162</v>
      </c>
      <c r="N504" s="610"/>
      <c r="O504" s="309">
        <v>355300000</v>
      </c>
      <c r="P504" s="231">
        <v>0</v>
      </c>
      <c r="Q504" s="231">
        <f>SUM(Q505:Q510)</f>
        <v>381500000</v>
      </c>
      <c r="R504" s="233">
        <f>Q504/Q$248*100</f>
        <v>3.1983984405880177</v>
      </c>
      <c r="S504" s="233">
        <v>100</v>
      </c>
      <c r="T504" s="231">
        <f t="shared" si="117"/>
        <v>52.322935779816518</v>
      </c>
      <c r="U504" s="231">
        <f t="shared" si="122"/>
        <v>1.6734959620515215</v>
      </c>
      <c r="V504" s="296">
        <f t="shared" si="95"/>
        <v>47.677064220183482</v>
      </c>
      <c r="W504" s="231"/>
      <c r="X504" s="231"/>
      <c r="Y504" s="231"/>
      <c r="Z504" s="231"/>
      <c r="AA504" s="231"/>
      <c r="AB504" s="231"/>
      <c r="AC504" s="231"/>
      <c r="AD504" s="231"/>
      <c r="AE504" s="231"/>
      <c r="AF504" s="231"/>
      <c r="AG504" s="231" t="e">
        <f>[2]april!N83</f>
        <v>#REF!</v>
      </c>
      <c r="AH504" s="231">
        <f>'[3]DES SKPD'!$N83</f>
        <v>33663000</v>
      </c>
      <c r="AI504" s="231">
        <f>SUM(AI505:AI510)</f>
        <v>199612000</v>
      </c>
      <c r="AJ504" s="233">
        <f t="shared" si="127"/>
        <v>52.322935779816518</v>
      </c>
      <c r="AK504" s="231">
        <f>Q504-AI504</f>
        <v>181888000</v>
      </c>
      <c r="AL504" s="233">
        <f t="shared" si="128"/>
        <v>47.677064220183482</v>
      </c>
      <c r="AM504" s="227"/>
    </row>
    <row r="505" spans="1:39" ht="29.25" customHeight="1" x14ac:dyDescent="0.25">
      <c r="A505" s="243"/>
      <c r="B505" s="457"/>
      <c r="C505" s="457"/>
      <c r="D505" s="457"/>
      <c r="E505" s="457"/>
      <c r="F505" s="457"/>
      <c r="G505" s="457"/>
      <c r="H505" s="457"/>
      <c r="I505" s="458"/>
      <c r="J505" s="457" t="s">
        <v>332</v>
      </c>
      <c r="K505" s="245"/>
      <c r="L505" s="257"/>
      <c r="M505" s="591" t="s">
        <v>351</v>
      </c>
      <c r="N505" s="592"/>
      <c r="O505" s="179"/>
      <c r="P505" s="180"/>
      <c r="Q505" s="180">
        <v>500000</v>
      </c>
      <c r="R505" s="181">
        <f t="shared" ref="R505:R510" si="133">Q505/Q$504*100</f>
        <v>0.13106159895150721</v>
      </c>
      <c r="S505" s="181">
        <v>100</v>
      </c>
      <c r="T505" s="180">
        <f t="shared" si="117"/>
        <v>0</v>
      </c>
      <c r="U505" s="180">
        <f t="shared" si="122"/>
        <v>0</v>
      </c>
      <c r="V505" s="182">
        <f t="shared" si="95"/>
        <v>100</v>
      </c>
      <c r="W505" s="180"/>
      <c r="X505" s="180"/>
      <c r="Y505" s="180"/>
      <c r="Z505" s="180"/>
      <c r="AA505" s="180"/>
      <c r="AB505" s="180"/>
      <c r="AC505" s="180"/>
      <c r="AD505" s="180"/>
      <c r="AE505" s="180"/>
      <c r="AF505" s="180"/>
      <c r="AG505" s="180"/>
      <c r="AH505" s="180"/>
      <c r="AI505" s="180">
        <v>0</v>
      </c>
      <c r="AJ505" s="181">
        <f t="shared" si="127"/>
        <v>0</v>
      </c>
      <c r="AK505" s="180">
        <f t="shared" ref="AK505:AK510" si="134">SUM(Q505-AI505)</f>
        <v>500000</v>
      </c>
      <c r="AL505" s="181">
        <f t="shared" si="128"/>
        <v>100</v>
      </c>
      <c r="AM505" s="243"/>
    </row>
    <row r="506" spans="1:39" ht="29.25" customHeight="1" x14ac:dyDescent="0.25">
      <c r="A506" s="243"/>
      <c r="B506" s="457"/>
      <c r="C506" s="457"/>
      <c r="D506" s="457"/>
      <c r="E506" s="457"/>
      <c r="F506" s="457"/>
      <c r="G506" s="457"/>
      <c r="H506" s="457"/>
      <c r="I506" s="458"/>
      <c r="J506" s="457" t="s">
        <v>269</v>
      </c>
      <c r="K506" s="245"/>
      <c r="L506" s="257"/>
      <c r="M506" s="591" t="s">
        <v>270</v>
      </c>
      <c r="N506" s="592"/>
      <c r="O506" s="179"/>
      <c r="P506" s="180"/>
      <c r="Q506" s="180">
        <v>30000000</v>
      </c>
      <c r="R506" s="181">
        <f t="shared" si="133"/>
        <v>7.8636959370904327</v>
      </c>
      <c r="S506" s="181">
        <v>100</v>
      </c>
      <c r="T506" s="180">
        <f t="shared" si="117"/>
        <v>66.25</v>
      </c>
      <c r="U506" s="180">
        <f t="shared" si="122"/>
        <v>5.2096985583224118</v>
      </c>
      <c r="V506" s="182">
        <f t="shared" si="95"/>
        <v>33.75</v>
      </c>
      <c r="W506" s="180"/>
      <c r="X506" s="180"/>
      <c r="Y506" s="180"/>
      <c r="Z506" s="180"/>
      <c r="AA506" s="180"/>
      <c r="AB506" s="180"/>
      <c r="AC506" s="180"/>
      <c r="AD506" s="180"/>
      <c r="AE506" s="180"/>
      <c r="AF506" s="180"/>
      <c r="AG506" s="180"/>
      <c r="AH506" s="180"/>
      <c r="AI506" s="180">
        <v>19875000</v>
      </c>
      <c r="AJ506" s="181">
        <f t="shared" si="127"/>
        <v>66.25</v>
      </c>
      <c r="AK506" s="180">
        <f t="shared" si="134"/>
        <v>10125000</v>
      </c>
      <c r="AL506" s="181">
        <f t="shared" si="128"/>
        <v>33.75</v>
      </c>
      <c r="AM506" s="243"/>
    </row>
    <row r="507" spans="1:39" ht="29.25" customHeight="1" x14ac:dyDescent="0.25">
      <c r="A507" s="243"/>
      <c r="B507" s="457"/>
      <c r="C507" s="457"/>
      <c r="D507" s="457"/>
      <c r="E507" s="457"/>
      <c r="F507" s="457"/>
      <c r="G507" s="457"/>
      <c r="H507" s="457"/>
      <c r="I507" s="458"/>
      <c r="J507" s="457" t="s">
        <v>315</v>
      </c>
      <c r="K507" s="245"/>
      <c r="L507" s="257"/>
      <c r="M507" s="591" t="s">
        <v>271</v>
      </c>
      <c r="N507" s="592"/>
      <c r="O507" s="179"/>
      <c r="P507" s="180"/>
      <c r="Q507" s="180">
        <v>2500000</v>
      </c>
      <c r="R507" s="181">
        <f t="shared" si="133"/>
        <v>0.65530799475753598</v>
      </c>
      <c r="S507" s="181">
        <v>100</v>
      </c>
      <c r="T507" s="180">
        <f t="shared" si="117"/>
        <v>60</v>
      </c>
      <c r="U507" s="180">
        <f t="shared" si="122"/>
        <v>0.39318479685452162</v>
      </c>
      <c r="V507" s="182">
        <f t="shared" si="95"/>
        <v>40</v>
      </c>
      <c r="W507" s="180"/>
      <c r="X507" s="180"/>
      <c r="Y507" s="180"/>
      <c r="Z507" s="180"/>
      <c r="AA507" s="180"/>
      <c r="AB507" s="180"/>
      <c r="AC507" s="180"/>
      <c r="AD507" s="180"/>
      <c r="AE507" s="180"/>
      <c r="AF507" s="180"/>
      <c r="AG507" s="180"/>
      <c r="AH507" s="180"/>
      <c r="AI507" s="180">
        <f>500000+500000+500000</f>
        <v>1500000</v>
      </c>
      <c r="AJ507" s="181">
        <f t="shared" si="127"/>
        <v>60</v>
      </c>
      <c r="AK507" s="180">
        <f t="shared" si="134"/>
        <v>1000000</v>
      </c>
      <c r="AL507" s="181">
        <f t="shared" si="128"/>
        <v>40</v>
      </c>
      <c r="AM507" s="243"/>
    </row>
    <row r="508" spans="1:39" ht="29.25" customHeight="1" x14ac:dyDescent="0.25">
      <c r="A508" s="243"/>
      <c r="B508" s="457"/>
      <c r="C508" s="457"/>
      <c r="D508" s="457"/>
      <c r="E508" s="457"/>
      <c r="F508" s="457"/>
      <c r="G508" s="457"/>
      <c r="H508" s="457"/>
      <c r="I508" s="458"/>
      <c r="J508" s="457" t="s">
        <v>284</v>
      </c>
      <c r="K508" s="245"/>
      <c r="L508" s="257"/>
      <c r="M508" s="591" t="s">
        <v>285</v>
      </c>
      <c r="N508" s="592"/>
      <c r="O508" s="179"/>
      <c r="P508" s="180"/>
      <c r="Q508" s="180">
        <v>15400000</v>
      </c>
      <c r="R508" s="181">
        <f t="shared" si="133"/>
        <v>4.0366972477064227</v>
      </c>
      <c r="S508" s="181">
        <v>100</v>
      </c>
      <c r="T508" s="180">
        <f t="shared" si="117"/>
        <v>40.714285714285715</v>
      </c>
      <c r="U508" s="180">
        <f t="shared" si="122"/>
        <v>1.6435124508519008</v>
      </c>
      <c r="V508" s="182">
        <f t="shared" si="95"/>
        <v>59.285714285714285</v>
      </c>
      <c r="W508" s="180"/>
      <c r="X508" s="180"/>
      <c r="Y508" s="180"/>
      <c r="Z508" s="180"/>
      <c r="AA508" s="180"/>
      <c r="AB508" s="180"/>
      <c r="AC508" s="180"/>
      <c r="AD508" s="180"/>
      <c r="AE508" s="180"/>
      <c r="AF508" s="180"/>
      <c r="AG508" s="180"/>
      <c r="AH508" s="180"/>
      <c r="AI508" s="180">
        <f>2310000+2310000+1650000</f>
        <v>6270000</v>
      </c>
      <c r="AJ508" s="181">
        <f t="shared" si="127"/>
        <v>40.714285714285715</v>
      </c>
      <c r="AK508" s="180">
        <f t="shared" si="134"/>
        <v>9130000</v>
      </c>
      <c r="AL508" s="181">
        <f t="shared" si="128"/>
        <v>59.285714285714285</v>
      </c>
      <c r="AM508" s="243"/>
    </row>
    <row r="509" spans="1:39" ht="29.25" customHeight="1" x14ac:dyDescent="0.25">
      <c r="A509" s="243"/>
      <c r="B509" s="457"/>
      <c r="C509" s="457"/>
      <c r="D509" s="457"/>
      <c r="E509" s="457"/>
      <c r="F509" s="457"/>
      <c r="G509" s="457"/>
      <c r="H509" s="457"/>
      <c r="I509" s="458"/>
      <c r="J509" s="457" t="s">
        <v>282</v>
      </c>
      <c r="K509" s="245"/>
      <c r="L509" s="257"/>
      <c r="M509" s="591" t="s">
        <v>283</v>
      </c>
      <c r="N509" s="592"/>
      <c r="O509" s="179"/>
      <c r="P509" s="180"/>
      <c r="Q509" s="180">
        <v>18700000</v>
      </c>
      <c r="R509" s="181">
        <f t="shared" si="133"/>
        <v>4.9017038007863691</v>
      </c>
      <c r="S509" s="181">
        <v>100</v>
      </c>
      <c r="T509" s="180">
        <f t="shared" si="117"/>
        <v>78.967914438502675</v>
      </c>
      <c r="U509" s="180">
        <f t="shared" si="122"/>
        <v>3.8707732634338132</v>
      </c>
      <c r="V509" s="182">
        <f t="shared" si="95"/>
        <v>21.032085561497325</v>
      </c>
      <c r="W509" s="180"/>
      <c r="X509" s="180"/>
      <c r="Y509" s="180"/>
      <c r="Z509" s="180"/>
      <c r="AA509" s="180"/>
      <c r="AB509" s="180"/>
      <c r="AC509" s="180"/>
      <c r="AD509" s="180"/>
      <c r="AE509" s="180"/>
      <c r="AF509" s="180"/>
      <c r="AG509" s="180"/>
      <c r="AH509" s="180"/>
      <c r="AI509" s="180">
        <f>2163000+6226000+6378000</f>
        <v>14767000</v>
      </c>
      <c r="AJ509" s="181">
        <f t="shared" si="127"/>
        <v>78.967914438502675</v>
      </c>
      <c r="AK509" s="180">
        <f t="shared" si="134"/>
        <v>3933000</v>
      </c>
      <c r="AL509" s="181">
        <f t="shared" si="128"/>
        <v>21.032085561497325</v>
      </c>
      <c r="AM509" s="243"/>
    </row>
    <row r="510" spans="1:39" ht="29.25" customHeight="1" x14ac:dyDescent="0.25">
      <c r="A510" s="243"/>
      <c r="B510" s="457"/>
      <c r="C510" s="457"/>
      <c r="D510" s="457"/>
      <c r="E510" s="457"/>
      <c r="F510" s="457"/>
      <c r="G510" s="457"/>
      <c r="H510" s="457"/>
      <c r="I510" s="458"/>
      <c r="J510" s="457" t="s">
        <v>551</v>
      </c>
      <c r="K510" s="245"/>
      <c r="L510" s="257"/>
      <c r="M510" s="591" t="s">
        <v>550</v>
      </c>
      <c r="N510" s="592"/>
      <c r="O510" s="179"/>
      <c r="P510" s="180"/>
      <c r="Q510" s="180">
        <v>314400000</v>
      </c>
      <c r="R510" s="181">
        <f t="shared" si="133"/>
        <v>82.411533420707727</v>
      </c>
      <c r="S510" s="181">
        <v>100</v>
      </c>
      <c r="T510" s="180">
        <f t="shared" si="117"/>
        <v>50</v>
      </c>
      <c r="U510" s="180">
        <f t="shared" si="122"/>
        <v>41.205766710353863</v>
      </c>
      <c r="V510" s="182">
        <f t="shared" si="95"/>
        <v>50</v>
      </c>
      <c r="W510" s="180"/>
      <c r="X510" s="180"/>
      <c r="Y510" s="180"/>
      <c r="Z510" s="180"/>
      <c r="AA510" s="180"/>
      <c r="AB510" s="180"/>
      <c r="AC510" s="180"/>
      <c r="AD510" s="180"/>
      <c r="AE510" s="180"/>
      <c r="AF510" s="180"/>
      <c r="AG510" s="180"/>
      <c r="AH510" s="180"/>
      <c r="AI510" s="180">
        <f>52400000+26200000+26200000+26200000+26200000</f>
        <v>157200000</v>
      </c>
      <c r="AJ510" s="181">
        <f t="shared" si="127"/>
        <v>50</v>
      </c>
      <c r="AK510" s="180">
        <f t="shared" si="134"/>
        <v>157200000</v>
      </c>
      <c r="AL510" s="181">
        <f t="shared" si="128"/>
        <v>50</v>
      </c>
      <c r="AM510" s="243"/>
    </row>
    <row r="511" spans="1:39" s="297" customFormat="1" ht="29.25" customHeight="1" x14ac:dyDescent="0.25">
      <c r="A511" s="227">
        <f>SUM(A504+1)</f>
        <v>64</v>
      </c>
      <c r="B511" s="462"/>
      <c r="C511" s="462"/>
      <c r="D511" s="462"/>
      <c r="E511" s="462"/>
      <c r="F511" s="462"/>
      <c r="G511" s="462"/>
      <c r="H511" s="462"/>
      <c r="I511" s="461"/>
      <c r="J511" s="304" t="s">
        <v>517</v>
      </c>
      <c r="K511" s="230"/>
      <c r="L511" s="294"/>
      <c r="M511" s="610" t="s">
        <v>369</v>
      </c>
      <c r="N511" s="612"/>
      <c r="O511" s="309"/>
      <c r="P511" s="231"/>
      <c r="Q511" s="231">
        <f>SUM(Q512:Q522)</f>
        <v>1010210970</v>
      </c>
      <c r="R511" s="233">
        <f>Q511/Q$248*100</f>
        <v>8.4693504354204698</v>
      </c>
      <c r="S511" s="233">
        <v>100</v>
      </c>
      <c r="T511" s="231">
        <f t="shared" si="117"/>
        <v>30.977261116061726</v>
      </c>
      <c r="U511" s="231">
        <f t="shared" si="122"/>
        <v>2.6235727992145099</v>
      </c>
      <c r="V511" s="296">
        <f t="shared" si="95"/>
        <v>69.022738883938274</v>
      </c>
      <c r="W511" s="231"/>
      <c r="X511" s="231"/>
      <c r="Y511" s="231"/>
      <c r="Z511" s="231"/>
      <c r="AA511" s="231"/>
      <c r="AB511" s="231"/>
      <c r="AC511" s="231"/>
      <c r="AD511" s="231"/>
      <c r="AE511" s="231"/>
      <c r="AF511" s="231"/>
      <c r="AG511" s="231" t="e">
        <f>[2]april!N91</f>
        <v>#REF!</v>
      </c>
      <c r="AH511" s="231" t="e">
        <f>'[3]DES SKPD'!$N91</f>
        <v>#REF!</v>
      </c>
      <c r="AI511" s="231">
        <f>SUM(AI512:AI522)</f>
        <v>312935690</v>
      </c>
      <c r="AJ511" s="233">
        <f t="shared" si="127"/>
        <v>30.977261116061726</v>
      </c>
      <c r="AK511" s="231">
        <f>Q511-AI511</f>
        <v>697275280</v>
      </c>
      <c r="AL511" s="233">
        <f t="shared" si="128"/>
        <v>69.022738883938274</v>
      </c>
      <c r="AM511" s="227"/>
    </row>
    <row r="512" spans="1:39" s="297" customFormat="1" ht="29.25" customHeight="1" x14ac:dyDescent="0.25">
      <c r="A512" s="227"/>
      <c r="B512" s="462"/>
      <c r="C512" s="462"/>
      <c r="D512" s="462"/>
      <c r="E512" s="462"/>
      <c r="F512" s="462"/>
      <c r="G512" s="462"/>
      <c r="H512" s="462"/>
      <c r="I512" s="461"/>
      <c r="J512" s="462" t="s">
        <v>421</v>
      </c>
      <c r="K512" s="230"/>
      <c r="L512" s="294"/>
      <c r="M512" s="591" t="s">
        <v>324</v>
      </c>
      <c r="N512" s="592"/>
      <c r="O512" s="309"/>
      <c r="P512" s="231"/>
      <c r="Q512" s="180">
        <v>10814970</v>
      </c>
      <c r="R512" s="181">
        <f>Q512/Q$511*100</f>
        <v>1.0705654879198154</v>
      </c>
      <c r="S512" s="181">
        <v>100</v>
      </c>
      <c r="T512" s="180">
        <f t="shared" si="117"/>
        <v>0</v>
      </c>
      <c r="U512" s="180">
        <f t="shared" si="122"/>
        <v>0</v>
      </c>
      <c r="V512" s="182">
        <f t="shared" si="95"/>
        <v>100</v>
      </c>
      <c r="W512" s="180"/>
      <c r="X512" s="180"/>
      <c r="Y512" s="180"/>
      <c r="Z512" s="180"/>
      <c r="AA512" s="180"/>
      <c r="AB512" s="180"/>
      <c r="AC512" s="180"/>
      <c r="AD512" s="180"/>
      <c r="AE512" s="180"/>
      <c r="AF512" s="180"/>
      <c r="AG512" s="180"/>
      <c r="AH512" s="180"/>
      <c r="AI512" s="180">
        <v>0</v>
      </c>
      <c r="AJ512" s="181">
        <f t="shared" si="127"/>
        <v>0</v>
      </c>
      <c r="AK512" s="180">
        <f>SUM(Q512-AI512)</f>
        <v>10814970</v>
      </c>
      <c r="AL512" s="233"/>
      <c r="AM512" s="227"/>
    </row>
    <row r="513" spans="1:39" ht="29.25" customHeight="1" x14ac:dyDescent="0.25">
      <c r="A513" s="243"/>
      <c r="B513" s="457"/>
      <c r="C513" s="457"/>
      <c r="D513" s="457"/>
      <c r="E513" s="457"/>
      <c r="F513" s="457"/>
      <c r="G513" s="457"/>
      <c r="H513" s="457"/>
      <c r="I513" s="458"/>
      <c r="J513" s="457" t="s">
        <v>315</v>
      </c>
      <c r="K513" s="245"/>
      <c r="L513" s="257"/>
      <c r="M513" s="591" t="s">
        <v>271</v>
      </c>
      <c r="N513" s="592"/>
      <c r="O513" s="179"/>
      <c r="P513" s="180"/>
      <c r="Q513" s="180">
        <v>12500000</v>
      </c>
      <c r="R513" s="181">
        <f>Q513/Q$511*100</f>
        <v>1.2373653000422278</v>
      </c>
      <c r="S513" s="181">
        <v>100</v>
      </c>
      <c r="T513" s="180">
        <f t="shared" si="117"/>
        <v>44</v>
      </c>
      <c r="U513" s="180">
        <f t="shared" si="122"/>
        <v>0.54444073201858023</v>
      </c>
      <c r="V513" s="182">
        <f t="shared" si="95"/>
        <v>56</v>
      </c>
      <c r="W513" s="180"/>
      <c r="X513" s="180"/>
      <c r="Y513" s="180"/>
      <c r="Z513" s="180"/>
      <c r="AA513" s="180"/>
      <c r="AB513" s="180"/>
      <c r="AC513" s="180"/>
      <c r="AD513" s="180"/>
      <c r="AE513" s="180"/>
      <c r="AF513" s="180"/>
      <c r="AG513" s="180"/>
      <c r="AH513" s="180"/>
      <c r="AI513" s="180">
        <f>2500000+3000000</f>
        <v>5500000</v>
      </c>
      <c r="AJ513" s="181">
        <f t="shared" si="127"/>
        <v>44</v>
      </c>
      <c r="AK513" s="180">
        <f t="shared" ref="AK513:AK522" si="135">SUM(Q513-AI513)</f>
        <v>7000000</v>
      </c>
      <c r="AL513" s="181">
        <f t="shared" ref="AL513:AL550" si="136">AK513/Q513*100</f>
        <v>56.000000000000007</v>
      </c>
      <c r="AM513" s="243"/>
    </row>
    <row r="514" spans="1:39" ht="29.25" customHeight="1" x14ac:dyDescent="0.25">
      <c r="A514" s="243"/>
      <c r="B514" s="457"/>
      <c r="C514" s="457"/>
      <c r="D514" s="457"/>
      <c r="E514" s="457"/>
      <c r="F514" s="457"/>
      <c r="G514" s="457"/>
      <c r="H514" s="457"/>
      <c r="I514" s="458"/>
      <c r="J514" s="457" t="s">
        <v>328</v>
      </c>
      <c r="K514" s="245"/>
      <c r="L514" s="257"/>
      <c r="M514" s="591" t="s">
        <v>329</v>
      </c>
      <c r="N514" s="592"/>
      <c r="O514" s="179"/>
      <c r="P514" s="180"/>
      <c r="Q514" s="180">
        <v>5000000</v>
      </c>
      <c r="R514" s="181">
        <f>Q514/Q$511*100</f>
        <v>0.49494612001689114</v>
      </c>
      <c r="S514" s="181">
        <v>100</v>
      </c>
      <c r="T514" s="180">
        <f t="shared" si="117"/>
        <v>90</v>
      </c>
      <c r="U514" s="180">
        <f t="shared" si="122"/>
        <v>0.445451508015202</v>
      </c>
      <c r="V514" s="182">
        <f t="shared" si="95"/>
        <v>10</v>
      </c>
      <c r="W514" s="180"/>
      <c r="X514" s="180"/>
      <c r="Y514" s="180"/>
      <c r="Z514" s="180"/>
      <c r="AA514" s="180"/>
      <c r="AB514" s="180"/>
      <c r="AC514" s="180"/>
      <c r="AD514" s="180"/>
      <c r="AE514" s="180"/>
      <c r="AF514" s="180"/>
      <c r="AG514" s="180"/>
      <c r="AH514" s="180"/>
      <c r="AI514" s="180">
        <v>4500000</v>
      </c>
      <c r="AJ514" s="181">
        <f t="shared" si="127"/>
        <v>90</v>
      </c>
      <c r="AK514" s="180">
        <f t="shared" si="135"/>
        <v>500000</v>
      </c>
      <c r="AL514" s="181">
        <f t="shared" si="136"/>
        <v>10</v>
      </c>
      <c r="AM514" s="243"/>
    </row>
    <row r="515" spans="1:39" ht="29.25" customHeight="1" x14ac:dyDescent="0.25">
      <c r="A515" s="243"/>
      <c r="B515" s="457"/>
      <c r="C515" s="457"/>
      <c r="D515" s="457"/>
      <c r="E515" s="457"/>
      <c r="F515" s="457"/>
      <c r="G515" s="457"/>
      <c r="H515" s="457"/>
      <c r="I515" s="458"/>
      <c r="J515" s="457" t="s">
        <v>370</v>
      </c>
      <c r="K515" s="245"/>
      <c r="L515" s="257"/>
      <c r="M515" s="591" t="s">
        <v>371</v>
      </c>
      <c r="N515" s="592"/>
      <c r="O515" s="179"/>
      <c r="P515" s="180"/>
      <c r="Q515" s="180">
        <v>47450000</v>
      </c>
      <c r="R515" s="181">
        <f t="shared" ref="R515:R522" si="137">Q515/Q$511*100</f>
        <v>4.6970386789602969</v>
      </c>
      <c r="S515" s="181">
        <v>100</v>
      </c>
      <c r="T515" s="180">
        <f t="shared" si="117"/>
        <v>80.08429926238145</v>
      </c>
      <c r="U515" s="180">
        <f t="shared" si="122"/>
        <v>3.7615905121283726</v>
      </c>
      <c r="V515" s="182">
        <f t="shared" si="95"/>
        <v>19.91570073761855</v>
      </c>
      <c r="W515" s="180"/>
      <c r="X515" s="180"/>
      <c r="Y515" s="180"/>
      <c r="Z515" s="180"/>
      <c r="AA515" s="180"/>
      <c r="AB515" s="180"/>
      <c r="AC515" s="180"/>
      <c r="AD515" s="180"/>
      <c r="AE515" s="180"/>
      <c r="AF515" s="180"/>
      <c r="AG515" s="180"/>
      <c r="AH515" s="180"/>
      <c r="AI515" s="180">
        <v>38000000</v>
      </c>
      <c r="AJ515" s="181">
        <f t="shared" si="127"/>
        <v>80.08429926238145</v>
      </c>
      <c r="AK515" s="180">
        <f t="shared" si="135"/>
        <v>9450000</v>
      </c>
      <c r="AL515" s="181">
        <f t="shared" si="136"/>
        <v>19.915700737618547</v>
      </c>
      <c r="AM515" s="243"/>
    </row>
    <row r="516" spans="1:39" ht="29.25" customHeight="1" x14ac:dyDescent="0.25">
      <c r="A516" s="243"/>
      <c r="B516" s="457"/>
      <c r="C516" s="457"/>
      <c r="D516" s="457"/>
      <c r="E516" s="457"/>
      <c r="F516" s="457"/>
      <c r="G516" s="457"/>
      <c r="H516" s="457"/>
      <c r="I516" s="458"/>
      <c r="J516" s="457" t="s">
        <v>280</v>
      </c>
      <c r="K516" s="245"/>
      <c r="L516" s="257"/>
      <c r="M516" s="591" t="s">
        <v>422</v>
      </c>
      <c r="N516" s="592"/>
      <c r="O516" s="179"/>
      <c r="P516" s="180"/>
      <c r="Q516" s="180">
        <v>2000000</v>
      </c>
      <c r="R516" s="181">
        <f t="shared" si="137"/>
        <v>0.19797844800675643</v>
      </c>
      <c r="S516" s="181">
        <v>100</v>
      </c>
      <c r="T516" s="180">
        <f t="shared" si="117"/>
        <v>100</v>
      </c>
      <c r="U516" s="180">
        <f t="shared" si="122"/>
        <v>0.19797844800675646</v>
      </c>
      <c r="V516" s="182">
        <f t="shared" si="95"/>
        <v>0</v>
      </c>
      <c r="W516" s="180"/>
      <c r="X516" s="180"/>
      <c r="Y516" s="180"/>
      <c r="Z516" s="180"/>
      <c r="AA516" s="180"/>
      <c r="AB516" s="180"/>
      <c r="AC516" s="180"/>
      <c r="AD516" s="180"/>
      <c r="AE516" s="180"/>
      <c r="AF516" s="180"/>
      <c r="AG516" s="180"/>
      <c r="AH516" s="180"/>
      <c r="AI516" s="180">
        <f>1000000+1000000</f>
        <v>2000000</v>
      </c>
      <c r="AJ516" s="181">
        <f t="shared" si="127"/>
        <v>100</v>
      </c>
      <c r="AK516" s="180">
        <f t="shared" si="135"/>
        <v>0</v>
      </c>
      <c r="AL516" s="181">
        <f t="shared" si="136"/>
        <v>0</v>
      </c>
      <c r="AM516" s="243"/>
    </row>
    <row r="517" spans="1:39" ht="29.25" customHeight="1" x14ac:dyDescent="0.25">
      <c r="A517" s="243"/>
      <c r="B517" s="457"/>
      <c r="C517" s="457"/>
      <c r="D517" s="457"/>
      <c r="E517" s="457"/>
      <c r="F517" s="457"/>
      <c r="G517" s="457"/>
      <c r="H517" s="457"/>
      <c r="I517" s="458"/>
      <c r="J517" s="457" t="s">
        <v>339</v>
      </c>
      <c r="K517" s="245"/>
      <c r="L517" s="257"/>
      <c r="M517" s="591" t="s">
        <v>340</v>
      </c>
      <c r="N517" s="592"/>
      <c r="O517" s="179"/>
      <c r="P517" s="180"/>
      <c r="Q517" s="180">
        <v>71500000</v>
      </c>
      <c r="R517" s="181">
        <f t="shared" si="137"/>
        <v>7.0777295162415435</v>
      </c>
      <c r="S517" s="181">
        <v>100</v>
      </c>
      <c r="T517" s="180">
        <f t="shared" si="117"/>
        <v>100</v>
      </c>
      <c r="U517" s="180">
        <f t="shared" si="122"/>
        <v>7.0777295162415435</v>
      </c>
      <c r="V517" s="182">
        <f t="shared" si="95"/>
        <v>0</v>
      </c>
      <c r="W517" s="180"/>
      <c r="X517" s="180"/>
      <c r="Y517" s="180"/>
      <c r="Z517" s="180"/>
      <c r="AA517" s="180"/>
      <c r="AB517" s="180"/>
      <c r="AC517" s="180"/>
      <c r="AD517" s="180"/>
      <c r="AE517" s="180"/>
      <c r="AF517" s="180"/>
      <c r="AG517" s="180"/>
      <c r="AH517" s="180"/>
      <c r="AI517" s="180">
        <f>65000000+6500000</f>
        <v>71500000</v>
      </c>
      <c r="AJ517" s="181">
        <f t="shared" si="127"/>
        <v>100</v>
      </c>
      <c r="AK517" s="180">
        <f t="shared" si="135"/>
        <v>0</v>
      </c>
      <c r="AL517" s="181">
        <f t="shared" si="136"/>
        <v>0</v>
      </c>
      <c r="AM517" s="243"/>
    </row>
    <row r="518" spans="1:39" ht="29.25" customHeight="1" x14ac:dyDescent="0.25">
      <c r="A518" s="243"/>
      <c r="B518" s="457"/>
      <c r="C518" s="457"/>
      <c r="D518" s="457"/>
      <c r="E518" s="457"/>
      <c r="F518" s="457"/>
      <c r="G518" s="457"/>
      <c r="H518" s="457"/>
      <c r="I518" s="458"/>
      <c r="J518" s="457" t="s">
        <v>284</v>
      </c>
      <c r="K518" s="245"/>
      <c r="L518" s="257"/>
      <c r="M518" s="591" t="s">
        <v>285</v>
      </c>
      <c r="N518" s="592"/>
      <c r="O518" s="179"/>
      <c r="P518" s="180"/>
      <c r="Q518" s="180">
        <v>8900000</v>
      </c>
      <c r="R518" s="181">
        <f t="shared" si="137"/>
        <v>0.88100409363006615</v>
      </c>
      <c r="S518" s="181">
        <v>100</v>
      </c>
      <c r="T518" s="180">
        <f t="shared" si="117"/>
        <v>95.168539325842687</v>
      </c>
      <c r="U518" s="180">
        <f t="shared" si="122"/>
        <v>0.83843872730861346</v>
      </c>
      <c r="V518" s="182">
        <f t="shared" si="95"/>
        <v>4.831460674157313</v>
      </c>
      <c r="W518" s="180"/>
      <c r="X518" s="180"/>
      <c r="Y518" s="180"/>
      <c r="Z518" s="180"/>
      <c r="AA518" s="180"/>
      <c r="AB518" s="180"/>
      <c r="AC518" s="180"/>
      <c r="AD518" s="180"/>
      <c r="AE518" s="180"/>
      <c r="AF518" s="180"/>
      <c r="AG518" s="180"/>
      <c r="AH518" s="180"/>
      <c r="AI518" s="180">
        <v>8470000</v>
      </c>
      <c r="AJ518" s="181">
        <f t="shared" si="127"/>
        <v>95.168539325842687</v>
      </c>
      <c r="AK518" s="180">
        <f t="shared" si="135"/>
        <v>430000</v>
      </c>
      <c r="AL518" s="181">
        <f t="shared" si="136"/>
        <v>4.8314606741573032</v>
      </c>
      <c r="AM518" s="243"/>
    </row>
    <row r="519" spans="1:39" ht="29.25" customHeight="1" x14ac:dyDescent="0.25">
      <c r="A519" s="243"/>
      <c r="B519" s="457"/>
      <c r="C519" s="457"/>
      <c r="D519" s="457"/>
      <c r="E519" s="457"/>
      <c r="F519" s="457"/>
      <c r="G519" s="457"/>
      <c r="H519" s="457"/>
      <c r="I519" s="458"/>
      <c r="J519" s="457"/>
      <c r="K519" s="245"/>
      <c r="L519" s="257"/>
      <c r="M519" s="591" t="s">
        <v>503</v>
      </c>
      <c r="N519" s="592"/>
      <c r="O519" s="179"/>
      <c r="P519" s="180"/>
      <c r="Q519" s="180">
        <v>48070000</v>
      </c>
      <c r="R519" s="181">
        <f t="shared" si="137"/>
        <v>4.7584119978423915</v>
      </c>
      <c r="S519" s="181">
        <v>100</v>
      </c>
      <c r="T519" s="180">
        <f t="shared" si="117"/>
        <v>92.709985437903057</v>
      </c>
      <c r="U519" s="180">
        <f t="shared" si="122"/>
        <v>4.4115230702751127</v>
      </c>
      <c r="V519" s="182">
        <f t="shared" si="95"/>
        <v>7.2900145620969425</v>
      </c>
      <c r="W519" s="180"/>
      <c r="X519" s="180"/>
      <c r="Y519" s="180"/>
      <c r="Z519" s="180"/>
      <c r="AA519" s="180"/>
      <c r="AB519" s="180"/>
      <c r="AC519" s="180"/>
      <c r="AD519" s="180"/>
      <c r="AE519" s="180"/>
      <c r="AF519" s="180"/>
      <c r="AG519" s="180"/>
      <c r="AH519" s="180"/>
      <c r="AI519" s="180">
        <v>44565690</v>
      </c>
      <c r="AJ519" s="181">
        <f t="shared" si="127"/>
        <v>92.709985437903057</v>
      </c>
      <c r="AK519" s="180">
        <f t="shared" si="135"/>
        <v>3504310</v>
      </c>
      <c r="AL519" s="181">
        <f t="shared" si="136"/>
        <v>7.2900145620969417</v>
      </c>
      <c r="AM519" s="243"/>
    </row>
    <row r="520" spans="1:39" ht="29.25" customHeight="1" x14ac:dyDescent="0.25">
      <c r="A520" s="243"/>
      <c r="B520" s="457"/>
      <c r="C520" s="457"/>
      <c r="D520" s="457"/>
      <c r="E520" s="457"/>
      <c r="F520" s="457"/>
      <c r="G520" s="457"/>
      <c r="H520" s="457"/>
      <c r="I520" s="458"/>
      <c r="J520" s="457" t="s">
        <v>309</v>
      </c>
      <c r="K520" s="245"/>
      <c r="L520" s="257"/>
      <c r="M520" s="591" t="s">
        <v>310</v>
      </c>
      <c r="N520" s="592"/>
      <c r="O520" s="179"/>
      <c r="P520" s="180"/>
      <c r="Q520" s="180">
        <v>485712000</v>
      </c>
      <c r="R520" s="181">
        <f t="shared" si="137"/>
        <v>48.080253969128847</v>
      </c>
      <c r="S520" s="181">
        <v>100</v>
      </c>
      <c r="T520" s="180">
        <f t="shared" si="117"/>
        <v>0</v>
      </c>
      <c r="U520" s="180">
        <f t="shared" si="122"/>
        <v>0</v>
      </c>
      <c r="V520" s="182">
        <f t="shared" si="95"/>
        <v>100</v>
      </c>
      <c r="W520" s="180"/>
      <c r="X520" s="180"/>
      <c r="Y520" s="180"/>
      <c r="Z520" s="180"/>
      <c r="AA520" s="180"/>
      <c r="AB520" s="180"/>
      <c r="AC520" s="180"/>
      <c r="AD520" s="180"/>
      <c r="AE520" s="180"/>
      <c r="AF520" s="180"/>
      <c r="AG520" s="180"/>
      <c r="AH520" s="180"/>
      <c r="AI520" s="180">
        <v>0</v>
      </c>
      <c r="AJ520" s="181">
        <f t="shared" si="127"/>
        <v>0</v>
      </c>
      <c r="AK520" s="180">
        <f t="shared" si="135"/>
        <v>485712000</v>
      </c>
      <c r="AL520" s="181">
        <f t="shared" si="136"/>
        <v>100</v>
      </c>
      <c r="AM520" s="243"/>
    </row>
    <row r="521" spans="1:39" ht="29.25" customHeight="1" x14ac:dyDescent="0.25">
      <c r="A521" s="243"/>
      <c r="B521" s="457"/>
      <c r="C521" s="457"/>
      <c r="D521" s="457"/>
      <c r="E521" s="457"/>
      <c r="F521" s="457"/>
      <c r="G521" s="457"/>
      <c r="H521" s="457"/>
      <c r="I521" s="458"/>
      <c r="J521" s="457" t="s">
        <v>372</v>
      </c>
      <c r="K521" s="245"/>
      <c r="L521" s="257"/>
      <c r="M521" s="591" t="s">
        <v>373</v>
      </c>
      <c r="N521" s="592"/>
      <c r="O521" s="179"/>
      <c r="P521" s="180"/>
      <c r="Q521" s="180">
        <v>143000000</v>
      </c>
      <c r="R521" s="181">
        <f t="shared" si="137"/>
        <v>14.155459032483087</v>
      </c>
      <c r="S521" s="181">
        <v>100</v>
      </c>
      <c r="T521" s="180">
        <f t="shared" si="117"/>
        <v>96.783216783216787</v>
      </c>
      <c r="U521" s="180">
        <f t="shared" si="122"/>
        <v>13.700108602067548</v>
      </c>
      <c r="V521" s="182">
        <f t="shared" si="95"/>
        <v>3.2167832167832131</v>
      </c>
      <c r="W521" s="180"/>
      <c r="X521" s="180"/>
      <c r="Y521" s="180"/>
      <c r="Z521" s="180"/>
      <c r="AA521" s="180"/>
      <c r="AB521" s="180"/>
      <c r="AC521" s="180"/>
      <c r="AD521" s="180"/>
      <c r="AE521" s="180"/>
      <c r="AF521" s="180"/>
      <c r="AG521" s="180"/>
      <c r="AH521" s="180"/>
      <c r="AI521" s="180">
        <f>125400000+13000000</f>
        <v>138400000</v>
      </c>
      <c r="AJ521" s="181">
        <f t="shared" si="127"/>
        <v>96.783216783216787</v>
      </c>
      <c r="AK521" s="180">
        <f t="shared" si="135"/>
        <v>4600000</v>
      </c>
      <c r="AL521" s="181">
        <f t="shared" si="136"/>
        <v>3.2167832167832167</v>
      </c>
      <c r="AM521" s="243"/>
    </row>
    <row r="522" spans="1:39" ht="29.25" customHeight="1" x14ac:dyDescent="0.25">
      <c r="A522" s="243"/>
      <c r="B522" s="457"/>
      <c r="C522" s="457"/>
      <c r="D522" s="457"/>
      <c r="E522" s="457"/>
      <c r="F522" s="457"/>
      <c r="G522" s="457"/>
      <c r="H522" s="457"/>
      <c r="I522" s="458"/>
      <c r="J522" s="457" t="s">
        <v>551</v>
      </c>
      <c r="K522" s="245"/>
      <c r="L522" s="257"/>
      <c r="M522" s="591" t="s">
        <v>550</v>
      </c>
      <c r="N522" s="592"/>
      <c r="O522" s="179"/>
      <c r="P522" s="180"/>
      <c r="Q522" s="180">
        <v>175264000</v>
      </c>
      <c r="R522" s="181">
        <f t="shared" si="137"/>
        <v>17.349247355728082</v>
      </c>
      <c r="S522" s="181">
        <v>100</v>
      </c>
      <c r="T522" s="180">
        <f t="shared" si="117"/>
        <v>0</v>
      </c>
      <c r="U522" s="180">
        <f t="shared" si="122"/>
        <v>0</v>
      </c>
      <c r="V522" s="182">
        <f t="shared" si="95"/>
        <v>100</v>
      </c>
      <c r="W522" s="180"/>
      <c r="X522" s="180"/>
      <c r="Y522" s="180"/>
      <c r="Z522" s="180"/>
      <c r="AA522" s="180"/>
      <c r="AB522" s="180"/>
      <c r="AC522" s="180"/>
      <c r="AD522" s="180"/>
      <c r="AE522" s="180"/>
      <c r="AF522" s="180"/>
      <c r="AG522" s="180"/>
      <c r="AH522" s="180"/>
      <c r="AI522" s="180">
        <v>0</v>
      </c>
      <c r="AJ522" s="181">
        <f t="shared" si="127"/>
        <v>0</v>
      </c>
      <c r="AK522" s="180">
        <f t="shared" si="135"/>
        <v>175264000</v>
      </c>
      <c r="AL522" s="181">
        <f t="shared" si="136"/>
        <v>100</v>
      </c>
      <c r="AM522" s="243"/>
    </row>
    <row r="523" spans="1:39" s="297" customFormat="1" ht="28.5" customHeight="1" x14ac:dyDescent="0.25">
      <c r="A523" s="227">
        <f>A511+1</f>
        <v>65</v>
      </c>
      <c r="B523" s="615" t="s">
        <v>158</v>
      </c>
      <c r="C523" s="615"/>
      <c r="D523" s="615"/>
      <c r="E523" s="615"/>
      <c r="F523" s="615"/>
      <c r="G523" s="615"/>
      <c r="H523" s="615"/>
      <c r="I523" s="614"/>
      <c r="J523" s="304" t="s">
        <v>518</v>
      </c>
      <c r="K523" s="230"/>
      <c r="L523" s="294"/>
      <c r="M523" s="610" t="s">
        <v>163</v>
      </c>
      <c r="N523" s="610"/>
      <c r="O523" s="309">
        <v>355300000</v>
      </c>
      <c r="P523" s="231">
        <v>0</v>
      </c>
      <c r="Q523" s="231">
        <f>SUM(Q524:Q529)</f>
        <v>130200000</v>
      </c>
      <c r="R523" s="233">
        <f>Q523/Q$248*100</f>
        <v>1.0915635044942593</v>
      </c>
      <c r="S523" s="233">
        <v>100</v>
      </c>
      <c r="T523" s="231">
        <f t="shared" si="117"/>
        <v>0</v>
      </c>
      <c r="U523" s="231">
        <f t="shared" si="122"/>
        <v>0</v>
      </c>
      <c r="V523" s="296">
        <f t="shared" si="95"/>
        <v>100</v>
      </c>
      <c r="W523" s="231"/>
      <c r="X523" s="231"/>
      <c r="Y523" s="231"/>
      <c r="Z523" s="231"/>
      <c r="AA523" s="231"/>
      <c r="AB523" s="231"/>
      <c r="AC523" s="231"/>
      <c r="AD523" s="231"/>
      <c r="AE523" s="231"/>
      <c r="AF523" s="231"/>
      <c r="AG523" s="231" t="e">
        <f>[2]april!N84</f>
        <v>#REF!</v>
      </c>
      <c r="AH523" s="231">
        <f>'[3]DES SKPD'!$N84</f>
        <v>52275000</v>
      </c>
      <c r="AI523" s="231">
        <f>SUM(AI525:AI529)</f>
        <v>0</v>
      </c>
      <c r="AJ523" s="233">
        <f t="shared" si="127"/>
        <v>0</v>
      </c>
      <c r="AK523" s="231">
        <f t="shared" ref="AK523:AK530" si="138">Q523-AI523</f>
        <v>130200000</v>
      </c>
      <c r="AL523" s="233">
        <f t="shared" si="136"/>
        <v>100</v>
      </c>
      <c r="AM523" s="227"/>
    </row>
    <row r="524" spans="1:39" s="297" customFormat="1" ht="28.5" customHeight="1" x14ac:dyDescent="0.25">
      <c r="A524" s="227"/>
      <c r="B524" s="462"/>
      <c r="C524" s="462"/>
      <c r="D524" s="462"/>
      <c r="E524" s="462"/>
      <c r="F524" s="462"/>
      <c r="G524" s="462"/>
      <c r="H524" s="462"/>
      <c r="I524" s="461"/>
      <c r="J524" s="457" t="s">
        <v>323</v>
      </c>
      <c r="K524" s="230"/>
      <c r="L524" s="294"/>
      <c r="M524" s="591" t="s">
        <v>324</v>
      </c>
      <c r="N524" s="592"/>
      <c r="O524" s="309"/>
      <c r="P524" s="231"/>
      <c r="Q524" s="180">
        <v>6000000</v>
      </c>
      <c r="R524" s="181">
        <f t="shared" ref="R524:R529" si="139">Q524/Q$523*100</f>
        <v>4.6082949308755765</v>
      </c>
      <c r="S524" s="181">
        <v>100</v>
      </c>
      <c r="T524" s="180">
        <f t="shared" si="117"/>
        <v>0</v>
      </c>
      <c r="U524" s="180">
        <f t="shared" si="122"/>
        <v>0</v>
      </c>
      <c r="V524" s="182">
        <f t="shared" si="95"/>
        <v>100</v>
      </c>
      <c r="W524" s="180"/>
      <c r="X524" s="180"/>
      <c r="Y524" s="180"/>
      <c r="Z524" s="180"/>
      <c r="AA524" s="180"/>
      <c r="AB524" s="180"/>
      <c r="AC524" s="180"/>
      <c r="AD524" s="180"/>
      <c r="AE524" s="180"/>
      <c r="AF524" s="180"/>
      <c r="AG524" s="180"/>
      <c r="AH524" s="180"/>
      <c r="AI524" s="180">
        <v>0</v>
      </c>
      <c r="AJ524" s="181">
        <f t="shared" si="127"/>
        <v>0</v>
      </c>
      <c r="AK524" s="180">
        <f t="shared" si="138"/>
        <v>6000000</v>
      </c>
      <c r="AL524" s="181">
        <f t="shared" si="136"/>
        <v>100</v>
      </c>
      <c r="AM524" s="227"/>
    </row>
    <row r="525" spans="1:39" s="313" customFormat="1" ht="24.75" customHeight="1" x14ac:dyDescent="0.25">
      <c r="A525" s="243"/>
      <c r="B525" s="457"/>
      <c r="C525" s="457"/>
      <c r="D525" s="457"/>
      <c r="E525" s="457"/>
      <c r="F525" s="457"/>
      <c r="G525" s="457"/>
      <c r="H525" s="457"/>
      <c r="I525" s="458"/>
      <c r="J525" s="457" t="s">
        <v>315</v>
      </c>
      <c r="K525" s="245"/>
      <c r="L525" s="257"/>
      <c r="M525" s="591" t="s">
        <v>271</v>
      </c>
      <c r="N525" s="592"/>
      <c r="O525" s="179"/>
      <c r="P525" s="180"/>
      <c r="Q525" s="180">
        <v>4000000</v>
      </c>
      <c r="R525" s="181">
        <f t="shared" si="139"/>
        <v>3.0721966205837172</v>
      </c>
      <c r="S525" s="181">
        <v>100</v>
      </c>
      <c r="T525" s="180">
        <f t="shared" si="117"/>
        <v>0</v>
      </c>
      <c r="U525" s="180">
        <f t="shared" si="122"/>
        <v>0</v>
      </c>
      <c r="V525" s="182">
        <f t="shared" si="95"/>
        <v>100</v>
      </c>
      <c r="W525" s="180"/>
      <c r="X525" s="180"/>
      <c r="Y525" s="180"/>
      <c r="Z525" s="180"/>
      <c r="AA525" s="180"/>
      <c r="AB525" s="180"/>
      <c r="AC525" s="180"/>
      <c r="AD525" s="180"/>
      <c r="AE525" s="180"/>
      <c r="AF525" s="180"/>
      <c r="AG525" s="180"/>
      <c r="AH525" s="180"/>
      <c r="AI525" s="180">
        <v>0</v>
      </c>
      <c r="AJ525" s="181">
        <f t="shared" si="127"/>
        <v>0</v>
      </c>
      <c r="AK525" s="180">
        <f t="shared" si="138"/>
        <v>4000000</v>
      </c>
      <c r="AL525" s="181">
        <f t="shared" si="136"/>
        <v>100</v>
      </c>
      <c r="AM525" s="243"/>
    </row>
    <row r="526" spans="1:39" s="313" customFormat="1" ht="24.75" customHeight="1" x14ac:dyDescent="0.25">
      <c r="A526" s="243"/>
      <c r="B526" s="457"/>
      <c r="C526" s="457"/>
      <c r="D526" s="457"/>
      <c r="E526" s="457"/>
      <c r="F526" s="457"/>
      <c r="G526" s="457"/>
      <c r="H526" s="457"/>
      <c r="I526" s="458"/>
      <c r="J526" s="457" t="s">
        <v>280</v>
      </c>
      <c r="K526" s="245"/>
      <c r="L526" s="257"/>
      <c r="M526" s="591" t="s">
        <v>423</v>
      </c>
      <c r="N526" s="592"/>
      <c r="O526" s="179"/>
      <c r="P526" s="180"/>
      <c r="Q526" s="180">
        <v>1000000</v>
      </c>
      <c r="R526" s="181">
        <f t="shared" si="139"/>
        <v>0.76804915514592931</v>
      </c>
      <c r="S526" s="181">
        <v>100</v>
      </c>
      <c r="T526" s="180">
        <f t="shared" si="117"/>
        <v>0</v>
      </c>
      <c r="U526" s="180">
        <f t="shared" si="122"/>
        <v>0</v>
      </c>
      <c r="V526" s="182">
        <f t="shared" si="95"/>
        <v>100</v>
      </c>
      <c r="W526" s="180"/>
      <c r="X526" s="180"/>
      <c r="Y526" s="180"/>
      <c r="Z526" s="180"/>
      <c r="AA526" s="180"/>
      <c r="AB526" s="180"/>
      <c r="AC526" s="180"/>
      <c r="AD526" s="180"/>
      <c r="AE526" s="180"/>
      <c r="AF526" s="180"/>
      <c r="AG526" s="180"/>
      <c r="AH526" s="180"/>
      <c r="AI526" s="180">
        <v>0</v>
      </c>
      <c r="AJ526" s="181">
        <f t="shared" si="127"/>
        <v>0</v>
      </c>
      <c r="AK526" s="180">
        <f t="shared" si="138"/>
        <v>1000000</v>
      </c>
      <c r="AL526" s="181">
        <f t="shared" si="136"/>
        <v>100</v>
      </c>
      <c r="AM526" s="243"/>
    </row>
    <row r="527" spans="1:39" s="313" customFormat="1" ht="24.75" customHeight="1" x14ac:dyDescent="0.25">
      <c r="A527" s="243"/>
      <c r="B527" s="457"/>
      <c r="C527" s="457"/>
      <c r="D527" s="457"/>
      <c r="E527" s="457"/>
      <c r="F527" s="457"/>
      <c r="G527" s="457"/>
      <c r="H527" s="457"/>
      <c r="I527" s="458"/>
      <c r="J527" s="457" t="s">
        <v>284</v>
      </c>
      <c r="K527" s="245"/>
      <c r="L527" s="257"/>
      <c r="M527" s="591" t="s">
        <v>285</v>
      </c>
      <c r="N527" s="592"/>
      <c r="O527" s="179"/>
      <c r="P527" s="180"/>
      <c r="Q527" s="180">
        <v>5000000</v>
      </c>
      <c r="R527" s="181">
        <f t="shared" si="139"/>
        <v>3.8402457757296471</v>
      </c>
      <c r="S527" s="181">
        <v>100</v>
      </c>
      <c r="T527" s="180">
        <f t="shared" si="117"/>
        <v>0</v>
      </c>
      <c r="U527" s="180">
        <f t="shared" si="122"/>
        <v>0</v>
      </c>
      <c r="V527" s="182">
        <f t="shared" si="95"/>
        <v>100</v>
      </c>
      <c r="W527" s="180"/>
      <c r="X527" s="180"/>
      <c r="Y527" s="180"/>
      <c r="Z527" s="180"/>
      <c r="AA527" s="180"/>
      <c r="AB527" s="180"/>
      <c r="AC527" s="180"/>
      <c r="AD527" s="180"/>
      <c r="AE527" s="180"/>
      <c r="AF527" s="180"/>
      <c r="AG527" s="180"/>
      <c r="AH527" s="180"/>
      <c r="AI527" s="180">
        <v>0</v>
      </c>
      <c r="AJ527" s="181">
        <f t="shared" si="127"/>
        <v>0</v>
      </c>
      <c r="AK527" s="180">
        <f t="shared" si="138"/>
        <v>5000000</v>
      </c>
      <c r="AL527" s="181">
        <f t="shared" si="136"/>
        <v>100</v>
      </c>
      <c r="AM527" s="243"/>
    </row>
    <row r="528" spans="1:39" s="313" customFormat="1" ht="24.75" customHeight="1" x14ac:dyDescent="0.25">
      <c r="A528" s="243"/>
      <c r="B528" s="457"/>
      <c r="C528" s="457"/>
      <c r="D528" s="457"/>
      <c r="E528" s="457"/>
      <c r="F528" s="457"/>
      <c r="G528" s="457"/>
      <c r="H528" s="457"/>
      <c r="I528" s="458"/>
      <c r="J528" s="457"/>
      <c r="K528" s="245"/>
      <c r="L528" s="257"/>
      <c r="M528" s="591" t="s">
        <v>503</v>
      </c>
      <c r="N528" s="592"/>
      <c r="O528" s="179"/>
      <c r="P528" s="180"/>
      <c r="Q528" s="180">
        <v>10000000</v>
      </c>
      <c r="R528" s="181">
        <f t="shared" si="139"/>
        <v>7.6804915514592942</v>
      </c>
      <c r="S528" s="181">
        <v>100</v>
      </c>
      <c r="T528" s="180">
        <f t="shared" si="117"/>
        <v>0</v>
      </c>
      <c r="U528" s="180">
        <f t="shared" si="122"/>
        <v>0</v>
      </c>
      <c r="V528" s="182">
        <f t="shared" si="95"/>
        <v>100</v>
      </c>
      <c r="W528" s="180"/>
      <c r="X528" s="180"/>
      <c r="Y528" s="180"/>
      <c r="Z528" s="180"/>
      <c r="AA528" s="180"/>
      <c r="AB528" s="180"/>
      <c r="AC528" s="180"/>
      <c r="AD528" s="180"/>
      <c r="AE528" s="180"/>
      <c r="AF528" s="180"/>
      <c r="AG528" s="180"/>
      <c r="AH528" s="180"/>
      <c r="AI528" s="180">
        <v>0</v>
      </c>
      <c r="AJ528" s="181">
        <f t="shared" si="127"/>
        <v>0</v>
      </c>
      <c r="AK528" s="180">
        <f t="shared" si="138"/>
        <v>10000000</v>
      </c>
      <c r="AL528" s="181">
        <f t="shared" si="136"/>
        <v>100</v>
      </c>
      <c r="AM528" s="243"/>
    </row>
    <row r="529" spans="1:39" ht="24.75" customHeight="1" x14ac:dyDescent="0.25">
      <c r="A529" s="243"/>
      <c r="B529" s="457"/>
      <c r="C529" s="457"/>
      <c r="D529" s="457"/>
      <c r="E529" s="457"/>
      <c r="F529" s="457"/>
      <c r="G529" s="457"/>
      <c r="H529" s="457"/>
      <c r="I529" s="458"/>
      <c r="J529" s="457" t="s">
        <v>309</v>
      </c>
      <c r="K529" s="245"/>
      <c r="L529" s="257"/>
      <c r="M529" s="591" t="s">
        <v>310</v>
      </c>
      <c r="N529" s="592"/>
      <c r="O529" s="179"/>
      <c r="P529" s="180"/>
      <c r="Q529" s="180">
        <v>104200000</v>
      </c>
      <c r="R529" s="181">
        <f t="shared" si="139"/>
        <v>80.030721966205846</v>
      </c>
      <c r="S529" s="181">
        <v>100</v>
      </c>
      <c r="T529" s="180">
        <f t="shared" si="117"/>
        <v>0</v>
      </c>
      <c r="U529" s="180">
        <f t="shared" si="122"/>
        <v>0</v>
      </c>
      <c r="V529" s="182">
        <f t="shared" si="95"/>
        <v>100</v>
      </c>
      <c r="W529" s="180"/>
      <c r="X529" s="180"/>
      <c r="Y529" s="180"/>
      <c r="Z529" s="180"/>
      <c r="AA529" s="180"/>
      <c r="AB529" s="180"/>
      <c r="AC529" s="180"/>
      <c r="AD529" s="180"/>
      <c r="AE529" s="180"/>
      <c r="AF529" s="180"/>
      <c r="AG529" s="180"/>
      <c r="AH529" s="180"/>
      <c r="AI529" s="180">
        <v>0</v>
      </c>
      <c r="AJ529" s="181">
        <f t="shared" si="127"/>
        <v>0</v>
      </c>
      <c r="AK529" s="180">
        <f t="shared" si="138"/>
        <v>104200000</v>
      </c>
      <c r="AL529" s="181">
        <f t="shared" si="136"/>
        <v>100</v>
      </c>
      <c r="AM529" s="243"/>
    </row>
    <row r="530" spans="1:39" s="297" customFormat="1" ht="29.25" customHeight="1" x14ac:dyDescent="0.25">
      <c r="A530" s="227">
        <f>A523+1</f>
        <v>66</v>
      </c>
      <c r="B530" s="615" t="s">
        <v>158</v>
      </c>
      <c r="C530" s="615"/>
      <c r="D530" s="615"/>
      <c r="E530" s="615"/>
      <c r="F530" s="615"/>
      <c r="G530" s="615"/>
      <c r="H530" s="615"/>
      <c r="I530" s="614"/>
      <c r="J530" s="304" t="s">
        <v>519</v>
      </c>
      <c r="K530" s="230"/>
      <c r="L530" s="294"/>
      <c r="M530" s="610" t="s">
        <v>164</v>
      </c>
      <c r="N530" s="610"/>
      <c r="O530" s="309">
        <v>355300000</v>
      </c>
      <c r="P530" s="231">
        <v>0</v>
      </c>
      <c r="Q530" s="231">
        <f>SUM(Q531:Q541)</f>
        <v>154081000</v>
      </c>
      <c r="R530" s="233">
        <f>Q530/Q$248*100</f>
        <v>1.2917757015052225</v>
      </c>
      <c r="S530" s="233">
        <v>100</v>
      </c>
      <c r="T530" s="231">
        <f t="shared" si="117"/>
        <v>98.755200186914678</v>
      </c>
      <c r="U530" s="231">
        <f t="shared" si="122"/>
        <v>1.2756956799874037</v>
      </c>
      <c r="V530" s="296">
        <f t="shared" si="95"/>
        <v>1.2447998130853222</v>
      </c>
      <c r="W530" s="231"/>
      <c r="X530" s="231"/>
      <c r="Y530" s="231"/>
      <c r="Z530" s="231"/>
      <c r="AA530" s="231"/>
      <c r="AB530" s="231"/>
      <c r="AC530" s="231"/>
      <c r="AD530" s="231"/>
      <c r="AE530" s="231"/>
      <c r="AF530" s="231"/>
      <c r="AG530" s="231" t="e">
        <f>[2]april!N85</f>
        <v>#REF!</v>
      </c>
      <c r="AH530" s="231">
        <f>'[3]DES SKPD'!$N85</f>
        <v>78380000</v>
      </c>
      <c r="AI530" s="231">
        <f>SUM(AI531:AI541)</f>
        <v>152163000</v>
      </c>
      <c r="AJ530" s="233">
        <f t="shared" si="127"/>
        <v>98.755200186914678</v>
      </c>
      <c r="AK530" s="231">
        <f t="shared" si="138"/>
        <v>1918000</v>
      </c>
      <c r="AL530" s="233">
        <f t="shared" si="136"/>
        <v>1.2447998130853253</v>
      </c>
      <c r="AM530" s="227"/>
    </row>
    <row r="531" spans="1:39" ht="29.25" customHeight="1" x14ac:dyDescent="0.25">
      <c r="A531" s="243"/>
      <c r="B531" s="457"/>
      <c r="C531" s="457"/>
      <c r="D531" s="457"/>
      <c r="E531" s="457"/>
      <c r="F531" s="457"/>
      <c r="G531" s="457"/>
      <c r="H531" s="457"/>
      <c r="I531" s="458"/>
      <c r="J531" s="457" t="s">
        <v>259</v>
      </c>
      <c r="K531" s="245"/>
      <c r="L531" s="257"/>
      <c r="M531" s="591" t="s">
        <v>619</v>
      </c>
      <c r="N531" s="592"/>
      <c r="O531" s="179"/>
      <c r="P531" s="180"/>
      <c r="Q531" s="180">
        <v>1300000</v>
      </c>
      <c r="R531" s="181">
        <f>Q531/Q$530*100</f>
        <v>0.84371207351977218</v>
      </c>
      <c r="S531" s="181">
        <v>100</v>
      </c>
      <c r="T531" s="180">
        <f t="shared" si="117"/>
        <v>100</v>
      </c>
      <c r="U531" s="180">
        <f t="shared" si="122"/>
        <v>0.84371207351977218</v>
      </c>
      <c r="V531" s="182">
        <f t="shared" si="95"/>
        <v>0</v>
      </c>
      <c r="W531" s="180"/>
      <c r="X531" s="180"/>
      <c r="Y531" s="180"/>
      <c r="Z531" s="180"/>
      <c r="AA531" s="180"/>
      <c r="AB531" s="180"/>
      <c r="AC531" s="180"/>
      <c r="AD531" s="180"/>
      <c r="AE531" s="180"/>
      <c r="AF531" s="180"/>
      <c r="AG531" s="180"/>
      <c r="AH531" s="180"/>
      <c r="AI531" s="180">
        <v>1300000</v>
      </c>
      <c r="AJ531" s="181">
        <f t="shared" si="127"/>
        <v>100</v>
      </c>
      <c r="AK531" s="180">
        <f>SUM(Q531-AI531)</f>
        <v>0</v>
      </c>
      <c r="AL531" s="181">
        <f t="shared" si="136"/>
        <v>0</v>
      </c>
      <c r="AM531" s="243"/>
    </row>
    <row r="532" spans="1:39" ht="29.25" customHeight="1" x14ac:dyDescent="0.25">
      <c r="A532" s="243"/>
      <c r="B532" s="457"/>
      <c r="C532" s="457"/>
      <c r="D532" s="457"/>
      <c r="E532" s="457"/>
      <c r="F532" s="457"/>
      <c r="G532" s="457"/>
      <c r="H532" s="457"/>
      <c r="I532" s="458"/>
      <c r="J532" s="457" t="s">
        <v>618</v>
      </c>
      <c r="K532" s="245"/>
      <c r="L532" s="257"/>
      <c r="M532" s="591" t="s">
        <v>351</v>
      </c>
      <c r="N532" s="592"/>
      <c r="O532" s="179"/>
      <c r="P532" s="180"/>
      <c r="Q532" s="180">
        <v>986000</v>
      </c>
      <c r="R532" s="181">
        <f t="shared" ref="R532:R541" si="140">Q532/Q$530*100</f>
        <v>0.63992315730038096</v>
      </c>
      <c r="S532" s="181">
        <v>100</v>
      </c>
      <c r="T532" s="180">
        <f t="shared" si="117"/>
        <v>50.709939148073026</v>
      </c>
      <c r="U532" s="180">
        <f t="shared" si="122"/>
        <v>0.32450464366145082</v>
      </c>
      <c r="V532" s="182">
        <f t="shared" si="95"/>
        <v>49.290060851926974</v>
      </c>
      <c r="W532" s="180"/>
      <c r="X532" s="180"/>
      <c r="Y532" s="180"/>
      <c r="Z532" s="180"/>
      <c r="AA532" s="180"/>
      <c r="AB532" s="180"/>
      <c r="AC532" s="180"/>
      <c r="AD532" s="180"/>
      <c r="AE532" s="180"/>
      <c r="AF532" s="180"/>
      <c r="AG532" s="180"/>
      <c r="AH532" s="180"/>
      <c r="AI532" s="180">
        <v>500000</v>
      </c>
      <c r="AJ532" s="181">
        <f t="shared" si="127"/>
        <v>50.709939148073026</v>
      </c>
      <c r="AK532" s="180">
        <f t="shared" ref="AK532:AK541" si="141">SUM(Q532-AI532)</f>
        <v>486000</v>
      </c>
      <c r="AL532" s="181">
        <f t="shared" si="136"/>
        <v>49.290060851926974</v>
      </c>
      <c r="AM532" s="243"/>
    </row>
    <row r="533" spans="1:39" ht="29.25" customHeight="1" x14ac:dyDescent="0.25">
      <c r="A533" s="243"/>
      <c r="B533" s="457"/>
      <c r="C533" s="457"/>
      <c r="D533" s="457"/>
      <c r="E533" s="457"/>
      <c r="F533" s="457"/>
      <c r="G533" s="457"/>
      <c r="H533" s="457"/>
      <c r="I533" s="458"/>
      <c r="J533" s="457" t="s">
        <v>332</v>
      </c>
      <c r="K533" s="245"/>
      <c r="L533" s="257"/>
      <c r="M533" s="591" t="s">
        <v>354</v>
      </c>
      <c r="N533" s="592"/>
      <c r="O533" s="179"/>
      <c r="P533" s="180"/>
      <c r="Q533" s="180">
        <v>75000000</v>
      </c>
      <c r="R533" s="181">
        <f t="shared" si="140"/>
        <v>48.675696549217619</v>
      </c>
      <c r="S533" s="181">
        <v>100</v>
      </c>
      <c r="T533" s="180">
        <f t="shared" si="117"/>
        <v>100</v>
      </c>
      <c r="U533" s="180">
        <f t="shared" si="122"/>
        <v>48.675696549217619</v>
      </c>
      <c r="V533" s="182">
        <f t="shared" si="95"/>
        <v>0</v>
      </c>
      <c r="W533" s="180"/>
      <c r="X533" s="180"/>
      <c r="Y533" s="180"/>
      <c r="Z533" s="180"/>
      <c r="AA533" s="180"/>
      <c r="AB533" s="180"/>
      <c r="AC533" s="180"/>
      <c r="AD533" s="180"/>
      <c r="AE533" s="180"/>
      <c r="AF533" s="180"/>
      <c r="AG533" s="180"/>
      <c r="AH533" s="180"/>
      <c r="AI533" s="180">
        <v>75000000</v>
      </c>
      <c r="AJ533" s="181">
        <f t="shared" si="127"/>
        <v>100</v>
      </c>
      <c r="AK533" s="180">
        <f t="shared" si="141"/>
        <v>0</v>
      </c>
      <c r="AL533" s="181">
        <f t="shared" si="136"/>
        <v>0</v>
      </c>
      <c r="AM533" s="243"/>
    </row>
    <row r="534" spans="1:39" ht="29.25" customHeight="1" x14ac:dyDescent="0.25">
      <c r="A534" s="243"/>
      <c r="B534" s="457"/>
      <c r="C534" s="457"/>
      <c r="D534" s="457"/>
      <c r="E534" s="457"/>
      <c r="F534" s="457"/>
      <c r="G534" s="457"/>
      <c r="H534" s="457"/>
      <c r="I534" s="458"/>
      <c r="J534" s="457" t="s">
        <v>374</v>
      </c>
      <c r="K534" s="245"/>
      <c r="L534" s="257"/>
      <c r="M534" s="591" t="s">
        <v>428</v>
      </c>
      <c r="N534" s="592"/>
      <c r="O534" s="179"/>
      <c r="P534" s="180"/>
      <c r="Q534" s="180">
        <v>500000</v>
      </c>
      <c r="R534" s="181">
        <f t="shared" si="140"/>
        <v>0.32450464366145082</v>
      </c>
      <c r="S534" s="181">
        <v>100</v>
      </c>
      <c r="T534" s="180">
        <f t="shared" si="117"/>
        <v>100</v>
      </c>
      <c r="U534" s="180">
        <f t="shared" si="122"/>
        <v>0.32450464366145082</v>
      </c>
      <c r="V534" s="182">
        <f t="shared" si="95"/>
        <v>0</v>
      </c>
      <c r="W534" s="180"/>
      <c r="X534" s="180"/>
      <c r="Y534" s="180"/>
      <c r="Z534" s="180"/>
      <c r="AA534" s="180"/>
      <c r="AB534" s="180"/>
      <c r="AC534" s="180"/>
      <c r="AD534" s="180"/>
      <c r="AE534" s="180"/>
      <c r="AF534" s="180"/>
      <c r="AG534" s="180"/>
      <c r="AH534" s="180"/>
      <c r="AI534" s="180">
        <v>500000</v>
      </c>
      <c r="AJ534" s="181">
        <f t="shared" si="127"/>
        <v>100</v>
      </c>
      <c r="AK534" s="180">
        <f t="shared" si="141"/>
        <v>0</v>
      </c>
      <c r="AL534" s="181">
        <f t="shared" si="136"/>
        <v>0</v>
      </c>
      <c r="AM534" s="243"/>
    </row>
    <row r="535" spans="1:39" ht="29.25" customHeight="1" x14ac:dyDescent="0.25">
      <c r="A535" s="243"/>
      <c r="B535" s="457"/>
      <c r="C535" s="457"/>
      <c r="D535" s="457"/>
      <c r="E535" s="457"/>
      <c r="F535" s="457"/>
      <c r="G535" s="457"/>
      <c r="H535" s="457"/>
      <c r="I535" s="458"/>
      <c r="J535" s="457" t="s">
        <v>316</v>
      </c>
      <c r="K535" s="245"/>
      <c r="L535" s="257"/>
      <c r="M535" s="591" t="s">
        <v>317</v>
      </c>
      <c r="N535" s="592"/>
      <c r="O535" s="179"/>
      <c r="P535" s="180"/>
      <c r="Q535" s="180">
        <v>17300000</v>
      </c>
      <c r="R535" s="181">
        <f t="shared" si="140"/>
        <v>11.227860670686198</v>
      </c>
      <c r="S535" s="181">
        <v>100</v>
      </c>
      <c r="T535" s="180">
        <f t="shared" si="117"/>
        <v>97.109826589595372</v>
      </c>
      <c r="U535" s="180">
        <f t="shared" si="122"/>
        <v>10.903356027024747</v>
      </c>
      <c r="V535" s="182">
        <f t="shared" si="95"/>
        <v>2.8901734104046284</v>
      </c>
      <c r="W535" s="180"/>
      <c r="X535" s="180"/>
      <c r="Y535" s="180"/>
      <c r="Z535" s="180"/>
      <c r="AA535" s="180"/>
      <c r="AB535" s="180"/>
      <c r="AC535" s="180"/>
      <c r="AD535" s="180"/>
      <c r="AE535" s="180"/>
      <c r="AF535" s="180"/>
      <c r="AG535" s="180"/>
      <c r="AH535" s="180"/>
      <c r="AI535" s="180">
        <v>16800000</v>
      </c>
      <c r="AJ535" s="181">
        <f t="shared" si="127"/>
        <v>97.109826589595372</v>
      </c>
      <c r="AK535" s="180">
        <f t="shared" si="141"/>
        <v>500000</v>
      </c>
      <c r="AL535" s="181">
        <f t="shared" si="136"/>
        <v>2.8901734104046244</v>
      </c>
      <c r="AM535" s="243"/>
    </row>
    <row r="536" spans="1:39" ht="29.25" customHeight="1" x14ac:dyDescent="0.25">
      <c r="A536" s="243"/>
      <c r="B536" s="457"/>
      <c r="C536" s="457"/>
      <c r="D536" s="457"/>
      <c r="E536" s="457"/>
      <c r="F536" s="457"/>
      <c r="G536" s="457"/>
      <c r="H536" s="457"/>
      <c r="I536" s="458"/>
      <c r="J536" s="457" t="s">
        <v>318</v>
      </c>
      <c r="K536" s="245"/>
      <c r="L536" s="257"/>
      <c r="M536" s="591" t="s">
        <v>319</v>
      </c>
      <c r="N536" s="592"/>
      <c r="O536" s="179"/>
      <c r="P536" s="180"/>
      <c r="Q536" s="180">
        <v>26250000</v>
      </c>
      <c r="R536" s="181">
        <f t="shared" si="140"/>
        <v>17.036493792226167</v>
      </c>
      <c r="S536" s="181">
        <v>100</v>
      </c>
      <c r="T536" s="180">
        <f t="shared" si="117"/>
        <v>100</v>
      </c>
      <c r="U536" s="180">
        <f t="shared" si="122"/>
        <v>17.036493792226167</v>
      </c>
      <c r="V536" s="182">
        <f t="shared" si="95"/>
        <v>0</v>
      </c>
      <c r="W536" s="180"/>
      <c r="X536" s="180"/>
      <c r="Y536" s="180"/>
      <c r="Z536" s="180"/>
      <c r="AA536" s="180"/>
      <c r="AB536" s="180"/>
      <c r="AC536" s="180"/>
      <c r="AD536" s="180"/>
      <c r="AE536" s="180"/>
      <c r="AF536" s="180"/>
      <c r="AG536" s="180"/>
      <c r="AH536" s="180"/>
      <c r="AI536" s="180">
        <v>26250000</v>
      </c>
      <c r="AJ536" s="181">
        <f t="shared" si="127"/>
        <v>100</v>
      </c>
      <c r="AK536" s="180">
        <f t="shared" si="141"/>
        <v>0</v>
      </c>
      <c r="AL536" s="181">
        <f t="shared" si="136"/>
        <v>0</v>
      </c>
      <c r="AM536" s="243"/>
    </row>
    <row r="537" spans="1:39" ht="29.25" customHeight="1" x14ac:dyDescent="0.25">
      <c r="A537" s="243"/>
      <c r="B537" s="457"/>
      <c r="C537" s="457"/>
      <c r="D537" s="457"/>
      <c r="E537" s="457"/>
      <c r="F537" s="457"/>
      <c r="G537" s="457"/>
      <c r="H537" s="457"/>
      <c r="I537" s="458"/>
      <c r="J537" s="457" t="s">
        <v>284</v>
      </c>
      <c r="K537" s="245"/>
      <c r="L537" s="257"/>
      <c r="M537" s="591" t="s">
        <v>285</v>
      </c>
      <c r="N537" s="592"/>
      <c r="O537" s="179"/>
      <c r="P537" s="180"/>
      <c r="Q537" s="180">
        <v>3000000</v>
      </c>
      <c r="R537" s="181">
        <f t="shared" si="140"/>
        <v>1.9470278619687049</v>
      </c>
      <c r="S537" s="181">
        <v>100</v>
      </c>
      <c r="T537" s="180">
        <f t="shared" si="117"/>
        <v>99</v>
      </c>
      <c r="U537" s="180">
        <f t="shared" si="122"/>
        <v>1.9275575833490179</v>
      </c>
      <c r="V537" s="182">
        <f t="shared" si="95"/>
        <v>1</v>
      </c>
      <c r="W537" s="180"/>
      <c r="X537" s="180"/>
      <c r="Y537" s="180"/>
      <c r="Z537" s="180"/>
      <c r="AA537" s="180"/>
      <c r="AB537" s="180"/>
      <c r="AC537" s="180"/>
      <c r="AD537" s="180"/>
      <c r="AE537" s="180"/>
      <c r="AF537" s="180"/>
      <c r="AG537" s="180"/>
      <c r="AH537" s="180"/>
      <c r="AI537" s="180">
        <f>440000+2530000</f>
        <v>2970000</v>
      </c>
      <c r="AJ537" s="181">
        <f t="shared" si="127"/>
        <v>99</v>
      </c>
      <c r="AK537" s="180">
        <f t="shared" si="141"/>
        <v>30000</v>
      </c>
      <c r="AL537" s="181">
        <f t="shared" si="136"/>
        <v>1</v>
      </c>
      <c r="AM537" s="243"/>
    </row>
    <row r="538" spans="1:39" ht="29.25" customHeight="1" x14ac:dyDescent="0.25">
      <c r="A538" s="243"/>
      <c r="B538" s="457"/>
      <c r="C538" s="457"/>
      <c r="D538" s="457"/>
      <c r="E538" s="457"/>
      <c r="F538" s="457"/>
      <c r="G538" s="457"/>
      <c r="H538" s="457"/>
      <c r="I538" s="458"/>
      <c r="J538" s="457" t="s">
        <v>282</v>
      </c>
      <c r="K538" s="245"/>
      <c r="L538" s="257"/>
      <c r="M538" s="591" t="s">
        <v>283</v>
      </c>
      <c r="N538" s="592"/>
      <c r="O538" s="179"/>
      <c r="P538" s="180"/>
      <c r="Q538" s="180">
        <v>10245000</v>
      </c>
      <c r="R538" s="181">
        <f t="shared" si="140"/>
        <v>6.6491001486231269</v>
      </c>
      <c r="S538" s="181">
        <v>100</v>
      </c>
      <c r="T538" s="180">
        <f t="shared" si="117"/>
        <v>99.980478282088825</v>
      </c>
      <c r="U538" s="180">
        <f t="shared" si="122"/>
        <v>6.6478021300484809</v>
      </c>
      <c r="V538" s="182">
        <f t="shared" ref="V538:V679" si="142">S538-T538</f>
        <v>1.9521717911175074E-2</v>
      </c>
      <c r="W538" s="180"/>
      <c r="X538" s="180"/>
      <c r="Y538" s="180"/>
      <c r="Z538" s="180"/>
      <c r="AA538" s="180"/>
      <c r="AB538" s="180"/>
      <c r="AC538" s="180"/>
      <c r="AD538" s="180"/>
      <c r="AE538" s="180"/>
      <c r="AF538" s="180"/>
      <c r="AG538" s="180"/>
      <c r="AH538" s="180"/>
      <c r="AI538" s="180">
        <f>2163000+8080000</f>
        <v>10243000</v>
      </c>
      <c r="AJ538" s="181">
        <f t="shared" ref="AJ538:AJ605" si="143">AI538/Q538*100</f>
        <v>99.980478282088825</v>
      </c>
      <c r="AK538" s="180">
        <f t="shared" si="141"/>
        <v>2000</v>
      </c>
      <c r="AL538" s="181">
        <f t="shared" si="136"/>
        <v>1.9521717911176184E-2</v>
      </c>
      <c r="AM538" s="243"/>
    </row>
    <row r="539" spans="1:39" ht="29.25" customHeight="1" x14ac:dyDescent="0.25">
      <c r="A539" s="243"/>
      <c r="B539" s="457"/>
      <c r="C539" s="457"/>
      <c r="D539" s="457"/>
      <c r="E539" s="457"/>
      <c r="F539" s="457"/>
      <c r="G539" s="457"/>
      <c r="H539" s="457"/>
      <c r="I539" s="458"/>
      <c r="J539" s="457" t="s">
        <v>320</v>
      </c>
      <c r="K539" s="245"/>
      <c r="L539" s="257"/>
      <c r="M539" s="591" t="s">
        <v>321</v>
      </c>
      <c r="N539" s="592"/>
      <c r="O539" s="179"/>
      <c r="P539" s="180"/>
      <c r="Q539" s="180">
        <v>5800000</v>
      </c>
      <c r="R539" s="181">
        <f t="shared" si="140"/>
        <v>3.7642538664728291</v>
      </c>
      <c r="S539" s="181">
        <v>100</v>
      </c>
      <c r="T539" s="180">
        <f t="shared" si="117"/>
        <v>100</v>
      </c>
      <c r="U539" s="180">
        <f t="shared" si="122"/>
        <v>3.7642538664728291</v>
      </c>
      <c r="V539" s="182">
        <f t="shared" si="142"/>
        <v>0</v>
      </c>
      <c r="W539" s="180"/>
      <c r="X539" s="180"/>
      <c r="Y539" s="180"/>
      <c r="Z539" s="180"/>
      <c r="AA539" s="180"/>
      <c r="AB539" s="180"/>
      <c r="AC539" s="180"/>
      <c r="AD539" s="180"/>
      <c r="AE539" s="180"/>
      <c r="AF539" s="180"/>
      <c r="AG539" s="180"/>
      <c r="AH539" s="180"/>
      <c r="AI539" s="180">
        <v>5800000</v>
      </c>
      <c r="AJ539" s="181">
        <f t="shared" si="143"/>
        <v>100</v>
      </c>
      <c r="AK539" s="180">
        <f t="shared" si="141"/>
        <v>0</v>
      </c>
      <c r="AL539" s="181">
        <f t="shared" si="136"/>
        <v>0</v>
      </c>
      <c r="AM539" s="243"/>
    </row>
    <row r="540" spans="1:39" ht="29.25" customHeight="1" x14ac:dyDescent="0.25">
      <c r="A540" s="243"/>
      <c r="B540" s="457"/>
      <c r="C540" s="457"/>
      <c r="D540" s="457"/>
      <c r="E540" s="457"/>
      <c r="F540" s="457"/>
      <c r="G540" s="457"/>
      <c r="H540" s="457"/>
      <c r="I540" s="458"/>
      <c r="J540" s="457" t="s">
        <v>309</v>
      </c>
      <c r="K540" s="245"/>
      <c r="L540" s="257"/>
      <c r="M540" s="591" t="s">
        <v>607</v>
      </c>
      <c r="N540" s="592"/>
      <c r="O540" s="179"/>
      <c r="P540" s="180"/>
      <c r="Q540" s="180">
        <v>2450000</v>
      </c>
      <c r="R540" s="181">
        <f t="shared" si="140"/>
        <v>1.5900727539411088</v>
      </c>
      <c r="S540" s="181">
        <v>100</v>
      </c>
      <c r="T540" s="180">
        <f t="shared" si="117"/>
        <v>100</v>
      </c>
      <c r="U540" s="180">
        <f t="shared" si="122"/>
        <v>1.5900727539411088</v>
      </c>
      <c r="V540" s="182">
        <f t="shared" si="142"/>
        <v>0</v>
      </c>
      <c r="W540" s="180"/>
      <c r="X540" s="180"/>
      <c r="Y540" s="180"/>
      <c r="Z540" s="180"/>
      <c r="AA540" s="180"/>
      <c r="AB540" s="180"/>
      <c r="AC540" s="180"/>
      <c r="AD540" s="180"/>
      <c r="AE540" s="180"/>
      <c r="AF540" s="180"/>
      <c r="AG540" s="180"/>
      <c r="AH540" s="180"/>
      <c r="AI540" s="180">
        <v>2450000</v>
      </c>
      <c r="AJ540" s="181">
        <f t="shared" si="143"/>
        <v>100</v>
      </c>
      <c r="AK540" s="180">
        <f t="shared" si="141"/>
        <v>0</v>
      </c>
      <c r="AL540" s="181">
        <f t="shared" si="136"/>
        <v>0</v>
      </c>
      <c r="AM540" s="243"/>
    </row>
    <row r="541" spans="1:39" ht="29.25" customHeight="1" x14ac:dyDescent="0.25">
      <c r="A541" s="243"/>
      <c r="B541" s="457"/>
      <c r="C541" s="457"/>
      <c r="D541" s="457"/>
      <c r="E541" s="457"/>
      <c r="F541" s="457"/>
      <c r="G541" s="457"/>
      <c r="H541" s="457"/>
      <c r="I541" s="458"/>
      <c r="J541" s="457" t="s">
        <v>372</v>
      </c>
      <c r="K541" s="245"/>
      <c r="L541" s="257"/>
      <c r="M541" s="591" t="s">
        <v>373</v>
      </c>
      <c r="N541" s="592"/>
      <c r="O541" s="179"/>
      <c r="P541" s="180"/>
      <c r="Q541" s="180">
        <v>11250000</v>
      </c>
      <c r="R541" s="181">
        <f t="shared" si="140"/>
        <v>7.3013544823826422</v>
      </c>
      <c r="S541" s="181"/>
      <c r="T541" s="180">
        <f t="shared" si="117"/>
        <v>92</v>
      </c>
      <c r="U541" s="180">
        <f t="shared" si="122"/>
        <v>6.7172461237920311</v>
      </c>
      <c r="V541" s="182">
        <f t="shared" si="142"/>
        <v>-92</v>
      </c>
      <c r="W541" s="180"/>
      <c r="X541" s="180"/>
      <c r="Y541" s="180"/>
      <c r="Z541" s="180"/>
      <c r="AA541" s="180"/>
      <c r="AB541" s="180"/>
      <c r="AC541" s="180"/>
      <c r="AD541" s="180"/>
      <c r="AE541" s="180"/>
      <c r="AF541" s="180"/>
      <c r="AG541" s="180"/>
      <c r="AH541" s="180"/>
      <c r="AI541" s="180">
        <v>10350000</v>
      </c>
      <c r="AJ541" s="181">
        <f t="shared" si="143"/>
        <v>92</v>
      </c>
      <c r="AK541" s="180">
        <f t="shared" si="141"/>
        <v>900000</v>
      </c>
      <c r="AL541" s="181">
        <f t="shared" si="136"/>
        <v>8</v>
      </c>
      <c r="AM541" s="243"/>
    </row>
    <row r="542" spans="1:39" s="297" customFormat="1" ht="31.5" customHeight="1" x14ac:dyDescent="0.25">
      <c r="A542" s="227">
        <f>A530+1</f>
        <v>67</v>
      </c>
      <c r="B542" s="615" t="s">
        <v>158</v>
      </c>
      <c r="C542" s="615"/>
      <c r="D542" s="615"/>
      <c r="E542" s="615"/>
      <c r="F542" s="615"/>
      <c r="G542" s="615"/>
      <c r="H542" s="615"/>
      <c r="I542" s="614"/>
      <c r="J542" s="304" t="s">
        <v>520</v>
      </c>
      <c r="K542" s="230"/>
      <c r="L542" s="294"/>
      <c r="M542" s="610" t="s">
        <v>165</v>
      </c>
      <c r="N542" s="610"/>
      <c r="O542" s="309">
        <v>355300000</v>
      </c>
      <c r="P542" s="231">
        <v>0</v>
      </c>
      <c r="Q542" s="231">
        <f>SUM(Q543:Q552)</f>
        <v>237999131</v>
      </c>
      <c r="R542" s="233">
        <f>Q542/Q$248*100</f>
        <v>1.9953238517737966</v>
      </c>
      <c r="S542" s="233">
        <v>100</v>
      </c>
      <c r="T542" s="231">
        <f t="shared" si="117"/>
        <v>85.94989365738482</v>
      </c>
      <c r="U542" s="231">
        <f t="shared" si="122"/>
        <v>1.7149787287200129</v>
      </c>
      <c r="V542" s="296">
        <f t="shared" si="142"/>
        <v>14.05010634261518</v>
      </c>
      <c r="W542" s="231"/>
      <c r="X542" s="231"/>
      <c r="Y542" s="231"/>
      <c r="Z542" s="231"/>
      <c r="AA542" s="231"/>
      <c r="AB542" s="231"/>
      <c r="AC542" s="231"/>
      <c r="AD542" s="231"/>
      <c r="AE542" s="231"/>
      <c r="AF542" s="231"/>
      <c r="AG542" s="231" t="e">
        <f>[2]april!N86</f>
        <v>#REF!</v>
      </c>
      <c r="AH542" s="231">
        <f>'[3]DES SKPD'!$N86</f>
        <v>126710000</v>
      </c>
      <c r="AI542" s="231">
        <f>SUM(AI543:AI552)</f>
        <v>204560000</v>
      </c>
      <c r="AJ542" s="233">
        <f t="shared" si="143"/>
        <v>85.94989365738482</v>
      </c>
      <c r="AK542" s="231">
        <f>Q542-AI542</f>
        <v>33439131</v>
      </c>
      <c r="AL542" s="233">
        <f t="shared" si="136"/>
        <v>14.050106342615177</v>
      </c>
      <c r="AM542" s="227"/>
    </row>
    <row r="543" spans="1:39" ht="42.75" customHeight="1" x14ac:dyDescent="0.25">
      <c r="A543" s="243"/>
      <c r="B543" s="457"/>
      <c r="C543" s="457"/>
      <c r="D543" s="457"/>
      <c r="E543" s="457"/>
      <c r="F543" s="457"/>
      <c r="G543" s="457"/>
      <c r="H543" s="457"/>
      <c r="I543" s="458"/>
      <c r="J543" s="457" t="s">
        <v>251</v>
      </c>
      <c r="K543" s="245"/>
      <c r="L543" s="257"/>
      <c r="M543" s="591" t="s">
        <v>324</v>
      </c>
      <c r="N543" s="592"/>
      <c r="O543" s="179"/>
      <c r="P543" s="180"/>
      <c r="Q543" s="180">
        <v>3199131</v>
      </c>
      <c r="R543" s="181">
        <f>Q543/Q$542*100</f>
        <v>1.3441775970182008</v>
      </c>
      <c r="S543" s="181">
        <v>100</v>
      </c>
      <c r="T543" s="180">
        <f t="shared" si="117"/>
        <v>95.650975217957622</v>
      </c>
      <c r="U543" s="180">
        <f t="shared" si="122"/>
        <v>1.2857189802092177</v>
      </c>
      <c r="V543" s="182">
        <f t="shared" si="142"/>
        <v>4.3490247820423775</v>
      </c>
      <c r="W543" s="180"/>
      <c r="X543" s="180"/>
      <c r="Y543" s="180"/>
      <c r="Z543" s="180"/>
      <c r="AA543" s="180"/>
      <c r="AB543" s="180"/>
      <c r="AC543" s="180"/>
      <c r="AD543" s="180"/>
      <c r="AE543" s="180"/>
      <c r="AF543" s="180"/>
      <c r="AG543" s="180"/>
      <c r="AH543" s="180"/>
      <c r="AI543" s="180">
        <v>3060000</v>
      </c>
      <c r="AJ543" s="181">
        <f t="shared" si="143"/>
        <v>95.650975217957622</v>
      </c>
      <c r="AK543" s="180">
        <f>SUM(Q543-AI543)</f>
        <v>139131</v>
      </c>
      <c r="AL543" s="181">
        <f t="shared" si="136"/>
        <v>4.3490247820423731</v>
      </c>
      <c r="AM543" s="243"/>
    </row>
    <row r="544" spans="1:39" ht="42.75" customHeight="1" x14ac:dyDescent="0.25">
      <c r="A544" s="243"/>
      <c r="B544" s="457"/>
      <c r="C544" s="457"/>
      <c r="D544" s="457"/>
      <c r="E544" s="457"/>
      <c r="F544" s="457"/>
      <c r="G544" s="457"/>
      <c r="H544" s="457"/>
      <c r="I544" s="458"/>
      <c r="J544" s="457"/>
      <c r="K544" s="245"/>
      <c r="L544" s="257"/>
      <c r="M544" s="591" t="s">
        <v>346</v>
      </c>
      <c r="N544" s="592"/>
      <c r="O544" s="179"/>
      <c r="P544" s="180"/>
      <c r="Q544" s="180">
        <v>16500000</v>
      </c>
      <c r="R544" s="181">
        <f>Q544/Q$542*100</f>
        <v>6.9327984226967621</v>
      </c>
      <c r="S544" s="181">
        <v>100</v>
      </c>
      <c r="T544" s="180">
        <f t="shared" si="117"/>
        <v>100</v>
      </c>
      <c r="U544" s="180">
        <f t="shared" si="122"/>
        <v>6.9327984226967621</v>
      </c>
      <c r="V544" s="182">
        <f t="shared" si="142"/>
        <v>0</v>
      </c>
      <c r="W544" s="180"/>
      <c r="X544" s="180"/>
      <c r="Y544" s="180"/>
      <c r="Z544" s="180"/>
      <c r="AA544" s="180"/>
      <c r="AB544" s="180"/>
      <c r="AC544" s="180"/>
      <c r="AD544" s="180"/>
      <c r="AE544" s="180"/>
      <c r="AF544" s="180"/>
      <c r="AG544" s="180"/>
      <c r="AH544" s="180"/>
      <c r="AI544" s="180">
        <v>16500000</v>
      </c>
      <c r="AJ544" s="181">
        <f t="shared" si="143"/>
        <v>100</v>
      </c>
      <c r="AK544" s="180">
        <f>SUM(Q544-AI544)</f>
        <v>0</v>
      </c>
      <c r="AL544" s="181">
        <f t="shared" si="136"/>
        <v>0</v>
      </c>
      <c r="AM544" s="243"/>
    </row>
    <row r="545" spans="1:39" ht="24.75" customHeight="1" x14ac:dyDescent="0.25">
      <c r="A545" s="243"/>
      <c r="B545" s="457"/>
      <c r="C545" s="457"/>
      <c r="D545" s="457"/>
      <c r="E545" s="457"/>
      <c r="F545" s="457"/>
      <c r="G545" s="457"/>
      <c r="H545" s="457"/>
      <c r="I545" s="458"/>
      <c r="J545" s="457" t="s">
        <v>315</v>
      </c>
      <c r="K545" s="245"/>
      <c r="L545" s="257"/>
      <c r="M545" s="591" t="s">
        <v>271</v>
      </c>
      <c r="N545" s="592"/>
      <c r="O545" s="179"/>
      <c r="P545" s="180"/>
      <c r="Q545" s="180">
        <v>4000000</v>
      </c>
      <c r="R545" s="181">
        <f t="shared" ref="R545:R552" si="144">Q545/Q$542*100</f>
        <v>1.6806784055022455</v>
      </c>
      <c r="S545" s="181">
        <v>100</v>
      </c>
      <c r="T545" s="180">
        <f t="shared" si="117"/>
        <v>100</v>
      </c>
      <c r="U545" s="180">
        <f t="shared" si="122"/>
        <v>1.6806784055022457</v>
      </c>
      <c r="V545" s="182">
        <f t="shared" si="142"/>
        <v>0</v>
      </c>
      <c r="W545" s="180"/>
      <c r="X545" s="180"/>
      <c r="Y545" s="180"/>
      <c r="Z545" s="180"/>
      <c r="AA545" s="180"/>
      <c r="AB545" s="180"/>
      <c r="AC545" s="180"/>
      <c r="AD545" s="180"/>
      <c r="AE545" s="180"/>
      <c r="AF545" s="180"/>
      <c r="AG545" s="180"/>
      <c r="AH545" s="180"/>
      <c r="AI545" s="180">
        <v>4000000</v>
      </c>
      <c r="AJ545" s="181">
        <f t="shared" si="143"/>
        <v>100</v>
      </c>
      <c r="AK545" s="180">
        <f t="shared" ref="AK545:AK552" si="145">SUM(Q545-AI545)</f>
        <v>0</v>
      </c>
      <c r="AL545" s="181">
        <f t="shared" si="136"/>
        <v>0</v>
      </c>
      <c r="AM545" s="243"/>
    </row>
    <row r="546" spans="1:39" ht="24.75" customHeight="1" x14ac:dyDescent="0.25">
      <c r="A546" s="243"/>
      <c r="B546" s="457"/>
      <c r="C546" s="457"/>
      <c r="D546" s="457"/>
      <c r="E546" s="457"/>
      <c r="F546" s="457"/>
      <c r="G546" s="457"/>
      <c r="H546" s="457"/>
      <c r="I546" s="458"/>
      <c r="J546" s="457" t="s">
        <v>316</v>
      </c>
      <c r="K546" s="245"/>
      <c r="L546" s="257"/>
      <c r="M546" s="591" t="s">
        <v>317</v>
      </c>
      <c r="N546" s="592"/>
      <c r="O546" s="179"/>
      <c r="P546" s="180"/>
      <c r="Q546" s="180">
        <v>3600000</v>
      </c>
      <c r="R546" s="181">
        <f t="shared" si="144"/>
        <v>1.5126105649520207</v>
      </c>
      <c r="S546" s="181">
        <v>100</v>
      </c>
      <c r="T546" s="180">
        <f t="shared" si="117"/>
        <v>100</v>
      </c>
      <c r="U546" s="180">
        <f t="shared" si="122"/>
        <v>1.5126105649520207</v>
      </c>
      <c r="V546" s="182">
        <f t="shared" si="142"/>
        <v>0</v>
      </c>
      <c r="W546" s="180"/>
      <c r="X546" s="180"/>
      <c r="Y546" s="180"/>
      <c r="Z546" s="180"/>
      <c r="AA546" s="180"/>
      <c r="AB546" s="180"/>
      <c r="AC546" s="180"/>
      <c r="AD546" s="180"/>
      <c r="AE546" s="180"/>
      <c r="AF546" s="180"/>
      <c r="AG546" s="180"/>
      <c r="AH546" s="180"/>
      <c r="AI546" s="180">
        <v>3600000</v>
      </c>
      <c r="AJ546" s="181">
        <f t="shared" si="143"/>
        <v>100</v>
      </c>
      <c r="AK546" s="180">
        <f t="shared" si="145"/>
        <v>0</v>
      </c>
      <c r="AL546" s="181">
        <f t="shared" si="136"/>
        <v>0</v>
      </c>
      <c r="AM546" s="243"/>
    </row>
    <row r="547" spans="1:39" ht="24.75" customHeight="1" x14ac:dyDescent="0.25">
      <c r="A547" s="243"/>
      <c r="B547" s="457"/>
      <c r="C547" s="457"/>
      <c r="D547" s="457"/>
      <c r="E547" s="457"/>
      <c r="F547" s="457"/>
      <c r="G547" s="457"/>
      <c r="H547" s="457"/>
      <c r="I547" s="458"/>
      <c r="J547" s="457" t="s">
        <v>370</v>
      </c>
      <c r="K547" s="245"/>
      <c r="L547" s="257"/>
      <c r="M547" s="591" t="s">
        <v>371</v>
      </c>
      <c r="N547" s="592"/>
      <c r="O547" s="179"/>
      <c r="P547" s="180"/>
      <c r="Q547" s="180">
        <v>27000000</v>
      </c>
      <c r="R547" s="181">
        <f t="shared" si="144"/>
        <v>11.344579237140156</v>
      </c>
      <c r="S547" s="181">
        <v>100</v>
      </c>
      <c r="T547" s="180">
        <f t="shared" si="117"/>
        <v>95.18518518518519</v>
      </c>
      <c r="U547" s="180">
        <f t="shared" si="122"/>
        <v>10.798358755351925</v>
      </c>
      <c r="V547" s="182">
        <f t="shared" si="142"/>
        <v>4.8148148148148096</v>
      </c>
      <c r="W547" s="180"/>
      <c r="X547" s="180"/>
      <c r="Y547" s="180"/>
      <c r="Z547" s="180"/>
      <c r="AA547" s="180"/>
      <c r="AB547" s="180"/>
      <c r="AC547" s="180"/>
      <c r="AD547" s="180"/>
      <c r="AE547" s="180"/>
      <c r="AF547" s="180"/>
      <c r="AG547" s="180"/>
      <c r="AH547" s="180"/>
      <c r="AI547" s="180">
        <v>25700000</v>
      </c>
      <c r="AJ547" s="181">
        <f t="shared" si="143"/>
        <v>95.18518518518519</v>
      </c>
      <c r="AK547" s="180">
        <f t="shared" si="145"/>
        <v>1300000</v>
      </c>
      <c r="AL547" s="181">
        <f t="shared" si="136"/>
        <v>4.8148148148148149</v>
      </c>
      <c r="AM547" s="243"/>
    </row>
    <row r="548" spans="1:39" ht="30" customHeight="1" x14ac:dyDescent="0.25">
      <c r="A548" s="243"/>
      <c r="B548" s="457"/>
      <c r="C548" s="457"/>
      <c r="D548" s="457"/>
      <c r="E548" s="457"/>
      <c r="F548" s="457"/>
      <c r="G548" s="457"/>
      <c r="H548" s="457"/>
      <c r="I548" s="458"/>
      <c r="J548" s="457" t="s">
        <v>339</v>
      </c>
      <c r="K548" s="245"/>
      <c r="L548" s="257"/>
      <c r="M548" s="591" t="s">
        <v>340</v>
      </c>
      <c r="N548" s="592"/>
      <c r="O548" s="179"/>
      <c r="P548" s="180"/>
      <c r="Q548" s="180">
        <v>41000000</v>
      </c>
      <c r="R548" s="181">
        <f t="shared" si="144"/>
        <v>17.226953656398013</v>
      </c>
      <c r="S548" s="181">
        <v>100</v>
      </c>
      <c r="T548" s="180">
        <f t="shared" si="117"/>
        <v>100</v>
      </c>
      <c r="U548" s="180">
        <f t="shared" si="122"/>
        <v>17.226953656398013</v>
      </c>
      <c r="V548" s="182">
        <f t="shared" si="142"/>
        <v>0</v>
      </c>
      <c r="W548" s="180"/>
      <c r="X548" s="180"/>
      <c r="Y548" s="180"/>
      <c r="Z548" s="180"/>
      <c r="AA548" s="180"/>
      <c r="AB548" s="180"/>
      <c r="AC548" s="180"/>
      <c r="AD548" s="180"/>
      <c r="AE548" s="180"/>
      <c r="AF548" s="180"/>
      <c r="AG548" s="180"/>
      <c r="AH548" s="180"/>
      <c r="AI548" s="180">
        <v>41000000</v>
      </c>
      <c r="AJ548" s="181">
        <f t="shared" si="143"/>
        <v>100</v>
      </c>
      <c r="AK548" s="180">
        <f t="shared" si="145"/>
        <v>0</v>
      </c>
      <c r="AL548" s="181">
        <f t="shared" si="136"/>
        <v>0</v>
      </c>
      <c r="AM548" s="243"/>
    </row>
    <row r="549" spans="1:39" ht="24.75" customHeight="1" x14ac:dyDescent="0.25">
      <c r="A549" s="243"/>
      <c r="B549" s="457"/>
      <c r="C549" s="457"/>
      <c r="D549" s="457"/>
      <c r="E549" s="457"/>
      <c r="F549" s="457"/>
      <c r="G549" s="457"/>
      <c r="H549" s="457"/>
      <c r="I549" s="458"/>
      <c r="J549" s="457" t="s">
        <v>284</v>
      </c>
      <c r="K549" s="245"/>
      <c r="L549" s="257"/>
      <c r="M549" s="591" t="s">
        <v>285</v>
      </c>
      <c r="N549" s="592"/>
      <c r="O549" s="179"/>
      <c r="P549" s="180"/>
      <c r="Q549" s="180">
        <v>4400000</v>
      </c>
      <c r="R549" s="181">
        <f t="shared" si="144"/>
        <v>1.8487462460524697</v>
      </c>
      <c r="S549" s="181">
        <v>100</v>
      </c>
      <c r="T549" s="180">
        <f t="shared" si="117"/>
        <v>100</v>
      </c>
      <c r="U549" s="180">
        <f t="shared" si="122"/>
        <v>1.8487462460524697</v>
      </c>
      <c r="V549" s="182">
        <f t="shared" si="142"/>
        <v>0</v>
      </c>
      <c r="W549" s="180"/>
      <c r="X549" s="180"/>
      <c r="Y549" s="180"/>
      <c r="Z549" s="180"/>
      <c r="AA549" s="180"/>
      <c r="AB549" s="180"/>
      <c r="AC549" s="180"/>
      <c r="AD549" s="180"/>
      <c r="AE549" s="180"/>
      <c r="AF549" s="180"/>
      <c r="AG549" s="180"/>
      <c r="AH549" s="180"/>
      <c r="AI549" s="180">
        <v>4400000</v>
      </c>
      <c r="AJ549" s="181">
        <f t="shared" si="143"/>
        <v>100</v>
      </c>
      <c r="AK549" s="180">
        <f t="shared" si="145"/>
        <v>0</v>
      </c>
      <c r="AL549" s="181">
        <f t="shared" si="136"/>
        <v>0</v>
      </c>
      <c r="AM549" s="243"/>
    </row>
    <row r="550" spans="1:39" ht="24.75" customHeight="1" x14ac:dyDescent="0.25">
      <c r="A550" s="243"/>
      <c r="B550" s="457"/>
      <c r="C550" s="457"/>
      <c r="D550" s="457"/>
      <c r="E550" s="457"/>
      <c r="F550" s="457"/>
      <c r="G550" s="457"/>
      <c r="H550" s="457"/>
      <c r="I550" s="458"/>
      <c r="J550" s="457" t="s">
        <v>320</v>
      </c>
      <c r="K550" s="245"/>
      <c r="L550" s="257"/>
      <c r="M550" s="591" t="s">
        <v>321</v>
      </c>
      <c r="N550" s="592"/>
      <c r="O550" s="179"/>
      <c r="P550" s="180"/>
      <c r="Q550" s="180">
        <v>33600000</v>
      </c>
      <c r="R550" s="181">
        <f t="shared" si="144"/>
        <v>14.117698606218859</v>
      </c>
      <c r="S550" s="181">
        <v>100</v>
      </c>
      <c r="T550" s="180">
        <f t="shared" si="117"/>
        <v>64.285714285714292</v>
      </c>
      <c r="U550" s="180">
        <f t="shared" si="122"/>
        <v>9.0756633897121244</v>
      </c>
      <c r="V550" s="182">
        <f t="shared" si="142"/>
        <v>35.714285714285708</v>
      </c>
      <c r="W550" s="180"/>
      <c r="X550" s="180"/>
      <c r="Y550" s="180"/>
      <c r="Z550" s="180"/>
      <c r="AA550" s="180"/>
      <c r="AB550" s="180"/>
      <c r="AC550" s="180"/>
      <c r="AD550" s="180"/>
      <c r="AE550" s="180"/>
      <c r="AF550" s="180"/>
      <c r="AG550" s="180"/>
      <c r="AH550" s="180"/>
      <c r="AI550" s="180">
        <v>21600000</v>
      </c>
      <c r="AJ550" s="181">
        <f t="shared" si="143"/>
        <v>64.285714285714292</v>
      </c>
      <c r="AK550" s="180">
        <f t="shared" si="145"/>
        <v>12000000</v>
      </c>
      <c r="AL550" s="181">
        <f t="shared" si="136"/>
        <v>35.714285714285715</v>
      </c>
      <c r="AM550" s="243"/>
    </row>
    <row r="551" spans="1:39" ht="24.75" customHeight="1" x14ac:dyDescent="0.25">
      <c r="A551" s="243"/>
      <c r="B551" s="457"/>
      <c r="C551" s="457"/>
      <c r="D551" s="457"/>
      <c r="E551" s="457"/>
      <c r="F551" s="457"/>
      <c r="G551" s="457"/>
      <c r="H551" s="457"/>
      <c r="I551" s="458"/>
      <c r="J551" s="457" t="s">
        <v>407</v>
      </c>
      <c r="K551" s="245"/>
      <c r="L551" s="257"/>
      <c r="M551" s="591" t="s">
        <v>414</v>
      </c>
      <c r="N551" s="592"/>
      <c r="O551" s="179"/>
      <c r="P551" s="180"/>
      <c r="Q551" s="180">
        <v>2700000</v>
      </c>
      <c r="R551" s="181">
        <f t="shared" si="144"/>
        <v>1.1344579237140155</v>
      </c>
      <c r="S551" s="181"/>
      <c r="T551" s="180">
        <f t="shared" si="117"/>
        <v>100</v>
      </c>
      <c r="U551" s="180">
        <f t="shared" si="122"/>
        <v>1.1344579237140155</v>
      </c>
      <c r="V551" s="182"/>
      <c r="W551" s="180"/>
      <c r="X551" s="180"/>
      <c r="Y551" s="180"/>
      <c r="Z551" s="180"/>
      <c r="AA551" s="180"/>
      <c r="AB551" s="180"/>
      <c r="AC551" s="180"/>
      <c r="AD551" s="180"/>
      <c r="AE551" s="180"/>
      <c r="AF551" s="180"/>
      <c r="AG551" s="180"/>
      <c r="AH551" s="180"/>
      <c r="AI551" s="180">
        <v>2700000</v>
      </c>
      <c r="AJ551" s="181">
        <f t="shared" si="143"/>
        <v>100</v>
      </c>
      <c r="AK551" s="180">
        <f t="shared" si="145"/>
        <v>0</v>
      </c>
      <c r="AL551" s="181"/>
      <c r="AM551" s="243"/>
    </row>
    <row r="552" spans="1:39" ht="24.75" customHeight="1" x14ac:dyDescent="0.25">
      <c r="A552" s="243"/>
      <c r="B552" s="457"/>
      <c r="C552" s="457"/>
      <c r="D552" s="457"/>
      <c r="E552" s="457"/>
      <c r="F552" s="457"/>
      <c r="G552" s="457"/>
      <c r="H552" s="457"/>
      <c r="I552" s="458"/>
      <c r="J552" s="457" t="s">
        <v>372</v>
      </c>
      <c r="K552" s="245"/>
      <c r="L552" s="257"/>
      <c r="M552" s="591" t="s">
        <v>373</v>
      </c>
      <c r="N552" s="592"/>
      <c r="O552" s="179"/>
      <c r="P552" s="180"/>
      <c r="Q552" s="180">
        <v>102000000</v>
      </c>
      <c r="R552" s="181">
        <f t="shared" si="144"/>
        <v>42.85729934030725</v>
      </c>
      <c r="S552" s="181">
        <v>100</v>
      </c>
      <c r="T552" s="180">
        <f t="shared" si="117"/>
        <v>80.392156862745097</v>
      </c>
      <c r="U552" s="180">
        <f t="shared" si="122"/>
        <v>34.453907312796019</v>
      </c>
      <c r="V552" s="182">
        <f t="shared" si="142"/>
        <v>19.607843137254903</v>
      </c>
      <c r="W552" s="180"/>
      <c r="X552" s="180"/>
      <c r="Y552" s="180"/>
      <c r="Z552" s="180"/>
      <c r="AA552" s="180"/>
      <c r="AB552" s="180"/>
      <c r="AC552" s="180"/>
      <c r="AD552" s="180"/>
      <c r="AE552" s="180"/>
      <c r="AF552" s="180"/>
      <c r="AG552" s="180"/>
      <c r="AH552" s="180"/>
      <c r="AI552" s="180">
        <v>82000000</v>
      </c>
      <c r="AJ552" s="181">
        <f t="shared" si="143"/>
        <v>80.392156862745097</v>
      </c>
      <c r="AK552" s="180">
        <f t="shared" si="145"/>
        <v>20000000</v>
      </c>
      <c r="AL552" s="181">
        <f t="shared" ref="AL552:AL616" si="146">AK552/Q552*100</f>
        <v>19.607843137254903</v>
      </c>
      <c r="AM552" s="243"/>
    </row>
    <row r="553" spans="1:39" s="297" customFormat="1" ht="29.25" customHeight="1" x14ac:dyDescent="0.25">
      <c r="A553" s="227">
        <f>SUM(A542+1)</f>
        <v>68</v>
      </c>
      <c r="B553" s="462"/>
      <c r="C553" s="462"/>
      <c r="D553" s="462"/>
      <c r="E553" s="462"/>
      <c r="F553" s="462"/>
      <c r="G553" s="462"/>
      <c r="H553" s="462"/>
      <c r="I553" s="461"/>
      <c r="J553" s="304" t="s">
        <v>521</v>
      </c>
      <c r="K553" s="230"/>
      <c r="L553" s="294"/>
      <c r="M553" s="609" t="s">
        <v>201</v>
      </c>
      <c r="N553" s="614"/>
      <c r="O553" s="309"/>
      <c r="P553" s="231"/>
      <c r="Q553" s="231">
        <f>SUM(Q554:Q561)</f>
        <v>179012754</v>
      </c>
      <c r="R553" s="233">
        <f>Q553/Q$248*100</f>
        <v>1.5007971513472254</v>
      </c>
      <c r="S553" s="233">
        <v>100</v>
      </c>
      <c r="T553" s="231">
        <f t="shared" si="117"/>
        <v>24.132358748025297</v>
      </c>
      <c r="U553" s="231">
        <f t="shared" si="122"/>
        <v>0.36217775264325658</v>
      </c>
      <c r="V553" s="296">
        <f t="shared" si="142"/>
        <v>75.867641251974703</v>
      </c>
      <c r="W553" s="231"/>
      <c r="X553" s="231"/>
      <c r="Y553" s="231"/>
      <c r="Z553" s="231"/>
      <c r="AA553" s="231"/>
      <c r="AB553" s="231"/>
      <c r="AC553" s="231"/>
      <c r="AD553" s="231"/>
      <c r="AE553" s="231"/>
      <c r="AF553" s="231"/>
      <c r="AG553" s="231"/>
      <c r="AH553" s="231"/>
      <c r="AI553" s="231">
        <f>SUM(AI554:AI561)</f>
        <v>43200000</v>
      </c>
      <c r="AJ553" s="233">
        <f t="shared" si="143"/>
        <v>24.132358748025297</v>
      </c>
      <c r="AK553" s="231">
        <f>Q553-AI553</f>
        <v>135812754</v>
      </c>
      <c r="AL553" s="233">
        <f t="shared" si="146"/>
        <v>75.867641251974703</v>
      </c>
      <c r="AM553" s="227"/>
    </row>
    <row r="554" spans="1:39" ht="27" customHeight="1" x14ac:dyDescent="0.25">
      <c r="A554" s="243"/>
      <c r="B554" s="457"/>
      <c r="C554" s="457"/>
      <c r="D554" s="457"/>
      <c r="E554" s="457"/>
      <c r="F554" s="457"/>
      <c r="G554" s="457"/>
      <c r="H554" s="457"/>
      <c r="I554" s="458"/>
      <c r="J554" s="457" t="s">
        <v>257</v>
      </c>
      <c r="K554" s="245"/>
      <c r="L554" s="257"/>
      <c r="M554" s="591" t="s">
        <v>324</v>
      </c>
      <c r="N554" s="592"/>
      <c r="O554" s="179"/>
      <c r="P554" s="180"/>
      <c r="Q554" s="180">
        <v>3000000</v>
      </c>
      <c r="R554" s="181">
        <f>Q554/Q$553*100</f>
        <v>1.6758582463906455</v>
      </c>
      <c r="S554" s="181">
        <v>100</v>
      </c>
      <c r="T554" s="180">
        <f t="shared" si="117"/>
        <v>33.333333333333329</v>
      </c>
      <c r="U554" s="180">
        <f t="shared" si="122"/>
        <v>0.55861941546354843</v>
      </c>
      <c r="V554" s="182">
        <f t="shared" si="142"/>
        <v>66.666666666666671</v>
      </c>
      <c r="W554" s="180"/>
      <c r="X554" s="180"/>
      <c r="Y554" s="180"/>
      <c r="Z554" s="180"/>
      <c r="AA554" s="180"/>
      <c r="AB554" s="180"/>
      <c r="AC554" s="180"/>
      <c r="AD554" s="180"/>
      <c r="AE554" s="180"/>
      <c r="AF554" s="180"/>
      <c r="AG554" s="180"/>
      <c r="AH554" s="180"/>
      <c r="AI554" s="180">
        <v>1000000</v>
      </c>
      <c r="AJ554" s="181">
        <f t="shared" si="143"/>
        <v>33.333333333333329</v>
      </c>
      <c r="AK554" s="180">
        <f>SUM(Q554-AI554)</f>
        <v>2000000</v>
      </c>
      <c r="AL554" s="181">
        <f t="shared" si="146"/>
        <v>66.666666666666657</v>
      </c>
      <c r="AM554" s="243"/>
    </row>
    <row r="555" spans="1:39" ht="24.75" customHeight="1" x14ac:dyDescent="0.25">
      <c r="A555" s="243"/>
      <c r="B555" s="457"/>
      <c r="C555" s="457"/>
      <c r="D555" s="457"/>
      <c r="E555" s="457"/>
      <c r="F555" s="457"/>
      <c r="G555" s="457"/>
      <c r="H555" s="457"/>
      <c r="I555" s="458"/>
      <c r="J555" s="457" t="s">
        <v>315</v>
      </c>
      <c r="K555" s="245"/>
      <c r="L555" s="257"/>
      <c r="M555" s="591" t="s">
        <v>271</v>
      </c>
      <c r="N555" s="592"/>
      <c r="O555" s="179"/>
      <c r="P555" s="180"/>
      <c r="Q555" s="180">
        <v>8120000</v>
      </c>
      <c r="R555" s="181">
        <f t="shared" ref="R555:R561" si="147">Q555/Q$553*100</f>
        <v>4.5359896535640134</v>
      </c>
      <c r="S555" s="181">
        <v>100</v>
      </c>
      <c r="T555" s="180">
        <f t="shared" si="117"/>
        <v>24.630541871921181</v>
      </c>
      <c r="U555" s="180">
        <f t="shared" si="122"/>
        <v>1.1172388309270969</v>
      </c>
      <c r="V555" s="182">
        <f t="shared" si="142"/>
        <v>75.369458128078819</v>
      </c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>
        <v>2000000</v>
      </c>
      <c r="AJ555" s="181">
        <f t="shared" si="143"/>
        <v>24.630541871921181</v>
      </c>
      <c r="AK555" s="180">
        <f t="shared" ref="AK555:AK561" si="148">SUM(Q555-AI555)</f>
        <v>6120000</v>
      </c>
      <c r="AL555" s="181">
        <f t="shared" si="146"/>
        <v>75.369458128078819</v>
      </c>
      <c r="AM555" s="243"/>
    </row>
    <row r="556" spans="1:39" ht="24.75" customHeight="1" x14ac:dyDescent="0.25">
      <c r="A556" s="243"/>
      <c r="B556" s="457"/>
      <c r="C556" s="457"/>
      <c r="D556" s="457"/>
      <c r="E556" s="457"/>
      <c r="F556" s="457"/>
      <c r="G556" s="457"/>
      <c r="H556" s="457"/>
      <c r="I556" s="458"/>
      <c r="J556" s="457" t="s">
        <v>316</v>
      </c>
      <c r="K556" s="245"/>
      <c r="L556" s="257"/>
      <c r="M556" s="591" t="s">
        <v>317</v>
      </c>
      <c r="N556" s="592"/>
      <c r="O556" s="179"/>
      <c r="P556" s="180"/>
      <c r="Q556" s="180">
        <v>5700000</v>
      </c>
      <c r="R556" s="181">
        <f t="shared" si="147"/>
        <v>3.1841306681422266</v>
      </c>
      <c r="S556" s="181">
        <v>100</v>
      </c>
      <c r="T556" s="180">
        <f t="shared" si="117"/>
        <v>31.578947368421051</v>
      </c>
      <c r="U556" s="180">
        <f t="shared" si="122"/>
        <v>1.0055149478343872</v>
      </c>
      <c r="V556" s="182">
        <f t="shared" si="142"/>
        <v>68.421052631578945</v>
      </c>
      <c r="W556" s="180"/>
      <c r="X556" s="180"/>
      <c r="Y556" s="180"/>
      <c r="Z556" s="180"/>
      <c r="AA556" s="180"/>
      <c r="AB556" s="180"/>
      <c r="AC556" s="180"/>
      <c r="AD556" s="180"/>
      <c r="AE556" s="180"/>
      <c r="AF556" s="180"/>
      <c r="AG556" s="180"/>
      <c r="AH556" s="180"/>
      <c r="AI556" s="180">
        <v>1800000</v>
      </c>
      <c r="AJ556" s="181">
        <f t="shared" si="143"/>
        <v>31.578947368421051</v>
      </c>
      <c r="AK556" s="180">
        <f t="shared" si="148"/>
        <v>3900000</v>
      </c>
      <c r="AL556" s="181">
        <f t="shared" si="146"/>
        <v>68.421052631578945</v>
      </c>
      <c r="AM556" s="243"/>
    </row>
    <row r="557" spans="1:39" ht="24.75" customHeight="1" x14ac:dyDescent="0.25">
      <c r="A557" s="243"/>
      <c r="B557" s="457"/>
      <c r="C557" s="457"/>
      <c r="D557" s="457"/>
      <c r="E557" s="457"/>
      <c r="F557" s="457"/>
      <c r="G557" s="457"/>
      <c r="H557" s="457"/>
      <c r="I557" s="458"/>
      <c r="J557" s="457" t="s">
        <v>339</v>
      </c>
      <c r="K557" s="245"/>
      <c r="L557" s="257"/>
      <c r="M557" s="591" t="s">
        <v>329</v>
      </c>
      <c r="N557" s="592"/>
      <c r="O557" s="179"/>
      <c r="P557" s="180"/>
      <c r="Q557" s="180">
        <v>35000000</v>
      </c>
      <c r="R557" s="181">
        <f t="shared" si="147"/>
        <v>19.551679541224196</v>
      </c>
      <c r="S557" s="181">
        <v>100</v>
      </c>
      <c r="T557" s="180">
        <f t="shared" si="117"/>
        <v>0</v>
      </c>
      <c r="U557" s="180">
        <f t="shared" si="122"/>
        <v>0</v>
      </c>
      <c r="V557" s="182">
        <f t="shared" si="142"/>
        <v>100</v>
      </c>
      <c r="W557" s="180"/>
      <c r="X557" s="180"/>
      <c r="Y557" s="180"/>
      <c r="Z557" s="180"/>
      <c r="AA557" s="180"/>
      <c r="AB557" s="180"/>
      <c r="AC557" s="180"/>
      <c r="AD557" s="180"/>
      <c r="AE557" s="180"/>
      <c r="AF557" s="180"/>
      <c r="AG557" s="180"/>
      <c r="AH557" s="180"/>
      <c r="AI557" s="180">
        <v>0</v>
      </c>
      <c r="AJ557" s="181">
        <f t="shared" si="143"/>
        <v>0</v>
      </c>
      <c r="AK557" s="180">
        <f t="shared" si="148"/>
        <v>35000000</v>
      </c>
      <c r="AL557" s="181">
        <f t="shared" si="146"/>
        <v>100</v>
      </c>
      <c r="AM557" s="243"/>
    </row>
    <row r="558" spans="1:39" ht="24.75" customHeight="1" x14ac:dyDescent="0.25">
      <c r="A558" s="243"/>
      <c r="B558" s="457"/>
      <c r="C558" s="457"/>
      <c r="D558" s="457"/>
      <c r="E558" s="457"/>
      <c r="F558" s="457"/>
      <c r="G558" s="457"/>
      <c r="H558" s="457"/>
      <c r="I558" s="458"/>
      <c r="J558" s="457" t="s">
        <v>284</v>
      </c>
      <c r="K558" s="245"/>
      <c r="L558" s="257"/>
      <c r="M558" s="591" t="s">
        <v>620</v>
      </c>
      <c r="N558" s="592"/>
      <c r="O558" s="179"/>
      <c r="P558" s="180"/>
      <c r="Q558" s="180">
        <v>36000000</v>
      </c>
      <c r="R558" s="181">
        <f t="shared" si="147"/>
        <v>20.110298956687743</v>
      </c>
      <c r="S558" s="181"/>
      <c r="T558" s="180">
        <f t="shared" si="117"/>
        <v>33.333333333333329</v>
      </c>
      <c r="U558" s="180">
        <f t="shared" si="122"/>
        <v>6.7034329855625803</v>
      </c>
      <c r="V558" s="182"/>
      <c r="W558" s="180"/>
      <c r="X558" s="180"/>
      <c r="Y558" s="180"/>
      <c r="Z558" s="180"/>
      <c r="AA558" s="180"/>
      <c r="AB558" s="180"/>
      <c r="AC558" s="180"/>
      <c r="AD558" s="180"/>
      <c r="AE558" s="180"/>
      <c r="AF558" s="180"/>
      <c r="AG558" s="180"/>
      <c r="AH558" s="180"/>
      <c r="AI558" s="180">
        <v>12000000</v>
      </c>
      <c r="AJ558" s="181">
        <f t="shared" si="143"/>
        <v>33.333333333333329</v>
      </c>
      <c r="AK558" s="180">
        <f t="shared" si="148"/>
        <v>24000000</v>
      </c>
      <c r="AL558" s="181">
        <f t="shared" si="146"/>
        <v>66.666666666666657</v>
      </c>
      <c r="AM558" s="243"/>
    </row>
    <row r="559" spans="1:39" ht="24.75" customHeight="1" x14ac:dyDescent="0.25">
      <c r="A559" s="243"/>
      <c r="B559" s="457"/>
      <c r="C559" s="457"/>
      <c r="D559" s="457"/>
      <c r="E559" s="457"/>
      <c r="F559" s="457"/>
      <c r="G559" s="457"/>
      <c r="H559" s="457"/>
      <c r="I559" s="458"/>
      <c r="J559" s="457" t="s">
        <v>320</v>
      </c>
      <c r="K559" s="245"/>
      <c r="L559" s="257"/>
      <c r="M559" s="591" t="s">
        <v>621</v>
      </c>
      <c r="N559" s="592"/>
      <c r="O559" s="179"/>
      <c r="P559" s="180"/>
      <c r="Q559" s="180">
        <v>10592754</v>
      </c>
      <c r="R559" s="181">
        <f t="shared" si="147"/>
        <v>5.9173180476291654</v>
      </c>
      <c r="S559" s="181">
        <v>100</v>
      </c>
      <c r="T559" s="180">
        <f t="shared" si="117"/>
        <v>31.15337144617915</v>
      </c>
      <c r="U559" s="180">
        <f t="shared" si="122"/>
        <v>1.84344407102971</v>
      </c>
      <c r="V559" s="182">
        <f t="shared" si="142"/>
        <v>68.84662855382085</v>
      </c>
      <c r="W559" s="180"/>
      <c r="X559" s="180"/>
      <c r="Y559" s="180"/>
      <c r="Z559" s="180"/>
      <c r="AA559" s="180"/>
      <c r="AB559" s="180"/>
      <c r="AC559" s="180"/>
      <c r="AD559" s="180"/>
      <c r="AE559" s="180"/>
      <c r="AF559" s="180"/>
      <c r="AG559" s="180"/>
      <c r="AH559" s="180"/>
      <c r="AI559" s="180">
        <v>3300000</v>
      </c>
      <c r="AJ559" s="181">
        <f t="shared" si="143"/>
        <v>31.15337144617915</v>
      </c>
      <c r="AK559" s="180">
        <f t="shared" si="148"/>
        <v>7292754</v>
      </c>
      <c r="AL559" s="181">
        <f t="shared" si="146"/>
        <v>68.84662855382085</v>
      </c>
      <c r="AM559" s="243"/>
    </row>
    <row r="560" spans="1:39" ht="24.75" customHeight="1" x14ac:dyDescent="0.25">
      <c r="A560" s="243"/>
      <c r="B560" s="457"/>
      <c r="C560" s="457"/>
      <c r="D560" s="457"/>
      <c r="E560" s="457"/>
      <c r="F560" s="457"/>
      <c r="G560" s="457"/>
      <c r="H560" s="457"/>
      <c r="I560" s="458"/>
      <c r="J560" s="457" t="s">
        <v>407</v>
      </c>
      <c r="K560" s="245"/>
      <c r="L560" s="257"/>
      <c r="M560" s="591" t="s">
        <v>321</v>
      </c>
      <c r="N560" s="592"/>
      <c r="O560" s="179"/>
      <c r="P560" s="180"/>
      <c r="Q560" s="180">
        <v>70400000</v>
      </c>
      <c r="R560" s="181">
        <f t="shared" si="147"/>
        <v>39.326806848633808</v>
      </c>
      <c r="S560" s="181">
        <v>100</v>
      </c>
      <c r="T560" s="180">
        <f t="shared" si="117"/>
        <v>30.681818181818183</v>
      </c>
      <c r="U560" s="180">
        <f t="shared" si="122"/>
        <v>12.066179374012647</v>
      </c>
      <c r="V560" s="182">
        <f t="shared" si="142"/>
        <v>69.318181818181813</v>
      </c>
      <c r="W560" s="180"/>
      <c r="X560" s="180"/>
      <c r="Y560" s="180"/>
      <c r="Z560" s="180"/>
      <c r="AA560" s="180"/>
      <c r="AB560" s="180"/>
      <c r="AC560" s="180"/>
      <c r="AD560" s="180"/>
      <c r="AE560" s="180"/>
      <c r="AF560" s="180"/>
      <c r="AG560" s="180"/>
      <c r="AH560" s="180"/>
      <c r="AI560" s="180">
        <v>21600000</v>
      </c>
      <c r="AJ560" s="181">
        <f t="shared" si="143"/>
        <v>30.681818181818183</v>
      </c>
      <c r="AK560" s="180">
        <f t="shared" si="148"/>
        <v>48800000</v>
      </c>
      <c r="AL560" s="181">
        <f t="shared" si="146"/>
        <v>69.318181818181827</v>
      </c>
      <c r="AM560" s="243"/>
    </row>
    <row r="561" spans="1:39" ht="24.75" customHeight="1" x14ac:dyDescent="0.25">
      <c r="A561" s="243"/>
      <c r="B561" s="457"/>
      <c r="C561" s="457"/>
      <c r="D561" s="457"/>
      <c r="E561" s="457"/>
      <c r="F561" s="457"/>
      <c r="G561" s="457"/>
      <c r="H561" s="457"/>
      <c r="I561" s="458"/>
      <c r="J561" s="457" t="s">
        <v>343</v>
      </c>
      <c r="K561" s="245"/>
      <c r="L561" s="257"/>
      <c r="M561" s="591" t="s">
        <v>414</v>
      </c>
      <c r="N561" s="592"/>
      <c r="O561" s="179"/>
      <c r="P561" s="180"/>
      <c r="Q561" s="180">
        <v>10200000</v>
      </c>
      <c r="R561" s="181">
        <f t="shared" si="147"/>
        <v>5.6979180377281944</v>
      </c>
      <c r="S561" s="181">
        <v>100</v>
      </c>
      <c r="T561" s="180">
        <f t="shared" si="117"/>
        <v>14.705882352941178</v>
      </c>
      <c r="U561" s="180">
        <f t="shared" si="122"/>
        <v>0.83792912319532276</v>
      </c>
      <c r="V561" s="182">
        <f t="shared" si="142"/>
        <v>85.294117647058826</v>
      </c>
      <c r="W561" s="180"/>
      <c r="X561" s="180"/>
      <c r="Y561" s="180"/>
      <c r="Z561" s="180"/>
      <c r="AA561" s="180"/>
      <c r="AB561" s="180"/>
      <c r="AC561" s="180"/>
      <c r="AD561" s="180"/>
      <c r="AE561" s="180"/>
      <c r="AF561" s="180"/>
      <c r="AG561" s="180"/>
      <c r="AH561" s="180"/>
      <c r="AI561" s="180">
        <v>1500000</v>
      </c>
      <c r="AJ561" s="181">
        <f t="shared" si="143"/>
        <v>14.705882352941178</v>
      </c>
      <c r="AK561" s="180">
        <f t="shared" si="148"/>
        <v>8700000</v>
      </c>
      <c r="AL561" s="181">
        <f t="shared" si="146"/>
        <v>85.294117647058826</v>
      </c>
      <c r="AM561" s="243"/>
    </row>
    <row r="562" spans="1:39" s="297" customFormat="1" ht="24.75" customHeight="1" x14ac:dyDescent="0.25">
      <c r="A562" s="227">
        <f>SUM(A553+1)</f>
        <v>69</v>
      </c>
      <c r="B562" s="462"/>
      <c r="C562" s="462"/>
      <c r="D562" s="462"/>
      <c r="E562" s="462"/>
      <c r="F562" s="462"/>
      <c r="G562" s="462"/>
      <c r="H562" s="462"/>
      <c r="I562" s="461"/>
      <c r="J562" s="304" t="s">
        <v>522</v>
      </c>
      <c r="K562" s="230"/>
      <c r="L562" s="294"/>
      <c r="M562" s="610" t="s">
        <v>202</v>
      </c>
      <c r="N562" s="612"/>
      <c r="O562" s="309"/>
      <c r="P562" s="231"/>
      <c r="Q562" s="231">
        <f>SUM(Q563:Q571)</f>
        <v>311010000</v>
      </c>
      <c r="R562" s="233">
        <f>Q562/Q$248*100</f>
        <v>2.6074283067032229</v>
      </c>
      <c r="S562" s="233">
        <v>100</v>
      </c>
      <c r="T562" s="231">
        <f t="shared" si="117"/>
        <v>65.293398926079547</v>
      </c>
      <c r="U562" s="231">
        <f t="shared" si="122"/>
        <v>1.7024785660072561</v>
      </c>
      <c r="V562" s="296">
        <f t="shared" si="142"/>
        <v>34.706601073920453</v>
      </c>
      <c r="W562" s="231"/>
      <c r="X562" s="231"/>
      <c r="Y562" s="231"/>
      <c r="Z562" s="231"/>
      <c r="AA562" s="231"/>
      <c r="AB562" s="231"/>
      <c r="AC562" s="231"/>
      <c r="AD562" s="231"/>
      <c r="AE562" s="231"/>
      <c r="AF562" s="231"/>
      <c r="AG562" s="231"/>
      <c r="AH562" s="231"/>
      <c r="AI562" s="231">
        <f>SUM(AI563:AI571)</f>
        <v>203069000</v>
      </c>
      <c r="AJ562" s="233">
        <f t="shared" si="143"/>
        <v>65.293398926079547</v>
      </c>
      <c r="AK562" s="231">
        <f>Q562-AI562</f>
        <v>107941000</v>
      </c>
      <c r="AL562" s="233">
        <f t="shared" si="146"/>
        <v>34.706601073920453</v>
      </c>
      <c r="AM562" s="227"/>
    </row>
    <row r="563" spans="1:39" ht="24.75" customHeight="1" x14ac:dyDescent="0.25">
      <c r="A563" s="243"/>
      <c r="B563" s="457"/>
      <c r="C563" s="457"/>
      <c r="D563" s="457"/>
      <c r="E563" s="457"/>
      <c r="F563" s="457"/>
      <c r="G563" s="457"/>
      <c r="H563" s="457"/>
      <c r="I563" s="458"/>
      <c r="J563" s="457" t="s">
        <v>259</v>
      </c>
      <c r="K563" s="245"/>
      <c r="L563" s="257"/>
      <c r="M563" s="591" t="s">
        <v>260</v>
      </c>
      <c r="N563" s="592"/>
      <c r="O563" s="179"/>
      <c r="P563" s="180"/>
      <c r="Q563" s="180">
        <v>2220000</v>
      </c>
      <c r="R563" s="181">
        <f t="shared" ref="R563:R570" si="149">Q563/Q$562*100</f>
        <v>0.71380341468120001</v>
      </c>
      <c r="S563" s="181">
        <v>100</v>
      </c>
      <c r="T563" s="180">
        <f t="shared" si="117"/>
        <v>66.666666666666657</v>
      </c>
      <c r="U563" s="180">
        <f t="shared" si="122"/>
        <v>0.47586894312079991</v>
      </c>
      <c r="V563" s="182">
        <f t="shared" si="142"/>
        <v>33.333333333333343</v>
      </c>
      <c r="W563" s="180"/>
      <c r="X563" s="180"/>
      <c r="Y563" s="180"/>
      <c r="Z563" s="180"/>
      <c r="AA563" s="180"/>
      <c r="AB563" s="180"/>
      <c r="AC563" s="180"/>
      <c r="AD563" s="180"/>
      <c r="AE563" s="180"/>
      <c r="AF563" s="180"/>
      <c r="AG563" s="180"/>
      <c r="AH563" s="180"/>
      <c r="AI563" s="180">
        <f>740000+740000</f>
        <v>1480000</v>
      </c>
      <c r="AJ563" s="181">
        <f t="shared" si="143"/>
        <v>66.666666666666657</v>
      </c>
      <c r="AK563" s="180">
        <f t="shared" ref="AK563:AK570" si="150">SUM(Q563-AI563)</f>
        <v>740000</v>
      </c>
      <c r="AL563" s="181">
        <f t="shared" si="146"/>
        <v>33.333333333333329</v>
      </c>
      <c r="AM563" s="243"/>
    </row>
    <row r="564" spans="1:39" ht="24.75" customHeight="1" x14ac:dyDescent="0.25">
      <c r="A564" s="243"/>
      <c r="B564" s="457"/>
      <c r="C564" s="457"/>
      <c r="D564" s="457"/>
      <c r="E564" s="457"/>
      <c r="F564" s="457"/>
      <c r="G564" s="457"/>
      <c r="H564" s="457"/>
      <c r="I564" s="458"/>
      <c r="J564" s="457" t="s">
        <v>347</v>
      </c>
      <c r="K564" s="245"/>
      <c r="L564" s="257"/>
      <c r="M564" s="591" t="s">
        <v>622</v>
      </c>
      <c r="N564" s="592"/>
      <c r="O564" s="179"/>
      <c r="P564" s="180"/>
      <c r="Q564" s="180">
        <v>44250000</v>
      </c>
      <c r="R564" s="181">
        <f t="shared" si="149"/>
        <v>14.227838333172565</v>
      </c>
      <c r="S564" s="181">
        <v>100</v>
      </c>
      <c r="T564" s="180">
        <f t="shared" si="117"/>
        <v>66.666666666666657</v>
      </c>
      <c r="U564" s="180"/>
      <c r="V564" s="182">
        <f t="shared" si="142"/>
        <v>33.333333333333343</v>
      </c>
      <c r="W564" s="180"/>
      <c r="X564" s="180"/>
      <c r="Y564" s="180"/>
      <c r="Z564" s="180"/>
      <c r="AA564" s="180"/>
      <c r="AB564" s="180"/>
      <c r="AC564" s="180"/>
      <c r="AD564" s="180"/>
      <c r="AE564" s="180"/>
      <c r="AF564" s="180"/>
      <c r="AG564" s="180"/>
      <c r="AH564" s="180"/>
      <c r="AI564" s="180">
        <f>14750000+14750000</f>
        <v>29500000</v>
      </c>
      <c r="AJ564" s="181">
        <f t="shared" si="143"/>
        <v>66.666666666666657</v>
      </c>
      <c r="AK564" s="180">
        <f t="shared" si="150"/>
        <v>14750000</v>
      </c>
      <c r="AL564" s="181">
        <f t="shared" si="146"/>
        <v>33.333333333333329</v>
      </c>
      <c r="AM564" s="243"/>
    </row>
    <row r="565" spans="1:39" ht="24.75" customHeight="1" x14ac:dyDescent="0.25">
      <c r="A565" s="243"/>
      <c r="B565" s="457"/>
      <c r="C565" s="457"/>
      <c r="D565" s="457"/>
      <c r="E565" s="457"/>
      <c r="F565" s="457"/>
      <c r="G565" s="457"/>
      <c r="H565" s="457"/>
      <c r="I565" s="458"/>
      <c r="J565" s="457" t="s">
        <v>269</v>
      </c>
      <c r="K565" s="245"/>
      <c r="L565" s="257"/>
      <c r="M565" s="591" t="s">
        <v>270</v>
      </c>
      <c r="N565" s="592"/>
      <c r="O565" s="179"/>
      <c r="P565" s="180"/>
      <c r="Q565" s="180">
        <v>15000000</v>
      </c>
      <c r="R565" s="181">
        <f t="shared" si="149"/>
        <v>4.8229960451432428</v>
      </c>
      <c r="S565" s="181">
        <v>100</v>
      </c>
      <c r="T565" s="180">
        <f t="shared" si="117"/>
        <v>66.666666666666657</v>
      </c>
      <c r="U565" s="180">
        <f t="shared" si="122"/>
        <v>3.2153306967621615</v>
      </c>
      <c r="V565" s="182">
        <f t="shared" si="142"/>
        <v>33.333333333333343</v>
      </c>
      <c r="W565" s="180"/>
      <c r="X565" s="180"/>
      <c r="Y565" s="180"/>
      <c r="Z565" s="180"/>
      <c r="AA565" s="180"/>
      <c r="AB565" s="180"/>
      <c r="AC565" s="180"/>
      <c r="AD565" s="180"/>
      <c r="AE565" s="180"/>
      <c r="AF565" s="180"/>
      <c r="AG565" s="180"/>
      <c r="AH565" s="180"/>
      <c r="AI565" s="180">
        <f>5000000+5000000</f>
        <v>10000000</v>
      </c>
      <c r="AJ565" s="181">
        <f t="shared" si="143"/>
        <v>66.666666666666657</v>
      </c>
      <c r="AK565" s="180">
        <f t="shared" si="150"/>
        <v>5000000</v>
      </c>
      <c r="AL565" s="181">
        <f t="shared" si="146"/>
        <v>33.333333333333329</v>
      </c>
      <c r="AM565" s="243"/>
    </row>
    <row r="566" spans="1:39" ht="24.75" customHeight="1" x14ac:dyDescent="0.25">
      <c r="A566" s="243"/>
      <c r="B566" s="457"/>
      <c r="C566" s="457"/>
      <c r="D566" s="457"/>
      <c r="E566" s="457"/>
      <c r="F566" s="457"/>
      <c r="G566" s="457"/>
      <c r="H566" s="457"/>
      <c r="I566" s="458"/>
      <c r="J566" s="457" t="s">
        <v>315</v>
      </c>
      <c r="K566" s="245"/>
      <c r="L566" s="257"/>
      <c r="M566" s="591" t="s">
        <v>271</v>
      </c>
      <c r="N566" s="592"/>
      <c r="O566" s="179"/>
      <c r="P566" s="180"/>
      <c r="Q566" s="180">
        <v>10710000</v>
      </c>
      <c r="R566" s="181">
        <f t="shared" si="149"/>
        <v>3.443619176232275</v>
      </c>
      <c r="S566" s="181">
        <v>100</v>
      </c>
      <c r="T566" s="180">
        <f t="shared" si="117"/>
        <v>66.666666666666657</v>
      </c>
      <c r="U566" s="180">
        <f t="shared" si="122"/>
        <v>2.295746117488183</v>
      </c>
      <c r="V566" s="182">
        <f t="shared" si="142"/>
        <v>33.333333333333343</v>
      </c>
      <c r="W566" s="180"/>
      <c r="X566" s="180"/>
      <c r="Y566" s="180"/>
      <c r="Z566" s="180"/>
      <c r="AA566" s="180"/>
      <c r="AB566" s="180"/>
      <c r="AC566" s="180"/>
      <c r="AD566" s="180"/>
      <c r="AE566" s="180"/>
      <c r="AF566" s="180"/>
      <c r="AG566" s="180"/>
      <c r="AH566" s="180"/>
      <c r="AI566" s="180">
        <f>3570000+3570000</f>
        <v>7140000</v>
      </c>
      <c r="AJ566" s="181">
        <f t="shared" si="143"/>
        <v>66.666666666666657</v>
      </c>
      <c r="AK566" s="180">
        <f t="shared" si="150"/>
        <v>3570000</v>
      </c>
      <c r="AL566" s="181">
        <f t="shared" si="146"/>
        <v>33.333333333333329</v>
      </c>
      <c r="AM566" s="243"/>
    </row>
    <row r="567" spans="1:39" ht="24.75" customHeight="1" x14ac:dyDescent="0.25">
      <c r="A567" s="243"/>
      <c r="B567" s="457"/>
      <c r="C567" s="457"/>
      <c r="D567" s="457"/>
      <c r="E567" s="457"/>
      <c r="F567" s="457"/>
      <c r="G567" s="457"/>
      <c r="H567" s="457"/>
      <c r="I567" s="458"/>
      <c r="J567" s="457" t="s">
        <v>318</v>
      </c>
      <c r="K567" s="245"/>
      <c r="L567" s="257"/>
      <c r="M567" s="591" t="s">
        <v>319</v>
      </c>
      <c r="N567" s="592"/>
      <c r="O567" s="179"/>
      <c r="P567" s="180"/>
      <c r="Q567" s="180">
        <v>179970000</v>
      </c>
      <c r="R567" s="181">
        <f t="shared" si="149"/>
        <v>57.866306549628632</v>
      </c>
      <c r="S567" s="181">
        <v>100</v>
      </c>
      <c r="T567" s="180">
        <f t="shared" si="117"/>
        <v>66.666666666666657</v>
      </c>
      <c r="U567" s="180">
        <f t="shared" si="122"/>
        <v>38.577537699752412</v>
      </c>
      <c r="V567" s="182">
        <f t="shared" si="142"/>
        <v>33.333333333333343</v>
      </c>
      <c r="W567" s="180"/>
      <c r="X567" s="180"/>
      <c r="Y567" s="180"/>
      <c r="Z567" s="180"/>
      <c r="AA567" s="180"/>
      <c r="AB567" s="180"/>
      <c r="AC567" s="180"/>
      <c r="AD567" s="180"/>
      <c r="AE567" s="180"/>
      <c r="AF567" s="180"/>
      <c r="AG567" s="180"/>
      <c r="AH567" s="180"/>
      <c r="AI567" s="180">
        <f>59990000+59990000</f>
        <v>119980000</v>
      </c>
      <c r="AJ567" s="181">
        <f t="shared" si="143"/>
        <v>66.666666666666657</v>
      </c>
      <c r="AK567" s="180">
        <f t="shared" si="150"/>
        <v>59990000</v>
      </c>
      <c r="AL567" s="181">
        <f t="shared" si="146"/>
        <v>33.333333333333329</v>
      </c>
      <c r="AM567" s="243"/>
    </row>
    <row r="568" spans="1:39" ht="24.75" customHeight="1" x14ac:dyDescent="0.25">
      <c r="A568" s="243"/>
      <c r="B568" s="457"/>
      <c r="C568" s="457"/>
      <c r="D568" s="457"/>
      <c r="E568" s="457"/>
      <c r="F568" s="457"/>
      <c r="G568" s="457"/>
      <c r="H568" s="457"/>
      <c r="I568" s="458"/>
      <c r="J568" s="457" t="s">
        <v>284</v>
      </c>
      <c r="K568" s="245"/>
      <c r="L568" s="257"/>
      <c r="M568" s="591" t="s">
        <v>285</v>
      </c>
      <c r="N568" s="592"/>
      <c r="O568" s="179"/>
      <c r="P568" s="180"/>
      <c r="Q568" s="180">
        <v>1320000</v>
      </c>
      <c r="R568" s="181">
        <f t="shared" si="149"/>
        <v>0.4244236519726054</v>
      </c>
      <c r="S568" s="181">
        <v>100</v>
      </c>
      <c r="T568" s="180">
        <f t="shared" si="117"/>
        <v>63.636363636363633</v>
      </c>
      <c r="U568" s="180">
        <f t="shared" si="122"/>
        <v>0.27008777852802163</v>
      </c>
      <c r="V568" s="182">
        <f t="shared" si="142"/>
        <v>36.363636363636367</v>
      </c>
      <c r="W568" s="180"/>
      <c r="X568" s="180"/>
      <c r="Y568" s="180"/>
      <c r="Z568" s="180"/>
      <c r="AA568" s="180"/>
      <c r="AB568" s="180"/>
      <c r="AC568" s="180"/>
      <c r="AD568" s="180"/>
      <c r="AE568" s="180"/>
      <c r="AF568" s="180"/>
      <c r="AG568" s="180"/>
      <c r="AH568" s="180"/>
      <c r="AI568" s="429">
        <f>440000+400000</f>
        <v>840000</v>
      </c>
      <c r="AJ568" s="181">
        <f t="shared" si="143"/>
        <v>63.636363636363633</v>
      </c>
      <c r="AK568" s="180">
        <f t="shared" si="150"/>
        <v>480000</v>
      </c>
      <c r="AL568" s="181">
        <f t="shared" si="146"/>
        <v>36.363636363636367</v>
      </c>
      <c r="AM568" s="243"/>
    </row>
    <row r="569" spans="1:39" ht="24.75" customHeight="1" x14ac:dyDescent="0.25">
      <c r="A569" s="243"/>
      <c r="B569" s="457"/>
      <c r="C569" s="457"/>
      <c r="D569" s="457"/>
      <c r="E569" s="457"/>
      <c r="F569" s="457"/>
      <c r="G569" s="457"/>
      <c r="H569" s="457"/>
      <c r="I569" s="458"/>
      <c r="J569" s="457" t="s">
        <v>282</v>
      </c>
      <c r="K569" s="245"/>
      <c r="L569" s="257"/>
      <c r="M569" s="591" t="s">
        <v>283</v>
      </c>
      <c r="N569" s="592"/>
      <c r="O569" s="179"/>
      <c r="P569" s="180"/>
      <c r="Q569" s="180">
        <v>39540000</v>
      </c>
      <c r="R569" s="181">
        <f t="shared" si="149"/>
        <v>12.713417574997587</v>
      </c>
      <c r="S569" s="181">
        <v>100</v>
      </c>
      <c r="T569" s="180">
        <f t="shared" si="117"/>
        <v>64.312089023773382</v>
      </c>
      <c r="U569" s="180">
        <f t="shared" si="122"/>
        <v>8.1762644287965003</v>
      </c>
      <c r="V569" s="182">
        <f t="shared" si="142"/>
        <v>35.687910976226618</v>
      </c>
      <c r="W569" s="180"/>
      <c r="X569" s="180"/>
      <c r="Y569" s="180"/>
      <c r="Z569" s="180"/>
      <c r="AA569" s="180"/>
      <c r="AB569" s="180"/>
      <c r="AC569" s="180"/>
      <c r="AD569" s="180"/>
      <c r="AE569" s="180"/>
      <c r="AF569" s="180"/>
      <c r="AG569" s="180"/>
      <c r="AH569" s="180"/>
      <c r="AI569" s="180">
        <f>13390000+12039000</f>
        <v>25429000</v>
      </c>
      <c r="AJ569" s="181">
        <f t="shared" si="143"/>
        <v>64.312089023773382</v>
      </c>
      <c r="AK569" s="180">
        <f t="shared" si="150"/>
        <v>14111000</v>
      </c>
      <c r="AL569" s="181">
        <f t="shared" si="146"/>
        <v>35.687910976226604</v>
      </c>
      <c r="AM569" s="243"/>
    </row>
    <row r="570" spans="1:39" ht="24.75" customHeight="1" x14ac:dyDescent="0.25">
      <c r="A570" s="243"/>
      <c r="B570" s="457"/>
      <c r="C570" s="457"/>
      <c r="D570" s="457"/>
      <c r="E570" s="457"/>
      <c r="F570" s="457"/>
      <c r="G570" s="457"/>
      <c r="H570" s="457"/>
      <c r="I570" s="458"/>
      <c r="J570" s="457" t="s">
        <v>320</v>
      </c>
      <c r="K570" s="245"/>
      <c r="L570" s="257"/>
      <c r="M570" s="591" t="s">
        <v>321</v>
      </c>
      <c r="N570" s="592"/>
      <c r="O570" s="179"/>
      <c r="P570" s="180"/>
      <c r="Q570" s="180">
        <v>16200000</v>
      </c>
      <c r="R570" s="181">
        <f t="shared" si="149"/>
        <v>5.2088357287547025</v>
      </c>
      <c r="S570" s="181">
        <v>100</v>
      </c>
      <c r="T570" s="180">
        <f t="shared" si="117"/>
        <v>46.296296296296298</v>
      </c>
      <c r="U570" s="180">
        <f t="shared" si="122"/>
        <v>2.4114980225716214</v>
      </c>
      <c r="V570" s="182">
        <f t="shared" si="142"/>
        <v>53.703703703703702</v>
      </c>
      <c r="W570" s="180"/>
      <c r="X570" s="180"/>
      <c r="Y570" s="180"/>
      <c r="Z570" s="180"/>
      <c r="AA570" s="180"/>
      <c r="AB570" s="180"/>
      <c r="AC570" s="180"/>
      <c r="AD570" s="180"/>
      <c r="AE570" s="180"/>
      <c r="AF570" s="180"/>
      <c r="AG570" s="180"/>
      <c r="AH570" s="180"/>
      <c r="AI570" s="180">
        <f>4500000+3000000</f>
        <v>7500000</v>
      </c>
      <c r="AJ570" s="181">
        <f t="shared" si="143"/>
        <v>46.296296296296298</v>
      </c>
      <c r="AK570" s="180">
        <f t="shared" si="150"/>
        <v>8700000</v>
      </c>
      <c r="AL570" s="181">
        <f t="shared" si="146"/>
        <v>53.703703703703709</v>
      </c>
      <c r="AM570" s="243"/>
    </row>
    <row r="571" spans="1:39" ht="24.75" customHeight="1" x14ac:dyDescent="0.25">
      <c r="A571" s="243"/>
      <c r="B571" s="457"/>
      <c r="C571" s="457"/>
      <c r="D571" s="457"/>
      <c r="E571" s="457"/>
      <c r="F571" s="457"/>
      <c r="G571" s="457"/>
      <c r="H571" s="457"/>
      <c r="I571" s="458"/>
      <c r="J571" s="457" t="s">
        <v>407</v>
      </c>
      <c r="K571" s="245"/>
      <c r="L571" s="257"/>
      <c r="M571" s="591" t="s">
        <v>414</v>
      </c>
      <c r="N571" s="592"/>
      <c r="O571" s="179"/>
      <c r="P571" s="180"/>
      <c r="Q571" s="180">
        <v>1800000</v>
      </c>
      <c r="R571" s="181">
        <f>Q571/Q$562*100</f>
        <v>0.57875952541718911</v>
      </c>
      <c r="S571" s="181">
        <v>100</v>
      </c>
      <c r="T571" s="180">
        <f t="shared" si="117"/>
        <v>66.666666666666657</v>
      </c>
      <c r="U571" s="180">
        <f t="shared" si="122"/>
        <v>0.38583968361145937</v>
      </c>
      <c r="V571" s="182">
        <f t="shared" si="142"/>
        <v>33.333333333333343</v>
      </c>
      <c r="W571" s="180"/>
      <c r="X571" s="180"/>
      <c r="Y571" s="180"/>
      <c r="Z571" s="180"/>
      <c r="AA571" s="180"/>
      <c r="AB571" s="180"/>
      <c r="AC571" s="180"/>
      <c r="AD571" s="180"/>
      <c r="AE571" s="180"/>
      <c r="AF571" s="180"/>
      <c r="AG571" s="180"/>
      <c r="AH571" s="180"/>
      <c r="AI571" s="180">
        <f>600000+600000</f>
        <v>1200000</v>
      </c>
      <c r="AJ571" s="181">
        <f t="shared" si="143"/>
        <v>66.666666666666657</v>
      </c>
      <c r="AK571" s="180">
        <f t="shared" ref="AK571:AK635" si="151">Q571-AI571</f>
        <v>600000</v>
      </c>
      <c r="AL571" s="181">
        <f t="shared" si="146"/>
        <v>33.333333333333329</v>
      </c>
      <c r="AM571" s="243"/>
    </row>
    <row r="572" spans="1:39" s="311" customFormat="1" ht="24.75" customHeight="1" x14ac:dyDescent="0.25">
      <c r="A572" s="227">
        <f>SUM(A562+1)</f>
        <v>70</v>
      </c>
      <c r="B572" s="462"/>
      <c r="C572" s="462"/>
      <c r="D572" s="462"/>
      <c r="E572" s="462"/>
      <c r="F572" s="462"/>
      <c r="G572" s="462"/>
      <c r="H572" s="462"/>
      <c r="I572" s="461"/>
      <c r="J572" s="304" t="s">
        <v>523</v>
      </c>
      <c r="K572" s="230"/>
      <c r="L572" s="294"/>
      <c r="M572" s="609" t="s">
        <v>203</v>
      </c>
      <c r="N572" s="614"/>
      <c r="O572" s="310"/>
      <c r="P572" s="231"/>
      <c r="Q572" s="231">
        <f>SUM(Q573:Q584)</f>
        <v>363103120</v>
      </c>
      <c r="R572" s="233">
        <f>Q572/Q$248*100</f>
        <v>3.0441637032258035</v>
      </c>
      <c r="S572" s="233">
        <v>100</v>
      </c>
      <c r="T572" s="231">
        <f t="shared" si="117"/>
        <v>1.8487860969082281</v>
      </c>
      <c r="U572" s="231">
        <f t="shared" si="122"/>
        <v>5.6280075312365313E-2</v>
      </c>
      <c r="V572" s="296">
        <f t="shared" si="142"/>
        <v>98.151213903091772</v>
      </c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>
        <f>SUM(AI573:AI584)</f>
        <v>6713000</v>
      </c>
      <c r="AJ572" s="233">
        <f t="shared" si="143"/>
        <v>1.8487860969082281</v>
      </c>
      <c r="AK572" s="231">
        <f t="shared" si="151"/>
        <v>356390120</v>
      </c>
      <c r="AL572" s="233">
        <f t="shared" si="146"/>
        <v>98.151213903091772</v>
      </c>
      <c r="AM572" s="227"/>
    </row>
    <row r="573" spans="1:39" ht="24.75" customHeight="1" x14ac:dyDescent="0.25">
      <c r="A573" s="243"/>
      <c r="B573" s="457"/>
      <c r="C573" s="457"/>
      <c r="D573" s="457"/>
      <c r="E573" s="457"/>
      <c r="F573" s="457"/>
      <c r="G573" s="457"/>
      <c r="H573" s="457"/>
      <c r="I573" s="458"/>
      <c r="J573" s="457" t="s">
        <v>259</v>
      </c>
      <c r="K573" s="245"/>
      <c r="L573" s="257"/>
      <c r="M573" s="591" t="s">
        <v>260</v>
      </c>
      <c r="N573" s="592"/>
      <c r="O573" s="179"/>
      <c r="P573" s="180"/>
      <c r="Q573" s="180">
        <v>2310000</v>
      </c>
      <c r="R573" s="181">
        <f t="shared" ref="R573:R584" si="152">Q573/Q$572*100</f>
        <v>0.63618291134485438</v>
      </c>
      <c r="S573" s="181">
        <v>100</v>
      </c>
      <c r="T573" s="180">
        <f t="shared" si="117"/>
        <v>0</v>
      </c>
      <c r="U573" s="180">
        <f t="shared" si="122"/>
        <v>0</v>
      </c>
      <c r="V573" s="182">
        <f t="shared" si="142"/>
        <v>100</v>
      </c>
      <c r="W573" s="180"/>
      <c r="X573" s="180"/>
      <c r="Y573" s="180"/>
      <c r="Z573" s="180"/>
      <c r="AA573" s="180"/>
      <c r="AB573" s="180"/>
      <c r="AC573" s="180"/>
      <c r="AD573" s="180"/>
      <c r="AE573" s="180"/>
      <c r="AF573" s="180"/>
      <c r="AG573" s="180"/>
      <c r="AH573" s="180"/>
      <c r="AI573" s="180">
        <v>0</v>
      </c>
      <c r="AJ573" s="181">
        <f t="shared" si="143"/>
        <v>0</v>
      </c>
      <c r="AK573" s="180">
        <f t="shared" si="151"/>
        <v>2310000</v>
      </c>
      <c r="AL573" s="181">
        <f t="shared" si="146"/>
        <v>100</v>
      </c>
      <c r="AM573" s="243"/>
    </row>
    <row r="574" spans="1:39" ht="24.75" customHeight="1" x14ac:dyDescent="0.25">
      <c r="A574" s="243"/>
      <c r="B574" s="457"/>
      <c r="C574" s="457"/>
      <c r="D574" s="457"/>
      <c r="E574" s="457"/>
      <c r="F574" s="457"/>
      <c r="G574" s="457"/>
      <c r="H574" s="457"/>
      <c r="I574" s="458"/>
      <c r="J574" s="457" t="s">
        <v>326</v>
      </c>
      <c r="K574" s="245"/>
      <c r="L574" s="257"/>
      <c r="M574" s="591" t="s">
        <v>327</v>
      </c>
      <c r="N574" s="592"/>
      <c r="O574" s="179"/>
      <c r="P574" s="180"/>
      <c r="Q574" s="180">
        <v>140400000</v>
      </c>
      <c r="R574" s="181">
        <f t="shared" si="152"/>
        <v>38.666701624596342</v>
      </c>
      <c r="S574" s="181">
        <v>100</v>
      </c>
      <c r="T574" s="180">
        <f t="shared" si="117"/>
        <v>0</v>
      </c>
      <c r="U574" s="180">
        <f t="shared" si="122"/>
        <v>0</v>
      </c>
      <c r="V574" s="182">
        <f t="shared" si="142"/>
        <v>100</v>
      </c>
      <c r="W574" s="180"/>
      <c r="X574" s="180"/>
      <c r="Y574" s="180"/>
      <c r="Z574" s="180"/>
      <c r="AA574" s="180"/>
      <c r="AB574" s="180"/>
      <c r="AC574" s="180"/>
      <c r="AD574" s="180"/>
      <c r="AE574" s="180"/>
      <c r="AF574" s="180"/>
      <c r="AG574" s="180"/>
      <c r="AH574" s="180"/>
      <c r="AI574" s="180">
        <v>0</v>
      </c>
      <c r="AJ574" s="181">
        <f t="shared" si="143"/>
        <v>0</v>
      </c>
      <c r="AK574" s="180">
        <f t="shared" si="151"/>
        <v>140400000</v>
      </c>
      <c r="AL574" s="181">
        <f t="shared" si="146"/>
        <v>100</v>
      </c>
      <c r="AM574" s="243"/>
    </row>
    <row r="575" spans="1:39" ht="24.75" customHeight="1" x14ac:dyDescent="0.25">
      <c r="A575" s="243"/>
      <c r="B575" s="457"/>
      <c r="C575" s="457"/>
      <c r="D575" s="457"/>
      <c r="E575" s="457"/>
      <c r="F575" s="457"/>
      <c r="G575" s="457"/>
      <c r="H575" s="457"/>
      <c r="I575" s="458"/>
      <c r="J575" s="457" t="s">
        <v>269</v>
      </c>
      <c r="K575" s="245"/>
      <c r="L575" s="257"/>
      <c r="M575" s="591" t="s">
        <v>270</v>
      </c>
      <c r="N575" s="592"/>
      <c r="O575" s="179"/>
      <c r="P575" s="180"/>
      <c r="Q575" s="180">
        <v>22000000</v>
      </c>
      <c r="R575" s="181">
        <f t="shared" si="152"/>
        <v>6.0588848699509938</v>
      </c>
      <c r="S575" s="181">
        <v>100</v>
      </c>
      <c r="T575" s="180">
        <f t="shared" si="117"/>
        <v>22.5</v>
      </c>
      <c r="U575" s="180">
        <f t="shared" si="122"/>
        <v>1.3632490957389738</v>
      </c>
      <c r="V575" s="182">
        <f t="shared" si="142"/>
        <v>77.5</v>
      </c>
      <c r="W575" s="180"/>
      <c r="X575" s="180"/>
      <c r="Y575" s="180"/>
      <c r="Z575" s="180"/>
      <c r="AA575" s="180"/>
      <c r="AB575" s="180"/>
      <c r="AC575" s="180"/>
      <c r="AD575" s="180"/>
      <c r="AE575" s="180"/>
      <c r="AF575" s="180"/>
      <c r="AG575" s="180"/>
      <c r="AH575" s="180"/>
      <c r="AI575" s="180">
        <v>4950000</v>
      </c>
      <c r="AJ575" s="181">
        <f t="shared" si="143"/>
        <v>22.5</v>
      </c>
      <c r="AK575" s="180">
        <f t="shared" si="151"/>
        <v>17050000</v>
      </c>
      <c r="AL575" s="181">
        <f t="shared" si="146"/>
        <v>77.5</v>
      </c>
      <c r="AM575" s="243"/>
    </row>
    <row r="576" spans="1:39" ht="24.75" customHeight="1" x14ac:dyDescent="0.25">
      <c r="A576" s="243"/>
      <c r="B576" s="457"/>
      <c r="C576" s="457"/>
      <c r="D576" s="457"/>
      <c r="E576" s="457"/>
      <c r="F576" s="457"/>
      <c r="G576" s="457"/>
      <c r="H576" s="457"/>
      <c r="I576" s="458"/>
      <c r="J576" s="457" t="s">
        <v>315</v>
      </c>
      <c r="K576" s="245"/>
      <c r="L576" s="257"/>
      <c r="M576" s="591" t="s">
        <v>271</v>
      </c>
      <c r="N576" s="592"/>
      <c r="O576" s="179"/>
      <c r="P576" s="180"/>
      <c r="Q576" s="180">
        <v>4500000</v>
      </c>
      <c r="R576" s="181">
        <f t="shared" si="152"/>
        <v>1.2393173597627032</v>
      </c>
      <c r="S576" s="181">
        <v>100</v>
      </c>
      <c r="T576" s="180">
        <f t="shared" si="117"/>
        <v>0</v>
      </c>
      <c r="U576" s="180">
        <f t="shared" si="122"/>
        <v>0</v>
      </c>
      <c r="V576" s="182">
        <f t="shared" si="142"/>
        <v>100</v>
      </c>
      <c r="W576" s="180"/>
      <c r="X576" s="180"/>
      <c r="Y576" s="180"/>
      <c r="Z576" s="180"/>
      <c r="AA576" s="180"/>
      <c r="AB576" s="180"/>
      <c r="AC576" s="180"/>
      <c r="AD576" s="180"/>
      <c r="AE576" s="180"/>
      <c r="AF576" s="180"/>
      <c r="AG576" s="180"/>
      <c r="AH576" s="180"/>
      <c r="AI576" s="180">
        <v>0</v>
      </c>
      <c r="AJ576" s="181">
        <f t="shared" si="143"/>
        <v>0</v>
      </c>
      <c r="AK576" s="180">
        <f t="shared" si="151"/>
        <v>4500000</v>
      </c>
      <c r="AL576" s="181">
        <f t="shared" si="146"/>
        <v>100</v>
      </c>
      <c r="AM576" s="243"/>
    </row>
    <row r="577" spans="1:39" ht="24.75" customHeight="1" x14ac:dyDescent="0.25">
      <c r="A577" s="243"/>
      <c r="B577" s="457"/>
      <c r="C577" s="457"/>
      <c r="D577" s="457"/>
      <c r="E577" s="457"/>
      <c r="F577" s="457"/>
      <c r="G577" s="457"/>
      <c r="H577" s="457"/>
      <c r="I577" s="458"/>
      <c r="J577" s="457" t="s">
        <v>316</v>
      </c>
      <c r="K577" s="245"/>
      <c r="L577" s="257"/>
      <c r="M577" s="591" t="s">
        <v>317</v>
      </c>
      <c r="N577" s="592"/>
      <c r="O577" s="179"/>
      <c r="P577" s="180"/>
      <c r="Q577" s="180">
        <v>600000</v>
      </c>
      <c r="R577" s="181">
        <f t="shared" si="152"/>
        <v>0.16524231463502709</v>
      </c>
      <c r="S577" s="181">
        <v>100</v>
      </c>
      <c r="T577" s="180">
        <f t="shared" si="117"/>
        <v>0</v>
      </c>
      <c r="U577" s="180">
        <f t="shared" si="122"/>
        <v>0</v>
      </c>
      <c r="V577" s="182">
        <f t="shared" si="142"/>
        <v>100</v>
      </c>
      <c r="W577" s="180"/>
      <c r="X577" s="180"/>
      <c r="Y577" s="180"/>
      <c r="Z577" s="180"/>
      <c r="AA577" s="180"/>
      <c r="AB577" s="180"/>
      <c r="AC577" s="180"/>
      <c r="AD577" s="180"/>
      <c r="AE577" s="180"/>
      <c r="AF577" s="180"/>
      <c r="AG577" s="180"/>
      <c r="AH577" s="180"/>
      <c r="AI577" s="180">
        <v>0</v>
      </c>
      <c r="AJ577" s="181">
        <f t="shared" si="143"/>
        <v>0</v>
      </c>
      <c r="AK577" s="180">
        <f t="shared" si="151"/>
        <v>600000</v>
      </c>
      <c r="AL577" s="181">
        <f t="shared" si="146"/>
        <v>100</v>
      </c>
      <c r="AM577" s="243"/>
    </row>
    <row r="578" spans="1:39" ht="24.75" customHeight="1" x14ac:dyDescent="0.25">
      <c r="A578" s="243"/>
      <c r="B578" s="457"/>
      <c r="C578" s="457"/>
      <c r="D578" s="457"/>
      <c r="E578" s="457"/>
      <c r="F578" s="457"/>
      <c r="G578" s="457"/>
      <c r="H578" s="457"/>
      <c r="I578" s="458"/>
      <c r="J578" s="457" t="s">
        <v>328</v>
      </c>
      <c r="K578" s="245"/>
      <c r="L578" s="257"/>
      <c r="M578" s="591" t="s">
        <v>329</v>
      </c>
      <c r="N578" s="592"/>
      <c r="O578" s="179"/>
      <c r="P578" s="180"/>
      <c r="Q578" s="180">
        <v>8250000</v>
      </c>
      <c r="R578" s="181">
        <f t="shared" si="152"/>
        <v>2.2720818262316222</v>
      </c>
      <c r="S578" s="181">
        <v>100</v>
      </c>
      <c r="T578" s="180">
        <f t="shared" si="117"/>
        <v>0</v>
      </c>
      <c r="U578" s="180">
        <f t="shared" si="122"/>
        <v>0</v>
      </c>
      <c r="V578" s="182">
        <f t="shared" si="142"/>
        <v>100</v>
      </c>
      <c r="W578" s="180"/>
      <c r="X578" s="180"/>
      <c r="Y578" s="180"/>
      <c r="Z578" s="180"/>
      <c r="AA578" s="180"/>
      <c r="AB578" s="180"/>
      <c r="AC578" s="180"/>
      <c r="AD578" s="180"/>
      <c r="AE578" s="180"/>
      <c r="AF578" s="180"/>
      <c r="AG578" s="180"/>
      <c r="AH578" s="180"/>
      <c r="AI578" s="180">
        <v>0</v>
      </c>
      <c r="AJ578" s="181">
        <f t="shared" si="143"/>
        <v>0</v>
      </c>
      <c r="AK578" s="180">
        <f t="shared" si="151"/>
        <v>8250000</v>
      </c>
      <c r="AL578" s="181">
        <f t="shared" si="146"/>
        <v>100</v>
      </c>
      <c r="AM578" s="243"/>
    </row>
    <row r="579" spans="1:39" ht="24.75" customHeight="1" x14ac:dyDescent="0.25">
      <c r="A579" s="243"/>
      <c r="B579" s="457"/>
      <c r="C579" s="457"/>
      <c r="D579" s="457"/>
      <c r="E579" s="457"/>
      <c r="F579" s="457"/>
      <c r="G579" s="457"/>
      <c r="H579" s="457"/>
      <c r="I579" s="458"/>
      <c r="J579" s="457" t="s">
        <v>318</v>
      </c>
      <c r="K579" s="245"/>
      <c r="L579" s="257"/>
      <c r="M579" s="591" t="s">
        <v>319</v>
      </c>
      <c r="N579" s="592"/>
      <c r="O579" s="179"/>
      <c r="P579" s="180"/>
      <c r="Q579" s="180">
        <v>100000000</v>
      </c>
      <c r="R579" s="181">
        <f t="shared" si="152"/>
        <v>27.540385772504518</v>
      </c>
      <c r="S579" s="181">
        <v>100</v>
      </c>
      <c r="T579" s="180">
        <f t="shared" si="117"/>
        <v>0</v>
      </c>
      <c r="U579" s="180">
        <f t="shared" si="122"/>
        <v>0</v>
      </c>
      <c r="V579" s="182">
        <v>100</v>
      </c>
      <c r="W579" s="180"/>
      <c r="X579" s="180"/>
      <c r="Y579" s="180"/>
      <c r="Z579" s="180"/>
      <c r="AA579" s="180"/>
      <c r="AB579" s="180"/>
      <c r="AC579" s="180"/>
      <c r="AD579" s="180"/>
      <c r="AE579" s="180"/>
      <c r="AF579" s="180"/>
      <c r="AG579" s="180"/>
      <c r="AH579" s="180"/>
      <c r="AI579" s="180">
        <v>0</v>
      </c>
      <c r="AJ579" s="181">
        <f t="shared" si="143"/>
        <v>0</v>
      </c>
      <c r="AK579" s="180">
        <f t="shared" si="151"/>
        <v>100000000</v>
      </c>
      <c r="AL579" s="181">
        <f t="shared" si="146"/>
        <v>100</v>
      </c>
      <c r="AM579" s="243"/>
    </row>
    <row r="580" spans="1:39" ht="24.75" customHeight="1" x14ac:dyDescent="0.25">
      <c r="A580" s="243"/>
      <c r="B580" s="457"/>
      <c r="C580" s="457"/>
      <c r="D580" s="457"/>
      <c r="E580" s="457"/>
      <c r="F580" s="457"/>
      <c r="G580" s="457"/>
      <c r="H580" s="457"/>
      <c r="I580" s="458"/>
      <c r="J580" s="457" t="s">
        <v>280</v>
      </c>
      <c r="K580" s="245"/>
      <c r="L580" s="257"/>
      <c r="M580" s="591" t="s">
        <v>281</v>
      </c>
      <c r="N580" s="592"/>
      <c r="O580" s="179"/>
      <c r="P580" s="180"/>
      <c r="Q580" s="180">
        <v>9500000</v>
      </c>
      <c r="R580" s="181">
        <f t="shared" si="152"/>
        <v>2.6163366483879291</v>
      </c>
      <c r="S580" s="181">
        <v>100</v>
      </c>
      <c r="T580" s="180">
        <f t="shared" si="117"/>
        <v>0</v>
      </c>
      <c r="U580" s="180">
        <f t="shared" si="122"/>
        <v>0</v>
      </c>
      <c r="V580" s="182">
        <f t="shared" si="142"/>
        <v>100</v>
      </c>
      <c r="W580" s="180"/>
      <c r="X580" s="180"/>
      <c r="Y580" s="180"/>
      <c r="Z580" s="180"/>
      <c r="AA580" s="180"/>
      <c r="AB580" s="180"/>
      <c r="AC580" s="180"/>
      <c r="AD580" s="180"/>
      <c r="AE580" s="180"/>
      <c r="AF580" s="180"/>
      <c r="AG580" s="180"/>
      <c r="AH580" s="180"/>
      <c r="AI580" s="180">
        <v>0</v>
      </c>
      <c r="AJ580" s="181">
        <f t="shared" si="143"/>
        <v>0</v>
      </c>
      <c r="AK580" s="180">
        <f t="shared" si="151"/>
        <v>9500000</v>
      </c>
      <c r="AL580" s="181">
        <f t="shared" si="146"/>
        <v>100</v>
      </c>
      <c r="AM580" s="243"/>
    </row>
    <row r="581" spans="1:39" ht="24.75" customHeight="1" x14ac:dyDescent="0.25">
      <c r="A581" s="243"/>
      <c r="B581" s="457"/>
      <c r="C581" s="457"/>
      <c r="D581" s="457"/>
      <c r="E581" s="457"/>
      <c r="F581" s="457"/>
      <c r="G581" s="457"/>
      <c r="H581" s="457"/>
      <c r="I581" s="458"/>
      <c r="J581" s="457" t="s">
        <v>284</v>
      </c>
      <c r="K581" s="245"/>
      <c r="L581" s="257"/>
      <c r="M581" s="591" t="s">
        <v>285</v>
      </c>
      <c r="N581" s="592"/>
      <c r="O581" s="179"/>
      <c r="P581" s="180"/>
      <c r="Q581" s="180">
        <v>3000000</v>
      </c>
      <c r="R581" s="181">
        <f t="shared" si="152"/>
        <v>0.82621157317513538</v>
      </c>
      <c r="S581" s="181">
        <v>100</v>
      </c>
      <c r="T581" s="180">
        <f t="shared" si="117"/>
        <v>0</v>
      </c>
      <c r="U581" s="180">
        <f t="shared" si="122"/>
        <v>0</v>
      </c>
      <c r="V581" s="182">
        <f t="shared" si="142"/>
        <v>100</v>
      </c>
      <c r="W581" s="180"/>
      <c r="X581" s="180"/>
      <c r="Y581" s="180"/>
      <c r="Z581" s="180"/>
      <c r="AA581" s="180"/>
      <c r="AB581" s="180"/>
      <c r="AC581" s="180"/>
      <c r="AD581" s="180"/>
      <c r="AE581" s="180"/>
      <c r="AF581" s="180"/>
      <c r="AG581" s="180"/>
      <c r="AH581" s="180"/>
      <c r="AI581" s="180">
        <v>0</v>
      </c>
      <c r="AJ581" s="181">
        <f t="shared" si="143"/>
        <v>0</v>
      </c>
      <c r="AK581" s="180">
        <f t="shared" si="151"/>
        <v>3000000</v>
      </c>
      <c r="AL581" s="181">
        <f t="shared" si="146"/>
        <v>100</v>
      </c>
      <c r="AM581" s="243"/>
    </row>
    <row r="582" spans="1:39" ht="24.75" customHeight="1" x14ac:dyDescent="0.25">
      <c r="A582" s="243"/>
      <c r="B582" s="457"/>
      <c r="C582" s="457"/>
      <c r="D582" s="457"/>
      <c r="E582" s="457"/>
      <c r="F582" s="457"/>
      <c r="G582" s="457"/>
      <c r="H582" s="457"/>
      <c r="I582" s="458"/>
      <c r="J582" s="457" t="s">
        <v>282</v>
      </c>
      <c r="K582" s="245"/>
      <c r="L582" s="257"/>
      <c r="M582" s="591" t="s">
        <v>283</v>
      </c>
      <c r="N582" s="592"/>
      <c r="O582" s="179"/>
      <c r="P582" s="180"/>
      <c r="Q582" s="180">
        <v>32443120</v>
      </c>
      <c r="R582" s="181">
        <f t="shared" si="152"/>
        <v>8.934960404636568</v>
      </c>
      <c r="S582" s="181">
        <v>100</v>
      </c>
      <c r="T582" s="180">
        <f t="shared" si="117"/>
        <v>5.4341259410315654</v>
      </c>
      <c r="U582" s="180">
        <f t="shared" si="122"/>
        <v>0.48553700116925469</v>
      </c>
      <c r="V582" s="182">
        <f t="shared" si="142"/>
        <v>94.565874058968433</v>
      </c>
      <c r="W582" s="180"/>
      <c r="X582" s="180"/>
      <c r="Y582" s="180"/>
      <c r="Z582" s="180"/>
      <c r="AA582" s="180"/>
      <c r="AB582" s="180"/>
      <c r="AC582" s="180"/>
      <c r="AD582" s="180"/>
      <c r="AE582" s="180"/>
      <c r="AF582" s="180"/>
      <c r="AG582" s="180"/>
      <c r="AH582" s="180"/>
      <c r="AI582" s="180">
        <v>1763000</v>
      </c>
      <c r="AJ582" s="181">
        <f t="shared" si="143"/>
        <v>5.4341259410315654</v>
      </c>
      <c r="AK582" s="180">
        <f t="shared" si="151"/>
        <v>30680120</v>
      </c>
      <c r="AL582" s="181">
        <f t="shared" si="146"/>
        <v>94.565874058968433</v>
      </c>
      <c r="AM582" s="243"/>
    </row>
    <row r="583" spans="1:39" ht="24.75" customHeight="1" x14ac:dyDescent="0.25">
      <c r="A583" s="243"/>
      <c r="B583" s="457"/>
      <c r="C583" s="457"/>
      <c r="D583" s="457"/>
      <c r="E583" s="457"/>
      <c r="F583" s="457"/>
      <c r="G583" s="457"/>
      <c r="H583" s="457"/>
      <c r="I583" s="458"/>
      <c r="J583" s="457" t="s">
        <v>320</v>
      </c>
      <c r="K583" s="245"/>
      <c r="L583" s="257"/>
      <c r="M583" s="591" t="s">
        <v>321</v>
      </c>
      <c r="N583" s="592"/>
      <c r="O583" s="179"/>
      <c r="P583" s="180"/>
      <c r="Q583" s="180">
        <v>20000000</v>
      </c>
      <c r="R583" s="181">
        <f t="shared" si="152"/>
        <v>5.5080771545009029</v>
      </c>
      <c r="S583" s="181">
        <v>100</v>
      </c>
      <c r="T583" s="180">
        <f t="shared" si="117"/>
        <v>0</v>
      </c>
      <c r="U583" s="180">
        <f t="shared" si="122"/>
        <v>0</v>
      </c>
      <c r="V583" s="182">
        <f t="shared" si="142"/>
        <v>100</v>
      </c>
      <c r="W583" s="180"/>
      <c r="X583" s="180"/>
      <c r="Y583" s="180"/>
      <c r="Z583" s="180"/>
      <c r="AA583" s="180"/>
      <c r="AB583" s="180"/>
      <c r="AC583" s="180"/>
      <c r="AD583" s="180"/>
      <c r="AE583" s="180"/>
      <c r="AF583" s="180"/>
      <c r="AG583" s="180"/>
      <c r="AH583" s="180"/>
      <c r="AI583" s="180">
        <v>0</v>
      </c>
      <c r="AJ583" s="181">
        <f t="shared" si="143"/>
        <v>0</v>
      </c>
      <c r="AK583" s="180">
        <f t="shared" si="151"/>
        <v>20000000</v>
      </c>
      <c r="AL583" s="181">
        <f t="shared" si="146"/>
        <v>100</v>
      </c>
      <c r="AM583" s="243"/>
    </row>
    <row r="584" spans="1:39" ht="24.75" customHeight="1" x14ac:dyDescent="0.25">
      <c r="A584" s="243"/>
      <c r="B584" s="457"/>
      <c r="C584" s="457"/>
      <c r="D584" s="457"/>
      <c r="E584" s="457"/>
      <c r="F584" s="457"/>
      <c r="G584" s="457"/>
      <c r="H584" s="457"/>
      <c r="I584" s="458"/>
      <c r="J584" s="457" t="s">
        <v>407</v>
      </c>
      <c r="K584" s="245"/>
      <c r="L584" s="257"/>
      <c r="M584" s="591" t="s">
        <v>414</v>
      </c>
      <c r="N584" s="592"/>
      <c r="O584" s="179"/>
      <c r="P584" s="180"/>
      <c r="Q584" s="180">
        <v>20100000</v>
      </c>
      <c r="R584" s="181">
        <f t="shared" si="152"/>
        <v>5.5356175402734076</v>
      </c>
      <c r="S584" s="181">
        <v>100</v>
      </c>
      <c r="T584" s="180">
        <f t="shared" si="117"/>
        <v>0</v>
      </c>
      <c r="U584" s="180">
        <f t="shared" si="122"/>
        <v>0</v>
      </c>
      <c r="V584" s="182">
        <v>100</v>
      </c>
      <c r="W584" s="180"/>
      <c r="X584" s="180"/>
      <c r="Y584" s="180"/>
      <c r="Z584" s="180"/>
      <c r="AA584" s="180"/>
      <c r="AB584" s="180"/>
      <c r="AC584" s="180"/>
      <c r="AD584" s="180"/>
      <c r="AE584" s="180"/>
      <c r="AF584" s="180"/>
      <c r="AG584" s="180"/>
      <c r="AH584" s="180"/>
      <c r="AI584" s="180">
        <v>0</v>
      </c>
      <c r="AJ584" s="181">
        <f t="shared" si="143"/>
        <v>0</v>
      </c>
      <c r="AK584" s="180">
        <f t="shared" si="151"/>
        <v>20100000</v>
      </c>
      <c r="AL584" s="181">
        <f t="shared" si="146"/>
        <v>100</v>
      </c>
      <c r="AM584" s="243"/>
    </row>
    <row r="585" spans="1:39" s="311" customFormat="1" ht="24.75" customHeight="1" x14ac:dyDescent="0.25">
      <c r="A585" s="227">
        <f>SUM(A572+1)</f>
        <v>71</v>
      </c>
      <c r="B585" s="462"/>
      <c r="C585" s="462"/>
      <c r="D585" s="462"/>
      <c r="E585" s="462"/>
      <c r="F585" s="462"/>
      <c r="G585" s="462"/>
      <c r="H585" s="462"/>
      <c r="I585" s="461"/>
      <c r="J585" s="304" t="s">
        <v>524</v>
      </c>
      <c r="K585" s="230"/>
      <c r="L585" s="294"/>
      <c r="M585" s="609" t="s">
        <v>204</v>
      </c>
      <c r="N585" s="614"/>
      <c r="O585" s="310"/>
      <c r="P585" s="231"/>
      <c r="Q585" s="231">
        <f>SUM(Q586:Q593)</f>
        <v>161972105</v>
      </c>
      <c r="R585" s="233">
        <f>Q585/Q$248*100</f>
        <v>1.3579327078656847</v>
      </c>
      <c r="S585" s="233">
        <v>100</v>
      </c>
      <c r="T585" s="231">
        <f t="shared" si="117"/>
        <v>55.846097696884286</v>
      </c>
      <c r="U585" s="231">
        <f t="shared" si="122"/>
        <v>0.75835242669261649</v>
      </c>
      <c r="V585" s="296">
        <f t="shared" si="142"/>
        <v>44.153902303115714</v>
      </c>
      <c r="W585" s="231"/>
      <c r="X585" s="231"/>
      <c r="Y585" s="231"/>
      <c r="Z585" s="231"/>
      <c r="AA585" s="231"/>
      <c r="AB585" s="231"/>
      <c r="AC585" s="231"/>
      <c r="AD585" s="231"/>
      <c r="AE585" s="231"/>
      <c r="AF585" s="231"/>
      <c r="AG585" s="231"/>
      <c r="AH585" s="231"/>
      <c r="AI585" s="231">
        <f>SUM(AI586:AI593)</f>
        <v>90455100</v>
      </c>
      <c r="AJ585" s="233">
        <f t="shared" si="143"/>
        <v>55.846097696884286</v>
      </c>
      <c r="AK585" s="231">
        <f t="shared" si="151"/>
        <v>71517005</v>
      </c>
      <c r="AL585" s="233">
        <f t="shared" si="146"/>
        <v>44.153902303115714</v>
      </c>
      <c r="AM585" s="227"/>
    </row>
    <row r="586" spans="1:39" ht="24.75" customHeight="1" x14ac:dyDescent="0.25">
      <c r="A586" s="243"/>
      <c r="B586" s="457"/>
      <c r="C586" s="457"/>
      <c r="D586" s="457"/>
      <c r="E586" s="457"/>
      <c r="F586" s="457"/>
      <c r="G586" s="457"/>
      <c r="H586" s="457"/>
      <c r="I586" s="458"/>
      <c r="J586" s="457" t="s">
        <v>257</v>
      </c>
      <c r="K586" s="245"/>
      <c r="L586" s="257"/>
      <c r="M586" s="591" t="s">
        <v>260</v>
      </c>
      <c r="N586" s="592"/>
      <c r="O586" s="179"/>
      <c r="P586" s="180"/>
      <c r="Q586" s="180">
        <v>1540000</v>
      </c>
      <c r="R586" s="181">
        <f>Q586/Q$585*100</f>
        <v>0.95078100022222956</v>
      </c>
      <c r="S586" s="181">
        <v>100</v>
      </c>
      <c r="T586" s="180">
        <f t="shared" si="117"/>
        <v>50</v>
      </c>
      <c r="U586" s="180">
        <f t="shared" si="122"/>
        <v>0.47539050011111478</v>
      </c>
      <c r="V586" s="182">
        <f t="shared" si="142"/>
        <v>50</v>
      </c>
      <c r="W586" s="180"/>
      <c r="X586" s="180"/>
      <c r="Y586" s="180"/>
      <c r="Z586" s="180"/>
      <c r="AA586" s="180"/>
      <c r="AB586" s="180"/>
      <c r="AC586" s="180"/>
      <c r="AD586" s="180"/>
      <c r="AE586" s="180"/>
      <c r="AF586" s="180"/>
      <c r="AG586" s="180"/>
      <c r="AH586" s="180"/>
      <c r="AI586" s="180">
        <v>770000</v>
      </c>
      <c r="AJ586" s="181">
        <f t="shared" si="143"/>
        <v>50</v>
      </c>
      <c r="AK586" s="180">
        <f t="shared" si="151"/>
        <v>770000</v>
      </c>
      <c r="AL586" s="181">
        <f t="shared" si="146"/>
        <v>50</v>
      </c>
      <c r="AM586" s="243"/>
    </row>
    <row r="587" spans="1:39" ht="24.75" customHeight="1" x14ac:dyDescent="0.25">
      <c r="A587" s="243"/>
      <c r="B587" s="457"/>
      <c r="C587" s="457"/>
      <c r="D587" s="457"/>
      <c r="E587" s="457"/>
      <c r="F587" s="457"/>
      <c r="G587" s="457"/>
      <c r="H587" s="457"/>
      <c r="I587" s="458"/>
      <c r="J587" s="457" t="s">
        <v>315</v>
      </c>
      <c r="K587" s="245"/>
      <c r="L587" s="257"/>
      <c r="M587" s="591" t="s">
        <v>271</v>
      </c>
      <c r="N587" s="592"/>
      <c r="O587" s="179"/>
      <c r="P587" s="180"/>
      <c r="Q587" s="180">
        <v>2000000</v>
      </c>
      <c r="R587" s="181">
        <f t="shared" ref="R587:R593" si="153">Q587/Q$585*100</f>
        <v>1.2347805197691293</v>
      </c>
      <c r="S587" s="181">
        <v>100</v>
      </c>
      <c r="T587" s="180">
        <f t="shared" si="117"/>
        <v>15</v>
      </c>
      <c r="U587" s="180">
        <f t="shared" si="122"/>
        <v>0.1852170779653694</v>
      </c>
      <c r="V587" s="182">
        <f t="shared" si="142"/>
        <v>85</v>
      </c>
      <c r="W587" s="180"/>
      <c r="X587" s="180"/>
      <c r="Y587" s="180"/>
      <c r="Z587" s="180"/>
      <c r="AA587" s="180"/>
      <c r="AB587" s="180"/>
      <c r="AC587" s="180"/>
      <c r="AD587" s="180"/>
      <c r="AE587" s="180"/>
      <c r="AF587" s="180"/>
      <c r="AG587" s="180"/>
      <c r="AH587" s="180"/>
      <c r="AI587" s="180">
        <v>300000</v>
      </c>
      <c r="AJ587" s="181">
        <f t="shared" si="143"/>
        <v>15</v>
      </c>
      <c r="AK587" s="180">
        <f t="shared" si="151"/>
        <v>1700000</v>
      </c>
      <c r="AL587" s="181">
        <f t="shared" si="146"/>
        <v>85</v>
      </c>
      <c r="AM587" s="243"/>
    </row>
    <row r="588" spans="1:39" ht="30" customHeight="1" x14ac:dyDescent="0.25">
      <c r="A588" s="243"/>
      <c r="B588" s="457"/>
      <c r="C588" s="457"/>
      <c r="D588" s="457"/>
      <c r="E588" s="457"/>
      <c r="F588" s="457"/>
      <c r="G588" s="457"/>
      <c r="H588" s="457"/>
      <c r="I588" s="458"/>
      <c r="J588" s="457" t="s">
        <v>318</v>
      </c>
      <c r="K588" s="245"/>
      <c r="L588" s="257"/>
      <c r="M588" s="591" t="s">
        <v>319</v>
      </c>
      <c r="N588" s="592"/>
      <c r="O588" s="179"/>
      <c r="P588" s="180"/>
      <c r="Q588" s="180">
        <v>58500000</v>
      </c>
      <c r="R588" s="181">
        <f t="shared" si="153"/>
        <v>36.117330203247036</v>
      </c>
      <c r="S588" s="181">
        <v>100</v>
      </c>
      <c r="T588" s="180">
        <f t="shared" si="117"/>
        <v>23.931623931623932</v>
      </c>
      <c r="U588" s="180">
        <f t="shared" si="122"/>
        <v>8.6434636383839063</v>
      </c>
      <c r="V588" s="182">
        <f t="shared" si="142"/>
        <v>76.068376068376068</v>
      </c>
      <c r="W588" s="180"/>
      <c r="X588" s="180"/>
      <c r="Y588" s="180"/>
      <c r="Z588" s="180"/>
      <c r="AA588" s="180"/>
      <c r="AB588" s="180"/>
      <c r="AC588" s="180"/>
      <c r="AD588" s="180"/>
      <c r="AE588" s="180"/>
      <c r="AF588" s="180"/>
      <c r="AG588" s="180"/>
      <c r="AH588" s="180"/>
      <c r="AI588" s="180">
        <v>14000000</v>
      </c>
      <c r="AJ588" s="181">
        <f t="shared" si="143"/>
        <v>23.931623931623932</v>
      </c>
      <c r="AK588" s="180">
        <f t="shared" si="151"/>
        <v>44500000</v>
      </c>
      <c r="AL588" s="181">
        <f t="shared" si="146"/>
        <v>76.068376068376068</v>
      </c>
      <c r="AM588" s="243"/>
    </row>
    <row r="589" spans="1:39" ht="24.75" customHeight="1" x14ac:dyDescent="0.25">
      <c r="A589" s="243"/>
      <c r="B589" s="457"/>
      <c r="C589" s="457"/>
      <c r="D589" s="457"/>
      <c r="E589" s="457"/>
      <c r="F589" s="457"/>
      <c r="G589" s="457"/>
      <c r="H589" s="457"/>
      <c r="I589" s="458"/>
      <c r="J589" s="457" t="s">
        <v>280</v>
      </c>
      <c r="K589" s="245"/>
      <c r="L589" s="257"/>
      <c r="M589" s="591" t="s">
        <v>281</v>
      </c>
      <c r="N589" s="592"/>
      <c r="O589" s="179"/>
      <c r="P589" s="180"/>
      <c r="Q589" s="180">
        <v>2925000</v>
      </c>
      <c r="R589" s="181">
        <f t="shared" si="153"/>
        <v>1.8058665101623517</v>
      </c>
      <c r="S589" s="181">
        <v>100</v>
      </c>
      <c r="T589" s="180">
        <f t="shared" si="117"/>
        <v>59.82905982905983</v>
      </c>
      <c r="U589" s="180">
        <f t="shared" si="122"/>
        <v>1.0804329547979881</v>
      </c>
      <c r="V589" s="182">
        <f t="shared" si="142"/>
        <v>40.17094017094017</v>
      </c>
      <c r="W589" s="180"/>
      <c r="X589" s="180"/>
      <c r="Y589" s="180"/>
      <c r="Z589" s="180"/>
      <c r="AA589" s="180"/>
      <c r="AB589" s="180"/>
      <c r="AC589" s="180"/>
      <c r="AD589" s="180"/>
      <c r="AE589" s="180"/>
      <c r="AF589" s="180"/>
      <c r="AG589" s="180"/>
      <c r="AH589" s="180"/>
      <c r="AI589" s="180">
        <v>1750000</v>
      </c>
      <c r="AJ589" s="181">
        <f t="shared" si="143"/>
        <v>59.82905982905983</v>
      </c>
      <c r="AK589" s="180">
        <f t="shared" si="151"/>
        <v>1175000</v>
      </c>
      <c r="AL589" s="181">
        <f t="shared" si="146"/>
        <v>40.17094017094017</v>
      </c>
      <c r="AM589" s="243"/>
    </row>
    <row r="590" spans="1:39" ht="24.75" customHeight="1" x14ac:dyDescent="0.25">
      <c r="A590" s="243"/>
      <c r="B590" s="457"/>
      <c r="C590" s="457"/>
      <c r="D590" s="457"/>
      <c r="E590" s="457"/>
      <c r="F590" s="457"/>
      <c r="G590" s="457"/>
      <c r="H590" s="457"/>
      <c r="I590" s="458"/>
      <c r="J590" s="457" t="s">
        <v>284</v>
      </c>
      <c r="K590" s="245"/>
      <c r="L590" s="257"/>
      <c r="M590" s="591" t="s">
        <v>285</v>
      </c>
      <c r="N590" s="592"/>
      <c r="O590" s="179"/>
      <c r="P590" s="180"/>
      <c r="Q590" s="180">
        <v>2000000</v>
      </c>
      <c r="R590" s="181">
        <f t="shared" si="153"/>
        <v>1.2347805197691293</v>
      </c>
      <c r="S590" s="181">
        <v>100</v>
      </c>
      <c r="T590" s="180">
        <f t="shared" si="117"/>
        <v>24.5</v>
      </c>
      <c r="U590" s="180">
        <f t="shared" si="122"/>
        <v>0.30252122734343667</v>
      </c>
      <c r="V590" s="182">
        <f t="shared" si="142"/>
        <v>75.5</v>
      </c>
      <c r="W590" s="180"/>
      <c r="X590" s="180"/>
      <c r="Y590" s="180"/>
      <c r="Z590" s="180"/>
      <c r="AA590" s="180"/>
      <c r="AB590" s="180"/>
      <c r="AC590" s="180"/>
      <c r="AD590" s="180"/>
      <c r="AE590" s="180"/>
      <c r="AF590" s="180"/>
      <c r="AG590" s="180"/>
      <c r="AH590" s="180"/>
      <c r="AI590" s="180">
        <v>490000</v>
      </c>
      <c r="AJ590" s="181">
        <f t="shared" si="143"/>
        <v>24.5</v>
      </c>
      <c r="AK590" s="180">
        <f t="shared" si="151"/>
        <v>1510000</v>
      </c>
      <c r="AL590" s="181">
        <f t="shared" si="146"/>
        <v>75.5</v>
      </c>
      <c r="AM590" s="243"/>
    </row>
    <row r="591" spans="1:39" ht="24.75" customHeight="1" x14ac:dyDescent="0.25">
      <c r="A591" s="243"/>
      <c r="B591" s="457"/>
      <c r="C591" s="457"/>
      <c r="D591" s="457"/>
      <c r="E591" s="457"/>
      <c r="F591" s="457"/>
      <c r="G591" s="457"/>
      <c r="H591" s="457"/>
      <c r="I591" s="458"/>
      <c r="J591" s="457" t="s">
        <v>282</v>
      </c>
      <c r="K591" s="245"/>
      <c r="L591" s="257"/>
      <c r="M591" s="591" t="s">
        <v>283</v>
      </c>
      <c r="N591" s="592"/>
      <c r="O591" s="179"/>
      <c r="P591" s="180"/>
      <c r="Q591" s="180">
        <v>73857105</v>
      </c>
      <c r="R591" s="181">
        <f t="shared" si="153"/>
        <v>45.598657250271586</v>
      </c>
      <c r="S591" s="181">
        <v>100</v>
      </c>
      <c r="T591" s="180">
        <f t="shared" si="117"/>
        <v>88.339639090917515</v>
      </c>
      <c r="U591" s="180">
        <f t="shared" si="122"/>
        <v>40.281689245194414</v>
      </c>
      <c r="V591" s="182">
        <f t="shared" si="142"/>
        <v>11.660360909082485</v>
      </c>
      <c r="W591" s="180"/>
      <c r="X591" s="180"/>
      <c r="Y591" s="180"/>
      <c r="Z591" s="180"/>
      <c r="AA591" s="180"/>
      <c r="AB591" s="180"/>
      <c r="AC591" s="180"/>
      <c r="AD591" s="180"/>
      <c r="AE591" s="180"/>
      <c r="AF591" s="180"/>
      <c r="AG591" s="180"/>
      <c r="AH591" s="180"/>
      <c r="AI591" s="180">
        <f>52196300+3626000+9422800</f>
        <v>65245100</v>
      </c>
      <c r="AJ591" s="181">
        <f t="shared" si="143"/>
        <v>88.339639090917515</v>
      </c>
      <c r="AK591" s="180">
        <f t="shared" si="151"/>
        <v>8612005</v>
      </c>
      <c r="AL591" s="181">
        <f t="shared" si="146"/>
        <v>11.660360909082478</v>
      </c>
      <c r="AM591" s="243"/>
    </row>
    <row r="592" spans="1:39" ht="24.75" customHeight="1" x14ac:dyDescent="0.25">
      <c r="A592" s="243"/>
      <c r="B592" s="457"/>
      <c r="C592" s="457"/>
      <c r="D592" s="457"/>
      <c r="E592" s="457"/>
      <c r="F592" s="457"/>
      <c r="G592" s="457"/>
      <c r="H592" s="457"/>
      <c r="I592" s="458"/>
      <c r="J592" s="457" t="s">
        <v>320</v>
      </c>
      <c r="K592" s="245"/>
      <c r="L592" s="257"/>
      <c r="M592" s="591" t="s">
        <v>321</v>
      </c>
      <c r="N592" s="592"/>
      <c r="O592" s="179"/>
      <c r="P592" s="180"/>
      <c r="Q592" s="180">
        <v>15750000</v>
      </c>
      <c r="R592" s="181">
        <f t="shared" si="153"/>
        <v>9.7238965931818946</v>
      </c>
      <c r="S592" s="181">
        <v>100</v>
      </c>
      <c r="T592" s="180">
        <f t="shared" si="117"/>
        <v>47.619047619047613</v>
      </c>
      <c r="U592" s="180">
        <f t="shared" si="122"/>
        <v>4.6304269491342351</v>
      </c>
      <c r="V592" s="182">
        <v>100</v>
      </c>
      <c r="W592" s="180"/>
      <c r="X592" s="180"/>
      <c r="Y592" s="180"/>
      <c r="Z592" s="180"/>
      <c r="AA592" s="180"/>
      <c r="AB592" s="180"/>
      <c r="AC592" s="180"/>
      <c r="AD592" s="180"/>
      <c r="AE592" s="180"/>
      <c r="AF592" s="180"/>
      <c r="AG592" s="180"/>
      <c r="AH592" s="180"/>
      <c r="AI592" s="180">
        <v>7500000</v>
      </c>
      <c r="AJ592" s="181">
        <f t="shared" si="143"/>
        <v>47.619047619047613</v>
      </c>
      <c r="AK592" s="180">
        <f t="shared" si="151"/>
        <v>8250000</v>
      </c>
      <c r="AL592" s="181">
        <f t="shared" si="146"/>
        <v>52.380952380952387</v>
      </c>
      <c r="AM592" s="243"/>
    </row>
    <row r="593" spans="1:39" ht="24.75" customHeight="1" x14ac:dyDescent="0.25">
      <c r="A593" s="243"/>
      <c r="B593" s="457"/>
      <c r="C593" s="457"/>
      <c r="D593" s="457"/>
      <c r="E593" s="457"/>
      <c r="F593" s="457"/>
      <c r="G593" s="457"/>
      <c r="H593" s="457"/>
      <c r="I593" s="458"/>
      <c r="J593" s="457" t="s">
        <v>407</v>
      </c>
      <c r="K593" s="245"/>
      <c r="L593" s="257"/>
      <c r="M593" s="591" t="s">
        <v>414</v>
      </c>
      <c r="N593" s="592"/>
      <c r="O593" s="179"/>
      <c r="P593" s="180"/>
      <c r="Q593" s="180">
        <v>5400000</v>
      </c>
      <c r="R593" s="181">
        <f t="shared" si="153"/>
        <v>3.3339074033766494</v>
      </c>
      <c r="S593" s="181">
        <v>100</v>
      </c>
      <c r="T593" s="180">
        <f t="shared" si="117"/>
        <v>7.4074074074074066</v>
      </c>
      <c r="U593" s="180">
        <f t="shared" si="122"/>
        <v>0.24695610395382583</v>
      </c>
      <c r="V593" s="182">
        <v>100</v>
      </c>
      <c r="W593" s="180"/>
      <c r="X593" s="180"/>
      <c r="Y593" s="180"/>
      <c r="Z593" s="180"/>
      <c r="AA593" s="180"/>
      <c r="AB593" s="180"/>
      <c r="AC593" s="180"/>
      <c r="AD593" s="180"/>
      <c r="AE593" s="180"/>
      <c r="AF593" s="180"/>
      <c r="AG593" s="180"/>
      <c r="AH593" s="180"/>
      <c r="AI593" s="180">
        <f>200000+200000</f>
        <v>400000</v>
      </c>
      <c r="AJ593" s="181">
        <f t="shared" si="143"/>
        <v>7.4074074074074066</v>
      </c>
      <c r="AK593" s="180">
        <f t="shared" si="151"/>
        <v>5000000</v>
      </c>
      <c r="AL593" s="181">
        <f t="shared" si="146"/>
        <v>92.592592592592595</v>
      </c>
      <c r="AM593" s="243"/>
    </row>
    <row r="594" spans="1:39" s="297" customFormat="1" ht="24.75" customHeight="1" x14ac:dyDescent="0.25">
      <c r="A594" s="227">
        <f>SUM(A585+1)</f>
        <v>72</v>
      </c>
      <c r="B594" s="462"/>
      <c r="C594" s="462"/>
      <c r="D594" s="462"/>
      <c r="E594" s="462"/>
      <c r="F594" s="462"/>
      <c r="G594" s="462"/>
      <c r="H594" s="462"/>
      <c r="I594" s="461"/>
      <c r="J594" s="304" t="s">
        <v>525</v>
      </c>
      <c r="K594" s="230"/>
      <c r="L594" s="294"/>
      <c r="M594" s="610" t="s">
        <v>205</v>
      </c>
      <c r="N594" s="612"/>
      <c r="O594" s="309"/>
      <c r="P594" s="231"/>
      <c r="Q594" s="231">
        <f>SUM(Q595:Q607)</f>
        <v>420363277</v>
      </c>
      <c r="R594" s="233">
        <f>Q594/Q$248*100</f>
        <v>3.5242182166114522</v>
      </c>
      <c r="S594" s="233">
        <v>100</v>
      </c>
      <c r="T594" s="231">
        <f t="shared" si="117"/>
        <v>34.370747376203369</v>
      </c>
      <c r="U594" s="231">
        <f t="shared" si="122"/>
        <v>1.211300140217662</v>
      </c>
      <c r="V594" s="296">
        <f t="shared" si="142"/>
        <v>65.629252623796631</v>
      </c>
      <c r="W594" s="231"/>
      <c r="X594" s="231"/>
      <c r="Y594" s="231"/>
      <c r="Z594" s="231"/>
      <c r="AA594" s="231"/>
      <c r="AB594" s="231"/>
      <c r="AC594" s="231"/>
      <c r="AD594" s="231"/>
      <c r="AE594" s="231"/>
      <c r="AF594" s="231"/>
      <c r="AG594" s="231"/>
      <c r="AH594" s="231"/>
      <c r="AI594" s="231">
        <f>SUM(AI595:AI607)</f>
        <v>144482000</v>
      </c>
      <c r="AJ594" s="233">
        <f t="shared" si="143"/>
        <v>34.370747376203369</v>
      </c>
      <c r="AK594" s="231">
        <f t="shared" si="151"/>
        <v>275881277</v>
      </c>
      <c r="AL594" s="233">
        <f t="shared" si="146"/>
        <v>65.629252623796631</v>
      </c>
      <c r="AM594" s="227"/>
    </row>
    <row r="595" spans="1:39" ht="24.75" customHeight="1" x14ac:dyDescent="0.25">
      <c r="A595" s="243"/>
      <c r="B595" s="457"/>
      <c r="C595" s="457"/>
      <c r="D595" s="457"/>
      <c r="E595" s="457"/>
      <c r="F595" s="457"/>
      <c r="G595" s="457"/>
      <c r="H595" s="457"/>
      <c r="I595" s="458"/>
      <c r="J595" s="457" t="s">
        <v>259</v>
      </c>
      <c r="K595" s="245"/>
      <c r="L595" s="257"/>
      <c r="M595" s="591" t="s">
        <v>260</v>
      </c>
      <c r="N595" s="592"/>
      <c r="O595" s="179"/>
      <c r="P595" s="180"/>
      <c r="Q595" s="180">
        <v>2400000</v>
      </c>
      <c r="R595" s="181">
        <f t="shared" ref="R595:R607" si="154">Q595/Q$594*100</f>
        <v>0.57093474414036416</v>
      </c>
      <c r="S595" s="181">
        <v>100</v>
      </c>
      <c r="T595" s="180">
        <f t="shared" si="117"/>
        <v>66.666666666666657</v>
      </c>
      <c r="U595" s="180">
        <f t="shared" si="122"/>
        <v>0.38062316276024272</v>
      </c>
      <c r="V595" s="182">
        <f t="shared" si="142"/>
        <v>33.333333333333343</v>
      </c>
      <c r="W595" s="180"/>
      <c r="X595" s="180"/>
      <c r="Y595" s="180"/>
      <c r="Z595" s="180"/>
      <c r="AA595" s="180"/>
      <c r="AB595" s="180"/>
      <c r="AC595" s="180"/>
      <c r="AD595" s="180"/>
      <c r="AE595" s="180"/>
      <c r="AF595" s="180"/>
      <c r="AG595" s="180"/>
      <c r="AH595" s="180"/>
      <c r="AI595" s="180">
        <v>1600000</v>
      </c>
      <c r="AJ595" s="181">
        <f t="shared" si="143"/>
        <v>66.666666666666657</v>
      </c>
      <c r="AK595" s="180">
        <f t="shared" si="151"/>
        <v>800000</v>
      </c>
      <c r="AL595" s="181">
        <f t="shared" si="146"/>
        <v>33.333333333333329</v>
      </c>
      <c r="AM595" s="243"/>
    </row>
    <row r="596" spans="1:39" ht="24.75" customHeight="1" x14ac:dyDescent="0.25">
      <c r="A596" s="243"/>
      <c r="B596" s="457"/>
      <c r="C596" s="457"/>
      <c r="D596" s="457"/>
      <c r="E596" s="457"/>
      <c r="F596" s="457"/>
      <c r="G596" s="457"/>
      <c r="H596" s="457"/>
      <c r="I596" s="458"/>
      <c r="J596" s="457" t="s">
        <v>273</v>
      </c>
      <c r="K596" s="245"/>
      <c r="L596" s="257"/>
      <c r="M596" s="591" t="s">
        <v>322</v>
      </c>
      <c r="N596" s="592"/>
      <c r="O596" s="179"/>
      <c r="P596" s="180"/>
      <c r="Q596" s="180">
        <v>22500000</v>
      </c>
      <c r="R596" s="181">
        <f t="shared" si="154"/>
        <v>5.3525132263159136</v>
      </c>
      <c r="S596" s="181">
        <v>100</v>
      </c>
      <c r="T596" s="180">
        <f t="shared" si="117"/>
        <v>42.666666666666671</v>
      </c>
      <c r="U596" s="180">
        <f t="shared" si="122"/>
        <v>2.2837389765614571</v>
      </c>
      <c r="V596" s="182">
        <f t="shared" si="142"/>
        <v>57.333333333333329</v>
      </c>
      <c r="W596" s="180"/>
      <c r="X596" s="180"/>
      <c r="Y596" s="180"/>
      <c r="Z596" s="180"/>
      <c r="AA596" s="180"/>
      <c r="AB596" s="180"/>
      <c r="AC596" s="180"/>
      <c r="AD596" s="180"/>
      <c r="AE596" s="180"/>
      <c r="AF596" s="180"/>
      <c r="AG596" s="180"/>
      <c r="AH596" s="180"/>
      <c r="AI596" s="180">
        <v>9600000</v>
      </c>
      <c r="AJ596" s="181">
        <f t="shared" si="143"/>
        <v>42.666666666666671</v>
      </c>
      <c r="AK596" s="180">
        <f t="shared" si="151"/>
        <v>12900000</v>
      </c>
      <c r="AL596" s="181">
        <f t="shared" si="146"/>
        <v>57.333333333333336</v>
      </c>
      <c r="AM596" s="243"/>
    </row>
    <row r="597" spans="1:39" ht="24.75" customHeight="1" x14ac:dyDescent="0.25">
      <c r="A597" s="243"/>
      <c r="B597" s="457"/>
      <c r="C597" s="457"/>
      <c r="D597" s="457"/>
      <c r="E597" s="457"/>
      <c r="F597" s="457"/>
      <c r="G597" s="457"/>
      <c r="H597" s="457"/>
      <c r="I597" s="458"/>
      <c r="J597" s="457" t="s">
        <v>326</v>
      </c>
      <c r="K597" s="245"/>
      <c r="L597" s="257"/>
      <c r="M597" s="591" t="s">
        <v>327</v>
      </c>
      <c r="N597" s="592"/>
      <c r="O597" s="179"/>
      <c r="P597" s="180"/>
      <c r="Q597" s="180">
        <v>50250000</v>
      </c>
      <c r="R597" s="181">
        <f t="shared" si="154"/>
        <v>11.953946205438873</v>
      </c>
      <c r="S597" s="181">
        <v>100</v>
      </c>
      <c r="T597" s="180">
        <f t="shared" si="117"/>
        <v>0</v>
      </c>
      <c r="U597" s="180">
        <f t="shared" si="122"/>
        <v>0</v>
      </c>
      <c r="V597" s="182">
        <f t="shared" si="142"/>
        <v>100</v>
      </c>
      <c r="W597" s="180"/>
      <c r="X597" s="180"/>
      <c r="Y597" s="180"/>
      <c r="Z597" s="180"/>
      <c r="AA597" s="180"/>
      <c r="AB597" s="180"/>
      <c r="AC597" s="180"/>
      <c r="AD597" s="180"/>
      <c r="AE597" s="180"/>
      <c r="AF597" s="180"/>
      <c r="AG597" s="180"/>
      <c r="AH597" s="180"/>
      <c r="AI597" s="180">
        <v>0</v>
      </c>
      <c r="AJ597" s="181">
        <f t="shared" si="143"/>
        <v>0</v>
      </c>
      <c r="AK597" s="180">
        <f t="shared" si="151"/>
        <v>50250000</v>
      </c>
      <c r="AL597" s="181">
        <f t="shared" si="146"/>
        <v>100</v>
      </c>
      <c r="AM597" s="243"/>
    </row>
    <row r="598" spans="1:39" ht="24.75" customHeight="1" x14ac:dyDescent="0.25">
      <c r="A598" s="243"/>
      <c r="B598" s="457"/>
      <c r="C598" s="457"/>
      <c r="D598" s="457"/>
      <c r="E598" s="457"/>
      <c r="F598" s="457"/>
      <c r="G598" s="457"/>
      <c r="H598" s="457"/>
      <c r="I598" s="458"/>
      <c r="J598" s="457" t="s">
        <v>323</v>
      </c>
      <c r="K598" s="245"/>
      <c r="L598" s="257"/>
      <c r="M598" s="591" t="s">
        <v>324</v>
      </c>
      <c r="N598" s="592"/>
      <c r="O598" s="179"/>
      <c r="P598" s="180"/>
      <c r="Q598" s="180">
        <v>18165000</v>
      </c>
      <c r="R598" s="181">
        <f t="shared" si="154"/>
        <v>4.3212623447123812</v>
      </c>
      <c r="S598" s="181">
        <v>100</v>
      </c>
      <c r="T598" s="180">
        <f t="shared" si="117"/>
        <v>36.729975227085056</v>
      </c>
      <c r="U598" s="180">
        <f t="shared" si="122"/>
        <v>1.5871985887102125</v>
      </c>
      <c r="V598" s="182">
        <f t="shared" si="142"/>
        <v>63.270024772914944</v>
      </c>
      <c r="W598" s="180"/>
      <c r="X598" s="180"/>
      <c r="Y598" s="180"/>
      <c r="Z598" s="180"/>
      <c r="AA598" s="180"/>
      <c r="AB598" s="180"/>
      <c r="AC598" s="180"/>
      <c r="AD598" s="180"/>
      <c r="AE598" s="180"/>
      <c r="AF598" s="180"/>
      <c r="AG598" s="180"/>
      <c r="AH598" s="180"/>
      <c r="AI598" s="180">
        <v>6672000</v>
      </c>
      <c r="AJ598" s="181">
        <f t="shared" si="143"/>
        <v>36.729975227085056</v>
      </c>
      <c r="AK598" s="180">
        <f t="shared" si="151"/>
        <v>11493000</v>
      </c>
      <c r="AL598" s="181">
        <f t="shared" si="146"/>
        <v>63.270024772914944</v>
      </c>
      <c r="AM598" s="243"/>
    </row>
    <row r="599" spans="1:39" ht="24.75" customHeight="1" x14ac:dyDescent="0.25">
      <c r="A599" s="243"/>
      <c r="B599" s="457"/>
      <c r="C599" s="457"/>
      <c r="D599" s="457"/>
      <c r="E599" s="457"/>
      <c r="F599" s="457"/>
      <c r="G599" s="457"/>
      <c r="H599" s="457"/>
      <c r="I599" s="458"/>
      <c r="J599" s="457" t="s">
        <v>269</v>
      </c>
      <c r="K599" s="245"/>
      <c r="L599" s="257"/>
      <c r="M599" s="591" t="s">
        <v>270</v>
      </c>
      <c r="N599" s="592"/>
      <c r="O599" s="179"/>
      <c r="P599" s="180"/>
      <c r="Q599" s="180">
        <v>7500000</v>
      </c>
      <c r="R599" s="181">
        <f t="shared" si="154"/>
        <v>1.7841710754386377</v>
      </c>
      <c r="S599" s="181">
        <v>100</v>
      </c>
      <c r="T599" s="180">
        <f t="shared" si="117"/>
        <v>0</v>
      </c>
      <c r="U599" s="180">
        <f t="shared" si="122"/>
        <v>0</v>
      </c>
      <c r="V599" s="182">
        <f t="shared" si="142"/>
        <v>100</v>
      </c>
      <c r="W599" s="180"/>
      <c r="X599" s="180"/>
      <c r="Y599" s="180"/>
      <c r="Z599" s="180"/>
      <c r="AA599" s="180"/>
      <c r="AB599" s="180"/>
      <c r="AC599" s="180"/>
      <c r="AD599" s="180"/>
      <c r="AE599" s="180"/>
      <c r="AF599" s="180"/>
      <c r="AG599" s="180"/>
      <c r="AH599" s="180"/>
      <c r="AI599" s="180">
        <v>0</v>
      </c>
      <c r="AJ599" s="181">
        <f t="shared" si="143"/>
        <v>0</v>
      </c>
      <c r="AK599" s="180">
        <f t="shared" si="151"/>
        <v>7500000</v>
      </c>
      <c r="AL599" s="181">
        <f t="shared" si="146"/>
        <v>100</v>
      </c>
      <c r="AM599" s="243"/>
    </row>
    <row r="600" spans="1:39" ht="24.75" customHeight="1" x14ac:dyDescent="0.25">
      <c r="A600" s="243"/>
      <c r="B600" s="457"/>
      <c r="C600" s="457"/>
      <c r="D600" s="457"/>
      <c r="E600" s="457"/>
      <c r="F600" s="457"/>
      <c r="G600" s="457"/>
      <c r="H600" s="457"/>
      <c r="I600" s="458"/>
      <c r="J600" s="457" t="s">
        <v>315</v>
      </c>
      <c r="K600" s="245"/>
      <c r="L600" s="257"/>
      <c r="M600" s="591" t="s">
        <v>271</v>
      </c>
      <c r="N600" s="592"/>
      <c r="O600" s="179"/>
      <c r="P600" s="180"/>
      <c r="Q600" s="180">
        <v>9928277</v>
      </c>
      <c r="R600" s="181">
        <f t="shared" si="154"/>
        <v>2.361832620312359</v>
      </c>
      <c r="S600" s="181">
        <v>100</v>
      </c>
      <c r="T600" s="180">
        <f t="shared" si="117"/>
        <v>20.144482270186458</v>
      </c>
      <c r="U600" s="180">
        <f t="shared" si="122"/>
        <v>0.47577895345030341</v>
      </c>
      <c r="V600" s="182">
        <f t="shared" si="142"/>
        <v>79.855517729813542</v>
      </c>
      <c r="W600" s="180"/>
      <c r="X600" s="180"/>
      <c r="Y600" s="180"/>
      <c r="Z600" s="180"/>
      <c r="AA600" s="180"/>
      <c r="AB600" s="180"/>
      <c r="AC600" s="180"/>
      <c r="AD600" s="180"/>
      <c r="AE600" s="180"/>
      <c r="AF600" s="180"/>
      <c r="AG600" s="180"/>
      <c r="AH600" s="180"/>
      <c r="AI600" s="180">
        <v>2000000</v>
      </c>
      <c r="AJ600" s="181">
        <f t="shared" si="143"/>
        <v>20.144482270186458</v>
      </c>
      <c r="AK600" s="180">
        <f t="shared" si="151"/>
        <v>7928277</v>
      </c>
      <c r="AL600" s="181">
        <f t="shared" si="146"/>
        <v>79.855517729813542</v>
      </c>
      <c r="AM600" s="243"/>
    </row>
    <row r="601" spans="1:39" ht="24.75" customHeight="1" x14ac:dyDescent="0.25">
      <c r="A601" s="243"/>
      <c r="B601" s="457"/>
      <c r="C601" s="457"/>
      <c r="D601" s="457"/>
      <c r="E601" s="457"/>
      <c r="F601" s="457"/>
      <c r="G601" s="457"/>
      <c r="H601" s="457"/>
      <c r="I601" s="458"/>
      <c r="J601" s="457" t="s">
        <v>328</v>
      </c>
      <c r="K601" s="245"/>
      <c r="L601" s="257"/>
      <c r="M601" s="591" t="s">
        <v>329</v>
      </c>
      <c r="N601" s="592"/>
      <c r="O601" s="179"/>
      <c r="P601" s="180"/>
      <c r="Q601" s="180">
        <v>149600000</v>
      </c>
      <c r="R601" s="181">
        <f t="shared" si="154"/>
        <v>35.588265718082695</v>
      </c>
      <c r="S601" s="181">
        <v>100</v>
      </c>
      <c r="T601" s="180">
        <f t="shared" si="117"/>
        <v>28.877005347593581</v>
      </c>
      <c r="U601" s="180">
        <f t="shared" si="122"/>
        <v>10.276825394526554</v>
      </c>
      <c r="V601" s="182">
        <f t="shared" si="142"/>
        <v>71.122994652406419</v>
      </c>
      <c r="W601" s="180"/>
      <c r="X601" s="180"/>
      <c r="Y601" s="180"/>
      <c r="Z601" s="180"/>
      <c r="AA601" s="180"/>
      <c r="AB601" s="180"/>
      <c r="AC601" s="180"/>
      <c r="AD601" s="180"/>
      <c r="AE601" s="180"/>
      <c r="AF601" s="180"/>
      <c r="AG601" s="180"/>
      <c r="AH601" s="180"/>
      <c r="AI601" s="180">
        <v>43200000</v>
      </c>
      <c r="AJ601" s="181">
        <f t="shared" si="143"/>
        <v>28.877005347593581</v>
      </c>
      <c r="AK601" s="180">
        <f t="shared" si="151"/>
        <v>106400000</v>
      </c>
      <c r="AL601" s="181">
        <f t="shared" si="146"/>
        <v>71.122994652406419</v>
      </c>
      <c r="AM601" s="243"/>
    </row>
    <row r="602" spans="1:39" ht="24.75" customHeight="1" x14ac:dyDescent="0.25">
      <c r="A602" s="243"/>
      <c r="B602" s="457"/>
      <c r="C602" s="457"/>
      <c r="D602" s="457"/>
      <c r="E602" s="457"/>
      <c r="F602" s="457"/>
      <c r="G602" s="457"/>
      <c r="H602" s="457"/>
      <c r="I602" s="458"/>
      <c r="J602" s="457" t="s">
        <v>280</v>
      </c>
      <c r="K602" s="245"/>
      <c r="L602" s="257"/>
      <c r="M602" s="591" t="s">
        <v>281</v>
      </c>
      <c r="N602" s="592"/>
      <c r="O602" s="179"/>
      <c r="P602" s="180"/>
      <c r="Q602" s="180">
        <v>22500000</v>
      </c>
      <c r="R602" s="181">
        <f t="shared" si="154"/>
        <v>5.3525132263159136</v>
      </c>
      <c r="S602" s="181">
        <v>100</v>
      </c>
      <c r="T602" s="180">
        <f t="shared" si="117"/>
        <v>49.555555555555557</v>
      </c>
      <c r="U602" s="180">
        <f t="shared" si="122"/>
        <v>2.652467665485442</v>
      </c>
      <c r="V602" s="182">
        <f t="shared" si="142"/>
        <v>50.444444444444443</v>
      </c>
      <c r="W602" s="180"/>
      <c r="X602" s="180"/>
      <c r="Y602" s="180"/>
      <c r="Z602" s="180"/>
      <c r="AA602" s="180"/>
      <c r="AB602" s="180"/>
      <c r="AC602" s="180"/>
      <c r="AD602" s="180"/>
      <c r="AE602" s="180"/>
      <c r="AF602" s="180"/>
      <c r="AG602" s="180"/>
      <c r="AH602" s="180"/>
      <c r="AI602" s="180">
        <v>11150000</v>
      </c>
      <c r="AJ602" s="181">
        <f t="shared" si="143"/>
        <v>49.555555555555557</v>
      </c>
      <c r="AK602" s="180">
        <f t="shared" si="151"/>
        <v>11350000</v>
      </c>
      <c r="AL602" s="181">
        <f t="shared" si="146"/>
        <v>50.44444444444445</v>
      </c>
      <c r="AM602" s="243"/>
    </row>
    <row r="603" spans="1:39" ht="24.75" customHeight="1" x14ac:dyDescent="0.25">
      <c r="A603" s="243"/>
      <c r="B603" s="457"/>
      <c r="C603" s="457"/>
      <c r="D603" s="457"/>
      <c r="E603" s="457"/>
      <c r="F603" s="457"/>
      <c r="G603" s="457"/>
      <c r="H603" s="457"/>
      <c r="I603" s="458"/>
      <c r="J603" s="457" t="s">
        <v>284</v>
      </c>
      <c r="K603" s="245"/>
      <c r="L603" s="257"/>
      <c r="M603" s="591" t="s">
        <v>285</v>
      </c>
      <c r="N603" s="592"/>
      <c r="O603" s="179"/>
      <c r="P603" s="180"/>
      <c r="Q603" s="180">
        <v>22520000</v>
      </c>
      <c r="R603" s="181">
        <f t="shared" si="154"/>
        <v>5.357271015850416</v>
      </c>
      <c r="S603" s="181">
        <v>100</v>
      </c>
      <c r="T603" s="180">
        <f t="shared" si="117"/>
        <v>23.357015985790408</v>
      </c>
      <c r="U603" s="180">
        <f t="shared" si="122"/>
        <v>1.2512986475742978</v>
      </c>
      <c r="V603" s="182">
        <f t="shared" si="142"/>
        <v>76.642984014209588</v>
      </c>
      <c r="W603" s="180"/>
      <c r="X603" s="180"/>
      <c r="Y603" s="180"/>
      <c r="Z603" s="180"/>
      <c r="AA603" s="180"/>
      <c r="AB603" s="180"/>
      <c r="AC603" s="180"/>
      <c r="AD603" s="180"/>
      <c r="AE603" s="180"/>
      <c r="AF603" s="180"/>
      <c r="AG603" s="180"/>
      <c r="AH603" s="180"/>
      <c r="AI603" s="180">
        <v>5260000</v>
      </c>
      <c r="AJ603" s="181">
        <f t="shared" si="143"/>
        <v>23.357015985790408</v>
      </c>
      <c r="AK603" s="180">
        <f t="shared" si="151"/>
        <v>17260000</v>
      </c>
      <c r="AL603" s="181">
        <f t="shared" si="146"/>
        <v>76.642984014209588</v>
      </c>
      <c r="AM603" s="243"/>
    </row>
    <row r="604" spans="1:39" ht="24.75" customHeight="1" x14ac:dyDescent="0.25">
      <c r="A604" s="243"/>
      <c r="B604" s="457"/>
      <c r="C604" s="457"/>
      <c r="D604" s="457"/>
      <c r="E604" s="457"/>
      <c r="F604" s="457"/>
      <c r="G604" s="457"/>
      <c r="H604" s="457"/>
      <c r="I604" s="458"/>
      <c r="J604" s="457" t="s">
        <v>282</v>
      </c>
      <c r="K604" s="245"/>
      <c r="L604" s="257"/>
      <c r="M604" s="591" t="s">
        <v>283</v>
      </c>
      <c r="N604" s="592"/>
      <c r="O604" s="179"/>
      <c r="P604" s="180"/>
      <c r="Q604" s="180">
        <v>19800000</v>
      </c>
      <c r="R604" s="181">
        <f t="shared" si="154"/>
        <v>4.710211639158004</v>
      </c>
      <c r="S604" s="181">
        <v>100</v>
      </c>
      <c r="T604" s="180">
        <f t="shared" si="117"/>
        <v>0</v>
      </c>
      <c r="U604" s="180">
        <f t="shared" si="122"/>
        <v>0</v>
      </c>
      <c r="V604" s="182">
        <f t="shared" si="142"/>
        <v>100</v>
      </c>
      <c r="W604" s="180"/>
      <c r="X604" s="180"/>
      <c r="Y604" s="180"/>
      <c r="Z604" s="180"/>
      <c r="AA604" s="180"/>
      <c r="AB604" s="180"/>
      <c r="AC604" s="180"/>
      <c r="AD604" s="180"/>
      <c r="AE604" s="180"/>
      <c r="AF604" s="180"/>
      <c r="AG604" s="180"/>
      <c r="AH604" s="180"/>
      <c r="AI604" s="180">
        <v>0</v>
      </c>
      <c r="AJ604" s="181">
        <f t="shared" si="143"/>
        <v>0</v>
      </c>
      <c r="AK604" s="180">
        <f t="shared" si="151"/>
        <v>19800000</v>
      </c>
      <c r="AL604" s="181">
        <f t="shared" si="146"/>
        <v>100</v>
      </c>
      <c r="AM604" s="243"/>
    </row>
    <row r="605" spans="1:39" ht="24.75" customHeight="1" x14ac:dyDescent="0.25">
      <c r="A605" s="243"/>
      <c r="B605" s="457"/>
      <c r="C605" s="457"/>
      <c r="D605" s="457"/>
      <c r="E605" s="457"/>
      <c r="F605" s="457"/>
      <c r="G605" s="457"/>
      <c r="H605" s="457"/>
      <c r="I605" s="458"/>
      <c r="J605" s="457" t="s">
        <v>320</v>
      </c>
      <c r="K605" s="245"/>
      <c r="L605" s="257"/>
      <c r="M605" s="591" t="s">
        <v>321</v>
      </c>
      <c r="N605" s="592"/>
      <c r="O605" s="179"/>
      <c r="P605" s="180"/>
      <c r="Q605" s="180">
        <v>10800000</v>
      </c>
      <c r="R605" s="181">
        <f t="shared" si="154"/>
        <v>2.5692063486316385</v>
      </c>
      <c r="S605" s="181">
        <v>100</v>
      </c>
      <c r="T605" s="180">
        <f t="shared" si="117"/>
        <v>100</v>
      </c>
      <c r="U605" s="180">
        <f t="shared" si="122"/>
        <v>2.5692063486316385</v>
      </c>
      <c r="V605" s="182">
        <f t="shared" si="142"/>
        <v>0</v>
      </c>
      <c r="W605" s="180"/>
      <c r="X605" s="180"/>
      <c r="Y605" s="180"/>
      <c r="Z605" s="180"/>
      <c r="AA605" s="180"/>
      <c r="AB605" s="180"/>
      <c r="AC605" s="180"/>
      <c r="AD605" s="180"/>
      <c r="AE605" s="180"/>
      <c r="AF605" s="180"/>
      <c r="AG605" s="180"/>
      <c r="AH605" s="180"/>
      <c r="AI605" s="180">
        <v>10800000</v>
      </c>
      <c r="AJ605" s="181">
        <f t="shared" si="143"/>
        <v>100</v>
      </c>
      <c r="AK605" s="180">
        <f t="shared" si="151"/>
        <v>0</v>
      </c>
      <c r="AL605" s="181">
        <f t="shared" si="146"/>
        <v>0</v>
      </c>
      <c r="AM605" s="243"/>
    </row>
    <row r="606" spans="1:39" ht="24.75" customHeight="1" x14ac:dyDescent="0.25">
      <c r="A606" s="243"/>
      <c r="B606" s="457"/>
      <c r="C606" s="457"/>
      <c r="D606" s="457"/>
      <c r="E606" s="457"/>
      <c r="F606" s="457"/>
      <c r="G606" s="457"/>
      <c r="H606" s="457"/>
      <c r="I606" s="458"/>
      <c r="J606" s="457" t="s">
        <v>309</v>
      </c>
      <c r="K606" s="245"/>
      <c r="L606" s="257"/>
      <c r="M606" s="591" t="s">
        <v>310</v>
      </c>
      <c r="N606" s="592"/>
      <c r="O606" s="179"/>
      <c r="P606" s="180"/>
      <c r="Q606" s="180">
        <v>75000000</v>
      </c>
      <c r="R606" s="181">
        <f t="shared" si="154"/>
        <v>17.841710754386376</v>
      </c>
      <c r="S606" s="181">
        <v>100</v>
      </c>
      <c r="T606" s="180">
        <f t="shared" si="117"/>
        <v>66.666666666666657</v>
      </c>
      <c r="U606" s="180">
        <f t="shared" si="122"/>
        <v>11.894473836257582</v>
      </c>
      <c r="V606" s="182">
        <f t="shared" si="142"/>
        <v>33.333333333333343</v>
      </c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  <c r="AG606" s="180"/>
      <c r="AH606" s="180"/>
      <c r="AI606" s="180">
        <v>50000000</v>
      </c>
      <c r="AJ606" s="181">
        <f t="shared" ref="AJ606:AJ684" si="155">AI606/Q606*100</f>
        <v>66.666666666666657</v>
      </c>
      <c r="AK606" s="180">
        <f t="shared" si="151"/>
        <v>25000000</v>
      </c>
      <c r="AL606" s="181">
        <f t="shared" si="146"/>
        <v>33.333333333333329</v>
      </c>
      <c r="AM606" s="243"/>
    </row>
    <row r="607" spans="1:39" ht="24.75" customHeight="1" x14ac:dyDescent="0.25">
      <c r="A607" s="243"/>
      <c r="B607" s="457"/>
      <c r="C607" s="457"/>
      <c r="D607" s="457"/>
      <c r="E607" s="457"/>
      <c r="F607" s="457"/>
      <c r="G607" s="457"/>
      <c r="H607" s="457"/>
      <c r="I607" s="458"/>
      <c r="J607" s="457" t="s">
        <v>407</v>
      </c>
      <c r="K607" s="245"/>
      <c r="L607" s="257"/>
      <c r="M607" s="591" t="s">
        <v>607</v>
      </c>
      <c r="N607" s="592"/>
      <c r="O607" s="179"/>
      <c r="P607" s="180"/>
      <c r="Q607" s="180">
        <v>9400000</v>
      </c>
      <c r="R607" s="181">
        <f t="shared" si="154"/>
        <v>2.2361610812164261</v>
      </c>
      <c r="S607" s="181">
        <v>100</v>
      </c>
      <c r="T607" s="180">
        <f t="shared" si="117"/>
        <v>44.680851063829785</v>
      </c>
      <c r="U607" s="180">
        <f t="shared" si="122"/>
        <v>0.99913580224563714</v>
      </c>
      <c r="V607" s="182">
        <f t="shared" si="142"/>
        <v>55.319148936170215</v>
      </c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  <c r="AG607" s="180"/>
      <c r="AH607" s="180"/>
      <c r="AI607" s="180">
        <v>4200000</v>
      </c>
      <c r="AJ607" s="181">
        <f t="shared" si="155"/>
        <v>44.680851063829785</v>
      </c>
      <c r="AK607" s="180">
        <f t="shared" si="151"/>
        <v>5200000</v>
      </c>
      <c r="AL607" s="181">
        <f t="shared" si="146"/>
        <v>55.319148936170215</v>
      </c>
      <c r="AM607" s="243"/>
    </row>
    <row r="608" spans="1:39" s="297" customFormat="1" ht="31.5" customHeight="1" x14ac:dyDescent="0.25">
      <c r="A608" s="227">
        <f>SUM(A594+1)</f>
        <v>73</v>
      </c>
      <c r="B608" s="462"/>
      <c r="C608" s="462"/>
      <c r="D608" s="462"/>
      <c r="E608" s="462"/>
      <c r="F608" s="462"/>
      <c r="G608" s="462"/>
      <c r="H608" s="462"/>
      <c r="I608" s="461"/>
      <c r="J608" s="304" t="s">
        <v>526</v>
      </c>
      <c r="K608" s="230"/>
      <c r="L608" s="294"/>
      <c r="M608" s="610" t="s">
        <v>206</v>
      </c>
      <c r="N608" s="612"/>
      <c r="O608" s="309"/>
      <c r="P608" s="231"/>
      <c r="Q608" s="231">
        <f>SUM(Q609:Q617)</f>
        <v>252438140</v>
      </c>
      <c r="R608" s="233">
        <f>Q608/Q$248*100</f>
        <v>2.1163768108019392</v>
      </c>
      <c r="S608" s="233">
        <v>100</v>
      </c>
      <c r="T608" s="231">
        <f t="shared" si="117"/>
        <v>35.119495017670467</v>
      </c>
      <c r="U608" s="231">
        <f t="shared" si="122"/>
        <v>0.74326084862472019</v>
      </c>
      <c r="V608" s="296">
        <f t="shared" si="142"/>
        <v>64.880504982329541</v>
      </c>
      <c r="W608" s="231"/>
      <c r="X608" s="231"/>
      <c r="Y608" s="231"/>
      <c r="Z608" s="231"/>
      <c r="AA608" s="231"/>
      <c r="AB608" s="231"/>
      <c r="AC608" s="231"/>
      <c r="AD608" s="231"/>
      <c r="AE608" s="231"/>
      <c r="AF608" s="231"/>
      <c r="AG608" s="231"/>
      <c r="AH608" s="231"/>
      <c r="AI608" s="231">
        <f>SUM(AI609:AI617)</f>
        <v>88655000</v>
      </c>
      <c r="AJ608" s="233">
        <f t="shared" si="155"/>
        <v>35.119495017670467</v>
      </c>
      <c r="AK608" s="231">
        <f t="shared" si="151"/>
        <v>163783140</v>
      </c>
      <c r="AL608" s="233">
        <f t="shared" si="146"/>
        <v>64.880504982329541</v>
      </c>
      <c r="AM608" s="227"/>
    </row>
    <row r="609" spans="1:39" ht="31.5" customHeight="1" x14ac:dyDescent="0.25">
      <c r="A609" s="243"/>
      <c r="B609" s="457"/>
      <c r="C609" s="457"/>
      <c r="D609" s="457"/>
      <c r="E609" s="457"/>
      <c r="F609" s="457"/>
      <c r="G609" s="457"/>
      <c r="H609" s="457"/>
      <c r="I609" s="458"/>
      <c r="J609" s="457" t="s">
        <v>257</v>
      </c>
      <c r="K609" s="245"/>
      <c r="L609" s="257"/>
      <c r="M609" s="591" t="s">
        <v>260</v>
      </c>
      <c r="N609" s="592"/>
      <c r="O609" s="179"/>
      <c r="P609" s="180"/>
      <c r="Q609" s="180">
        <v>2300000</v>
      </c>
      <c r="R609" s="181">
        <f>Q609/Q$608*100</f>
        <v>0.91111430309223485</v>
      </c>
      <c r="S609" s="181">
        <v>100</v>
      </c>
      <c r="T609" s="180">
        <f t="shared" si="117"/>
        <v>34.782608695652172</v>
      </c>
      <c r="U609" s="180">
        <f t="shared" si="122"/>
        <v>0.31690932281469036</v>
      </c>
      <c r="V609" s="182">
        <f t="shared" si="142"/>
        <v>65.217391304347828</v>
      </c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  <c r="AG609" s="180"/>
      <c r="AH609" s="180"/>
      <c r="AI609" s="180">
        <v>800000</v>
      </c>
      <c r="AJ609" s="181">
        <f t="shared" si="155"/>
        <v>34.782608695652172</v>
      </c>
      <c r="AK609" s="180">
        <f t="shared" si="151"/>
        <v>1500000</v>
      </c>
      <c r="AL609" s="181">
        <f t="shared" si="146"/>
        <v>65.217391304347828</v>
      </c>
      <c r="AM609" s="243"/>
    </row>
    <row r="610" spans="1:39" ht="31.5" customHeight="1" x14ac:dyDescent="0.25">
      <c r="A610" s="243"/>
      <c r="B610" s="457"/>
      <c r="C610" s="457"/>
      <c r="D610" s="457"/>
      <c r="E610" s="457"/>
      <c r="F610" s="457"/>
      <c r="G610" s="457"/>
      <c r="H610" s="457"/>
      <c r="I610" s="458"/>
      <c r="J610" s="457" t="s">
        <v>273</v>
      </c>
      <c r="K610" s="245"/>
      <c r="L610" s="257"/>
      <c r="M610" s="591" t="s">
        <v>322</v>
      </c>
      <c r="N610" s="592"/>
      <c r="O610" s="179"/>
      <c r="P610" s="180"/>
      <c r="Q610" s="180">
        <v>20400000</v>
      </c>
      <c r="R610" s="181">
        <f t="shared" ref="R610:R616" si="156">Q610/Q$608*100</f>
        <v>8.0811877317746035</v>
      </c>
      <c r="S610" s="181">
        <v>100</v>
      </c>
      <c r="T610" s="180">
        <f t="shared" si="117"/>
        <v>21.078431372549019</v>
      </c>
      <c r="U610" s="180">
        <f t="shared" si="122"/>
        <v>1.7033876101289604</v>
      </c>
      <c r="V610" s="182">
        <f t="shared" si="142"/>
        <v>78.921568627450981</v>
      </c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  <c r="AG610" s="180"/>
      <c r="AH610" s="180"/>
      <c r="AI610" s="180">
        <v>4300000</v>
      </c>
      <c r="AJ610" s="181">
        <f t="shared" si="155"/>
        <v>21.078431372549019</v>
      </c>
      <c r="AK610" s="180">
        <f t="shared" si="151"/>
        <v>16100000</v>
      </c>
      <c r="AL610" s="181">
        <f t="shared" si="146"/>
        <v>78.921568627450981</v>
      </c>
      <c r="AM610" s="243"/>
    </row>
    <row r="611" spans="1:39" ht="31.5" customHeight="1" x14ac:dyDescent="0.25">
      <c r="A611" s="243"/>
      <c r="B611" s="457"/>
      <c r="C611" s="457"/>
      <c r="D611" s="457"/>
      <c r="E611" s="457"/>
      <c r="F611" s="457"/>
      <c r="G611" s="457"/>
      <c r="H611" s="457"/>
      <c r="I611" s="458"/>
      <c r="J611" s="457" t="s">
        <v>323</v>
      </c>
      <c r="K611" s="245"/>
      <c r="L611" s="257"/>
      <c r="M611" s="591" t="s">
        <v>324</v>
      </c>
      <c r="N611" s="592"/>
      <c r="O611" s="179"/>
      <c r="P611" s="180"/>
      <c r="Q611" s="180">
        <v>33513000</v>
      </c>
      <c r="R611" s="181">
        <f t="shared" si="156"/>
        <v>13.275727669360899</v>
      </c>
      <c r="S611" s="181">
        <v>100</v>
      </c>
      <c r="T611" s="180">
        <f t="shared" si="117"/>
        <v>35.792080685107273</v>
      </c>
      <c r="U611" s="180">
        <f t="shared" si="122"/>
        <v>4.7516591589527648</v>
      </c>
      <c r="V611" s="182">
        <f t="shared" si="142"/>
        <v>64.207919314892735</v>
      </c>
      <c r="W611" s="180"/>
      <c r="X611" s="180"/>
      <c r="Y611" s="180"/>
      <c r="Z611" s="180"/>
      <c r="AA611" s="180"/>
      <c r="AB611" s="180"/>
      <c r="AC611" s="180"/>
      <c r="AD611" s="180"/>
      <c r="AE611" s="180"/>
      <c r="AF611" s="180"/>
      <c r="AG611" s="180"/>
      <c r="AH611" s="180"/>
      <c r="AI611" s="180">
        <f>4204000+7791000</f>
        <v>11995000</v>
      </c>
      <c r="AJ611" s="181">
        <f t="shared" si="155"/>
        <v>35.792080685107273</v>
      </c>
      <c r="AK611" s="180">
        <f t="shared" si="151"/>
        <v>21518000</v>
      </c>
      <c r="AL611" s="181">
        <f t="shared" si="146"/>
        <v>64.20791931489272</v>
      </c>
      <c r="AM611" s="243"/>
    </row>
    <row r="612" spans="1:39" ht="31.5" customHeight="1" x14ac:dyDescent="0.25">
      <c r="A612" s="243"/>
      <c r="B612" s="457"/>
      <c r="C612" s="457"/>
      <c r="D612" s="457"/>
      <c r="E612" s="457"/>
      <c r="F612" s="457"/>
      <c r="G612" s="457"/>
      <c r="H612" s="457"/>
      <c r="I612" s="458"/>
      <c r="J612" s="457" t="s">
        <v>269</v>
      </c>
      <c r="K612" s="245"/>
      <c r="L612" s="257"/>
      <c r="M612" s="591" t="s">
        <v>270</v>
      </c>
      <c r="N612" s="592"/>
      <c r="O612" s="179"/>
      <c r="P612" s="180"/>
      <c r="Q612" s="180">
        <v>24000000</v>
      </c>
      <c r="R612" s="181">
        <f t="shared" si="156"/>
        <v>9.5072796844407108</v>
      </c>
      <c r="S612" s="181">
        <v>100</v>
      </c>
      <c r="T612" s="180">
        <f t="shared" si="117"/>
        <v>29.166666666666668</v>
      </c>
      <c r="U612" s="180">
        <f t="shared" si="122"/>
        <v>2.7729565746285409</v>
      </c>
      <c r="V612" s="182">
        <f t="shared" si="142"/>
        <v>70.833333333333329</v>
      </c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  <c r="AG612" s="180"/>
      <c r="AH612" s="180"/>
      <c r="AI612" s="180">
        <v>7000000</v>
      </c>
      <c r="AJ612" s="181">
        <f t="shared" si="155"/>
        <v>29.166666666666668</v>
      </c>
      <c r="AK612" s="180">
        <f t="shared" si="151"/>
        <v>17000000</v>
      </c>
      <c r="AL612" s="181">
        <f t="shared" si="146"/>
        <v>70.833333333333343</v>
      </c>
      <c r="AM612" s="243"/>
    </row>
    <row r="613" spans="1:39" ht="31.5" customHeight="1" x14ac:dyDescent="0.25">
      <c r="A613" s="243"/>
      <c r="B613" s="457"/>
      <c r="C613" s="457"/>
      <c r="D613" s="457"/>
      <c r="E613" s="457"/>
      <c r="F613" s="457"/>
      <c r="G613" s="457"/>
      <c r="H613" s="457"/>
      <c r="I613" s="458"/>
      <c r="J613" s="457" t="s">
        <v>315</v>
      </c>
      <c r="K613" s="245"/>
      <c r="L613" s="257"/>
      <c r="M613" s="591" t="s">
        <v>271</v>
      </c>
      <c r="N613" s="592"/>
      <c r="O613" s="179"/>
      <c r="P613" s="180"/>
      <c r="Q613" s="180">
        <v>1965000</v>
      </c>
      <c r="R613" s="181">
        <f t="shared" si="156"/>
        <v>0.77840852416358319</v>
      </c>
      <c r="S613" s="181">
        <v>100</v>
      </c>
      <c r="T613" s="180">
        <f t="shared" si="117"/>
        <v>38.167938931297712</v>
      </c>
      <c r="U613" s="180">
        <f t="shared" si="122"/>
        <v>0.29710249013877221</v>
      </c>
      <c r="V613" s="182">
        <f t="shared" si="142"/>
        <v>61.832061068702288</v>
      </c>
      <c r="W613" s="180"/>
      <c r="X613" s="180"/>
      <c r="Y613" s="180"/>
      <c r="Z613" s="180"/>
      <c r="AA613" s="180"/>
      <c r="AB613" s="180"/>
      <c r="AC613" s="180"/>
      <c r="AD613" s="180"/>
      <c r="AE613" s="180"/>
      <c r="AF613" s="180"/>
      <c r="AG613" s="180"/>
      <c r="AH613" s="180"/>
      <c r="AI613" s="180">
        <v>750000</v>
      </c>
      <c r="AJ613" s="181">
        <f t="shared" si="155"/>
        <v>38.167938931297712</v>
      </c>
      <c r="AK613" s="180">
        <f t="shared" si="151"/>
        <v>1215000</v>
      </c>
      <c r="AL613" s="181">
        <f t="shared" si="146"/>
        <v>61.832061068702295</v>
      </c>
      <c r="AM613" s="243"/>
    </row>
    <row r="614" spans="1:39" ht="31.5" customHeight="1" x14ac:dyDescent="0.25">
      <c r="A614" s="243"/>
      <c r="B614" s="457"/>
      <c r="C614" s="457"/>
      <c r="D614" s="457"/>
      <c r="E614" s="457"/>
      <c r="F614" s="457"/>
      <c r="G614" s="457"/>
      <c r="H614" s="457"/>
      <c r="I614" s="458"/>
      <c r="J614" s="457" t="s">
        <v>328</v>
      </c>
      <c r="K614" s="245"/>
      <c r="L614" s="257"/>
      <c r="M614" s="591" t="s">
        <v>329</v>
      </c>
      <c r="N614" s="592"/>
      <c r="O614" s="179"/>
      <c r="P614" s="180"/>
      <c r="Q614" s="180">
        <v>107000000</v>
      </c>
      <c r="R614" s="181">
        <f t="shared" si="156"/>
        <v>42.386621926464834</v>
      </c>
      <c r="S614" s="181">
        <v>100</v>
      </c>
      <c r="T614" s="180">
        <f t="shared" si="117"/>
        <v>40</v>
      </c>
      <c r="U614" s="180">
        <f t="shared" si="122"/>
        <v>16.954648770585933</v>
      </c>
      <c r="V614" s="182">
        <f t="shared" si="142"/>
        <v>60</v>
      </c>
      <c r="W614" s="180"/>
      <c r="X614" s="180"/>
      <c r="Y614" s="180"/>
      <c r="Z614" s="180"/>
      <c r="AA614" s="180"/>
      <c r="AB614" s="180"/>
      <c r="AC614" s="180"/>
      <c r="AD614" s="180"/>
      <c r="AE614" s="180"/>
      <c r="AF614" s="180"/>
      <c r="AG614" s="180"/>
      <c r="AH614" s="180"/>
      <c r="AI614" s="180">
        <v>42800000</v>
      </c>
      <c r="AJ614" s="181">
        <f t="shared" si="155"/>
        <v>40</v>
      </c>
      <c r="AK614" s="180">
        <f t="shared" si="151"/>
        <v>64200000</v>
      </c>
      <c r="AL614" s="181">
        <f t="shared" si="146"/>
        <v>60</v>
      </c>
      <c r="AM614" s="243"/>
    </row>
    <row r="615" spans="1:39" ht="31.5" customHeight="1" x14ac:dyDescent="0.25">
      <c r="A615" s="243"/>
      <c r="B615" s="457"/>
      <c r="C615" s="457"/>
      <c r="D615" s="457"/>
      <c r="E615" s="457"/>
      <c r="F615" s="457"/>
      <c r="G615" s="457"/>
      <c r="H615" s="457"/>
      <c r="I615" s="458"/>
      <c r="J615" s="457" t="s">
        <v>339</v>
      </c>
      <c r="K615" s="245"/>
      <c r="L615" s="257"/>
      <c r="M615" s="591" t="s">
        <v>340</v>
      </c>
      <c r="N615" s="592"/>
      <c r="O615" s="179"/>
      <c r="P615" s="180"/>
      <c r="Q615" s="180">
        <v>37200000</v>
      </c>
      <c r="R615" s="181">
        <f t="shared" si="156"/>
        <v>14.736283510883103</v>
      </c>
      <c r="S615" s="181">
        <v>100</v>
      </c>
      <c r="T615" s="180">
        <f t="shared" si="117"/>
        <v>36.693548387096776</v>
      </c>
      <c r="U615" s="180">
        <f t="shared" si="122"/>
        <v>5.4072653205256556</v>
      </c>
      <c r="V615" s="182">
        <f t="shared" si="142"/>
        <v>63.306451612903224</v>
      </c>
      <c r="W615" s="180"/>
      <c r="X615" s="180"/>
      <c r="Y615" s="180"/>
      <c r="Z615" s="180"/>
      <c r="AA615" s="180"/>
      <c r="AB615" s="180"/>
      <c r="AC615" s="180"/>
      <c r="AD615" s="180"/>
      <c r="AE615" s="180"/>
      <c r="AF615" s="180"/>
      <c r="AG615" s="180"/>
      <c r="AH615" s="180"/>
      <c r="AI615" s="180">
        <f>4350000+9300000</f>
        <v>13650000</v>
      </c>
      <c r="AJ615" s="181">
        <f t="shared" si="155"/>
        <v>36.693548387096776</v>
      </c>
      <c r="AK615" s="180">
        <f t="shared" si="151"/>
        <v>23550000</v>
      </c>
      <c r="AL615" s="181">
        <f t="shared" si="146"/>
        <v>63.306451612903224</v>
      </c>
      <c r="AM615" s="243"/>
    </row>
    <row r="616" spans="1:39" ht="31.5" customHeight="1" x14ac:dyDescent="0.25">
      <c r="A616" s="243"/>
      <c r="B616" s="457"/>
      <c r="C616" s="457"/>
      <c r="D616" s="457"/>
      <c r="E616" s="457"/>
      <c r="F616" s="457"/>
      <c r="G616" s="457"/>
      <c r="H616" s="457"/>
      <c r="I616" s="458"/>
      <c r="J616" s="457" t="s">
        <v>284</v>
      </c>
      <c r="K616" s="245"/>
      <c r="L616" s="257"/>
      <c r="M616" s="591" t="s">
        <v>285</v>
      </c>
      <c r="N616" s="592"/>
      <c r="O616" s="179"/>
      <c r="P616" s="180"/>
      <c r="Q616" s="180">
        <v>7560000</v>
      </c>
      <c r="R616" s="181">
        <f t="shared" si="156"/>
        <v>2.994793100598824</v>
      </c>
      <c r="S616" s="181">
        <v>100</v>
      </c>
      <c r="T616" s="180">
        <f t="shared" si="117"/>
        <v>25.132275132275133</v>
      </c>
      <c r="U616" s="180">
        <f t="shared" si="122"/>
        <v>0.75265964168488964</v>
      </c>
      <c r="V616" s="182">
        <f t="shared" si="142"/>
        <v>74.86772486772486</v>
      </c>
      <c r="W616" s="180"/>
      <c r="X616" s="180"/>
      <c r="Y616" s="180"/>
      <c r="Z616" s="180"/>
      <c r="AA616" s="180"/>
      <c r="AB616" s="180"/>
      <c r="AC616" s="180"/>
      <c r="AD616" s="180"/>
      <c r="AE616" s="180"/>
      <c r="AF616" s="180"/>
      <c r="AG616" s="180"/>
      <c r="AH616" s="180"/>
      <c r="AI616" s="180">
        <v>1900000</v>
      </c>
      <c r="AJ616" s="181">
        <f t="shared" si="155"/>
        <v>25.132275132275133</v>
      </c>
      <c r="AK616" s="180">
        <f t="shared" si="151"/>
        <v>5660000</v>
      </c>
      <c r="AL616" s="181">
        <f t="shared" si="146"/>
        <v>74.867724867724874</v>
      </c>
      <c r="AM616" s="243"/>
    </row>
    <row r="617" spans="1:39" ht="31.5" customHeight="1" x14ac:dyDescent="0.25">
      <c r="A617" s="243"/>
      <c r="B617" s="457"/>
      <c r="C617" s="457"/>
      <c r="D617" s="457"/>
      <c r="E617" s="457"/>
      <c r="F617" s="457"/>
      <c r="G617" s="457"/>
      <c r="H617" s="457"/>
      <c r="I617" s="458"/>
      <c r="J617" s="457" t="s">
        <v>282</v>
      </c>
      <c r="K617" s="245"/>
      <c r="L617" s="257"/>
      <c r="M617" s="591" t="s">
        <v>283</v>
      </c>
      <c r="N617" s="592"/>
      <c r="O617" s="179"/>
      <c r="P617" s="180"/>
      <c r="Q617" s="180">
        <v>18500140</v>
      </c>
      <c r="R617" s="181">
        <f>Q617/Q$608*100</f>
        <v>7.3285835492212072</v>
      </c>
      <c r="S617" s="181">
        <v>100</v>
      </c>
      <c r="T617" s="180">
        <f t="shared" si="117"/>
        <v>29.51329016969601</v>
      </c>
      <c r="U617" s="180">
        <f t="shared" si="122"/>
        <v>2.1629061282102615</v>
      </c>
      <c r="V617" s="182">
        <f t="shared" si="142"/>
        <v>70.486709830303994</v>
      </c>
      <c r="W617" s="180"/>
      <c r="X617" s="180"/>
      <c r="Y617" s="180"/>
      <c r="Z617" s="180"/>
      <c r="AA617" s="180"/>
      <c r="AB617" s="180"/>
      <c r="AC617" s="180"/>
      <c r="AD617" s="180"/>
      <c r="AE617" s="180"/>
      <c r="AF617" s="180"/>
      <c r="AG617" s="180"/>
      <c r="AH617" s="180"/>
      <c r="AI617" s="180">
        <v>5460000</v>
      </c>
      <c r="AJ617" s="181">
        <f t="shared" si="155"/>
        <v>29.51329016969601</v>
      </c>
      <c r="AK617" s="180">
        <f t="shared" si="151"/>
        <v>13040140</v>
      </c>
      <c r="AL617" s="181">
        <f t="shared" ref="AL617:AL687" si="157">AK617/Q617*100</f>
        <v>70.48670983030398</v>
      </c>
      <c r="AM617" s="243"/>
    </row>
    <row r="618" spans="1:39" s="297" customFormat="1" ht="28.5" customHeight="1" x14ac:dyDescent="0.25">
      <c r="A618" s="227">
        <f>SUM(A608+1)</f>
        <v>74</v>
      </c>
      <c r="B618" s="462"/>
      <c r="C618" s="462"/>
      <c r="D618" s="462"/>
      <c r="E618" s="462"/>
      <c r="F618" s="462"/>
      <c r="G618" s="462"/>
      <c r="H618" s="462"/>
      <c r="I618" s="461"/>
      <c r="J618" s="304" t="s">
        <v>527</v>
      </c>
      <c r="K618" s="230"/>
      <c r="L618" s="294"/>
      <c r="M618" s="609" t="s">
        <v>207</v>
      </c>
      <c r="N618" s="614"/>
      <c r="O618" s="309"/>
      <c r="P618" s="231"/>
      <c r="Q618" s="231">
        <f>SUM(Q619:Q626)</f>
        <v>195716927</v>
      </c>
      <c r="R618" s="233">
        <f>Q618/Q$608*100</f>
        <v>77.530648498677735</v>
      </c>
      <c r="S618" s="233">
        <v>100</v>
      </c>
      <c r="T618" s="231">
        <f t="shared" si="117"/>
        <v>12.585012639198039</v>
      </c>
      <c r="U618" s="231">
        <f t="shared" si="122"/>
        <v>9.7572419128107981</v>
      </c>
      <c r="V618" s="296">
        <f t="shared" si="142"/>
        <v>87.414987360801959</v>
      </c>
      <c r="W618" s="231"/>
      <c r="X618" s="231"/>
      <c r="Y618" s="231"/>
      <c r="Z618" s="231"/>
      <c r="AA618" s="231"/>
      <c r="AB618" s="231"/>
      <c r="AC618" s="231"/>
      <c r="AD618" s="231"/>
      <c r="AE618" s="231"/>
      <c r="AF618" s="231"/>
      <c r="AG618" s="231"/>
      <c r="AH618" s="231"/>
      <c r="AI618" s="231">
        <f>SUM(AI619:AI626)</f>
        <v>24631000</v>
      </c>
      <c r="AJ618" s="233">
        <f t="shared" si="155"/>
        <v>12.585012639198039</v>
      </c>
      <c r="AK618" s="231">
        <f t="shared" si="151"/>
        <v>171085927</v>
      </c>
      <c r="AL618" s="233">
        <f t="shared" si="157"/>
        <v>87.414987360801959</v>
      </c>
      <c r="AM618" s="227"/>
    </row>
    <row r="619" spans="1:39" ht="28.5" customHeight="1" x14ac:dyDescent="0.25">
      <c r="A619" s="243"/>
      <c r="B619" s="457"/>
      <c r="C619" s="457"/>
      <c r="D619" s="457"/>
      <c r="E619" s="457"/>
      <c r="F619" s="457"/>
      <c r="G619" s="457"/>
      <c r="H619" s="457"/>
      <c r="I619" s="458"/>
      <c r="J619" s="457" t="s">
        <v>273</v>
      </c>
      <c r="K619" s="245"/>
      <c r="L619" s="257"/>
      <c r="M619" s="591" t="s">
        <v>322</v>
      </c>
      <c r="N619" s="592"/>
      <c r="O619" s="179"/>
      <c r="P619" s="180"/>
      <c r="Q619" s="180">
        <v>25200000</v>
      </c>
      <c r="R619" s="181">
        <f t="shared" ref="R619:R626" si="158">Q619/Q$618*100</f>
        <v>12.875738642677545</v>
      </c>
      <c r="S619" s="181">
        <v>100</v>
      </c>
      <c r="T619" s="180">
        <f t="shared" si="117"/>
        <v>0</v>
      </c>
      <c r="U619" s="180">
        <f t="shared" si="122"/>
        <v>0</v>
      </c>
      <c r="V619" s="182">
        <f t="shared" si="142"/>
        <v>100</v>
      </c>
      <c r="W619" s="180"/>
      <c r="X619" s="180"/>
      <c r="Y619" s="180"/>
      <c r="Z619" s="180"/>
      <c r="AA619" s="180"/>
      <c r="AB619" s="180"/>
      <c r="AC619" s="180"/>
      <c r="AD619" s="180"/>
      <c r="AE619" s="180"/>
      <c r="AF619" s="180"/>
      <c r="AG619" s="180"/>
      <c r="AH619" s="180"/>
      <c r="AI619" s="180">
        <v>0</v>
      </c>
      <c r="AJ619" s="181">
        <f t="shared" si="155"/>
        <v>0</v>
      </c>
      <c r="AK619" s="180">
        <f t="shared" si="151"/>
        <v>25200000</v>
      </c>
      <c r="AL619" s="181">
        <f t="shared" si="157"/>
        <v>100</v>
      </c>
      <c r="AM619" s="243"/>
    </row>
    <row r="620" spans="1:39" ht="28.5" customHeight="1" x14ac:dyDescent="0.25">
      <c r="A620" s="243"/>
      <c r="B620" s="457"/>
      <c r="C620" s="457"/>
      <c r="D620" s="457"/>
      <c r="E620" s="457"/>
      <c r="F620" s="457"/>
      <c r="G620" s="457"/>
      <c r="H620" s="457"/>
      <c r="I620" s="458"/>
      <c r="J620" s="457" t="s">
        <v>323</v>
      </c>
      <c r="K620" s="245"/>
      <c r="L620" s="257"/>
      <c r="M620" s="591" t="s">
        <v>324</v>
      </c>
      <c r="N620" s="592"/>
      <c r="O620" s="179"/>
      <c r="P620" s="180"/>
      <c r="Q620" s="180">
        <v>33468000</v>
      </c>
      <c r="R620" s="181">
        <f t="shared" si="158"/>
        <v>17.100207178298891</v>
      </c>
      <c r="S620" s="181">
        <v>100</v>
      </c>
      <c r="T620" s="180">
        <f t="shared" si="117"/>
        <v>34.752599498027969</v>
      </c>
      <c r="U620" s="180">
        <f t="shared" si="122"/>
        <v>5.9427665140072428</v>
      </c>
      <c r="V620" s="182">
        <f t="shared" si="142"/>
        <v>65.247400501972038</v>
      </c>
      <c r="W620" s="180"/>
      <c r="X620" s="180"/>
      <c r="Y620" s="180"/>
      <c r="Z620" s="180"/>
      <c r="AA620" s="180"/>
      <c r="AB620" s="180"/>
      <c r="AC620" s="180"/>
      <c r="AD620" s="180"/>
      <c r="AE620" s="180"/>
      <c r="AF620" s="180"/>
      <c r="AG620" s="180"/>
      <c r="AH620" s="180"/>
      <c r="AI620" s="180">
        <f>3744000+7887000</f>
        <v>11631000</v>
      </c>
      <c r="AJ620" s="181">
        <f t="shared" si="155"/>
        <v>34.752599498027969</v>
      </c>
      <c r="AK620" s="180">
        <f t="shared" si="151"/>
        <v>21837000</v>
      </c>
      <c r="AL620" s="181">
        <f t="shared" si="157"/>
        <v>65.247400501972024</v>
      </c>
      <c r="AM620" s="243"/>
    </row>
    <row r="621" spans="1:39" ht="28.5" customHeight="1" x14ac:dyDescent="0.25">
      <c r="A621" s="243"/>
      <c r="B621" s="457"/>
      <c r="C621" s="457"/>
      <c r="D621" s="457"/>
      <c r="E621" s="457"/>
      <c r="F621" s="457"/>
      <c r="G621" s="457"/>
      <c r="H621" s="457"/>
      <c r="I621" s="458"/>
      <c r="J621" s="457" t="s">
        <v>269</v>
      </c>
      <c r="K621" s="245"/>
      <c r="L621" s="257"/>
      <c r="M621" s="591" t="s">
        <v>270</v>
      </c>
      <c r="N621" s="592"/>
      <c r="O621" s="179"/>
      <c r="P621" s="180"/>
      <c r="Q621" s="180">
        <v>5400000</v>
      </c>
      <c r="R621" s="181">
        <f t="shared" si="158"/>
        <v>2.7590868520023308</v>
      </c>
      <c r="S621" s="181">
        <v>100</v>
      </c>
      <c r="T621" s="180">
        <f t="shared" si="117"/>
        <v>0</v>
      </c>
      <c r="U621" s="180">
        <f t="shared" si="122"/>
        <v>0</v>
      </c>
      <c r="V621" s="182">
        <f t="shared" si="142"/>
        <v>100</v>
      </c>
      <c r="W621" s="180"/>
      <c r="X621" s="180"/>
      <c r="Y621" s="180"/>
      <c r="Z621" s="180"/>
      <c r="AA621" s="180"/>
      <c r="AB621" s="180"/>
      <c r="AC621" s="180"/>
      <c r="AD621" s="180"/>
      <c r="AE621" s="180"/>
      <c r="AF621" s="180"/>
      <c r="AG621" s="180"/>
      <c r="AH621" s="180"/>
      <c r="AI621" s="180">
        <v>0</v>
      </c>
      <c r="AJ621" s="181">
        <f t="shared" si="155"/>
        <v>0</v>
      </c>
      <c r="AK621" s="180">
        <f t="shared" si="151"/>
        <v>5400000</v>
      </c>
      <c r="AL621" s="181">
        <f t="shared" si="157"/>
        <v>100</v>
      </c>
      <c r="AM621" s="243"/>
    </row>
    <row r="622" spans="1:39" ht="28.5" customHeight="1" x14ac:dyDescent="0.25">
      <c r="A622" s="243"/>
      <c r="B622" s="457"/>
      <c r="C622" s="457"/>
      <c r="D622" s="457"/>
      <c r="E622" s="457"/>
      <c r="F622" s="457"/>
      <c r="G622" s="457"/>
      <c r="H622" s="457"/>
      <c r="I622" s="458"/>
      <c r="J622" s="457" t="s">
        <v>315</v>
      </c>
      <c r="K622" s="245"/>
      <c r="L622" s="257"/>
      <c r="M622" s="591" t="s">
        <v>271</v>
      </c>
      <c r="N622" s="592"/>
      <c r="O622" s="179"/>
      <c r="P622" s="180"/>
      <c r="Q622" s="180">
        <v>9600000</v>
      </c>
      <c r="R622" s="181">
        <f t="shared" si="158"/>
        <v>4.9050432924485881</v>
      </c>
      <c r="S622" s="181">
        <v>100</v>
      </c>
      <c r="T622" s="180">
        <f t="shared" si="117"/>
        <v>27.083333333333332</v>
      </c>
      <c r="U622" s="180">
        <f t="shared" si="122"/>
        <v>1.3284492250381592</v>
      </c>
      <c r="V622" s="182">
        <f t="shared" si="142"/>
        <v>72.916666666666671</v>
      </c>
      <c r="W622" s="180"/>
      <c r="X622" s="180"/>
      <c r="Y622" s="180"/>
      <c r="Z622" s="180"/>
      <c r="AA622" s="180"/>
      <c r="AB622" s="180"/>
      <c r="AC622" s="180"/>
      <c r="AD622" s="180"/>
      <c r="AE622" s="180"/>
      <c r="AF622" s="180"/>
      <c r="AG622" s="180"/>
      <c r="AH622" s="180"/>
      <c r="AI622" s="180">
        <f>900000+1700000</f>
        <v>2600000</v>
      </c>
      <c r="AJ622" s="181">
        <f t="shared" si="155"/>
        <v>27.083333333333332</v>
      </c>
      <c r="AK622" s="180">
        <f t="shared" si="151"/>
        <v>7000000</v>
      </c>
      <c r="AL622" s="181">
        <f t="shared" si="157"/>
        <v>72.916666666666657</v>
      </c>
      <c r="AM622" s="243"/>
    </row>
    <row r="623" spans="1:39" ht="28.5" customHeight="1" x14ac:dyDescent="0.25">
      <c r="A623" s="243"/>
      <c r="B623" s="457"/>
      <c r="C623" s="457"/>
      <c r="D623" s="457"/>
      <c r="E623" s="457"/>
      <c r="F623" s="457"/>
      <c r="G623" s="457"/>
      <c r="H623" s="457"/>
      <c r="I623" s="458"/>
      <c r="J623" s="457" t="s">
        <v>280</v>
      </c>
      <c r="K623" s="245"/>
      <c r="L623" s="257"/>
      <c r="M623" s="591" t="s">
        <v>281</v>
      </c>
      <c r="N623" s="592"/>
      <c r="O623" s="179"/>
      <c r="P623" s="180"/>
      <c r="Q623" s="180">
        <v>48000000</v>
      </c>
      <c r="R623" s="181">
        <f t="shared" si="158"/>
        <v>24.525216462242941</v>
      </c>
      <c r="S623" s="181">
        <v>100</v>
      </c>
      <c r="T623" s="180">
        <f t="shared" si="117"/>
        <v>21.666666666666668</v>
      </c>
      <c r="U623" s="180">
        <f t="shared" si="122"/>
        <v>5.3137969001526377</v>
      </c>
      <c r="V623" s="182">
        <f t="shared" si="142"/>
        <v>78.333333333333329</v>
      </c>
      <c r="W623" s="180"/>
      <c r="X623" s="180"/>
      <c r="Y623" s="180"/>
      <c r="Z623" s="180"/>
      <c r="AA623" s="180"/>
      <c r="AB623" s="180"/>
      <c r="AC623" s="180"/>
      <c r="AD623" s="180"/>
      <c r="AE623" s="180"/>
      <c r="AF623" s="180"/>
      <c r="AG623" s="180"/>
      <c r="AH623" s="180"/>
      <c r="AI623" s="180">
        <f>2600000+7800000</f>
        <v>10400000</v>
      </c>
      <c r="AJ623" s="181">
        <f t="shared" si="155"/>
        <v>21.666666666666668</v>
      </c>
      <c r="AK623" s="180">
        <f t="shared" si="151"/>
        <v>37600000</v>
      </c>
      <c r="AL623" s="181">
        <f t="shared" si="157"/>
        <v>78.333333333333329</v>
      </c>
      <c r="AM623" s="243"/>
    </row>
    <row r="624" spans="1:39" ht="28.5" customHeight="1" x14ac:dyDescent="0.25">
      <c r="A624" s="243"/>
      <c r="B624" s="457"/>
      <c r="C624" s="457"/>
      <c r="D624" s="457"/>
      <c r="E624" s="457"/>
      <c r="F624" s="457"/>
      <c r="G624" s="457"/>
      <c r="H624" s="457"/>
      <c r="I624" s="458"/>
      <c r="J624" s="457" t="s">
        <v>284</v>
      </c>
      <c r="K624" s="245"/>
      <c r="L624" s="257"/>
      <c r="M624" s="591" t="s">
        <v>285</v>
      </c>
      <c r="N624" s="592"/>
      <c r="O624" s="179"/>
      <c r="P624" s="180"/>
      <c r="Q624" s="180">
        <v>4658927</v>
      </c>
      <c r="R624" s="181">
        <f t="shared" si="158"/>
        <v>2.3804415240997527</v>
      </c>
      <c r="S624" s="181">
        <v>100</v>
      </c>
      <c r="T624" s="180">
        <f t="shared" si="117"/>
        <v>0</v>
      </c>
      <c r="U624" s="180">
        <f t="shared" si="122"/>
        <v>0</v>
      </c>
      <c r="V624" s="182">
        <f t="shared" si="142"/>
        <v>100</v>
      </c>
      <c r="W624" s="180"/>
      <c r="X624" s="180"/>
      <c r="Y624" s="180"/>
      <c r="Z624" s="180"/>
      <c r="AA624" s="180"/>
      <c r="AB624" s="180"/>
      <c r="AC624" s="180"/>
      <c r="AD624" s="180"/>
      <c r="AE624" s="180"/>
      <c r="AF624" s="180"/>
      <c r="AG624" s="180"/>
      <c r="AH624" s="180"/>
      <c r="AI624" s="180">
        <v>0</v>
      </c>
      <c r="AJ624" s="181">
        <f t="shared" si="155"/>
        <v>0</v>
      </c>
      <c r="AK624" s="180">
        <f t="shared" si="151"/>
        <v>4658927</v>
      </c>
      <c r="AL624" s="181">
        <f t="shared" si="157"/>
        <v>100</v>
      </c>
      <c r="AM624" s="243"/>
    </row>
    <row r="625" spans="1:39" ht="28.5" customHeight="1" x14ac:dyDescent="0.25">
      <c r="A625" s="243"/>
      <c r="B625" s="457"/>
      <c r="C625" s="457"/>
      <c r="D625" s="457"/>
      <c r="E625" s="457"/>
      <c r="F625" s="457"/>
      <c r="G625" s="457"/>
      <c r="H625" s="457"/>
      <c r="I625" s="458"/>
      <c r="J625" s="457" t="s">
        <v>282</v>
      </c>
      <c r="K625" s="245"/>
      <c r="L625" s="257"/>
      <c r="M625" s="591" t="s">
        <v>283</v>
      </c>
      <c r="N625" s="592"/>
      <c r="O625" s="179"/>
      <c r="P625" s="180"/>
      <c r="Q625" s="180">
        <v>59790000</v>
      </c>
      <c r="R625" s="181">
        <f t="shared" si="158"/>
        <v>30.549222755781365</v>
      </c>
      <c r="S625" s="181">
        <v>100</v>
      </c>
      <c r="T625" s="180">
        <f t="shared" si="117"/>
        <v>0</v>
      </c>
      <c r="U625" s="180">
        <f t="shared" si="122"/>
        <v>0</v>
      </c>
      <c r="V625" s="182">
        <f t="shared" si="142"/>
        <v>100</v>
      </c>
      <c r="W625" s="180"/>
      <c r="X625" s="180"/>
      <c r="Y625" s="180"/>
      <c r="Z625" s="180"/>
      <c r="AA625" s="180"/>
      <c r="AB625" s="180"/>
      <c r="AC625" s="180"/>
      <c r="AD625" s="180"/>
      <c r="AE625" s="180"/>
      <c r="AF625" s="180"/>
      <c r="AG625" s="180"/>
      <c r="AH625" s="180"/>
      <c r="AI625" s="180">
        <v>0</v>
      </c>
      <c r="AJ625" s="181">
        <f t="shared" si="155"/>
        <v>0</v>
      </c>
      <c r="AK625" s="180">
        <f t="shared" si="151"/>
        <v>59790000</v>
      </c>
      <c r="AL625" s="181">
        <f t="shared" si="157"/>
        <v>100</v>
      </c>
      <c r="AM625" s="243"/>
    </row>
    <row r="626" spans="1:39" ht="28.5" customHeight="1" x14ac:dyDescent="0.25">
      <c r="A626" s="243"/>
      <c r="B626" s="457"/>
      <c r="C626" s="457"/>
      <c r="D626" s="457"/>
      <c r="E626" s="457"/>
      <c r="F626" s="457"/>
      <c r="G626" s="457"/>
      <c r="H626" s="457"/>
      <c r="I626" s="458"/>
      <c r="J626" s="457" t="s">
        <v>551</v>
      </c>
      <c r="K626" s="245"/>
      <c r="L626" s="257"/>
      <c r="M626" s="591" t="s">
        <v>550</v>
      </c>
      <c r="N626" s="592"/>
      <c r="O626" s="179"/>
      <c r="P626" s="180"/>
      <c r="Q626" s="180">
        <v>9600000</v>
      </c>
      <c r="R626" s="181">
        <f t="shared" si="158"/>
        <v>4.9050432924485881</v>
      </c>
      <c r="S626" s="181">
        <v>100</v>
      </c>
      <c r="T626" s="180">
        <f t="shared" ref="T626:T679" si="159">AJ626</f>
        <v>0</v>
      </c>
      <c r="U626" s="180">
        <f t="shared" si="122"/>
        <v>0</v>
      </c>
      <c r="V626" s="182">
        <f t="shared" si="142"/>
        <v>100</v>
      </c>
      <c r="W626" s="180"/>
      <c r="X626" s="180"/>
      <c r="Y626" s="180"/>
      <c r="Z626" s="180"/>
      <c r="AA626" s="180"/>
      <c r="AB626" s="180"/>
      <c r="AC626" s="180"/>
      <c r="AD626" s="180"/>
      <c r="AE626" s="180"/>
      <c r="AF626" s="180"/>
      <c r="AG626" s="180"/>
      <c r="AH626" s="180"/>
      <c r="AI626" s="180">
        <v>0</v>
      </c>
      <c r="AJ626" s="181">
        <f t="shared" si="155"/>
        <v>0</v>
      </c>
      <c r="AK626" s="180">
        <f t="shared" si="151"/>
        <v>9600000</v>
      </c>
      <c r="AL626" s="181">
        <f t="shared" si="157"/>
        <v>100</v>
      </c>
      <c r="AM626" s="243"/>
    </row>
    <row r="627" spans="1:39" s="297" customFormat="1" ht="24.75" customHeight="1" x14ac:dyDescent="0.25">
      <c r="A627" s="227">
        <f>SUM(A618+1)</f>
        <v>75</v>
      </c>
      <c r="B627" s="462"/>
      <c r="C627" s="462"/>
      <c r="D627" s="462"/>
      <c r="E627" s="462"/>
      <c r="F627" s="462"/>
      <c r="G627" s="462"/>
      <c r="H627" s="462"/>
      <c r="I627" s="461"/>
      <c r="J627" s="304" t="s">
        <v>528</v>
      </c>
      <c r="K627" s="230"/>
      <c r="L627" s="294"/>
      <c r="M627" s="613" t="s">
        <v>208</v>
      </c>
      <c r="N627" s="612"/>
      <c r="O627" s="309"/>
      <c r="P627" s="231"/>
      <c r="Q627" s="231">
        <f>SUM(Q628:Q636)</f>
        <v>148625471</v>
      </c>
      <c r="R627" s="233">
        <f>Q627/Q$248*100</f>
        <v>1.2460379414890164</v>
      </c>
      <c r="S627" s="233">
        <v>100</v>
      </c>
      <c r="T627" s="231">
        <f t="shared" si="159"/>
        <v>87.481640344137247</v>
      </c>
      <c r="U627" s="231">
        <f t="shared" si="122"/>
        <v>1.0900544305249127</v>
      </c>
      <c r="V627" s="296">
        <f t="shared" si="142"/>
        <v>12.518359655862753</v>
      </c>
      <c r="W627" s="231"/>
      <c r="X627" s="231"/>
      <c r="Y627" s="231"/>
      <c r="Z627" s="231"/>
      <c r="AA627" s="231"/>
      <c r="AB627" s="231"/>
      <c r="AC627" s="231"/>
      <c r="AD627" s="231"/>
      <c r="AE627" s="231"/>
      <c r="AF627" s="231"/>
      <c r="AG627" s="231"/>
      <c r="AH627" s="231"/>
      <c r="AI627" s="231">
        <f>SUM(AI628:AI636)</f>
        <v>130020000</v>
      </c>
      <c r="AJ627" s="233">
        <f t="shared" si="155"/>
        <v>87.481640344137247</v>
      </c>
      <c r="AK627" s="231">
        <f t="shared" si="151"/>
        <v>18605471</v>
      </c>
      <c r="AL627" s="233">
        <f t="shared" si="157"/>
        <v>12.518359655862756</v>
      </c>
      <c r="AM627" s="227"/>
    </row>
    <row r="628" spans="1:39" ht="24.75" customHeight="1" x14ac:dyDescent="0.25">
      <c r="A628" s="243"/>
      <c r="B628" s="457"/>
      <c r="C628" s="457"/>
      <c r="D628" s="457"/>
      <c r="E628" s="457"/>
      <c r="F628" s="457"/>
      <c r="G628" s="457"/>
      <c r="H628" s="457"/>
      <c r="I628" s="458"/>
      <c r="J628" s="457" t="s">
        <v>257</v>
      </c>
      <c r="K628" s="245"/>
      <c r="L628" s="257"/>
      <c r="M628" s="604" t="s">
        <v>260</v>
      </c>
      <c r="N628" s="592"/>
      <c r="O628" s="179"/>
      <c r="P628" s="180"/>
      <c r="Q628" s="180">
        <v>800000</v>
      </c>
      <c r="R628" s="181">
        <f>Q628/Q$627*100</f>
        <v>0.53826574584917553</v>
      </c>
      <c r="S628" s="181">
        <v>100</v>
      </c>
      <c r="T628" s="180">
        <f t="shared" si="159"/>
        <v>100</v>
      </c>
      <c r="U628" s="180">
        <f t="shared" si="122"/>
        <v>0.53826574584917553</v>
      </c>
      <c r="V628" s="182">
        <f t="shared" si="142"/>
        <v>0</v>
      </c>
      <c r="W628" s="180"/>
      <c r="X628" s="180"/>
      <c r="Y628" s="180"/>
      <c r="Z628" s="180"/>
      <c r="AA628" s="180"/>
      <c r="AB628" s="180"/>
      <c r="AC628" s="180"/>
      <c r="AD628" s="180"/>
      <c r="AE628" s="180"/>
      <c r="AF628" s="180"/>
      <c r="AG628" s="180"/>
      <c r="AH628" s="180"/>
      <c r="AI628" s="180">
        <v>800000</v>
      </c>
      <c r="AJ628" s="181">
        <f t="shared" si="155"/>
        <v>100</v>
      </c>
      <c r="AK628" s="180">
        <f t="shared" si="151"/>
        <v>0</v>
      </c>
      <c r="AL628" s="181">
        <f t="shared" si="157"/>
        <v>0</v>
      </c>
      <c r="AM628" s="243"/>
    </row>
    <row r="629" spans="1:39" ht="24.75" customHeight="1" x14ac:dyDescent="0.25">
      <c r="A629" s="243"/>
      <c r="B629" s="457"/>
      <c r="C629" s="457"/>
      <c r="D629" s="457"/>
      <c r="E629" s="457"/>
      <c r="F629" s="457"/>
      <c r="G629" s="457"/>
      <c r="H629" s="457"/>
      <c r="I629" s="458"/>
      <c r="J629" s="457" t="s">
        <v>315</v>
      </c>
      <c r="K629" s="245"/>
      <c r="L629" s="257"/>
      <c r="M629" s="604" t="s">
        <v>271</v>
      </c>
      <c r="N629" s="592"/>
      <c r="O629" s="179"/>
      <c r="P629" s="180"/>
      <c r="Q629" s="180">
        <v>10500000</v>
      </c>
      <c r="R629" s="181">
        <f>Q629/Q$627*100</f>
        <v>7.0647379142704274</v>
      </c>
      <c r="S629" s="181">
        <v>100</v>
      </c>
      <c r="T629" s="180">
        <f t="shared" si="159"/>
        <v>28.571428571428569</v>
      </c>
      <c r="U629" s="180">
        <f t="shared" si="122"/>
        <v>2.0184965469344074</v>
      </c>
      <c r="V629" s="182">
        <f t="shared" si="142"/>
        <v>71.428571428571431</v>
      </c>
      <c r="W629" s="180"/>
      <c r="X629" s="180"/>
      <c r="Y629" s="180"/>
      <c r="Z629" s="180"/>
      <c r="AA629" s="180"/>
      <c r="AB629" s="180"/>
      <c r="AC629" s="180"/>
      <c r="AD629" s="180"/>
      <c r="AE629" s="180"/>
      <c r="AF629" s="180"/>
      <c r="AG629" s="180"/>
      <c r="AH629" s="180"/>
      <c r="AI629" s="180">
        <v>3000000</v>
      </c>
      <c r="AJ629" s="181">
        <f t="shared" si="155"/>
        <v>28.571428571428569</v>
      </c>
      <c r="AK629" s="180">
        <f t="shared" si="151"/>
        <v>7500000</v>
      </c>
      <c r="AL629" s="181">
        <f t="shared" si="157"/>
        <v>71.428571428571431</v>
      </c>
      <c r="AM629" s="243"/>
    </row>
    <row r="630" spans="1:39" ht="24.75" customHeight="1" x14ac:dyDescent="0.25">
      <c r="A630" s="243"/>
      <c r="B630" s="457"/>
      <c r="C630" s="457"/>
      <c r="D630" s="457"/>
      <c r="E630" s="457"/>
      <c r="F630" s="457"/>
      <c r="G630" s="457"/>
      <c r="H630" s="457"/>
      <c r="I630" s="458"/>
      <c r="J630" s="457" t="s">
        <v>316</v>
      </c>
      <c r="K630" s="245"/>
      <c r="L630" s="257"/>
      <c r="M630" s="604" t="s">
        <v>317</v>
      </c>
      <c r="N630" s="592"/>
      <c r="O630" s="179"/>
      <c r="P630" s="180"/>
      <c r="Q630" s="180">
        <v>500000</v>
      </c>
      <c r="R630" s="181">
        <f t="shared" ref="R630:R636" si="160">Q630/Q$627*100</f>
        <v>0.33641609115573468</v>
      </c>
      <c r="S630" s="181">
        <v>100</v>
      </c>
      <c r="T630" s="180">
        <f t="shared" si="159"/>
        <v>100</v>
      </c>
      <c r="U630" s="180">
        <f t="shared" si="122"/>
        <v>0.33641609115573468</v>
      </c>
      <c r="V630" s="182">
        <f t="shared" si="142"/>
        <v>0</v>
      </c>
      <c r="W630" s="180"/>
      <c r="X630" s="180"/>
      <c r="Y630" s="180"/>
      <c r="Z630" s="180"/>
      <c r="AA630" s="180"/>
      <c r="AB630" s="180"/>
      <c r="AC630" s="180"/>
      <c r="AD630" s="180"/>
      <c r="AE630" s="180"/>
      <c r="AF630" s="180"/>
      <c r="AG630" s="180"/>
      <c r="AH630" s="180"/>
      <c r="AI630" s="180">
        <v>500000</v>
      </c>
      <c r="AJ630" s="181">
        <f t="shared" si="155"/>
        <v>100</v>
      </c>
      <c r="AK630" s="180">
        <f t="shared" si="151"/>
        <v>0</v>
      </c>
      <c r="AL630" s="181">
        <f t="shared" si="157"/>
        <v>0</v>
      </c>
      <c r="AM630" s="243"/>
    </row>
    <row r="631" spans="1:39" ht="24.75" customHeight="1" x14ac:dyDescent="0.25">
      <c r="A631" s="243"/>
      <c r="B631" s="457"/>
      <c r="C631" s="457"/>
      <c r="D631" s="457"/>
      <c r="E631" s="457"/>
      <c r="F631" s="457"/>
      <c r="G631" s="457"/>
      <c r="H631" s="457"/>
      <c r="I631" s="458"/>
      <c r="J631" s="457" t="s">
        <v>328</v>
      </c>
      <c r="K631" s="245"/>
      <c r="L631" s="257"/>
      <c r="M631" s="604" t="s">
        <v>319</v>
      </c>
      <c r="N631" s="592"/>
      <c r="O631" s="179"/>
      <c r="P631" s="180"/>
      <c r="Q631" s="180">
        <v>65000000</v>
      </c>
      <c r="R631" s="181">
        <f t="shared" si="160"/>
        <v>43.734091850245512</v>
      </c>
      <c r="S631" s="181">
        <v>100</v>
      </c>
      <c r="T631" s="180">
        <f t="shared" si="159"/>
        <v>100</v>
      </c>
      <c r="U631" s="180">
        <f t="shared" si="122"/>
        <v>43.734091850245512</v>
      </c>
      <c r="V631" s="182">
        <f t="shared" si="142"/>
        <v>0</v>
      </c>
      <c r="W631" s="180"/>
      <c r="X631" s="180"/>
      <c r="Y631" s="180"/>
      <c r="Z631" s="180"/>
      <c r="AA631" s="180"/>
      <c r="AB631" s="180"/>
      <c r="AC631" s="180"/>
      <c r="AD631" s="180"/>
      <c r="AE631" s="180"/>
      <c r="AF631" s="180"/>
      <c r="AG631" s="180"/>
      <c r="AH631" s="180"/>
      <c r="AI631" s="180">
        <v>65000000</v>
      </c>
      <c r="AJ631" s="181">
        <f t="shared" si="155"/>
        <v>100</v>
      </c>
      <c r="AK631" s="180">
        <f t="shared" si="151"/>
        <v>0</v>
      </c>
      <c r="AL631" s="181">
        <f t="shared" si="157"/>
        <v>0</v>
      </c>
      <c r="AM631" s="243"/>
    </row>
    <row r="632" spans="1:39" ht="24.75" customHeight="1" x14ac:dyDescent="0.25">
      <c r="A632" s="243"/>
      <c r="B632" s="457"/>
      <c r="C632" s="457"/>
      <c r="D632" s="457"/>
      <c r="E632" s="457"/>
      <c r="F632" s="457"/>
      <c r="G632" s="457"/>
      <c r="H632" s="457"/>
      <c r="I632" s="458"/>
      <c r="J632" s="457" t="s">
        <v>284</v>
      </c>
      <c r="K632" s="245"/>
      <c r="L632" s="257"/>
      <c r="M632" s="604" t="s">
        <v>285</v>
      </c>
      <c r="N632" s="592"/>
      <c r="O632" s="179"/>
      <c r="P632" s="180"/>
      <c r="Q632" s="180">
        <v>10000000</v>
      </c>
      <c r="R632" s="181">
        <f t="shared" si="160"/>
        <v>6.728321823114694</v>
      </c>
      <c r="S632" s="181">
        <v>100</v>
      </c>
      <c r="T632" s="180">
        <f t="shared" si="159"/>
        <v>29.7</v>
      </c>
      <c r="U632" s="180">
        <f t="shared" si="122"/>
        <v>1.998311581465064</v>
      </c>
      <c r="V632" s="182">
        <f t="shared" si="142"/>
        <v>70.3</v>
      </c>
      <c r="W632" s="180"/>
      <c r="X632" s="180"/>
      <c r="Y632" s="180"/>
      <c r="Z632" s="180"/>
      <c r="AA632" s="180"/>
      <c r="AB632" s="180"/>
      <c r="AC632" s="180"/>
      <c r="AD632" s="180"/>
      <c r="AE632" s="180"/>
      <c r="AF632" s="180"/>
      <c r="AG632" s="180"/>
      <c r="AH632" s="180"/>
      <c r="AI632" s="180">
        <v>2970000</v>
      </c>
      <c r="AJ632" s="181">
        <f t="shared" si="155"/>
        <v>29.7</v>
      </c>
      <c r="AK632" s="180">
        <f t="shared" si="151"/>
        <v>7030000</v>
      </c>
      <c r="AL632" s="181">
        <f t="shared" si="157"/>
        <v>70.3</v>
      </c>
      <c r="AM632" s="243"/>
    </row>
    <row r="633" spans="1:39" ht="24.75" customHeight="1" x14ac:dyDescent="0.25">
      <c r="A633" s="243"/>
      <c r="B633" s="457"/>
      <c r="C633" s="457"/>
      <c r="D633" s="457"/>
      <c r="E633" s="457"/>
      <c r="F633" s="457"/>
      <c r="G633" s="457"/>
      <c r="H633" s="457"/>
      <c r="I633" s="458"/>
      <c r="J633" s="457" t="s">
        <v>282</v>
      </c>
      <c r="K633" s="245"/>
      <c r="L633" s="257"/>
      <c r="M633" s="604" t="s">
        <v>283</v>
      </c>
      <c r="N633" s="592"/>
      <c r="O633" s="179"/>
      <c r="P633" s="180"/>
      <c r="Q633" s="180">
        <v>34125471</v>
      </c>
      <c r="R633" s="181">
        <f t="shared" si="160"/>
        <v>22.960715125336762</v>
      </c>
      <c r="S633" s="181">
        <v>100</v>
      </c>
      <c r="T633" s="180">
        <f t="shared" si="159"/>
        <v>99.485806364401526</v>
      </c>
      <c r="U633" s="180">
        <f t="shared" si="122"/>
        <v>22.842652589474383</v>
      </c>
      <c r="V633" s="182">
        <f t="shared" si="142"/>
        <v>0.51419363559847397</v>
      </c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  <c r="AG633" s="180"/>
      <c r="AH633" s="180"/>
      <c r="AI633" s="180">
        <v>33950000</v>
      </c>
      <c r="AJ633" s="181">
        <f t="shared" si="155"/>
        <v>99.485806364401526</v>
      </c>
      <c r="AK633" s="180">
        <f t="shared" si="151"/>
        <v>175471</v>
      </c>
      <c r="AL633" s="181">
        <f t="shared" si="157"/>
        <v>0.51419363559846543</v>
      </c>
      <c r="AM633" s="243"/>
    </row>
    <row r="634" spans="1:39" ht="24.75" customHeight="1" x14ac:dyDescent="0.25">
      <c r="A634" s="243"/>
      <c r="B634" s="457"/>
      <c r="C634" s="457"/>
      <c r="D634" s="457"/>
      <c r="E634" s="457"/>
      <c r="F634" s="457"/>
      <c r="G634" s="457"/>
      <c r="H634" s="457"/>
      <c r="I634" s="458"/>
      <c r="J634" s="457" t="s">
        <v>320</v>
      </c>
      <c r="K634" s="245"/>
      <c r="L634" s="257"/>
      <c r="M634" s="604" t="s">
        <v>321</v>
      </c>
      <c r="N634" s="592"/>
      <c r="O634" s="179"/>
      <c r="P634" s="180"/>
      <c r="Q634" s="180">
        <v>9800000</v>
      </c>
      <c r="R634" s="181">
        <f t="shared" si="160"/>
        <v>6.5937553866524006</v>
      </c>
      <c r="S634" s="181">
        <v>100</v>
      </c>
      <c r="T634" s="180">
        <f t="shared" si="159"/>
        <v>84.693877551020407</v>
      </c>
      <c r="U634" s="180">
        <f t="shared" si="122"/>
        <v>5.5845071131851967</v>
      </c>
      <c r="V634" s="182">
        <f t="shared" si="142"/>
        <v>15.306122448979593</v>
      </c>
      <c r="W634" s="180"/>
      <c r="X634" s="180"/>
      <c r="Y634" s="180"/>
      <c r="Z634" s="180"/>
      <c r="AA634" s="180"/>
      <c r="AB634" s="180"/>
      <c r="AC634" s="180"/>
      <c r="AD634" s="180"/>
      <c r="AE634" s="180"/>
      <c r="AF634" s="180"/>
      <c r="AG634" s="180"/>
      <c r="AH634" s="180"/>
      <c r="AI634" s="180">
        <v>8300000</v>
      </c>
      <c r="AJ634" s="181">
        <f t="shared" si="155"/>
        <v>84.693877551020407</v>
      </c>
      <c r="AK634" s="180">
        <f t="shared" si="151"/>
        <v>1500000</v>
      </c>
      <c r="AL634" s="181">
        <f t="shared" si="157"/>
        <v>15.306122448979592</v>
      </c>
      <c r="AM634" s="243"/>
    </row>
    <row r="635" spans="1:39" ht="24.75" customHeight="1" x14ac:dyDescent="0.25">
      <c r="A635" s="243"/>
      <c r="B635" s="457"/>
      <c r="C635" s="457"/>
      <c r="D635" s="457"/>
      <c r="E635" s="457"/>
      <c r="F635" s="457"/>
      <c r="G635" s="457"/>
      <c r="H635" s="457"/>
      <c r="I635" s="458"/>
      <c r="J635" s="457" t="s">
        <v>407</v>
      </c>
      <c r="K635" s="245"/>
      <c r="L635" s="257"/>
      <c r="M635" s="604" t="s">
        <v>623</v>
      </c>
      <c r="N635" s="592"/>
      <c r="O635" s="179"/>
      <c r="P635" s="180"/>
      <c r="Q635" s="180">
        <v>2900000</v>
      </c>
      <c r="R635" s="181">
        <f t="shared" si="160"/>
        <v>1.9512133287032611</v>
      </c>
      <c r="S635" s="181">
        <v>100</v>
      </c>
      <c r="T635" s="180">
        <f t="shared" si="159"/>
        <v>84.482758620689651</v>
      </c>
      <c r="U635" s="180">
        <f t="shared" si="122"/>
        <v>1.6484388466630997</v>
      </c>
      <c r="V635" s="182">
        <f t="shared" si="142"/>
        <v>15.517241379310349</v>
      </c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  <c r="AG635" s="180"/>
      <c r="AH635" s="180"/>
      <c r="AI635" s="180">
        <v>2450000</v>
      </c>
      <c r="AJ635" s="181">
        <f t="shared" si="155"/>
        <v>84.482758620689651</v>
      </c>
      <c r="AK635" s="180">
        <f t="shared" si="151"/>
        <v>450000</v>
      </c>
      <c r="AL635" s="181">
        <f t="shared" si="157"/>
        <v>15.517241379310345</v>
      </c>
      <c r="AM635" s="243"/>
    </row>
    <row r="636" spans="1:39" ht="24.75" customHeight="1" x14ac:dyDescent="0.25">
      <c r="A636" s="243"/>
      <c r="B636" s="457"/>
      <c r="C636" s="457"/>
      <c r="D636" s="457"/>
      <c r="E636" s="457"/>
      <c r="F636" s="457"/>
      <c r="G636" s="457"/>
      <c r="H636" s="457"/>
      <c r="I636" s="458"/>
      <c r="J636" s="457" t="s">
        <v>372</v>
      </c>
      <c r="K636" s="245"/>
      <c r="L636" s="257"/>
      <c r="M636" s="604" t="s">
        <v>373</v>
      </c>
      <c r="N636" s="592"/>
      <c r="O636" s="179"/>
      <c r="P636" s="180"/>
      <c r="Q636" s="180">
        <v>15000000</v>
      </c>
      <c r="R636" s="181">
        <f t="shared" si="160"/>
        <v>10.092482734672039</v>
      </c>
      <c r="S636" s="181">
        <v>100</v>
      </c>
      <c r="T636" s="180">
        <f t="shared" si="159"/>
        <v>87</v>
      </c>
      <c r="U636" s="180">
        <f t="shared" si="122"/>
        <v>8.7804599791646734</v>
      </c>
      <c r="V636" s="182">
        <v>100</v>
      </c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  <c r="AG636" s="180"/>
      <c r="AH636" s="180"/>
      <c r="AI636" s="180">
        <v>13050000</v>
      </c>
      <c r="AJ636" s="181">
        <f t="shared" si="155"/>
        <v>87</v>
      </c>
      <c r="AK636" s="180">
        <f t="shared" ref="AK636:AK687" si="161">Q636-AI636</f>
        <v>1950000</v>
      </c>
      <c r="AL636" s="181">
        <f t="shared" si="157"/>
        <v>13</v>
      </c>
      <c r="AM636" s="243"/>
    </row>
    <row r="637" spans="1:39" s="297" customFormat="1" ht="31.5" customHeight="1" x14ac:dyDescent="0.25">
      <c r="A637" s="227">
        <f>SUM(A627+1)</f>
        <v>76</v>
      </c>
      <c r="B637" s="462"/>
      <c r="C637" s="462"/>
      <c r="D637" s="462"/>
      <c r="E637" s="462"/>
      <c r="F637" s="462"/>
      <c r="G637" s="462"/>
      <c r="H637" s="462"/>
      <c r="I637" s="461"/>
      <c r="J637" s="304" t="s">
        <v>529</v>
      </c>
      <c r="K637" s="230"/>
      <c r="L637" s="294"/>
      <c r="M637" s="610" t="s">
        <v>209</v>
      </c>
      <c r="N637" s="612"/>
      <c r="O637" s="309"/>
      <c r="P637" s="231"/>
      <c r="Q637" s="231">
        <f>SUM(Q638:Q643)</f>
        <v>60110918</v>
      </c>
      <c r="R637" s="233">
        <f>Q637/Q$248*100</f>
        <v>0.50395456459636756</v>
      </c>
      <c r="S637" s="233">
        <v>100</v>
      </c>
      <c r="T637" s="231">
        <f t="shared" si="159"/>
        <v>24.953869445148051</v>
      </c>
      <c r="U637" s="231">
        <f t="shared" si="122"/>
        <v>0.12575616411224186</v>
      </c>
      <c r="V637" s="296">
        <f t="shared" si="142"/>
        <v>75.046130554851942</v>
      </c>
      <c r="W637" s="231"/>
      <c r="X637" s="231"/>
      <c r="Y637" s="231"/>
      <c r="Z637" s="231"/>
      <c r="AA637" s="231"/>
      <c r="AB637" s="231"/>
      <c r="AC637" s="231"/>
      <c r="AD637" s="231"/>
      <c r="AE637" s="231"/>
      <c r="AF637" s="231"/>
      <c r="AG637" s="231"/>
      <c r="AH637" s="231"/>
      <c r="AI637" s="231">
        <f>SUM(AI638:AI643)</f>
        <v>15000000</v>
      </c>
      <c r="AJ637" s="233">
        <f t="shared" si="155"/>
        <v>24.953869445148051</v>
      </c>
      <c r="AK637" s="231">
        <f t="shared" si="161"/>
        <v>45110918</v>
      </c>
      <c r="AL637" s="233">
        <f t="shared" si="157"/>
        <v>75.046130554851956</v>
      </c>
      <c r="AM637" s="227"/>
    </row>
    <row r="638" spans="1:39" ht="24.75" customHeight="1" x14ac:dyDescent="0.25">
      <c r="A638" s="243"/>
      <c r="B638" s="457"/>
      <c r="C638" s="457"/>
      <c r="D638" s="457"/>
      <c r="E638" s="457"/>
      <c r="F638" s="457"/>
      <c r="G638" s="457"/>
      <c r="H638" s="457"/>
      <c r="I638" s="458"/>
      <c r="J638" s="457" t="s">
        <v>347</v>
      </c>
      <c r="K638" s="245"/>
      <c r="L638" s="257"/>
      <c r="M638" s="591" t="s">
        <v>348</v>
      </c>
      <c r="N638" s="592"/>
      <c r="O638" s="179"/>
      <c r="P638" s="180"/>
      <c r="Q638" s="180">
        <v>13900000</v>
      </c>
      <c r="R638" s="181">
        <f t="shared" ref="R638:R643" si="162">Q638/Q$637*100</f>
        <v>23.123919019170529</v>
      </c>
      <c r="S638" s="181">
        <v>100</v>
      </c>
      <c r="T638" s="180">
        <f t="shared" si="159"/>
        <v>0</v>
      </c>
      <c r="U638" s="180">
        <f t="shared" si="122"/>
        <v>0</v>
      </c>
      <c r="V638" s="182">
        <f t="shared" si="142"/>
        <v>100</v>
      </c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  <c r="AG638" s="180"/>
      <c r="AH638" s="180"/>
      <c r="AI638" s="180">
        <v>0</v>
      </c>
      <c r="AJ638" s="181">
        <f t="shared" si="155"/>
        <v>0</v>
      </c>
      <c r="AK638" s="180">
        <f t="shared" si="161"/>
        <v>13900000</v>
      </c>
      <c r="AL638" s="181">
        <f t="shared" si="157"/>
        <v>100</v>
      </c>
      <c r="AM638" s="243"/>
    </row>
    <row r="639" spans="1:39" ht="24.75" customHeight="1" x14ac:dyDescent="0.25">
      <c r="A639" s="243"/>
      <c r="B639" s="457"/>
      <c r="C639" s="457"/>
      <c r="D639" s="457"/>
      <c r="E639" s="457"/>
      <c r="F639" s="457"/>
      <c r="G639" s="457"/>
      <c r="H639" s="457"/>
      <c r="I639" s="458"/>
      <c r="J639" s="457" t="s">
        <v>251</v>
      </c>
      <c r="K639" s="245"/>
      <c r="L639" s="257"/>
      <c r="M639" s="591" t="s">
        <v>324</v>
      </c>
      <c r="N639" s="592"/>
      <c r="O639" s="179"/>
      <c r="P639" s="180"/>
      <c r="Q639" s="180">
        <v>5710918</v>
      </c>
      <c r="R639" s="181">
        <f t="shared" si="162"/>
        <v>9.5006334789297355</v>
      </c>
      <c r="S639" s="181">
        <v>100</v>
      </c>
      <c r="T639" s="180">
        <f t="shared" si="159"/>
        <v>43.775799267298183</v>
      </c>
      <c r="U639" s="180">
        <f t="shared" si="122"/>
        <v>4.1589782408580085</v>
      </c>
      <c r="V639" s="182">
        <f t="shared" si="142"/>
        <v>56.224200732701817</v>
      </c>
      <c r="W639" s="180"/>
      <c r="X639" s="180"/>
      <c r="Y639" s="180"/>
      <c r="Z639" s="180"/>
      <c r="AA639" s="180"/>
      <c r="AB639" s="180"/>
      <c r="AC639" s="180"/>
      <c r="AD639" s="180"/>
      <c r="AE639" s="180"/>
      <c r="AF639" s="180"/>
      <c r="AG639" s="180"/>
      <c r="AH639" s="180"/>
      <c r="AI639" s="180">
        <f>500000+500000+500000+500000+500000</f>
        <v>2500000</v>
      </c>
      <c r="AJ639" s="181">
        <f t="shared" si="155"/>
        <v>43.775799267298183</v>
      </c>
      <c r="AK639" s="180">
        <f t="shared" si="161"/>
        <v>3210918</v>
      </c>
      <c r="AL639" s="181">
        <f t="shared" si="157"/>
        <v>56.22420073270181</v>
      </c>
      <c r="AM639" s="243"/>
    </row>
    <row r="640" spans="1:39" ht="33" customHeight="1" x14ac:dyDescent="0.25">
      <c r="A640" s="243"/>
      <c r="B640" s="457"/>
      <c r="C640" s="457"/>
      <c r="D640" s="457"/>
      <c r="E640" s="457"/>
      <c r="F640" s="457"/>
      <c r="G640" s="457"/>
      <c r="H640" s="457"/>
      <c r="I640" s="458"/>
      <c r="J640" s="457" t="s">
        <v>318</v>
      </c>
      <c r="K640" s="245"/>
      <c r="L640" s="257"/>
      <c r="M640" s="591" t="s">
        <v>352</v>
      </c>
      <c r="N640" s="592"/>
      <c r="O640" s="179"/>
      <c r="P640" s="180"/>
      <c r="Q640" s="180">
        <v>12000000</v>
      </c>
      <c r="R640" s="181">
        <f t="shared" si="162"/>
        <v>19.963095556118439</v>
      </c>
      <c r="S640" s="181">
        <v>100</v>
      </c>
      <c r="T640" s="180">
        <f t="shared" si="159"/>
        <v>41.666666666666671</v>
      </c>
      <c r="U640" s="180">
        <f t="shared" si="122"/>
        <v>8.317956481716017</v>
      </c>
      <c r="V640" s="182">
        <f t="shared" si="142"/>
        <v>58.333333333333329</v>
      </c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  <c r="AG640" s="180"/>
      <c r="AH640" s="180"/>
      <c r="AI640" s="180">
        <f>1000000+1000000+1000000+1000000+1000000</f>
        <v>5000000</v>
      </c>
      <c r="AJ640" s="181">
        <f t="shared" si="155"/>
        <v>41.666666666666671</v>
      </c>
      <c r="AK640" s="180">
        <f t="shared" si="161"/>
        <v>7000000</v>
      </c>
      <c r="AL640" s="181">
        <f t="shared" si="157"/>
        <v>58.333333333333336</v>
      </c>
      <c r="AM640" s="243"/>
    </row>
    <row r="641" spans="1:39" ht="24.75" customHeight="1" x14ac:dyDescent="0.25">
      <c r="A641" s="243"/>
      <c r="B641" s="457"/>
      <c r="C641" s="457"/>
      <c r="D641" s="457"/>
      <c r="E641" s="457"/>
      <c r="F641" s="457"/>
      <c r="G641" s="457"/>
      <c r="H641" s="457"/>
      <c r="I641" s="458"/>
      <c r="J641" s="457" t="s">
        <v>315</v>
      </c>
      <c r="K641" s="245"/>
      <c r="L641" s="257"/>
      <c r="M641" s="591" t="s">
        <v>428</v>
      </c>
      <c r="N641" s="592"/>
      <c r="O641" s="179"/>
      <c r="P641" s="180"/>
      <c r="Q641" s="180">
        <v>6000000</v>
      </c>
      <c r="R641" s="181">
        <f t="shared" si="162"/>
        <v>9.9815477780592197</v>
      </c>
      <c r="S641" s="181">
        <v>100</v>
      </c>
      <c r="T641" s="180">
        <f t="shared" si="159"/>
        <v>41.666666666666671</v>
      </c>
      <c r="U641" s="180">
        <f t="shared" si="122"/>
        <v>4.1589782408580085</v>
      </c>
      <c r="V641" s="182">
        <f t="shared" si="142"/>
        <v>58.333333333333329</v>
      </c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  <c r="AG641" s="180"/>
      <c r="AH641" s="180"/>
      <c r="AI641" s="180">
        <f>500000+500000+500000+500000+500000</f>
        <v>2500000</v>
      </c>
      <c r="AJ641" s="181">
        <f t="shared" si="155"/>
        <v>41.666666666666671</v>
      </c>
      <c r="AK641" s="180">
        <f t="shared" si="161"/>
        <v>3500000</v>
      </c>
      <c r="AL641" s="181">
        <f t="shared" si="157"/>
        <v>58.333333333333336</v>
      </c>
      <c r="AM641" s="243"/>
    </row>
    <row r="642" spans="1:39" ht="24.75" customHeight="1" x14ac:dyDescent="0.25">
      <c r="A642" s="243"/>
      <c r="B642" s="457"/>
      <c r="C642" s="457"/>
      <c r="D642" s="457"/>
      <c r="E642" s="457"/>
      <c r="F642" s="457"/>
      <c r="G642" s="457"/>
      <c r="H642" s="457"/>
      <c r="I642" s="458"/>
      <c r="J642" s="457" t="s">
        <v>318</v>
      </c>
      <c r="K642" s="245"/>
      <c r="L642" s="257"/>
      <c r="M642" s="591" t="s">
        <v>319</v>
      </c>
      <c r="N642" s="592"/>
      <c r="O642" s="179"/>
      <c r="P642" s="180"/>
      <c r="Q642" s="180">
        <v>10500000</v>
      </c>
      <c r="R642" s="181">
        <f t="shared" si="162"/>
        <v>17.467708611603637</v>
      </c>
      <c r="S642" s="181">
        <v>100</v>
      </c>
      <c r="T642" s="180">
        <f t="shared" si="159"/>
        <v>0</v>
      </c>
      <c r="U642" s="180">
        <f t="shared" si="122"/>
        <v>0</v>
      </c>
      <c r="V642" s="182">
        <f t="shared" si="142"/>
        <v>100</v>
      </c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  <c r="AG642" s="180"/>
      <c r="AH642" s="180"/>
      <c r="AI642" s="180">
        <v>0</v>
      </c>
      <c r="AJ642" s="181">
        <f t="shared" si="155"/>
        <v>0</v>
      </c>
      <c r="AK642" s="180">
        <f t="shared" si="161"/>
        <v>10500000</v>
      </c>
      <c r="AL642" s="181">
        <f t="shared" si="157"/>
        <v>100</v>
      </c>
      <c r="AM642" s="243"/>
    </row>
    <row r="643" spans="1:39" ht="24.75" customHeight="1" x14ac:dyDescent="0.25">
      <c r="A643" s="243"/>
      <c r="B643" s="457"/>
      <c r="C643" s="457"/>
      <c r="D643" s="457"/>
      <c r="E643" s="457"/>
      <c r="F643" s="457"/>
      <c r="G643" s="457"/>
      <c r="H643" s="457"/>
      <c r="I643" s="458"/>
      <c r="J643" s="457" t="s">
        <v>624</v>
      </c>
      <c r="K643" s="245"/>
      <c r="L643" s="257"/>
      <c r="M643" s="591" t="s">
        <v>281</v>
      </c>
      <c r="N643" s="592"/>
      <c r="O643" s="179"/>
      <c r="P643" s="180"/>
      <c r="Q643" s="180">
        <v>12000000</v>
      </c>
      <c r="R643" s="181">
        <f t="shared" si="162"/>
        <v>19.963095556118439</v>
      </c>
      <c r="S643" s="181">
        <v>100</v>
      </c>
      <c r="T643" s="180">
        <f t="shared" si="159"/>
        <v>41.666666666666671</v>
      </c>
      <c r="U643" s="180">
        <f t="shared" si="122"/>
        <v>8.317956481716017</v>
      </c>
      <c r="V643" s="182">
        <f t="shared" si="142"/>
        <v>58.333333333333329</v>
      </c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  <c r="AG643" s="180"/>
      <c r="AH643" s="180"/>
      <c r="AI643" s="180">
        <f>1000000+1000000+1000000+1000000+1000000</f>
        <v>5000000</v>
      </c>
      <c r="AJ643" s="181">
        <f t="shared" si="155"/>
        <v>41.666666666666671</v>
      </c>
      <c r="AK643" s="180">
        <f t="shared" si="161"/>
        <v>7000000</v>
      </c>
      <c r="AL643" s="181">
        <f t="shared" si="157"/>
        <v>58.333333333333336</v>
      </c>
      <c r="AM643" s="243"/>
    </row>
    <row r="644" spans="1:39" ht="38.25" customHeight="1" x14ac:dyDescent="0.25">
      <c r="A644" s="227">
        <v>77</v>
      </c>
      <c r="B644" s="457"/>
      <c r="C644" s="457"/>
      <c r="D644" s="457"/>
      <c r="E644" s="457"/>
      <c r="F644" s="457"/>
      <c r="G644" s="457"/>
      <c r="H644" s="457"/>
      <c r="I644" s="458"/>
      <c r="J644" s="304" t="s">
        <v>631</v>
      </c>
      <c r="K644" s="230"/>
      <c r="L644" s="294"/>
      <c r="M644" s="610" t="s">
        <v>632</v>
      </c>
      <c r="N644" s="612"/>
      <c r="O644" s="309"/>
      <c r="P644" s="231"/>
      <c r="Q644" s="231">
        <f>SUM(Q645:Q658)</f>
        <v>334885000</v>
      </c>
      <c r="R644" s="233">
        <f>Q644/Q$248*100</f>
        <v>2.8075902012485408</v>
      </c>
      <c r="S644" s="233">
        <v>100</v>
      </c>
      <c r="T644" s="231">
        <f t="shared" si="159"/>
        <v>17.767293249921615</v>
      </c>
      <c r="U644" s="231">
        <f t="shared" si="122"/>
        <v>0.49883278431189271</v>
      </c>
      <c r="V644" s="296">
        <f t="shared" si="142"/>
        <v>82.232706750078393</v>
      </c>
      <c r="W644" s="231"/>
      <c r="X644" s="231"/>
      <c r="Y644" s="231"/>
      <c r="Z644" s="231"/>
      <c r="AA644" s="231"/>
      <c r="AB644" s="231"/>
      <c r="AC644" s="231"/>
      <c r="AD644" s="231"/>
      <c r="AE644" s="231"/>
      <c r="AF644" s="231"/>
      <c r="AG644" s="231"/>
      <c r="AH644" s="231"/>
      <c r="AI644" s="231">
        <f>SUM(AI645:AI650)</f>
        <v>59500000</v>
      </c>
      <c r="AJ644" s="233">
        <f t="shared" si="155"/>
        <v>17.767293249921615</v>
      </c>
      <c r="AK644" s="231">
        <f t="shared" si="161"/>
        <v>275385000</v>
      </c>
      <c r="AL644" s="233">
        <f t="shared" si="157"/>
        <v>82.232706750078393</v>
      </c>
      <c r="AM644" s="243"/>
    </row>
    <row r="645" spans="1:39" ht="24.75" customHeight="1" x14ac:dyDescent="0.25">
      <c r="A645" s="243"/>
      <c r="B645" s="457"/>
      <c r="C645" s="457"/>
      <c r="D645" s="457"/>
      <c r="E645" s="457"/>
      <c r="F645" s="457"/>
      <c r="G645" s="457"/>
      <c r="H645" s="457"/>
      <c r="I645" s="458"/>
      <c r="J645" s="457" t="s">
        <v>257</v>
      </c>
      <c r="K645" s="245"/>
      <c r="L645" s="257"/>
      <c r="M645" s="591" t="s">
        <v>258</v>
      </c>
      <c r="N645" s="592"/>
      <c r="O645" s="179"/>
      <c r="P645" s="180"/>
      <c r="Q645" s="180">
        <v>560000</v>
      </c>
      <c r="R645" s="181">
        <f t="shared" ref="R645:R658" si="163">Q645/Q$644*100</f>
        <v>0.16722158352867403</v>
      </c>
      <c r="S645" s="181">
        <v>100</v>
      </c>
      <c r="T645" s="180">
        <f t="shared" si="159"/>
        <v>0</v>
      </c>
      <c r="U645" s="180">
        <f t="shared" si="122"/>
        <v>0</v>
      </c>
      <c r="V645" s="182">
        <f t="shared" si="142"/>
        <v>100</v>
      </c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  <c r="AG645" s="180"/>
      <c r="AH645" s="180"/>
      <c r="AI645" s="180">
        <v>0</v>
      </c>
      <c r="AJ645" s="181">
        <f t="shared" si="155"/>
        <v>0</v>
      </c>
      <c r="AK645" s="180">
        <f t="shared" si="161"/>
        <v>560000</v>
      </c>
      <c r="AL645" s="181">
        <f t="shared" si="157"/>
        <v>100</v>
      </c>
      <c r="AM645" s="243"/>
    </row>
    <row r="646" spans="1:39" ht="24.75" customHeight="1" x14ac:dyDescent="0.25">
      <c r="A646" s="243"/>
      <c r="B646" s="457"/>
      <c r="C646" s="457"/>
      <c r="D646" s="457"/>
      <c r="E646" s="457"/>
      <c r="F646" s="457"/>
      <c r="G646" s="457"/>
      <c r="H646" s="457"/>
      <c r="I646" s="458"/>
      <c r="J646" s="457" t="s">
        <v>633</v>
      </c>
      <c r="K646" s="245"/>
      <c r="L646" s="257"/>
      <c r="M646" s="591" t="s">
        <v>260</v>
      </c>
      <c r="N646" s="592"/>
      <c r="O646" s="179"/>
      <c r="P646" s="180"/>
      <c r="Q646" s="180">
        <v>600000</v>
      </c>
      <c r="R646" s="181">
        <f t="shared" si="163"/>
        <v>0.17916598235215075</v>
      </c>
      <c r="S646" s="181">
        <v>100</v>
      </c>
      <c r="T646" s="180">
        <f t="shared" si="159"/>
        <v>0</v>
      </c>
      <c r="U646" s="180">
        <f t="shared" si="122"/>
        <v>0</v>
      </c>
      <c r="V646" s="182">
        <f t="shared" si="142"/>
        <v>100</v>
      </c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  <c r="AG646" s="180"/>
      <c r="AH646" s="180"/>
      <c r="AI646" s="180">
        <v>0</v>
      </c>
      <c r="AJ646" s="181">
        <f t="shared" si="155"/>
        <v>0</v>
      </c>
      <c r="AK646" s="180">
        <f t="shared" si="161"/>
        <v>600000</v>
      </c>
      <c r="AL646" s="181">
        <f t="shared" si="157"/>
        <v>100</v>
      </c>
      <c r="AM646" s="243"/>
    </row>
    <row r="647" spans="1:39" ht="24.75" customHeight="1" x14ac:dyDescent="0.25">
      <c r="A647" s="243"/>
      <c r="B647" s="457"/>
      <c r="C647" s="457"/>
      <c r="D647" s="457"/>
      <c r="E647" s="457"/>
      <c r="F647" s="457"/>
      <c r="G647" s="457"/>
      <c r="H647" s="457"/>
      <c r="I647" s="458"/>
      <c r="J647" s="457" t="s">
        <v>375</v>
      </c>
      <c r="K647" s="245"/>
      <c r="L647" s="257"/>
      <c r="M647" s="591" t="s">
        <v>376</v>
      </c>
      <c r="N647" s="612"/>
      <c r="O647" s="179"/>
      <c r="P647" s="180"/>
      <c r="Q647" s="180">
        <v>60000000</v>
      </c>
      <c r="R647" s="181">
        <f t="shared" si="163"/>
        <v>17.916598235215073</v>
      </c>
      <c r="S647" s="181">
        <v>100</v>
      </c>
      <c r="T647" s="180">
        <f t="shared" si="159"/>
        <v>99.166666666666671</v>
      </c>
      <c r="U647" s="180">
        <f t="shared" si="122"/>
        <v>17.767293249921615</v>
      </c>
      <c r="V647" s="182">
        <f t="shared" si="142"/>
        <v>0.8333333333333286</v>
      </c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  <c r="AG647" s="180"/>
      <c r="AH647" s="180"/>
      <c r="AI647" s="180">
        <v>59500000</v>
      </c>
      <c r="AJ647" s="181">
        <f t="shared" si="155"/>
        <v>99.166666666666671</v>
      </c>
      <c r="AK647" s="180">
        <f t="shared" si="161"/>
        <v>500000</v>
      </c>
      <c r="AL647" s="181">
        <f t="shared" si="157"/>
        <v>0.83333333333333337</v>
      </c>
      <c r="AM647" s="243"/>
    </row>
    <row r="648" spans="1:39" ht="24.75" customHeight="1" x14ac:dyDescent="0.25">
      <c r="A648" s="243"/>
      <c r="B648" s="457"/>
      <c r="C648" s="457"/>
      <c r="D648" s="457"/>
      <c r="E648" s="457"/>
      <c r="F648" s="457"/>
      <c r="G648" s="457"/>
      <c r="H648" s="457"/>
      <c r="I648" s="458"/>
      <c r="J648" s="457" t="s">
        <v>267</v>
      </c>
      <c r="K648" s="245"/>
      <c r="L648" s="257"/>
      <c r="M648" s="591" t="s">
        <v>268</v>
      </c>
      <c r="N648" s="592"/>
      <c r="O648" s="179"/>
      <c r="P648" s="180"/>
      <c r="Q648" s="180">
        <v>12500000</v>
      </c>
      <c r="R648" s="181">
        <f t="shared" si="163"/>
        <v>3.7326246323364738</v>
      </c>
      <c r="S648" s="181">
        <v>100</v>
      </c>
      <c r="T648" s="180">
        <f t="shared" si="159"/>
        <v>0</v>
      </c>
      <c r="U648" s="180">
        <f t="shared" si="122"/>
        <v>0</v>
      </c>
      <c r="V648" s="182">
        <f t="shared" si="142"/>
        <v>100</v>
      </c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  <c r="AG648" s="180"/>
      <c r="AH648" s="180"/>
      <c r="AI648" s="180">
        <v>0</v>
      </c>
      <c r="AJ648" s="181">
        <f t="shared" si="155"/>
        <v>0</v>
      </c>
      <c r="AK648" s="180">
        <f t="shared" si="161"/>
        <v>12500000</v>
      </c>
      <c r="AL648" s="181">
        <f t="shared" si="157"/>
        <v>100</v>
      </c>
      <c r="AM648" s="243"/>
    </row>
    <row r="649" spans="1:39" ht="24.75" customHeight="1" x14ac:dyDescent="0.25">
      <c r="A649" s="243"/>
      <c r="B649" s="457"/>
      <c r="C649" s="457"/>
      <c r="D649" s="457"/>
      <c r="E649" s="457"/>
      <c r="F649" s="457"/>
      <c r="G649" s="457"/>
      <c r="H649" s="457"/>
      <c r="I649" s="458"/>
      <c r="J649" s="457" t="s">
        <v>332</v>
      </c>
      <c r="K649" s="245"/>
      <c r="L649" s="257"/>
      <c r="M649" s="591" t="s">
        <v>351</v>
      </c>
      <c r="N649" s="592"/>
      <c r="O649" s="179"/>
      <c r="P649" s="180"/>
      <c r="Q649" s="180">
        <v>1000000</v>
      </c>
      <c r="R649" s="181">
        <f t="shared" si="163"/>
        <v>0.29860997058691791</v>
      </c>
      <c r="S649" s="181">
        <v>100</v>
      </c>
      <c r="T649" s="180">
        <f t="shared" si="159"/>
        <v>0</v>
      </c>
      <c r="U649" s="180">
        <f t="shared" si="122"/>
        <v>0</v>
      </c>
      <c r="V649" s="182">
        <f t="shared" si="142"/>
        <v>100</v>
      </c>
      <c r="W649" s="180"/>
      <c r="X649" s="180"/>
      <c r="Y649" s="180"/>
      <c r="Z649" s="180"/>
      <c r="AA649" s="180"/>
      <c r="AB649" s="180"/>
      <c r="AC649" s="180"/>
      <c r="AD649" s="180"/>
      <c r="AE649" s="180"/>
      <c r="AF649" s="180"/>
      <c r="AG649" s="180"/>
      <c r="AH649" s="180"/>
      <c r="AI649" s="180">
        <v>0</v>
      </c>
      <c r="AJ649" s="181">
        <f t="shared" si="155"/>
        <v>0</v>
      </c>
      <c r="AK649" s="180">
        <f t="shared" si="161"/>
        <v>1000000</v>
      </c>
      <c r="AL649" s="181">
        <f t="shared" si="157"/>
        <v>100</v>
      </c>
      <c r="AM649" s="243"/>
    </row>
    <row r="650" spans="1:39" ht="24.75" customHeight="1" x14ac:dyDescent="0.25">
      <c r="A650" s="243"/>
      <c r="B650" s="457"/>
      <c r="C650" s="457"/>
      <c r="D650" s="457"/>
      <c r="E650" s="457"/>
      <c r="F650" s="457"/>
      <c r="G650" s="457"/>
      <c r="H650" s="457"/>
      <c r="I650" s="458"/>
      <c r="J650" s="457" t="s">
        <v>315</v>
      </c>
      <c r="K650" s="245"/>
      <c r="L650" s="257"/>
      <c r="M650" s="591" t="s">
        <v>271</v>
      </c>
      <c r="N650" s="592"/>
      <c r="O650" s="179"/>
      <c r="P650" s="180"/>
      <c r="Q650" s="180">
        <v>975000</v>
      </c>
      <c r="R650" s="181">
        <f t="shared" si="163"/>
        <v>0.29114472132224495</v>
      </c>
      <c r="S650" s="181">
        <v>100</v>
      </c>
      <c r="T650" s="180">
        <f t="shared" si="159"/>
        <v>0</v>
      </c>
      <c r="U650" s="180">
        <f t="shared" si="122"/>
        <v>0</v>
      </c>
      <c r="V650" s="182">
        <f t="shared" si="142"/>
        <v>100</v>
      </c>
      <c r="W650" s="180"/>
      <c r="X650" s="180"/>
      <c r="Y650" s="180"/>
      <c r="Z650" s="180"/>
      <c r="AA650" s="180"/>
      <c r="AB650" s="180"/>
      <c r="AC650" s="180"/>
      <c r="AD650" s="180"/>
      <c r="AE650" s="180"/>
      <c r="AF650" s="180"/>
      <c r="AG650" s="180"/>
      <c r="AH650" s="180"/>
      <c r="AI650" s="180">
        <v>0</v>
      </c>
      <c r="AJ650" s="181">
        <f t="shared" si="155"/>
        <v>0</v>
      </c>
      <c r="AK650" s="180">
        <f t="shared" si="161"/>
        <v>975000</v>
      </c>
      <c r="AL650" s="181">
        <f t="shared" si="157"/>
        <v>100</v>
      </c>
      <c r="AM650" s="243"/>
    </row>
    <row r="651" spans="1:39" ht="24.75" customHeight="1" x14ac:dyDescent="0.25">
      <c r="A651" s="243"/>
      <c r="B651" s="457"/>
      <c r="C651" s="457"/>
      <c r="D651" s="457"/>
      <c r="E651" s="457"/>
      <c r="F651" s="457"/>
      <c r="G651" s="457"/>
      <c r="H651" s="457"/>
      <c r="I651" s="458"/>
      <c r="J651" s="457" t="s">
        <v>501</v>
      </c>
      <c r="K651" s="245"/>
      <c r="L651" s="257"/>
      <c r="M651" s="591" t="s">
        <v>317</v>
      </c>
      <c r="N651" s="592"/>
      <c r="O651" s="179"/>
      <c r="P651" s="180"/>
      <c r="Q651" s="180">
        <v>400000</v>
      </c>
      <c r="R651" s="181">
        <f t="shared" si="163"/>
        <v>0.11944398823476715</v>
      </c>
      <c r="S651" s="181">
        <v>100</v>
      </c>
      <c r="T651" s="180">
        <f t="shared" si="159"/>
        <v>0</v>
      </c>
      <c r="U651" s="180">
        <f t="shared" si="122"/>
        <v>0</v>
      </c>
      <c r="V651" s="182">
        <f t="shared" si="142"/>
        <v>100</v>
      </c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>
        <v>0</v>
      </c>
      <c r="AJ651" s="181">
        <f t="shared" si="155"/>
        <v>0</v>
      </c>
      <c r="AK651" s="180">
        <f t="shared" si="161"/>
        <v>400000</v>
      </c>
      <c r="AL651" s="181">
        <f t="shared" si="157"/>
        <v>100</v>
      </c>
      <c r="AM651" s="243"/>
    </row>
    <row r="652" spans="1:39" ht="24.75" customHeight="1" x14ac:dyDescent="0.25">
      <c r="A652" s="243"/>
      <c r="B652" s="457"/>
      <c r="C652" s="457"/>
      <c r="D652" s="457"/>
      <c r="E652" s="457"/>
      <c r="F652" s="457"/>
      <c r="G652" s="457"/>
      <c r="H652" s="457"/>
      <c r="I652" s="458"/>
      <c r="J652" s="457" t="s">
        <v>318</v>
      </c>
      <c r="K652" s="245"/>
      <c r="L652" s="257"/>
      <c r="M652" s="591" t="s">
        <v>319</v>
      </c>
      <c r="N652" s="592"/>
      <c r="O652" s="179"/>
      <c r="P652" s="180"/>
      <c r="Q652" s="180">
        <v>21000000</v>
      </c>
      <c r="R652" s="181">
        <f t="shared" si="163"/>
        <v>6.2708093823252762</v>
      </c>
      <c r="S652" s="181">
        <v>100</v>
      </c>
      <c r="T652" s="180">
        <f t="shared" si="159"/>
        <v>0</v>
      </c>
      <c r="U652" s="180">
        <f t="shared" si="122"/>
        <v>0</v>
      </c>
      <c r="V652" s="182">
        <f t="shared" si="142"/>
        <v>100</v>
      </c>
      <c r="W652" s="180"/>
      <c r="X652" s="180"/>
      <c r="Y652" s="180"/>
      <c r="Z652" s="180"/>
      <c r="AA652" s="180"/>
      <c r="AB652" s="180"/>
      <c r="AC652" s="180"/>
      <c r="AD652" s="180"/>
      <c r="AE652" s="180"/>
      <c r="AF652" s="180"/>
      <c r="AG652" s="180"/>
      <c r="AH652" s="180"/>
      <c r="AI652" s="180">
        <v>0</v>
      </c>
      <c r="AJ652" s="181">
        <f t="shared" si="155"/>
        <v>0</v>
      </c>
      <c r="AK652" s="180">
        <f t="shared" si="161"/>
        <v>21000000</v>
      </c>
      <c r="AL652" s="181">
        <f t="shared" si="157"/>
        <v>100</v>
      </c>
      <c r="AM652" s="243"/>
    </row>
    <row r="653" spans="1:39" ht="24.75" customHeight="1" x14ac:dyDescent="0.25">
      <c r="A653" s="243"/>
      <c r="B653" s="457"/>
      <c r="C653" s="457"/>
      <c r="D653" s="457"/>
      <c r="E653" s="457"/>
      <c r="F653" s="457"/>
      <c r="G653" s="457"/>
      <c r="H653" s="457"/>
      <c r="I653" s="458"/>
      <c r="J653" s="457" t="s">
        <v>280</v>
      </c>
      <c r="K653" s="245"/>
      <c r="L653" s="257"/>
      <c r="M653" s="591" t="s">
        <v>281</v>
      </c>
      <c r="N653" s="612"/>
      <c r="O653" s="179"/>
      <c r="P653" s="180"/>
      <c r="Q653" s="180">
        <v>1250000</v>
      </c>
      <c r="R653" s="181">
        <f t="shared" si="163"/>
        <v>0.37326246323364737</v>
      </c>
      <c r="S653" s="181">
        <v>100</v>
      </c>
      <c r="T653" s="180">
        <f t="shared" si="159"/>
        <v>0</v>
      </c>
      <c r="U653" s="180">
        <f t="shared" si="122"/>
        <v>0</v>
      </c>
      <c r="V653" s="182">
        <f t="shared" si="142"/>
        <v>100</v>
      </c>
      <c r="W653" s="180"/>
      <c r="X653" s="180"/>
      <c r="Y653" s="180"/>
      <c r="Z653" s="180"/>
      <c r="AA653" s="180"/>
      <c r="AB653" s="180"/>
      <c r="AC653" s="180"/>
      <c r="AD653" s="180"/>
      <c r="AE653" s="180"/>
      <c r="AF653" s="180"/>
      <c r="AG653" s="180"/>
      <c r="AH653" s="180"/>
      <c r="AI653" s="180">
        <v>0</v>
      </c>
      <c r="AJ653" s="181">
        <f t="shared" si="155"/>
        <v>0</v>
      </c>
      <c r="AK653" s="180">
        <f t="shared" si="161"/>
        <v>1250000</v>
      </c>
      <c r="AL653" s="181">
        <f t="shared" si="157"/>
        <v>100</v>
      </c>
      <c r="AM653" s="243"/>
    </row>
    <row r="654" spans="1:39" ht="24.75" customHeight="1" x14ac:dyDescent="0.25">
      <c r="A654" s="243"/>
      <c r="B654" s="457"/>
      <c r="C654" s="457"/>
      <c r="D654" s="457"/>
      <c r="E654" s="457"/>
      <c r="F654" s="457"/>
      <c r="G654" s="457"/>
      <c r="H654" s="457"/>
      <c r="I654" s="458"/>
      <c r="J654" s="457" t="s">
        <v>284</v>
      </c>
      <c r="K654" s="245"/>
      <c r="L654" s="257"/>
      <c r="M654" s="591" t="s">
        <v>285</v>
      </c>
      <c r="N654" s="592"/>
      <c r="O654" s="179"/>
      <c r="P654" s="180"/>
      <c r="Q654" s="180">
        <v>2000000</v>
      </c>
      <c r="R654" s="181">
        <f t="shared" si="163"/>
        <v>0.59721994117383581</v>
      </c>
      <c r="S654" s="181">
        <v>100</v>
      </c>
      <c r="T654" s="180">
        <f t="shared" si="159"/>
        <v>0</v>
      </c>
      <c r="U654" s="180">
        <f t="shared" si="122"/>
        <v>0</v>
      </c>
      <c r="V654" s="182">
        <f t="shared" si="142"/>
        <v>100</v>
      </c>
      <c r="W654" s="180"/>
      <c r="X654" s="180"/>
      <c r="Y654" s="180"/>
      <c r="Z654" s="180"/>
      <c r="AA654" s="180"/>
      <c r="AB654" s="180"/>
      <c r="AC654" s="180"/>
      <c r="AD654" s="180"/>
      <c r="AE654" s="180"/>
      <c r="AF654" s="180"/>
      <c r="AG654" s="180"/>
      <c r="AH654" s="180"/>
      <c r="AI654" s="180">
        <v>0</v>
      </c>
      <c r="AJ654" s="181">
        <f t="shared" si="155"/>
        <v>0</v>
      </c>
      <c r="AK654" s="180">
        <f t="shared" si="161"/>
        <v>2000000</v>
      </c>
      <c r="AL654" s="181">
        <f t="shared" si="157"/>
        <v>100</v>
      </c>
      <c r="AM654" s="243"/>
    </row>
    <row r="655" spans="1:39" ht="24.75" customHeight="1" x14ac:dyDescent="0.25">
      <c r="A655" s="243"/>
      <c r="B655" s="457"/>
      <c r="C655" s="457"/>
      <c r="D655" s="457"/>
      <c r="E655" s="457"/>
      <c r="F655" s="457"/>
      <c r="G655" s="457"/>
      <c r="H655" s="457"/>
      <c r="I655" s="458"/>
      <c r="J655" s="457" t="s">
        <v>282</v>
      </c>
      <c r="K655" s="245"/>
      <c r="L655" s="257"/>
      <c r="M655" s="591" t="s">
        <v>283</v>
      </c>
      <c r="N655" s="592"/>
      <c r="O655" s="179"/>
      <c r="P655" s="180"/>
      <c r="Q655" s="180">
        <v>210000000</v>
      </c>
      <c r="R655" s="181">
        <f t="shared" si="163"/>
        <v>62.708093823252753</v>
      </c>
      <c r="S655" s="181">
        <v>100</v>
      </c>
      <c r="T655" s="180">
        <f t="shared" si="159"/>
        <v>0</v>
      </c>
      <c r="U655" s="180">
        <f t="shared" si="122"/>
        <v>0</v>
      </c>
      <c r="V655" s="182">
        <f t="shared" si="142"/>
        <v>100</v>
      </c>
      <c r="W655" s="180"/>
      <c r="X655" s="180"/>
      <c r="Y655" s="180"/>
      <c r="Z655" s="180"/>
      <c r="AA655" s="180"/>
      <c r="AB655" s="180"/>
      <c r="AC655" s="180"/>
      <c r="AD655" s="180"/>
      <c r="AE655" s="180"/>
      <c r="AF655" s="180"/>
      <c r="AG655" s="180"/>
      <c r="AH655" s="180"/>
      <c r="AI655" s="180">
        <v>0</v>
      </c>
      <c r="AJ655" s="181">
        <f t="shared" si="155"/>
        <v>0</v>
      </c>
      <c r="AK655" s="180">
        <f t="shared" si="161"/>
        <v>210000000</v>
      </c>
      <c r="AL655" s="181">
        <f t="shared" si="157"/>
        <v>100</v>
      </c>
      <c r="AM655" s="243"/>
    </row>
    <row r="656" spans="1:39" ht="24.75" customHeight="1" x14ac:dyDescent="0.25">
      <c r="A656" s="243"/>
      <c r="B656" s="457"/>
      <c r="C656" s="457"/>
      <c r="D656" s="457"/>
      <c r="E656" s="457"/>
      <c r="F656" s="457"/>
      <c r="G656" s="457"/>
      <c r="H656" s="457"/>
      <c r="I656" s="458"/>
      <c r="J656" s="457" t="s">
        <v>320</v>
      </c>
      <c r="K656" s="245"/>
      <c r="L656" s="257"/>
      <c r="M656" s="591" t="s">
        <v>321</v>
      </c>
      <c r="N656" s="592"/>
      <c r="O656" s="179"/>
      <c r="P656" s="180"/>
      <c r="Q656" s="180">
        <v>5600000</v>
      </c>
      <c r="R656" s="181">
        <f t="shared" si="163"/>
        <v>1.6722158352867402</v>
      </c>
      <c r="S656" s="181">
        <v>100</v>
      </c>
      <c r="T656" s="180">
        <f t="shared" si="159"/>
        <v>0</v>
      </c>
      <c r="U656" s="180">
        <f t="shared" si="122"/>
        <v>0</v>
      </c>
      <c r="V656" s="182">
        <f t="shared" si="142"/>
        <v>100</v>
      </c>
      <c r="W656" s="180"/>
      <c r="X656" s="180"/>
      <c r="Y656" s="180"/>
      <c r="Z656" s="180"/>
      <c r="AA656" s="180"/>
      <c r="AB656" s="180"/>
      <c r="AC656" s="180"/>
      <c r="AD656" s="180"/>
      <c r="AE656" s="180"/>
      <c r="AF656" s="180"/>
      <c r="AG656" s="180"/>
      <c r="AH656" s="180"/>
      <c r="AI656" s="180">
        <v>0</v>
      </c>
      <c r="AJ656" s="181">
        <f t="shared" si="155"/>
        <v>0</v>
      </c>
      <c r="AK656" s="180">
        <f t="shared" si="161"/>
        <v>5600000</v>
      </c>
      <c r="AL656" s="181">
        <f t="shared" si="157"/>
        <v>100</v>
      </c>
      <c r="AM656" s="243"/>
    </row>
    <row r="657" spans="1:39" ht="24.75" customHeight="1" x14ac:dyDescent="0.25">
      <c r="A657" s="243"/>
      <c r="B657" s="457"/>
      <c r="C657" s="457"/>
      <c r="D657" s="457"/>
      <c r="E657" s="457"/>
      <c r="F657" s="457"/>
      <c r="G657" s="457"/>
      <c r="H657" s="457"/>
      <c r="I657" s="458"/>
      <c r="J657" s="457" t="s">
        <v>407</v>
      </c>
      <c r="K657" s="245"/>
      <c r="L657" s="257"/>
      <c r="M657" s="591" t="s">
        <v>634</v>
      </c>
      <c r="N657" s="592"/>
      <c r="O657" s="179"/>
      <c r="P657" s="180"/>
      <c r="Q657" s="180">
        <v>4000000</v>
      </c>
      <c r="R657" s="181">
        <f t="shared" si="163"/>
        <v>1.1944398823476716</v>
      </c>
      <c r="S657" s="181">
        <v>100</v>
      </c>
      <c r="T657" s="180">
        <f t="shared" si="159"/>
        <v>0</v>
      </c>
      <c r="U657" s="180">
        <f t="shared" si="122"/>
        <v>0</v>
      </c>
      <c r="V657" s="182">
        <f t="shared" si="142"/>
        <v>100</v>
      </c>
      <c r="W657" s="180"/>
      <c r="X657" s="180"/>
      <c r="Y657" s="180"/>
      <c r="Z657" s="180"/>
      <c r="AA657" s="180"/>
      <c r="AB657" s="180"/>
      <c r="AC657" s="180"/>
      <c r="AD657" s="180"/>
      <c r="AE657" s="180"/>
      <c r="AF657" s="180"/>
      <c r="AG657" s="180"/>
      <c r="AH657" s="180"/>
      <c r="AI657" s="180">
        <v>0</v>
      </c>
      <c r="AJ657" s="181">
        <f t="shared" si="155"/>
        <v>0</v>
      </c>
      <c r="AK657" s="180">
        <f t="shared" si="161"/>
        <v>4000000</v>
      </c>
      <c r="AL657" s="181">
        <f t="shared" si="157"/>
        <v>100</v>
      </c>
      <c r="AM657" s="243"/>
    </row>
    <row r="658" spans="1:39" ht="24.75" customHeight="1" x14ac:dyDescent="0.25">
      <c r="A658" s="243"/>
      <c r="B658" s="457"/>
      <c r="C658" s="457"/>
      <c r="D658" s="457"/>
      <c r="E658" s="457"/>
      <c r="F658" s="457"/>
      <c r="G658" s="457"/>
      <c r="H658" s="457"/>
      <c r="I658" s="458"/>
      <c r="J658" s="457" t="s">
        <v>372</v>
      </c>
      <c r="K658" s="245"/>
      <c r="L658" s="257"/>
      <c r="M658" s="591" t="s">
        <v>373</v>
      </c>
      <c r="N658" s="592"/>
      <c r="O658" s="179"/>
      <c r="P658" s="180"/>
      <c r="Q658" s="180">
        <v>15000000</v>
      </c>
      <c r="R658" s="181">
        <f t="shared" si="163"/>
        <v>4.4791495588037682</v>
      </c>
      <c r="S658" s="181">
        <v>100</v>
      </c>
      <c r="T658" s="180">
        <f t="shared" si="159"/>
        <v>0</v>
      </c>
      <c r="U658" s="180">
        <f t="shared" si="122"/>
        <v>0</v>
      </c>
      <c r="V658" s="182">
        <f t="shared" si="142"/>
        <v>100</v>
      </c>
      <c r="W658" s="180"/>
      <c r="X658" s="180"/>
      <c r="Y658" s="180"/>
      <c r="Z658" s="180"/>
      <c r="AA658" s="180"/>
      <c r="AB658" s="180"/>
      <c r="AC658" s="180"/>
      <c r="AD658" s="180"/>
      <c r="AE658" s="180"/>
      <c r="AF658" s="180"/>
      <c r="AG658" s="180"/>
      <c r="AH658" s="180"/>
      <c r="AI658" s="180">
        <v>0</v>
      </c>
      <c r="AJ658" s="181">
        <f t="shared" si="155"/>
        <v>0</v>
      </c>
      <c r="AK658" s="180">
        <f t="shared" si="161"/>
        <v>15000000</v>
      </c>
      <c r="AL658" s="181">
        <f t="shared" si="157"/>
        <v>100</v>
      </c>
      <c r="AM658" s="243"/>
    </row>
    <row r="659" spans="1:39" s="297" customFormat="1" ht="28.5" customHeight="1" x14ac:dyDescent="0.25">
      <c r="A659" s="227">
        <v>78</v>
      </c>
      <c r="B659" s="462"/>
      <c r="C659" s="462"/>
      <c r="D659" s="462"/>
      <c r="E659" s="462"/>
      <c r="F659" s="462"/>
      <c r="G659" s="462"/>
      <c r="H659" s="462"/>
      <c r="I659" s="461"/>
      <c r="J659" s="304" t="s">
        <v>530</v>
      </c>
      <c r="K659" s="230"/>
      <c r="L659" s="294"/>
      <c r="M659" s="610" t="s">
        <v>210</v>
      </c>
      <c r="N659" s="610"/>
      <c r="O659" s="309"/>
      <c r="P659" s="231"/>
      <c r="Q659" s="231">
        <f>SUM(Q660:Q672)</f>
        <v>221952061</v>
      </c>
      <c r="R659" s="233">
        <f>Q659/Q$35*100</f>
        <v>0.69826432176742415</v>
      </c>
      <c r="S659" s="233">
        <v>100</v>
      </c>
      <c r="T659" s="231">
        <f t="shared" si="159"/>
        <v>97.886002509343669</v>
      </c>
      <c r="U659" s="231">
        <f t="shared" si="122"/>
        <v>0.68350303152711234</v>
      </c>
      <c r="V659" s="296">
        <f t="shared" si="142"/>
        <v>2.113997490656331</v>
      </c>
      <c r="W659" s="231"/>
      <c r="X659" s="231"/>
      <c r="Y659" s="231"/>
      <c r="Z659" s="231"/>
      <c r="AA659" s="231"/>
      <c r="AB659" s="231"/>
      <c r="AC659" s="231"/>
      <c r="AD659" s="231"/>
      <c r="AE659" s="231"/>
      <c r="AF659" s="231"/>
      <c r="AG659" s="231"/>
      <c r="AH659" s="231"/>
      <c r="AI659" s="231">
        <f>SUM(AI660:AI672)</f>
        <v>217260000</v>
      </c>
      <c r="AJ659" s="233">
        <f t="shared" si="155"/>
        <v>97.886002509343669</v>
      </c>
      <c r="AK659" s="231">
        <f t="shared" si="161"/>
        <v>4692061</v>
      </c>
      <c r="AL659" s="233">
        <f t="shared" si="157"/>
        <v>2.1139974906563266</v>
      </c>
      <c r="AM659" s="227"/>
    </row>
    <row r="660" spans="1:39" ht="28.5" customHeight="1" x14ac:dyDescent="0.25">
      <c r="A660" s="243"/>
      <c r="B660" s="457"/>
      <c r="C660" s="457"/>
      <c r="D660" s="457"/>
      <c r="E660" s="457"/>
      <c r="F660" s="457"/>
      <c r="G660" s="457"/>
      <c r="H660" s="457"/>
      <c r="I660" s="458"/>
      <c r="J660" s="457" t="s">
        <v>259</v>
      </c>
      <c r="K660" s="245"/>
      <c r="L660" s="257"/>
      <c r="M660" s="591" t="s">
        <v>260</v>
      </c>
      <c r="N660" s="592"/>
      <c r="O660" s="179"/>
      <c r="P660" s="180"/>
      <c r="Q660" s="180">
        <v>650000</v>
      </c>
      <c r="R660" s="181">
        <f t="shared" ref="R660:R672" si="164">Q660/Q$659*100</f>
        <v>0.29285603254659576</v>
      </c>
      <c r="S660" s="181">
        <v>100</v>
      </c>
      <c r="T660" s="180">
        <f t="shared" si="159"/>
        <v>100</v>
      </c>
      <c r="U660" s="180">
        <f t="shared" si="122"/>
        <v>0.29285603254659576</v>
      </c>
      <c r="V660" s="182">
        <f t="shared" si="142"/>
        <v>0</v>
      </c>
      <c r="W660" s="180"/>
      <c r="X660" s="180"/>
      <c r="Y660" s="180"/>
      <c r="Z660" s="180"/>
      <c r="AA660" s="180"/>
      <c r="AB660" s="180"/>
      <c r="AC660" s="180"/>
      <c r="AD660" s="180"/>
      <c r="AE660" s="180"/>
      <c r="AF660" s="180"/>
      <c r="AG660" s="180"/>
      <c r="AH660" s="180"/>
      <c r="AI660" s="180">
        <v>650000</v>
      </c>
      <c r="AJ660" s="181">
        <f t="shared" si="155"/>
        <v>100</v>
      </c>
      <c r="AK660" s="180">
        <f t="shared" si="161"/>
        <v>0</v>
      </c>
      <c r="AL660" s="181">
        <f t="shared" si="157"/>
        <v>0</v>
      </c>
      <c r="AM660" s="243"/>
    </row>
    <row r="661" spans="1:39" ht="28.5" customHeight="1" x14ac:dyDescent="0.25">
      <c r="A661" s="243"/>
      <c r="B661" s="457"/>
      <c r="C661" s="457"/>
      <c r="D661" s="457"/>
      <c r="E661" s="457"/>
      <c r="F661" s="457"/>
      <c r="G661" s="457"/>
      <c r="H661" s="457"/>
      <c r="I661" s="458"/>
      <c r="J661" s="457" t="s">
        <v>375</v>
      </c>
      <c r="K661" s="245"/>
      <c r="L661" s="257"/>
      <c r="M661" s="611" t="s">
        <v>376</v>
      </c>
      <c r="N661" s="598"/>
      <c r="O661" s="179"/>
      <c r="P661" s="180"/>
      <c r="Q661" s="180">
        <v>124500000</v>
      </c>
      <c r="R661" s="181">
        <f t="shared" si="164"/>
        <v>56.093193926232566</v>
      </c>
      <c r="S661" s="181">
        <v>100</v>
      </c>
      <c r="T661" s="180">
        <f t="shared" si="159"/>
        <v>98.353413654618464</v>
      </c>
      <c r="U661" s="180">
        <f t="shared" si="122"/>
        <v>55.16957105435484</v>
      </c>
      <c r="V661" s="182">
        <f t="shared" si="142"/>
        <v>1.6465863453815359</v>
      </c>
      <c r="W661" s="180"/>
      <c r="X661" s="180"/>
      <c r="Y661" s="180"/>
      <c r="Z661" s="180"/>
      <c r="AA661" s="180"/>
      <c r="AB661" s="180"/>
      <c r="AC661" s="180"/>
      <c r="AD661" s="180"/>
      <c r="AE661" s="180"/>
      <c r="AF661" s="180"/>
      <c r="AG661" s="180"/>
      <c r="AH661" s="180"/>
      <c r="AI661" s="180">
        <v>122450000</v>
      </c>
      <c r="AJ661" s="181">
        <f t="shared" si="155"/>
        <v>98.353413654618464</v>
      </c>
      <c r="AK661" s="180">
        <f t="shared" si="161"/>
        <v>2050000</v>
      </c>
      <c r="AL661" s="181">
        <f t="shared" si="157"/>
        <v>1.6465863453815262</v>
      </c>
      <c r="AM661" s="243"/>
    </row>
    <row r="662" spans="1:39" ht="28.5" customHeight="1" x14ac:dyDescent="0.25">
      <c r="A662" s="243"/>
      <c r="B662" s="457"/>
      <c r="C662" s="457"/>
      <c r="D662" s="457"/>
      <c r="E662" s="457"/>
      <c r="F662" s="457"/>
      <c r="G662" s="457"/>
      <c r="H662" s="457"/>
      <c r="I662" s="458"/>
      <c r="J662" s="457" t="s">
        <v>267</v>
      </c>
      <c r="K662" s="245"/>
      <c r="L662" s="257"/>
      <c r="M662" s="591" t="s">
        <v>268</v>
      </c>
      <c r="N662" s="592"/>
      <c r="O662" s="179"/>
      <c r="P662" s="180"/>
      <c r="Q662" s="180">
        <v>12500000</v>
      </c>
      <c r="R662" s="181">
        <f t="shared" si="164"/>
        <v>5.6318467797422258</v>
      </c>
      <c r="S662" s="181">
        <v>100</v>
      </c>
      <c r="T662" s="180">
        <f t="shared" si="159"/>
        <v>100</v>
      </c>
      <c r="U662" s="180">
        <f t="shared" si="122"/>
        <v>5.6318467797422258</v>
      </c>
      <c r="V662" s="182">
        <f t="shared" si="142"/>
        <v>0</v>
      </c>
      <c r="W662" s="180"/>
      <c r="X662" s="180"/>
      <c r="Y662" s="180"/>
      <c r="Z662" s="180"/>
      <c r="AA662" s="180"/>
      <c r="AB662" s="180"/>
      <c r="AC662" s="180"/>
      <c r="AD662" s="180"/>
      <c r="AE662" s="180"/>
      <c r="AF662" s="180"/>
      <c r="AG662" s="180"/>
      <c r="AH662" s="180"/>
      <c r="AI662" s="180">
        <v>12500000</v>
      </c>
      <c r="AJ662" s="181">
        <f t="shared" si="155"/>
        <v>100</v>
      </c>
      <c r="AK662" s="180">
        <f t="shared" si="161"/>
        <v>0</v>
      </c>
      <c r="AL662" s="181">
        <f t="shared" si="157"/>
        <v>0</v>
      </c>
      <c r="AM662" s="243"/>
    </row>
    <row r="663" spans="1:39" ht="28.5" customHeight="1" x14ac:dyDescent="0.25">
      <c r="A663" s="243"/>
      <c r="B663" s="457"/>
      <c r="C663" s="457"/>
      <c r="D663" s="457"/>
      <c r="E663" s="457"/>
      <c r="F663" s="457"/>
      <c r="G663" s="457"/>
      <c r="H663" s="457"/>
      <c r="I663" s="458"/>
      <c r="J663" s="457" t="s">
        <v>332</v>
      </c>
      <c r="K663" s="245"/>
      <c r="L663" s="257"/>
      <c r="M663" s="591" t="s">
        <v>351</v>
      </c>
      <c r="N663" s="592"/>
      <c r="O663" s="179"/>
      <c r="P663" s="180"/>
      <c r="Q663" s="180">
        <v>500000</v>
      </c>
      <c r="R663" s="181">
        <f t="shared" si="164"/>
        <v>0.22527387118968903</v>
      </c>
      <c r="S663" s="181">
        <v>100</v>
      </c>
      <c r="T663" s="180">
        <f t="shared" si="159"/>
        <v>100</v>
      </c>
      <c r="U663" s="180">
        <f t="shared" si="122"/>
        <v>0.22527387118968903</v>
      </c>
      <c r="V663" s="182">
        <f t="shared" si="142"/>
        <v>0</v>
      </c>
      <c r="W663" s="180"/>
      <c r="X663" s="180"/>
      <c r="Y663" s="180"/>
      <c r="Z663" s="180"/>
      <c r="AA663" s="180"/>
      <c r="AB663" s="180"/>
      <c r="AC663" s="180"/>
      <c r="AD663" s="180"/>
      <c r="AE663" s="180"/>
      <c r="AF663" s="180"/>
      <c r="AG663" s="180"/>
      <c r="AH663" s="180"/>
      <c r="AI663" s="180">
        <v>500000</v>
      </c>
      <c r="AJ663" s="181">
        <f t="shared" si="155"/>
        <v>100</v>
      </c>
      <c r="AK663" s="180">
        <f t="shared" si="161"/>
        <v>0</v>
      </c>
      <c r="AL663" s="181">
        <f t="shared" si="157"/>
        <v>0</v>
      </c>
      <c r="AM663" s="243"/>
    </row>
    <row r="664" spans="1:39" ht="28.5" customHeight="1" x14ac:dyDescent="0.25">
      <c r="A664" s="243"/>
      <c r="B664" s="457"/>
      <c r="C664" s="457"/>
      <c r="D664" s="457"/>
      <c r="E664" s="457"/>
      <c r="F664" s="457"/>
      <c r="G664" s="457"/>
      <c r="H664" s="457"/>
      <c r="I664" s="458"/>
      <c r="J664" s="457" t="s">
        <v>315</v>
      </c>
      <c r="K664" s="245"/>
      <c r="L664" s="257"/>
      <c r="M664" s="591" t="s">
        <v>271</v>
      </c>
      <c r="N664" s="592"/>
      <c r="O664" s="179"/>
      <c r="P664" s="180"/>
      <c r="Q664" s="180">
        <v>977061</v>
      </c>
      <c r="R664" s="181">
        <f t="shared" si="164"/>
        <v>0.44021262771693753</v>
      </c>
      <c r="S664" s="181">
        <v>100</v>
      </c>
      <c r="T664" s="180">
        <f t="shared" si="159"/>
        <v>97.230367397736686</v>
      </c>
      <c r="U664" s="180">
        <f t="shared" si="122"/>
        <v>0.42802035526040916</v>
      </c>
      <c r="V664" s="182">
        <f t="shared" si="142"/>
        <v>2.7696326022633144</v>
      </c>
      <c r="W664" s="180"/>
      <c r="X664" s="180"/>
      <c r="Y664" s="180"/>
      <c r="Z664" s="180"/>
      <c r="AA664" s="180"/>
      <c r="AB664" s="180"/>
      <c r="AC664" s="180"/>
      <c r="AD664" s="180"/>
      <c r="AE664" s="180"/>
      <c r="AF664" s="180"/>
      <c r="AG664" s="180"/>
      <c r="AH664" s="180"/>
      <c r="AI664" s="180">
        <v>950000</v>
      </c>
      <c r="AJ664" s="181">
        <f t="shared" si="155"/>
        <v>97.230367397736686</v>
      </c>
      <c r="AK664" s="180">
        <f t="shared" si="161"/>
        <v>27061</v>
      </c>
      <c r="AL664" s="181">
        <f t="shared" si="157"/>
        <v>2.7696326022633184</v>
      </c>
      <c r="AM664" s="243"/>
    </row>
    <row r="665" spans="1:39" ht="28.5" customHeight="1" x14ac:dyDescent="0.25">
      <c r="A665" s="243"/>
      <c r="B665" s="457"/>
      <c r="C665" s="457"/>
      <c r="D665" s="457"/>
      <c r="E665" s="457"/>
      <c r="F665" s="457"/>
      <c r="G665" s="457"/>
      <c r="H665" s="457"/>
      <c r="I665" s="458"/>
      <c r="J665" s="457" t="s">
        <v>316</v>
      </c>
      <c r="K665" s="245"/>
      <c r="L665" s="257"/>
      <c r="M665" s="591" t="s">
        <v>317</v>
      </c>
      <c r="N665" s="592"/>
      <c r="O665" s="179"/>
      <c r="P665" s="180"/>
      <c r="Q665" s="180">
        <v>400000</v>
      </c>
      <c r="R665" s="181">
        <f t="shared" si="164"/>
        <v>0.18021909695175123</v>
      </c>
      <c r="S665" s="181">
        <v>100</v>
      </c>
      <c r="T665" s="180">
        <f t="shared" si="159"/>
        <v>100</v>
      </c>
      <c r="U665" s="180">
        <f t="shared" si="122"/>
        <v>0.18021909695175123</v>
      </c>
      <c r="V665" s="182">
        <f t="shared" si="142"/>
        <v>0</v>
      </c>
      <c r="W665" s="180"/>
      <c r="X665" s="180"/>
      <c r="Y665" s="180"/>
      <c r="Z665" s="180"/>
      <c r="AA665" s="180"/>
      <c r="AB665" s="180"/>
      <c r="AC665" s="180"/>
      <c r="AD665" s="180"/>
      <c r="AE665" s="180"/>
      <c r="AF665" s="180"/>
      <c r="AG665" s="180"/>
      <c r="AH665" s="180"/>
      <c r="AI665" s="180">
        <v>400000</v>
      </c>
      <c r="AJ665" s="181">
        <f t="shared" si="155"/>
        <v>100</v>
      </c>
      <c r="AK665" s="180">
        <f t="shared" si="161"/>
        <v>0</v>
      </c>
      <c r="AL665" s="181">
        <f t="shared" si="157"/>
        <v>0</v>
      </c>
      <c r="AM665" s="243"/>
    </row>
    <row r="666" spans="1:39" ht="28.5" customHeight="1" x14ac:dyDescent="0.25">
      <c r="A666" s="243"/>
      <c r="B666" s="457"/>
      <c r="C666" s="457"/>
      <c r="D666" s="457"/>
      <c r="E666" s="457"/>
      <c r="F666" s="457"/>
      <c r="G666" s="457"/>
      <c r="H666" s="457"/>
      <c r="I666" s="458"/>
      <c r="J666" s="457" t="s">
        <v>318</v>
      </c>
      <c r="K666" s="245"/>
      <c r="L666" s="257"/>
      <c r="M666" s="591" t="s">
        <v>319</v>
      </c>
      <c r="N666" s="592"/>
      <c r="O666" s="179"/>
      <c r="P666" s="180"/>
      <c r="Q666" s="180">
        <v>35000000</v>
      </c>
      <c r="R666" s="181">
        <f t="shared" si="164"/>
        <v>15.769170983278229</v>
      </c>
      <c r="S666" s="181">
        <v>100</v>
      </c>
      <c r="T666" s="180">
        <f t="shared" si="159"/>
        <v>100</v>
      </c>
      <c r="U666" s="180">
        <f t="shared" si="122"/>
        <v>15.769170983278229</v>
      </c>
      <c r="V666" s="182">
        <f t="shared" si="142"/>
        <v>0</v>
      </c>
      <c r="W666" s="180"/>
      <c r="X666" s="180"/>
      <c r="Y666" s="180"/>
      <c r="Z666" s="180"/>
      <c r="AA666" s="180"/>
      <c r="AB666" s="180"/>
      <c r="AC666" s="180"/>
      <c r="AD666" s="180"/>
      <c r="AE666" s="180"/>
      <c r="AF666" s="180"/>
      <c r="AG666" s="180"/>
      <c r="AH666" s="180"/>
      <c r="AI666" s="180">
        <v>35000000</v>
      </c>
      <c r="AJ666" s="181">
        <f t="shared" si="155"/>
        <v>100</v>
      </c>
      <c r="AK666" s="180">
        <f t="shared" si="161"/>
        <v>0</v>
      </c>
      <c r="AL666" s="181">
        <f t="shared" si="157"/>
        <v>0</v>
      </c>
      <c r="AM666" s="243"/>
    </row>
    <row r="667" spans="1:39" ht="28.5" customHeight="1" x14ac:dyDescent="0.25">
      <c r="A667" s="243"/>
      <c r="B667" s="457"/>
      <c r="C667" s="457"/>
      <c r="D667" s="457"/>
      <c r="E667" s="457"/>
      <c r="F667" s="457"/>
      <c r="G667" s="457"/>
      <c r="H667" s="457"/>
      <c r="I667" s="458"/>
      <c r="J667" s="457" t="s">
        <v>280</v>
      </c>
      <c r="K667" s="245"/>
      <c r="L667" s="257"/>
      <c r="M667" s="591" t="s">
        <v>281</v>
      </c>
      <c r="N667" s="592"/>
      <c r="O667" s="179"/>
      <c r="P667" s="180"/>
      <c r="Q667" s="180">
        <v>1250000</v>
      </c>
      <c r="R667" s="181">
        <f t="shared" si="164"/>
        <v>0.56318467797422256</v>
      </c>
      <c r="S667" s="181">
        <v>100</v>
      </c>
      <c r="T667" s="180">
        <f t="shared" si="159"/>
        <v>100</v>
      </c>
      <c r="U667" s="180">
        <f t="shared" si="122"/>
        <v>0.56318467797422256</v>
      </c>
      <c r="V667" s="182">
        <f t="shared" si="142"/>
        <v>0</v>
      </c>
      <c r="W667" s="180"/>
      <c r="X667" s="180"/>
      <c r="Y667" s="180"/>
      <c r="Z667" s="180"/>
      <c r="AA667" s="180"/>
      <c r="AB667" s="180"/>
      <c r="AC667" s="180"/>
      <c r="AD667" s="180"/>
      <c r="AE667" s="180"/>
      <c r="AF667" s="180"/>
      <c r="AG667" s="180"/>
      <c r="AH667" s="180"/>
      <c r="AI667" s="180">
        <v>1250000</v>
      </c>
      <c r="AJ667" s="181">
        <f t="shared" si="155"/>
        <v>100</v>
      </c>
      <c r="AK667" s="180">
        <f t="shared" si="161"/>
        <v>0</v>
      </c>
      <c r="AL667" s="181">
        <f t="shared" si="157"/>
        <v>0</v>
      </c>
      <c r="AM667" s="243"/>
    </row>
    <row r="668" spans="1:39" ht="28.5" customHeight="1" x14ac:dyDescent="0.25">
      <c r="A668" s="243"/>
      <c r="B668" s="457"/>
      <c r="C668" s="457"/>
      <c r="D668" s="457"/>
      <c r="E668" s="457"/>
      <c r="F668" s="457"/>
      <c r="G668" s="457"/>
      <c r="H668" s="457"/>
      <c r="I668" s="458"/>
      <c r="J668" s="457" t="s">
        <v>284</v>
      </c>
      <c r="K668" s="245"/>
      <c r="L668" s="257"/>
      <c r="M668" s="591" t="s">
        <v>285</v>
      </c>
      <c r="N668" s="592"/>
      <c r="O668" s="179"/>
      <c r="P668" s="180"/>
      <c r="Q668" s="180">
        <v>2925000</v>
      </c>
      <c r="R668" s="181">
        <f t="shared" si="164"/>
        <v>1.3178521464596809</v>
      </c>
      <c r="S668" s="181">
        <v>100</v>
      </c>
      <c r="T668" s="180">
        <f t="shared" si="159"/>
        <v>78.974358974358978</v>
      </c>
      <c r="U668" s="180">
        <f t="shared" si="122"/>
        <v>1.0407652848963636</v>
      </c>
      <c r="V668" s="182">
        <f t="shared" si="142"/>
        <v>21.025641025641022</v>
      </c>
      <c r="W668" s="180"/>
      <c r="X668" s="180"/>
      <c r="Y668" s="180"/>
      <c r="Z668" s="180"/>
      <c r="AA668" s="180"/>
      <c r="AB668" s="180"/>
      <c r="AC668" s="180"/>
      <c r="AD668" s="180"/>
      <c r="AE668" s="180"/>
      <c r="AF668" s="180"/>
      <c r="AG668" s="180"/>
      <c r="AH668" s="180"/>
      <c r="AI668" s="180">
        <v>2310000</v>
      </c>
      <c r="AJ668" s="181">
        <f t="shared" si="155"/>
        <v>78.974358974358978</v>
      </c>
      <c r="AK668" s="180">
        <f t="shared" si="161"/>
        <v>615000</v>
      </c>
      <c r="AL668" s="181">
        <f t="shared" si="157"/>
        <v>21.025641025641026</v>
      </c>
      <c r="AM668" s="243"/>
    </row>
    <row r="669" spans="1:39" ht="28.5" customHeight="1" x14ac:dyDescent="0.25">
      <c r="A669" s="243"/>
      <c r="B669" s="457"/>
      <c r="C669" s="457"/>
      <c r="D669" s="457"/>
      <c r="E669" s="457"/>
      <c r="F669" s="457"/>
      <c r="G669" s="457"/>
      <c r="H669" s="457"/>
      <c r="I669" s="458"/>
      <c r="J669" s="457" t="s">
        <v>282</v>
      </c>
      <c r="K669" s="245"/>
      <c r="L669" s="257"/>
      <c r="M669" s="591" t="s">
        <v>283</v>
      </c>
      <c r="N669" s="592"/>
      <c r="O669" s="179"/>
      <c r="P669" s="180"/>
      <c r="Q669" s="180">
        <v>21300000</v>
      </c>
      <c r="R669" s="181">
        <f t="shared" si="164"/>
        <v>9.5966669126807531</v>
      </c>
      <c r="S669" s="181">
        <v>100</v>
      </c>
      <c r="T669" s="180">
        <f t="shared" si="159"/>
        <v>100</v>
      </c>
      <c r="U669" s="180">
        <f t="shared" si="122"/>
        <v>9.5966669126807531</v>
      </c>
      <c r="V669" s="182">
        <f t="shared" si="142"/>
        <v>0</v>
      </c>
      <c r="W669" s="180"/>
      <c r="X669" s="180"/>
      <c r="Y669" s="180"/>
      <c r="Z669" s="180"/>
      <c r="AA669" s="180"/>
      <c r="AB669" s="180"/>
      <c r="AC669" s="180"/>
      <c r="AD669" s="180"/>
      <c r="AE669" s="180"/>
      <c r="AF669" s="180"/>
      <c r="AG669" s="180"/>
      <c r="AH669" s="180"/>
      <c r="AI669" s="180">
        <v>21300000</v>
      </c>
      <c r="AJ669" s="181">
        <f t="shared" si="155"/>
        <v>100</v>
      </c>
      <c r="AK669" s="180">
        <f t="shared" si="161"/>
        <v>0</v>
      </c>
      <c r="AL669" s="181">
        <f t="shared" si="157"/>
        <v>0</v>
      </c>
      <c r="AM669" s="243"/>
    </row>
    <row r="670" spans="1:39" ht="28.5" customHeight="1" x14ac:dyDescent="0.25">
      <c r="A670" s="243"/>
      <c r="B670" s="457"/>
      <c r="C670" s="457"/>
      <c r="D670" s="457"/>
      <c r="E670" s="457"/>
      <c r="F670" s="457"/>
      <c r="G670" s="457"/>
      <c r="H670" s="457"/>
      <c r="I670" s="458"/>
      <c r="J670" s="457" t="s">
        <v>320</v>
      </c>
      <c r="K670" s="245"/>
      <c r="L670" s="257"/>
      <c r="M670" s="591" t="s">
        <v>321</v>
      </c>
      <c r="N670" s="592"/>
      <c r="O670" s="179"/>
      <c r="P670" s="180"/>
      <c r="Q670" s="180">
        <v>4300000</v>
      </c>
      <c r="R670" s="181">
        <f t="shared" si="164"/>
        <v>1.9373552922313255</v>
      </c>
      <c r="S670" s="181">
        <v>100</v>
      </c>
      <c r="T670" s="180">
        <f t="shared" si="159"/>
        <v>100</v>
      </c>
      <c r="U670" s="180">
        <f t="shared" si="122"/>
        <v>1.9373552922313255</v>
      </c>
      <c r="V670" s="182">
        <f t="shared" si="142"/>
        <v>0</v>
      </c>
      <c r="W670" s="180"/>
      <c r="X670" s="180"/>
      <c r="Y670" s="180"/>
      <c r="Z670" s="180"/>
      <c r="AA670" s="180"/>
      <c r="AB670" s="180"/>
      <c r="AC670" s="180"/>
      <c r="AD670" s="180"/>
      <c r="AE670" s="180"/>
      <c r="AF670" s="180"/>
      <c r="AG670" s="180"/>
      <c r="AH670" s="180"/>
      <c r="AI670" s="180">
        <v>4300000</v>
      </c>
      <c r="AJ670" s="181">
        <f t="shared" si="155"/>
        <v>100</v>
      </c>
      <c r="AK670" s="180">
        <f t="shared" si="161"/>
        <v>0</v>
      </c>
      <c r="AL670" s="181">
        <f t="shared" si="157"/>
        <v>0</v>
      </c>
      <c r="AM670" s="243"/>
    </row>
    <row r="671" spans="1:39" ht="28.5" customHeight="1" x14ac:dyDescent="0.25">
      <c r="A671" s="243"/>
      <c r="B671" s="457"/>
      <c r="C671" s="457"/>
      <c r="D671" s="457"/>
      <c r="E671" s="457"/>
      <c r="F671" s="457"/>
      <c r="G671" s="457"/>
      <c r="H671" s="457"/>
      <c r="I671" s="458"/>
      <c r="J671" s="457" t="s">
        <v>407</v>
      </c>
      <c r="K671" s="245"/>
      <c r="L671" s="257"/>
      <c r="M671" s="591" t="s">
        <v>607</v>
      </c>
      <c r="N671" s="592"/>
      <c r="O671" s="179"/>
      <c r="P671" s="180"/>
      <c r="Q671" s="180">
        <v>2650000</v>
      </c>
      <c r="R671" s="181">
        <f t="shared" si="164"/>
        <v>1.1939515173053519</v>
      </c>
      <c r="S671" s="181">
        <v>100</v>
      </c>
      <c r="T671" s="180">
        <f t="shared" si="159"/>
        <v>24.528301886792452</v>
      </c>
      <c r="U671" s="180">
        <f t="shared" si="122"/>
        <v>0.29285603254659576</v>
      </c>
      <c r="V671" s="182">
        <f t="shared" si="142"/>
        <v>75.471698113207552</v>
      </c>
      <c r="W671" s="180"/>
      <c r="X671" s="180"/>
      <c r="Y671" s="180"/>
      <c r="Z671" s="180"/>
      <c r="AA671" s="180"/>
      <c r="AB671" s="180"/>
      <c r="AC671" s="180"/>
      <c r="AD671" s="180"/>
      <c r="AE671" s="180"/>
      <c r="AF671" s="180"/>
      <c r="AG671" s="180"/>
      <c r="AH671" s="180"/>
      <c r="AI671" s="180">
        <v>650000</v>
      </c>
      <c r="AJ671" s="181">
        <f t="shared" si="155"/>
        <v>24.528301886792452</v>
      </c>
      <c r="AK671" s="180">
        <f t="shared" si="161"/>
        <v>2000000</v>
      </c>
      <c r="AL671" s="181">
        <f t="shared" si="157"/>
        <v>75.471698113207552</v>
      </c>
      <c r="AM671" s="243"/>
    </row>
    <row r="672" spans="1:39" ht="28.5" customHeight="1" x14ac:dyDescent="0.25">
      <c r="A672" s="243"/>
      <c r="B672" s="457"/>
      <c r="C672" s="457"/>
      <c r="D672" s="457"/>
      <c r="E672" s="457"/>
      <c r="F672" s="457"/>
      <c r="G672" s="457"/>
      <c r="H672" s="457"/>
      <c r="I672" s="458"/>
      <c r="J672" s="457" t="s">
        <v>372</v>
      </c>
      <c r="K672" s="245"/>
      <c r="L672" s="257"/>
      <c r="M672" s="591" t="s">
        <v>373</v>
      </c>
      <c r="N672" s="592"/>
      <c r="O672" s="179"/>
      <c r="P672" s="180"/>
      <c r="Q672" s="180">
        <v>15000000</v>
      </c>
      <c r="R672" s="181">
        <f t="shared" si="164"/>
        <v>6.7582161356906703</v>
      </c>
      <c r="S672" s="181">
        <v>100</v>
      </c>
      <c r="T672" s="180">
        <f t="shared" si="159"/>
        <v>100</v>
      </c>
      <c r="U672" s="180">
        <f t="shared" si="122"/>
        <v>6.7582161356906703</v>
      </c>
      <c r="V672" s="182">
        <v>100</v>
      </c>
      <c r="W672" s="180"/>
      <c r="X672" s="180"/>
      <c r="Y672" s="180"/>
      <c r="Z672" s="180"/>
      <c r="AA672" s="180"/>
      <c r="AB672" s="180"/>
      <c r="AC672" s="180"/>
      <c r="AD672" s="180"/>
      <c r="AE672" s="180"/>
      <c r="AF672" s="180"/>
      <c r="AG672" s="180"/>
      <c r="AH672" s="180"/>
      <c r="AI672" s="180">
        <v>15000000</v>
      </c>
      <c r="AJ672" s="181">
        <f t="shared" si="155"/>
        <v>100</v>
      </c>
      <c r="AK672" s="180">
        <f t="shared" si="161"/>
        <v>0</v>
      </c>
      <c r="AL672" s="181">
        <f t="shared" si="157"/>
        <v>0</v>
      </c>
      <c r="AM672" s="243"/>
    </row>
    <row r="673" spans="1:83" s="297" customFormat="1" ht="28.5" customHeight="1" x14ac:dyDescent="0.25">
      <c r="A673" s="227">
        <f>SUM(A659+1)</f>
        <v>79</v>
      </c>
      <c r="B673" s="462"/>
      <c r="C673" s="462"/>
      <c r="D673" s="462"/>
      <c r="E673" s="462"/>
      <c r="F673" s="462"/>
      <c r="G673" s="462"/>
      <c r="H673" s="462"/>
      <c r="I673" s="461"/>
      <c r="J673" s="462" t="s">
        <v>377</v>
      </c>
      <c r="K673" s="230"/>
      <c r="L673" s="294"/>
      <c r="M673" s="610" t="s">
        <v>378</v>
      </c>
      <c r="N673" s="610"/>
      <c r="O673" s="309">
        <v>355300000</v>
      </c>
      <c r="P673" s="231">
        <v>0</v>
      </c>
      <c r="Q673" s="231">
        <f>SUM(Q674:Q678)</f>
        <v>88840644</v>
      </c>
      <c r="R673" s="233">
        <f>Q673/Q$35*100</f>
        <v>0.27949392201427309</v>
      </c>
      <c r="S673" s="233">
        <v>100</v>
      </c>
      <c r="T673" s="231">
        <f t="shared" si="159"/>
        <v>24.144354469109881</v>
      </c>
      <c r="U673" s="231">
        <f>R673*T673/100</f>
        <v>6.7482003250743633E-2</v>
      </c>
      <c r="V673" s="296">
        <f t="shared" si="142"/>
        <v>75.855645530890115</v>
      </c>
      <c r="W673" s="231"/>
      <c r="X673" s="231"/>
      <c r="Y673" s="231"/>
      <c r="Z673" s="231"/>
      <c r="AA673" s="231"/>
      <c r="AB673" s="231"/>
      <c r="AC673" s="231"/>
      <c r="AD673" s="231"/>
      <c r="AE673" s="231"/>
      <c r="AF673" s="231"/>
      <c r="AG673" s="231" t="e">
        <f>[2]april!N78</f>
        <v>#REF!</v>
      </c>
      <c r="AH673" s="231">
        <f>'[3]DES SKPD'!$N78</f>
        <v>0</v>
      </c>
      <c r="AI673" s="231">
        <f>SUM(AI674:AI678)</f>
        <v>21450000</v>
      </c>
      <c r="AJ673" s="233">
        <f t="shared" si="155"/>
        <v>24.144354469109881</v>
      </c>
      <c r="AK673" s="231">
        <f t="shared" si="161"/>
        <v>67390644</v>
      </c>
      <c r="AL673" s="233">
        <f t="shared" si="157"/>
        <v>75.855645530890115</v>
      </c>
      <c r="AM673" s="227"/>
    </row>
    <row r="674" spans="1:83" ht="28.5" customHeight="1" x14ac:dyDescent="0.25">
      <c r="A674" s="243"/>
      <c r="B674" s="457"/>
      <c r="C674" s="457"/>
      <c r="D674" s="457"/>
      <c r="E674" s="457"/>
      <c r="F674" s="457"/>
      <c r="G674" s="457"/>
      <c r="H674" s="457"/>
      <c r="I674" s="458"/>
      <c r="J674" s="457" t="s">
        <v>323</v>
      </c>
      <c r="K674" s="245"/>
      <c r="L674" s="257"/>
      <c r="M674" s="591" t="s">
        <v>324</v>
      </c>
      <c r="N674" s="592"/>
      <c r="O674" s="179"/>
      <c r="P674" s="180"/>
      <c r="Q674" s="180">
        <v>25000000</v>
      </c>
      <c r="R674" s="181">
        <f>Q674/Q$673*100</f>
        <v>28.140273274020842</v>
      </c>
      <c r="S674" s="181">
        <v>100</v>
      </c>
      <c r="T674" s="180">
        <f t="shared" si="159"/>
        <v>40</v>
      </c>
      <c r="U674" s="180">
        <f t="shared" ref="U674:U679" si="165">R674*T674/100</f>
        <v>11.256109309608338</v>
      </c>
      <c r="V674" s="182">
        <f t="shared" si="142"/>
        <v>60</v>
      </c>
      <c r="W674" s="180"/>
      <c r="X674" s="180"/>
      <c r="Y674" s="180"/>
      <c r="Z674" s="180"/>
      <c r="AA674" s="180"/>
      <c r="AB674" s="180"/>
      <c r="AC674" s="180"/>
      <c r="AD674" s="180"/>
      <c r="AE674" s="180"/>
      <c r="AF674" s="180"/>
      <c r="AG674" s="180"/>
      <c r="AH674" s="180"/>
      <c r="AI674" s="180">
        <f>5000000+5000000</f>
        <v>10000000</v>
      </c>
      <c r="AJ674" s="181">
        <f t="shared" si="155"/>
        <v>40</v>
      </c>
      <c r="AK674" s="180">
        <f t="shared" si="161"/>
        <v>15000000</v>
      </c>
      <c r="AL674" s="181">
        <f t="shared" si="157"/>
        <v>60</v>
      </c>
      <c r="AM674" s="243"/>
    </row>
    <row r="675" spans="1:83" ht="28.5" customHeight="1" x14ac:dyDescent="0.25">
      <c r="A675" s="243"/>
      <c r="B675" s="457"/>
      <c r="C675" s="457"/>
      <c r="D675" s="457"/>
      <c r="E675" s="457"/>
      <c r="F675" s="457"/>
      <c r="G675" s="457"/>
      <c r="H675" s="457"/>
      <c r="I675" s="458"/>
      <c r="J675" s="457" t="s">
        <v>315</v>
      </c>
      <c r="K675" s="245"/>
      <c r="L675" s="257"/>
      <c r="M675" s="591" t="s">
        <v>271</v>
      </c>
      <c r="N675" s="592"/>
      <c r="O675" s="179"/>
      <c r="P675" s="180"/>
      <c r="Q675" s="180">
        <v>2000000</v>
      </c>
      <c r="R675" s="181">
        <f t="shared" ref="R675:R678" si="166">Q675/Q$673*100</f>
        <v>2.2512218619216671</v>
      </c>
      <c r="S675" s="181">
        <v>100</v>
      </c>
      <c r="T675" s="180">
        <f t="shared" si="159"/>
        <v>37.5</v>
      </c>
      <c r="U675" s="180">
        <f t="shared" si="165"/>
        <v>0.84420819822062509</v>
      </c>
      <c r="V675" s="182">
        <f t="shared" si="142"/>
        <v>62.5</v>
      </c>
      <c r="W675" s="180"/>
      <c r="X675" s="180"/>
      <c r="Y675" s="180"/>
      <c r="Z675" s="180"/>
      <c r="AA675" s="180"/>
      <c r="AB675" s="180"/>
      <c r="AC675" s="180"/>
      <c r="AD675" s="180"/>
      <c r="AE675" s="180"/>
      <c r="AF675" s="180"/>
      <c r="AG675" s="180"/>
      <c r="AH675" s="180"/>
      <c r="AI675" s="180">
        <v>750000</v>
      </c>
      <c r="AJ675" s="181">
        <f t="shared" si="155"/>
        <v>37.5</v>
      </c>
      <c r="AK675" s="180">
        <f t="shared" si="161"/>
        <v>1250000</v>
      </c>
      <c r="AL675" s="181">
        <f t="shared" si="157"/>
        <v>62.5</v>
      </c>
      <c r="AM675" s="243"/>
    </row>
    <row r="676" spans="1:83" ht="28.5" customHeight="1" x14ac:dyDescent="0.25">
      <c r="A676" s="243"/>
      <c r="B676" s="457"/>
      <c r="C676" s="457"/>
      <c r="D676" s="457"/>
      <c r="E676" s="457"/>
      <c r="F676" s="457"/>
      <c r="G676" s="457"/>
      <c r="H676" s="457"/>
      <c r="I676" s="458"/>
      <c r="J676" s="457" t="s">
        <v>280</v>
      </c>
      <c r="K676" s="245"/>
      <c r="L676" s="257"/>
      <c r="M676" s="591" t="s">
        <v>425</v>
      </c>
      <c r="N676" s="592"/>
      <c r="O676" s="179"/>
      <c r="P676" s="180"/>
      <c r="Q676" s="180">
        <v>7500000</v>
      </c>
      <c r="R676" s="181">
        <f t="shared" si="166"/>
        <v>8.4420819822062523</v>
      </c>
      <c r="S676" s="181">
        <v>100</v>
      </c>
      <c r="T676" s="180">
        <f t="shared" si="159"/>
        <v>33.333333333333329</v>
      </c>
      <c r="U676" s="180">
        <f t="shared" si="165"/>
        <v>2.8140273274020835</v>
      </c>
      <c r="V676" s="182">
        <f t="shared" si="142"/>
        <v>66.666666666666671</v>
      </c>
      <c r="W676" s="180"/>
      <c r="X676" s="180"/>
      <c r="Y676" s="180"/>
      <c r="Z676" s="180"/>
      <c r="AA676" s="180"/>
      <c r="AB676" s="180"/>
      <c r="AC676" s="180"/>
      <c r="AD676" s="180"/>
      <c r="AE676" s="180"/>
      <c r="AF676" s="180"/>
      <c r="AG676" s="180"/>
      <c r="AH676" s="180"/>
      <c r="AI676" s="180">
        <f>1250000+1250000</f>
        <v>2500000</v>
      </c>
      <c r="AJ676" s="181">
        <f t="shared" si="155"/>
        <v>33.333333333333329</v>
      </c>
      <c r="AK676" s="180">
        <f t="shared" si="161"/>
        <v>5000000</v>
      </c>
      <c r="AL676" s="181">
        <f t="shared" si="157"/>
        <v>66.666666666666657</v>
      </c>
      <c r="AM676" s="243"/>
    </row>
    <row r="677" spans="1:83" ht="28.5" customHeight="1" x14ac:dyDescent="0.25">
      <c r="A677" s="243"/>
      <c r="B677" s="457"/>
      <c r="C677" s="457"/>
      <c r="D677" s="457"/>
      <c r="E677" s="457"/>
      <c r="F677" s="457"/>
      <c r="G677" s="457"/>
      <c r="H677" s="457"/>
      <c r="I677" s="458"/>
      <c r="J677" s="457" t="s">
        <v>284</v>
      </c>
      <c r="K677" s="245"/>
      <c r="L677" s="257"/>
      <c r="M677" s="591" t="s">
        <v>285</v>
      </c>
      <c r="N677" s="592"/>
      <c r="O677" s="179"/>
      <c r="P677" s="180"/>
      <c r="Q677" s="180">
        <v>24500000</v>
      </c>
      <c r="R677" s="181">
        <f t="shared" si="166"/>
        <v>27.577467808540423</v>
      </c>
      <c r="S677" s="181">
        <v>100</v>
      </c>
      <c r="T677" s="180">
        <f t="shared" si="159"/>
        <v>0</v>
      </c>
      <c r="U677" s="180">
        <f t="shared" si="165"/>
        <v>0</v>
      </c>
      <c r="V677" s="182">
        <f t="shared" si="142"/>
        <v>100</v>
      </c>
      <c r="W677" s="180"/>
      <c r="X677" s="180"/>
      <c r="Y677" s="180"/>
      <c r="Z677" s="180"/>
      <c r="AA677" s="180"/>
      <c r="AB677" s="180"/>
      <c r="AC677" s="180"/>
      <c r="AD677" s="180"/>
      <c r="AE677" s="180"/>
      <c r="AF677" s="180"/>
      <c r="AG677" s="180"/>
      <c r="AH677" s="180"/>
      <c r="AI677" s="180">
        <v>0</v>
      </c>
      <c r="AJ677" s="181">
        <f t="shared" si="155"/>
        <v>0</v>
      </c>
      <c r="AK677" s="180">
        <f t="shared" si="161"/>
        <v>24500000</v>
      </c>
      <c r="AL677" s="181">
        <f t="shared" si="157"/>
        <v>100</v>
      </c>
      <c r="AM677" s="243"/>
    </row>
    <row r="678" spans="1:83" ht="28.5" customHeight="1" x14ac:dyDescent="0.25">
      <c r="A678" s="243"/>
      <c r="B678" s="457"/>
      <c r="C678" s="457"/>
      <c r="D678" s="457"/>
      <c r="E678" s="457"/>
      <c r="F678" s="457"/>
      <c r="G678" s="457"/>
      <c r="H678" s="457"/>
      <c r="I678" s="458"/>
      <c r="J678" s="457" t="s">
        <v>282</v>
      </c>
      <c r="K678" s="245"/>
      <c r="L678" s="257"/>
      <c r="M678" s="591" t="s">
        <v>283</v>
      </c>
      <c r="N678" s="592"/>
      <c r="O678" s="179"/>
      <c r="P678" s="180"/>
      <c r="Q678" s="180">
        <v>29840644</v>
      </c>
      <c r="R678" s="181">
        <f t="shared" si="166"/>
        <v>33.588955073310814</v>
      </c>
      <c r="S678" s="181">
        <v>100</v>
      </c>
      <c r="T678" s="180">
        <f t="shared" si="159"/>
        <v>27.479299709483477</v>
      </c>
      <c r="U678" s="180">
        <f t="shared" si="165"/>
        <v>9.2300096338788347</v>
      </c>
      <c r="V678" s="182">
        <f t="shared" si="142"/>
        <v>72.520700290516515</v>
      </c>
      <c r="W678" s="180"/>
      <c r="X678" s="180"/>
      <c r="Y678" s="180"/>
      <c r="Z678" s="180"/>
      <c r="AA678" s="180"/>
      <c r="AB678" s="180"/>
      <c r="AC678" s="180"/>
      <c r="AD678" s="180"/>
      <c r="AE678" s="180"/>
      <c r="AF678" s="180"/>
      <c r="AG678" s="180"/>
      <c r="AH678" s="180"/>
      <c r="AI678" s="180">
        <f>5700000+2500000</f>
        <v>8200000</v>
      </c>
      <c r="AJ678" s="181">
        <f t="shared" si="155"/>
        <v>27.479299709483477</v>
      </c>
      <c r="AK678" s="180">
        <f t="shared" si="161"/>
        <v>21640644</v>
      </c>
      <c r="AL678" s="181">
        <f t="shared" si="157"/>
        <v>72.520700290516515</v>
      </c>
      <c r="AM678" s="243"/>
    </row>
    <row r="679" spans="1:83" ht="28.5" customHeight="1" x14ac:dyDescent="0.25">
      <c r="A679" s="289" t="s">
        <v>38</v>
      </c>
      <c r="B679" s="607" t="s">
        <v>145</v>
      </c>
      <c r="C679" s="607"/>
      <c r="D679" s="607"/>
      <c r="E679" s="607"/>
      <c r="F679" s="607"/>
      <c r="G679" s="607"/>
      <c r="H679" s="607"/>
      <c r="I679" s="608"/>
      <c r="J679" s="463" t="s">
        <v>531</v>
      </c>
      <c r="K679" s="291"/>
      <c r="L679" s="607" t="s">
        <v>532</v>
      </c>
      <c r="M679" s="607"/>
      <c r="N679" s="608"/>
      <c r="O679" s="263" t="e">
        <f>SUM(O680:O1154)</f>
        <v>#REF!</v>
      </c>
      <c r="P679" s="263" t="e">
        <f>SUM(P680:P1154)</f>
        <v>#REF!</v>
      </c>
      <c r="Q679" s="263">
        <f>SUM(Q680)</f>
        <v>649500000</v>
      </c>
      <c r="R679" s="222">
        <f>Q679/Q$58*100</f>
        <v>3.2186986170973042</v>
      </c>
      <c r="S679" s="222">
        <v>100</v>
      </c>
      <c r="T679" s="263">
        <f t="shared" si="159"/>
        <v>16.055427251732102</v>
      </c>
      <c r="U679" s="308">
        <f t="shared" si="165"/>
        <v>0.5167758149205649</v>
      </c>
      <c r="V679" s="292">
        <f t="shared" si="142"/>
        <v>83.944572748267902</v>
      </c>
      <c r="W679" s="263">
        <f t="shared" ref="W679:AH679" si="167">SUM(W680:W1154)</f>
        <v>0</v>
      </c>
      <c r="X679" s="263">
        <f t="shared" si="167"/>
        <v>0</v>
      </c>
      <c r="Y679" s="263">
        <f t="shared" si="167"/>
        <v>0</v>
      </c>
      <c r="Z679" s="263">
        <f t="shared" si="167"/>
        <v>0</v>
      </c>
      <c r="AA679" s="263">
        <f t="shared" si="167"/>
        <v>0</v>
      </c>
      <c r="AB679" s="263">
        <f t="shared" si="167"/>
        <v>0</v>
      </c>
      <c r="AC679" s="263">
        <f t="shared" si="167"/>
        <v>0</v>
      </c>
      <c r="AD679" s="263">
        <f t="shared" si="167"/>
        <v>0</v>
      </c>
      <c r="AE679" s="263">
        <f t="shared" si="167"/>
        <v>0</v>
      </c>
      <c r="AF679" s="263">
        <f t="shared" si="167"/>
        <v>0</v>
      </c>
      <c r="AG679" s="263" t="e">
        <f t="shared" si="167"/>
        <v>#REF!</v>
      </c>
      <c r="AH679" s="263">
        <f t="shared" si="167"/>
        <v>0</v>
      </c>
      <c r="AI679" s="263">
        <f>SUM(AI680)</f>
        <v>104280000</v>
      </c>
      <c r="AJ679" s="222">
        <f t="shared" si="155"/>
        <v>16.055427251732102</v>
      </c>
      <c r="AK679" s="263">
        <f>SUM(Q679-AI679)</f>
        <v>545220000</v>
      </c>
      <c r="AL679" s="222">
        <f t="shared" si="157"/>
        <v>83.944572748267902</v>
      </c>
      <c r="AM679" s="289"/>
    </row>
    <row r="680" spans="1:83" s="297" customFormat="1" ht="28.5" customHeight="1" x14ac:dyDescent="0.25">
      <c r="A680" s="227">
        <f>SUM(A673+1)</f>
        <v>80</v>
      </c>
      <c r="B680" s="462"/>
      <c r="C680" s="462"/>
      <c r="D680" s="462"/>
      <c r="E680" s="462"/>
      <c r="F680" s="462"/>
      <c r="G680" s="462"/>
      <c r="H680" s="462"/>
      <c r="I680" s="461"/>
      <c r="J680" s="462" t="s">
        <v>381</v>
      </c>
      <c r="K680" s="230"/>
      <c r="L680" s="294"/>
      <c r="M680" s="609" t="s">
        <v>533</v>
      </c>
      <c r="N680" s="609"/>
      <c r="O680" s="309">
        <v>355300000</v>
      </c>
      <c r="P680" s="231">
        <v>0</v>
      </c>
      <c r="Q680" s="231">
        <f>SUM(Q681:Q687)</f>
        <v>649500000</v>
      </c>
      <c r="R680" s="233">
        <f>Q680/Q$35*100</f>
        <v>2.0433361823476917</v>
      </c>
      <c r="S680" s="233">
        <v>100</v>
      </c>
      <c r="T680" s="231">
        <f>AJ680</f>
        <v>16.055427251732102</v>
      </c>
      <c r="U680" s="231">
        <f>R680*T680/100</f>
        <v>0.32806635426515363</v>
      </c>
      <c r="V680" s="296">
        <f>S680-T680</f>
        <v>83.944572748267902</v>
      </c>
      <c r="W680" s="231"/>
      <c r="X680" s="231"/>
      <c r="Y680" s="231"/>
      <c r="Z680" s="231"/>
      <c r="AA680" s="231"/>
      <c r="AB680" s="231"/>
      <c r="AC680" s="231"/>
      <c r="AD680" s="231"/>
      <c r="AE680" s="231"/>
      <c r="AF680" s="231"/>
      <c r="AG680" s="231" t="e">
        <f>[2]april!N87</f>
        <v>#REF!</v>
      </c>
      <c r="AH680" s="231">
        <f>'[3]DES SKPD'!$N87</f>
        <v>0</v>
      </c>
      <c r="AI680" s="231">
        <f>SUM(AI681:AI687)</f>
        <v>104280000</v>
      </c>
      <c r="AJ680" s="181">
        <f t="shared" si="155"/>
        <v>16.055427251732102</v>
      </c>
      <c r="AK680" s="231">
        <f t="shared" si="161"/>
        <v>545220000</v>
      </c>
      <c r="AL680" s="233">
        <f t="shared" si="157"/>
        <v>83.944572748267902</v>
      </c>
      <c r="AM680" s="227"/>
    </row>
    <row r="681" spans="1:83" ht="28.5" customHeight="1" x14ac:dyDescent="0.25">
      <c r="A681" s="243"/>
      <c r="B681" s="457"/>
      <c r="C681" s="457"/>
      <c r="D681" s="457"/>
      <c r="E681" s="457"/>
      <c r="F681" s="457"/>
      <c r="G681" s="457"/>
      <c r="H681" s="457"/>
      <c r="I681" s="458"/>
      <c r="J681" s="457" t="s">
        <v>536</v>
      </c>
      <c r="K681" s="245"/>
      <c r="L681" s="257"/>
      <c r="M681" s="604" t="s">
        <v>271</v>
      </c>
      <c r="N681" s="592"/>
      <c r="O681" s="179"/>
      <c r="P681" s="180"/>
      <c r="Q681" s="180">
        <v>14900000</v>
      </c>
      <c r="R681" s="181">
        <f t="shared" ref="R681:R687" si="168">Q681/Q$680*100</f>
        <v>2.2940723633564279</v>
      </c>
      <c r="S681" s="181">
        <v>100</v>
      </c>
      <c r="T681" s="180">
        <f t="shared" ref="T681:T687" si="169">AJ681</f>
        <v>16.778523489932887</v>
      </c>
      <c r="U681" s="180">
        <f t="shared" ref="U681:U687" si="170">R681*T681/100</f>
        <v>0.38491147036181678</v>
      </c>
      <c r="V681" s="182">
        <f t="shared" ref="V681:V687" si="171">S681-T681</f>
        <v>83.221476510067106</v>
      </c>
      <c r="W681" s="180"/>
      <c r="X681" s="180"/>
      <c r="Y681" s="180"/>
      <c r="Z681" s="180"/>
      <c r="AA681" s="180"/>
      <c r="AB681" s="180"/>
      <c r="AC681" s="180"/>
      <c r="AD681" s="180"/>
      <c r="AE681" s="180"/>
      <c r="AF681" s="180"/>
      <c r="AG681" s="180"/>
      <c r="AH681" s="180"/>
      <c r="AI681" s="180">
        <v>2500000</v>
      </c>
      <c r="AJ681" s="181">
        <f t="shared" si="155"/>
        <v>16.778523489932887</v>
      </c>
      <c r="AK681" s="180">
        <f t="shared" si="161"/>
        <v>12400000</v>
      </c>
      <c r="AL681" s="181">
        <f t="shared" si="157"/>
        <v>83.22147651006712</v>
      </c>
      <c r="AM681" s="243"/>
    </row>
    <row r="682" spans="1:83" ht="28.5" customHeight="1" x14ac:dyDescent="0.25">
      <c r="A682" s="243"/>
      <c r="B682" s="457"/>
      <c r="C682" s="457"/>
      <c r="D682" s="457"/>
      <c r="E682" s="457"/>
      <c r="F682" s="457"/>
      <c r="G682" s="457"/>
      <c r="H682" s="457"/>
      <c r="I682" s="458"/>
      <c r="J682" s="457" t="s">
        <v>502</v>
      </c>
      <c r="K682" s="245"/>
      <c r="L682" s="257"/>
      <c r="M682" s="604" t="s">
        <v>319</v>
      </c>
      <c r="N682" s="592"/>
      <c r="O682" s="179"/>
      <c r="P682" s="180"/>
      <c r="Q682" s="180">
        <v>200200000</v>
      </c>
      <c r="R682" s="181">
        <f>Q682/Q$680*100</f>
        <v>30.82371054657429</v>
      </c>
      <c r="S682" s="181">
        <v>100</v>
      </c>
      <c r="T682" s="180">
        <f t="shared" si="169"/>
        <v>49.615384615384613</v>
      </c>
      <c r="U682" s="180">
        <f t="shared" si="170"/>
        <v>15.293302540415704</v>
      </c>
      <c r="V682" s="182">
        <f t="shared" si="171"/>
        <v>50.384615384615387</v>
      </c>
      <c r="W682" s="180"/>
      <c r="X682" s="180"/>
      <c r="Y682" s="180"/>
      <c r="Z682" s="180"/>
      <c r="AA682" s="180"/>
      <c r="AB682" s="180"/>
      <c r="AC682" s="180"/>
      <c r="AD682" s="180"/>
      <c r="AE682" s="180"/>
      <c r="AF682" s="180"/>
      <c r="AG682" s="180"/>
      <c r="AH682" s="180"/>
      <c r="AI682" s="180">
        <v>99330000</v>
      </c>
      <c r="AJ682" s="181">
        <f t="shared" si="155"/>
        <v>49.615384615384613</v>
      </c>
      <c r="AK682" s="180">
        <f t="shared" si="161"/>
        <v>100870000</v>
      </c>
      <c r="AL682" s="181">
        <f t="shared" si="157"/>
        <v>50.384615384615387</v>
      </c>
      <c r="AM682" s="243"/>
    </row>
    <row r="683" spans="1:83" ht="28.5" customHeight="1" x14ac:dyDescent="0.25">
      <c r="A683" s="243"/>
      <c r="B683" s="457"/>
      <c r="C683" s="457"/>
      <c r="D683" s="457"/>
      <c r="E683" s="457"/>
      <c r="F683" s="457"/>
      <c r="G683" s="457"/>
      <c r="H683" s="457"/>
      <c r="I683" s="458"/>
      <c r="J683" s="457" t="s">
        <v>625</v>
      </c>
      <c r="K683" s="245"/>
      <c r="L683" s="257"/>
      <c r="M683" s="604" t="s">
        <v>281</v>
      </c>
      <c r="N683" s="592"/>
      <c r="O683" s="179"/>
      <c r="P683" s="180"/>
      <c r="Q683" s="180">
        <v>25200000</v>
      </c>
      <c r="R683" s="181">
        <f>Q683/Q$680*100</f>
        <v>3.8799076212471131</v>
      </c>
      <c r="S683" s="181">
        <v>100</v>
      </c>
      <c r="T683" s="180">
        <f t="shared" si="169"/>
        <v>9.7222222222222232</v>
      </c>
      <c r="U683" s="180">
        <f t="shared" si="170"/>
        <v>0.37721324095458042</v>
      </c>
      <c r="V683" s="182">
        <f t="shared" si="171"/>
        <v>90.277777777777771</v>
      </c>
      <c r="W683" s="180"/>
      <c r="X683" s="180"/>
      <c r="Y683" s="180"/>
      <c r="Z683" s="180"/>
      <c r="AA683" s="180"/>
      <c r="AB683" s="180"/>
      <c r="AC683" s="180"/>
      <c r="AD683" s="180"/>
      <c r="AE683" s="180"/>
      <c r="AF683" s="180"/>
      <c r="AG683" s="180"/>
      <c r="AH683" s="180"/>
      <c r="AI683" s="180">
        <v>2450000</v>
      </c>
      <c r="AJ683" s="181">
        <f t="shared" si="155"/>
        <v>9.7222222222222232</v>
      </c>
      <c r="AK683" s="180">
        <f t="shared" si="161"/>
        <v>22750000</v>
      </c>
      <c r="AL683" s="181">
        <f t="shared" si="157"/>
        <v>90.277777777777786</v>
      </c>
      <c r="AM683" s="243"/>
    </row>
    <row r="684" spans="1:83" ht="28.5" customHeight="1" x14ac:dyDescent="0.25">
      <c r="A684" s="243"/>
      <c r="B684" s="457"/>
      <c r="C684" s="457"/>
      <c r="D684" s="457"/>
      <c r="E684" s="457"/>
      <c r="F684" s="457"/>
      <c r="G684" s="457"/>
      <c r="H684" s="457"/>
      <c r="I684" s="458"/>
      <c r="J684" s="457" t="s">
        <v>538</v>
      </c>
      <c r="K684" s="245"/>
      <c r="L684" s="257"/>
      <c r="M684" s="605" t="s">
        <v>626</v>
      </c>
      <c r="N684" s="606"/>
      <c r="O684" s="179"/>
      <c r="P684" s="180"/>
      <c r="Q684" s="180">
        <v>92000000</v>
      </c>
      <c r="R684" s="181">
        <f t="shared" si="168"/>
        <v>14.164742109314856</v>
      </c>
      <c r="S684" s="181">
        <v>100</v>
      </c>
      <c r="T684" s="180">
        <f t="shared" si="169"/>
        <v>0</v>
      </c>
      <c r="U684" s="180">
        <f t="shared" si="170"/>
        <v>0</v>
      </c>
      <c r="V684" s="182">
        <f t="shared" si="171"/>
        <v>100</v>
      </c>
      <c r="W684" s="180"/>
      <c r="X684" s="180"/>
      <c r="Y684" s="180"/>
      <c r="Z684" s="180"/>
      <c r="AA684" s="180"/>
      <c r="AB684" s="180"/>
      <c r="AC684" s="180"/>
      <c r="AD684" s="180"/>
      <c r="AE684" s="180"/>
      <c r="AF684" s="180"/>
      <c r="AG684" s="180"/>
      <c r="AH684" s="180"/>
      <c r="AI684" s="180">
        <v>0</v>
      </c>
      <c r="AJ684" s="181">
        <f t="shared" si="155"/>
        <v>0</v>
      </c>
      <c r="AK684" s="180">
        <f t="shared" si="161"/>
        <v>92000000</v>
      </c>
      <c r="AL684" s="181">
        <f t="shared" si="157"/>
        <v>100</v>
      </c>
      <c r="AM684" s="243"/>
    </row>
    <row r="685" spans="1:83" ht="28.5" customHeight="1" x14ac:dyDescent="0.25">
      <c r="A685" s="243"/>
      <c r="B685" s="457"/>
      <c r="C685" s="457"/>
      <c r="D685" s="457"/>
      <c r="E685" s="457"/>
      <c r="F685" s="457"/>
      <c r="G685" s="457"/>
      <c r="H685" s="457"/>
      <c r="I685" s="458"/>
      <c r="J685" s="457" t="s">
        <v>629</v>
      </c>
      <c r="K685" s="245"/>
      <c r="L685" s="257"/>
      <c r="M685" s="605" t="s">
        <v>321</v>
      </c>
      <c r="N685" s="606"/>
      <c r="O685" s="179"/>
      <c r="P685" s="180"/>
      <c r="Q685" s="180">
        <v>9200000</v>
      </c>
      <c r="R685" s="181">
        <f t="shared" si="168"/>
        <v>1.4164742109314856</v>
      </c>
      <c r="S685" s="181">
        <v>100</v>
      </c>
      <c r="T685" s="180">
        <f t="shared" si="169"/>
        <v>0</v>
      </c>
      <c r="U685" s="180">
        <f t="shared" si="170"/>
        <v>0</v>
      </c>
      <c r="V685" s="182">
        <f t="shared" si="171"/>
        <v>100</v>
      </c>
      <c r="W685" s="180"/>
      <c r="X685" s="180"/>
      <c r="Y685" s="180"/>
      <c r="Z685" s="180"/>
      <c r="AA685" s="180"/>
      <c r="AB685" s="180"/>
      <c r="AC685" s="180"/>
      <c r="AD685" s="180"/>
      <c r="AE685" s="180"/>
      <c r="AF685" s="180"/>
      <c r="AG685" s="180"/>
      <c r="AH685" s="180"/>
      <c r="AI685" s="180">
        <v>0</v>
      </c>
      <c r="AJ685" s="181">
        <f t="shared" ref="AJ685:AJ687" si="172">AI685/Q685*100</f>
        <v>0</v>
      </c>
      <c r="AK685" s="180">
        <f t="shared" si="161"/>
        <v>9200000</v>
      </c>
      <c r="AL685" s="181">
        <f t="shared" si="157"/>
        <v>100</v>
      </c>
      <c r="AM685" s="243"/>
    </row>
    <row r="686" spans="1:83" ht="28.5" customHeight="1" x14ac:dyDescent="0.25">
      <c r="A686" s="243"/>
      <c r="B686" s="457"/>
      <c r="C686" s="457"/>
      <c r="D686" s="457"/>
      <c r="E686" s="457"/>
      <c r="F686" s="457"/>
      <c r="G686" s="457"/>
      <c r="H686" s="457"/>
      <c r="I686" s="458"/>
      <c r="J686" s="457" t="s">
        <v>628</v>
      </c>
      <c r="K686" s="245"/>
      <c r="L686" s="257"/>
      <c r="M686" s="605" t="s">
        <v>310</v>
      </c>
      <c r="N686" s="606"/>
      <c r="O686" s="179"/>
      <c r="P686" s="180"/>
      <c r="Q686" s="180">
        <v>300000000</v>
      </c>
      <c r="R686" s="181">
        <f t="shared" si="168"/>
        <v>46.189376443418013</v>
      </c>
      <c r="S686" s="181">
        <v>100</v>
      </c>
      <c r="T686" s="180">
        <f t="shared" si="169"/>
        <v>0</v>
      </c>
      <c r="U686" s="180">
        <f t="shared" si="170"/>
        <v>0</v>
      </c>
      <c r="V686" s="182">
        <f t="shared" si="171"/>
        <v>100</v>
      </c>
      <c r="W686" s="180"/>
      <c r="X686" s="180"/>
      <c r="Y686" s="180"/>
      <c r="Z686" s="180"/>
      <c r="AA686" s="180"/>
      <c r="AB686" s="180"/>
      <c r="AC686" s="180"/>
      <c r="AD686" s="180"/>
      <c r="AE686" s="180"/>
      <c r="AF686" s="180"/>
      <c r="AG686" s="180"/>
      <c r="AH686" s="180"/>
      <c r="AI686" s="180">
        <v>0</v>
      </c>
      <c r="AJ686" s="181">
        <f t="shared" si="172"/>
        <v>0</v>
      </c>
      <c r="AK686" s="180">
        <f t="shared" si="161"/>
        <v>300000000</v>
      </c>
      <c r="AL686" s="181">
        <f t="shared" si="157"/>
        <v>100</v>
      </c>
      <c r="AM686" s="243"/>
    </row>
    <row r="687" spans="1:83" ht="24.75" customHeight="1" x14ac:dyDescent="0.25">
      <c r="A687" s="243"/>
      <c r="B687" s="597" t="s">
        <v>158</v>
      </c>
      <c r="C687" s="597"/>
      <c r="D687" s="597"/>
      <c r="E687" s="597"/>
      <c r="F687" s="597"/>
      <c r="G687" s="597"/>
      <c r="H687" s="597"/>
      <c r="I687" s="598"/>
      <c r="J687" s="457" t="s">
        <v>627</v>
      </c>
      <c r="K687" s="314"/>
      <c r="L687" s="315"/>
      <c r="M687" s="599" t="s">
        <v>607</v>
      </c>
      <c r="N687" s="600"/>
      <c r="O687" s="316"/>
      <c r="P687" s="316"/>
      <c r="Q687" s="317">
        <v>8000000</v>
      </c>
      <c r="R687" s="181">
        <f t="shared" si="168"/>
        <v>1.2317167051578137</v>
      </c>
      <c r="S687" s="181">
        <v>100</v>
      </c>
      <c r="T687" s="180">
        <f t="shared" si="169"/>
        <v>0</v>
      </c>
      <c r="U687" s="180">
        <f t="shared" si="170"/>
        <v>0</v>
      </c>
      <c r="V687" s="182">
        <f t="shared" si="171"/>
        <v>100</v>
      </c>
      <c r="W687" s="316"/>
      <c r="X687" s="316"/>
      <c r="Y687" s="316"/>
      <c r="Z687" s="316"/>
      <c r="AA687" s="316"/>
      <c r="AB687" s="316"/>
      <c r="AC687" s="316"/>
      <c r="AD687" s="316"/>
      <c r="AE687" s="316"/>
      <c r="AF687" s="316"/>
      <c r="AG687" s="316"/>
      <c r="AH687" s="316"/>
      <c r="AI687" s="180">
        <v>0</v>
      </c>
      <c r="AJ687" s="181">
        <f t="shared" si="172"/>
        <v>0</v>
      </c>
      <c r="AK687" s="180">
        <f t="shared" si="161"/>
        <v>8000000</v>
      </c>
      <c r="AL687" s="181">
        <f t="shared" si="157"/>
        <v>100</v>
      </c>
      <c r="AM687" s="243"/>
      <c r="AQ687" s="318"/>
      <c r="AR687" s="318"/>
      <c r="AS687" s="318"/>
      <c r="AT687" s="318"/>
      <c r="AU687" s="318"/>
      <c r="AV687" s="318"/>
      <c r="AW687" s="318"/>
      <c r="AX687" s="318"/>
      <c r="AY687" s="318"/>
      <c r="AZ687" s="318"/>
      <c r="BA687" s="318"/>
      <c r="BB687" s="318"/>
      <c r="BC687" s="318"/>
      <c r="BD687" s="318"/>
      <c r="BE687" s="318"/>
      <c r="BF687" s="318"/>
      <c r="BG687" s="318"/>
      <c r="BH687" s="318"/>
      <c r="BI687" s="318"/>
      <c r="BJ687" s="318"/>
      <c r="BK687" s="318"/>
      <c r="BL687" s="318"/>
      <c r="BM687" s="318"/>
      <c r="BN687" s="318"/>
      <c r="BO687" s="318"/>
      <c r="BP687" s="318"/>
      <c r="BQ687" s="318"/>
      <c r="BR687" s="318"/>
      <c r="BS687" s="318"/>
      <c r="BT687" s="318"/>
      <c r="BU687" s="318"/>
      <c r="BV687" s="318"/>
      <c r="BW687" s="318"/>
      <c r="BX687" s="318"/>
      <c r="BY687" s="318"/>
      <c r="BZ687" s="318"/>
      <c r="CA687" s="318"/>
      <c r="CB687" s="318"/>
      <c r="CC687" s="318"/>
      <c r="CD687" s="318"/>
      <c r="CE687" s="318"/>
    </row>
    <row r="688" spans="1:83" s="319" customFormat="1" ht="24" customHeight="1" x14ac:dyDescent="0.25">
      <c r="B688" s="601" t="s">
        <v>166</v>
      </c>
      <c r="C688" s="601"/>
      <c r="D688" s="601"/>
      <c r="E688" s="601"/>
      <c r="F688" s="601"/>
      <c r="G688" s="601"/>
      <c r="H688" s="601"/>
      <c r="I688" s="601"/>
      <c r="J688" s="459"/>
      <c r="L688" s="601"/>
      <c r="M688" s="601"/>
      <c r="N688" s="601"/>
      <c r="O688" s="321" t="e">
        <f>SUM(#REF!)</f>
        <v>#REF!</v>
      </c>
      <c r="P688" s="321" t="e">
        <f>SUM(#REF!)</f>
        <v>#REF!</v>
      </c>
      <c r="Q688" s="321"/>
      <c r="R688" s="322"/>
      <c r="S688" s="322"/>
      <c r="T688" s="321"/>
      <c r="U688" s="321"/>
      <c r="V688" s="323"/>
      <c r="W688" s="321"/>
      <c r="X688" s="321"/>
      <c r="Y688" s="321"/>
      <c r="Z688" s="321"/>
      <c r="AA688" s="321"/>
      <c r="AB688" s="321"/>
      <c r="AC688" s="321"/>
      <c r="AD688" s="321"/>
      <c r="AE688" s="321"/>
      <c r="AF688" s="321"/>
      <c r="AG688" s="321"/>
      <c r="AH688" s="321"/>
      <c r="AI688" s="321"/>
      <c r="AJ688" s="322"/>
      <c r="AK688" s="321"/>
      <c r="AL688" s="322"/>
      <c r="AQ688" s="325"/>
      <c r="AR688" s="325"/>
      <c r="AS688" s="325"/>
      <c r="AT688" s="325"/>
      <c r="AU688" s="325"/>
      <c r="AV688" s="325"/>
      <c r="AW688" s="325"/>
      <c r="AX688" s="325"/>
      <c r="AY688" s="325"/>
      <c r="AZ688" s="325"/>
      <c r="BA688" s="325"/>
      <c r="BB688" s="325"/>
      <c r="BC688" s="325"/>
      <c r="BD688" s="325"/>
      <c r="BE688" s="325"/>
      <c r="BF688" s="325"/>
      <c r="BG688" s="325"/>
      <c r="BH688" s="325"/>
      <c r="BI688" s="325"/>
      <c r="BJ688" s="325"/>
      <c r="BK688" s="325"/>
      <c r="BL688" s="325"/>
      <c r="BM688" s="325"/>
      <c r="BN688" s="325"/>
      <c r="BO688" s="325"/>
      <c r="BP688" s="325"/>
      <c r="BQ688" s="325"/>
      <c r="BR688" s="325"/>
      <c r="BS688" s="325"/>
      <c r="BT688" s="325"/>
      <c r="BU688" s="325"/>
      <c r="BV688" s="325"/>
      <c r="BW688" s="325"/>
      <c r="BX688" s="325"/>
      <c r="BY688" s="325"/>
      <c r="BZ688" s="325"/>
      <c r="CA688" s="325"/>
      <c r="CB688" s="325"/>
      <c r="CC688" s="325"/>
      <c r="CD688" s="325"/>
      <c r="CE688" s="325"/>
    </row>
    <row r="689" spans="1:39" s="325" customFormat="1" ht="24" customHeight="1" x14ac:dyDescent="0.25">
      <c r="B689" s="326"/>
      <c r="C689" s="326"/>
      <c r="D689" s="326"/>
      <c r="E689" s="326"/>
      <c r="F689" s="326"/>
      <c r="G689" s="326"/>
      <c r="H689" s="326"/>
      <c r="I689" s="326"/>
      <c r="J689" s="326"/>
      <c r="L689" s="326"/>
      <c r="M689" s="326"/>
      <c r="N689" s="326"/>
      <c r="O689" s="327"/>
      <c r="P689" s="327"/>
      <c r="Q689" s="327"/>
      <c r="R689" s="328"/>
      <c r="S689" s="328"/>
      <c r="T689" s="327"/>
      <c r="U689" s="327"/>
      <c r="V689" s="329"/>
      <c r="W689" s="327"/>
      <c r="X689" s="327"/>
      <c r="Y689" s="327"/>
      <c r="Z689" s="327"/>
      <c r="AA689" s="327"/>
      <c r="AB689" s="327"/>
      <c r="AC689" s="327"/>
      <c r="AD689" s="327"/>
      <c r="AE689" s="327"/>
      <c r="AF689" s="327"/>
      <c r="AG689" s="327"/>
      <c r="AH689" s="327"/>
      <c r="AI689" s="602" t="s">
        <v>542</v>
      </c>
      <c r="AJ689" s="602"/>
      <c r="AK689" s="602"/>
      <c r="AL689" s="602"/>
    </row>
    <row r="690" spans="1:39" s="325" customFormat="1" ht="24" customHeight="1" x14ac:dyDescent="0.25">
      <c r="B690" s="326"/>
      <c r="C690" s="326"/>
      <c r="D690" s="326"/>
      <c r="E690" s="326"/>
      <c r="F690" s="326"/>
      <c r="G690" s="326"/>
      <c r="H690" s="326"/>
      <c r="I690" s="326"/>
      <c r="J690" s="326"/>
      <c r="L690" s="326"/>
      <c r="M690" s="326"/>
      <c r="N690" s="326"/>
      <c r="O690" s="327"/>
      <c r="P690" s="327"/>
      <c r="Q690" s="327"/>
      <c r="R690" s="328"/>
      <c r="S690" s="328"/>
      <c r="T690" s="327"/>
      <c r="U690" s="327"/>
      <c r="V690" s="329"/>
      <c r="W690" s="327"/>
      <c r="X690" s="327"/>
      <c r="Y690" s="327"/>
      <c r="Z690" s="327"/>
      <c r="AA690" s="327"/>
      <c r="AB690" s="327"/>
      <c r="AC690" s="327"/>
      <c r="AD690" s="327"/>
      <c r="AE690" s="327"/>
      <c r="AF690" s="327"/>
      <c r="AG690" s="327"/>
      <c r="AH690" s="327"/>
      <c r="AI690" s="603" t="s">
        <v>543</v>
      </c>
      <c r="AJ690" s="603"/>
      <c r="AK690" s="603"/>
      <c r="AL690" s="603"/>
    </row>
    <row r="691" spans="1:39" s="325" customFormat="1" ht="24" customHeight="1" x14ac:dyDescent="0.25">
      <c r="B691" s="326"/>
      <c r="C691" s="326"/>
      <c r="D691" s="326"/>
      <c r="E691" s="326"/>
      <c r="F691" s="326"/>
      <c r="G691" s="326"/>
      <c r="H691" s="326"/>
      <c r="I691" s="326"/>
      <c r="J691" s="326"/>
      <c r="L691" s="326"/>
      <c r="M691" s="326"/>
      <c r="N691" s="326"/>
      <c r="O691" s="327"/>
      <c r="P691" s="327"/>
      <c r="Q691" s="327"/>
      <c r="R691" s="328"/>
      <c r="S691" s="328"/>
      <c r="T691" s="327"/>
      <c r="U691" s="327"/>
      <c r="V691" s="329"/>
      <c r="W691" s="327"/>
      <c r="X691" s="327"/>
      <c r="Y691" s="327"/>
      <c r="Z691" s="327"/>
      <c r="AA691" s="327"/>
      <c r="AB691" s="327"/>
      <c r="AC691" s="327"/>
      <c r="AD691" s="327"/>
      <c r="AE691" s="327"/>
      <c r="AF691" s="327"/>
      <c r="AG691" s="327"/>
      <c r="AH691" s="327"/>
      <c r="AI691" s="311" t="s">
        <v>648</v>
      </c>
      <c r="AJ691" s="297"/>
      <c r="AK691" s="406"/>
      <c r="AL691" s="328"/>
    </row>
    <row r="692" spans="1:39" ht="13.5" customHeight="1" x14ac:dyDescent="0.25">
      <c r="AI692" s="311"/>
      <c r="AJ692" s="297"/>
      <c r="AK692" s="406"/>
    </row>
    <row r="693" spans="1:39" ht="13.5" customHeight="1" x14ac:dyDescent="0.25">
      <c r="A693" s="204"/>
      <c r="B693" s="204"/>
      <c r="C693" s="204"/>
      <c r="D693" s="204"/>
      <c r="E693" s="204"/>
      <c r="F693" s="204"/>
      <c r="G693" s="204"/>
      <c r="H693" s="204"/>
      <c r="I693" s="204"/>
      <c r="J693" s="204"/>
      <c r="K693" s="204"/>
      <c r="L693" s="204"/>
      <c r="M693" s="204"/>
      <c r="N693" s="332"/>
      <c r="O693" s="204"/>
      <c r="P693" s="204"/>
      <c r="Q693" s="204"/>
      <c r="R693" s="204"/>
      <c r="S693" s="204"/>
      <c r="T693" s="204"/>
      <c r="U693" s="204"/>
      <c r="V693" s="333"/>
      <c r="W693" s="204"/>
      <c r="X693" s="204"/>
      <c r="Y693" s="204"/>
      <c r="Z693" s="204"/>
      <c r="AA693" s="204"/>
      <c r="AB693" s="204"/>
      <c r="AC693" s="204"/>
      <c r="AD693" s="204"/>
      <c r="AE693" s="204"/>
      <c r="AF693" s="204"/>
      <c r="AG693" s="204"/>
      <c r="AH693" s="204"/>
      <c r="AI693" s="311"/>
      <c r="AJ693" s="297"/>
      <c r="AK693" s="406"/>
      <c r="AL693" s="204"/>
      <c r="AM693" s="204"/>
    </row>
    <row r="694" spans="1:39" ht="13.5" customHeight="1" x14ac:dyDescent="0.25">
      <c r="A694" s="204"/>
      <c r="B694" s="204"/>
      <c r="C694" s="204"/>
      <c r="D694" s="204"/>
      <c r="E694" s="204"/>
      <c r="F694" s="204"/>
      <c r="G694" s="204"/>
      <c r="H694" s="204"/>
      <c r="I694" s="204"/>
      <c r="J694" s="204"/>
      <c r="K694" s="204"/>
      <c r="L694" s="204"/>
      <c r="M694" s="204"/>
      <c r="N694" s="204"/>
      <c r="O694" s="204"/>
      <c r="P694" s="204"/>
      <c r="Q694" s="204"/>
      <c r="R694" s="204"/>
      <c r="S694" s="204"/>
      <c r="T694" s="204"/>
      <c r="U694" s="204"/>
      <c r="V694" s="333"/>
      <c r="W694" s="204"/>
      <c r="X694" s="204"/>
      <c r="Y694" s="204"/>
      <c r="Z694" s="204"/>
      <c r="AA694" s="204"/>
      <c r="AB694" s="204"/>
      <c r="AC694" s="204"/>
      <c r="AD694" s="204"/>
      <c r="AE694" s="204"/>
      <c r="AF694" s="204"/>
      <c r="AG694" s="204"/>
      <c r="AH694" s="204"/>
      <c r="AI694" s="311"/>
      <c r="AJ694" s="297"/>
      <c r="AK694" s="406"/>
      <c r="AL694" s="204"/>
      <c r="AM694" s="204"/>
    </row>
    <row r="695" spans="1:39" ht="13.5" customHeight="1" x14ac:dyDescent="0.25">
      <c r="A695" s="204"/>
      <c r="B695" s="204"/>
      <c r="C695" s="204"/>
      <c r="D695" s="204"/>
      <c r="E695" s="204"/>
      <c r="F695" s="204"/>
      <c r="G695" s="204"/>
      <c r="H695" s="204"/>
      <c r="I695" s="204"/>
      <c r="J695" s="204"/>
      <c r="K695" s="204"/>
      <c r="L695" s="204"/>
      <c r="M695" s="204"/>
      <c r="N695" s="204"/>
      <c r="AI695" s="595" t="s">
        <v>216</v>
      </c>
      <c r="AJ695" s="595"/>
      <c r="AK695" s="595"/>
      <c r="AL695" s="595"/>
    </row>
    <row r="696" spans="1:39" ht="13.5" customHeight="1" x14ac:dyDescent="0.25">
      <c r="A696" s="334"/>
      <c r="B696" s="204"/>
      <c r="C696" s="204"/>
      <c r="D696" s="204"/>
      <c r="E696" s="204"/>
      <c r="F696" s="204"/>
      <c r="G696" s="204"/>
      <c r="H696" s="204"/>
      <c r="I696" s="204"/>
      <c r="J696" s="204"/>
      <c r="K696" s="204"/>
      <c r="L696" s="204"/>
      <c r="M696" s="204"/>
      <c r="N696" s="204"/>
      <c r="AI696" s="596" t="s">
        <v>217</v>
      </c>
      <c r="AJ696" s="596"/>
      <c r="AK696" s="596"/>
      <c r="AL696" s="596"/>
    </row>
    <row r="697" spans="1:39" ht="13.5" customHeight="1" x14ac:dyDescent="0.25">
      <c r="A697" s="204"/>
      <c r="B697" s="204"/>
      <c r="C697" s="204"/>
      <c r="D697" s="204"/>
      <c r="E697" s="204"/>
      <c r="F697" s="204"/>
      <c r="G697" s="204"/>
      <c r="H697" s="204"/>
      <c r="I697" s="204"/>
      <c r="J697" s="204"/>
      <c r="K697" s="204"/>
      <c r="L697" s="204"/>
      <c r="M697" s="204"/>
      <c r="N697" s="204"/>
    </row>
    <row r="698" spans="1:39" ht="13.5" customHeight="1" x14ac:dyDescent="0.25">
      <c r="A698" s="204"/>
      <c r="B698" s="204"/>
      <c r="C698" s="204"/>
      <c r="D698" s="204"/>
      <c r="E698" s="204"/>
      <c r="F698" s="204"/>
      <c r="G698" s="204"/>
      <c r="H698" s="204"/>
      <c r="I698" s="204"/>
      <c r="J698" s="204"/>
      <c r="K698" s="204"/>
      <c r="L698" s="204"/>
      <c r="M698" s="204"/>
      <c r="N698" s="204"/>
    </row>
    <row r="699" spans="1:39" ht="13.5" customHeight="1" x14ac:dyDescent="0.25">
      <c r="A699" s="337"/>
      <c r="B699" s="204"/>
      <c r="C699" s="204"/>
      <c r="D699" s="204"/>
      <c r="E699" s="204"/>
      <c r="F699" s="204"/>
      <c r="G699" s="204"/>
      <c r="H699" s="204"/>
      <c r="I699" s="204"/>
      <c r="J699" s="204"/>
      <c r="K699" s="204"/>
      <c r="L699" s="204"/>
      <c r="M699" s="204"/>
      <c r="N699" s="204"/>
    </row>
    <row r="700" spans="1:39" ht="13.5" customHeight="1" x14ac:dyDescent="0.25">
      <c r="A700" s="204"/>
      <c r="B700" s="204"/>
      <c r="C700" s="204"/>
      <c r="D700" s="204"/>
      <c r="E700" s="204"/>
      <c r="F700" s="204"/>
      <c r="G700" s="204"/>
      <c r="H700" s="204"/>
      <c r="I700" s="204"/>
      <c r="J700" s="204"/>
      <c r="K700" s="204"/>
      <c r="L700" s="204"/>
      <c r="M700" s="204"/>
      <c r="N700" s="204"/>
    </row>
    <row r="701" spans="1:39" ht="13.5" customHeight="1" x14ac:dyDescent="0.25">
      <c r="A701" s="204"/>
      <c r="B701" s="204"/>
      <c r="C701" s="204"/>
      <c r="D701" s="204"/>
      <c r="E701" s="204"/>
      <c r="F701" s="204"/>
      <c r="G701" s="204"/>
      <c r="H701" s="204"/>
      <c r="I701" s="204"/>
      <c r="J701" s="204"/>
      <c r="K701" s="204"/>
      <c r="L701" s="204"/>
      <c r="M701" s="204"/>
      <c r="N701" s="204"/>
    </row>
    <row r="702" spans="1:39" ht="13.5" customHeight="1" x14ac:dyDescent="0.25">
      <c r="A702" s="204"/>
      <c r="B702" s="204"/>
      <c r="C702" s="204"/>
      <c r="D702" s="204"/>
      <c r="E702" s="204"/>
      <c r="F702" s="204"/>
      <c r="G702" s="204"/>
      <c r="H702" s="204"/>
      <c r="I702" s="204"/>
      <c r="J702" s="204"/>
      <c r="K702" s="204"/>
      <c r="L702" s="204"/>
      <c r="M702" s="204"/>
      <c r="N702" s="204"/>
    </row>
    <row r="703" spans="1:39" ht="13.5" customHeight="1" x14ac:dyDescent="0.25">
      <c r="A703" s="337"/>
      <c r="B703" s="204"/>
      <c r="C703" s="204"/>
      <c r="D703" s="204"/>
      <c r="E703" s="204"/>
      <c r="F703" s="204"/>
      <c r="G703" s="204"/>
      <c r="H703" s="204"/>
      <c r="I703" s="204"/>
      <c r="J703" s="204"/>
      <c r="K703" s="204"/>
      <c r="L703" s="204"/>
      <c r="M703" s="204"/>
      <c r="N703" s="204"/>
    </row>
    <row r="704" spans="1:39" ht="13.5" customHeight="1" x14ac:dyDescent="0.25">
      <c r="A704" s="204"/>
      <c r="B704" s="204"/>
      <c r="C704" s="204"/>
      <c r="D704" s="204"/>
      <c r="E704" s="204"/>
      <c r="F704" s="204"/>
      <c r="G704" s="204"/>
      <c r="H704" s="204"/>
      <c r="I704" s="204"/>
      <c r="J704" s="204"/>
      <c r="K704" s="204"/>
      <c r="L704" s="204"/>
      <c r="M704" s="204"/>
      <c r="N704" s="204"/>
    </row>
    <row r="705" spans="1:35" ht="13.5" customHeight="1" x14ac:dyDescent="0.25">
      <c r="A705" s="204"/>
      <c r="B705" s="204"/>
      <c r="C705" s="204"/>
      <c r="D705" s="204"/>
      <c r="E705" s="204"/>
      <c r="F705" s="204"/>
      <c r="G705" s="204"/>
      <c r="H705" s="204"/>
      <c r="I705" s="204"/>
      <c r="J705" s="204"/>
      <c r="K705" s="204"/>
      <c r="L705" s="204"/>
      <c r="M705" s="204"/>
      <c r="N705" s="204"/>
    </row>
    <row r="706" spans="1:35" ht="13.5" customHeight="1" x14ac:dyDescent="0.25">
      <c r="A706" s="334"/>
      <c r="B706" s="204"/>
      <c r="C706" s="204"/>
      <c r="D706" s="204"/>
      <c r="E706" s="204"/>
      <c r="F706" s="204"/>
      <c r="G706" s="204"/>
      <c r="H706" s="204"/>
      <c r="I706" s="204"/>
      <c r="J706" s="204"/>
      <c r="K706" s="204"/>
      <c r="L706" s="204"/>
      <c r="M706" s="204"/>
      <c r="N706" s="204"/>
    </row>
    <row r="707" spans="1:35" ht="13.5" customHeight="1" x14ac:dyDescent="0.25">
      <c r="A707" s="333"/>
      <c r="B707" s="338"/>
      <c r="C707" s="338"/>
      <c r="D707" s="338"/>
      <c r="E707" s="338"/>
      <c r="F707" s="338"/>
      <c r="G707" s="338"/>
      <c r="H707" s="338"/>
      <c r="I707" s="338"/>
      <c r="J707" s="338"/>
      <c r="K707" s="333"/>
      <c r="L707" s="204"/>
      <c r="M707" s="204"/>
      <c r="N707" s="204"/>
    </row>
    <row r="708" spans="1:35" ht="13.5" customHeight="1" x14ac:dyDescent="0.25">
      <c r="A708" s="333">
        <v>0</v>
      </c>
      <c r="B708" s="338"/>
      <c r="C708" s="338"/>
      <c r="D708" s="338"/>
      <c r="E708" s="338"/>
      <c r="F708" s="338"/>
      <c r="G708" s="338"/>
      <c r="H708" s="338"/>
      <c r="I708" s="338"/>
      <c r="J708" s="338"/>
      <c r="K708" s="333" t="s">
        <v>190</v>
      </c>
      <c r="L708" s="204"/>
      <c r="M708" s="204"/>
      <c r="N708" s="204"/>
    </row>
    <row r="709" spans="1:35" ht="13.5" customHeight="1" x14ac:dyDescent="0.25">
      <c r="A709" s="333">
        <f>A707-A708</f>
        <v>0</v>
      </c>
      <c r="B709" s="338"/>
      <c r="C709" s="338"/>
      <c r="D709" s="338"/>
      <c r="E709" s="338"/>
      <c r="F709" s="338"/>
      <c r="G709" s="338"/>
      <c r="H709" s="338"/>
      <c r="I709" s="338"/>
      <c r="J709" s="338"/>
      <c r="K709" s="333" t="s">
        <v>191</v>
      </c>
      <c r="L709" s="204"/>
      <c r="M709" s="204"/>
      <c r="N709" s="204"/>
    </row>
    <row r="710" spans="1:35" ht="13.5" customHeight="1" x14ac:dyDescent="0.25">
      <c r="A710" s="204"/>
      <c r="B710" s="204"/>
      <c r="C710" s="204"/>
      <c r="D710" s="204"/>
      <c r="E710" s="204"/>
      <c r="F710" s="204"/>
      <c r="G710" s="204"/>
      <c r="H710" s="204"/>
      <c r="I710" s="204"/>
      <c r="J710" s="204"/>
      <c r="K710" s="204"/>
      <c r="L710" s="204"/>
      <c r="M710" s="204"/>
      <c r="N710" s="204"/>
    </row>
    <row r="711" spans="1:35" ht="13.5" customHeight="1" x14ac:dyDescent="0.25">
      <c r="A711" s="204">
        <v>7</v>
      </c>
      <c r="B711" s="204"/>
      <c r="C711" s="204"/>
      <c r="D711" s="204"/>
      <c r="E711" s="204"/>
      <c r="F711" s="204"/>
      <c r="G711" s="204"/>
      <c r="H711" s="204"/>
      <c r="I711" s="204"/>
      <c r="J711" s="204"/>
      <c r="K711" s="204" t="s">
        <v>168</v>
      </c>
      <c r="L711" s="204"/>
      <c r="M711" s="204"/>
      <c r="N711" s="332" t="s">
        <v>169</v>
      </c>
      <c r="O711" s="204"/>
      <c r="P711" s="204"/>
      <c r="Q711" s="204"/>
      <c r="R711" s="204"/>
      <c r="S711" s="204"/>
      <c r="T711" s="204"/>
      <c r="U711" s="204"/>
    </row>
    <row r="712" spans="1:35" ht="13.5" customHeight="1" x14ac:dyDescent="0.25">
      <c r="A712" s="204" t="e">
        <f>#REF!</f>
        <v>#REF!</v>
      </c>
      <c r="B712" s="204"/>
      <c r="C712" s="204"/>
      <c r="D712" s="204"/>
      <c r="E712" s="204"/>
      <c r="F712" s="204"/>
      <c r="G712" s="204"/>
      <c r="H712" s="204"/>
      <c r="I712" s="204"/>
      <c r="J712" s="204"/>
      <c r="K712" s="204" t="s">
        <v>170</v>
      </c>
      <c r="L712" s="204"/>
      <c r="M712" s="204"/>
      <c r="N712" s="204" t="s">
        <v>171</v>
      </c>
      <c r="O712" s="204"/>
      <c r="P712" s="204"/>
      <c r="Q712" s="204"/>
      <c r="R712" s="204"/>
      <c r="S712" s="204"/>
      <c r="T712" s="204"/>
      <c r="U712" s="204"/>
      <c r="V712" s="205"/>
      <c r="AI712" s="205"/>
    </row>
    <row r="713" spans="1:35" ht="13.5" customHeight="1" x14ac:dyDescent="0.25">
      <c r="A713" s="204"/>
      <c r="B713" s="204"/>
      <c r="C713" s="204"/>
      <c r="D713" s="204"/>
      <c r="E713" s="204"/>
      <c r="F713" s="204"/>
      <c r="G713" s="204"/>
      <c r="H713" s="204"/>
      <c r="I713" s="204"/>
      <c r="J713" s="204"/>
      <c r="K713" s="204"/>
      <c r="L713" s="204"/>
      <c r="M713" s="204"/>
      <c r="N713" s="204" t="s">
        <v>172</v>
      </c>
      <c r="V713" s="205"/>
      <c r="AI713" s="205"/>
    </row>
    <row r="714" spans="1:35" ht="13.5" customHeight="1" x14ac:dyDescent="0.25">
      <c r="A714" s="334">
        <f>COUNTIF(T144:T706,"&gt;=95")</f>
        <v>67</v>
      </c>
      <c r="B714" s="204"/>
      <c r="C714" s="204"/>
      <c r="D714" s="204"/>
      <c r="E714" s="204"/>
      <c r="F714" s="204"/>
      <c r="G714" s="204"/>
      <c r="H714" s="204"/>
      <c r="I714" s="204"/>
      <c r="J714" s="204"/>
      <c r="K714" s="204" t="s">
        <v>173</v>
      </c>
      <c r="L714" s="204"/>
      <c r="M714" s="204"/>
      <c r="N714" s="204" t="s">
        <v>174</v>
      </c>
      <c r="V714" s="205"/>
      <c r="AI714" s="205"/>
    </row>
    <row r="715" spans="1:35" ht="13.5" customHeight="1" x14ac:dyDescent="0.25">
      <c r="A715" s="204" t="e">
        <f>A712-A714</f>
        <v>#REF!</v>
      </c>
      <c r="B715" s="204"/>
      <c r="C715" s="204"/>
      <c r="D715" s="204"/>
      <c r="E715" s="204"/>
      <c r="F715" s="204"/>
      <c r="G715" s="204"/>
      <c r="H715" s="204"/>
      <c r="I715" s="204"/>
      <c r="J715" s="204"/>
      <c r="K715" s="204"/>
      <c r="L715" s="204"/>
      <c r="M715" s="204"/>
      <c r="N715" s="204" t="s">
        <v>175</v>
      </c>
      <c r="V715" s="205"/>
      <c r="AI715" s="205"/>
    </row>
    <row r="716" spans="1:35" ht="13.5" customHeight="1" x14ac:dyDescent="0.25">
      <c r="A716" s="204"/>
      <c r="B716" s="204"/>
      <c r="C716" s="204"/>
      <c r="D716" s="204"/>
      <c r="E716" s="204"/>
      <c r="F716" s="204"/>
      <c r="G716" s="204"/>
      <c r="H716" s="204"/>
      <c r="I716" s="204"/>
      <c r="J716" s="204"/>
      <c r="K716" s="204"/>
      <c r="L716" s="204"/>
      <c r="M716" s="204"/>
      <c r="N716" s="204" t="s">
        <v>176</v>
      </c>
      <c r="V716" s="205"/>
      <c r="AI716" s="205"/>
    </row>
    <row r="717" spans="1:35" ht="13.5" customHeight="1" x14ac:dyDescent="0.25">
      <c r="A717" s="337">
        <v>2</v>
      </c>
      <c r="B717" s="204"/>
      <c r="C717" s="204"/>
      <c r="D717" s="204"/>
      <c r="E717" s="204"/>
      <c r="F717" s="204"/>
      <c r="G717" s="204"/>
      <c r="H717" s="204"/>
      <c r="I717" s="204"/>
      <c r="J717" s="204"/>
      <c r="K717" s="204" t="s">
        <v>177</v>
      </c>
      <c r="L717" s="204"/>
      <c r="M717" s="204"/>
      <c r="N717" s="204" t="s">
        <v>178</v>
      </c>
      <c r="V717" s="205"/>
      <c r="AI717" s="205"/>
    </row>
    <row r="718" spans="1:35" ht="13.5" customHeight="1" x14ac:dyDescent="0.25">
      <c r="A718" s="204">
        <f>A711-A717</f>
        <v>5</v>
      </c>
      <c r="B718" s="204"/>
      <c r="C718" s="204"/>
      <c r="D718" s="204"/>
      <c r="E718" s="204"/>
      <c r="F718" s="204"/>
      <c r="G718" s="204"/>
      <c r="H718" s="204"/>
      <c r="I718" s="204"/>
      <c r="J718" s="204"/>
      <c r="K718" s="204"/>
      <c r="L718" s="204"/>
      <c r="M718" s="204"/>
      <c r="N718" s="204" t="s">
        <v>179</v>
      </c>
      <c r="V718" s="205"/>
      <c r="AI718" s="205"/>
    </row>
    <row r="719" spans="1:35" ht="13.5" customHeight="1" x14ac:dyDescent="0.25">
      <c r="A719" s="204"/>
      <c r="B719" s="204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 t="s">
        <v>180</v>
      </c>
      <c r="V719" s="205"/>
      <c r="AI719" s="205"/>
    </row>
    <row r="720" spans="1:35" ht="13.5" customHeight="1" x14ac:dyDescent="0.25">
      <c r="A720" s="204">
        <v>7</v>
      </c>
      <c r="B720" s="204"/>
      <c r="C720" s="204"/>
      <c r="D720" s="204"/>
      <c r="E720" s="204"/>
      <c r="F720" s="204"/>
      <c r="G720" s="204"/>
      <c r="H720" s="204"/>
      <c r="I720" s="204"/>
      <c r="J720" s="204"/>
      <c r="K720" s="204" t="s">
        <v>181</v>
      </c>
      <c r="L720" s="204"/>
      <c r="M720" s="204"/>
      <c r="N720" s="204" t="s">
        <v>182</v>
      </c>
      <c r="V720" s="205"/>
      <c r="AI720" s="205"/>
    </row>
    <row r="721" spans="1:35" ht="13.5" customHeight="1" x14ac:dyDescent="0.25">
      <c r="A721" s="337">
        <v>3</v>
      </c>
      <c r="B721" s="204"/>
      <c r="C721" s="204"/>
      <c r="D721" s="204"/>
      <c r="E721" s="204"/>
      <c r="F721" s="204"/>
      <c r="G721" s="204"/>
      <c r="H721" s="204"/>
      <c r="I721" s="204"/>
      <c r="J721" s="204"/>
      <c r="K721" s="204" t="s">
        <v>183</v>
      </c>
      <c r="L721" s="204"/>
      <c r="M721" s="204"/>
      <c r="N721" s="204" t="s">
        <v>184</v>
      </c>
      <c r="V721" s="205"/>
      <c r="AI721" s="205"/>
    </row>
    <row r="722" spans="1:35" ht="13.5" customHeight="1" x14ac:dyDescent="0.25">
      <c r="A722" s="204">
        <f>A720-A721</f>
        <v>4</v>
      </c>
      <c r="B722" s="204"/>
      <c r="C722" s="204"/>
      <c r="D722" s="204"/>
      <c r="E722" s="204"/>
      <c r="F722" s="204"/>
      <c r="G722" s="204"/>
      <c r="H722" s="204"/>
      <c r="I722" s="204"/>
      <c r="J722" s="204"/>
      <c r="K722" s="204"/>
      <c r="L722" s="204"/>
      <c r="M722" s="204"/>
      <c r="N722" s="204" t="s">
        <v>185</v>
      </c>
      <c r="V722" s="205"/>
      <c r="AI722" s="205"/>
    </row>
    <row r="723" spans="1:35" ht="13.5" customHeight="1" x14ac:dyDescent="0.25">
      <c r="A723" s="204"/>
      <c r="B723" s="204"/>
      <c r="C723" s="204"/>
      <c r="D723" s="204"/>
      <c r="E723" s="204"/>
      <c r="F723" s="204"/>
      <c r="G723" s="204"/>
      <c r="H723" s="204"/>
      <c r="I723" s="204"/>
      <c r="J723" s="204"/>
      <c r="K723" s="204"/>
      <c r="L723" s="204"/>
      <c r="M723" s="204"/>
      <c r="N723" s="204" t="s">
        <v>186</v>
      </c>
      <c r="V723" s="205"/>
      <c r="AI723" s="205"/>
    </row>
    <row r="724" spans="1:35" ht="13.5" customHeight="1" x14ac:dyDescent="0.25">
      <c r="A724" s="334">
        <f>COUNTIF(T144:T706,"0")</f>
        <v>211</v>
      </c>
      <c r="B724" s="204"/>
      <c r="C724" s="204"/>
      <c r="D724" s="204"/>
      <c r="E724" s="204"/>
      <c r="F724" s="204"/>
      <c r="G724" s="204"/>
      <c r="H724" s="204"/>
      <c r="I724" s="204"/>
      <c r="J724" s="204"/>
      <c r="K724" s="204" t="s">
        <v>187</v>
      </c>
      <c r="L724" s="204"/>
      <c r="M724" s="204"/>
      <c r="N724" s="204" t="s">
        <v>188</v>
      </c>
      <c r="V724" s="205"/>
      <c r="AI724" s="205"/>
    </row>
    <row r="725" spans="1:35" ht="13.5" customHeight="1" x14ac:dyDescent="0.25">
      <c r="A725" s="333" t="e">
        <f>A712-(A714+A724)</f>
        <v>#REF!</v>
      </c>
      <c r="B725" s="338"/>
      <c r="C725" s="338"/>
      <c r="D725" s="338"/>
      <c r="E725" s="338"/>
      <c r="F725" s="338"/>
      <c r="G725" s="338"/>
      <c r="H725" s="338"/>
      <c r="I725" s="338"/>
      <c r="J725" s="338"/>
      <c r="K725" s="333" t="s">
        <v>189</v>
      </c>
      <c r="L725" s="204"/>
      <c r="M725" s="204"/>
      <c r="N725" s="204"/>
      <c r="V725" s="205"/>
      <c r="AI725" s="205"/>
    </row>
  </sheetData>
  <autoFilter ref="A1:A725" xr:uid="{00000000-0009-0000-0000-000008000000}"/>
  <mergeCells count="800">
    <mergeCell ref="B1:AM1"/>
    <mergeCell ref="A2:AM2"/>
    <mergeCell ref="A3:AO3"/>
    <mergeCell ref="A5:A7"/>
    <mergeCell ref="B5:I7"/>
    <mergeCell ref="J5:J7"/>
    <mergeCell ref="K5:N7"/>
    <mergeCell ref="O5:O7"/>
    <mergeCell ref="P5:P7"/>
    <mergeCell ref="Q5:Q7"/>
    <mergeCell ref="AO5:AO7"/>
    <mergeCell ref="AP5:AP7"/>
    <mergeCell ref="T6:U6"/>
    <mergeCell ref="V6:V7"/>
    <mergeCell ref="W6:W7"/>
    <mergeCell ref="X6:X7"/>
    <mergeCell ref="Y6:Y7"/>
    <mergeCell ref="Z6:Z7"/>
    <mergeCell ref="R5:R7"/>
    <mergeCell ref="S5:S7"/>
    <mergeCell ref="T5:AI5"/>
    <mergeCell ref="AJ5:AJ7"/>
    <mergeCell ref="AK5:AK7"/>
    <mergeCell ref="AL5:AL7"/>
    <mergeCell ref="AA6:AA7"/>
    <mergeCell ref="AB6:AB7"/>
    <mergeCell ref="AC6:AC7"/>
    <mergeCell ref="AD6:AD7"/>
    <mergeCell ref="AE6:AE7"/>
    <mergeCell ref="AF6:AF7"/>
    <mergeCell ref="AG6:AG7"/>
    <mergeCell ref="AH6:AH7"/>
    <mergeCell ref="AI6:AI7"/>
    <mergeCell ref="B8:I8"/>
    <mergeCell ref="K8:N8"/>
    <mergeCell ref="AM5:AM7"/>
    <mergeCell ref="AN5:AN7"/>
    <mergeCell ref="B15:I15"/>
    <mergeCell ref="L15:N15"/>
    <mergeCell ref="B16:I16"/>
    <mergeCell ref="L16:N16"/>
    <mergeCell ref="B17:I17"/>
    <mergeCell ref="L17:N17"/>
    <mergeCell ref="B10:I10"/>
    <mergeCell ref="L10:N10"/>
    <mergeCell ref="B12:I12"/>
    <mergeCell ref="L12:N12"/>
    <mergeCell ref="B14:I14"/>
    <mergeCell ref="L14:N14"/>
    <mergeCell ref="B21:I21"/>
    <mergeCell ref="L21:N21"/>
    <mergeCell ref="B22:I22"/>
    <mergeCell ref="L22:N22"/>
    <mergeCell ref="B23:I23"/>
    <mergeCell ref="L23:N23"/>
    <mergeCell ref="B18:I18"/>
    <mergeCell ref="L18:N18"/>
    <mergeCell ref="B19:I19"/>
    <mergeCell ref="L19:N19"/>
    <mergeCell ref="B20:I20"/>
    <mergeCell ref="L20:N20"/>
    <mergeCell ref="B27:I27"/>
    <mergeCell ref="L27:N27"/>
    <mergeCell ref="B28:I28"/>
    <mergeCell ref="L28:N28"/>
    <mergeCell ref="B29:I29"/>
    <mergeCell ref="L29:N29"/>
    <mergeCell ref="B24:I24"/>
    <mergeCell ref="L24:N24"/>
    <mergeCell ref="B25:I25"/>
    <mergeCell ref="L25:N25"/>
    <mergeCell ref="B26:I26"/>
    <mergeCell ref="L26:N26"/>
    <mergeCell ref="L34:N34"/>
    <mergeCell ref="L35:N35"/>
    <mergeCell ref="B37:I37"/>
    <mergeCell ref="L37:N37"/>
    <mergeCell ref="L38:N38"/>
    <mergeCell ref="L39:N39"/>
    <mergeCell ref="L30:N30"/>
    <mergeCell ref="B31:I31"/>
    <mergeCell ref="L31:N31"/>
    <mergeCell ref="L32:N32"/>
    <mergeCell ref="B33:I33"/>
    <mergeCell ref="L33:N33"/>
    <mergeCell ref="L46:N46"/>
    <mergeCell ref="L47:N47"/>
    <mergeCell ref="L48:N48"/>
    <mergeCell ref="L49:N49"/>
    <mergeCell ref="L50:N50"/>
    <mergeCell ref="L51:N51"/>
    <mergeCell ref="L40:N40"/>
    <mergeCell ref="L41:N41"/>
    <mergeCell ref="L42:N42"/>
    <mergeCell ref="L43:N43"/>
    <mergeCell ref="L44:N44"/>
    <mergeCell ref="L45:N45"/>
    <mergeCell ref="B59:I59"/>
    <mergeCell ref="L59:N59"/>
    <mergeCell ref="B60:I60"/>
    <mergeCell ref="M60:N60"/>
    <mergeCell ref="M61:N61"/>
    <mergeCell ref="B62:I62"/>
    <mergeCell ref="M62:N62"/>
    <mergeCell ref="L52:N52"/>
    <mergeCell ref="L53:N53"/>
    <mergeCell ref="L54:N54"/>
    <mergeCell ref="L55:N55"/>
    <mergeCell ref="L56:N56"/>
    <mergeCell ref="B58:I58"/>
    <mergeCell ref="L58:N58"/>
    <mergeCell ref="B68:I68"/>
    <mergeCell ref="M68:N68"/>
    <mergeCell ref="M69:N69"/>
    <mergeCell ref="M70:N70"/>
    <mergeCell ref="M71:N71"/>
    <mergeCell ref="B72:I72"/>
    <mergeCell ref="M72:N72"/>
    <mergeCell ref="M63:N63"/>
    <mergeCell ref="M64:N64"/>
    <mergeCell ref="M65:N65"/>
    <mergeCell ref="B66:I66"/>
    <mergeCell ref="M66:N66"/>
    <mergeCell ref="M67:N67"/>
    <mergeCell ref="M78:N78"/>
    <mergeCell ref="M79:N79"/>
    <mergeCell ref="M80:N80"/>
    <mergeCell ref="B81:I81"/>
    <mergeCell ref="M81:N81"/>
    <mergeCell ref="M82:N82"/>
    <mergeCell ref="M73:N73"/>
    <mergeCell ref="M74:N74"/>
    <mergeCell ref="B75:I75"/>
    <mergeCell ref="M75:N75"/>
    <mergeCell ref="M76:N76"/>
    <mergeCell ref="M77:N77"/>
    <mergeCell ref="M88:N88"/>
    <mergeCell ref="B89:I89"/>
    <mergeCell ref="M89:N89"/>
    <mergeCell ref="M90:N90"/>
    <mergeCell ref="M91:N91"/>
    <mergeCell ref="B92:I92"/>
    <mergeCell ref="M92:N92"/>
    <mergeCell ref="M83:N83"/>
    <mergeCell ref="M84:N84"/>
    <mergeCell ref="M85:N85"/>
    <mergeCell ref="B86:I86"/>
    <mergeCell ref="M86:N86"/>
    <mergeCell ref="M87:N87"/>
    <mergeCell ref="M97:N97"/>
    <mergeCell ref="M98:N98"/>
    <mergeCell ref="M99:N99"/>
    <mergeCell ref="M100:N100"/>
    <mergeCell ref="M101:N101"/>
    <mergeCell ref="M102:N102"/>
    <mergeCell ref="M93:N93"/>
    <mergeCell ref="B94:I94"/>
    <mergeCell ref="M94:N94"/>
    <mergeCell ref="M95:N95"/>
    <mergeCell ref="B96:I96"/>
    <mergeCell ref="M96:N96"/>
    <mergeCell ref="M109:N109"/>
    <mergeCell ref="B110:I110"/>
    <mergeCell ref="M110:N110"/>
    <mergeCell ref="M111:N111"/>
    <mergeCell ref="M112:N112"/>
    <mergeCell ref="M113:N113"/>
    <mergeCell ref="M103:N103"/>
    <mergeCell ref="M104:N104"/>
    <mergeCell ref="M105:N105"/>
    <mergeCell ref="M106:N106"/>
    <mergeCell ref="M107:N107"/>
    <mergeCell ref="M108:N108"/>
    <mergeCell ref="M120:N120"/>
    <mergeCell ref="M121:N121"/>
    <mergeCell ref="M122:N122"/>
    <mergeCell ref="M123:N123"/>
    <mergeCell ref="B124:I124"/>
    <mergeCell ref="L124:N124"/>
    <mergeCell ref="M114:N114"/>
    <mergeCell ref="M115:N115"/>
    <mergeCell ref="M116:N116"/>
    <mergeCell ref="M117:N117"/>
    <mergeCell ref="M118:N118"/>
    <mergeCell ref="M119:N119"/>
    <mergeCell ref="M129:N129"/>
    <mergeCell ref="M130:N130"/>
    <mergeCell ref="M131:N131"/>
    <mergeCell ref="M132:N132"/>
    <mergeCell ref="M133:N133"/>
    <mergeCell ref="M134:N134"/>
    <mergeCell ref="B125:I125"/>
    <mergeCell ref="M125:N125"/>
    <mergeCell ref="M126:N126"/>
    <mergeCell ref="B127:I127"/>
    <mergeCell ref="M127:N127"/>
    <mergeCell ref="M128:N128"/>
    <mergeCell ref="M140:N140"/>
    <mergeCell ref="B141:I141"/>
    <mergeCell ref="M141:N141"/>
    <mergeCell ref="M142:N142"/>
    <mergeCell ref="M143:N143"/>
    <mergeCell ref="B144:I144"/>
    <mergeCell ref="M144:N144"/>
    <mergeCell ref="M135:N135"/>
    <mergeCell ref="M136:N136"/>
    <mergeCell ref="M137:N137"/>
    <mergeCell ref="M138:N138"/>
    <mergeCell ref="B139:I139"/>
    <mergeCell ref="M139:N139"/>
    <mergeCell ref="M150:N150"/>
    <mergeCell ref="M151:N151"/>
    <mergeCell ref="M152:N152"/>
    <mergeCell ref="M153:N153"/>
    <mergeCell ref="M154:N154"/>
    <mergeCell ref="B155:I155"/>
    <mergeCell ref="M155:N155"/>
    <mergeCell ref="M145:N145"/>
    <mergeCell ref="M146:N146"/>
    <mergeCell ref="M147:N147"/>
    <mergeCell ref="B148:I148"/>
    <mergeCell ref="M148:N148"/>
    <mergeCell ref="M149:N149"/>
    <mergeCell ref="M162:N162"/>
    <mergeCell ref="M163:N163"/>
    <mergeCell ref="M164:N164"/>
    <mergeCell ref="B165:I165"/>
    <mergeCell ref="M165:N165"/>
    <mergeCell ref="M166:N166"/>
    <mergeCell ref="M156:N156"/>
    <mergeCell ref="M157:N157"/>
    <mergeCell ref="M158:N158"/>
    <mergeCell ref="M159:N159"/>
    <mergeCell ref="M160:N160"/>
    <mergeCell ref="B161:I161"/>
    <mergeCell ref="L161:N161"/>
    <mergeCell ref="B171:I171"/>
    <mergeCell ref="M171:N171"/>
    <mergeCell ref="M172:N172"/>
    <mergeCell ref="M173:N173"/>
    <mergeCell ref="M174:N174"/>
    <mergeCell ref="M175:N175"/>
    <mergeCell ref="M167:N167"/>
    <mergeCell ref="B168:I168"/>
    <mergeCell ref="L168:N168"/>
    <mergeCell ref="B169:I169"/>
    <mergeCell ref="M169:N169"/>
    <mergeCell ref="M170:N170"/>
    <mergeCell ref="B181:I181"/>
    <mergeCell ref="M181:N181"/>
    <mergeCell ref="M182:N182"/>
    <mergeCell ref="M183:N183"/>
    <mergeCell ref="M184:N184"/>
    <mergeCell ref="M185:N185"/>
    <mergeCell ref="M176:N176"/>
    <mergeCell ref="M177:N177"/>
    <mergeCell ref="M178:N178"/>
    <mergeCell ref="M179:N179"/>
    <mergeCell ref="B180:I180"/>
    <mergeCell ref="L180:N180"/>
    <mergeCell ref="M192:N192"/>
    <mergeCell ref="B193:I193"/>
    <mergeCell ref="M193:N193"/>
    <mergeCell ref="M194:N194"/>
    <mergeCell ref="M195:N195"/>
    <mergeCell ref="M196:N196"/>
    <mergeCell ref="M186:N186"/>
    <mergeCell ref="M187:N187"/>
    <mergeCell ref="M188:N188"/>
    <mergeCell ref="M189:N189"/>
    <mergeCell ref="M190:N190"/>
    <mergeCell ref="M191:N191"/>
    <mergeCell ref="M203:N203"/>
    <mergeCell ref="M204:N204"/>
    <mergeCell ref="M205:N205"/>
    <mergeCell ref="M206:N206"/>
    <mergeCell ref="M207:N207"/>
    <mergeCell ref="M208:N208"/>
    <mergeCell ref="M197:N197"/>
    <mergeCell ref="M198:N198"/>
    <mergeCell ref="M199:N199"/>
    <mergeCell ref="M200:N200"/>
    <mergeCell ref="M201:N201"/>
    <mergeCell ref="M202:N202"/>
    <mergeCell ref="M214:N214"/>
    <mergeCell ref="M215:N215"/>
    <mergeCell ref="B216:I216"/>
    <mergeCell ref="M216:N216"/>
    <mergeCell ref="M217:N217"/>
    <mergeCell ref="M218:N218"/>
    <mergeCell ref="B209:I209"/>
    <mergeCell ref="M209:N209"/>
    <mergeCell ref="M210:N210"/>
    <mergeCell ref="M211:N211"/>
    <mergeCell ref="M212:N212"/>
    <mergeCell ref="M213:N213"/>
    <mergeCell ref="M225:N225"/>
    <mergeCell ref="M226:N226"/>
    <mergeCell ref="M227:N227"/>
    <mergeCell ref="M228:N228"/>
    <mergeCell ref="M229:N229"/>
    <mergeCell ref="B230:I230"/>
    <mergeCell ref="M230:N230"/>
    <mergeCell ref="M219:N219"/>
    <mergeCell ref="M220:N220"/>
    <mergeCell ref="M221:N221"/>
    <mergeCell ref="M222:N222"/>
    <mergeCell ref="M223:N223"/>
    <mergeCell ref="M224:N224"/>
    <mergeCell ref="M237:N237"/>
    <mergeCell ref="M238:N238"/>
    <mergeCell ref="M239:N239"/>
    <mergeCell ref="M240:N240"/>
    <mergeCell ref="B241:I241"/>
    <mergeCell ref="M241:N241"/>
    <mergeCell ref="M231:N231"/>
    <mergeCell ref="M232:N232"/>
    <mergeCell ref="M233:N233"/>
    <mergeCell ref="M234:N234"/>
    <mergeCell ref="M235:N235"/>
    <mergeCell ref="M236:N236"/>
    <mergeCell ref="B248:I248"/>
    <mergeCell ref="L248:N248"/>
    <mergeCell ref="B249:I249"/>
    <mergeCell ref="M249:N249"/>
    <mergeCell ref="M250:N250"/>
    <mergeCell ref="M251:N251"/>
    <mergeCell ref="M242:N242"/>
    <mergeCell ref="M243:N243"/>
    <mergeCell ref="M244:N244"/>
    <mergeCell ref="M245:N245"/>
    <mergeCell ref="M246:N246"/>
    <mergeCell ref="M247:N247"/>
    <mergeCell ref="M258:N258"/>
    <mergeCell ref="M259:N259"/>
    <mergeCell ref="M260:N260"/>
    <mergeCell ref="M261:N261"/>
    <mergeCell ref="M262:N262"/>
    <mergeCell ref="M263:N263"/>
    <mergeCell ref="M252:N252"/>
    <mergeCell ref="M253:N253"/>
    <mergeCell ref="M254:N254"/>
    <mergeCell ref="M255:N255"/>
    <mergeCell ref="M256:N256"/>
    <mergeCell ref="M257:N257"/>
    <mergeCell ref="M270:N270"/>
    <mergeCell ref="M271:N271"/>
    <mergeCell ref="M272:N272"/>
    <mergeCell ref="M273:N273"/>
    <mergeCell ref="M274:N274"/>
    <mergeCell ref="B275:I275"/>
    <mergeCell ref="M275:N275"/>
    <mergeCell ref="M264:N264"/>
    <mergeCell ref="M265:N265"/>
    <mergeCell ref="M266:N266"/>
    <mergeCell ref="M267:N267"/>
    <mergeCell ref="M268:N268"/>
    <mergeCell ref="M269:N269"/>
    <mergeCell ref="M282:N282"/>
    <mergeCell ref="M283:N283"/>
    <mergeCell ref="M284:N284"/>
    <mergeCell ref="M285:N285"/>
    <mergeCell ref="M286:N286"/>
    <mergeCell ref="B287:I287"/>
    <mergeCell ref="M287:N287"/>
    <mergeCell ref="M276:N276"/>
    <mergeCell ref="M277:N277"/>
    <mergeCell ref="M278:N278"/>
    <mergeCell ref="M279:N279"/>
    <mergeCell ref="M280:N280"/>
    <mergeCell ref="M281:N281"/>
    <mergeCell ref="M294:N294"/>
    <mergeCell ref="M295:N295"/>
    <mergeCell ref="M296:N296"/>
    <mergeCell ref="B297:I297"/>
    <mergeCell ref="M297:N297"/>
    <mergeCell ref="M298:N298"/>
    <mergeCell ref="M288:N288"/>
    <mergeCell ref="M289:N289"/>
    <mergeCell ref="M290:N290"/>
    <mergeCell ref="M291:N291"/>
    <mergeCell ref="M292:N292"/>
    <mergeCell ref="M293:N293"/>
    <mergeCell ref="M305:N305"/>
    <mergeCell ref="M306:N306"/>
    <mergeCell ref="M307:N307"/>
    <mergeCell ref="M308:N308"/>
    <mergeCell ref="B309:I309"/>
    <mergeCell ref="M309:N309"/>
    <mergeCell ref="M299:N299"/>
    <mergeCell ref="M300:N300"/>
    <mergeCell ref="M301:N301"/>
    <mergeCell ref="M302:N302"/>
    <mergeCell ref="M303:N303"/>
    <mergeCell ref="M304:N304"/>
    <mergeCell ref="B325:I325"/>
    <mergeCell ref="M325:N325"/>
    <mergeCell ref="M316:N316"/>
    <mergeCell ref="B317:I317"/>
    <mergeCell ref="M317:N317"/>
    <mergeCell ref="M318:N318"/>
    <mergeCell ref="M319:N319"/>
    <mergeCell ref="M320:N320"/>
    <mergeCell ref="M310:N310"/>
    <mergeCell ref="M311:N311"/>
    <mergeCell ref="M312:N312"/>
    <mergeCell ref="M313:N313"/>
    <mergeCell ref="M314:N314"/>
    <mergeCell ref="M315:N315"/>
    <mergeCell ref="M326:N326"/>
    <mergeCell ref="M327:N327"/>
    <mergeCell ref="M328:N328"/>
    <mergeCell ref="M329:N329"/>
    <mergeCell ref="M330:N330"/>
    <mergeCell ref="M331:N331"/>
    <mergeCell ref="M321:N321"/>
    <mergeCell ref="M322:N322"/>
    <mergeCell ref="M323:N323"/>
    <mergeCell ref="M324:N324"/>
    <mergeCell ref="M338:N338"/>
    <mergeCell ref="B339:I339"/>
    <mergeCell ref="M339:N339"/>
    <mergeCell ref="M340:N340"/>
    <mergeCell ref="M341:N341"/>
    <mergeCell ref="M342:N342"/>
    <mergeCell ref="M332:N332"/>
    <mergeCell ref="M333:N333"/>
    <mergeCell ref="M334:N334"/>
    <mergeCell ref="M335:N335"/>
    <mergeCell ref="M336:N336"/>
    <mergeCell ref="M337:N337"/>
    <mergeCell ref="M349:N349"/>
    <mergeCell ref="B350:I350"/>
    <mergeCell ref="M350:N350"/>
    <mergeCell ref="M351:N351"/>
    <mergeCell ref="M352:N352"/>
    <mergeCell ref="M353:N353"/>
    <mergeCell ref="M343:N343"/>
    <mergeCell ref="M344:N344"/>
    <mergeCell ref="M345:N345"/>
    <mergeCell ref="M346:N346"/>
    <mergeCell ref="M347:N347"/>
    <mergeCell ref="M348:N348"/>
    <mergeCell ref="M360:N360"/>
    <mergeCell ref="M361:N361"/>
    <mergeCell ref="M362:N362"/>
    <mergeCell ref="M363:N363"/>
    <mergeCell ref="B364:I364"/>
    <mergeCell ref="M364:N364"/>
    <mergeCell ref="M354:N354"/>
    <mergeCell ref="M355:N355"/>
    <mergeCell ref="M356:N356"/>
    <mergeCell ref="M357:N357"/>
    <mergeCell ref="M358:N358"/>
    <mergeCell ref="M359:N359"/>
    <mergeCell ref="M371:N371"/>
    <mergeCell ref="M372:N372"/>
    <mergeCell ref="M373:N373"/>
    <mergeCell ref="M374:N374"/>
    <mergeCell ref="M375:N375"/>
    <mergeCell ref="M376:N376"/>
    <mergeCell ref="M365:N365"/>
    <mergeCell ref="M366:N366"/>
    <mergeCell ref="M367:N367"/>
    <mergeCell ref="M368:N368"/>
    <mergeCell ref="M369:N369"/>
    <mergeCell ref="M370:N370"/>
    <mergeCell ref="M382:N382"/>
    <mergeCell ref="M383:N383"/>
    <mergeCell ref="M384:N384"/>
    <mergeCell ref="M385:N385"/>
    <mergeCell ref="M386:N386"/>
    <mergeCell ref="B387:I387"/>
    <mergeCell ref="M387:N387"/>
    <mergeCell ref="B377:I377"/>
    <mergeCell ref="M377:N377"/>
    <mergeCell ref="M378:N378"/>
    <mergeCell ref="M379:N379"/>
    <mergeCell ref="M380:N380"/>
    <mergeCell ref="M381:N381"/>
    <mergeCell ref="M394:N394"/>
    <mergeCell ref="M395:N395"/>
    <mergeCell ref="M396:N396"/>
    <mergeCell ref="M397:N397"/>
    <mergeCell ref="M398:N398"/>
    <mergeCell ref="M399:N399"/>
    <mergeCell ref="M388:N388"/>
    <mergeCell ref="M389:N389"/>
    <mergeCell ref="M390:N390"/>
    <mergeCell ref="M391:N391"/>
    <mergeCell ref="M392:N392"/>
    <mergeCell ref="M393:N393"/>
    <mergeCell ref="B408:I408"/>
    <mergeCell ref="M408:N408"/>
    <mergeCell ref="M409:N409"/>
    <mergeCell ref="B400:I400"/>
    <mergeCell ref="M400:N400"/>
    <mergeCell ref="M401:N401"/>
    <mergeCell ref="M402:N402"/>
    <mergeCell ref="M403:N403"/>
    <mergeCell ref="M404:N404"/>
    <mergeCell ref="M410:N410"/>
    <mergeCell ref="M411:N411"/>
    <mergeCell ref="M412:N412"/>
    <mergeCell ref="M413:N413"/>
    <mergeCell ref="M414:N414"/>
    <mergeCell ref="M415:N415"/>
    <mergeCell ref="M405:N405"/>
    <mergeCell ref="M406:N406"/>
    <mergeCell ref="M407:N407"/>
    <mergeCell ref="M422:N422"/>
    <mergeCell ref="M423:N423"/>
    <mergeCell ref="M424:N424"/>
    <mergeCell ref="B425:I425"/>
    <mergeCell ref="M425:N425"/>
    <mergeCell ref="M426:N426"/>
    <mergeCell ref="M416:N416"/>
    <mergeCell ref="M417:N417"/>
    <mergeCell ref="M418:N418"/>
    <mergeCell ref="M419:N419"/>
    <mergeCell ref="M420:N420"/>
    <mergeCell ref="M421:N421"/>
    <mergeCell ref="M433:N433"/>
    <mergeCell ref="M434:N434"/>
    <mergeCell ref="M435:N435"/>
    <mergeCell ref="B436:I436"/>
    <mergeCell ref="M436:N436"/>
    <mergeCell ref="M437:N437"/>
    <mergeCell ref="M427:N427"/>
    <mergeCell ref="M428:N428"/>
    <mergeCell ref="M429:N429"/>
    <mergeCell ref="M430:N430"/>
    <mergeCell ref="M431:N431"/>
    <mergeCell ref="M432:N432"/>
    <mergeCell ref="B447:I447"/>
    <mergeCell ref="M447:N447"/>
    <mergeCell ref="M448:N448"/>
    <mergeCell ref="M438:N438"/>
    <mergeCell ref="M439:N439"/>
    <mergeCell ref="M440:N440"/>
    <mergeCell ref="M441:N441"/>
    <mergeCell ref="M442:N442"/>
    <mergeCell ref="M443:N443"/>
    <mergeCell ref="M449:N449"/>
    <mergeCell ref="M450:N450"/>
    <mergeCell ref="M451:N451"/>
    <mergeCell ref="M452:N452"/>
    <mergeCell ref="M453:N453"/>
    <mergeCell ref="M454:N454"/>
    <mergeCell ref="M444:N444"/>
    <mergeCell ref="M445:N445"/>
    <mergeCell ref="M446:N446"/>
    <mergeCell ref="M460:N460"/>
    <mergeCell ref="M461:N461"/>
    <mergeCell ref="M462:N462"/>
    <mergeCell ref="M463:N463"/>
    <mergeCell ref="M464:N464"/>
    <mergeCell ref="M465:N465"/>
    <mergeCell ref="M455:N455"/>
    <mergeCell ref="M456:N456"/>
    <mergeCell ref="B457:I457"/>
    <mergeCell ref="M457:N457"/>
    <mergeCell ref="M458:N458"/>
    <mergeCell ref="M459:N459"/>
    <mergeCell ref="M471:N471"/>
    <mergeCell ref="M472:N472"/>
    <mergeCell ref="M473:N473"/>
    <mergeCell ref="M474:N474"/>
    <mergeCell ref="M475:N475"/>
    <mergeCell ref="M476:N476"/>
    <mergeCell ref="B466:I466"/>
    <mergeCell ref="M466:N466"/>
    <mergeCell ref="M467:N467"/>
    <mergeCell ref="M468:N468"/>
    <mergeCell ref="M469:N469"/>
    <mergeCell ref="M470:N470"/>
    <mergeCell ref="M483:N483"/>
    <mergeCell ref="M484:N484"/>
    <mergeCell ref="M485:N485"/>
    <mergeCell ref="M486:N486"/>
    <mergeCell ref="M487:N487"/>
    <mergeCell ref="M488:N488"/>
    <mergeCell ref="M477:N477"/>
    <mergeCell ref="M478:N478"/>
    <mergeCell ref="M479:N479"/>
    <mergeCell ref="M480:N480"/>
    <mergeCell ref="M481:N481"/>
    <mergeCell ref="M482:N482"/>
    <mergeCell ref="B504:I504"/>
    <mergeCell ref="M504:N504"/>
    <mergeCell ref="B495:I495"/>
    <mergeCell ref="M495:N495"/>
    <mergeCell ref="M496:N496"/>
    <mergeCell ref="M497:N497"/>
    <mergeCell ref="M498:N498"/>
    <mergeCell ref="M499:N499"/>
    <mergeCell ref="M489:N489"/>
    <mergeCell ref="M490:N490"/>
    <mergeCell ref="M491:N491"/>
    <mergeCell ref="M492:N492"/>
    <mergeCell ref="M493:N493"/>
    <mergeCell ref="M494:N494"/>
    <mergeCell ref="M505:N505"/>
    <mergeCell ref="M506:N506"/>
    <mergeCell ref="M507:N507"/>
    <mergeCell ref="M508:N508"/>
    <mergeCell ref="M509:N509"/>
    <mergeCell ref="M510:N510"/>
    <mergeCell ref="M500:N500"/>
    <mergeCell ref="M501:N501"/>
    <mergeCell ref="M502:N502"/>
    <mergeCell ref="M503:N503"/>
    <mergeCell ref="M517:N517"/>
    <mergeCell ref="M518:N518"/>
    <mergeCell ref="M519:N519"/>
    <mergeCell ref="M520:N520"/>
    <mergeCell ref="M521:N521"/>
    <mergeCell ref="M522:N522"/>
    <mergeCell ref="M511:N511"/>
    <mergeCell ref="M512:N512"/>
    <mergeCell ref="M513:N513"/>
    <mergeCell ref="M514:N514"/>
    <mergeCell ref="M515:N515"/>
    <mergeCell ref="M516:N516"/>
    <mergeCell ref="M528:N528"/>
    <mergeCell ref="M529:N529"/>
    <mergeCell ref="B530:I530"/>
    <mergeCell ref="M530:N530"/>
    <mergeCell ref="M531:N531"/>
    <mergeCell ref="M532:N532"/>
    <mergeCell ref="B523:I523"/>
    <mergeCell ref="M523:N523"/>
    <mergeCell ref="M524:N524"/>
    <mergeCell ref="M525:N525"/>
    <mergeCell ref="M526:N526"/>
    <mergeCell ref="M527:N527"/>
    <mergeCell ref="B542:I542"/>
    <mergeCell ref="M542:N542"/>
    <mergeCell ref="M543:N543"/>
    <mergeCell ref="M533:N533"/>
    <mergeCell ref="M534:N534"/>
    <mergeCell ref="M535:N535"/>
    <mergeCell ref="M536:N536"/>
    <mergeCell ref="M537:N537"/>
    <mergeCell ref="M538:N538"/>
    <mergeCell ref="M544:N544"/>
    <mergeCell ref="M545:N545"/>
    <mergeCell ref="M546:N546"/>
    <mergeCell ref="M547:N547"/>
    <mergeCell ref="M548:N548"/>
    <mergeCell ref="M549:N549"/>
    <mergeCell ref="M539:N539"/>
    <mergeCell ref="M540:N540"/>
    <mergeCell ref="M541:N541"/>
    <mergeCell ref="M556:N556"/>
    <mergeCell ref="M557:N557"/>
    <mergeCell ref="M558:N558"/>
    <mergeCell ref="M559:N559"/>
    <mergeCell ref="M560:N560"/>
    <mergeCell ref="M561:N561"/>
    <mergeCell ref="M550:N550"/>
    <mergeCell ref="M551:N551"/>
    <mergeCell ref="M552:N552"/>
    <mergeCell ref="M553:N553"/>
    <mergeCell ref="M554:N554"/>
    <mergeCell ref="M555:N555"/>
    <mergeCell ref="M568:N568"/>
    <mergeCell ref="M569:N569"/>
    <mergeCell ref="M570:N570"/>
    <mergeCell ref="M571:N571"/>
    <mergeCell ref="M572:N572"/>
    <mergeCell ref="M573:N573"/>
    <mergeCell ref="M562:N562"/>
    <mergeCell ref="M563:N563"/>
    <mergeCell ref="M564:N564"/>
    <mergeCell ref="M565:N565"/>
    <mergeCell ref="M566:N566"/>
    <mergeCell ref="M567:N567"/>
    <mergeCell ref="M580:N580"/>
    <mergeCell ref="M581:N581"/>
    <mergeCell ref="M582:N582"/>
    <mergeCell ref="M583:N583"/>
    <mergeCell ref="M584:N584"/>
    <mergeCell ref="M585:N585"/>
    <mergeCell ref="M574:N574"/>
    <mergeCell ref="M575:N575"/>
    <mergeCell ref="M576:N576"/>
    <mergeCell ref="M577:N577"/>
    <mergeCell ref="M578:N578"/>
    <mergeCell ref="M579:N579"/>
    <mergeCell ref="M592:N592"/>
    <mergeCell ref="M593:N593"/>
    <mergeCell ref="M594:N594"/>
    <mergeCell ref="M595:N595"/>
    <mergeCell ref="M596:N596"/>
    <mergeCell ref="M597:N597"/>
    <mergeCell ref="M586:N586"/>
    <mergeCell ref="M587:N587"/>
    <mergeCell ref="M588:N588"/>
    <mergeCell ref="M589:N589"/>
    <mergeCell ref="M590:N590"/>
    <mergeCell ref="M591:N591"/>
    <mergeCell ref="M604:N604"/>
    <mergeCell ref="M605:N605"/>
    <mergeCell ref="M606:N606"/>
    <mergeCell ref="M607:N607"/>
    <mergeCell ref="M608:N608"/>
    <mergeCell ref="M609:N609"/>
    <mergeCell ref="M598:N598"/>
    <mergeCell ref="M599:N599"/>
    <mergeCell ref="M600:N600"/>
    <mergeCell ref="M601:N601"/>
    <mergeCell ref="M602:N602"/>
    <mergeCell ref="M603:N603"/>
    <mergeCell ref="M616:N616"/>
    <mergeCell ref="M617:N617"/>
    <mergeCell ref="M618:N618"/>
    <mergeCell ref="M619:N619"/>
    <mergeCell ref="M620:N620"/>
    <mergeCell ref="M621:N621"/>
    <mergeCell ref="M610:N610"/>
    <mergeCell ref="M611:N611"/>
    <mergeCell ref="M612:N612"/>
    <mergeCell ref="M613:N613"/>
    <mergeCell ref="M614:N614"/>
    <mergeCell ref="M615:N615"/>
    <mergeCell ref="M628:N628"/>
    <mergeCell ref="M629:N629"/>
    <mergeCell ref="M630:N630"/>
    <mergeCell ref="M631:N631"/>
    <mergeCell ref="M632:N632"/>
    <mergeCell ref="M633:N633"/>
    <mergeCell ref="M622:N622"/>
    <mergeCell ref="M623:N623"/>
    <mergeCell ref="M624:N624"/>
    <mergeCell ref="M625:N625"/>
    <mergeCell ref="M626:N626"/>
    <mergeCell ref="M627:N627"/>
    <mergeCell ref="M640:N640"/>
    <mergeCell ref="M641:N641"/>
    <mergeCell ref="M642:N642"/>
    <mergeCell ref="M643:N643"/>
    <mergeCell ref="M644:N644"/>
    <mergeCell ref="M645:N645"/>
    <mergeCell ref="M634:N634"/>
    <mergeCell ref="M635:N635"/>
    <mergeCell ref="M636:N636"/>
    <mergeCell ref="M637:N637"/>
    <mergeCell ref="M638:N638"/>
    <mergeCell ref="M639:N639"/>
    <mergeCell ref="M652:N652"/>
    <mergeCell ref="M653:N653"/>
    <mergeCell ref="M654:N654"/>
    <mergeCell ref="M655:N655"/>
    <mergeCell ref="M656:N656"/>
    <mergeCell ref="M657:N657"/>
    <mergeCell ref="M646:N646"/>
    <mergeCell ref="M647:N647"/>
    <mergeCell ref="M648:N648"/>
    <mergeCell ref="M649:N649"/>
    <mergeCell ref="M650:N650"/>
    <mergeCell ref="M651:N651"/>
    <mergeCell ref="M664:N664"/>
    <mergeCell ref="M665:N665"/>
    <mergeCell ref="M666:N666"/>
    <mergeCell ref="M667:N667"/>
    <mergeCell ref="M668:N668"/>
    <mergeCell ref="M669:N669"/>
    <mergeCell ref="M658:N658"/>
    <mergeCell ref="M659:N659"/>
    <mergeCell ref="M660:N660"/>
    <mergeCell ref="M661:N661"/>
    <mergeCell ref="M662:N662"/>
    <mergeCell ref="M663:N663"/>
    <mergeCell ref="M676:N676"/>
    <mergeCell ref="M677:N677"/>
    <mergeCell ref="M678:N678"/>
    <mergeCell ref="B679:I679"/>
    <mergeCell ref="L679:N679"/>
    <mergeCell ref="M680:N680"/>
    <mergeCell ref="M670:N670"/>
    <mergeCell ref="M671:N671"/>
    <mergeCell ref="M672:N672"/>
    <mergeCell ref="M673:N673"/>
    <mergeCell ref="M674:N674"/>
    <mergeCell ref="M675:N675"/>
    <mergeCell ref="AI695:AL695"/>
    <mergeCell ref="AI696:AL696"/>
    <mergeCell ref="B687:I687"/>
    <mergeCell ref="M687:N687"/>
    <mergeCell ref="B688:I688"/>
    <mergeCell ref="L688:N688"/>
    <mergeCell ref="AI689:AL689"/>
    <mergeCell ref="AI690:AL690"/>
    <mergeCell ref="M681:N681"/>
    <mergeCell ref="M682:N682"/>
    <mergeCell ref="M683:N683"/>
    <mergeCell ref="M684:N684"/>
    <mergeCell ref="M685:N685"/>
    <mergeCell ref="M686:N686"/>
  </mergeCells>
  <printOptions horizontalCentered="1"/>
  <pageMargins left="0.75" right="0.75" top="0.59055118110236204" bottom="0.39370078740157499" header="0.35433070866141703" footer="0.35433070866141703"/>
  <pageSetup paperSize="258" scale="65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20</vt:i4>
      </vt:variant>
    </vt:vector>
  </HeadingPairs>
  <TitlesOfParts>
    <vt:vector size="30" baseType="lpstr">
      <vt:lpstr>2017</vt:lpstr>
      <vt:lpstr>1</vt:lpstr>
      <vt:lpstr>Jan 2018</vt:lpstr>
      <vt:lpstr>februari</vt:lpstr>
      <vt:lpstr>maret 2018</vt:lpstr>
      <vt:lpstr>April 2018 </vt:lpstr>
      <vt:lpstr>Mei 2018</vt:lpstr>
      <vt:lpstr>Juni 2018</vt:lpstr>
      <vt:lpstr>Juli 2018 </vt:lpstr>
      <vt:lpstr>Agustus 2018</vt:lpstr>
      <vt:lpstr>'1'!Print_Area</vt:lpstr>
      <vt:lpstr>'2017'!Print_Area</vt:lpstr>
      <vt:lpstr>'Agustus 2018'!Print_Area</vt:lpstr>
      <vt:lpstr>'April 2018 '!Print_Area</vt:lpstr>
      <vt:lpstr>februari!Print_Area</vt:lpstr>
      <vt:lpstr>'Jan 2018'!Print_Area</vt:lpstr>
      <vt:lpstr>'Juli 2018 '!Print_Area</vt:lpstr>
      <vt:lpstr>'Juni 2018'!Print_Area</vt:lpstr>
      <vt:lpstr>'maret 2018'!Print_Area</vt:lpstr>
      <vt:lpstr>'Mei 2018'!Print_Area</vt:lpstr>
      <vt:lpstr>'1'!Print_Titles</vt:lpstr>
      <vt:lpstr>'2017'!Print_Titles</vt:lpstr>
      <vt:lpstr>'Agustus 2018'!Print_Titles</vt:lpstr>
      <vt:lpstr>'April 2018 '!Print_Titles</vt:lpstr>
      <vt:lpstr>februari!Print_Titles</vt:lpstr>
      <vt:lpstr>'Jan 2018'!Print_Titles</vt:lpstr>
      <vt:lpstr>'Juli 2018 '!Print_Titles</vt:lpstr>
      <vt:lpstr>'Juni 2018'!Print_Titles</vt:lpstr>
      <vt:lpstr>'maret 2018'!Print_Titles</vt:lpstr>
      <vt:lpstr>'Mei 2018'!Print_Titles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DPKD Kota Serang</dc:creator>
  <cp:lastModifiedBy>bpkad</cp:lastModifiedBy>
  <cp:lastPrinted>2018-08-09T08:45:08Z</cp:lastPrinted>
  <dcterms:created xsi:type="dcterms:W3CDTF">2014-10-06T07:24:24Z</dcterms:created>
  <dcterms:modified xsi:type="dcterms:W3CDTF">2018-09-15T17:45:37Z</dcterms:modified>
</cp:coreProperties>
</file>